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30" windowWidth="18195" windowHeight="12075" tabRatio="825"/>
  </bookViews>
  <sheets>
    <sheet name="CONTROL" sheetId="1" r:id="rId1"/>
    <sheet name="RAP-SOLID FUEL PRICES" sheetId="2" r:id="rId2"/>
    <sheet name="RAP-LIGHT OIL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AVAILABILITY'!$A$12:$T$1157</definedName>
    <definedName name="_xlnm.Print_Area" localSheetId="3">'RAP-HEAVY OIL&amp;WTI'!$A$12:$J$1157</definedName>
    <definedName name="_xlnm.Print_Area" localSheetId="2">'RAP-LIGHT OIL'!$A$12:$K$1157</definedName>
    <definedName name="_xlnm.Print_Area" localSheetId="4">'RAP-NATURAL GAS PRICES'!$A$13:$AC$1158</definedName>
    <definedName name="_xlnm.Print_Area" localSheetId="1">'RAP-SOLID FUEL PRICES'!$A$14:$O$1160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2">'RAP-LIGHT OIL'!$1:$11</definedName>
    <definedName name="_xlnm.Print_Titles" localSheetId="4">'RAP-NATURAL GAS PRICES'!$1:$12</definedName>
    <definedName name="_xlnm.Print_Titles" localSheetId="1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21" i="6" l="1"/>
  <c r="D21" i="6"/>
  <c r="E21" i="6"/>
  <c r="F21" i="6"/>
  <c r="L21" i="6"/>
  <c r="N21" i="6"/>
  <c r="P21" i="6"/>
  <c r="Q21" i="6"/>
  <c r="Q1069" i="6" s="1"/>
  <c r="R21" i="6"/>
  <c r="T21" i="6"/>
  <c r="C22" i="6"/>
  <c r="D22" i="6"/>
  <c r="E22" i="6"/>
  <c r="E1069" i="6" s="1"/>
  <c r="F22" i="6"/>
  <c r="L22" i="6"/>
  <c r="N22" i="6"/>
  <c r="Q22" i="6"/>
  <c r="S22" i="6" s="1"/>
  <c r="R22" i="6"/>
  <c r="T22" i="6"/>
  <c r="C23" i="6"/>
  <c r="D23" i="6"/>
  <c r="D1069" i="6" s="1"/>
  <c r="E23" i="6"/>
  <c r="F23" i="6"/>
  <c r="N23" i="6"/>
  <c r="R23" i="6"/>
  <c r="Q23" i="6" s="1"/>
  <c r="S23" i="6" s="1"/>
  <c r="T23" i="6"/>
  <c r="C24" i="6"/>
  <c r="L24" i="6" s="1"/>
  <c r="D24" i="6"/>
  <c r="E24" i="6"/>
  <c r="F24" i="6"/>
  <c r="N24" i="6"/>
  <c r="N1070" i="6" s="1"/>
  <c r="Q24" i="6"/>
  <c r="R24" i="6"/>
  <c r="S24" i="6"/>
  <c r="T24" i="6"/>
  <c r="C25" i="6"/>
  <c r="D25" i="6"/>
  <c r="E25" i="6"/>
  <c r="F25" i="6"/>
  <c r="N25" i="6"/>
  <c r="Q25" i="6"/>
  <c r="S25" i="6" s="1"/>
  <c r="R25" i="6"/>
  <c r="T25" i="6"/>
  <c r="C26" i="6"/>
  <c r="D26" i="6"/>
  <c r="E26" i="6"/>
  <c r="F26" i="6"/>
  <c r="N26" i="6"/>
  <c r="Q26" i="6"/>
  <c r="S26" i="6" s="1"/>
  <c r="R26" i="6"/>
  <c r="T26" i="6"/>
  <c r="C27" i="6"/>
  <c r="D27" i="6"/>
  <c r="E27" i="6"/>
  <c r="F27" i="6"/>
  <c r="N27" i="6"/>
  <c r="P27" i="6"/>
  <c r="R27" i="6"/>
  <c r="Q27" i="6" s="1"/>
  <c r="S27" i="6" s="1"/>
  <c r="T27" i="6"/>
  <c r="C28" i="6"/>
  <c r="D28" i="6"/>
  <c r="E28" i="6"/>
  <c r="F28" i="6"/>
  <c r="L28" i="6"/>
  <c r="N28" i="6"/>
  <c r="P28" i="6"/>
  <c r="Q28" i="6"/>
  <c r="R28" i="6"/>
  <c r="T28" i="6"/>
  <c r="C29" i="6"/>
  <c r="D29" i="6"/>
  <c r="E29" i="6"/>
  <c r="F29" i="6"/>
  <c r="L29" i="6" s="1"/>
  <c r="N29" i="6"/>
  <c r="P29" i="6"/>
  <c r="Q29" i="6" s="1"/>
  <c r="R29" i="6"/>
  <c r="S29" i="6"/>
  <c r="T29" i="6"/>
  <c r="C30" i="6"/>
  <c r="D30" i="6"/>
  <c r="E30" i="6"/>
  <c r="F30" i="6"/>
  <c r="N30" i="6"/>
  <c r="P30" i="6"/>
  <c r="Q30" i="6"/>
  <c r="R30" i="6"/>
  <c r="S30" i="6"/>
  <c r="T30" i="6"/>
  <c r="C31" i="6"/>
  <c r="D31" i="6"/>
  <c r="E31" i="6"/>
  <c r="F31" i="6"/>
  <c r="L31" i="6"/>
  <c r="N31" i="6"/>
  <c r="P31" i="6"/>
  <c r="R31" i="6"/>
  <c r="Q31" i="6" s="1"/>
  <c r="T31" i="6"/>
  <c r="C32" i="6"/>
  <c r="L32" i="6" s="1"/>
  <c r="D32" i="6"/>
  <c r="E32" i="6"/>
  <c r="F32" i="6"/>
  <c r="N32" i="6"/>
  <c r="P32" i="6"/>
  <c r="R32" i="6"/>
  <c r="Q32" i="6" s="1"/>
  <c r="S32" i="6" s="1"/>
  <c r="T32" i="6"/>
  <c r="C33" i="6"/>
  <c r="L33" i="6" s="1"/>
  <c r="D33" i="6"/>
  <c r="E33" i="6"/>
  <c r="F33" i="6"/>
  <c r="N33" i="6"/>
  <c r="P33" i="6"/>
  <c r="R33" i="6"/>
  <c r="T33" i="6"/>
  <c r="C34" i="6"/>
  <c r="D34" i="6"/>
  <c r="E34" i="6"/>
  <c r="F34" i="6"/>
  <c r="L34" i="6"/>
  <c r="N34" i="6"/>
  <c r="R34" i="6"/>
  <c r="Q34" i="6" s="1"/>
  <c r="S34" i="6" s="1"/>
  <c r="T34" i="6"/>
  <c r="C35" i="6"/>
  <c r="D35" i="6"/>
  <c r="E35" i="6"/>
  <c r="F35" i="6"/>
  <c r="N35" i="6"/>
  <c r="Q35" i="6"/>
  <c r="R35" i="6"/>
  <c r="S35" i="6"/>
  <c r="T35" i="6"/>
  <c r="C36" i="6"/>
  <c r="L36" i="6" s="1"/>
  <c r="D36" i="6"/>
  <c r="E36" i="6"/>
  <c r="F36" i="6"/>
  <c r="N36" i="6"/>
  <c r="Q36" i="6"/>
  <c r="R36" i="6"/>
  <c r="T36" i="6"/>
  <c r="C37" i="6"/>
  <c r="D37" i="6"/>
  <c r="E37" i="6"/>
  <c r="F37" i="6"/>
  <c r="L37" i="6"/>
  <c r="N37" i="6"/>
  <c r="R37" i="6"/>
  <c r="Q37" i="6" s="1"/>
  <c r="S37" i="6" s="1"/>
  <c r="T37" i="6"/>
  <c r="C38" i="6"/>
  <c r="D38" i="6"/>
  <c r="E38" i="6"/>
  <c r="F38" i="6"/>
  <c r="N38" i="6"/>
  <c r="R38" i="6"/>
  <c r="Q38" i="6" s="1"/>
  <c r="S38" i="6" s="1"/>
  <c r="T38" i="6"/>
  <c r="C39" i="6"/>
  <c r="D39" i="6"/>
  <c r="E39" i="6"/>
  <c r="F39" i="6"/>
  <c r="H39" i="6"/>
  <c r="N39" i="6"/>
  <c r="P39" i="6"/>
  <c r="R39" i="6"/>
  <c r="Q39" i="6" s="1"/>
  <c r="S39" i="6" s="1"/>
  <c r="T39" i="6"/>
  <c r="C40" i="6"/>
  <c r="D40" i="6"/>
  <c r="E40" i="6"/>
  <c r="F40" i="6"/>
  <c r="H40" i="6"/>
  <c r="L40" i="6"/>
  <c r="N40" i="6"/>
  <c r="P40" i="6"/>
  <c r="R40" i="6"/>
  <c r="T40" i="6"/>
  <c r="C41" i="6"/>
  <c r="D41" i="6"/>
  <c r="E41" i="6"/>
  <c r="F41" i="6"/>
  <c r="H41" i="6"/>
  <c r="N41" i="6"/>
  <c r="P41" i="6"/>
  <c r="Q41" i="6"/>
  <c r="R41" i="6"/>
  <c r="S41" i="6"/>
  <c r="T41" i="6"/>
  <c r="C42" i="6"/>
  <c r="D42" i="6"/>
  <c r="E42" i="6"/>
  <c r="F42" i="6"/>
  <c r="H42" i="6"/>
  <c r="L42" i="6" s="1"/>
  <c r="N42" i="6"/>
  <c r="P42" i="6"/>
  <c r="R42" i="6"/>
  <c r="Q42" i="6" s="1"/>
  <c r="T42" i="6"/>
  <c r="C43" i="6"/>
  <c r="D43" i="6"/>
  <c r="E43" i="6"/>
  <c r="F43" i="6"/>
  <c r="H43" i="6"/>
  <c r="N43" i="6"/>
  <c r="P43" i="6"/>
  <c r="Q43" i="6"/>
  <c r="R43" i="6"/>
  <c r="S43" i="6"/>
  <c r="T43" i="6"/>
  <c r="C44" i="6"/>
  <c r="D44" i="6"/>
  <c r="E44" i="6"/>
  <c r="F44" i="6"/>
  <c r="H44" i="6"/>
  <c r="L44" i="6" s="1"/>
  <c r="N44" i="6"/>
  <c r="P44" i="6"/>
  <c r="R44" i="6"/>
  <c r="Q44" i="6" s="1"/>
  <c r="T44" i="6"/>
  <c r="C45" i="6"/>
  <c r="D45" i="6"/>
  <c r="E45" i="6"/>
  <c r="F45" i="6"/>
  <c r="H45" i="6"/>
  <c r="N45" i="6"/>
  <c r="P45" i="6"/>
  <c r="Q45" i="6"/>
  <c r="R45" i="6"/>
  <c r="S45" i="6"/>
  <c r="T45" i="6"/>
  <c r="C46" i="6"/>
  <c r="D46" i="6"/>
  <c r="E46" i="6"/>
  <c r="F46" i="6"/>
  <c r="H46" i="6"/>
  <c r="L46" i="6" s="1"/>
  <c r="N46" i="6"/>
  <c r="Q46" i="6"/>
  <c r="S46" i="6" s="1"/>
  <c r="R46" i="6"/>
  <c r="T46" i="6"/>
  <c r="C47" i="6"/>
  <c r="D47" i="6"/>
  <c r="E47" i="6"/>
  <c r="F47" i="6"/>
  <c r="H47" i="6"/>
  <c r="N47" i="6"/>
  <c r="Q47" i="6"/>
  <c r="R47" i="6"/>
  <c r="S47" i="6"/>
  <c r="T47" i="6"/>
  <c r="C48" i="6"/>
  <c r="L48" i="6" s="1"/>
  <c r="D48" i="6"/>
  <c r="E48" i="6"/>
  <c r="F48" i="6"/>
  <c r="H48" i="6"/>
  <c r="N48" i="6"/>
  <c r="Q48" i="6"/>
  <c r="R48" i="6"/>
  <c r="S48" i="6"/>
  <c r="T48" i="6"/>
  <c r="C49" i="6"/>
  <c r="D49" i="6"/>
  <c r="E49" i="6"/>
  <c r="F49" i="6"/>
  <c r="L49" i="6" s="1"/>
  <c r="H49" i="6"/>
  <c r="N49" i="6"/>
  <c r="R49" i="6"/>
  <c r="Q49" i="6" s="1"/>
  <c r="S49" i="6" s="1"/>
  <c r="T49" i="6"/>
  <c r="C50" i="6"/>
  <c r="D50" i="6"/>
  <c r="E50" i="6"/>
  <c r="F50" i="6"/>
  <c r="H50" i="6"/>
  <c r="N50" i="6"/>
  <c r="R50" i="6"/>
  <c r="Q50" i="6" s="1"/>
  <c r="S50" i="6"/>
  <c r="T50" i="6"/>
  <c r="C51" i="6"/>
  <c r="L51" i="6" s="1"/>
  <c r="D51" i="6"/>
  <c r="E51" i="6"/>
  <c r="F51" i="6"/>
  <c r="H51" i="6"/>
  <c r="N51" i="6"/>
  <c r="Q51" i="6"/>
  <c r="S51" i="6" s="1"/>
  <c r="R51" i="6"/>
  <c r="T51" i="6"/>
  <c r="C52" i="6"/>
  <c r="D52" i="6"/>
  <c r="E52" i="6"/>
  <c r="F52" i="6"/>
  <c r="H52" i="6"/>
  <c r="I52" i="6"/>
  <c r="N52" i="6"/>
  <c r="Q52" i="6"/>
  <c r="R52" i="6"/>
  <c r="S52" i="6"/>
  <c r="T52" i="6"/>
  <c r="C53" i="6"/>
  <c r="D53" i="6"/>
  <c r="L53" i="6" s="1"/>
  <c r="E53" i="6"/>
  <c r="F53" i="6"/>
  <c r="H53" i="6"/>
  <c r="I53" i="6"/>
  <c r="N53" i="6"/>
  <c r="R53" i="6"/>
  <c r="Q53" i="6" s="1"/>
  <c r="S53" i="6" s="1"/>
  <c r="T53" i="6"/>
  <c r="C54" i="6"/>
  <c r="L54" i="6" s="1"/>
  <c r="D54" i="6"/>
  <c r="E54" i="6"/>
  <c r="F54" i="6"/>
  <c r="H54" i="6"/>
  <c r="I54" i="6"/>
  <c r="N54" i="6"/>
  <c r="Q54" i="6"/>
  <c r="R54" i="6"/>
  <c r="S54" i="6"/>
  <c r="T54" i="6"/>
  <c r="C55" i="6"/>
  <c r="D55" i="6"/>
  <c r="E55" i="6"/>
  <c r="F55" i="6"/>
  <c r="H55" i="6"/>
  <c r="I55" i="6"/>
  <c r="L55" i="6"/>
  <c r="N55" i="6"/>
  <c r="R55" i="6"/>
  <c r="Q55" i="6" s="1"/>
  <c r="S55" i="6" s="1"/>
  <c r="T55" i="6"/>
  <c r="C56" i="6"/>
  <c r="L56" i="6" s="1"/>
  <c r="D56" i="6"/>
  <c r="E56" i="6"/>
  <c r="F56" i="6"/>
  <c r="H56" i="6"/>
  <c r="I56" i="6"/>
  <c r="N56" i="6"/>
  <c r="Q56" i="6"/>
  <c r="R56" i="6"/>
  <c r="S56" i="6"/>
  <c r="T56" i="6"/>
  <c r="C57" i="6"/>
  <c r="D57" i="6"/>
  <c r="E57" i="6"/>
  <c r="F57" i="6"/>
  <c r="H57" i="6"/>
  <c r="I57" i="6"/>
  <c r="L57" i="6"/>
  <c r="N57" i="6"/>
  <c r="Q57" i="6"/>
  <c r="S57" i="6" s="1"/>
  <c r="R57" i="6"/>
  <c r="T57" i="6"/>
  <c r="C58" i="6"/>
  <c r="D58" i="6"/>
  <c r="E58" i="6"/>
  <c r="F58" i="6"/>
  <c r="H58" i="6"/>
  <c r="I58" i="6"/>
  <c r="N58" i="6"/>
  <c r="Q58" i="6"/>
  <c r="R58" i="6"/>
  <c r="S58" i="6"/>
  <c r="T58" i="6"/>
  <c r="C59" i="6"/>
  <c r="L59" i="6" s="1"/>
  <c r="D59" i="6"/>
  <c r="E59" i="6"/>
  <c r="F59" i="6"/>
  <c r="H59" i="6"/>
  <c r="I59" i="6"/>
  <c r="N59" i="6"/>
  <c r="R59" i="6"/>
  <c r="Q59" i="6" s="1"/>
  <c r="T59" i="6"/>
  <c r="C60" i="6"/>
  <c r="D60" i="6"/>
  <c r="E60" i="6"/>
  <c r="F60" i="6"/>
  <c r="H60" i="6"/>
  <c r="I60" i="6"/>
  <c r="N60" i="6"/>
  <c r="Q60" i="6"/>
  <c r="R60" i="6"/>
  <c r="S60" i="6"/>
  <c r="T60" i="6"/>
  <c r="C61" i="6"/>
  <c r="D61" i="6"/>
  <c r="L61" i="6" s="1"/>
  <c r="E61" i="6"/>
  <c r="F61" i="6"/>
  <c r="H61" i="6"/>
  <c r="I61" i="6"/>
  <c r="N61" i="6"/>
  <c r="R61" i="6"/>
  <c r="Q61" i="6" s="1"/>
  <c r="S61" i="6" s="1"/>
  <c r="T61" i="6"/>
  <c r="C62" i="6"/>
  <c r="L62" i="6" s="1"/>
  <c r="D62" i="6"/>
  <c r="E62" i="6"/>
  <c r="F62" i="6"/>
  <c r="H62" i="6"/>
  <c r="I62" i="6"/>
  <c r="N62" i="6"/>
  <c r="Q62" i="6"/>
  <c r="R62" i="6"/>
  <c r="S62" i="6"/>
  <c r="T62" i="6"/>
  <c r="C63" i="6"/>
  <c r="D63" i="6"/>
  <c r="E63" i="6"/>
  <c r="F63" i="6"/>
  <c r="H63" i="6"/>
  <c r="I63" i="6"/>
  <c r="L63" i="6"/>
  <c r="N63" i="6"/>
  <c r="R63" i="6"/>
  <c r="Q63" i="6" s="1"/>
  <c r="S63" i="6" s="1"/>
  <c r="T63" i="6"/>
  <c r="C64" i="6"/>
  <c r="D64" i="6"/>
  <c r="E64" i="6"/>
  <c r="E1073" i="6" s="1"/>
  <c r="F64" i="6"/>
  <c r="H64" i="6"/>
  <c r="I64" i="6"/>
  <c r="N64" i="6"/>
  <c r="Q64" i="6"/>
  <c r="R64" i="6"/>
  <c r="S64" i="6"/>
  <c r="T64" i="6"/>
  <c r="T1073" i="6" s="1"/>
  <c r="C65" i="6"/>
  <c r="L65" i="6" s="1"/>
  <c r="D65" i="6"/>
  <c r="E65" i="6"/>
  <c r="F65" i="6"/>
  <c r="H65" i="6"/>
  <c r="I65" i="6"/>
  <c r="N65" i="6"/>
  <c r="N1073" i="6" s="1"/>
  <c r="Q65" i="6"/>
  <c r="R65" i="6"/>
  <c r="T65" i="6"/>
  <c r="C66" i="6"/>
  <c r="D66" i="6"/>
  <c r="E66" i="6"/>
  <c r="F66" i="6"/>
  <c r="H66" i="6"/>
  <c r="H1073" i="6" s="1"/>
  <c r="I66" i="6"/>
  <c r="I1073" i="6" s="1"/>
  <c r="N66" i="6"/>
  <c r="Q66" i="6"/>
  <c r="R66" i="6"/>
  <c r="S66" i="6"/>
  <c r="T66" i="6"/>
  <c r="C67" i="6"/>
  <c r="D67" i="6"/>
  <c r="D1073" i="6" s="1"/>
  <c r="E67" i="6"/>
  <c r="F67" i="6"/>
  <c r="H67" i="6"/>
  <c r="I67" i="6"/>
  <c r="N67" i="6"/>
  <c r="Q67" i="6"/>
  <c r="S67" i="6" s="1"/>
  <c r="R67" i="6"/>
  <c r="T67" i="6"/>
  <c r="C68" i="6"/>
  <c r="D68" i="6"/>
  <c r="E68" i="6"/>
  <c r="F68" i="6"/>
  <c r="H68" i="6"/>
  <c r="I68" i="6"/>
  <c r="N68" i="6"/>
  <c r="Q68" i="6"/>
  <c r="R68" i="6"/>
  <c r="S68" i="6"/>
  <c r="T68" i="6"/>
  <c r="C69" i="6"/>
  <c r="D69" i="6"/>
  <c r="L69" i="6" s="1"/>
  <c r="E69" i="6"/>
  <c r="F69" i="6"/>
  <c r="H69" i="6"/>
  <c r="I69" i="6"/>
  <c r="N69" i="6"/>
  <c r="R69" i="6"/>
  <c r="Q69" i="6" s="1"/>
  <c r="S69" i="6" s="1"/>
  <c r="T69" i="6"/>
  <c r="C70" i="6"/>
  <c r="L70" i="6" s="1"/>
  <c r="D70" i="6"/>
  <c r="E70" i="6"/>
  <c r="F70" i="6"/>
  <c r="H70" i="6"/>
  <c r="I70" i="6"/>
  <c r="N70" i="6"/>
  <c r="Q70" i="6"/>
  <c r="R70" i="6"/>
  <c r="S70" i="6"/>
  <c r="T70" i="6"/>
  <c r="C71" i="6"/>
  <c r="D71" i="6"/>
  <c r="E71" i="6"/>
  <c r="F71" i="6"/>
  <c r="H71" i="6"/>
  <c r="I71" i="6"/>
  <c r="L71" i="6"/>
  <c r="N71" i="6"/>
  <c r="R71" i="6"/>
  <c r="Q71" i="6" s="1"/>
  <c r="S71" i="6" s="1"/>
  <c r="T71" i="6"/>
  <c r="C72" i="6"/>
  <c r="L72" i="6" s="1"/>
  <c r="D72" i="6"/>
  <c r="E72" i="6"/>
  <c r="F72" i="6"/>
  <c r="H72" i="6"/>
  <c r="I72" i="6"/>
  <c r="N72" i="6"/>
  <c r="Q72" i="6"/>
  <c r="R72" i="6"/>
  <c r="S72" i="6"/>
  <c r="T72" i="6"/>
  <c r="C73" i="6"/>
  <c r="D73" i="6"/>
  <c r="E73" i="6"/>
  <c r="F73" i="6"/>
  <c r="H73" i="6"/>
  <c r="I73" i="6"/>
  <c r="L73" i="6"/>
  <c r="N73" i="6"/>
  <c r="Q73" i="6"/>
  <c r="S73" i="6" s="1"/>
  <c r="R73" i="6"/>
  <c r="T73" i="6"/>
  <c r="C74" i="6"/>
  <c r="D74" i="6"/>
  <c r="E74" i="6"/>
  <c r="F74" i="6"/>
  <c r="H74" i="6"/>
  <c r="I74" i="6"/>
  <c r="N74" i="6"/>
  <c r="Q74" i="6"/>
  <c r="R74" i="6"/>
  <c r="S74" i="6"/>
  <c r="T74" i="6"/>
  <c r="C75" i="6"/>
  <c r="L75" i="6" s="1"/>
  <c r="D75" i="6"/>
  <c r="E75" i="6"/>
  <c r="F75" i="6"/>
  <c r="H75" i="6"/>
  <c r="I75" i="6"/>
  <c r="N75" i="6"/>
  <c r="N1074" i="6" s="1"/>
  <c r="Q75" i="6"/>
  <c r="S75" i="6" s="1"/>
  <c r="R75" i="6"/>
  <c r="T75" i="6"/>
  <c r="C76" i="6"/>
  <c r="D76" i="6"/>
  <c r="E76" i="6"/>
  <c r="F76" i="6"/>
  <c r="H76" i="6"/>
  <c r="H1074" i="6" s="1"/>
  <c r="I76" i="6"/>
  <c r="N76" i="6"/>
  <c r="Q76" i="6"/>
  <c r="R76" i="6"/>
  <c r="S76" i="6"/>
  <c r="T76" i="6"/>
  <c r="C77" i="6"/>
  <c r="D77" i="6"/>
  <c r="E77" i="6"/>
  <c r="F77" i="6"/>
  <c r="H77" i="6"/>
  <c r="I77" i="6"/>
  <c r="N77" i="6"/>
  <c r="R77" i="6"/>
  <c r="Q77" i="6" s="1"/>
  <c r="S77" i="6" s="1"/>
  <c r="T77" i="6"/>
  <c r="C78" i="6"/>
  <c r="L78" i="6" s="1"/>
  <c r="D78" i="6"/>
  <c r="E78" i="6"/>
  <c r="F78" i="6"/>
  <c r="H78" i="6"/>
  <c r="I78" i="6"/>
  <c r="N78" i="6"/>
  <c r="Q78" i="6"/>
  <c r="R78" i="6"/>
  <c r="S78" i="6"/>
  <c r="T78" i="6"/>
  <c r="C79" i="6"/>
  <c r="D79" i="6"/>
  <c r="E79" i="6"/>
  <c r="F79" i="6"/>
  <c r="H79" i="6"/>
  <c r="I79" i="6"/>
  <c r="L79" i="6"/>
  <c r="N79" i="6"/>
  <c r="R79" i="6"/>
  <c r="Q79" i="6" s="1"/>
  <c r="S79" i="6" s="1"/>
  <c r="T79" i="6"/>
  <c r="C80" i="6"/>
  <c r="D80" i="6"/>
  <c r="E80" i="6"/>
  <c r="E1074" i="6" s="1"/>
  <c r="F80" i="6"/>
  <c r="F1074" i="6" s="1"/>
  <c r="H80" i="6"/>
  <c r="I80" i="6"/>
  <c r="N80" i="6"/>
  <c r="Q80" i="6"/>
  <c r="R80" i="6"/>
  <c r="S80" i="6"/>
  <c r="T80" i="6"/>
  <c r="T1074" i="6" s="1"/>
  <c r="C81" i="6"/>
  <c r="D81" i="6"/>
  <c r="E81" i="6"/>
  <c r="F81" i="6"/>
  <c r="H81" i="6"/>
  <c r="I81" i="6"/>
  <c r="N81" i="6"/>
  <c r="Q81" i="6"/>
  <c r="S81" i="6" s="1"/>
  <c r="S1074" i="6" s="1"/>
  <c r="R81" i="6"/>
  <c r="T81" i="6"/>
  <c r="C82" i="6"/>
  <c r="D82" i="6"/>
  <c r="E82" i="6"/>
  <c r="F82" i="6"/>
  <c r="H82" i="6"/>
  <c r="I82" i="6"/>
  <c r="N82" i="6"/>
  <c r="Q82" i="6"/>
  <c r="S82" i="6" s="1"/>
  <c r="R82" i="6"/>
  <c r="T82" i="6"/>
  <c r="C83" i="6"/>
  <c r="L83" i="6" s="1"/>
  <c r="D83" i="6"/>
  <c r="E83" i="6"/>
  <c r="F83" i="6"/>
  <c r="H83" i="6"/>
  <c r="I83" i="6"/>
  <c r="N83" i="6"/>
  <c r="R83" i="6"/>
  <c r="Q83" i="6" s="1"/>
  <c r="S83" i="6" s="1"/>
  <c r="T83" i="6"/>
  <c r="C84" i="6"/>
  <c r="D84" i="6"/>
  <c r="E84" i="6"/>
  <c r="F84" i="6"/>
  <c r="H84" i="6"/>
  <c r="I84" i="6"/>
  <c r="N84" i="6"/>
  <c r="Q84" i="6"/>
  <c r="S84" i="6" s="1"/>
  <c r="R84" i="6"/>
  <c r="T84" i="6"/>
  <c r="C85" i="6"/>
  <c r="D85" i="6"/>
  <c r="E85" i="6"/>
  <c r="F85" i="6"/>
  <c r="H85" i="6"/>
  <c r="I85" i="6"/>
  <c r="N85" i="6"/>
  <c r="R85" i="6"/>
  <c r="Q85" i="6" s="1"/>
  <c r="S85" i="6" s="1"/>
  <c r="T85" i="6"/>
  <c r="T1075" i="6" s="1"/>
  <c r="C86" i="6"/>
  <c r="D86" i="6"/>
  <c r="E86" i="6"/>
  <c r="F86" i="6"/>
  <c r="H86" i="6"/>
  <c r="I86" i="6"/>
  <c r="N86" i="6"/>
  <c r="Q86" i="6"/>
  <c r="R86" i="6"/>
  <c r="T86" i="6"/>
  <c r="C87" i="6"/>
  <c r="D87" i="6"/>
  <c r="E87" i="6"/>
  <c r="F87" i="6"/>
  <c r="H87" i="6"/>
  <c r="I87" i="6"/>
  <c r="N87" i="6"/>
  <c r="R87" i="6"/>
  <c r="Q87" i="6" s="1"/>
  <c r="S87" i="6" s="1"/>
  <c r="T87" i="6"/>
  <c r="C88" i="6"/>
  <c r="D88" i="6"/>
  <c r="E88" i="6"/>
  <c r="F88" i="6"/>
  <c r="H88" i="6"/>
  <c r="I88" i="6"/>
  <c r="N88" i="6"/>
  <c r="Q88" i="6"/>
  <c r="R88" i="6"/>
  <c r="S88" i="6"/>
  <c r="T88" i="6"/>
  <c r="C89" i="6"/>
  <c r="L89" i="6" s="1"/>
  <c r="D89" i="6"/>
  <c r="E89" i="6"/>
  <c r="F89" i="6"/>
  <c r="H89" i="6"/>
  <c r="I89" i="6"/>
  <c r="N89" i="6"/>
  <c r="Q89" i="6"/>
  <c r="S89" i="6" s="1"/>
  <c r="R89" i="6"/>
  <c r="T89" i="6"/>
  <c r="C90" i="6"/>
  <c r="D90" i="6"/>
  <c r="E90" i="6"/>
  <c r="F90" i="6"/>
  <c r="H90" i="6"/>
  <c r="I90" i="6"/>
  <c r="N90" i="6"/>
  <c r="Q90" i="6"/>
  <c r="S90" i="6" s="1"/>
  <c r="R90" i="6"/>
  <c r="T90" i="6"/>
  <c r="C91" i="6"/>
  <c r="L91" i="6" s="1"/>
  <c r="D91" i="6"/>
  <c r="E91" i="6"/>
  <c r="F91" i="6"/>
  <c r="H91" i="6"/>
  <c r="I91" i="6"/>
  <c r="N91" i="6"/>
  <c r="R91" i="6"/>
  <c r="Q91" i="6" s="1"/>
  <c r="S91" i="6" s="1"/>
  <c r="T91" i="6"/>
  <c r="C92" i="6"/>
  <c r="D92" i="6"/>
  <c r="E92" i="6"/>
  <c r="F92" i="6"/>
  <c r="H92" i="6"/>
  <c r="I92" i="6"/>
  <c r="N92" i="6"/>
  <c r="Q92" i="6"/>
  <c r="S92" i="6" s="1"/>
  <c r="R92" i="6"/>
  <c r="T92" i="6"/>
  <c r="C93" i="6"/>
  <c r="D93" i="6"/>
  <c r="E93" i="6"/>
  <c r="F93" i="6"/>
  <c r="H93" i="6"/>
  <c r="I93" i="6"/>
  <c r="N93" i="6"/>
  <c r="R93" i="6"/>
  <c r="Q93" i="6" s="1"/>
  <c r="S93" i="6" s="1"/>
  <c r="T93" i="6"/>
  <c r="C94" i="6"/>
  <c r="L94" i="6" s="1"/>
  <c r="D94" i="6"/>
  <c r="E94" i="6"/>
  <c r="F94" i="6"/>
  <c r="H94" i="6"/>
  <c r="I94" i="6"/>
  <c r="N94" i="6"/>
  <c r="Q94" i="6"/>
  <c r="R94" i="6"/>
  <c r="S94" i="6"/>
  <c r="T94" i="6"/>
  <c r="C95" i="6"/>
  <c r="D95" i="6"/>
  <c r="E95" i="6"/>
  <c r="F95" i="6"/>
  <c r="L95" i="6" s="1"/>
  <c r="H95" i="6"/>
  <c r="I95" i="6"/>
  <c r="N95" i="6"/>
  <c r="R95" i="6"/>
  <c r="Q95" i="6" s="1"/>
  <c r="S95" i="6" s="1"/>
  <c r="T95" i="6"/>
  <c r="C96" i="6"/>
  <c r="L96" i="6" s="1"/>
  <c r="D96" i="6"/>
  <c r="E96" i="6"/>
  <c r="F96" i="6"/>
  <c r="H96" i="6"/>
  <c r="I96" i="6"/>
  <c r="N96" i="6"/>
  <c r="Q96" i="6"/>
  <c r="R96" i="6"/>
  <c r="S96" i="6"/>
  <c r="T96" i="6"/>
  <c r="C97" i="6"/>
  <c r="D97" i="6"/>
  <c r="E97" i="6"/>
  <c r="F97" i="6"/>
  <c r="H97" i="6"/>
  <c r="I97" i="6"/>
  <c r="L97" i="6"/>
  <c r="N97" i="6"/>
  <c r="Q97" i="6"/>
  <c r="S97" i="6" s="1"/>
  <c r="R97" i="6"/>
  <c r="T97" i="6"/>
  <c r="C98" i="6"/>
  <c r="D98" i="6"/>
  <c r="E98" i="6"/>
  <c r="F98" i="6"/>
  <c r="H98" i="6"/>
  <c r="I98" i="6"/>
  <c r="N98" i="6"/>
  <c r="Q98" i="6"/>
  <c r="S98" i="6" s="1"/>
  <c r="R98" i="6"/>
  <c r="T98" i="6"/>
  <c r="C99" i="6"/>
  <c r="L99" i="6" s="1"/>
  <c r="D99" i="6"/>
  <c r="E99" i="6"/>
  <c r="F99" i="6"/>
  <c r="H99" i="6"/>
  <c r="I99" i="6"/>
  <c r="N99" i="6"/>
  <c r="R99" i="6"/>
  <c r="Q99" i="6" s="1"/>
  <c r="S99" i="6" s="1"/>
  <c r="T99" i="6"/>
  <c r="C100" i="6"/>
  <c r="D100" i="6"/>
  <c r="E100" i="6"/>
  <c r="F100" i="6"/>
  <c r="H100" i="6"/>
  <c r="I100" i="6"/>
  <c r="N100" i="6"/>
  <c r="Q100" i="6"/>
  <c r="S100" i="6" s="1"/>
  <c r="R100" i="6"/>
  <c r="T100" i="6"/>
  <c r="C101" i="6"/>
  <c r="D101" i="6"/>
  <c r="E101" i="6"/>
  <c r="F101" i="6"/>
  <c r="H101" i="6"/>
  <c r="I101" i="6"/>
  <c r="N101" i="6"/>
  <c r="R101" i="6"/>
  <c r="Q101" i="6" s="1"/>
  <c r="S101" i="6" s="1"/>
  <c r="T101" i="6"/>
  <c r="C102" i="6"/>
  <c r="L102" i="6" s="1"/>
  <c r="D102" i="6"/>
  <c r="E102" i="6"/>
  <c r="F102" i="6"/>
  <c r="H102" i="6"/>
  <c r="I102" i="6"/>
  <c r="N102" i="6"/>
  <c r="Q102" i="6"/>
  <c r="R102" i="6"/>
  <c r="S102" i="6"/>
  <c r="T102" i="6"/>
  <c r="C103" i="6"/>
  <c r="D103" i="6"/>
  <c r="E103" i="6"/>
  <c r="F103" i="6"/>
  <c r="H103" i="6"/>
  <c r="I103" i="6"/>
  <c r="L103" i="6"/>
  <c r="N103" i="6"/>
  <c r="R103" i="6"/>
  <c r="Q103" i="6" s="1"/>
  <c r="S103" i="6" s="1"/>
  <c r="T103" i="6"/>
  <c r="C104" i="6"/>
  <c r="D104" i="6"/>
  <c r="E104" i="6"/>
  <c r="F104" i="6"/>
  <c r="H104" i="6"/>
  <c r="I104" i="6"/>
  <c r="N104" i="6"/>
  <c r="Q104" i="6"/>
  <c r="R104" i="6"/>
  <c r="S104" i="6"/>
  <c r="T104" i="6"/>
  <c r="C105" i="6"/>
  <c r="L105" i="6" s="1"/>
  <c r="D105" i="6"/>
  <c r="E105" i="6"/>
  <c r="F105" i="6"/>
  <c r="H105" i="6"/>
  <c r="I105" i="6"/>
  <c r="N105" i="6"/>
  <c r="Q105" i="6"/>
  <c r="S105" i="6" s="1"/>
  <c r="R105" i="6"/>
  <c r="T105" i="6"/>
  <c r="C106" i="6"/>
  <c r="D106" i="6"/>
  <c r="E106" i="6"/>
  <c r="F106" i="6"/>
  <c r="H106" i="6"/>
  <c r="I106" i="6"/>
  <c r="N106" i="6"/>
  <c r="Q106" i="6"/>
  <c r="S106" i="6" s="1"/>
  <c r="R106" i="6"/>
  <c r="T106" i="6"/>
  <c r="C107" i="6"/>
  <c r="L107" i="6" s="1"/>
  <c r="D107" i="6"/>
  <c r="E107" i="6"/>
  <c r="F107" i="6"/>
  <c r="H107" i="6"/>
  <c r="I107" i="6"/>
  <c r="N107" i="6"/>
  <c r="Q107" i="6"/>
  <c r="S107" i="6" s="1"/>
  <c r="R107" i="6"/>
  <c r="T107" i="6"/>
  <c r="C108" i="6"/>
  <c r="D108" i="6"/>
  <c r="E108" i="6"/>
  <c r="F108" i="6"/>
  <c r="H108" i="6"/>
  <c r="I108" i="6"/>
  <c r="N108" i="6"/>
  <c r="Q108" i="6"/>
  <c r="S108" i="6" s="1"/>
  <c r="R108" i="6"/>
  <c r="T108" i="6"/>
  <c r="C109" i="6"/>
  <c r="D109" i="6"/>
  <c r="E109" i="6"/>
  <c r="F109" i="6"/>
  <c r="H109" i="6"/>
  <c r="I109" i="6"/>
  <c r="N109" i="6"/>
  <c r="R109" i="6"/>
  <c r="Q109" i="6" s="1"/>
  <c r="S109" i="6" s="1"/>
  <c r="T109" i="6"/>
  <c r="C110" i="6"/>
  <c r="L110" i="6" s="1"/>
  <c r="D110" i="6"/>
  <c r="E110" i="6"/>
  <c r="F110" i="6"/>
  <c r="H110" i="6"/>
  <c r="I110" i="6"/>
  <c r="N110" i="6"/>
  <c r="Q110" i="6"/>
  <c r="S110" i="6" s="1"/>
  <c r="R110" i="6"/>
  <c r="T110" i="6"/>
  <c r="C111" i="6"/>
  <c r="D111" i="6"/>
  <c r="E111" i="6"/>
  <c r="F111" i="6"/>
  <c r="H111" i="6"/>
  <c r="L111" i="6" s="1"/>
  <c r="I111" i="6"/>
  <c r="N111" i="6"/>
  <c r="R111" i="6"/>
  <c r="Q111" i="6" s="1"/>
  <c r="S111" i="6" s="1"/>
  <c r="T111" i="6"/>
  <c r="C112" i="6"/>
  <c r="D112" i="6"/>
  <c r="E112" i="6"/>
  <c r="F112" i="6"/>
  <c r="H112" i="6"/>
  <c r="I112" i="6"/>
  <c r="N112" i="6"/>
  <c r="Q112" i="6"/>
  <c r="R112" i="6"/>
  <c r="S112" i="6"/>
  <c r="T112" i="6"/>
  <c r="C113" i="6"/>
  <c r="L113" i="6" s="1"/>
  <c r="D113" i="6"/>
  <c r="E113" i="6"/>
  <c r="F113" i="6"/>
  <c r="H113" i="6"/>
  <c r="I113" i="6"/>
  <c r="N113" i="6"/>
  <c r="N1077" i="6" s="1"/>
  <c r="Q113" i="6"/>
  <c r="S113" i="6" s="1"/>
  <c r="R113" i="6"/>
  <c r="T113" i="6"/>
  <c r="C114" i="6"/>
  <c r="D114" i="6"/>
  <c r="E114" i="6"/>
  <c r="F114" i="6"/>
  <c r="H114" i="6"/>
  <c r="H1077" i="6" s="1"/>
  <c r="I114" i="6"/>
  <c r="N114" i="6"/>
  <c r="Q114" i="6"/>
  <c r="S114" i="6" s="1"/>
  <c r="R114" i="6"/>
  <c r="T114" i="6"/>
  <c r="C115" i="6"/>
  <c r="L115" i="6" s="1"/>
  <c r="D115" i="6"/>
  <c r="E115" i="6"/>
  <c r="F115" i="6"/>
  <c r="H115" i="6"/>
  <c r="I115" i="6"/>
  <c r="N115" i="6"/>
  <c r="R115" i="6"/>
  <c r="Q115" i="6" s="1"/>
  <c r="S115" i="6" s="1"/>
  <c r="T115" i="6"/>
  <c r="C116" i="6"/>
  <c r="D116" i="6"/>
  <c r="E116" i="6"/>
  <c r="F116" i="6"/>
  <c r="H116" i="6"/>
  <c r="I116" i="6"/>
  <c r="N116" i="6"/>
  <c r="Q116" i="6"/>
  <c r="S116" i="6" s="1"/>
  <c r="R116" i="6"/>
  <c r="T116" i="6"/>
  <c r="C117" i="6"/>
  <c r="D117" i="6"/>
  <c r="L117" i="6" s="1"/>
  <c r="E117" i="6"/>
  <c r="F117" i="6"/>
  <c r="H117" i="6"/>
  <c r="I117" i="6"/>
  <c r="N117" i="6"/>
  <c r="R117" i="6"/>
  <c r="T117" i="6"/>
  <c r="C118" i="6"/>
  <c r="L118" i="6" s="1"/>
  <c r="D118" i="6"/>
  <c r="E118" i="6"/>
  <c r="F118" i="6"/>
  <c r="H118" i="6"/>
  <c r="I118" i="6"/>
  <c r="N118" i="6"/>
  <c r="Q118" i="6"/>
  <c r="S118" i="6" s="1"/>
  <c r="R118" i="6"/>
  <c r="T118" i="6"/>
  <c r="C119" i="6"/>
  <c r="D119" i="6"/>
  <c r="E119" i="6"/>
  <c r="F119" i="6"/>
  <c r="H119" i="6"/>
  <c r="I119" i="6"/>
  <c r="N119" i="6"/>
  <c r="R119" i="6"/>
  <c r="Q119" i="6" s="1"/>
  <c r="S119" i="6" s="1"/>
  <c r="T119" i="6"/>
  <c r="C120" i="6"/>
  <c r="D120" i="6"/>
  <c r="E120" i="6"/>
  <c r="E1078" i="6" s="1"/>
  <c r="F120" i="6"/>
  <c r="F1078" i="6" s="1"/>
  <c r="H120" i="6"/>
  <c r="I120" i="6"/>
  <c r="N120" i="6"/>
  <c r="Q120" i="6"/>
  <c r="R120" i="6"/>
  <c r="S120" i="6"/>
  <c r="T120" i="6"/>
  <c r="T1078" i="6" s="1"/>
  <c r="C121" i="6"/>
  <c r="D121" i="6"/>
  <c r="E121" i="6"/>
  <c r="F121" i="6"/>
  <c r="H121" i="6"/>
  <c r="I121" i="6"/>
  <c r="N121" i="6"/>
  <c r="Q121" i="6"/>
  <c r="R121" i="6"/>
  <c r="T121" i="6"/>
  <c r="C122" i="6"/>
  <c r="D122" i="6"/>
  <c r="E122" i="6"/>
  <c r="F122" i="6"/>
  <c r="H122" i="6"/>
  <c r="I122" i="6"/>
  <c r="I1078" i="6" s="1"/>
  <c r="N122" i="6"/>
  <c r="Q122" i="6"/>
  <c r="S122" i="6" s="1"/>
  <c r="R122" i="6"/>
  <c r="T122" i="6"/>
  <c r="C123" i="6"/>
  <c r="D123" i="6"/>
  <c r="E123" i="6"/>
  <c r="F123" i="6"/>
  <c r="H123" i="6"/>
  <c r="I123" i="6"/>
  <c r="N123" i="6"/>
  <c r="R123" i="6"/>
  <c r="Q123" i="6" s="1"/>
  <c r="S123" i="6" s="1"/>
  <c r="T123" i="6"/>
  <c r="C124" i="6"/>
  <c r="D124" i="6"/>
  <c r="E124" i="6"/>
  <c r="F124" i="6"/>
  <c r="H124" i="6"/>
  <c r="I124" i="6"/>
  <c r="L124" i="6"/>
  <c r="N124" i="6"/>
  <c r="Q124" i="6"/>
  <c r="R124" i="6"/>
  <c r="S124" i="6"/>
  <c r="T124" i="6"/>
  <c r="C125" i="6"/>
  <c r="D125" i="6"/>
  <c r="E125" i="6"/>
  <c r="F125" i="6"/>
  <c r="H125" i="6"/>
  <c r="I125" i="6"/>
  <c r="N125" i="6"/>
  <c r="R125" i="6"/>
  <c r="Q125" i="6" s="1"/>
  <c r="S125" i="6" s="1"/>
  <c r="T125" i="6"/>
  <c r="C126" i="6"/>
  <c r="D126" i="6"/>
  <c r="E126" i="6"/>
  <c r="F126" i="6"/>
  <c r="H126" i="6"/>
  <c r="I126" i="6"/>
  <c r="L126" i="6" s="1"/>
  <c r="N126" i="6"/>
  <c r="Q126" i="6"/>
  <c r="R126" i="6"/>
  <c r="S126" i="6"/>
  <c r="T126" i="6"/>
  <c r="C127" i="6"/>
  <c r="D127" i="6"/>
  <c r="E127" i="6"/>
  <c r="F127" i="6"/>
  <c r="H127" i="6"/>
  <c r="I127" i="6"/>
  <c r="N127" i="6"/>
  <c r="Q127" i="6"/>
  <c r="R127" i="6"/>
  <c r="S127" i="6"/>
  <c r="T127" i="6"/>
  <c r="C128" i="6"/>
  <c r="D128" i="6"/>
  <c r="E128" i="6"/>
  <c r="F128" i="6"/>
  <c r="H128" i="6"/>
  <c r="I128" i="6"/>
  <c r="L128" i="6"/>
  <c r="N128" i="6"/>
  <c r="R128" i="6"/>
  <c r="Q128" i="6" s="1"/>
  <c r="S128" i="6" s="1"/>
  <c r="T128" i="6"/>
  <c r="C129" i="6"/>
  <c r="D129" i="6"/>
  <c r="E129" i="6"/>
  <c r="F129" i="6"/>
  <c r="H129" i="6"/>
  <c r="I129" i="6"/>
  <c r="N129" i="6"/>
  <c r="Q129" i="6"/>
  <c r="R129" i="6"/>
  <c r="S129" i="6"/>
  <c r="T129" i="6"/>
  <c r="C130" i="6"/>
  <c r="D130" i="6"/>
  <c r="E130" i="6"/>
  <c r="F130" i="6"/>
  <c r="H130" i="6"/>
  <c r="I130" i="6"/>
  <c r="L130" i="6"/>
  <c r="N130" i="6"/>
  <c r="R130" i="6"/>
  <c r="Q130" i="6" s="1"/>
  <c r="S130" i="6" s="1"/>
  <c r="T130" i="6"/>
  <c r="C131" i="6"/>
  <c r="D131" i="6"/>
  <c r="E131" i="6"/>
  <c r="F131" i="6"/>
  <c r="H131" i="6"/>
  <c r="I131" i="6"/>
  <c r="N131" i="6"/>
  <c r="Q131" i="6"/>
  <c r="R131" i="6"/>
  <c r="S131" i="6"/>
  <c r="T131" i="6"/>
  <c r="C132" i="6"/>
  <c r="D132" i="6"/>
  <c r="E132" i="6"/>
  <c r="F132" i="6"/>
  <c r="H132" i="6"/>
  <c r="I132" i="6"/>
  <c r="L132" i="6"/>
  <c r="N132" i="6"/>
  <c r="R132" i="6"/>
  <c r="Q132" i="6" s="1"/>
  <c r="S132" i="6" s="1"/>
  <c r="T132" i="6"/>
  <c r="C133" i="6"/>
  <c r="D133" i="6"/>
  <c r="E133" i="6"/>
  <c r="F133" i="6"/>
  <c r="H133" i="6"/>
  <c r="I133" i="6"/>
  <c r="N133" i="6"/>
  <c r="Q133" i="6"/>
  <c r="S133" i="6" s="1"/>
  <c r="R133" i="6"/>
  <c r="T133" i="6"/>
  <c r="C134" i="6"/>
  <c r="D134" i="6"/>
  <c r="E134" i="6"/>
  <c r="F134" i="6"/>
  <c r="H134" i="6"/>
  <c r="L134" i="6" s="1"/>
  <c r="I134" i="6"/>
  <c r="N134" i="6"/>
  <c r="R134" i="6"/>
  <c r="Q134" i="6" s="1"/>
  <c r="S134" i="6" s="1"/>
  <c r="T134" i="6"/>
  <c r="C135" i="6"/>
  <c r="D135" i="6"/>
  <c r="E135" i="6"/>
  <c r="F135" i="6"/>
  <c r="H135" i="6"/>
  <c r="I135" i="6"/>
  <c r="N135" i="6"/>
  <c r="R135" i="6"/>
  <c r="Q135" i="6" s="1"/>
  <c r="S135" i="6" s="1"/>
  <c r="T135" i="6"/>
  <c r="C136" i="6"/>
  <c r="D136" i="6"/>
  <c r="E136" i="6"/>
  <c r="F136" i="6"/>
  <c r="H136" i="6"/>
  <c r="I136" i="6"/>
  <c r="N136" i="6"/>
  <c r="R136" i="6"/>
  <c r="Q136" i="6" s="1"/>
  <c r="S136" i="6" s="1"/>
  <c r="T136" i="6"/>
  <c r="C137" i="6"/>
  <c r="D137" i="6"/>
  <c r="E137" i="6"/>
  <c r="F137" i="6"/>
  <c r="F1079" i="6" s="1"/>
  <c r="H137" i="6"/>
  <c r="I137" i="6"/>
  <c r="N137" i="6"/>
  <c r="R137" i="6"/>
  <c r="Q137" i="6" s="1"/>
  <c r="S137" i="6" s="1"/>
  <c r="T137" i="6"/>
  <c r="C138" i="6"/>
  <c r="D138" i="6"/>
  <c r="E138" i="6"/>
  <c r="F138" i="6"/>
  <c r="H138" i="6"/>
  <c r="I138" i="6"/>
  <c r="L138" i="6" s="1"/>
  <c r="N138" i="6"/>
  <c r="R138" i="6"/>
  <c r="Q138" i="6" s="1"/>
  <c r="S138" i="6" s="1"/>
  <c r="T138" i="6"/>
  <c r="C139" i="6"/>
  <c r="L139" i="6" s="1"/>
  <c r="D139" i="6"/>
  <c r="E139" i="6"/>
  <c r="F139" i="6"/>
  <c r="H139" i="6"/>
  <c r="I139" i="6"/>
  <c r="N139" i="6"/>
  <c r="R139" i="6"/>
  <c r="Q139" i="6" s="1"/>
  <c r="S139" i="6" s="1"/>
  <c r="T139" i="6"/>
  <c r="C140" i="6"/>
  <c r="D140" i="6"/>
  <c r="E140" i="6"/>
  <c r="F140" i="6"/>
  <c r="H140" i="6"/>
  <c r="I140" i="6"/>
  <c r="N140" i="6"/>
  <c r="R140" i="6"/>
  <c r="Q140" i="6" s="1"/>
  <c r="S140" i="6" s="1"/>
  <c r="T140" i="6"/>
  <c r="C141" i="6"/>
  <c r="D141" i="6"/>
  <c r="E141" i="6"/>
  <c r="F141" i="6"/>
  <c r="H141" i="6"/>
  <c r="I141" i="6"/>
  <c r="N141" i="6"/>
  <c r="R141" i="6"/>
  <c r="Q141" i="6" s="1"/>
  <c r="S141" i="6" s="1"/>
  <c r="T141" i="6"/>
  <c r="C142" i="6"/>
  <c r="D142" i="6"/>
  <c r="E142" i="6"/>
  <c r="F142" i="6"/>
  <c r="H142" i="6"/>
  <c r="I142" i="6"/>
  <c r="L142" i="6" s="1"/>
  <c r="N142" i="6"/>
  <c r="R142" i="6"/>
  <c r="Q142" i="6" s="1"/>
  <c r="S142" i="6" s="1"/>
  <c r="T142" i="6"/>
  <c r="C143" i="6"/>
  <c r="D143" i="6"/>
  <c r="E143" i="6"/>
  <c r="F143" i="6"/>
  <c r="H143" i="6"/>
  <c r="I143" i="6"/>
  <c r="N143" i="6"/>
  <c r="Q143" i="6"/>
  <c r="R143" i="6"/>
  <c r="S143" i="6"/>
  <c r="T143" i="6"/>
  <c r="C144" i="6"/>
  <c r="D144" i="6"/>
  <c r="E144" i="6"/>
  <c r="F144" i="6"/>
  <c r="H144" i="6"/>
  <c r="I144" i="6"/>
  <c r="L144" i="6"/>
  <c r="N144" i="6"/>
  <c r="R144" i="6"/>
  <c r="Q144" i="6" s="1"/>
  <c r="S144" i="6" s="1"/>
  <c r="T144" i="6"/>
  <c r="C145" i="6"/>
  <c r="D145" i="6"/>
  <c r="E145" i="6"/>
  <c r="F145" i="6"/>
  <c r="H145" i="6"/>
  <c r="I145" i="6"/>
  <c r="N145" i="6"/>
  <c r="Q145" i="6"/>
  <c r="R145" i="6"/>
  <c r="S145" i="6"/>
  <c r="T145" i="6"/>
  <c r="C146" i="6"/>
  <c r="D146" i="6"/>
  <c r="E146" i="6"/>
  <c r="F146" i="6"/>
  <c r="H146" i="6"/>
  <c r="I146" i="6"/>
  <c r="L146" i="6"/>
  <c r="N146" i="6"/>
  <c r="R146" i="6"/>
  <c r="Q146" i="6" s="1"/>
  <c r="S146" i="6" s="1"/>
  <c r="T146" i="6"/>
  <c r="C147" i="6"/>
  <c r="D147" i="6"/>
  <c r="E147" i="6"/>
  <c r="F147" i="6"/>
  <c r="H147" i="6"/>
  <c r="I147" i="6"/>
  <c r="N147" i="6"/>
  <c r="Q147" i="6"/>
  <c r="R147" i="6"/>
  <c r="S147" i="6"/>
  <c r="T147" i="6"/>
  <c r="C148" i="6"/>
  <c r="D148" i="6"/>
  <c r="E148" i="6"/>
  <c r="F148" i="6"/>
  <c r="H148" i="6"/>
  <c r="I148" i="6"/>
  <c r="L148" i="6"/>
  <c r="N148" i="6"/>
  <c r="R148" i="6"/>
  <c r="Q148" i="6" s="1"/>
  <c r="S148" i="6" s="1"/>
  <c r="T148" i="6"/>
  <c r="C149" i="6"/>
  <c r="D149" i="6"/>
  <c r="E149" i="6"/>
  <c r="F149" i="6"/>
  <c r="H149" i="6"/>
  <c r="I149" i="6"/>
  <c r="N149" i="6"/>
  <c r="Q149" i="6"/>
  <c r="S149" i="6" s="1"/>
  <c r="R149" i="6"/>
  <c r="T149" i="6"/>
  <c r="T1080" i="6" s="1"/>
  <c r="C150" i="6"/>
  <c r="D150" i="6"/>
  <c r="E150" i="6"/>
  <c r="F150" i="6"/>
  <c r="H150" i="6"/>
  <c r="L150" i="6" s="1"/>
  <c r="I150" i="6"/>
  <c r="N150" i="6"/>
  <c r="R150" i="6"/>
  <c r="Q150" i="6" s="1"/>
  <c r="S150" i="6" s="1"/>
  <c r="T150" i="6"/>
  <c r="C151" i="6"/>
  <c r="D151" i="6"/>
  <c r="E151" i="6"/>
  <c r="F151" i="6"/>
  <c r="H151" i="6"/>
  <c r="I151" i="6"/>
  <c r="N151" i="6"/>
  <c r="Q151" i="6"/>
  <c r="R151" i="6"/>
  <c r="S151" i="6"/>
  <c r="T151" i="6"/>
  <c r="C152" i="6"/>
  <c r="D152" i="6"/>
  <c r="E152" i="6"/>
  <c r="F152" i="6"/>
  <c r="H152" i="6"/>
  <c r="I152" i="6"/>
  <c r="L152" i="6"/>
  <c r="N152" i="6"/>
  <c r="R152" i="6"/>
  <c r="Q152" i="6" s="1"/>
  <c r="S152" i="6" s="1"/>
  <c r="T152" i="6"/>
  <c r="C153" i="6"/>
  <c r="D153" i="6"/>
  <c r="E153" i="6"/>
  <c r="F153" i="6"/>
  <c r="H153" i="6"/>
  <c r="I153" i="6"/>
  <c r="N153" i="6"/>
  <c r="R153" i="6"/>
  <c r="Q153" i="6" s="1"/>
  <c r="S153" i="6" s="1"/>
  <c r="T153" i="6"/>
  <c r="C154" i="6"/>
  <c r="D154" i="6"/>
  <c r="E154" i="6"/>
  <c r="F154" i="6"/>
  <c r="H154" i="6"/>
  <c r="I154" i="6"/>
  <c r="L154" i="6" s="1"/>
  <c r="N154" i="6"/>
  <c r="R154" i="6"/>
  <c r="Q154" i="6" s="1"/>
  <c r="S154" i="6" s="1"/>
  <c r="T154" i="6"/>
  <c r="C155" i="6"/>
  <c r="L155" i="6" s="1"/>
  <c r="D155" i="6"/>
  <c r="E155" i="6"/>
  <c r="F155" i="6"/>
  <c r="H155" i="6"/>
  <c r="I155" i="6"/>
  <c r="N155" i="6"/>
  <c r="Q155" i="6"/>
  <c r="R155" i="6"/>
  <c r="T155" i="6"/>
  <c r="C156" i="6"/>
  <c r="D156" i="6"/>
  <c r="E156" i="6"/>
  <c r="F156" i="6"/>
  <c r="H156" i="6"/>
  <c r="I156" i="6"/>
  <c r="I1081" i="6" s="1"/>
  <c r="N156" i="6"/>
  <c r="R156" i="6"/>
  <c r="Q156" i="6" s="1"/>
  <c r="S156" i="6" s="1"/>
  <c r="T156" i="6"/>
  <c r="C157" i="6"/>
  <c r="D157" i="6"/>
  <c r="E157" i="6"/>
  <c r="F157" i="6"/>
  <c r="H157" i="6"/>
  <c r="I157" i="6"/>
  <c r="N157" i="6"/>
  <c r="R157" i="6"/>
  <c r="Q157" i="6" s="1"/>
  <c r="S157" i="6" s="1"/>
  <c r="T157" i="6"/>
  <c r="C158" i="6"/>
  <c r="D158" i="6"/>
  <c r="E158" i="6"/>
  <c r="F158" i="6"/>
  <c r="H158" i="6"/>
  <c r="I158" i="6"/>
  <c r="L158" i="6" s="1"/>
  <c r="N158" i="6"/>
  <c r="R158" i="6"/>
  <c r="Q158" i="6" s="1"/>
  <c r="S158" i="6" s="1"/>
  <c r="T158" i="6"/>
  <c r="C159" i="6"/>
  <c r="D159" i="6"/>
  <c r="E159" i="6"/>
  <c r="F159" i="6"/>
  <c r="H159" i="6"/>
  <c r="I159" i="6"/>
  <c r="N159" i="6"/>
  <c r="Q159" i="6"/>
  <c r="R159" i="6"/>
  <c r="S159" i="6"/>
  <c r="T159" i="6"/>
  <c r="C160" i="6"/>
  <c r="D160" i="6"/>
  <c r="E160" i="6"/>
  <c r="F160" i="6"/>
  <c r="H160" i="6"/>
  <c r="I160" i="6"/>
  <c r="L160" i="6"/>
  <c r="N160" i="6"/>
  <c r="R160" i="6"/>
  <c r="Q160" i="6" s="1"/>
  <c r="S160" i="6" s="1"/>
  <c r="T160" i="6"/>
  <c r="C161" i="6"/>
  <c r="D161" i="6"/>
  <c r="E161" i="6"/>
  <c r="F161" i="6"/>
  <c r="H161" i="6"/>
  <c r="I161" i="6"/>
  <c r="N161" i="6"/>
  <c r="Q161" i="6"/>
  <c r="R161" i="6"/>
  <c r="S161" i="6"/>
  <c r="T161" i="6"/>
  <c r="C162" i="6"/>
  <c r="D162" i="6"/>
  <c r="E162" i="6"/>
  <c r="F162" i="6"/>
  <c r="H162" i="6"/>
  <c r="I162" i="6"/>
  <c r="L162" i="6"/>
  <c r="N162" i="6"/>
  <c r="R162" i="6"/>
  <c r="Q162" i="6" s="1"/>
  <c r="S162" i="6" s="1"/>
  <c r="T162" i="6"/>
  <c r="C163" i="6"/>
  <c r="D163" i="6"/>
  <c r="E163" i="6"/>
  <c r="F163" i="6"/>
  <c r="H163" i="6"/>
  <c r="I163" i="6"/>
  <c r="N163" i="6"/>
  <c r="Q163" i="6"/>
  <c r="R163" i="6"/>
  <c r="S163" i="6"/>
  <c r="T163" i="6"/>
  <c r="C164" i="6"/>
  <c r="D164" i="6"/>
  <c r="E164" i="6"/>
  <c r="F164" i="6"/>
  <c r="H164" i="6"/>
  <c r="I164" i="6"/>
  <c r="L164" i="6"/>
  <c r="N164" i="6"/>
  <c r="R164" i="6"/>
  <c r="Q164" i="6" s="1"/>
  <c r="S164" i="6" s="1"/>
  <c r="T164" i="6"/>
  <c r="C165" i="6"/>
  <c r="D165" i="6"/>
  <c r="E165" i="6"/>
  <c r="F165" i="6"/>
  <c r="H165" i="6"/>
  <c r="I165" i="6"/>
  <c r="N165" i="6"/>
  <c r="Q165" i="6"/>
  <c r="S165" i="6" s="1"/>
  <c r="R165" i="6"/>
  <c r="T165" i="6"/>
  <c r="C166" i="6"/>
  <c r="D166" i="6"/>
  <c r="E166" i="6"/>
  <c r="F166" i="6"/>
  <c r="H166" i="6"/>
  <c r="L166" i="6" s="1"/>
  <c r="I166" i="6"/>
  <c r="N166" i="6"/>
  <c r="R166" i="6"/>
  <c r="Q166" i="6" s="1"/>
  <c r="S166" i="6" s="1"/>
  <c r="T166" i="6"/>
  <c r="C167" i="6"/>
  <c r="D167" i="6"/>
  <c r="E167" i="6"/>
  <c r="F167" i="6"/>
  <c r="H167" i="6"/>
  <c r="I167" i="6"/>
  <c r="N167" i="6"/>
  <c r="R167" i="6"/>
  <c r="Q167" i="6" s="1"/>
  <c r="S167" i="6"/>
  <c r="S1081" i="6" s="1"/>
  <c r="T167" i="6"/>
  <c r="C168" i="6"/>
  <c r="D168" i="6"/>
  <c r="E168" i="6"/>
  <c r="F168" i="6"/>
  <c r="H168" i="6"/>
  <c r="I168" i="6"/>
  <c r="L168" i="6"/>
  <c r="N168" i="6"/>
  <c r="R168" i="6"/>
  <c r="Q168" i="6" s="1"/>
  <c r="S168" i="6" s="1"/>
  <c r="T168" i="6"/>
  <c r="C169" i="6"/>
  <c r="D169" i="6"/>
  <c r="E169" i="6"/>
  <c r="F169" i="6"/>
  <c r="H169" i="6"/>
  <c r="I169" i="6"/>
  <c r="N169" i="6"/>
  <c r="R169" i="6"/>
  <c r="Q169" i="6" s="1"/>
  <c r="S169" i="6" s="1"/>
  <c r="T169" i="6"/>
  <c r="C170" i="6"/>
  <c r="D170" i="6"/>
  <c r="E170" i="6"/>
  <c r="F170" i="6"/>
  <c r="H170" i="6"/>
  <c r="I170" i="6"/>
  <c r="L170" i="6" s="1"/>
  <c r="N170" i="6"/>
  <c r="R170" i="6"/>
  <c r="Q170" i="6" s="1"/>
  <c r="S170" i="6" s="1"/>
  <c r="T170" i="6"/>
  <c r="C171" i="6"/>
  <c r="L171" i="6" s="1"/>
  <c r="D171" i="6"/>
  <c r="E171" i="6"/>
  <c r="F171" i="6"/>
  <c r="H171" i="6"/>
  <c r="I171" i="6"/>
  <c r="N171" i="6"/>
  <c r="R171" i="6"/>
  <c r="Q171" i="6" s="1"/>
  <c r="T171" i="6"/>
  <c r="C172" i="6"/>
  <c r="D172" i="6"/>
  <c r="E172" i="6"/>
  <c r="F172" i="6"/>
  <c r="H172" i="6"/>
  <c r="I172" i="6"/>
  <c r="N172" i="6"/>
  <c r="R172" i="6"/>
  <c r="Q172" i="6" s="1"/>
  <c r="S172" i="6" s="1"/>
  <c r="T172" i="6"/>
  <c r="C173" i="6"/>
  <c r="D173" i="6"/>
  <c r="E173" i="6"/>
  <c r="F173" i="6"/>
  <c r="H173" i="6"/>
  <c r="I173" i="6"/>
  <c r="N173" i="6"/>
  <c r="R173" i="6"/>
  <c r="Q173" i="6" s="1"/>
  <c r="S173" i="6" s="1"/>
  <c r="T173" i="6"/>
  <c r="C174" i="6"/>
  <c r="D174" i="6"/>
  <c r="E174" i="6"/>
  <c r="F174" i="6"/>
  <c r="H174" i="6"/>
  <c r="I174" i="6"/>
  <c r="L174" i="6" s="1"/>
  <c r="N174" i="6"/>
  <c r="R174" i="6"/>
  <c r="Q174" i="6" s="1"/>
  <c r="S174" i="6" s="1"/>
  <c r="T174" i="6"/>
  <c r="C175" i="6"/>
  <c r="D175" i="6"/>
  <c r="E175" i="6"/>
  <c r="F175" i="6"/>
  <c r="H175" i="6"/>
  <c r="I175" i="6"/>
  <c r="N175" i="6"/>
  <c r="Q175" i="6"/>
  <c r="R175" i="6"/>
  <c r="S175" i="6"/>
  <c r="T175" i="6"/>
  <c r="C176" i="6"/>
  <c r="D176" i="6"/>
  <c r="E176" i="6"/>
  <c r="F176" i="6"/>
  <c r="H176" i="6"/>
  <c r="I176" i="6"/>
  <c r="L176" i="6"/>
  <c r="N176" i="6"/>
  <c r="R176" i="6"/>
  <c r="Q176" i="6" s="1"/>
  <c r="S176" i="6" s="1"/>
  <c r="T176" i="6"/>
  <c r="C177" i="6"/>
  <c r="D177" i="6"/>
  <c r="E177" i="6"/>
  <c r="F177" i="6"/>
  <c r="H177" i="6"/>
  <c r="I177" i="6"/>
  <c r="N177" i="6"/>
  <c r="Q177" i="6"/>
  <c r="R177" i="6"/>
  <c r="S177" i="6"/>
  <c r="T177" i="6"/>
  <c r="C178" i="6"/>
  <c r="D178" i="6"/>
  <c r="E178" i="6"/>
  <c r="F178" i="6"/>
  <c r="H178" i="6"/>
  <c r="I178" i="6"/>
  <c r="L178" i="6"/>
  <c r="N178" i="6"/>
  <c r="R178" i="6"/>
  <c r="Q178" i="6" s="1"/>
  <c r="S178" i="6" s="1"/>
  <c r="T178" i="6"/>
  <c r="C179" i="6"/>
  <c r="D179" i="6"/>
  <c r="E179" i="6"/>
  <c r="F179" i="6"/>
  <c r="H179" i="6"/>
  <c r="I179" i="6"/>
  <c r="N179" i="6"/>
  <c r="Q179" i="6"/>
  <c r="R179" i="6"/>
  <c r="S179" i="6"/>
  <c r="T179" i="6"/>
  <c r="C180" i="6"/>
  <c r="D180" i="6"/>
  <c r="E180" i="6"/>
  <c r="F180" i="6"/>
  <c r="H180" i="6"/>
  <c r="I180" i="6"/>
  <c r="L180" i="6"/>
  <c r="N180" i="6"/>
  <c r="R180" i="6"/>
  <c r="Q180" i="6" s="1"/>
  <c r="S180" i="6" s="1"/>
  <c r="T180" i="6"/>
  <c r="C181" i="6"/>
  <c r="D181" i="6"/>
  <c r="E181" i="6"/>
  <c r="F181" i="6"/>
  <c r="H181" i="6"/>
  <c r="I181" i="6"/>
  <c r="N181" i="6"/>
  <c r="Q181" i="6"/>
  <c r="S181" i="6" s="1"/>
  <c r="R181" i="6"/>
  <c r="T181" i="6"/>
  <c r="C182" i="6"/>
  <c r="D182" i="6"/>
  <c r="E182" i="6"/>
  <c r="F182" i="6"/>
  <c r="H182" i="6"/>
  <c r="L182" i="6" s="1"/>
  <c r="I182" i="6"/>
  <c r="N182" i="6"/>
  <c r="R182" i="6"/>
  <c r="Q182" i="6" s="1"/>
  <c r="S182" i="6" s="1"/>
  <c r="T182" i="6"/>
  <c r="C183" i="6"/>
  <c r="D183" i="6"/>
  <c r="E183" i="6"/>
  <c r="F183" i="6"/>
  <c r="H183" i="6"/>
  <c r="I183" i="6"/>
  <c r="N183" i="6"/>
  <c r="Q183" i="6"/>
  <c r="R183" i="6"/>
  <c r="S183" i="6"/>
  <c r="T183" i="6"/>
  <c r="C184" i="6"/>
  <c r="D184" i="6"/>
  <c r="E184" i="6"/>
  <c r="F184" i="6"/>
  <c r="H184" i="6"/>
  <c r="I184" i="6"/>
  <c r="L184" i="6"/>
  <c r="N184" i="6"/>
  <c r="R184" i="6"/>
  <c r="Q184" i="6" s="1"/>
  <c r="S184" i="6" s="1"/>
  <c r="T184" i="6"/>
  <c r="C185" i="6"/>
  <c r="D185" i="6"/>
  <c r="E185" i="6"/>
  <c r="F185" i="6"/>
  <c r="H185" i="6"/>
  <c r="I185" i="6"/>
  <c r="N185" i="6"/>
  <c r="R185" i="6"/>
  <c r="Q185" i="6" s="1"/>
  <c r="S185" i="6" s="1"/>
  <c r="T185" i="6"/>
  <c r="C186" i="6"/>
  <c r="D186" i="6"/>
  <c r="E186" i="6"/>
  <c r="F186" i="6"/>
  <c r="H186" i="6"/>
  <c r="I186" i="6"/>
  <c r="L186" i="6" s="1"/>
  <c r="N186" i="6"/>
  <c r="R186" i="6"/>
  <c r="Q186" i="6" s="1"/>
  <c r="S186" i="6" s="1"/>
  <c r="T186" i="6"/>
  <c r="C187" i="6"/>
  <c r="L187" i="6" s="1"/>
  <c r="D187" i="6"/>
  <c r="E187" i="6"/>
  <c r="F187" i="6"/>
  <c r="H187" i="6"/>
  <c r="I187" i="6"/>
  <c r="N187" i="6"/>
  <c r="Q187" i="6"/>
  <c r="S187" i="6" s="1"/>
  <c r="R187" i="6"/>
  <c r="T187" i="6"/>
  <c r="C188" i="6"/>
  <c r="D188" i="6"/>
  <c r="E188" i="6"/>
  <c r="F188" i="6"/>
  <c r="H188" i="6"/>
  <c r="I188" i="6"/>
  <c r="N188" i="6"/>
  <c r="R188" i="6"/>
  <c r="Q188" i="6" s="1"/>
  <c r="S188" i="6" s="1"/>
  <c r="T188" i="6"/>
  <c r="C189" i="6"/>
  <c r="D189" i="6"/>
  <c r="E189" i="6"/>
  <c r="F189" i="6"/>
  <c r="H189" i="6"/>
  <c r="I189" i="6"/>
  <c r="N189" i="6"/>
  <c r="R189" i="6"/>
  <c r="Q189" i="6" s="1"/>
  <c r="S189" i="6" s="1"/>
  <c r="T189" i="6"/>
  <c r="C190" i="6"/>
  <c r="D190" i="6"/>
  <c r="E190" i="6"/>
  <c r="F190" i="6"/>
  <c r="H190" i="6"/>
  <c r="I190" i="6"/>
  <c r="L190" i="6" s="1"/>
  <c r="N190" i="6"/>
  <c r="R190" i="6"/>
  <c r="Q190" i="6" s="1"/>
  <c r="S190" i="6" s="1"/>
  <c r="T190" i="6"/>
  <c r="C191" i="6"/>
  <c r="D191" i="6"/>
  <c r="E191" i="6"/>
  <c r="F191" i="6"/>
  <c r="H191" i="6"/>
  <c r="I191" i="6"/>
  <c r="N191" i="6"/>
  <c r="Q191" i="6"/>
  <c r="R191" i="6"/>
  <c r="S191" i="6"/>
  <c r="T191" i="6"/>
  <c r="C192" i="6"/>
  <c r="D192" i="6"/>
  <c r="E192" i="6"/>
  <c r="F192" i="6"/>
  <c r="H192" i="6"/>
  <c r="I192" i="6"/>
  <c r="L192" i="6"/>
  <c r="N192" i="6"/>
  <c r="R192" i="6"/>
  <c r="Q192" i="6" s="1"/>
  <c r="S192" i="6" s="1"/>
  <c r="T192" i="6"/>
  <c r="C193" i="6"/>
  <c r="D193" i="6"/>
  <c r="E193" i="6"/>
  <c r="F193" i="6"/>
  <c r="H193" i="6"/>
  <c r="I193" i="6"/>
  <c r="N193" i="6"/>
  <c r="Q193" i="6"/>
  <c r="R193" i="6"/>
  <c r="S193" i="6"/>
  <c r="T193" i="6"/>
  <c r="C194" i="6"/>
  <c r="D194" i="6"/>
  <c r="E194" i="6"/>
  <c r="F194" i="6"/>
  <c r="H194" i="6"/>
  <c r="I194" i="6"/>
  <c r="L194" i="6"/>
  <c r="N194" i="6"/>
  <c r="R194" i="6"/>
  <c r="Q194" i="6" s="1"/>
  <c r="S194" i="6" s="1"/>
  <c r="T194" i="6"/>
  <c r="C195" i="6"/>
  <c r="D195" i="6"/>
  <c r="E195" i="6"/>
  <c r="F195" i="6"/>
  <c r="H195" i="6"/>
  <c r="I195" i="6"/>
  <c r="N195" i="6"/>
  <c r="Q195" i="6"/>
  <c r="S195" i="6" s="1"/>
  <c r="R195" i="6"/>
  <c r="T195" i="6"/>
  <c r="C196" i="6"/>
  <c r="D196" i="6"/>
  <c r="E196" i="6"/>
  <c r="F196" i="6"/>
  <c r="H196" i="6"/>
  <c r="I196" i="6"/>
  <c r="N196" i="6"/>
  <c r="R196" i="6"/>
  <c r="Q196" i="6" s="1"/>
  <c r="S196" i="6" s="1"/>
  <c r="T196" i="6"/>
  <c r="C197" i="6"/>
  <c r="D197" i="6"/>
  <c r="E197" i="6"/>
  <c r="F197" i="6"/>
  <c r="H197" i="6"/>
  <c r="I197" i="6"/>
  <c r="N197" i="6"/>
  <c r="Q197" i="6"/>
  <c r="S197" i="6" s="1"/>
  <c r="R197" i="6"/>
  <c r="T197" i="6"/>
  <c r="C198" i="6"/>
  <c r="D198" i="6"/>
  <c r="E198" i="6"/>
  <c r="F198" i="6"/>
  <c r="H198" i="6"/>
  <c r="L198" i="6" s="1"/>
  <c r="I198" i="6"/>
  <c r="N198" i="6"/>
  <c r="R198" i="6"/>
  <c r="Q198" i="6" s="1"/>
  <c r="S198" i="6" s="1"/>
  <c r="T198" i="6"/>
  <c r="C199" i="6"/>
  <c r="D199" i="6"/>
  <c r="E199" i="6"/>
  <c r="F199" i="6"/>
  <c r="H199" i="6"/>
  <c r="I199" i="6"/>
  <c r="N199" i="6"/>
  <c r="R199" i="6"/>
  <c r="Q199" i="6" s="1"/>
  <c r="S199" i="6" s="1"/>
  <c r="T199" i="6"/>
  <c r="C200" i="6"/>
  <c r="D200" i="6"/>
  <c r="E200" i="6"/>
  <c r="F200" i="6"/>
  <c r="H200" i="6"/>
  <c r="I200" i="6"/>
  <c r="N200" i="6"/>
  <c r="R200" i="6"/>
  <c r="Q200" i="6" s="1"/>
  <c r="S200" i="6" s="1"/>
  <c r="T200" i="6"/>
  <c r="C201" i="6"/>
  <c r="D201" i="6"/>
  <c r="E201" i="6"/>
  <c r="F201" i="6"/>
  <c r="H201" i="6"/>
  <c r="I201" i="6"/>
  <c r="N201" i="6"/>
  <c r="R201" i="6"/>
  <c r="Q201" i="6" s="1"/>
  <c r="S201" i="6" s="1"/>
  <c r="T201" i="6"/>
  <c r="C202" i="6"/>
  <c r="D202" i="6"/>
  <c r="E202" i="6"/>
  <c r="L202" i="6" s="1"/>
  <c r="F202" i="6"/>
  <c r="H202" i="6"/>
  <c r="I202" i="6"/>
  <c r="N202" i="6"/>
  <c r="R202" i="6"/>
  <c r="Q202" i="6" s="1"/>
  <c r="S202" i="6"/>
  <c r="T202" i="6"/>
  <c r="C203" i="6"/>
  <c r="D203" i="6"/>
  <c r="E203" i="6"/>
  <c r="F203" i="6"/>
  <c r="H203" i="6"/>
  <c r="I203" i="6"/>
  <c r="L203" i="6"/>
  <c r="N203" i="6"/>
  <c r="Q203" i="6"/>
  <c r="R203" i="6"/>
  <c r="S203" i="6"/>
  <c r="T203" i="6"/>
  <c r="C204" i="6"/>
  <c r="D204" i="6"/>
  <c r="E204" i="6"/>
  <c r="L204" i="6" s="1"/>
  <c r="F204" i="6"/>
  <c r="H204" i="6"/>
  <c r="I204" i="6"/>
  <c r="N204" i="6"/>
  <c r="R204" i="6"/>
  <c r="Q204" i="6" s="1"/>
  <c r="S204" i="6" s="1"/>
  <c r="T204" i="6"/>
  <c r="C205" i="6"/>
  <c r="L205" i="6" s="1"/>
  <c r="D205" i="6"/>
  <c r="E205" i="6"/>
  <c r="F205" i="6"/>
  <c r="H205" i="6"/>
  <c r="I205" i="6"/>
  <c r="N205" i="6"/>
  <c r="Q205" i="6"/>
  <c r="S205" i="6" s="1"/>
  <c r="R205" i="6"/>
  <c r="T205" i="6"/>
  <c r="C206" i="6"/>
  <c r="D206" i="6"/>
  <c r="E206" i="6"/>
  <c r="F206" i="6"/>
  <c r="H206" i="6"/>
  <c r="I206" i="6"/>
  <c r="N206" i="6"/>
  <c r="R206" i="6"/>
  <c r="Q206" i="6" s="1"/>
  <c r="S206" i="6"/>
  <c r="T206" i="6"/>
  <c r="C207" i="6"/>
  <c r="L207" i="6" s="1"/>
  <c r="D207" i="6"/>
  <c r="E207" i="6"/>
  <c r="F207" i="6"/>
  <c r="H207" i="6"/>
  <c r="I207" i="6"/>
  <c r="N207" i="6"/>
  <c r="Q207" i="6"/>
  <c r="S207" i="6" s="1"/>
  <c r="R207" i="6"/>
  <c r="T207" i="6"/>
  <c r="C208" i="6"/>
  <c r="D208" i="6"/>
  <c r="E208" i="6"/>
  <c r="L208" i="6" s="1"/>
  <c r="F208" i="6"/>
  <c r="H208" i="6"/>
  <c r="I208" i="6"/>
  <c r="N208" i="6"/>
  <c r="R208" i="6"/>
  <c r="Q208" i="6" s="1"/>
  <c r="S208" i="6" s="1"/>
  <c r="T208" i="6"/>
  <c r="C209" i="6"/>
  <c r="D209" i="6"/>
  <c r="E209" i="6"/>
  <c r="F209" i="6"/>
  <c r="H209" i="6"/>
  <c r="I209" i="6"/>
  <c r="N209" i="6"/>
  <c r="R209" i="6"/>
  <c r="Q209" i="6" s="1"/>
  <c r="S209" i="6" s="1"/>
  <c r="S1085" i="6" s="1"/>
  <c r="T209" i="6"/>
  <c r="C210" i="6"/>
  <c r="D210" i="6"/>
  <c r="E210" i="6"/>
  <c r="F210" i="6"/>
  <c r="H210" i="6"/>
  <c r="I210" i="6"/>
  <c r="L210" i="6" s="1"/>
  <c r="N210" i="6"/>
  <c r="R210" i="6"/>
  <c r="Q210" i="6" s="1"/>
  <c r="S210" i="6"/>
  <c r="T210" i="6"/>
  <c r="C211" i="6"/>
  <c r="D211" i="6"/>
  <c r="E211" i="6"/>
  <c r="F211" i="6"/>
  <c r="H211" i="6"/>
  <c r="I211" i="6"/>
  <c r="N211" i="6"/>
  <c r="Q211" i="6"/>
  <c r="R211" i="6"/>
  <c r="S211" i="6"/>
  <c r="T211" i="6"/>
  <c r="C212" i="6"/>
  <c r="D212" i="6"/>
  <c r="E212" i="6"/>
  <c r="F212" i="6"/>
  <c r="H212" i="6"/>
  <c r="I212" i="6"/>
  <c r="L212" i="6"/>
  <c r="N212" i="6"/>
  <c r="R212" i="6"/>
  <c r="Q212" i="6" s="1"/>
  <c r="S212" i="6" s="1"/>
  <c r="T212" i="6"/>
  <c r="C213" i="6"/>
  <c r="D213" i="6"/>
  <c r="E213" i="6"/>
  <c r="F213" i="6"/>
  <c r="H213" i="6"/>
  <c r="I213" i="6"/>
  <c r="N213" i="6"/>
  <c r="R213" i="6"/>
  <c r="Q213" i="6" s="1"/>
  <c r="S213" i="6"/>
  <c r="T213" i="6"/>
  <c r="C214" i="6"/>
  <c r="D214" i="6"/>
  <c r="E214" i="6"/>
  <c r="F214" i="6"/>
  <c r="H214" i="6"/>
  <c r="I214" i="6"/>
  <c r="L214" i="6"/>
  <c r="N214" i="6"/>
  <c r="R214" i="6"/>
  <c r="Q214" i="6" s="1"/>
  <c r="S214" i="6" s="1"/>
  <c r="T214" i="6"/>
  <c r="C215" i="6"/>
  <c r="D215" i="6"/>
  <c r="E215" i="6"/>
  <c r="F215" i="6"/>
  <c r="H215" i="6"/>
  <c r="I215" i="6"/>
  <c r="N215" i="6"/>
  <c r="Q215" i="6"/>
  <c r="S215" i="6" s="1"/>
  <c r="R215" i="6"/>
  <c r="T215" i="6"/>
  <c r="C216" i="6"/>
  <c r="D216" i="6"/>
  <c r="L216" i="6" s="1"/>
  <c r="E216" i="6"/>
  <c r="F216" i="6"/>
  <c r="H216" i="6"/>
  <c r="I216" i="6"/>
  <c r="N216" i="6"/>
  <c r="R216" i="6"/>
  <c r="Q216" i="6" s="1"/>
  <c r="S216" i="6"/>
  <c r="T216" i="6"/>
  <c r="C217" i="6"/>
  <c r="D217" i="6"/>
  <c r="E217" i="6"/>
  <c r="F217" i="6"/>
  <c r="H217" i="6"/>
  <c r="I217" i="6"/>
  <c r="L217" i="6"/>
  <c r="N217" i="6"/>
  <c r="R217" i="6"/>
  <c r="Q217" i="6" s="1"/>
  <c r="S217" i="6" s="1"/>
  <c r="T217" i="6"/>
  <c r="C218" i="6"/>
  <c r="D218" i="6"/>
  <c r="E218" i="6"/>
  <c r="F218" i="6"/>
  <c r="H218" i="6"/>
  <c r="I218" i="6"/>
  <c r="N218" i="6"/>
  <c r="R218" i="6"/>
  <c r="Q218" i="6" s="1"/>
  <c r="S218" i="6" s="1"/>
  <c r="T218" i="6"/>
  <c r="C219" i="6"/>
  <c r="L219" i="6" s="1"/>
  <c r="D219" i="6"/>
  <c r="E219" i="6"/>
  <c r="F219" i="6"/>
  <c r="H219" i="6"/>
  <c r="I219" i="6"/>
  <c r="N219" i="6"/>
  <c r="Q219" i="6"/>
  <c r="R219" i="6"/>
  <c r="S219" i="6"/>
  <c r="S1086" i="6" s="1"/>
  <c r="T219" i="6"/>
  <c r="C220" i="6"/>
  <c r="D220" i="6"/>
  <c r="E220" i="6"/>
  <c r="F220" i="6"/>
  <c r="H220" i="6"/>
  <c r="I220" i="6"/>
  <c r="L220" i="6"/>
  <c r="N220" i="6"/>
  <c r="R220" i="6"/>
  <c r="Q220" i="6" s="1"/>
  <c r="S220" i="6"/>
  <c r="T220" i="6"/>
  <c r="C221" i="6"/>
  <c r="D221" i="6"/>
  <c r="E221" i="6"/>
  <c r="F221" i="6"/>
  <c r="L221" i="6" s="1"/>
  <c r="H221" i="6"/>
  <c r="I221" i="6"/>
  <c r="N221" i="6"/>
  <c r="R221" i="6"/>
  <c r="Q221" i="6" s="1"/>
  <c r="S221" i="6" s="1"/>
  <c r="T221" i="6"/>
  <c r="C222" i="6"/>
  <c r="D222" i="6"/>
  <c r="L222" i="6" s="1"/>
  <c r="E222" i="6"/>
  <c r="F222" i="6"/>
  <c r="H222" i="6"/>
  <c r="I222" i="6"/>
  <c r="N222" i="6"/>
  <c r="R222" i="6"/>
  <c r="Q222" i="6" s="1"/>
  <c r="S222" i="6"/>
  <c r="T222" i="6"/>
  <c r="C223" i="6"/>
  <c r="D223" i="6"/>
  <c r="E223" i="6"/>
  <c r="F223" i="6"/>
  <c r="H223" i="6"/>
  <c r="I223" i="6"/>
  <c r="L223" i="6"/>
  <c r="N223" i="6"/>
  <c r="R223" i="6"/>
  <c r="Q223" i="6" s="1"/>
  <c r="S223" i="6" s="1"/>
  <c r="T223" i="6"/>
  <c r="C224" i="6"/>
  <c r="D224" i="6"/>
  <c r="E224" i="6"/>
  <c r="F224" i="6"/>
  <c r="H224" i="6"/>
  <c r="I224" i="6"/>
  <c r="N224" i="6"/>
  <c r="R224" i="6"/>
  <c r="Q224" i="6" s="1"/>
  <c r="S224" i="6" s="1"/>
  <c r="T224" i="6"/>
  <c r="C225" i="6"/>
  <c r="D225" i="6"/>
  <c r="E225" i="6"/>
  <c r="F225" i="6"/>
  <c r="H225" i="6"/>
  <c r="I225" i="6"/>
  <c r="N225" i="6"/>
  <c r="R225" i="6"/>
  <c r="Q225" i="6" s="1"/>
  <c r="S225" i="6" s="1"/>
  <c r="T225" i="6"/>
  <c r="C226" i="6"/>
  <c r="D226" i="6"/>
  <c r="E226" i="6"/>
  <c r="F226" i="6"/>
  <c r="H226" i="6"/>
  <c r="I226" i="6"/>
  <c r="L226" i="6" s="1"/>
  <c r="N226" i="6"/>
  <c r="R226" i="6"/>
  <c r="Q226" i="6" s="1"/>
  <c r="S226" i="6"/>
  <c r="T226" i="6"/>
  <c r="C227" i="6"/>
  <c r="L227" i="6" s="1"/>
  <c r="D227" i="6"/>
  <c r="E227" i="6"/>
  <c r="F227" i="6"/>
  <c r="H227" i="6"/>
  <c r="I227" i="6"/>
  <c r="N227" i="6"/>
  <c r="Q227" i="6"/>
  <c r="R227" i="6"/>
  <c r="S227" i="6"/>
  <c r="T227" i="6"/>
  <c r="C228" i="6"/>
  <c r="D228" i="6"/>
  <c r="E228" i="6"/>
  <c r="F228" i="6"/>
  <c r="H228" i="6"/>
  <c r="I228" i="6"/>
  <c r="L228" i="6"/>
  <c r="N228" i="6"/>
  <c r="R228" i="6"/>
  <c r="Q228" i="6" s="1"/>
  <c r="S228" i="6" s="1"/>
  <c r="T228" i="6"/>
  <c r="C229" i="6"/>
  <c r="D229" i="6"/>
  <c r="E229" i="6"/>
  <c r="F229" i="6"/>
  <c r="H229" i="6"/>
  <c r="I229" i="6"/>
  <c r="N229" i="6"/>
  <c r="R229" i="6"/>
  <c r="Q229" i="6" s="1"/>
  <c r="S229" i="6" s="1"/>
  <c r="T229" i="6"/>
  <c r="C230" i="6"/>
  <c r="D230" i="6"/>
  <c r="E230" i="6"/>
  <c r="F230" i="6"/>
  <c r="H230" i="6"/>
  <c r="I230" i="6"/>
  <c r="L230" i="6" s="1"/>
  <c r="N230" i="6"/>
  <c r="R230" i="6"/>
  <c r="Q230" i="6" s="1"/>
  <c r="S230" i="6" s="1"/>
  <c r="T230" i="6"/>
  <c r="C231" i="6"/>
  <c r="D231" i="6"/>
  <c r="E231" i="6"/>
  <c r="F231" i="6"/>
  <c r="H231" i="6"/>
  <c r="I231" i="6"/>
  <c r="N231" i="6"/>
  <c r="Q231" i="6"/>
  <c r="R231" i="6"/>
  <c r="S231" i="6"/>
  <c r="T231" i="6"/>
  <c r="C232" i="6"/>
  <c r="D232" i="6"/>
  <c r="E232" i="6"/>
  <c r="F232" i="6"/>
  <c r="H232" i="6"/>
  <c r="I232" i="6"/>
  <c r="L232" i="6"/>
  <c r="N232" i="6"/>
  <c r="R232" i="6"/>
  <c r="Q232" i="6" s="1"/>
  <c r="S232" i="6"/>
  <c r="T232" i="6"/>
  <c r="C233" i="6"/>
  <c r="D233" i="6"/>
  <c r="E233" i="6"/>
  <c r="F233" i="6"/>
  <c r="H233" i="6"/>
  <c r="I233" i="6"/>
  <c r="N233" i="6"/>
  <c r="R233" i="6"/>
  <c r="Q233" i="6" s="1"/>
  <c r="S233" i="6" s="1"/>
  <c r="T233" i="6"/>
  <c r="T1087" i="6" s="1"/>
  <c r="C234" i="6"/>
  <c r="D234" i="6"/>
  <c r="L234" i="6" s="1"/>
  <c r="E234" i="6"/>
  <c r="F234" i="6"/>
  <c r="H234" i="6"/>
  <c r="I234" i="6"/>
  <c r="N234" i="6"/>
  <c r="R234" i="6"/>
  <c r="T234" i="6"/>
  <c r="C235" i="6"/>
  <c r="D235" i="6"/>
  <c r="E235" i="6"/>
  <c r="F235" i="6"/>
  <c r="H235" i="6"/>
  <c r="I235" i="6"/>
  <c r="L235" i="6" s="1"/>
  <c r="N235" i="6"/>
  <c r="Q235" i="6"/>
  <c r="R235" i="6"/>
  <c r="S235" i="6"/>
  <c r="T235" i="6"/>
  <c r="C236" i="6"/>
  <c r="D236" i="6"/>
  <c r="E236" i="6"/>
  <c r="F236" i="6"/>
  <c r="H236" i="6"/>
  <c r="I236" i="6"/>
  <c r="N236" i="6"/>
  <c r="R236" i="6"/>
  <c r="Q236" i="6" s="1"/>
  <c r="S236" i="6"/>
  <c r="T236" i="6"/>
  <c r="C237" i="6"/>
  <c r="L237" i="6" s="1"/>
  <c r="D237" i="6"/>
  <c r="E237" i="6"/>
  <c r="F237" i="6"/>
  <c r="H237" i="6"/>
  <c r="I237" i="6"/>
  <c r="N237" i="6"/>
  <c r="Q237" i="6"/>
  <c r="S237" i="6" s="1"/>
  <c r="R237" i="6"/>
  <c r="T237" i="6"/>
  <c r="C238" i="6"/>
  <c r="D238" i="6"/>
  <c r="E238" i="6"/>
  <c r="F238" i="6"/>
  <c r="H238" i="6"/>
  <c r="I238" i="6"/>
  <c r="I1087" i="6" s="1"/>
  <c r="N238" i="6"/>
  <c r="R238" i="6"/>
  <c r="Q238" i="6" s="1"/>
  <c r="S238" i="6"/>
  <c r="T238" i="6"/>
  <c r="C239" i="6"/>
  <c r="D239" i="6"/>
  <c r="E239" i="6"/>
  <c r="F239" i="6"/>
  <c r="H239" i="6"/>
  <c r="I239" i="6"/>
  <c r="N239" i="6"/>
  <c r="Q239" i="6"/>
  <c r="S239" i="6" s="1"/>
  <c r="R239" i="6"/>
  <c r="T239" i="6"/>
  <c r="C240" i="6"/>
  <c r="L240" i="6" s="1"/>
  <c r="D240" i="6"/>
  <c r="E240" i="6"/>
  <c r="F240" i="6"/>
  <c r="H240" i="6"/>
  <c r="I240" i="6"/>
  <c r="N240" i="6"/>
  <c r="R240" i="6"/>
  <c r="Q240" i="6" s="1"/>
  <c r="S240" i="6"/>
  <c r="T240" i="6"/>
  <c r="C241" i="6"/>
  <c r="D241" i="6"/>
  <c r="E241" i="6"/>
  <c r="F241" i="6"/>
  <c r="H241" i="6"/>
  <c r="I241" i="6"/>
  <c r="L241" i="6"/>
  <c r="N241" i="6"/>
  <c r="R241" i="6"/>
  <c r="Q241" i="6" s="1"/>
  <c r="S241" i="6" s="1"/>
  <c r="T241" i="6"/>
  <c r="C242" i="6"/>
  <c r="D242" i="6"/>
  <c r="L242" i="6" s="1"/>
  <c r="E242" i="6"/>
  <c r="F242" i="6"/>
  <c r="H242" i="6"/>
  <c r="I242" i="6"/>
  <c r="N242" i="6"/>
  <c r="R242" i="6"/>
  <c r="Q242" i="6" s="1"/>
  <c r="S242" i="6"/>
  <c r="T242" i="6"/>
  <c r="C243" i="6"/>
  <c r="D243" i="6"/>
  <c r="E243" i="6"/>
  <c r="F243" i="6"/>
  <c r="H243" i="6"/>
  <c r="I243" i="6"/>
  <c r="L243" i="6"/>
  <c r="N243" i="6"/>
  <c r="R243" i="6"/>
  <c r="Q243" i="6" s="1"/>
  <c r="S243" i="6" s="1"/>
  <c r="T243" i="6"/>
  <c r="C244" i="6"/>
  <c r="D244" i="6"/>
  <c r="E244" i="6"/>
  <c r="F244" i="6"/>
  <c r="H244" i="6"/>
  <c r="I244" i="6"/>
  <c r="N244" i="6"/>
  <c r="R244" i="6"/>
  <c r="Q244" i="6" s="1"/>
  <c r="S244" i="6" s="1"/>
  <c r="T244" i="6"/>
  <c r="C245" i="6"/>
  <c r="D245" i="6"/>
  <c r="L245" i="6" s="1"/>
  <c r="E245" i="6"/>
  <c r="F245" i="6"/>
  <c r="H245" i="6"/>
  <c r="I245" i="6"/>
  <c r="N245" i="6"/>
  <c r="R245" i="6"/>
  <c r="Q245" i="6" s="1"/>
  <c r="S245" i="6" s="1"/>
  <c r="T245" i="6"/>
  <c r="C246" i="6"/>
  <c r="D246" i="6"/>
  <c r="L246" i="6" s="1"/>
  <c r="E246" i="6"/>
  <c r="F246" i="6"/>
  <c r="H246" i="6"/>
  <c r="I246" i="6"/>
  <c r="N246" i="6"/>
  <c r="R246" i="6"/>
  <c r="Q246" i="6" s="1"/>
  <c r="S246" i="6"/>
  <c r="T246" i="6"/>
  <c r="C247" i="6"/>
  <c r="D247" i="6"/>
  <c r="E247" i="6"/>
  <c r="F247" i="6"/>
  <c r="H247" i="6"/>
  <c r="I247" i="6"/>
  <c r="L247" i="6"/>
  <c r="N247" i="6"/>
  <c r="Q247" i="6"/>
  <c r="S247" i="6" s="1"/>
  <c r="R247" i="6"/>
  <c r="T247" i="6"/>
  <c r="C248" i="6"/>
  <c r="D248" i="6"/>
  <c r="L248" i="6" s="1"/>
  <c r="E248" i="6"/>
  <c r="F248" i="6"/>
  <c r="H248" i="6"/>
  <c r="I248" i="6"/>
  <c r="N248" i="6"/>
  <c r="R248" i="6"/>
  <c r="Q248" i="6" s="1"/>
  <c r="S248" i="6"/>
  <c r="T248" i="6"/>
  <c r="C249" i="6"/>
  <c r="D249" i="6"/>
  <c r="L249" i="6" s="1"/>
  <c r="E249" i="6"/>
  <c r="F249" i="6"/>
  <c r="H249" i="6"/>
  <c r="I249" i="6"/>
  <c r="N249" i="6"/>
  <c r="R249" i="6"/>
  <c r="Q249" i="6" s="1"/>
  <c r="T249" i="6"/>
  <c r="T1088" i="6" s="1"/>
  <c r="C250" i="6"/>
  <c r="D250" i="6"/>
  <c r="E250" i="6"/>
  <c r="F250" i="6"/>
  <c r="H250" i="6"/>
  <c r="I250" i="6"/>
  <c r="N250" i="6"/>
  <c r="N1088" i="6" s="1"/>
  <c r="R250" i="6"/>
  <c r="T250" i="6"/>
  <c r="C251" i="6"/>
  <c r="D251" i="6"/>
  <c r="E251" i="6"/>
  <c r="F251" i="6"/>
  <c r="H251" i="6"/>
  <c r="I251" i="6"/>
  <c r="I1088" i="6" s="1"/>
  <c r="N251" i="6"/>
  <c r="R251" i="6"/>
  <c r="Q251" i="6" s="1"/>
  <c r="S251" i="6" s="1"/>
  <c r="T251" i="6"/>
  <c r="C252" i="6"/>
  <c r="D252" i="6"/>
  <c r="L252" i="6" s="1"/>
  <c r="E252" i="6"/>
  <c r="F252" i="6"/>
  <c r="H252" i="6"/>
  <c r="I252" i="6"/>
  <c r="N252" i="6"/>
  <c r="R252" i="6"/>
  <c r="Q252" i="6" s="1"/>
  <c r="S252" i="6"/>
  <c r="T252" i="6"/>
  <c r="C253" i="6"/>
  <c r="L253" i="6" s="1"/>
  <c r="D253" i="6"/>
  <c r="E253" i="6"/>
  <c r="F253" i="6"/>
  <c r="H253" i="6"/>
  <c r="I253" i="6"/>
  <c r="N253" i="6"/>
  <c r="Q253" i="6"/>
  <c r="S253" i="6" s="1"/>
  <c r="R253" i="6"/>
  <c r="T253" i="6"/>
  <c r="C254" i="6"/>
  <c r="D254" i="6"/>
  <c r="E254" i="6"/>
  <c r="F254" i="6"/>
  <c r="H254" i="6"/>
  <c r="I254" i="6"/>
  <c r="N254" i="6"/>
  <c r="R254" i="6"/>
  <c r="Q254" i="6" s="1"/>
  <c r="S254" i="6"/>
  <c r="T254" i="6"/>
  <c r="C255" i="6"/>
  <c r="D255" i="6"/>
  <c r="E255" i="6"/>
  <c r="F255" i="6"/>
  <c r="H255" i="6"/>
  <c r="I255" i="6"/>
  <c r="N255" i="6"/>
  <c r="Q255" i="6"/>
  <c r="S255" i="6" s="1"/>
  <c r="R255" i="6"/>
  <c r="T255" i="6"/>
  <c r="C256" i="6"/>
  <c r="D256" i="6"/>
  <c r="E256" i="6"/>
  <c r="F256" i="6"/>
  <c r="H256" i="6"/>
  <c r="I256" i="6"/>
  <c r="N256" i="6"/>
  <c r="R256" i="6"/>
  <c r="Q256" i="6" s="1"/>
  <c r="S256" i="6"/>
  <c r="T256" i="6"/>
  <c r="C257" i="6"/>
  <c r="D257" i="6"/>
  <c r="E257" i="6"/>
  <c r="F257" i="6"/>
  <c r="H257" i="6"/>
  <c r="I257" i="6"/>
  <c r="L257" i="6"/>
  <c r="N257" i="6"/>
  <c r="R257" i="6"/>
  <c r="Q257" i="6" s="1"/>
  <c r="S257" i="6" s="1"/>
  <c r="T257" i="6"/>
  <c r="C258" i="6"/>
  <c r="D258" i="6"/>
  <c r="L258" i="6" s="1"/>
  <c r="E258" i="6"/>
  <c r="F258" i="6"/>
  <c r="H258" i="6"/>
  <c r="I258" i="6"/>
  <c r="N258" i="6"/>
  <c r="R258" i="6"/>
  <c r="Q258" i="6" s="1"/>
  <c r="S258" i="6"/>
  <c r="S1089" i="6" s="1"/>
  <c r="T258" i="6"/>
  <c r="C259" i="6"/>
  <c r="D259" i="6"/>
  <c r="E259" i="6"/>
  <c r="F259" i="6"/>
  <c r="H259" i="6"/>
  <c r="I259" i="6"/>
  <c r="L259" i="6"/>
  <c r="N259" i="6"/>
  <c r="R259" i="6"/>
  <c r="Q259" i="6" s="1"/>
  <c r="S259" i="6" s="1"/>
  <c r="T259" i="6"/>
  <c r="C260" i="6"/>
  <c r="D260" i="6"/>
  <c r="E260" i="6"/>
  <c r="F260" i="6"/>
  <c r="H260" i="6"/>
  <c r="I260" i="6"/>
  <c r="N260" i="6"/>
  <c r="R260" i="6"/>
  <c r="Q260" i="6" s="1"/>
  <c r="S260" i="6" s="1"/>
  <c r="T260" i="6"/>
  <c r="C261" i="6"/>
  <c r="D261" i="6"/>
  <c r="E261" i="6"/>
  <c r="F261" i="6"/>
  <c r="H261" i="6"/>
  <c r="I261" i="6"/>
  <c r="N261" i="6"/>
  <c r="Q261" i="6"/>
  <c r="S261" i="6" s="1"/>
  <c r="R261" i="6"/>
  <c r="T261" i="6"/>
  <c r="C262" i="6"/>
  <c r="D262" i="6"/>
  <c r="E262" i="6"/>
  <c r="F262" i="6"/>
  <c r="H262" i="6"/>
  <c r="I262" i="6"/>
  <c r="N262" i="6"/>
  <c r="R262" i="6"/>
  <c r="Q262" i="6" s="1"/>
  <c r="S262" i="6"/>
  <c r="T262" i="6"/>
  <c r="C263" i="6"/>
  <c r="D263" i="6"/>
  <c r="E263" i="6"/>
  <c r="F263" i="6"/>
  <c r="L263" i="6" s="1"/>
  <c r="H263" i="6"/>
  <c r="I263" i="6"/>
  <c r="N263" i="6"/>
  <c r="Q263" i="6"/>
  <c r="S263" i="6" s="1"/>
  <c r="R263" i="6"/>
  <c r="T263" i="6"/>
  <c r="C264" i="6"/>
  <c r="D264" i="6"/>
  <c r="E264" i="6"/>
  <c r="F264" i="6"/>
  <c r="H264" i="6"/>
  <c r="I264" i="6"/>
  <c r="N264" i="6"/>
  <c r="R264" i="6"/>
  <c r="Q264" i="6" s="1"/>
  <c r="S264" i="6"/>
  <c r="T264" i="6"/>
  <c r="C265" i="6"/>
  <c r="D265" i="6"/>
  <c r="E265" i="6"/>
  <c r="F265" i="6"/>
  <c r="H265" i="6"/>
  <c r="I265" i="6"/>
  <c r="L265" i="6"/>
  <c r="N265" i="6"/>
  <c r="R265" i="6"/>
  <c r="Q265" i="6" s="1"/>
  <c r="S265" i="6" s="1"/>
  <c r="T265" i="6"/>
  <c r="C266" i="6"/>
  <c r="D266" i="6"/>
  <c r="E266" i="6"/>
  <c r="F266" i="6"/>
  <c r="H266" i="6"/>
  <c r="I266" i="6"/>
  <c r="N266" i="6"/>
  <c r="R266" i="6"/>
  <c r="Q266" i="6" s="1"/>
  <c r="S266" i="6" s="1"/>
  <c r="T266" i="6"/>
  <c r="C267" i="6"/>
  <c r="D267" i="6"/>
  <c r="D1090" i="6" s="1"/>
  <c r="E267" i="6"/>
  <c r="F267" i="6"/>
  <c r="H267" i="6"/>
  <c r="I267" i="6"/>
  <c r="N267" i="6"/>
  <c r="R267" i="6"/>
  <c r="Q267" i="6" s="1"/>
  <c r="S267" i="6" s="1"/>
  <c r="T267" i="6"/>
  <c r="C268" i="6"/>
  <c r="D268" i="6"/>
  <c r="L268" i="6" s="1"/>
  <c r="E268" i="6"/>
  <c r="F268" i="6"/>
  <c r="H268" i="6"/>
  <c r="I268" i="6"/>
  <c r="N268" i="6"/>
  <c r="R268" i="6"/>
  <c r="Q268" i="6" s="1"/>
  <c r="S268" i="6"/>
  <c r="T268" i="6"/>
  <c r="C269" i="6"/>
  <c r="D269" i="6"/>
  <c r="E269" i="6"/>
  <c r="F269" i="6"/>
  <c r="H269" i="6"/>
  <c r="I269" i="6"/>
  <c r="L269" i="6"/>
  <c r="N269" i="6"/>
  <c r="Q269" i="6"/>
  <c r="S269" i="6" s="1"/>
  <c r="R269" i="6"/>
  <c r="T269" i="6"/>
  <c r="C270" i="6"/>
  <c r="D270" i="6"/>
  <c r="E270" i="6"/>
  <c r="F270" i="6"/>
  <c r="H270" i="6"/>
  <c r="I270" i="6"/>
  <c r="N270" i="6"/>
  <c r="R270" i="6"/>
  <c r="Q270" i="6" s="1"/>
  <c r="S270" i="6"/>
  <c r="T270" i="6"/>
  <c r="C271" i="6"/>
  <c r="D271" i="6"/>
  <c r="E271" i="6"/>
  <c r="F271" i="6"/>
  <c r="H271" i="6"/>
  <c r="I271" i="6"/>
  <c r="N271" i="6"/>
  <c r="R271" i="6"/>
  <c r="Q271" i="6" s="1"/>
  <c r="S271" i="6" s="1"/>
  <c r="T271" i="6"/>
  <c r="C272" i="6"/>
  <c r="D272" i="6"/>
  <c r="E272" i="6"/>
  <c r="F272" i="6"/>
  <c r="H272" i="6"/>
  <c r="I272" i="6"/>
  <c r="N272" i="6"/>
  <c r="R272" i="6"/>
  <c r="Q272" i="6" s="1"/>
  <c r="S272" i="6"/>
  <c r="T272" i="6"/>
  <c r="C273" i="6"/>
  <c r="D273" i="6"/>
  <c r="E273" i="6"/>
  <c r="F273" i="6"/>
  <c r="H273" i="6"/>
  <c r="I273" i="6"/>
  <c r="L273" i="6"/>
  <c r="N273" i="6"/>
  <c r="R273" i="6"/>
  <c r="Q273" i="6" s="1"/>
  <c r="S273" i="6" s="1"/>
  <c r="T273" i="6"/>
  <c r="C274" i="6"/>
  <c r="D274" i="6"/>
  <c r="E274" i="6"/>
  <c r="F274" i="6"/>
  <c r="H274" i="6"/>
  <c r="I274" i="6"/>
  <c r="N274" i="6"/>
  <c r="R274" i="6"/>
  <c r="Q274" i="6" s="1"/>
  <c r="S274" i="6" s="1"/>
  <c r="T274" i="6"/>
  <c r="C275" i="6"/>
  <c r="L275" i="6" s="1"/>
  <c r="D275" i="6"/>
  <c r="E275" i="6"/>
  <c r="F275" i="6"/>
  <c r="H275" i="6"/>
  <c r="I275" i="6"/>
  <c r="N275" i="6"/>
  <c r="R275" i="6"/>
  <c r="Q275" i="6" s="1"/>
  <c r="S275" i="6" s="1"/>
  <c r="T275" i="6"/>
  <c r="C276" i="6"/>
  <c r="D276" i="6"/>
  <c r="E276" i="6"/>
  <c r="E1091" i="6" s="1"/>
  <c r="F276" i="6"/>
  <c r="H276" i="6"/>
  <c r="I276" i="6"/>
  <c r="N276" i="6"/>
  <c r="R276" i="6"/>
  <c r="Q276" i="6" s="1"/>
  <c r="S276" i="6" s="1"/>
  <c r="T276" i="6"/>
  <c r="C277" i="6"/>
  <c r="D277" i="6"/>
  <c r="D1091" i="6" s="1"/>
  <c r="E277" i="6"/>
  <c r="F277" i="6"/>
  <c r="H277" i="6"/>
  <c r="I277" i="6"/>
  <c r="N277" i="6"/>
  <c r="R277" i="6"/>
  <c r="Q277" i="6" s="1"/>
  <c r="S277" i="6" s="1"/>
  <c r="T277" i="6"/>
  <c r="C278" i="6"/>
  <c r="D278" i="6"/>
  <c r="E278" i="6"/>
  <c r="F278" i="6"/>
  <c r="H278" i="6"/>
  <c r="I278" i="6"/>
  <c r="N278" i="6"/>
  <c r="R278" i="6"/>
  <c r="Q278" i="6" s="1"/>
  <c r="S278" i="6" s="1"/>
  <c r="T278" i="6"/>
  <c r="C279" i="6"/>
  <c r="D279" i="6"/>
  <c r="E279" i="6"/>
  <c r="F279" i="6"/>
  <c r="H279" i="6"/>
  <c r="I279" i="6"/>
  <c r="N279" i="6"/>
  <c r="Q279" i="6"/>
  <c r="S279" i="6" s="1"/>
  <c r="R279" i="6"/>
  <c r="T279" i="6"/>
  <c r="C280" i="6"/>
  <c r="D280" i="6"/>
  <c r="E280" i="6"/>
  <c r="F280" i="6"/>
  <c r="H280" i="6"/>
  <c r="I280" i="6"/>
  <c r="N280" i="6"/>
  <c r="R280" i="6"/>
  <c r="Q280" i="6" s="1"/>
  <c r="S280" i="6"/>
  <c r="T280" i="6"/>
  <c r="C281" i="6"/>
  <c r="L281" i="6" s="1"/>
  <c r="D281" i="6"/>
  <c r="E281" i="6"/>
  <c r="F281" i="6"/>
  <c r="H281" i="6"/>
  <c r="I281" i="6"/>
  <c r="N281" i="6"/>
  <c r="Q281" i="6"/>
  <c r="S281" i="6" s="1"/>
  <c r="R281" i="6"/>
  <c r="T281" i="6"/>
  <c r="C282" i="6"/>
  <c r="D282" i="6"/>
  <c r="E282" i="6"/>
  <c r="F282" i="6"/>
  <c r="H282" i="6"/>
  <c r="I282" i="6"/>
  <c r="N282" i="6"/>
  <c r="R282" i="6"/>
  <c r="Q282" i="6" s="1"/>
  <c r="S282" i="6" s="1"/>
  <c r="T282" i="6"/>
  <c r="C283" i="6"/>
  <c r="L283" i="6" s="1"/>
  <c r="D283" i="6"/>
  <c r="E283" i="6"/>
  <c r="F283" i="6"/>
  <c r="H283" i="6"/>
  <c r="I283" i="6"/>
  <c r="N283" i="6"/>
  <c r="R283" i="6"/>
  <c r="Q283" i="6" s="1"/>
  <c r="S283" i="6"/>
  <c r="S1091" i="6" s="1"/>
  <c r="T283" i="6"/>
  <c r="C284" i="6"/>
  <c r="D284" i="6"/>
  <c r="E284" i="6"/>
  <c r="F284" i="6"/>
  <c r="H284" i="6"/>
  <c r="I284" i="6"/>
  <c r="L284" i="6"/>
  <c r="N284" i="6"/>
  <c r="R284" i="6"/>
  <c r="Q284" i="6" s="1"/>
  <c r="S284" i="6"/>
  <c r="T284" i="6"/>
  <c r="C285" i="6"/>
  <c r="D285" i="6"/>
  <c r="E285" i="6"/>
  <c r="F285" i="6"/>
  <c r="H285" i="6"/>
  <c r="I285" i="6"/>
  <c r="N285" i="6"/>
  <c r="R285" i="6"/>
  <c r="Q285" i="6" s="1"/>
  <c r="S285" i="6" s="1"/>
  <c r="T285" i="6"/>
  <c r="C286" i="6"/>
  <c r="D286" i="6"/>
  <c r="L286" i="6" s="1"/>
  <c r="E286" i="6"/>
  <c r="F286" i="6"/>
  <c r="H286" i="6"/>
  <c r="I286" i="6"/>
  <c r="N286" i="6"/>
  <c r="R286" i="6"/>
  <c r="Q286" i="6" s="1"/>
  <c r="S286" i="6" s="1"/>
  <c r="T286" i="6"/>
  <c r="C287" i="6"/>
  <c r="D287" i="6"/>
  <c r="E287" i="6"/>
  <c r="F287" i="6"/>
  <c r="H287" i="6"/>
  <c r="I287" i="6"/>
  <c r="L287" i="6" s="1"/>
  <c r="N287" i="6"/>
  <c r="Q287" i="6"/>
  <c r="R287" i="6"/>
  <c r="S287" i="6"/>
  <c r="T287" i="6"/>
  <c r="C288" i="6"/>
  <c r="D288" i="6"/>
  <c r="L288" i="6" s="1"/>
  <c r="E288" i="6"/>
  <c r="F288" i="6"/>
  <c r="H288" i="6"/>
  <c r="I288" i="6"/>
  <c r="N288" i="6"/>
  <c r="R288" i="6"/>
  <c r="Q288" i="6" s="1"/>
  <c r="S288" i="6"/>
  <c r="T288" i="6"/>
  <c r="C289" i="6"/>
  <c r="L289" i="6" s="1"/>
  <c r="D289" i="6"/>
  <c r="E289" i="6"/>
  <c r="F289" i="6"/>
  <c r="H289" i="6"/>
  <c r="I289" i="6"/>
  <c r="N289" i="6"/>
  <c r="Q289" i="6"/>
  <c r="S289" i="6" s="1"/>
  <c r="R289" i="6"/>
  <c r="T289" i="6"/>
  <c r="C290" i="6"/>
  <c r="D290" i="6"/>
  <c r="E290" i="6"/>
  <c r="F290" i="6"/>
  <c r="H290" i="6"/>
  <c r="I290" i="6"/>
  <c r="N290" i="6"/>
  <c r="R290" i="6"/>
  <c r="Q290" i="6" s="1"/>
  <c r="S290" i="6" s="1"/>
  <c r="T290" i="6"/>
  <c r="C291" i="6"/>
  <c r="D291" i="6"/>
  <c r="E291" i="6"/>
  <c r="F291" i="6"/>
  <c r="H291" i="6"/>
  <c r="I291" i="6"/>
  <c r="L291" i="6" s="1"/>
  <c r="N291" i="6"/>
  <c r="R291" i="6"/>
  <c r="Q291" i="6" s="1"/>
  <c r="S291" i="6" s="1"/>
  <c r="T291" i="6"/>
  <c r="C292" i="6"/>
  <c r="D292" i="6"/>
  <c r="E292" i="6"/>
  <c r="F292" i="6"/>
  <c r="H292" i="6"/>
  <c r="I292" i="6"/>
  <c r="N292" i="6"/>
  <c r="R292" i="6"/>
  <c r="Q292" i="6" s="1"/>
  <c r="S292" i="6"/>
  <c r="T292" i="6"/>
  <c r="C293" i="6"/>
  <c r="D293" i="6"/>
  <c r="E293" i="6"/>
  <c r="F293" i="6"/>
  <c r="H293" i="6"/>
  <c r="I293" i="6"/>
  <c r="N293" i="6"/>
  <c r="R293" i="6"/>
  <c r="Q293" i="6" s="1"/>
  <c r="S293" i="6" s="1"/>
  <c r="T293" i="6"/>
  <c r="C294" i="6"/>
  <c r="D294" i="6"/>
  <c r="E294" i="6"/>
  <c r="F294" i="6"/>
  <c r="H294" i="6"/>
  <c r="I294" i="6"/>
  <c r="N294" i="6"/>
  <c r="R294" i="6"/>
  <c r="Q294" i="6" s="1"/>
  <c r="S294" i="6"/>
  <c r="T294" i="6"/>
  <c r="C295" i="6"/>
  <c r="D295" i="6"/>
  <c r="E295" i="6"/>
  <c r="F295" i="6"/>
  <c r="H295" i="6"/>
  <c r="I295" i="6"/>
  <c r="N295" i="6"/>
  <c r="Q295" i="6"/>
  <c r="R295" i="6"/>
  <c r="S295" i="6"/>
  <c r="T295" i="6"/>
  <c r="C296" i="6"/>
  <c r="D296" i="6"/>
  <c r="E296" i="6"/>
  <c r="F296" i="6"/>
  <c r="H296" i="6"/>
  <c r="I296" i="6"/>
  <c r="L296" i="6"/>
  <c r="N296" i="6"/>
  <c r="R296" i="6"/>
  <c r="Q296" i="6" s="1"/>
  <c r="S296" i="6" s="1"/>
  <c r="T296" i="6"/>
  <c r="C297" i="6"/>
  <c r="D297" i="6"/>
  <c r="E297" i="6"/>
  <c r="F297" i="6"/>
  <c r="H297" i="6"/>
  <c r="I297" i="6"/>
  <c r="N297" i="6"/>
  <c r="R297" i="6"/>
  <c r="Q297" i="6" s="1"/>
  <c r="S297" i="6"/>
  <c r="S1092" i="6" s="1"/>
  <c r="T297" i="6"/>
  <c r="C298" i="6"/>
  <c r="D298" i="6"/>
  <c r="E298" i="6"/>
  <c r="F298" i="6"/>
  <c r="H298" i="6"/>
  <c r="I298" i="6"/>
  <c r="L298" i="6"/>
  <c r="N298" i="6"/>
  <c r="R298" i="6"/>
  <c r="Q298" i="6" s="1"/>
  <c r="S298" i="6" s="1"/>
  <c r="T298" i="6"/>
  <c r="C299" i="6"/>
  <c r="L299" i="6" s="1"/>
  <c r="D299" i="6"/>
  <c r="E299" i="6"/>
  <c r="F299" i="6"/>
  <c r="H299" i="6"/>
  <c r="I299" i="6"/>
  <c r="N299" i="6"/>
  <c r="R299" i="6"/>
  <c r="Q299" i="6" s="1"/>
  <c r="S299" i="6"/>
  <c r="T299" i="6"/>
  <c r="C300" i="6"/>
  <c r="D300" i="6"/>
  <c r="E300" i="6"/>
  <c r="F300" i="6"/>
  <c r="H300" i="6"/>
  <c r="I300" i="6"/>
  <c r="L300" i="6"/>
  <c r="N300" i="6"/>
  <c r="R300" i="6"/>
  <c r="Q300" i="6" s="1"/>
  <c r="S300" i="6"/>
  <c r="T300" i="6"/>
  <c r="C301" i="6"/>
  <c r="D301" i="6"/>
  <c r="E301" i="6"/>
  <c r="F301" i="6"/>
  <c r="H301" i="6"/>
  <c r="I301" i="6"/>
  <c r="N301" i="6"/>
  <c r="R301" i="6"/>
  <c r="Q301" i="6" s="1"/>
  <c r="T301" i="6"/>
  <c r="C302" i="6"/>
  <c r="D302" i="6"/>
  <c r="E302" i="6"/>
  <c r="F302" i="6"/>
  <c r="H302" i="6"/>
  <c r="I302" i="6"/>
  <c r="L302" i="6"/>
  <c r="N302" i="6"/>
  <c r="R302" i="6"/>
  <c r="Q302" i="6" s="1"/>
  <c r="S302" i="6" s="1"/>
  <c r="T302" i="6"/>
  <c r="C303" i="6"/>
  <c r="D303" i="6"/>
  <c r="E303" i="6"/>
  <c r="F303" i="6"/>
  <c r="L303" i="6" s="1"/>
  <c r="H303" i="6"/>
  <c r="I303" i="6"/>
  <c r="N303" i="6"/>
  <c r="Q303" i="6"/>
  <c r="R303" i="6"/>
  <c r="S303" i="6"/>
  <c r="T303" i="6"/>
  <c r="C304" i="6"/>
  <c r="D304" i="6"/>
  <c r="E304" i="6"/>
  <c r="F304" i="6"/>
  <c r="H304" i="6"/>
  <c r="I304" i="6"/>
  <c r="N304" i="6"/>
  <c r="R304" i="6"/>
  <c r="Q304" i="6" s="1"/>
  <c r="S304" i="6"/>
  <c r="T304" i="6"/>
  <c r="C305" i="6"/>
  <c r="D305" i="6"/>
  <c r="E305" i="6"/>
  <c r="F305" i="6"/>
  <c r="H305" i="6"/>
  <c r="I305" i="6"/>
  <c r="L305" i="6"/>
  <c r="N305" i="6"/>
  <c r="Q305" i="6"/>
  <c r="S305" i="6" s="1"/>
  <c r="R305" i="6"/>
  <c r="T305" i="6"/>
  <c r="C306" i="6"/>
  <c r="D306" i="6"/>
  <c r="E306" i="6"/>
  <c r="F306" i="6"/>
  <c r="H306" i="6"/>
  <c r="H1093" i="6" s="1"/>
  <c r="I306" i="6"/>
  <c r="N306" i="6"/>
  <c r="R306" i="6"/>
  <c r="Q306" i="6" s="1"/>
  <c r="S306" i="6"/>
  <c r="T306" i="6"/>
  <c r="C307" i="6"/>
  <c r="D307" i="6"/>
  <c r="E307" i="6"/>
  <c r="F307" i="6"/>
  <c r="H307" i="6"/>
  <c r="I307" i="6"/>
  <c r="L307" i="6"/>
  <c r="N307" i="6"/>
  <c r="Q307" i="6"/>
  <c r="S307" i="6" s="1"/>
  <c r="R307" i="6"/>
  <c r="T307" i="6"/>
  <c r="C308" i="6"/>
  <c r="D308" i="6"/>
  <c r="E308" i="6"/>
  <c r="F308" i="6"/>
  <c r="H308" i="6"/>
  <c r="I308" i="6"/>
  <c r="N308" i="6"/>
  <c r="Q308" i="6"/>
  <c r="R308" i="6"/>
  <c r="S308" i="6"/>
  <c r="T308" i="6"/>
  <c r="C309" i="6"/>
  <c r="D309" i="6"/>
  <c r="E309" i="6"/>
  <c r="F309" i="6"/>
  <c r="H309" i="6"/>
  <c r="I309" i="6"/>
  <c r="N309" i="6"/>
  <c r="Q309" i="6"/>
  <c r="S309" i="6" s="1"/>
  <c r="R309" i="6"/>
  <c r="T309" i="6"/>
  <c r="C310" i="6"/>
  <c r="L310" i="6" s="1"/>
  <c r="D310" i="6"/>
  <c r="E310" i="6"/>
  <c r="F310" i="6"/>
  <c r="H310" i="6"/>
  <c r="I310" i="6"/>
  <c r="N310" i="6"/>
  <c r="Q310" i="6"/>
  <c r="S310" i="6" s="1"/>
  <c r="R310" i="6"/>
  <c r="T310" i="6"/>
  <c r="C311" i="6"/>
  <c r="L311" i="6" s="1"/>
  <c r="D311" i="6"/>
  <c r="E311" i="6"/>
  <c r="F311" i="6"/>
  <c r="H311" i="6"/>
  <c r="I311" i="6"/>
  <c r="N311" i="6"/>
  <c r="Q311" i="6"/>
  <c r="S311" i="6" s="1"/>
  <c r="R311" i="6"/>
  <c r="T311" i="6"/>
  <c r="C312" i="6"/>
  <c r="D312" i="6"/>
  <c r="E312" i="6"/>
  <c r="F312" i="6"/>
  <c r="H312" i="6"/>
  <c r="I312" i="6"/>
  <c r="N312" i="6"/>
  <c r="N1094" i="6" s="1"/>
  <c r="Q312" i="6"/>
  <c r="R312" i="6"/>
  <c r="S312" i="6"/>
  <c r="T312" i="6"/>
  <c r="C313" i="6"/>
  <c r="D313" i="6"/>
  <c r="E313" i="6"/>
  <c r="F313" i="6"/>
  <c r="H313" i="6"/>
  <c r="I313" i="6"/>
  <c r="N313" i="6"/>
  <c r="Q313" i="6"/>
  <c r="S313" i="6" s="1"/>
  <c r="R313" i="6"/>
  <c r="T313" i="6"/>
  <c r="C314" i="6"/>
  <c r="L314" i="6" s="1"/>
  <c r="D314" i="6"/>
  <c r="E314" i="6"/>
  <c r="F314" i="6"/>
  <c r="H314" i="6"/>
  <c r="I314" i="6"/>
  <c r="N314" i="6"/>
  <c r="R314" i="6"/>
  <c r="Q314" i="6" s="1"/>
  <c r="S314" i="6"/>
  <c r="T314" i="6"/>
  <c r="C315" i="6"/>
  <c r="D315" i="6"/>
  <c r="E315" i="6"/>
  <c r="F315" i="6"/>
  <c r="H315" i="6"/>
  <c r="I315" i="6"/>
  <c r="L315" i="6"/>
  <c r="N315" i="6"/>
  <c r="Q315" i="6"/>
  <c r="S315" i="6" s="1"/>
  <c r="R315" i="6"/>
  <c r="T315" i="6"/>
  <c r="C316" i="6"/>
  <c r="D316" i="6"/>
  <c r="E316" i="6"/>
  <c r="F316" i="6"/>
  <c r="H316" i="6"/>
  <c r="I316" i="6"/>
  <c r="N316" i="6"/>
  <c r="Q316" i="6"/>
  <c r="R316" i="6"/>
  <c r="S316" i="6"/>
  <c r="T316" i="6"/>
  <c r="C317" i="6"/>
  <c r="L317" i="6" s="1"/>
  <c r="D317" i="6"/>
  <c r="E317" i="6"/>
  <c r="F317" i="6"/>
  <c r="H317" i="6"/>
  <c r="I317" i="6"/>
  <c r="N317" i="6"/>
  <c r="Q317" i="6"/>
  <c r="S317" i="6" s="1"/>
  <c r="R317" i="6"/>
  <c r="T317" i="6"/>
  <c r="C318" i="6"/>
  <c r="D318" i="6"/>
  <c r="E318" i="6"/>
  <c r="F318" i="6"/>
  <c r="H318" i="6"/>
  <c r="I318" i="6"/>
  <c r="N318" i="6"/>
  <c r="R318" i="6"/>
  <c r="Q318" i="6" s="1"/>
  <c r="T318" i="6"/>
  <c r="C319" i="6"/>
  <c r="L319" i="6" s="1"/>
  <c r="D319" i="6"/>
  <c r="E319" i="6"/>
  <c r="F319" i="6"/>
  <c r="H319" i="6"/>
  <c r="I319" i="6"/>
  <c r="N319" i="6"/>
  <c r="Q319" i="6"/>
  <c r="S319" i="6" s="1"/>
  <c r="R319" i="6"/>
  <c r="T319" i="6"/>
  <c r="C320" i="6"/>
  <c r="D320" i="6"/>
  <c r="E320" i="6"/>
  <c r="F320" i="6"/>
  <c r="H320" i="6"/>
  <c r="I320" i="6"/>
  <c r="N320" i="6"/>
  <c r="Q320" i="6"/>
  <c r="S320" i="6" s="1"/>
  <c r="R320" i="6"/>
  <c r="T320" i="6"/>
  <c r="C321" i="6"/>
  <c r="D321" i="6"/>
  <c r="E321" i="6"/>
  <c r="F321" i="6"/>
  <c r="L321" i="6" s="1"/>
  <c r="H321" i="6"/>
  <c r="I321" i="6"/>
  <c r="N321" i="6"/>
  <c r="Q321" i="6"/>
  <c r="S321" i="6" s="1"/>
  <c r="R321" i="6"/>
  <c r="T321" i="6"/>
  <c r="C322" i="6"/>
  <c r="D322" i="6"/>
  <c r="D1094" i="6" s="1"/>
  <c r="E322" i="6"/>
  <c r="F322" i="6"/>
  <c r="H322" i="6"/>
  <c r="I322" i="6"/>
  <c r="N322" i="6"/>
  <c r="R322" i="6"/>
  <c r="Q322" i="6" s="1"/>
  <c r="S322" i="6"/>
  <c r="T322" i="6"/>
  <c r="C323" i="6"/>
  <c r="D323" i="6"/>
  <c r="E323" i="6"/>
  <c r="F323" i="6"/>
  <c r="H323" i="6"/>
  <c r="I323" i="6"/>
  <c r="L323" i="6"/>
  <c r="N323" i="6"/>
  <c r="Q323" i="6"/>
  <c r="S323" i="6" s="1"/>
  <c r="R323" i="6"/>
  <c r="T323" i="6"/>
  <c r="C324" i="6"/>
  <c r="D324" i="6"/>
  <c r="E324" i="6"/>
  <c r="F324" i="6"/>
  <c r="H324" i="6"/>
  <c r="I324" i="6"/>
  <c r="N324" i="6"/>
  <c r="Q324" i="6"/>
  <c r="R324" i="6"/>
  <c r="S324" i="6"/>
  <c r="T324" i="6"/>
  <c r="C325" i="6"/>
  <c r="D325" i="6"/>
  <c r="E325" i="6"/>
  <c r="F325" i="6"/>
  <c r="H325" i="6"/>
  <c r="I325" i="6"/>
  <c r="N325" i="6"/>
  <c r="Q325" i="6"/>
  <c r="S325" i="6" s="1"/>
  <c r="R325" i="6"/>
  <c r="T325" i="6"/>
  <c r="T1095" i="6" s="1"/>
  <c r="C326" i="6"/>
  <c r="L326" i="6" s="1"/>
  <c r="D326" i="6"/>
  <c r="E326" i="6"/>
  <c r="F326" i="6"/>
  <c r="H326" i="6"/>
  <c r="I326" i="6"/>
  <c r="N326" i="6"/>
  <c r="Q326" i="6"/>
  <c r="R326" i="6"/>
  <c r="T326" i="6"/>
  <c r="C327" i="6"/>
  <c r="D327" i="6"/>
  <c r="E327" i="6"/>
  <c r="F327" i="6"/>
  <c r="H327" i="6"/>
  <c r="H1095" i="6" s="1"/>
  <c r="I327" i="6"/>
  <c r="I1095" i="6" s="1"/>
  <c r="N327" i="6"/>
  <c r="Q327" i="6"/>
  <c r="S327" i="6" s="1"/>
  <c r="R327" i="6"/>
  <c r="T327" i="6"/>
  <c r="C328" i="6"/>
  <c r="D328" i="6"/>
  <c r="E328" i="6"/>
  <c r="E1095" i="6" s="1"/>
  <c r="F328" i="6"/>
  <c r="H328" i="6"/>
  <c r="I328" i="6"/>
  <c r="N328" i="6"/>
  <c r="Q328" i="6"/>
  <c r="R328" i="6"/>
  <c r="S328" i="6"/>
  <c r="T328" i="6"/>
  <c r="C329" i="6"/>
  <c r="D329" i="6"/>
  <c r="E329" i="6"/>
  <c r="F329" i="6"/>
  <c r="L329" i="6" s="1"/>
  <c r="H329" i="6"/>
  <c r="I329" i="6"/>
  <c r="N329" i="6"/>
  <c r="Q329" i="6"/>
  <c r="S329" i="6" s="1"/>
  <c r="R329" i="6"/>
  <c r="T329" i="6"/>
  <c r="C330" i="6"/>
  <c r="D330" i="6"/>
  <c r="E330" i="6"/>
  <c r="F330" i="6"/>
  <c r="H330" i="6"/>
  <c r="I330" i="6"/>
  <c r="N330" i="6"/>
  <c r="R330" i="6"/>
  <c r="Q330" i="6" s="1"/>
  <c r="S330" i="6" s="1"/>
  <c r="T330" i="6"/>
  <c r="C331" i="6"/>
  <c r="D331" i="6"/>
  <c r="E331" i="6"/>
  <c r="F331" i="6"/>
  <c r="H331" i="6"/>
  <c r="I331" i="6"/>
  <c r="L331" i="6" s="1"/>
  <c r="N331" i="6"/>
  <c r="Q331" i="6"/>
  <c r="S331" i="6" s="1"/>
  <c r="R331" i="6"/>
  <c r="T331" i="6"/>
  <c r="C332" i="6"/>
  <c r="D332" i="6"/>
  <c r="E332" i="6"/>
  <c r="F332" i="6"/>
  <c r="H332" i="6"/>
  <c r="I332" i="6"/>
  <c r="N332" i="6"/>
  <c r="Q332" i="6"/>
  <c r="R332" i="6"/>
  <c r="S332" i="6"/>
  <c r="T332" i="6"/>
  <c r="C333" i="6"/>
  <c r="L333" i="6" s="1"/>
  <c r="D333" i="6"/>
  <c r="E333" i="6"/>
  <c r="F333" i="6"/>
  <c r="H333" i="6"/>
  <c r="I333" i="6"/>
  <c r="N333" i="6"/>
  <c r="Q333" i="6"/>
  <c r="S333" i="6" s="1"/>
  <c r="R333" i="6"/>
  <c r="T333" i="6"/>
  <c r="C334" i="6"/>
  <c r="D334" i="6"/>
  <c r="E334" i="6"/>
  <c r="F334" i="6"/>
  <c r="H334" i="6"/>
  <c r="I334" i="6"/>
  <c r="N334" i="6"/>
  <c r="R334" i="6"/>
  <c r="Q334" i="6" s="1"/>
  <c r="S334" i="6" s="1"/>
  <c r="T334" i="6"/>
  <c r="C335" i="6"/>
  <c r="L335" i="6" s="1"/>
  <c r="D335" i="6"/>
  <c r="E335" i="6"/>
  <c r="F335" i="6"/>
  <c r="H335" i="6"/>
  <c r="I335" i="6"/>
  <c r="N335" i="6"/>
  <c r="Q335" i="6"/>
  <c r="S335" i="6" s="1"/>
  <c r="R335" i="6"/>
  <c r="T335" i="6"/>
  <c r="C336" i="6"/>
  <c r="D336" i="6"/>
  <c r="E336" i="6"/>
  <c r="F336" i="6"/>
  <c r="H336" i="6"/>
  <c r="I336" i="6"/>
  <c r="N336" i="6"/>
  <c r="Q336" i="6"/>
  <c r="R336" i="6"/>
  <c r="S336" i="6"/>
  <c r="T336" i="6"/>
  <c r="C337" i="6"/>
  <c r="D337" i="6"/>
  <c r="E337" i="6"/>
  <c r="F337" i="6"/>
  <c r="L337" i="6" s="1"/>
  <c r="H337" i="6"/>
  <c r="I337" i="6"/>
  <c r="N337" i="6"/>
  <c r="Q337" i="6"/>
  <c r="S337" i="6" s="1"/>
  <c r="R337" i="6"/>
  <c r="T337" i="6"/>
  <c r="C338" i="6"/>
  <c r="L338" i="6" s="1"/>
  <c r="D338" i="6"/>
  <c r="E338" i="6"/>
  <c r="F338" i="6"/>
  <c r="H338" i="6"/>
  <c r="I338" i="6"/>
  <c r="N338" i="6"/>
  <c r="R338" i="6"/>
  <c r="Q338" i="6" s="1"/>
  <c r="S338" i="6"/>
  <c r="T338" i="6"/>
  <c r="C339" i="6"/>
  <c r="D339" i="6"/>
  <c r="E339" i="6"/>
  <c r="F339" i="6"/>
  <c r="H339" i="6"/>
  <c r="I339" i="6"/>
  <c r="L339" i="6"/>
  <c r="N339" i="6"/>
  <c r="Q339" i="6"/>
  <c r="S339" i="6" s="1"/>
  <c r="R339" i="6"/>
  <c r="T339" i="6"/>
  <c r="C340" i="6"/>
  <c r="D340" i="6"/>
  <c r="E340" i="6"/>
  <c r="F340" i="6"/>
  <c r="H340" i="6"/>
  <c r="I340" i="6"/>
  <c r="N340" i="6"/>
  <c r="Q340" i="6"/>
  <c r="R340" i="6"/>
  <c r="S340" i="6"/>
  <c r="T340" i="6"/>
  <c r="C341" i="6"/>
  <c r="L341" i="6" s="1"/>
  <c r="D341" i="6"/>
  <c r="E341" i="6"/>
  <c r="F341" i="6"/>
  <c r="H341" i="6"/>
  <c r="I341" i="6"/>
  <c r="N341" i="6"/>
  <c r="Q341" i="6"/>
  <c r="S341" i="6" s="1"/>
  <c r="R341" i="6"/>
  <c r="T341" i="6"/>
  <c r="C342" i="6"/>
  <c r="L342" i="6" s="1"/>
  <c r="D342" i="6"/>
  <c r="E342" i="6"/>
  <c r="F342" i="6"/>
  <c r="H342" i="6"/>
  <c r="I342" i="6"/>
  <c r="N342" i="6"/>
  <c r="Q342" i="6"/>
  <c r="S342" i="6" s="1"/>
  <c r="R342" i="6"/>
  <c r="T342" i="6"/>
  <c r="C343" i="6"/>
  <c r="D343" i="6"/>
  <c r="E343" i="6"/>
  <c r="F343" i="6"/>
  <c r="H343" i="6"/>
  <c r="I343" i="6"/>
  <c r="N343" i="6"/>
  <c r="Q343" i="6"/>
  <c r="S343" i="6" s="1"/>
  <c r="R343" i="6"/>
  <c r="T343" i="6"/>
  <c r="C344" i="6"/>
  <c r="D344" i="6"/>
  <c r="E344" i="6"/>
  <c r="F344" i="6"/>
  <c r="H344" i="6"/>
  <c r="I344" i="6"/>
  <c r="N344" i="6"/>
  <c r="Q344" i="6"/>
  <c r="R344" i="6"/>
  <c r="S344" i="6"/>
  <c r="T344" i="6"/>
  <c r="C345" i="6"/>
  <c r="D345" i="6"/>
  <c r="E345" i="6"/>
  <c r="F345" i="6"/>
  <c r="L345" i="6" s="1"/>
  <c r="H345" i="6"/>
  <c r="I345" i="6"/>
  <c r="N345" i="6"/>
  <c r="Q345" i="6"/>
  <c r="S345" i="6" s="1"/>
  <c r="R345" i="6"/>
  <c r="T345" i="6"/>
  <c r="C346" i="6"/>
  <c r="L346" i="6" s="1"/>
  <c r="D346" i="6"/>
  <c r="E346" i="6"/>
  <c r="F346" i="6"/>
  <c r="H346" i="6"/>
  <c r="I346" i="6"/>
  <c r="N346" i="6"/>
  <c r="R346" i="6"/>
  <c r="T346" i="6"/>
  <c r="C347" i="6"/>
  <c r="D347" i="6"/>
  <c r="E347" i="6"/>
  <c r="F347" i="6"/>
  <c r="H347" i="6"/>
  <c r="I347" i="6"/>
  <c r="N347" i="6"/>
  <c r="Q347" i="6"/>
  <c r="S347" i="6" s="1"/>
  <c r="R347" i="6"/>
  <c r="T347" i="6"/>
  <c r="C348" i="6"/>
  <c r="D348" i="6"/>
  <c r="E348" i="6"/>
  <c r="F348" i="6"/>
  <c r="H348" i="6"/>
  <c r="I348" i="6"/>
  <c r="N348" i="6"/>
  <c r="Q348" i="6"/>
  <c r="R348" i="6"/>
  <c r="S348" i="6"/>
  <c r="T348" i="6"/>
  <c r="C349" i="6"/>
  <c r="L349" i="6" s="1"/>
  <c r="D349" i="6"/>
  <c r="E349" i="6"/>
  <c r="F349" i="6"/>
  <c r="H349" i="6"/>
  <c r="I349" i="6"/>
  <c r="N349" i="6"/>
  <c r="Q349" i="6"/>
  <c r="S349" i="6" s="1"/>
  <c r="R349" i="6"/>
  <c r="T349" i="6"/>
  <c r="C350" i="6"/>
  <c r="D350" i="6"/>
  <c r="E350" i="6"/>
  <c r="F350" i="6"/>
  <c r="H350" i="6"/>
  <c r="I350" i="6"/>
  <c r="N350" i="6"/>
  <c r="R350" i="6"/>
  <c r="Q350" i="6" s="1"/>
  <c r="S350" i="6" s="1"/>
  <c r="T350" i="6"/>
  <c r="C351" i="6"/>
  <c r="D351" i="6"/>
  <c r="E351" i="6"/>
  <c r="F351" i="6"/>
  <c r="H351" i="6"/>
  <c r="I351" i="6"/>
  <c r="N351" i="6"/>
  <c r="Q351" i="6"/>
  <c r="S351" i="6" s="1"/>
  <c r="R351" i="6"/>
  <c r="T351" i="6"/>
  <c r="C352" i="6"/>
  <c r="D352" i="6"/>
  <c r="E352" i="6"/>
  <c r="F352" i="6"/>
  <c r="H352" i="6"/>
  <c r="I352" i="6"/>
  <c r="N352" i="6"/>
  <c r="Q352" i="6"/>
  <c r="S352" i="6" s="1"/>
  <c r="R352" i="6"/>
  <c r="T352" i="6"/>
  <c r="C353" i="6"/>
  <c r="D353" i="6"/>
  <c r="E353" i="6"/>
  <c r="F353" i="6"/>
  <c r="L353" i="6" s="1"/>
  <c r="H353" i="6"/>
  <c r="I353" i="6"/>
  <c r="N353" i="6"/>
  <c r="Q353" i="6"/>
  <c r="S353" i="6" s="1"/>
  <c r="R353" i="6"/>
  <c r="T353" i="6"/>
  <c r="C354" i="6"/>
  <c r="D354" i="6"/>
  <c r="D1097" i="6" s="1"/>
  <c r="E354" i="6"/>
  <c r="F354" i="6"/>
  <c r="H354" i="6"/>
  <c r="I354" i="6"/>
  <c r="N354" i="6"/>
  <c r="R354" i="6"/>
  <c r="Q354" i="6" s="1"/>
  <c r="S354" i="6"/>
  <c r="T354" i="6"/>
  <c r="C355" i="6"/>
  <c r="D355" i="6"/>
  <c r="E355" i="6"/>
  <c r="F355" i="6"/>
  <c r="H355" i="6"/>
  <c r="I355" i="6"/>
  <c r="L355" i="6"/>
  <c r="N355" i="6"/>
  <c r="Q355" i="6"/>
  <c r="S355" i="6" s="1"/>
  <c r="R355" i="6"/>
  <c r="T355" i="6"/>
  <c r="C356" i="6"/>
  <c r="D356" i="6"/>
  <c r="E356" i="6"/>
  <c r="F356" i="6"/>
  <c r="H356" i="6"/>
  <c r="I356" i="6"/>
  <c r="N356" i="6"/>
  <c r="Q356" i="6"/>
  <c r="R356" i="6"/>
  <c r="S356" i="6"/>
  <c r="T356" i="6"/>
  <c r="C357" i="6"/>
  <c r="L357" i="6" s="1"/>
  <c r="D357" i="6"/>
  <c r="E357" i="6"/>
  <c r="F357" i="6"/>
  <c r="H357" i="6"/>
  <c r="I357" i="6"/>
  <c r="N357" i="6"/>
  <c r="Q357" i="6"/>
  <c r="S357" i="6" s="1"/>
  <c r="R357" i="6"/>
  <c r="T357" i="6"/>
  <c r="T1097" i="6" s="1"/>
  <c r="C358" i="6"/>
  <c r="L358" i="6" s="1"/>
  <c r="D358" i="6"/>
  <c r="E358" i="6"/>
  <c r="F358" i="6"/>
  <c r="H358" i="6"/>
  <c r="I358" i="6"/>
  <c r="N358" i="6"/>
  <c r="Q358" i="6"/>
  <c r="R358" i="6"/>
  <c r="T358" i="6"/>
  <c r="C359" i="6"/>
  <c r="D359" i="6"/>
  <c r="E359" i="6"/>
  <c r="F359" i="6"/>
  <c r="H359" i="6"/>
  <c r="I359" i="6"/>
  <c r="I1097" i="6" s="1"/>
  <c r="N359" i="6"/>
  <c r="Q359" i="6"/>
  <c r="S359" i="6" s="1"/>
  <c r="R359" i="6"/>
  <c r="T359" i="6"/>
  <c r="C360" i="6"/>
  <c r="D360" i="6"/>
  <c r="E360" i="6"/>
  <c r="F360" i="6"/>
  <c r="H360" i="6"/>
  <c r="I360" i="6"/>
  <c r="N360" i="6"/>
  <c r="Q360" i="6"/>
  <c r="R360" i="6"/>
  <c r="S360" i="6"/>
  <c r="T360" i="6"/>
  <c r="C361" i="6"/>
  <c r="D361" i="6"/>
  <c r="E361" i="6"/>
  <c r="F361" i="6"/>
  <c r="L361" i="6" s="1"/>
  <c r="H361" i="6"/>
  <c r="I361" i="6"/>
  <c r="N361" i="6"/>
  <c r="Q361" i="6"/>
  <c r="S361" i="6" s="1"/>
  <c r="R361" i="6"/>
  <c r="T361" i="6"/>
  <c r="C362" i="6"/>
  <c r="L362" i="6" s="1"/>
  <c r="D362" i="6"/>
  <c r="E362" i="6"/>
  <c r="F362" i="6"/>
  <c r="H362" i="6"/>
  <c r="I362" i="6"/>
  <c r="N362" i="6"/>
  <c r="R362" i="6"/>
  <c r="Q362" i="6" s="1"/>
  <c r="S362" i="6" s="1"/>
  <c r="T362" i="6"/>
  <c r="C363" i="6"/>
  <c r="D363" i="6"/>
  <c r="E363" i="6"/>
  <c r="F363" i="6"/>
  <c r="H363" i="6"/>
  <c r="I363" i="6"/>
  <c r="N363" i="6"/>
  <c r="R363" i="6"/>
  <c r="Q363" i="6" s="1"/>
  <c r="S363" i="6" s="1"/>
  <c r="T363" i="6"/>
  <c r="C364" i="6"/>
  <c r="D364" i="6"/>
  <c r="E364" i="6"/>
  <c r="F364" i="6"/>
  <c r="H364" i="6"/>
  <c r="I364" i="6"/>
  <c r="N364" i="6"/>
  <c r="Q364" i="6"/>
  <c r="R364" i="6"/>
  <c r="S364" i="6"/>
  <c r="T364" i="6"/>
  <c r="C365" i="6"/>
  <c r="D365" i="6"/>
  <c r="E365" i="6"/>
  <c r="F365" i="6"/>
  <c r="H365" i="6"/>
  <c r="I365" i="6"/>
  <c r="N365" i="6"/>
  <c r="Q365" i="6"/>
  <c r="S365" i="6" s="1"/>
  <c r="R365" i="6"/>
  <c r="T365" i="6"/>
  <c r="C366" i="6"/>
  <c r="D366" i="6"/>
  <c r="E366" i="6"/>
  <c r="F366" i="6"/>
  <c r="H366" i="6"/>
  <c r="I366" i="6"/>
  <c r="N366" i="6"/>
  <c r="R366" i="6"/>
  <c r="Q366" i="6" s="1"/>
  <c r="S366" i="6" s="1"/>
  <c r="T366" i="6"/>
  <c r="C367" i="6"/>
  <c r="D367" i="6"/>
  <c r="E367" i="6"/>
  <c r="F367" i="6"/>
  <c r="H367" i="6"/>
  <c r="I367" i="6"/>
  <c r="N367" i="6"/>
  <c r="R367" i="6"/>
  <c r="Q367" i="6" s="1"/>
  <c r="S367" i="6" s="1"/>
  <c r="T367" i="6"/>
  <c r="C368" i="6"/>
  <c r="D368" i="6"/>
  <c r="E368" i="6"/>
  <c r="F368" i="6"/>
  <c r="H368" i="6"/>
  <c r="I368" i="6"/>
  <c r="N368" i="6"/>
  <c r="Q368" i="6"/>
  <c r="S368" i="6" s="1"/>
  <c r="R368" i="6"/>
  <c r="T368" i="6"/>
  <c r="C369" i="6"/>
  <c r="D369" i="6"/>
  <c r="E369" i="6"/>
  <c r="F369" i="6"/>
  <c r="H369" i="6"/>
  <c r="I369" i="6"/>
  <c r="N369" i="6"/>
  <c r="Q369" i="6"/>
  <c r="S369" i="6" s="1"/>
  <c r="R369" i="6"/>
  <c r="T369" i="6"/>
  <c r="C370" i="6"/>
  <c r="D370" i="6"/>
  <c r="E370" i="6"/>
  <c r="F370" i="6"/>
  <c r="H370" i="6"/>
  <c r="I370" i="6"/>
  <c r="N370" i="6"/>
  <c r="R370" i="6"/>
  <c r="Q370" i="6" s="1"/>
  <c r="S370" i="6"/>
  <c r="T370" i="6"/>
  <c r="C371" i="6"/>
  <c r="L371" i="6" s="1"/>
  <c r="D371" i="6"/>
  <c r="E371" i="6"/>
  <c r="F371" i="6"/>
  <c r="H371" i="6"/>
  <c r="I371" i="6"/>
  <c r="N371" i="6"/>
  <c r="Q371" i="6"/>
  <c r="S371" i="6" s="1"/>
  <c r="R371" i="6"/>
  <c r="T371" i="6"/>
  <c r="C372" i="6"/>
  <c r="D372" i="6"/>
  <c r="E372" i="6"/>
  <c r="F372" i="6"/>
  <c r="H372" i="6"/>
  <c r="I372" i="6"/>
  <c r="N372" i="6"/>
  <c r="Q372" i="6"/>
  <c r="R372" i="6"/>
  <c r="S372" i="6"/>
  <c r="T372" i="6"/>
  <c r="C373" i="6"/>
  <c r="L373" i="6" s="1"/>
  <c r="D373" i="6"/>
  <c r="E373" i="6"/>
  <c r="F373" i="6"/>
  <c r="H373" i="6"/>
  <c r="I373" i="6"/>
  <c r="N373" i="6"/>
  <c r="Q373" i="6"/>
  <c r="S373" i="6" s="1"/>
  <c r="R373" i="6"/>
  <c r="T373" i="6"/>
  <c r="C374" i="6"/>
  <c r="L374" i="6" s="1"/>
  <c r="D374" i="6"/>
  <c r="E374" i="6"/>
  <c r="F374" i="6"/>
  <c r="H374" i="6"/>
  <c r="I374" i="6"/>
  <c r="N374" i="6"/>
  <c r="Q374" i="6"/>
  <c r="R374" i="6"/>
  <c r="T374" i="6"/>
  <c r="C375" i="6"/>
  <c r="D375" i="6"/>
  <c r="E375" i="6"/>
  <c r="F375" i="6"/>
  <c r="H375" i="6"/>
  <c r="I375" i="6"/>
  <c r="N375" i="6"/>
  <c r="R375" i="6"/>
  <c r="Q375" i="6" s="1"/>
  <c r="S375" i="6" s="1"/>
  <c r="T375" i="6"/>
  <c r="C376" i="6"/>
  <c r="D376" i="6"/>
  <c r="E376" i="6"/>
  <c r="F376" i="6"/>
  <c r="H376" i="6"/>
  <c r="I376" i="6"/>
  <c r="N376" i="6"/>
  <c r="Q376" i="6"/>
  <c r="S376" i="6" s="1"/>
  <c r="R376" i="6"/>
  <c r="T376" i="6"/>
  <c r="C377" i="6"/>
  <c r="D377" i="6"/>
  <c r="E377" i="6"/>
  <c r="F377" i="6"/>
  <c r="H377" i="6"/>
  <c r="I377" i="6"/>
  <c r="N377" i="6"/>
  <c r="Q377" i="6"/>
  <c r="S377" i="6" s="1"/>
  <c r="R377" i="6"/>
  <c r="T377" i="6"/>
  <c r="C378" i="6"/>
  <c r="D378" i="6"/>
  <c r="E378" i="6"/>
  <c r="F378" i="6"/>
  <c r="H378" i="6"/>
  <c r="I378" i="6"/>
  <c r="N378" i="6"/>
  <c r="R378" i="6"/>
  <c r="Q378" i="6" s="1"/>
  <c r="S378" i="6" s="1"/>
  <c r="T378" i="6"/>
  <c r="C379" i="6"/>
  <c r="D379" i="6"/>
  <c r="E379" i="6"/>
  <c r="F379" i="6"/>
  <c r="H379" i="6"/>
  <c r="I379" i="6"/>
  <c r="N379" i="6"/>
  <c r="Q379" i="6"/>
  <c r="S379" i="6" s="1"/>
  <c r="R379" i="6"/>
  <c r="T379" i="6"/>
  <c r="C380" i="6"/>
  <c r="D380" i="6"/>
  <c r="E380" i="6"/>
  <c r="F380" i="6"/>
  <c r="H380" i="6"/>
  <c r="I380" i="6"/>
  <c r="N380" i="6"/>
  <c r="Q380" i="6"/>
  <c r="R380" i="6"/>
  <c r="S380" i="6"/>
  <c r="T380" i="6"/>
  <c r="C381" i="6"/>
  <c r="L381" i="6" s="1"/>
  <c r="D381" i="6"/>
  <c r="E381" i="6"/>
  <c r="F381" i="6"/>
  <c r="H381" i="6"/>
  <c r="I381" i="6"/>
  <c r="N381" i="6"/>
  <c r="Q381" i="6"/>
  <c r="S381" i="6" s="1"/>
  <c r="R381" i="6"/>
  <c r="T381" i="6"/>
  <c r="C382" i="6"/>
  <c r="L382" i="6" s="1"/>
  <c r="D382" i="6"/>
  <c r="E382" i="6"/>
  <c r="F382" i="6"/>
  <c r="H382" i="6"/>
  <c r="I382" i="6"/>
  <c r="N382" i="6"/>
  <c r="R382" i="6"/>
  <c r="T382" i="6"/>
  <c r="C383" i="6"/>
  <c r="D383" i="6"/>
  <c r="E383" i="6"/>
  <c r="F383" i="6"/>
  <c r="H383" i="6"/>
  <c r="I383" i="6"/>
  <c r="N383" i="6"/>
  <c r="R383" i="6"/>
  <c r="Q383" i="6" s="1"/>
  <c r="S383" i="6" s="1"/>
  <c r="T383" i="6"/>
  <c r="C384" i="6"/>
  <c r="D384" i="6"/>
  <c r="E384" i="6"/>
  <c r="F384" i="6"/>
  <c r="H384" i="6"/>
  <c r="I384" i="6"/>
  <c r="N384" i="6"/>
  <c r="Q384" i="6"/>
  <c r="R384" i="6"/>
  <c r="S384" i="6"/>
  <c r="T384" i="6"/>
  <c r="C385" i="6"/>
  <c r="D385" i="6"/>
  <c r="E385" i="6"/>
  <c r="F385" i="6"/>
  <c r="H385" i="6"/>
  <c r="I385" i="6"/>
  <c r="L385" i="6"/>
  <c r="N385" i="6"/>
  <c r="Q385" i="6"/>
  <c r="S385" i="6" s="1"/>
  <c r="R385" i="6"/>
  <c r="T385" i="6"/>
  <c r="C386" i="6"/>
  <c r="D386" i="6"/>
  <c r="E386" i="6"/>
  <c r="F386" i="6"/>
  <c r="H386" i="6"/>
  <c r="I386" i="6"/>
  <c r="N386" i="6"/>
  <c r="R386" i="6"/>
  <c r="T386" i="6"/>
  <c r="C387" i="6"/>
  <c r="D387" i="6"/>
  <c r="E387" i="6"/>
  <c r="F387" i="6"/>
  <c r="H387" i="6"/>
  <c r="I387" i="6"/>
  <c r="N387" i="6"/>
  <c r="R387" i="6"/>
  <c r="Q387" i="6" s="1"/>
  <c r="S387" i="6" s="1"/>
  <c r="T387" i="6"/>
  <c r="C388" i="6"/>
  <c r="D388" i="6"/>
  <c r="E388" i="6"/>
  <c r="F388" i="6"/>
  <c r="H388" i="6"/>
  <c r="I388" i="6"/>
  <c r="N388" i="6"/>
  <c r="Q388" i="6"/>
  <c r="R388" i="6"/>
  <c r="S388" i="6"/>
  <c r="T388" i="6"/>
  <c r="C389" i="6"/>
  <c r="D389" i="6"/>
  <c r="E389" i="6"/>
  <c r="F389" i="6"/>
  <c r="H389" i="6"/>
  <c r="I389" i="6"/>
  <c r="N389" i="6"/>
  <c r="Q389" i="6"/>
  <c r="S389" i="6" s="1"/>
  <c r="R389" i="6"/>
  <c r="T389" i="6"/>
  <c r="C390" i="6"/>
  <c r="D390" i="6"/>
  <c r="E390" i="6"/>
  <c r="F390" i="6"/>
  <c r="H390" i="6"/>
  <c r="I390" i="6"/>
  <c r="N390" i="6"/>
  <c r="R390" i="6"/>
  <c r="Q390" i="6" s="1"/>
  <c r="S390" i="6" s="1"/>
  <c r="T390" i="6"/>
  <c r="C391" i="6"/>
  <c r="L391" i="6" s="1"/>
  <c r="D391" i="6"/>
  <c r="E391" i="6"/>
  <c r="F391" i="6"/>
  <c r="H391" i="6"/>
  <c r="I391" i="6"/>
  <c r="N391" i="6"/>
  <c r="R391" i="6"/>
  <c r="Q391" i="6" s="1"/>
  <c r="S391" i="6" s="1"/>
  <c r="T391" i="6"/>
  <c r="C392" i="6"/>
  <c r="D392" i="6"/>
  <c r="E392" i="6"/>
  <c r="F392" i="6"/>
  <c r="H392" i="6"/>
  <c r="I392" i="6"/>
  <c r="N392" i="6"/>
  <c r="N1100" i="6" s="1"/>
  <c r="Q392" i="6"/>
  <c r="R392" i="6"/>
  <c r="S392" i="6"/>
  <c r="T392" i="6"/>
  <c r="C393" i="6"/>
  <c r="D393" i="6"/>
  <c r="E393" i="6"/>
  <c r="F393" i="6"/>
  <c r="H393" i="6"/>
  <c r="I393" i="6"/>
  <c r="N393" i="6"/>
  <c r="Q393" i="6"/>
  <c r="S393" i="6" s="1"/>
  <c r="R393" i="6"/>
  <c r="T393" i="6"/>
  <c r="C394" i="6"/>
  <c r="D394" i="6"/>
  <c r="E394" i="6"/>
  <c r="F394" i="6"/>
  <c r="H394" i="6"/>
  <c r="I394" i="6"/>
  <c r="N394" i="6"/>
  <c r="R394" i="6"/>
  <c r="Q394" i="6" s="1"/>
  <c r="S394" i="6"/>
  <c r="T394" i="6"/>
  <c r="C395" i="6"/>
  <c r="D395" i="6"/>
  <c r="E395" i="6"/>
  <c r="F395" i="6"/>
  <c r="H395" i="6"/>
  <c r="I395" i="6"/>
  <c r="L395" i="6"/>
  <c r="N395" i="6"/>
  <c r="R395" i="6"/>
  <c r="Q395" i="6" s="1"/>
  <c r="S395" i="6" s="1"/>
  <c r="T395" i="6"/>
  <c r="C396" i="6"/>
  <c r="D396" i="6"/>
  <c r="E396" i="6"/>
  <c r="F396" i="6"/>
  <c r="H396" i="6"/>
  <c r="I396" i="6"/>
  <c r="N396" i="6"/>
  <c r="Q396" i="6"/>
  <c r="R396" i="6"/>
  <c r="S396" i="6"/>
  <c r="T396" i="6"/>
  <c r="C397" i="6"/>
  <c r="L397" i="6" s="1"/>
  <c r="D397" i="6"/>
  <c r="E397" i="6"/>
  <c r="F397" i="6"/>
  <c r="H397" i="6"/>
  <c r="I397" i="6"/>
  <c r="N397" i="6"/>
  <c r="Q397" i="6"/>
  <c r="S397" i="6" s="1"/>
  <c r="R397" i="6"/>
  <c r="T397" i="6"/>
  <c r="C398" i="6"/>
  <c r="D398" i="6"/>
  <c r="E398" i="6"/>
  <c r="F398" i="6"/>
  <c r="H398" i="6"/>
  <c r="I398" i="6"/>
  <c r="N398" i="6"/>
  <c r="Q398" i="6"/>
  <c r="S398" i="6" s="1"/>
  <c r="R398" i="6"/>
  <c r="T398" i="6"/>
  <c r="C399" i="6"/>
  <c r="D399" i="6"/>
  <c r="E399" i="6"/>
  <c r="F399" i="6"/>
  <c r="H399" i="6"/>
  <c r="I399" i="6"/>
  <c r="N399" i="6"/>
  <c r="R399" i="6"/>
  <c r="Q399" i="6" s="1"/>
  <c r="S399" i="6" s="1"/>
  <c r="T399" i="6"/>
  <c r="C400" i="6"/>
  <c r="D400" i="6"/>
  <c r="E400" i="6"/>
  <c r="F400" i="6"/>
  <c r="H400" i="6"/>
  <c r="I400" i="6"/>
  <c r="N400" i="6"/>
  <c r="Q400" i="6"/>
  <c r="S400" i="6" s="1"/>
  <c r="R400" i="6"/>
  <c r="T400" i="6"/>
  <c r="C401" i="6"/>
  <c r="D401" i="6"/>
  <c r="E401" i="6"/>
  <c r="F401" i="6"/>
  <c r="H401" i="6"/>
  <c r="I401" i="6"/>
  <c r="N401" i="6"/>
  <c r="Q401" i="6"/>
  <c r="S401" i="6" s="1"/>
  <c r="R401" i="6"/>
  <c r="T401" i="6"/>
  <c r="C402" i="6"/>
  <c r="L402" i="6" s="1"/>
  <c r="D402" i="6"/>
  <c r="E402" i="6"/>
  <c r="F402" i="6"/>
  <c r="H402" i="6"/>
  <c r="I402" i="6"/>
  <c r="N402" i="6"/>
  <c r="R402" i="6"/>
  <c r="Q402" i="6" s="1"/>
  <c r="S402" i="6"/>
  <c r="T402" i="6"/>
  <c r="C403" i="6"/>
  <c r="D403" i="6"/>
  <c r="E403" i="6"/>
  <c r="F403" i="6"/>
  <c r="H403" i="6"/>
  <c r="I403" i="6"/>
  <c r="L403" i="6"/>
  <c r="N403" i="6"/>
  <c r="R403" i="6"/>
  <c r="Q403" i="6" s="1"/>
  <c r="S403" i="6" s="1"/>
  <c r="T403" i="6"/>
  <c r="C404" i="6"/>
  <c r="D404" i="6"/>
  <c r="E404" i="6"/>
  <c r="F404" i="6"/>
  <c r="H404" i="6"/>
  <c r="I404" i="6"/>
  <c r="N404" i="6"/>
  <c r="Q404" i="6"/>
  <c r="R404" i="6"/>
  <c r="S404" i="6"/>
  <c r="T404" i="6"/>
  <c r="C405" i="6"/>
  <c r="L405" i="6" s="1"/>
  <c r="D405" i="6"/>
  <c r="E405" i="6"/>
  <c r="F405" i="6"/>
  <c r="H405" i="6"/>
  <c r="I405" i="6"/>
  <c r="N405" i="6"/>
  <c r="Q405" i="6"/>
  <c r="S405" i="6" s="1"/>
  <c r="R405" i="6"/>
  <c r="T405" i="6"/>
  <c r="C406" i="6"/>
  <c r="D406" i="6"/>
  <c r="E406" i="6"/>
  <c r="F406" i="6"/>
  <c r="H406" i="6"/>
  <c r="I406" i="6"/>
  <c r="N406" i="6"/>
  <c r="Q406" i="6"/>
  <c r="S406" i="6" s="1"/>
  <c r="R406" i="6"/>
  <c r="T406" i="6"/>
  <c r="C407" i="6"/>
  <c r="D407" i="6"/>
  <c r="E407" i="6"/>
  <c r="F407" i="6"/>
  <c r="H407" i="6"/>
  <c r="I407" i="6"/>
  <c r="N407" i="6"/>
  <c r="R407" i="6"/>
  <c r="Q407" i="6" s="1"/>
  <c r="S407" i="6" s="1"/>
  <c r="T407" i="6"/>
  <c r="C408" i="6"/>
  <c r="D408" i="6"/>
  <c r="E408" i="6"/>
  <c r="F408" i="6"/>
  <c r="H408" i="6"/>
  <c r="I408" i="6"/>
  <c r="N408" i="6"/>
  <c r="Q408" i="6"/>
  <c r="R408" i="6"/>
  <c r="S408" i="6"/>
  <c r="T408" i="6"/>
  <c r="C409" i="6"/>
  <c r="D409" i="6"/>
  <c r="E409" i="6"/>
  <c r="F409" i="6"/>
  <c r="H409" i="6"/>
  <c r="I409" i="6"/>
  <c r="L409" i="6"/>
  <c r="N409" i="6"/>
  <c r="Q409" i="6"/>
  <c r="S409" i="6" s="1"/>
  <c r="R409" i="6"/>
  <c r="T409" i="6"/>
  <c r="C410" i="6"/>
  <c r="D410" i="6"/>
  <c r="E410" i="6"/>
  <c r="F410" i="6"/>
  <c r="H410" i="6"/>
  <c r="I410" i="6"/>
  <c r="N410" i="6"/>
  <c r="R410" i="6"/>
  <c r="Q410" i="6" s="1"/>
  <c r="S410" i="6"/>
  <c r="T410" i="6"/>
  <c r="C411" i="6"/>
  <c r="L411" i="6" s="1"/>
  <c r="D411" i="6"/>
  <c r="E411" i="6"/>
  <c r="F411" i="6"/>
  <c r="H411" i="6"/>
  <c r="I411" i="6"/>
  <c r="N411" i="6"/>
  <c r="Q411" i="6"/>
  <c r="S411" i="6" s="1"/>
  <c r="R411" i="6"/>
  <c r="T411" i="6"/>
  <c r="C412" i="6"/>
  <c r="D412" i="6"/>
  <c r="E412" i="6"/>
  <c r="F412" i="6"/>
  <c r="H412" i="6"/>
  <c r="I412" i="6"/>
  <c r="N412" i="6"/>
  <c r="Q412" i="6"/>
  <c r="R412" i="6"/>
  <c r="S412" i="6"/>
  <c r="T412" i="6"/>
  <c r="C413" i="6"/>
  <c r="D413" i="6"/>
  <c r="E413" i="6"/>
  <c r="F413" i="6"/>
  <c r="H413" i="6"/>
  <c r="I413" i="6"/>
  <c r="N413" i="6"/>
  <c r="Q413" i="6"/>
  <c r="S413" i="6" s="1"/>
  <c r="R413" i="6"/>
  <c r="T413" i="6"/>
  <c r="C414" i="6"/>
  <c r="D414" i="6"/>
  <c r="E414" i="6"/>
  <c r="F414" i="6"/>
  <c r="H414" i="6"/>
  <c r="I414" i="6"/>
  <c r="N414" i="6"/>
  <c r="R414" i="6"/>
  <c r="Q414" i="6" s="1"/>
  <c r="S414" i="6" s="1"/>
  <c r="T414" i="6"/>
  <c r="C415" i="6"/>
  <c r="D415" i="6"/>
  <c r="E415" i="6"/>
  <c r="F415" i="6"/>
  <c r="H415" i="6"/>
  <c r="I415" i="6"/>
  <c r="N415" i="6"/>
  <c r="R415" i="6"/>
  <c r="Q415" i="6" s="1"/>
  <c r="S415" i="6" s="1"/>
  <c r="T415" i="6"/>
  <c r="C416" i="6"/>
  <c r="D416" i="6"/>
  <c r="E416" i="6"/>
  <c r="F416" i="6"/>
  <c r="H416" i="6"/>
  <c r="I416" i="6"/>
  <c r="N416" i="6"/>
  <c r="Q416" i="6"/>
  <c r="R416" i="6"/>
  <c r="S416" i="6"/>
  <c r="T416" i="6"/>
  <c r="C417" i="6"/>
  <c r="D417" i="6"/>
  <c r="E417" i="6"/>
  <c r="F417" i="6"/>
  <c r="L417" i="6" s="1"/>
  <c r="H417" i="6"/>
  <c r="I417" i="6"/>
  <c r="N417" i="6"/>
  <c r="Q417" i="6"/>
  <c r="S417" i="6" s="1"/>
  <c r="R417" i="6"/>
  <c r="T417" i="6"/>
  <c r="C418" i="6"/>
  <c r="L418" i="6" s="1"/>
  <c r="D418" i="6"/>
  <c r="E418" i="6"/>
  <c r="F418" i="6"/>
  <c r="H418" i="6"/>
  <c r="I418" i="6"/>
  <c r="N418" i="6"/>
  <c r="R418" i="6"/>
  <c r="T418" i="6"/>
  <c r="C419" i="6"/>
  <c r="D419" i="6"/>
  <c r="E419" i="6"/>
  <c r="F419" i="6"/>
  <c r="H419" i="6"/>
  <c r="I419" i="6"/>
  <c r="N419" i="6"/>
  <c r="R419" i="6"/>
  <c r="Q419" i="6" s="1"/>
  <c r="S419" i="6" s="1"/>
  <c r="T419" i="6"/>
  <c r="C420" i="6"/>
  <c r="D420" i="6"/>
  <c r="E420" i="6"/>
  <c r="F420" i="6"/>
  <c r="H420" i="6"/>
  <c r="I420" i="6"/>
  <c r="N420" i="6"/>
  <c r="Q420" i="6"/>
  <c r="R420" i="6"/>
  <c r="S420" i="6"/>
  <c r="T420" i="6"/>
  <c r="C421" i="6"/>
  <c r="L421" i="6" s="1"/>
  <c r="D421" i="6"/>
  <c r="E421" i="6"/>
  <c r="F421" i="6"/>
  <c r="H421" i="6"/>
  <c r="I421" i="6"/>
  <c r="N421" i="6"/>
  <c r="Q421" i="6"/>
  <c r="R421" i="6"/>
  <c r="T421" i="6"/>
  <c r="C422" i="6"/>
  <c r="D422" i="6"/>
  <c r="E422" i="6"/>
  <c r="F422" i="6"/>
  <c r="H422" i="6"/>
  <c r="I422" i="6"/>
  <c r="I1103" i="6" s="1"/>
  <c r="N422" i="6"/>
  <c r="R422" i="6"/>
  <c r="Q422" i="6" s="1"/>
  <c r="S422" i="6" s="1"/>
  <c r="T422" i="6"/>
  <c r="C423" i="6"/>
  <c r="D423" i="6"/>
  <c r="E423" i="6"/>
  <c r="F423" i="6"/>
  <c r="H423" i="6"/>
  <c r="I423" i="6"/>
  <c r="N423" i="6"/>
  <c r="Q423" i="6"/>
  <c r="S423" i="6" s="1"/>
  <c r="R423" i="6"/>
  <c r="T423" i="6"/>
  <c r="C424" i="6"/>
  <c r="D424" i="6"/>
  <c r="E424" i="6"/>
  <c r="F424" i="6"/>
  <c r="H424" i="6"/>
  <c r="I424" i="6"/>
  <c r="N424" i="6"/>
  <c r="Q424" i="6"/>
  <c r="R424" i="6"/>
  <c r="S424" i="6"/>
  <c r="T424" i="6"/>
  <c r="C425" i="6"/>
  <c r="D425" i="6"/>
  <c r="E425" i="6"/>
  <c r="F425" i="6"/>
  <c r="H425" i="6"/>
  <c r="I425" i="6"/>
  <c r="L425" i="6"/>
  <c r="N425" i="6"/>
  <c r="Q425" i="6"/>
  <c r="S425" i="6" s="1"/>
  <c r="R425" i="6"/>
  <c r="T425" i="6"/>
  <c r="C426" i="6"/>
  <c r="D426" i="6"/>
  <c r="E426" i="6"/>
  <c r="F426" i="6"/>
  <c r="H426" i="6"/>
  <c r="I426" i="6"/>
  <c r="N426" i="6"/>
  <c r="Q426" i="6"/>
  <c r="S426" i="6" s="1"/>
  <c r="R426" i="6"/>
  <c r="T426" i="6"/>
  <c r="C427" i="6"/>
  <c r="L427" i="6" s="1"/>
  <c r="D427" i="6"/>
  <c r="E427" i="6"/>
  <c r="F427" i="6"/>
  <c r="H427" i="6"/>
  <c r="I427" i="6"/>
  <c r="N427" i="6"/>
  <c r="Q427" i="6"/>
  <c r="S427" i="6" s="1"/>
  <c r="R427" i="6"/>
  <c r="T427" i="6"/>
  <c r="C428" i="6"/>
  <c r="D428" i="6"/>
  <c r="E428" i="6"/>
  <c r="F428" i="6"/>
  <c r="H428" i="6"/>
  <c r="I428" i="6"/>
  <c r="N428" i="6"/>
  <c r="N1103" i="6" s="1"/>
  <c r="Q428" i="6"/>
  <c r="R428" i="6"/>
  <c r="S428" i="6"/>
  <c r="T428" i="6"/>
  <c r="C429" i="6"/>
  <c r="D429" i="6"/>
  <c r="E429" i="6"/>
  <c r="F429" i="6"/>
  <c r="F1103" i="6" s="1"/>
  <c r="H429" i="6"/>
  <c r="I429" i="6"/>
  <c r="N429" i="6"/>
  <c r="Q429" i="6"/>
  <c r="S429" i="6" s="1"/>
  <c r="R429" i="6"/>
  <c r="T429" i="6"/>
  <c r="C430" i="6"/>
  <c r="L430" i="6" s="1"/>
  <c r="D430" i="6"/>
  <c r="E430" i="6"/>
  <c r="F430" i="6"/>
  <c r="H430" i="6"/>
  <c r="I430" i="6"/>
  <c r="N430" i="6"/>
  <c r="Q430" i="6"/>
  <c r="S430" i="6" s="1"/>
  <c r="R430" i="6"/>
  <c r="T430" i="6"/>
  <c r="C431" i="6"/>
  <c r="D431" i="6"/>
  <c r="E431" i="6"/>
  <c r="F431" i="6"/>
  <c r="H431" i="6"/>
  <c r="I431" i="6"/>
  <c r="N431" i="6"/>
  <c r="R431" i="6"/>
  <c r="Q431" i="6" s="1"/>
  <c r="S431" i="6" s="1"/>
  <c r="T431" i="6"/>
  <c r="T1103" i="6" s="1"/>
  <c r="C432" i="6"/>
  <c r="D432" i="6"/>
  <c r="E432" i="6"/>
  <c r="F432" i="6"/>
  <c r="H432" i="6"/>
  <c r="I432" i="6"/>
  <c r="N432" i="6"/>
  <c r="Q432" i="6"/>
  <c r="R432" i="6"/>
  <c r="T432" i="6"/>
  <c r="C433" i="6"/>
  <c r="D433" i="6"/>
  <c r="E433" i="6"/>
  <c r="F433" i="6"/>
  <c r="H433" i="6"/>
  <c r="I433" i="6"/>
  <c r="N433" i="6"/>
  <c r="Q433" i="6"/>
  <c r="S433" i="6" s="1"/>
  <c r="R433" i="6"/>
  <c r="T433" i="6"/>
  <c r="C434" i="6"/>
  <c r="D434" i="6"/>
  <c r="E434" i="6"/>
  <c r="F434" i="6"/>
  <c r="H434" i="6"/>
  <c r="I434" i="6"/>
  <c r="N434" i="6"/>
  <c r="R434" i="6"/>
  <c r="Q434" i="6" s="1"/>
  <c r="S434" i="6"/>
  <c r="T434" i="6"/>
  <c r="C435" i="6"/>
  <c r="D435" i="6"/>
  <c r="E435" i="6"/>
  <c r="F435" i="6"/>
  <c r="H435" i="6"/>
  <c r="I435" i="6"/>
  <c r="L435" i="6"/>
  <c r="N435" i="6"/>
  <c r="R435" i="6"/>
  <c r="Q435" i="6" s="1"/>
  <c r="S435" i="6" s="1"/>
  <c r="T435" i="6"/>
  <c r="C436" i="6"/>
  <c r="D436" i="6"/>
  <c r="E436" i="6"/>
  <c r="F436" i="6"/>
  <c r="H436" i="6"/>
  <c r="I436" i="6"/>
  <c r="N436" i="6"/>
  <c r="Q436" i="6"/>
  <c r="R436" i="6"/>
  <c r="S436" i="6"/>
  <c r="T436" i="6"/>
  <c r="C437" i="6"/>
  <c r="L437" i="6" s="1"/>
  <c r="D437" i="6"/>
  <c r="E437" i="6"/>
  <c r="F437" i="6"/>
  <c r="H437" i="6"/>
  <c r="I437" i="6"/>
  <c r="N437" i="6"/>
  <c r="Q437" i="6"/>
  <c r="S437" i="6" s="1"/>
  <c r="R437" i="6"/>
  <c r="T437" i="6"/>
  <c r="C438" i="6"/>
  <c r="D438" i="6"/>
  <c r="E438" i="6"/>
  <c r="F438" i="6"/>
  <c r="H438" i="6"/>
  <c r="I438" i="6"/>
  <c r="N438" i="6"/>
  <c r="R438" i="6"/>
  <c r="Q438" i="6" s="1"/>
  <c r="S438" i="6" s="1"/>
  <c r="T438" i="6"/>
  <c r="C439" i="6"/>
  <c r="L439" i="6" s="1"/>
  <c r="D439" i="6"/>
  <c r="E439" i="6"/>
  <c r="F439" i="6"/>
  <c r="H439" i="6"/>
  <c r="I439" i="6"/>
  <c r="N439" i="6"/>
  <c r="Q439" i="6"/>
  <c r="S439" i="6" s="1"/>
  <c r="R439" i="6"/>
  <c r="T439" i="6"/>
  <c r="C440" i="6"/>
  <c r="D440" i="6"/>
  <c r="E440" i="6"/>
  <c r="F440" i="6"/>
  <c r="H440" i="6"/>
  <c r="I440" i="6"/>
  <c r="N440" i="6"/>
  <c r="R440" i="6"/>
  <c r="T440" i="6"/>
  <c r="C441" i="6"/>
  <c r="D441" i="6"/>
  <c r="E441" i="6"/>
  <c r="L441" i="6" s="1"/>
  <c r="F441" i="6"/>
  <c r="H441" i="6"/>
  <c r="I441" i="6"/>
  <c r="N441" i="6"/>
  <c r="R441" i="6"/>
  <c r="Q441" i="6" s="1"/>
  <c r="S441" i="6"/>
  <c r="T441" i="6"/>
  <c r="C442" i="6"/>
  <c r="D442" i="6"/>
  <c r="E442" i="6"/>
  <c r="L442" i="6" s="1"/>
  <c r="F442" i="6"/>
  <c r="H442" i="6"/>
  <c r="I442" i="6"/>
  <c r="N442" i="6"/>
  <c r="R442" i="6"/>
  <c r="Q442" i="6" s="1"/>
  <c r="S442" i="6" s="1"/>
  <c r="T442" i="6"/>
  <c r="C443" i="6"/>
  <c r="D443" i="6"/>
  <c r="E443" i="6"/>
  <c r="F443" i="6"/>
  <c r="H443" i="6"/>
  <c r="I443" i="6"/>
  <c r="N443" i="6"/>
  <c r="R443" i="6"/>
  <c r="Q443" i="6" s="1"/>
  <c r="S443" i="6" s="1"/>
  <c r="T443" i="6"/>
  <c r="C444" i="6"/>
  <c r="D444" i="6"/>
  <c r="E444" i="6"/>
  <c r="F444" i="6"/>
  <c r="H444" i="6"/>
  <c r="I444" i="6"/>
  <c r="N444" i="6"/>
  <c r="R444" i="6"/>
  <c r="Q444" i="6" s="1"/>
  <c r="S444" i="6"/>
  <c r="T444" i="6"/>
  <c r="C445" i="6"/>
  <c r="D445" i="6"/>
  <c r="E445" i="6"/>
  <c r="F445" i="6"/>
  <c r="H445" i="6"/>
  <c r="I445" i="6"/>
  <c r="L445" i="6"/>
  <c r="N445" i="6"/>
  <c r="R445" i="6"/>
  <c r="Q445" i="6" s="1"/>
  <c r="S445" i="6"/>
  <c r="T445" i="6"/>
  <c r="C446" i="6"/>
  <c r="D446" i="6"/>
  <c r="E446" i="6"/>
  <c r="F446" i="6"/>
  <c r="H446" i="6"/>
  <c r="I446" i="6"/>
  <c r="L446" i="6"/>
  <c r="N446" i="6"/>
  <c r="R446" i="6"/>
  <c r="Q446" i="6" s="1"/>
  <c r="S446" i="6"/>
  <c r="T446" i="6"/>
  <c r="C447" i="6"/>
  <c r="D447" i="6"/>
  <c r="E447" i="6"/>
  <c r="F447" i="6"/>
  <c r="H447" i="6"/>
  <c r="I447" i="6"/>
  <c r="N447" i="6"/>
  <c r="R447" i="6"/>
  <c r="T447" i="6"/>
  <c r="C448" i="6"/>
  <c r="D448" i="6"/>
  <c r="E448" i="6"/>
  <c r="F448" i="6"/>
  <c r="H448" i="6"/>
  <c r="I448" i="6"/>
  <c r="N448" i="6"/>
  <c r="R448" i="6"/>
  <c r="Q448" i="6" s="1"/>
  <c r="S448" i="6"/>
  <c r="T448" i="6"/>
  <c r="C449" i="6"/>
  <c r="D449" i="6"/>
  <c r="E449" i="6"/>
  <c r="F449" i="6"/>
  <c r="F1105" i="6" s="1"/>
  <c r="H449" i="6"/>
  <c r="I449" i="6"/>
  <c r="N449" i="6"/>
  <c r="R449" i="6"/>
  <c r="Q449" i="6" s="1"/>
  <c r="S449" i="6"/>
  <c r="T449" i="6"/>
  <c r="C450" i="6"/>
  <c r="D450" i="6"/>
  <c r="E450" i="6"/>
  <c r="L450" i="6" s="1"/>
  <c r="F450" i="6"/>
  <c r="H450" i="6"/>
  <c r="I450" i="6"/>
  <c r="N450" i="6"/>
  <c r="R450" i="6"/>
  <c r="Q450" i="6" s="1"/>
  <c r="S450" i="6" s="1"/>
  <c r="T450" i="6"/>
  <c r="C451" i="6"/>
  <c r="D451" i="6"/>
  <c r="E451" i="6"/>
  <c r="L451" i="6" s="1"/>
  <c r="F451" i="6"/>
  <c r="H451" i="6"/>
  <c r="I451" i="6"/>
  <c r="N451" i="6"/>
  <c r="R451" i="6"/>
  <c r="Q451" i="6" s="1"/>
  <c r="S451" i="6" s="1"/>
  <c r="T451" i="6"/>
  <c r="C452" i="6"/>
  <c r="D452" i="6"/>
  <c r="E452" i="6"/>
  <c r="F452" i="6"/>
  <c r="H452" i="6"/>
  <c r="I452" i="6"/>
  <c r="N452" i="6"/>
  <c r="R452" i="6"/>
  <c r="Q452" i="6" s="1"/>
  <c r="S452" i="6"/>
  <c r="T452" i="6"/>
  <c r="C453" i="6"/>
  <c r="D453" i="6"/>
  <c r="L453" i="6" s="1"/>
  <c r="E453" i="6"/>
  <c r="F453" i="6"/>
  <c r="H453" i="6"/>
  <c r="I453" i="6"/>
  <c r="N453" i="6"/>
  <c r="R453" i="6"/>
  <c r="Q453" i="6" s="1"/>
  <c r="S453" i="6"/>
  <c r="T453" i="6"/>
  <c r="C454" i="6"/>
  <c r="D454" i="6"/>
  <c r="E454" i="6"/>
  <c r="F454" i="6"/>
  <c r="H454" i="6"/>
  <c r="I454" i="6"/>
  <c r="L454" i="6"/>
  <c r="N454" i="6"/>
  <c r="R454" i="6"/>
  <c r="Q454" i="6" s="1"/>
  <c r="S454" i="6"/>
  <c r="T454" i="6"/>
  <c r="C455" i="6"/>
  <c r="D455" i="6"/>
  <c r="E455" i="6"/>
  <c r="F455" i="6"/>
  <c r="H455" i="6"/>
  <c r="I455" i="6"/>
  <c r="N455" i="6"/>
  <c r="R455" i="6"/>
  <c r="Q455" i="6" s="1"/>
  <c r="S455" i="6" s="1"/>
  <c r="T455" i="6"/>
  <c r="C456" i="6"/>
  <c r="D456" i="6"/>
  <c r="E456" i="6"/>
  <c r="F456" i="6"/>
  <c r="H456" i="6"/>
  <c r="I456" i="6"/>
  <c r="N456" i="6"/>
  <c r="R456" i="6"/>
  <c r="T456" i="6"/>
  <c r="C457" i="6"/>
  <c r="D457" i="6"/>
  <c r="E457" i="6"/>
  <c r="F457" i="6"/>
  <c r="H457" i="6"/>
  <c r="I457" i="6"/>
  <c r="N457" i="6"/>
  <c r="R457" i="6"/>
  <c r="Q457" i="6" s="1"/>
  <c r="S457" i="6"/>
  <c r="T457" i="6"/>
  <c r="C458" i="6"/>
  <c r="D458" i="6"/>
  <c r="E458" i="6"/>
  <c r="L458" i="6" s="1"/>
  <c r="F458" i="6"/>
  <c r="H458" i="6"/>
  <c r="I458" i="6"/>
  <c r="N458" i="6"/>
  <c r="R458" i="6"/>
  <c r="Q458" i="6" s="1"/>
  <c r="S458" i="6" s="1"/>
  <c r="T458" i="6"/>
  <c r="C459" i="6"/>
  <c r="D459" i="6"/>
  <c r="E459" i="6"/>
  <c r="L459" i="6" s="1"/>
  <c r="F459" i="6"/>
  <c r="H459" i="6"/>
  <c r="I459" i="6"/>
  <c r="N459" i="6"/>
  <c r="R459" i="6"/>
  <c r="Q459" i="6" s="1"/>
  <c r="S459" i="6" s="1"/>
  <c r="T459" i="6"/>
  <c r="C460" i="6"/>
  <c r="D460" i="6"/>
  <c r="L460" i="6" s="1"/>
  <c r="E460" i="6"/>
  <c r="F460" i="6"/>
  <c r="H460" i="6"/>
  <c r="I460" i="6"/>
  <c r="N460" i="6"/>
  <c r="R460" i="6"/>
  <c r="Q460" i="6" s="1"/>
  <c r="S460" i="6"/>
  <c r="T460" i="6"/>
  <c r="C461" i="6"/>
  <c r="D461" i="6"/>
  <c r="L461" i="6" s="1"/>
  <c r="E461" i="6"/>
  <c r="F461" i="6"/>
  <c r="H461" i="6"/>
  <c r="I461" i="6"/>
  <c r="N461" i="6"/>
  <c r="R461" i="6"/>
  <c r="Q461" i="6" s="1"/>
  <c r="S461" i="6"/>
  <c r="T461" i="6"/>
  <c r="C462" i="6"/>
  <c r="D462" i="6"/>
  <c r="E462" i="6"/>
  <c r="F462" i="6"/>
  <c r="H462" i="6"/>
  <c r="I462" i="6"/>
  <c r="L462" i="6"/>
  <c r="N462" i="6"/>
  <c r="R462" i="6"/>
  <c r="Q462" i="6" s="1"/>
  <c r="S462" i="6"/>
  <c r="T462" i="6"/>
  <c r="C463" i="6"/>
  <c r="D463" i="6"/>
  <c r="E463" i="6"/>
  <c r="F463" i="6"/>
  <c r="F1106" i="6" s="1"/>
  <c r="H463" i="6"/>
  <c r="I463" i="6"/>
  <c r="N463" i="6"/>
  <c r="R463" i="6"/>
  <c r="Q463" i="6" s="1"/>
  <c r="S463" i="6"/>
  <c r="T463" i="6"/>
  <c r="C464" i="6"/>
  <c r="D464" i="6"/>
  <c r="L464" i="6" s="1"/>
  <c r="E464" i="6"/>
  <c r="F464" i="6"/>
  <c r="H464" i="6"/>
  <c r="I464" i="6"/>
  <c r="N464" i="6"/>
  <c r="R464" i="6"/>
  <c r="Q464" i="6" s="1"/>
  <c r="S464" i="6"/>
  <c r="T464" i="6"/>
  <c r="C465" i="6"/>
  <c r="D465" i="6"/>
  <c r="E465" i="6"/>
  <c r="F465" i="6"/>
  <c r="H465" i="6"/>
  <c r="I465" i="6"/>
  <c r="L465" i="6"/>
  <c r="N465" i="6"/>
  <c r="R465" i="6"/>
  <c r="Q465" i="6" s="1"/>
  <c r="S465" i="6"/>
  <c r="T465" i="6"/>
  <c r="C466" i="6"/>
  <c r="D466" i="6"/>
  <c r="E466" i="6"/>
  <c r="L466" i="6" s="1"/>
  <c r="F466" i="6"/>
  <c r="H466" i="6"/>
  <c r="I466" i="6"/>
  <c r="N466" i="6"/>
  <c r="R466" i="6"/>
  <c r="Q466" i="6" s="1"/>
  <c r="S466" i="6" s="1"/>
  <c r="T466" i="6"/>
  <c r="C467" i="6"/>
  <c r="D467" i="6"/>
  <c r="E467" i="6"/>
  <c r="L467" i="6" s="1"/>
  <c r="F467" i="6"/>
  <c r="H467" i="6"/>
  <c r="I467" i="6"/>
  <c r="N467" i="6"/>
  <c r="R467" i="6"/>
  <c r="Q467" i="6" s="1"/>
  <c r="S467" i="6" s="1"/>
  <c r="T467" i="6"/>
  <c r="C468" i="6"/>
  <c r="D468" i="6"/>
  <c r="L468" i="6" s="1"/>
  <c r="E468" i="6"/>
  <c r="F468" i="6"/>
  <c r="H468" i="6"/>
  <c r="I468" i="6"/>
  <c r="N468" i="6"/>
  <c r="R468" i="6"/>
  <c r="Q468" i="6" s="1"/>
  <c r="S468" i="6"/>
  <c r="T468" i="6"/>
  <c r="C469" i="6"/>
  <c r="D469" i="6"/>
  <c r="E469" i="6"/>
  <c r="F469" i="6"/>
  <c r="H469" i="6"/>
  <c r="I469" i="6"/>
  <c r="L469" i="6"/>
  <c r="N469" i="6"/>
  <c r="R469" i="6"/>
  <c r="Q469" i="6" s="1"/>
  <c r="S469" i="6"/>
  <c r="T469" i="6"/>
  <c r="C470" i="6"/>
  <c r="D470" i="6"/>
  <c r="E470" i="6"/>
  <c r="F470" i="6"/>
  <c r="H470" i="6"/>
  <c r="I470" i="6"/>
  <c r="L470" i="6"/>
  <c r="N470" i="6"/>
  <c r="R470" i="6"/>
  <c r="Q470" i="6" s="1"/>
  <c r="S470" i="6"/>
  <c r="T470" i="6"/>
  <c r="C471" i="6"/>
  <c r="D471" i="6"/>
  <c r="L471" i="6" s="1"/>
  <c r="E471" i="6"/>
  <c r="F471" i="6"/>
  <c r="H471" i="6"/>
  <c r="I471" i="6"/>
  <c r="N471" i="6"/>
  <c r="R471" i="6"/>
  <c r="Q471" i="6" s="1"/>
  <c r="S471" i="6" s="1"/>
  <c r="T471" i="6"/>
  <c r="C472" i="6"/>
  <c r="D472" i="6"/>
  <c r="E472" i="6"/>
  <c r="F472" i="6"/>
  <c r="H472" i="6"/>
  <c r="I472" i="6"/>
  <c r="L472" i="6" s="1"/>
  <c r="N472" i="6"/>
  <c r="R472" i="6"/>
  <c r="T472" i="6"/>
  <c r="C473" i="6"/>
  <c r="D473" i="6"/>
  <c r="E473" i="6"/>
  <c r="L473" i="6" s="1"/>
  <c r="F473" i="6"/>
  <c r="H473" i="6"/>
  <c r="I473" i="6"/>
  <c r="N473" i="6"/>
  <c r="R473" i="6"/>
  <c r="Q473" i="6" s="1"/>
  <c r="S473" i="6"/>
  <c r="T473" i="6"/>
  <c r="C474" i="6"/>
  <c r="D474" i="6"/>
  <c r="E474" i="6"/>
  <c r="F474" i="6"/>
  <c r="H474" i="6"/>
  <c r="I474" i="6"/>
  <c r="N474" i="6"/>
  <c r="R474" i="6"/>
  <c r="Q474" i="6" s="1"/>
  <c r="S474" i="6" s="1"/>
  <c r="T474" i="6"/>
  <c r="C475" i="6"/>
  <c r="D475" i="6"/>
  <c r="E475" i="6"/>
  <c r="F475" i="6"/>
  <c r="H475" i="6"/>
  <c r="I475" i="6"/>
  <c r="N475" i="6"/>
  <c r="R475" i="6"/>
  <c r="Q475" i="6" s="1"/>
  <c r="S475" i="6" s="1"/>
  <c r="T475" i="6"/>
  <c r="C476" i="6"/>
  <c r="D476" i="6"/>
  <c r="E476" i="6"/>
  <c r="F476" i="6"/>
  <c r="H476" i="6"/>
  <c r="I476" i="6"/>
  <c r="N476" i="6"/>
  <c r="R476" i="6"/>
  <c r="Q476" i="6" s="1"/>
  <c r="S476" i="6"/>
  <c r="T476" i="6"/>
  <c r="C477" i="6"/>
  <c r="D477" i="6"/>
  <c r="E477" i="6"/>
  <c r="F477" i="6"/>
  <c r="H477" i="6"/>
  <c r="I477" i="6"/>
  <c r="L477" i="6"/>
  <c r="N477" i="6"/>
  <c r="R477" i="6"/>
  <c r="Q477" i="6" s="1"/>
  <c r="S477" i="6"/>
  <c r="T477" i="6"/>
  <c r="C478" i="6"/>
  <c r="D478" i="6"/>
  <c r="E478" i="6"/>
  <c r="F478" i="6"/>
  <c r="H478" i="6"/>
  <c r="I478" i="6"/>
  <c r="L478" i="6"/>
  <c r="N478" i="6"/>
  <c r="R478" i="6"/>
  <c r="Q478" i="6" s="1"/>
  <c r="S478" i="6"/>
  <c r="T478" i="6"/>
  <c r="C479" i="6"/>
  <c r="D479" i="6"/>
  <c r="E479" i="6"/>
  <c r="F479" i="6"/>
  <c r="H479" i="6"/>
  <c r="I479" i="6"/>
  <c r="N479" i="6"/>
  <c r="R479" i="6"/>
  <c r="Q479" i="6" s="1"/>
  <c r="S479" i="6"/>
  <c r="T479" i="6"/>
  <c r="C480" i="6"/>
  <c r="D480" i="6"/>
  <c r="E480" i="6"/>
  <c r="F480" i="6"/>
  <c r="H480" i="6"/>
  <c r="I480" i="6"/>
  <c r="L480" i="6"/>
  <c r="N480" i="6"/>
  <c r="R480" i="6"/>
  <c r="Q480" i="6" s="1"/>
  <c r="S480" i="6"/>
  <c r="T480" i="6"/>
  <c r="C481" i="6"/>
  <c r="D481" i="6"/>
  <c r="E481" i="6"/>
  <c r="F481" i="6"/>
  <c r="H481" i="6"/>
  <c r="I481" i="6"/>
  <c r="N481" i="6"/>
  <c r="R481" i="6"/>
  <c r="Q481" i="6" s="1"/>
  <c r="S481" i="6"/>
  <c r="T481" i="6"/>
  <c r="C482" i="6"/>
  <c r="D482" i="6"/>
  <c r="E482" i="6"/>
  <c r="L482" i="6" s="1"/>
  <c r="F482" i="6"/>
  <c r="H482" i="6"/>
  <c r="I482" i="6"/>
  <c r="N482" i="6"/>
  <c r="R482" i="6"/>
  <c r="Q482" i="6" s="1"/>
  <c r="S482" i="6" s="1"/>
  <c r="T482" i="6"/>
  <c r="C483" i="6"/>
  <c r="D483" i="6"/>
  <c r="E483" i="6"/>
  <c r="L483" i="6" s="1"/>
  <c r="F483" i="6"/>
  <c r="H483" i="6"/>
  <c r="I483" i="6"/>
  <c r="N483" i="6"/>
  <c r="R483" i="6"/>
  <c r="T483" i="6"/>
  <c r="C484" i="6"/>
  <c r="D484" i="6"/>
  <c r="E484" i="6"/>
  <c r="F484" i="6"/>
  <c r="H484" i="6"/>
  <c r="I484" i="6"/>
  <c r="N484" i="6"/>
  <c r="R484" i="6"/>
  <c r="Q484" i="6" s="1"/>
  <c r="S484" i="6"/>
  <c r="T484" i="6"/>
  <c r="C485" i="6"/>
  <c r="D485" i="6"/>
  <c r="L485" i="6" s="1"/>
  <c r="E485" i="6"/>
  <c r="F485" i="6"/>
  <c r="H485" i="6"/>
  <c r="I485" i="6"/>
  <c r="N485" i="6"/>
  <c r="R485" i="6"/>
  <c r="Q485" i="6" s="1"/>
  <c r="S485" i="6"/>
  <c r="T485" i="6"/>
  <c r="C486" i="6"/>
  <c r="D486" i="6"/>
  <c r="E486" i="6"/>
  <c r="F486" i="6"/>
  <c r="H486" i="6"/>
  <c r="I486" i="6"/>
  <c r="L486" i="6"/>
  <c r="N486" i="6"/>
  <c r="R486" i="6"/>
  <c r="Q486" i="6" s="1"/>
  <c r="S486" i="6"/>
  <c r="T486" i="6"/>
  <c r="C487" i="6"/>
  <c r="D487" i="6"/>
  <c r="E487" i="6"/>
  <c r="F487" i="6"/>
  <c r="H487" i="6"/>
  <c r="I487" i="6"/>
  <c r="N487" i="6"/>
  <c r="R487" i="6"/>
  <c r="Q487" i="6" s="1"/>
  <c r="S487" i="6" s="1"/>
  <c r="T487" i="6"/>
  <c r="C488" i="6"/>
  <c r="D488" i="6"/>
  <c r="L488" i="6" s="1"/>
  <c r="E488" i="6"/>
  <c r="F488" i="6"/>
  <c r="H488" i="6"/>
  <c r="I488" i="6"/>
  <c r="N488" i="6"/>
  <c r="R488" i="6"/>
  <c r="Q488" i="6" s="1"/>
  <c r="S488" i="6" s="1"/>
  <c r="T488" i="6"/>
  <c r="C489" i="6"/>
  <c r="D489" i="6"/>
  <c r="E489" i="6"/>
  <c r="F489" i="6"/>
  <c r="H489" i="6"/>
  <c r="I489" i="6"/>
  <c r="L489" i="6" s="1"/>
  <c r="N489" i="6"/>
  <c r="R489" i="6"/>
  <c r="Q489" i="6" s="1"/>
  <c r="S489" i="6"/>
  <c r="T489" i="6"/>
  <c r="C490" i="6"/>
  <c r="D490" i="6"/>
  <c r="E490" i="6"/>
  <c r="L490" i="6" s="1"/>
  <c r="F490" i="6"/>
  <c r="H490" i="6"/>
  <c r="I490" i="6"/>
  <c r="N490" i="6"/>
  <c r="R490" i="6"/>
  <c r="Q490" i="6" s="1"/>
  <c r="S490" i="6" s="1"/>
  <c r="T490" i="6"/>
  <c r="C491" i="6"/>
  <c r="D491" i="6"/>
  <c r="E491" i="6"/>
  <c r="L491" i="6" s="1"/>
  <c r="F491" i="6"/>
  <c r="H491" i="6"/>
  <c r="I491" i="6"/>
  <c r="N491" i="6"/>
  <c r="R491" i="6"/>
  <c r="Q491" i="6" s="1"/>
  <c r="S491" i="6" s="1"/>
  <c r="T491" i="6"/>
  <c r="C492" i="6"/>
  <c r="D492" i="6"/>
  <c r="L492" i="6" s="1"/>
  <c r="E492" i="6"/>
  <c r="F492" i="6"/>
  <c r="H492" i="6"/>
  <c r="I492" i="6"/>
  <c r="N492" i="6"/>
  <c r="R492" i="6"/>
  <c r="Q492" i="6" s="1"/>
  <c r="S492" i="6"/>
  <c r="T492" i="6"/>
  <c r="C493" i="6"/>
  <c r="D493" i="6"/>
  <c r="E493" i="6"/>
  <c r="F493" i="6"/>
  <c r="H493" i="6"/>
  <c r="I493" i="6"/>
  <c r="N493" i="6"/>
  <c r="R493" i="6"/>
  <c r="Q493" i="6" s="1"/>
  <c r="S493" i="6"/>
  <c r="T493" i="6"/>
  <c r="C494" i="6"/>
  <c r="D494" i="6"/>
  <c r="E494" i="6"/>
  <c r="F494" i="6"/>
  <c r="H494" i="6"/>
  <c r="I494" i="6"/>
  <c r="L494" i="6"/>
  <c r="N494" i="6"/>
  <c r="R494" i="6"/>
  <c r="Q494" i="6" s="1"/>
  <c r="S494" i="6"/>
  <c r="T494" i="6"/>
  <c r="C495" i="6"/>
  <c r="D495" i="6"/>
  <c r="E495" i="6"/>
  <c r="F495" i="6"/>
  <c r="F1109" i="6" s="1"/>
  <c r="H495" i="6"/>
  <c r="I495" i="6"/>
  <c r="N495" i="6"/>
  <c r="R495" i="6"/>
  <c r="Q495" i="6" s="1"/>
  <c r="S495" i="6"/>
  <c r="T495" i="6"/>
  <c r="C496" i="6"/>
  <c r="D496" i="6"/>
  <c r="L496" i="6" s="1"/>
  <c r="E496" i="6"/>
  <c r="F496" i="6"/>
  <c r="H496" i="6"/>
  <c r="I496" i="6"/>
  <c r="N496" i="6"/>
  <c r="R496" i="6"/>
  <c r="Q496" i="6" s="1"/>
  <c r="S496" i="6"/>
  <c r="T496" i="6"/>
  <c r="C497" i="6"/>
  <c r="D497" i="6"/>
  <c r="E497" i="6"/>
  <c r="F497" i="6"/>
  <c r="H497" i="6"/>
  <c r="I497" i="6"/>
  <c r="L497" i="6"/>
  <c r="N497" i="6"/>
  <c r="R497" i="6"/>
  <c r="Q497" i="6" s="1"/>
  <c r="S497" i="6"/>
  <c r="T497" i="6"/>
  <c r="C498" i="6"/>
  <c r="D498" i="6"/>
  <c r="E498" i="6"/>
  <c r="L498" i="6" s="1"/>
  <c r="F498" i="6"/>
  <c r="H498" i="6"/>
  <c r="I498" i="6"/>
  <c r="N498" i="6"/>
  <c r="R498" i="6"/>
  <c r="Q498" i="6" s="1"/>
  <c r="S498" i="6" s="1"/>
  <c r="T498" i="6"/>
  <c r="C499" i="6"/>
  <c r="D499" i="6"/>
  <c r="E499" i="6"/>
  <c r="L499" i="6" s="1"/>
  <c r="F499" i="6"/>
  <c r="H499" i="6"/>
  <c r="I499" i="6"/>
  <c r="N499" i="6"/>
  <c r="R499" i="6"/>
  <c r="T499" i="6"/>
  <c r="C500" i="6"/>
  <c r="D500" i="6"/>
  <c r="L500" i="6" s="1"/>
  <c r="E500" i="6"/>
  <c r="F500" i="6"/>
  <c r="H500" i="6"/>
  <c r="I500" i="6"/>
  <c r="N500" i="6"/>
  <c r="R500" i="6"/>
  <c r="Q500" i="6" s="1"/>
  <c r="S500" i="6"/>
  <c r="T500" i="6"/>
  <c r="C501" i="6"/>
  <c r="D501" i="6"/>
  <c r="E501" i="6"/>
  <c r="F501" i="6"/>
  <c r="H501" i="6"/>
  <c r="I501" i="6"/>
  <c r="L501" i="6"/>
  <c r="N501" i="6"/>
  <c r="R501" i="6"/>
  <c r="Q501" i="6" s="1"/>
  <c r="S501" i="6"/>
  <c r="T501" i="6"/>
  <c r="C502" i="6"/>
  <c r="D502" i="6"/>
  <c r="E502" i="6"/>
  <c r="F502" i="6"/>
  <c r="H502" i="6"/>
  <c r="I502" i="6"/>
  <c r="L502" i="6"/>
  <c r="N502" i="6"/>
  <c r="R502" i="6"/>
  <c r="Q502" i="6" s="1"/>
  <c r="S502" i="6"/>
  <c r="T502" i="6"/>
  <c r="C503" i="6"/>
  <c r="D503" i="6"/>
  <c r="L503" i="6" s="1"/>
  <c r="E503" i="6"/>
  <c r="F503" i="6"/>
  <c r="H503" i="6"/>
  <c r="I503" i="6"/>
  <c r="N503" i="6"/>
  <c r="R503" i="6"/>
  <c r="Q503" i="6" s="1"/>
  <c r="S503" i="6" s="1"/>
  <c r="T503" i="6"/>
  <c r="C504" i="6"/>
  <c r="D504" i="6"/>
  <c r="E504" i="6"/>
  <c r="F504" i="6"/>
  <c r="H504" i="6"/>
  <c r="I504" i="6"/>
  <c r="N504" i="6"/>
  <c r="R504" i="6"/>
  <c r="T504" i="6"/>
  <c r="C505" i="6"/>
  <c r="D505" i="6"/>
  <c r="E505" i="6"/>
  <c r="L505" i="6" s="1"/>
  <c r="F505" i="6"/>
  <c r="H505" i="6"/>
  <c r="I505" i="6"/>
  <c r="N505" i="6"/>
  <c r="R505" i="6"/>
  <c r="Q505" i="6" s="1"/>
  <c r="S505" i="6"/>
  <c r="T505" i="6"/>
  <c r="C506" i="6"/>
  <c r="D506" i="6"/>
  <c r="E506" i="6"/>
  <c r="F506" i="6"/>
  <c r="H506" i="6"/>
  <c r="I506" i="6"/>
  <c r="N506" i="6"/>
  <c r="R506" i="6"/>
  <c r="Q506" i="6" s="1"/>
  <c r="S506" i="6" s="1"/>
  <c r="T506" i="6"/>
  <c r="C507" i="6"/>
  <c r="D507" i="6"/>
  <c r="L507" i="6" s="1"/>
  <c r="E507" i="6"/>
  <c r="F507" i="6"/>
  <c r="H507" i="6"/>
  <c r="I507" i="6"/>
  <c r="N507" i="6"/>
  <c r="R507" i="6"/>
  <c r="Q507" i="6" s="1"/>
  <c r="S507" i="6" s="1"/>
  <c r="T507" i="6"/>
  <c r="C508" i="6"/>
  <c r="D508" i="6"/>
  <c r="E508" i="6"/>
  <c r="F508" i="6"/>
  <c r="H508" i="6"/>
  <c r="I508" i="6"/>
  <c r="N508" i="6"/>
  <c r="R508" i="6"/>
  <c r="Q508" i="6" s="1"/>
  <c r="S508" i="6"/>
  <c r="T508" i="6"/>
  <c r="C509" i="6"/>
  <c r="D509" i="6"/>
  <c r="E509" i="6"/>
  <c r="F509" i="6"/>
  <c r="H509" i="6"/>
  <c r="I509" i="6"/>
  <c r="L509" i="6"/>
  <c r="N509" i="6"/>
  <c r="R509" i="6"/>
  <c r="Q509" i="6" s="1"/>
  <c r="S509" i="6"/>
  <c r="T509" i="6"/>
  <c r="C510" i="6"/>
  <c r="D510" i="6"/>
  <c r="E510" i="6"/>
  <c r="F510" i="6"/>
  <c r="H510" i="6"/>
  <c r="I510" i="6"/>
  <c r="L510" i="6"/>
  <c r="N510" i="6"/>
  <c r="R510" i="6"/>
  <c r="Q510" i="6" s="1"/>
  <c r="S510" i="6"/>
  <c r="T510" i="6"/>
  <c r="C511" i="6"/>
  <c r="D511" i="6"/>
  <c r="E511" i="6"/>
  <c r="F511" i="6"/>
  <c r="H511" i="6"/>
  <c r="I511" i="6"/>
  <c r="N511" i="6"/>
  <c r="R511" i="6"/>
  <c r="T511" i="6"/>
  <c r="C512" i="6"/>
  <c r="D512" i="6"/>
  <c r="E512" i="6"/>
  <c r="F512" i="6"/>
  <c r="H512" i="6"/>
  <c r="I512" i="6"/>
  <c r="L512" i="6"/>
  <c r="N512" i="6"/>
  <c r="R512" i="6"/>
  <c r="Q512" i="6" s="1"/>
  <c r="S512" i="6"/>
  <c r="T512" i="6"/>
  <c r="C513" i="6"/>
  <c r="D513" i="6"/>
  <c r="E513" i="6"/>
  <c r="F513" i="6"/>
  <c r="H513" i="6"/>
  <c r="I513" i="6"/>
  <c r="N513" i="6"/>
  <c r="R513" i="6"/>
  <c r="Q513" i="6" s="1"/>
  <c r="S513" i="6"/>
  <c r="T513" i="6"/>
  <c r="C514" i="6"/>
  <c r="D514" i="6"/>
  <c r="E514" i="6"/>
  <c r="L514" i="6" s="1"/>
  <c r="F514" i="6"/>
  <c r="H514" i="6"/>
  <c r="I514" i="6"/>
  <c r="N514" i="6"/>
  <c r="R514" i="6"/>
  <c r="Q514" i="6" s="1"/>
  <c r="S514" i="6" s="1"/>
  <c r="T514" i="6"/>
  <c r="C515" i="6"/>
  <c r="D515" i="6"/>
  <c r="E515" i="6"/>
  <c r="F515" i="6"/>
  <c r="H515" i="6"/>
  <c r="I515" i="6"/>
  <c r="N515" i="6"/>
  <c r="R515" i="6"/>
  <c r="Q515" i="6" s="1"/>
  <c r="S515" i="6" s="1"/>
  <c r="T515" i="6"/>
  <c r="C516" i="6"/>
  <c r="D516" i="6"/>
  <c r="E516" i="6"/>
  <c r="F516" i="6"/>
  <c r="H516" i="6"/>
  <c r="I516" i="6"/>
  <c r="N516" i="6"/>
  <c r="R516" i="6"/>
  <c r="Q516" i="6" s="1"/>
  <c r="S516" i="6"/>
  <c r="T516" i="6"/>
  <c r="C517" i="6"/>
  <c r="D517" i="6"/>
  <c r="L517" i="6" s="1"/>
  <c r="E517" i="6"/>
  <c r="F517" i="6"/>
  <c r="H517" i="6"/>
  <c r="I517" i="6"/>
  <c r="N517" i="6"/>
  <c r="R517" i="6"/>
  <c r="Q517" i="6" s="1"/>
  <c r="S517" i="6"/>
  <c r="T517" i="6"/>
  <c r="C518" i="6"/>
  <c r="D518" i="6"/>
  <c r="E518" i="6"/>
  <c r="F518" i="6"/>
  <c r="H518" i="6"/>
  <c r="I518" i="6"/>
  <c r="I1115" i="6" s="1"/>
  <c r="L518" i="6"/>
  <c r="N518" i="6"/>
  <c r="R518" i="6"/>
  <c r="Q518" i="6" s="1"/>
  <c r="S518" i="6"/>
  <c r="T518" i="6"/>
  <c r="C519" i="6"/>
  <c r="D519" i="6"/>
  <c r="E519" i="6"/>
  <c r="F519" i="6"/>
  <c r="H519" i="6"/>
  <c r="I519" i="6"/>
  <c r="N519" i="6"/>
  <c r="Q519" i="6"/>
  <c r="R519" i="6"/>
  <c r="S519" i="6"/>
  <c r="T519" i="6"/>
  <c r="C520" i="6"/>
  <c r="D520" i="6"/>
  <c r="E520" i="6"/>
  <c r="F520" i="6"/>
  <c r="H520" i="6"/>
  <c r="I520" i="6"/>
  <c r="L520" i="6"/>
  <c r="N520" i="6"/>
  <c r="R520" i="6"/>
  <c r="Q520" i="6" s="1"/>
  <c r="S520" i="6"/>
  <c r="T520" i="6"/>
  <c r="C521" i="6"/>
  <c r="L521" i="6" s="1"/>
  <c r="D521" i="6"/>
  <c r="E521" i="6"/>
  <c r="F521" i="6"/>
  <c r="H521" i="6"/>
  <c r="I521" i="6"/>
  <c r="N521" i="6"/>
  <c r="R521" i="6"/>
  <c r="Q521" i="6" s="1"/>
  <c r="T521" i="6"/>
  <c r="C522" i="6"/>
  <c r="D522" i="6"/>
  <c r="E522" i="6"/>
  <c r="F522" i="6"/>
  <c r="H522" i="6"/>
  <c r="I522" i="6"/>
  <c r="N522" i="6"/>
  <c r="R522" i="6"/>
  <c r="Q522" i="6" s="1"/>
  <c r="S522" i="6" s="1"/>
  <c r="T522" i="6"/>
  <c r="C523" i="6"/>
  <c r="D523" i="6"/>
  <c r="E523" i="6"/>
  <c r="F523" i="6"/>
  <c r="H523" i="6"/>
  <c r="I523" i="6"/>
  <c r="N523" i="6"/>
  <c r="R523" i="6"/>
  <c r="Q523" i="6" s="1"/>
  <c r="S523" i="6"/>
  <c r="T523" i="6"/>
  <c r="C524" i="6"/>
  <c r="D524" i="6"/>
  <c r="E524" i="6"/>
  <c r="F524" i="6"/>
  <c r="H524" i="6"/>
  <c r="I524" i="6"/>
  <c r="L524" i="6"/>
  <c r="N524" i="6"/>
  <c r="R524" i="6"/>
  <c r="Q524" i="6" s="1"/>
  <c r="S524" i="6" s="1"/>
  <c r="T524" i="6"/>
  <c r="C525" i="6"/>
  <c r="D525" i="6"/>
  <c r="E525" i="6"/>
  <c r="F525" i="6"/>
  <c r="H525" i="6"/>
  <c r="I525" i="6"/>
  <c r="N525" i="6"/>
  <c r="R525" i="6"/>
  <c r="Q525" i="6" s="1"/>
  <c r="S525" i="6" s="1"/>
  <c r="T525" i="6"/>
  <c r="C526" i="6"/>
  <c r="D526" i="6"/>
  <c r="L526" i="6" s="1"/>
  <c r="E526" i="6"/>
  <c r="F526" i="6"/>
  <c r="H526" i="6"/>
  <c r="I526" i="6"/>
  <c r="N526" i="6"/>
  <c r="R526" i="6"/>
  <c r="Q526" i="6" s="1"/>
  <c r="S526" i="6"/>
  <c r="T526" i="6"/>
  <c r="C527" i="6"/>
  <c r="D527" i="6"/>
  <c r="E527" i="6"/>
  <c r="F527" i="6"/>
  <c r="H527" i="6"/>
  <c r="I527" i="6"/>
  <c r="L527" i="6"/>
  <c r="N527" i="6"/>
  <c r="R527" i="6"/>
  <c r="Q527" i="6" s="1"/>
  <c r="S527" i="6" s="1"/>
  <c r="T527" i="6"/>
  <c r="C528" i="6"/>
  <c r="D528" i="6"/>
  <c r="E528" i="6"/>
  <c r="L528" i="6" s="1"/>
  <c r="F528" i="6"/>
  <c r="H528" i="6"/>
  <c r="I528" i="6"/>
  <c r="N528" i="6"/>
  <c r="R528" i="6"/>
  <c r="Q528" i="6" s="1"/>
  <c r="S528" i="6" s="1"/>
  <c r="T528" i="6"/>
  <c r="C529" i="6"/>
  <c r="D529" i="6"/>
  <c r="E529" i="6"/>
  <c r="F529" i="6"/>
  <c r="H529" i="6"/>
  <c r="I529" i="6"/>
  <c r="N529" i="6"/>
  <c r="Q529" i="6"/>
  <c r="S529" i="6" s="1"/>
  <c r="R529" i="6"/>
  <c r="T529" i="6"/>
  <c r="C530" i="6"/>
  <c r="D530" i="6"/>
  <c r="L530" i="6" s="1"/>
  <c r="E530" i="6"/>
  <c r="F530" i="6"/>
  <c r="H530" i="6"/>
  <c r="I530" i="6"/>
  <c r="N530" i="6"/>
  <c r="R530" i="6"/>
  <c r="Q530" i="6" s="1"/>
  <c r="S530" i="6"/>
  <c r="T530" i="6"/>
  <c r="C531" i="6"/>
  <c r="L531" i="6" s="1"/>
  <c r="D531" i="6"/>
  <c r="E531" i="6"/>
  <c r="F531" i="6"/>
  <c r="H531" i="6"/>
  <c r="I531" i="6"/>
  <c r="N531" i="6"/>
  <c r="Q531" i="6"/>
  <c r="S531" i="6" s="1"/>
  <c r="R531" i="6"/>
  <c r="T531" i="6"/>
  <c r="C532" i="6"/>
  <c r="D532" i="6"/>
  <c r="E532" i="6"/>
  <c r="F532" i="6"/>
  <c r="H532" i="6"/>
  <c r="I532" i="6"/>
  <c r="N532" i="6"/>
  <c r="R532" i="6"/>
  <c r="Q532" i="6" s="1"/>
  <c r="S532" i="6"/>
  <c r="T532" i="6"/>
  <c r="C533" i="6"/>
  <c r="D533" i="6"/>
  <c r="E533" i="6"/>
  <c r="F533" i="6"/>
  <c r="H533" i="6"/>
  <c r="I533" i="6"/>
  <c r="L533" i="6"/>
  <c r="N533" i="6"/>
  <c r="R533" i="6"/>
  <c r="Q533" i="6" s="1"/>
  <c r="S533" i="6"/>
  <c r="T533" i="6"/>
  <c r="C534" i="6"/>
  <c r="D534" i="6"/>
  <c r="E534" i="6"/>
  <c r="L534" i="6" s="1"/>
  <c r="F534" i="6"/>
  <c r="H534" i="6"/>
  <c r="I534" i="6"/>
  <c r="N534" i="6"/>
  <c r="R534" i="6"/>
  <c r="Q534" i="6" s="1"/>
  <c r="S534" i="6"/>
  <c r="T534" i="6"/>
  <c r="C535" i="6"/>
  <c r="L535" i="6" s="1"/>
  <c r="D535" i="6"/>
  <c r="E535" i="6"/>
  <c r="F535" i="6"/>
  <c r="H535" i="6"/>
  <c r="I535" i="6"/>
  <c r="N535" i="6"/>
  <c r="Q535" i="6"/>
  <c r="S535" i="6" s="1"/>
  <c r="R535" i="6"/>
  <c r="T535" i="6"/>
  <c r="C536" i="6"/>
  <c r="D536" i="6"/>
  <c r="E536" i="6"/>
  <c r="F536" i="6"/>
  <c r="H536" i="6"/>
  <c r="L536" i="6" s="1"/>
  <c r="I536" i="6"/>
  <c r="N536" i="6"/>
  <c r="R536" i="6"/>
  <c r="Q536" i="6" s="1"/>
  <c r="S536" i="6"/>
  <c r="T536" i="6"/>
  <c r="C537" i="6"/>
  <c r="D537" i="6"/>
  <c r="E537" i="6"/>
  <c r="F537" i="6"/>
  <c r="H537" i="6"/>
  <c r="I537" i="6"/>
  <c r="N537" i="6"/>
  <c r="Q537" i="6"/>
  <c r="R537" i="6"/>
  <c r="T537" i="6"/>
  <c r="C538" i="6"/>
  <c r="D538" i="6"/>
  <c r="E538" i="6"/>
  <c r="F538" i="6"/>
  <c r="H538" i="6"/>
  <c r="I538" i="6"/>
  <c r="N538" i="6"/>
  <c r="R538" i="6"/>
  <c r="Q538" i="6" s="1"/>
  <c r="S538" i="6" s="1"/>
  <c r="T538" i="6"/>
  <c r="C539" i="6"/>
  <c r="D539" i="6"/>
  <c r="E539" i="6"/>
  <c r="F539" i="6"/>
  <c r="H539" i="6"/>
  <c r="I539" i="6"/>
  <c r="N539" i="6"/>
  <c r="R539" i="6"/>
  <c r="Q539" i="6" s="1"/>
  <c r="S539" i="6" s="1"/>
  <c r="T539" i="6"/>
  <c r="C540" i="6"/>
  <c r="D540" i="6"/>
  <c r="L540" i="6" s="1"/>
  <c r="E540" i="6"/>
  <c r="F540" i="6"/>
  <c r="H540" i="6"/>
  <c r="I540" i="6"/>
  <c r="N540" i="6"/>
  <c r="R540" i="6"/>
  <c r="Q540" i="6" s="1"/>
  <c r="S540" i="6"/>
  <c r="T540" i="6"/>
  <c r="C541" i="6"/>
  <c r="D541" i="6"/>
  <c r="E541" i="6"/>
  <c r="F541" i="6"/>
  <c r="H541" i="6"/>
  <c r="I541" i="6"/>
  <c r="L541" i="6"/>
  <c r="N541" i="6"/>
  <c r="R541" i="6"/>
  <c r="Q541" i="6" s="1"/>
  <c r="S541" i="6"/>
  <c r="T541" i="6"/>
  <c r="C542" i="6"/>
  <c r="D542" i="6"/>
  <c r="E542" i="6"/>
  <c r="F542" i="6"/>
  <c r="H542" i="6"/>
  <c r="I542" i="6"/>
  <c r="L542" i="6"/>
  <c r="N542" i="6"/>
  <c r="R542" i="6"/>
  <c r="Q542" i="6" s="1"/>
  <c r="S542" i="6"/>
  <c r="T542" i="6"/>
  <c r="C543" i="6"/>
  <c r="D543" i="6"/>
  <c r="E543" i="6"/>
  <c r="F543" i="6"/>
  <c r="L543" i="6" s="1"/>
  <c r="H543" i="6"/>
  <c r="I543" i="6"/>
  <c r="N543" i="6"/>
  <c r="R543" i="6"/>
  <c r="Q543" i="6" s="1"/>
  <c r="S543" i="6" s="1"/>
  <c r="T543" i="6"/>
  <c r="C544" i="6"/>
  <c r="D544" i="6"/>
  <c r="E544" i="6"/>
  <c r="L544" i="6" s="1"/>
  <c r="F544" i="6"/>
  <c r="H544" i="6"/>
  <c r="I544" i="6"/>
  <c r="N544" i="6"/>
  <c r="R544" i="6"/>
  <c r="Q544" i="6" s="1"/>
  <c r="S544" i="6" s="1"/>
  <c r="T544" i="6"/>
  <c r="C545" i="6"/>
  <c r="D545" i="6"/>
  <c r="E545" i="6"/>
  <c r="F545" i="6"/>
  <c r="H545" i="6"/>
  <c r="I545" i="6"/>
  <c r="N545" i="6"/>
  <c r="Q545" i="6"/>
  <c r="S545" i="6" s="1"/>
  <c r="R545" i="6"/>
  <c r="T545" i="6"/>
  <c r="C546" i="6"/>
  <c r="D546" i="6"/>
  <c r="E546" i="6"/>
  <c r="F546" i="6"/>
  <c r="H546" i="6"/>
  <c r="I546" i="6"/>
  <c r="N546" i="6"/>
  <c r="R546" i="6"/>
  <c r="Q546" i="6" s="1"/>
  <c r="S546" i="6" s="1"/>
  <c r="T546" i="6"/>
  <c r="C547" i="6"/>
  <c r="D547" i="6"/>
  <c r="E547" i="6"/>
  <c r="F547" i="6"/>
  <c r="H547" i="6"/>
  <c r="I547" i="6"/>
  <c r="N547" i="6"/>
  <c r="R547" i="6"/>
  <c r="Q547" i="6" s="1"/>
  <c r="S547" i="6" s="1"/>
  <c r="T547" i="6"/>
  <c r="C548" i="6"/>
  <c r="D548" i="6"/>
  <c r="L548" i="6" s="1"/>
  <c r="E548" i="6"/>
  <c r="F548" i="6"/>
  <c r="H548" i="6"/>
  <c r="I548" i="6"/>
  <c r="N548" i="6"/>
  <c r="R548" i="6"/>
  <c r="Q548" i="6" s="1"/>
  <c r="S548" i="6"/>
  <c r="T548" i="6"/>
  <c r="C549" i="6"/>
  <c r="D549" i="6"/>
  <c r="E549" i="6"/>
  <c r="F549" i="6"/>
  <c r="H549" i="6"/>
  <c r="I549" i="6"/>
  <c r="L549" i="6"/>
  <c r="N549" i="6"/>
  <c r="R549" i="6"/>
  <c r="Q549" i="6" s="1"/>
  <c r="S549" i="6" s="1"/>
  <c r="T549" i="6"/>
  <c r="C550" i="6"/>
  <c r="D550" i="6"/>
  <c r="E550" i="6"/>
  <c r="F550" i="6"/>
  <c r="H550" i="6"/>
  <c r="I550" i="6"/>
  <c r="N550" i="6"/>
  <c r="R550" i="6"/>
  <c r="Q550" i="6" s="1"/>
  <c r="S550" i="6"/>
  <c r="T550" i="6"/>
  <c r="C551" i="6"/>
  <c r="D551" i="6"/>
  <c r="E551" i="6"/>
  <c r="F551" i="6"/>
  <c r="H551" i="6"/>
  <c r="I551" i="6"/>
  <c r="N551" i="6"/>
  <c r="Q551" i="6"/>
  <c r="S551" i="6" s="1"/>
  <c r="R551" i="6"/>
  <c r="T551" i="6"/>
  <c r="C552" i="6"/>
  <c r="D552" i="6"/>
  <c r="E552" i="6"/>
  <c r="F552" i="6"/>
  <c r="H552" i="6"/>
  <c r="L552" i="6" s="1"/>
  <c r="I552" i="6"/>
  <c r="N552" i="6"/>
  <c r="R552" i="6"/>
  <c r="Q552" i="6" s="1"/>
  <c r="S552" i="6" s="1"/>
  <c r="T552" i="6"/>
  <c r="C553" i="6"/>
  <c r="D553" i="6"/>
  <c r="E553" i="6"/>
  <c r="F553" i="6"/>
  <c r="H553" i="6"/>
  <c r="I553" i="6"/>
  <c r="N553" i="6"/>
  <c r="Q553" i="6"/>
  <c r="R553" i="6"/>
  <c r="S553" i="6"/>
  <c r="T553" i="6"/>
  <c r="C554" i="6"/>
  <c r="D554" i="6"/>
  <c r="E554" i="6"/>
  <c r="F554" i="6"/>
  <c r="H554" i="6"/>
  <c r="I554" i="6"/>
  <c r="L554" i="6"/>
  <c r="N554" i="6"/>
  <c r="R554" i="6"/>
  <c r="Q554" i="6" s="1"/>
  <c r="S554" i="6" s="1"/>
  <c r="T554" i="6"/>
  <c r="C555" i="6"/>
  <c r="L555" i="6" s="1"/>
  <c r="D555" i="6"/>
  <c r="E555" i="6"/>
  <c r="F555" i="6"/>
  <c r="H555" i="6"/>
  <c r="I555" i="6"/>
  <c r="N555" i="6"/>
  <c r="Q555" i="6"/>
  <c r="S555" i="6" s="1"/>
  <c r="R555" i="6"/>
  <c r="T555" i="6"/>
  <c r="C556" i="6"/>
  <c r="D556" i="6"/>
  <c r="E556" i="6"/>
  <c r="F556" i="6"/>
  <c r="H556" i="6"/>
  <c r="L556" i="6" s="1"/>
  <c r="I556" i="6"/>
  <c r="N556" i="6"/>
  <c r="R556" i="6"/>
  <c r="Q556" i="6" s="1"/>
  <c r="S556" i="6" s="1"/>
  <c r="T556" i="6"/>
  <c r="C557" i="6"/>
  <c r="D557" i="6"/>
  <c r="E557" i="6"/>
  <c r="F557" i="6"/>
  <c r="H557" i="6"/>
  <c r="I557" i="6"/>
  <c r="N557" i="6"/>
  <c r="Q557" i="6"/>
  <c r="S557" i="6" s="1"/>
  <c r="R557" i="6"/>
  <c r="T557" i="6"/>
  <c r="C558" i="6"/>
  <c r="D558" i="6"/>
  <c r="E558" i="6"/>
  <c r="F558" i="6"/>
  <c r="H558" i="6"/>
  <c r="L558" i="6" s="1"/>
  <c r="I558" i="6"/>
  <c r="N558" i="6"/>
  <c r="R558" i="6"/>
  <c r="Q558" i="6" s="1"/>
  <c r="S558" i="6" s="1"/>
  <c r="T558" i="6"/>
  <c r="C559" i="6"/>
  <c r="D559" i="6"/>
  <c r="E559" i="6"/>
  <c r="F559" i="6"/>
  <c r="H559" i="6"/>
  <c r="I559" i="6"/>
  <c r="N559" i="6"/>
  <c r="Q559" i="6"/>
  <c r="R559" i="6"/>
  <c r="S559" i="6"/>
  <c r="T559" i="6"/>
  <c r="C560" i="6"/>
  <c r="D560" i="6"/>
  <c r="E560" i="6"/>
  <c r="F560" i="6"/>
  <c r="H560" i="6"/>
  <c r="I560" i="6"/>
  <c r="L560" i="6"/>
  <c r="N560" i="6"/>
  <c r="R560" i="6"/>
  <c r="Q560" i="6" s="1"/>
  <c r="S560" i="6" s="1"/>
  <c r="T560" i="6"/>
  <c r="C561" i="6"/>
  <c r="L561" i="6" s="1"/>
  <c r="D561" i="6"/>
  <c r="E561" i="6"/>
  <c r="F561" i="6"/>
  <c r="H561" i="6"/>
  <c r="I561" i="6"/>
  <c r="N561" i="6"/>
  <c r="Q561" i="6"/>
  <c r="R561" i="6"/>
  <c r="S561" i="6"/>
  <c r="T561" i="6"/>
  <c r="C562" i="6"/>
  <c r="D562" i="6"/>
  <c r="E562" i="6"/>
  <c r="F562" i="6"/>
  <c r="H562" i="6"/>
  <c r="I562" i="6"/>
  <c r="L562" i="6"/>
  <c r="N562" i="6"/>
  <c r="R562" i="6"/>
  <c r="Q562" i="6" s="1"/>
  <c r="S562" i="6" s="1"/>
  <c r="T562" i="6"/>
  <c r="C563" i="6"/>
  <c r="L563" i="6" s="1"/>
  <c r="D563" i="6"/>
  <c r="E563" i="6"/>
  <c r="F563" i="6"/>
  <c r="H563" i="6"/>
  <c r="I563" i="6"/>
  <c r="N563" i="6"/>
  <c r="Q563" i="6"/>
  <c r="R563" i="6"/>
  <c r="S563" i="6"/>
  <c r="T563" i="6"/>
  <c r="C564" i="6"/>
  <c r="D564" i="6"/>
  <c r="E564" i="6"/>
  <c r="F564" i="6"/>
  <c r="H564" i="6"/>
  <c r="I564" i="6"/>
  <c r="L564" i="6"/>
  <c r="N564" i="6"/>
  <c r="R564" i="6"/>
  <c r="Q564" i="6" s="1"/>
  <c r="S564" i="6" s="1"/>
  <c r="T564" i="6"/>
  <c r="C565" i="6"/>
  <c r="D565" i="6"/>
  <c r="E565" i="6"/>
  <c r="F565" i="6"/>
  <c r="H565" i="6"/>
  <c r="I565" i="6"/>
  <c r="N565" i="6"/>
  <c r="Q565" i="6"/>
  <c r="S565" i="6" s="1"/>
  <c r="R565" i="6"/>
  <c r="T565" i="6"/>
  <c r="C566" i="6"/>
  <c r="D566" i="6"/>
  <c r="E566" i="6"/>
  <c r="F566" i="6"/>
  <c r="L566" i="6" s="1"/>
  <c r="H566" i="6"/>
  <c r="I566" i="6"/>
  <c r="N566" i="6"/>
  <c r="R566" i="6"/>
  <c r="Q566" i="6" s="1"/>
  <c r="S566" i="6" s="1"/>
  <c r="T566" i="6"/>
  <c r="C567" i="6"/>
  <c r="D567" i="6"/>
  <c r="E567" i="6"/>
  <c r="F567" i="6"/>
  <c r="H567" i="6"/>
  <c r="I567" i="6"/>
  <c r="N567" i="6"/>
  <c r="Q567" i="6"/>
  <c r="R567" i="6"/>
  <c r="S567" i="6"/>
  <c r="T567" i="6"/>
  <c r="C568" i="6"/>
  <c r="D568" i="6"/>
  <c r="E568" i="6"/>
  <c r="F568" i="6"/>
  <c r="H568" i="6"/>
  <c r="I568" i="6"/>
  <c r="L568" i="6"/>
  <c r="N568" i="6"/>
  <c r="R568" i="6"/>
  <c r="Q568" i="6" s="1"/>
  <c r="S568" i="6" s="1"/>
  <c r="T568" i="6"/>
  <c r="C569" i="6"/>
  <c r="D569" i="6"/>
  <c r="E569" i="6"/>
  <c r="F569" i="6"/>
  <c r="H569" i="6"/>
  <c r="I569" i="6"/>
  <c r="N569" i="6"/>
  <c r="Q569" i="6"/>
  <c r="R569" i="6"/>
  <c r="S569" i="6"/>
  <c r="T569" i="6"/>
  <c r="C570" i="6"/>
  <c r="D570" i="6"/>
  <c r="E570" i="6"/>
  <c r="F570" i="6"/>
  <c r="H570" i="6"/>
  <c r="I570" i="6"/>
  <c r="L570" i="6"/>
  <c r="N570" i="6"/>
  <c r="R570" i="6"/>
  <c r="Q570" i="6" s="1"/>
  <c r="S570" i="6" s="1"/>
  <c r="T570" i="6"/>
  <c r="C571" i="6"/>
  <c r="L571" i="6" s="1"/>
  <c r="D571" i="6"/>
  <c r="E571" i="6"/>
  <c r="F571" i="6"/>
  <c r="H571" i="6"/>
  <c r="I571" i="6"/>
  <c r="N571" i="6"/>
  <c r="Q571" i="6"/>
  <c r="S571" i="6" s="1"/>
  <c r="R571" i="6"/>
  <c r="T571" i="6"/>
  <c r="C572" i="6"/>
  <c r="D572" i="6"/>
  <c r="E572" i="6"/>
  <c r="F572" i="6"/>
  <c r="H572" i="6"/>
  <c r="I572" i="6"/>
  <c r="N572" i="6"/>
  <c r="R572" i="6"/>
  <c r="Q572" i="6" s="1"/>
  <c r="S572" i="6" s="1"/>
  <c r="T572" i="6"/>
  <c r="C573" i="6"/>
  <c r="L573" i="6" s="1"/>
  <c r="D573" i="6"/>
  <c r="E573" i="6"/>
  <c r="F573" i="6"/>
  <c r="H573" i="6"/>
  <c r="I573" i="6"/>
  <c r="N573" i="6"/>
  <c r="Q573" i="6"/>
  <c r="S573" i="6" s="1"/>
  <c r="R573" i="6"/>
  <c r="T573" i="6"/>
  <c r="C574" i="6"/>
  <c r="D574" i="6"/>
  <c r="E574" i="6"/>
  <c r="F574" i="6"/>
  <c r="L574" i="6" s="1"/>
  <c r="H574" i="6"/>
  <c r="I574" i="6"/>
  <c r="N574" i="6"/>
  <c r="R574" i="6"/>
  <c r="Q574" i="6" s="1"/>
  <c r="S574" i="6" s="1"/>
  <c r="T574" i="6"/>
  <c r="C575" i="6"/>
  <c r="D575" i="6"/>
  <c r="E575" i="6"/>
  <c r="F575" i="6"/>
  <c r="H575" i="6"/>
  <c r="I575" i="6"/>
  <c r="N575" i="6"/>
  <c r="Q575" i="6"/>
  <c r="R575" i="6"/>
  <c r="S575" i="6"/>
  <c r="T575" i="6"/>
  <c r="C576" i="6"/>
  <c r="D576" i="6"/>
  <c r="E576" i="6"/>
  <c r="F576" i="6"/>
  <c r="L576" i="6" s="1"/>
  <c r="H576" i="6"/>
  <c r="I576" i="6"/>
  <c r="N576" i="6"/>
  <c r="R576" i="6"/>
  <c r="Q576" i="6" s="1"/>
  <c r="S576" i="6" s="1"/>
  <c r="T576" i="6"/>
  <c r="C577" i="6"/>
  <c r="L577" i="6" s="1"/>
  <c r="D577" i="6"/>
  <c r="E577" i="6"/>
  <c r="F577" i="6"/>
  <c r="H577" i="6"/>
  <c r="I577" i="6"/>
  <c r="N577" i="6"/>
  <c r="Q577" i="6"/>
  <c r="R577" i="6"/>
  <c r="S577" i="6"/>
  <c r="T577" i="6"/>
  <c r="C578" i="6"/>
  <c r="D578" i="6"/>
  <c r="E578" i="6"/>
  <c r="F578" i="6"/>
  <c r="L578" i="6" s="1"/>
  <c r="H578" i="6"/>
  <c r="I578" i="6"/>
  <c r="N578" i="6"/>
  <c r="R578" i="6"/>
  <c r="Q578" i="6" s="1"/>
  <c r="S578" i="6" s="1"/>
  <c r="T578" i="6"/>
  <c r="C579" i="6"/>
  <c r="L579" i="6" s="1"/>
  <c r="D579" i="6"/>
  <c r="E579" i="6"/>
  <c r="F579" i="6"/>
  <c r="H579" i="6"/>
  <c r="I579" i="6"/>
  <c r="N579" i="6"/>
  <c r="Q579" i="6"/>
  <c r="R579" i="6"/>
  <c r="S579" i="6"/>
  <c r="T579" i="6"/>
  <c r="C580" i="6"/>
  <c r="D580" i="6"/>
  <c r="E580" i="6"/>
  <c r="F580" i="6"/>
  <c r="H580" i="6"/>
  <c r="I580" i="6"/>
  <c r="L580" i="6"/>
  <c r="N580" i="6"/>
  <c r="R580" i="6"/>
  <c r="Q580" i="6" s="1"/>
  <c r="S580" i="6" s="1"/>
  <c r="T580" i="6"/>
  <c r="C581" i="6"/>
  <c r="D581" i="6"/>
  <c r="E581" i="6"/>
  <c r="F581" i="6"/>
  <c r="H581" i="6"/>
  <c r="I581" i="6"/>
  <c r="N581" i="6"/>
  <c r="Q581" i="6"/>
  <c r="S581" i="6" s="1"/>
  <c r="R581" i="6"/>
  <c r="T581" i="6"/>
  <c r="C582" i="6"/>
  <c r="D582" i="6"/>
  <c r="E582" i="6"/>
  <c r="F582" i="6"/>
  <c r="H582" i="6"/>
  <c r="I582" i="6"/>
  <c r="N582" i="6"/>
  <c r="R582" i="6"/>
  <c r="Q582" i="6" s="1"/>
  <c r="S582" i="6" s="1"/>
  <c r="T582" i="6"/>
  <c r="C583" i="6"/>
  <c r="D583" i="6"/>
  <c r="E583" i="6"/>
  <c r="F583" i="6"/>
  <c r="H583" i="6"/>
  <c r="I583" i="6"/>
  <c r="N583" i="6"/>
  <c r="Q583" i="6"/>
  <c r="R583" i="6"/>
  <c r="S583" i="6"/>
  <c r="T583" i="6"/>
  <c r="C584" i="6"/>
  <c r="D584" i="6"/>
  <c r="E584" i="6"/>
  <c r="F584" i="6"/>
  <c r="H584" i="6"/>
  <c r="I584" i="6"/>
  <c r="L584" i="6"/>
  <c r="N584" i="6"/>
  <c r="R584" i="6"/>
  <c r="Q584" i="6" s="1"/>
  <c r="S584" i="6" s="1"/>
  <c r="T584" i="6"/>
  <c r="C585" i="6"/>
  <c r="D585" i="6"/>
  <c r="E585" i="6"/>
  <c r="F585" i="6"/>
  <c r="H585" i="6"/>
  <c r="I585" i="6"/>
  <c r="N585" i="6"/>
  <c r="Q585" i="6"/>
  <c r="R585" i="6"/>
  <c r="S585" i="6"/>
  <c r="T585" i="6"/>
  <c r="C586" i="6"/>
  <c r="D586" i="6"/>
  <c r="E586" i="6"/>
  <c r="F586" i="6"/>
  <c r="H586" i="6"/>
  <c r="I586" i="6"/>
  <c r="L586" i="6"/>
  <c r="N586" i="6"/>
  <c r="R586" i="6"/>
  <c r="Q586" i="6" s="1"/>
  <c r="S586" i="6" s="1"/>
  <c r="T586" i="6"/>
  <c r="C587" i="6"/>
  <c r="L587" i="6" s="1"/>
  <c r="D587" i="6"/>
  <c r="E587" i="6"/>
  <c r="F587" i="6"/>
  <c r="H587" i="6"/>
  <c r="I587" i="6"/>
  <c r="N587" i="6"/>
  <c r="Q587" i="6"/>
  <c r="S587" i="6" s="1"/>
  <c r="R587" i="6"/>
  <c r="T587" i="6"/>
  <c r="C588" i="6"/>
  <c r="D588" i="6"/>
  <c r="E588" i="6"/>
  <c r="F588" i="6"/>
  <c r="H588" i="6"/>
  <c r="I588" i="6"/>
  <c r="N588" i="6"/>
  <c r="R588" i="6"/>
  <c r="Q588" i="6" s="1"/>
  <c r="S588" i="6" s="1"/>
  <c r="T588" i="6"/>
  <c r="C589" i="6"/>
  <c r="D589" i="6"/>
  <c r="E589" i="6"/>
  <c r="F589" i="6"/>
  <c r="H589" i="6"/>
  <c r="I589" i="6"/>
  <c r="N589" i="6"/>
  <c r="Q589" i="6"/>
  <c r="S589" i="6" s="1"/>
  <c r="R589" i="6"/>
  <c r="T589" i="6"/>
  <c r="C590" i="6"/>
  <c r="D590" i="6"/>
  <c r="E590" i="6"/>
  <c r="F590" i="6"/>
  <c r="H590" i="6"/>
  <c r="I590" i="6"/>
  <c r="N590" i="6"/>
  <c r="R590" i="6"/>
  <c r="Q590" i="6" s="1"/>
  <c r="S590" i="6" s="1"/>
  <c r="T590" i="6"/>
  <c r="C591" i="6"/>
  <c r="D591" i="6"/>
  <c r="E591" i="6"/>
  <c r="F591" i="6"/>
  <c r="H591" i="6"/>
  <c r="I591" i="6"/>
  <c r="N591" i="6"/>
  <c r="Q591" i="6"/>
  <c r="R591" i="6"/>
  <c r="S591" i="6"/>
  <c r="T591" i="6"/>
  <c r="C592" i="6"/>
  <c r="D592" i="6"/>
  <c r="E592" i="6"/>
  <c r="F592" i="6"/>
  <c r="L592" i="6" s="1"/>
  <c r="H592" i="6"/>
  <c r="I592" i="6"/>
  <c r="N592" i="6"/>
  <c r="R592" i="6"/>
  <c r="Q592" i="6" s="1"/>
  <c r="S592" i="6" s="1"/>
  <c r="T592" i="6"/>
  <c r="C593" i="6"/>
  <c r="L593" i="6" s="1"/>
  <c r="D593" i="6"/>
  <c r="E593" i="6"/>
  <c r="F593" i="6"/>
  <c r="H593" i="6"/>
  <c r="I593" i="6"/>
  <c r="N593" i="6"/>
  <c r="Q593" i="6"/>
  <c r="R593" i="6"/>
  <c r="S593" i="6"/>
  <c r="T593" i="6"/>
  <c r="C594" i="6"/>
  <c r="D594" i="6"/>
  <c r="E594" i="6"/>
  <c r="F594" i="6"/>
  <c r="L594" i="6" s="1"/>
  <c r="H594" i="6"/>
  <c r="I594" i="6"/>
  <c r="N594" i="6"/>
  <c r="R594" i="6"/>
  <c r="Q594" i="6" s="1"/>
  <c r="S594" i="6" s="1"/>
  <c r="T594" i="6"/>
  <c r="C595" i="6"/>
  <c r="L595" i="6" s="1"/>
  <c r="D595" i="6"/>
  <c r="E595" i="6"/>
  <c r="F595" i="6"/>
  <c r="H595" i="6"/>
  <c r="I595" i="6"/>
  <c r="N595" i="6"/>
  <c r="Q595" i="6"/>
  <c r="R595" i="6"/>
  <c r="S595" i="6"/>
  <c r="T595" i="6"/>
  <c r="C596" i="6"/>
  <c r="D596" i="6"/>
  <c r="E596" i="6"/>
  <c r="F596" i="6"/>
  <c r="H596" i="6"/>
  <c r="I596" i="6"/>
  <c r="L596" i="6"/>
  <c r="N596" i="6"/>
  <c r="R596" i="6"/>
  <c r="Q596" i="6" s="1"/>
  <c r="S596" i="6" s="1"/>
  <c r="T596" i="6"/>
  <c r="C597" i="6"/>
  <c r="D597" i="6"/>
  <c r="E597" i="6"/>
  <c r="F597" i="6"/>
  <c r="H597" i="6"/>
  <c r="I597" i="6"/>
  <c r="N597" i="6"/>
  <c r="Q597" i="6"/>
  <c r="S597" i="6" s="1"/>
  <c r="R597" i="6"/>
  <c r="T597" i="6"/>
  <c r="C598" i="6"/>
  <c r="D598" i="6"/>
  <c r="E598" i="6"/>
  <c r="F598" i="6"/>
  <c r="L598" i="6" s="1"/>
  <c r="H598" i="6"/>
  <c r="I598" i="6"/>
  <c r="N598" i="6"/>
  <c r="R598" i="6"/>
  <c r="Q598" i="6" s="1"/>
  <c r="S598" i="6" s="1"/>
  <c r="T598" i="6"/>
  <c r="C599" i="6"/>
  <c r="D599" i="6"/>
  <c r="E599" i="6"/>
  <c r="F599" i="6"/>
  <c r="H599" i="6"/>
  <c r="I599" i="6"/>
  <c r="N599" i="6"/>
  <c r="Q599" i="6"/>
  <c r="S599" i="6" s="1"/>
  <c r="R599" i="6"/>
  <c r="T599" i="6"/>
  <c r="B600" i="6"/>
  <c r="C600" i="6"/>
  <c r="D600" i="6"/>
  <c r="E600" i="6"/>
  <c r="F600" i="6"/>
  <c r="H600" i="6"/>
  <c r="I600" i="6"/>
  <c r="L600" i="6"/>
  <c r="N600" i="6"/>
  <c r="R600" i="6"/>
  <c r="Q600" i="6" s="1"/>
  <c r="S600" i="6"/>
  <c r="T600" i="6"/>
  <c r="B601" i="6"/>
  <c r="C601" i="6"/>
  <c r="D601" i="6"/>
  <c r="E601" i="6"/>
  <c r="F601" i="6"/>
  <c r="H601" i="6"/>
  <c r="I601" i="6"/>
  <c r="L601" i="6"/>
  <c r="N601" i="6"/>
  <c r="R601" i="6"/>
  <c r="Q601" i="6" s="1"/>
  <c r="T601" i="6"/>
  <c r="B602" i="6"/>
  <c r="C602" i="6"/>
  <c r="D602" i="6"/>
  <c r="E602" i="6"/>
  <c r="F602" i="6"/>
  <c r="H602" i="6"/>
  <c r="I602" i="6"/>
  <c r="N602" i="6"/>
  <c r="Q602" i="6"/>
  <c r="S602" i="6" s="1"/>
  <c r="R602" i="6"/>
  <c r="T602" i="6"/>
  <c r="B603" i="6"/>
  <c r="C603" i="6"/>
  <c r="D603" i="6"/>
  <c r="E603" i="6"/>
  <c r="F603" i="6"/>
  <c r="L603" i="6" s="1"/>
  <c r="H603" i="6"/>
  <c r="I603" i="6"/>
  <c r="N603" i="6"/>
  <c r="R603" i="6"/>
  <c r="Q603" i="6" s="1"/>
  <c r="S603" i="6" s="1"/>
  <c r="T603" i="6"/>
  <c r="B604" i="6"/>
  <c r="C604" i="6"/>
  <c r="D604" i="6"/>
  <c r="E604" i="6"/>
  <c r="F604" i="6"/>
  <c r="H604" i="6"/>
  <c r="I604" i="6"/>
  <c r="L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N605" i="6"/>
  <c r="R605" i="6"/>
  <c r="Q605" i="6" s="1"/>
  <c r="S605" i="6"/>
  <c r="T605" i="6"/>
  <c r="B606" i="6"/>
  <c r="C606" i="6"/>
  <c r="D606" i="6"/>
  <c r="E606" i="6"/>
  <c r="F606" i="6"/>
  <c r="H606" i="6"/>
  <c r="I606" i="6"/>
  <c r="N606" i="6"/>
  <c r="Q606" i="6"/>
  <c r="S606" i="6" s="1"/>
  <c r="R606" i="6"/>
  <c r="T606" i="6"/>
  <c r="B607" i="6"/>
  <c r="C607" i="6"/>
  <c r="D607" i="6"/>
  <c r="E607" i="6"/>
  <c r="F607" i="6"/>
  <c r="H607" i="6"/>
  <c r="I607" i="6"/>
  <c r="N607" i="6"/>
  <c r="Q607" i="6"/>
  <c r="R607" i="6"/>
  <c r="S607" i="6"/>
  <c r="T607" i="6"/>
  <c r="B608" i="6"/>
  <c r="C608" i="6"/>
  <c r="D608" i="6"/>
  <c r="E608" i="6"/>
  <c r="L608" i="6" s="1"/>
  <c r="F608" i="6"/>
  <c r="H608" i="6"/>
  <c r="I608" i="6"/>
  <c r="N608" i="6"/>
  <c r="R608" i="6"/>
  <c r="Q608" i="6" s="1"/>
  <c r="S608" i="6"/>
  <c r="T608" i="6"/>
  <c r="B609" i="6"/>
  <c r="C609" i="6"/>
  <c r="D609" i="6"/>
  <c r="E609" i="6"/>
  <c r="F609" i="6"/>
  <c r="H609" i="6"/>
  <c r="I609" i="6"/>
  <c r="L609" i="6"/>
  <c r="N609" i="6"/>
  <c r="R609" i="6"/>
  <c r="Q609" i="6" s="1"/>
  <c r="S609" i="6" s="1"/>
  <c r="T609" i="6"/>
  <c r="B610" i="6"/>
  <c r="C610" i="6"/>
  <c r="D610" i="6"/>
  <c r="E610" i="6"/>
  <c r="F610" i="6"/>
  <c r="H610" i="6"/>
  <c r="I610" i="6"/>
  <c r="N610" i="6"/>
  <c r="Q610" i="6"/>
  <c r="S610" i="6" s="1"/>
  <c r="R610" i="6"/>
  <c r="T610" i="6"/>
  <c r="B611" i="6"/>
  <c r="C611" i="6"/>
  <c r="D611" i="6"/>
  <c r="E611" i="6"/>
  <c r="F611" i="6"/>
  <c r="L611" i="6" s="1"/>
  <c r="H611" i="6"/>
  <c r="I611" i="6"/>
  <c r="N611" i="6"/>
  <c r="R611" i="6"/>
  <c r="Q611" i="6" s="1"/>
  <c r="S611" i="6" s="1"/>
  <c r="T611" i="6"/>
  <c r="B612" i="6"/>
  <c r="C612" i="6"/>
  <c r="D612" i="6"/>
  <c r="L612" i="6" s="1"/>
  <c r="E612" i="6"/>
  <c r="F612" i="6"/>
  <c r="H612" i="6"/>
  <c r="I612" i="6"/>
  <c r="N612" i="6"/>
  <c r="R612" i="6"/>
  <c r="Q612" i="6" s="1"/>
  <c r="S612" i="6"/>
  <c r="T612" i="6"/>
  <c r="B613" i="6"/>
  <c r="C613" i="6"/>
  <c r="D613" i="6"/>
  <c r="E613" i="6"/>
  <c r="F613" i="6"/>
  <c r="H613" i="6"/>
  <c r="I613" i="6"/>
  <c r="N613" i="6"/>
  <c r="R613" i="6"/>
  <c r="Q613" i="6" s="1"/>
  <c r="S613" i="6"/>
  <c r="T613" i="6"/>
  <c r="B614" i="6"/>
  <c r="C614" i="6"/>
  <c r="D614" i="6"/>
  <c r="E614" i="6"/>
  <c r="F614" i="6"/>
  <c r="H614" i="6"/>
  <c r="I614" i="6"/>
  <c r="N614" i="6"/>
  <c r="Q614" i="6"/>
  <c r="S614" i="6" s="1"/>
  <c r="R614" i="6"/>
  <c r="T614" i="6"/>
  <c r="B615" i="6"/>
  <c r="C615" i="6"/>
  <c r="D615" i="6"/>
  <c r="E615" i="6"/>
  <c r="F615" i="6"/>
  <c r="H615" i="6"/>
  <c r="I615" i="6"/>
  <c r="N615" i="6"/>
  <c r="Q615" i="6"/>
  <c r="S615" i="6" s="1"/>
  <c r="R615" i="6"/>
  <c r="T615" i="6"/>
  <c r="B616" i="6"/>
  <c r="C616" i="6"/>
  <c r="D616" i="6"/>
  <c r="E616" i="6"/>
  <c r="F616" i="6"/>
  <c r="H616" i="6"/>
  <c r="I616" i="6"/>
  <c r="N616" i="6"/>
  <c r="R616" i="6"/>
  <c r="Q616" i="6" s="1"/>
  <c r="S616" i="6"/>
  <c r="T616" i="6"/>
  <c r="B617" i="6"/>
  <c r="C617" i="6"/>
  <c r="D617" i="6"/>
  <c r="E617" i="6"/>
  <c r="F617" i="6"/>
  <c r="H617" i="6"/>
  <c r="I617" i="6"/>
  <c r="L617" i="6"/>
  <c r="N617" i="6"/>
  <c r="R617" i="6"/>
  <c r="Q617" i="6" s="1"/>
  <c r="T617" i="6"/>
  <c r="B618" i="6"/>
  <c r="C618" i="6"/>
  <c r="D618" i="6"/>
  <c r="E618" i="6"/>
  <c r="F618" i="6"/>
  <c r="H618" i="6"/>
  <c r="I618" i="6"/>
  <c r="N618" i="6"/>
  <c r="Q618" i="6"/>
  <c r="S618" i="6" s="1"/>
  <c r="R618" i="6"/>
  <c r="T618" i="6"/>
  <c r="B619" i="6"/>
  <c r="C619" i="6"/>
  <c r="D619" i="6"/>
  <c r="E619" i="6"/>
  <c r="F619" i="6"/>
  <c r="L619" i="6" s="1"/>
  <c r="H619" i="6"/>
  <c r="I619" i="6"/>
  <c r="N619" i="6"/>
  <c r="R619" i="6"/>
  <c r="Q619" i="6" s="1"/>
  <c r="S619" i="6" s="1"/>
  <c r="T619" i="6"/>
  <c r="B620" i="6"/>
  <c r="C620" i="6"/>
  <c r="D620" i="6"/>
  <c r="E620" i="6"/>
  <c r="F620" i="6"/>
  <c r="H620" i="6"/>
  <c r="I620" i="6"/>
  <c r="L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N621" i="6"/>
  <c r="R621" i="6"/>
  <c r="Q621" i="6" s="1"/>
  <c r="S621" i="6"/>
  <c r="T621" i="6"/>
  <c r="B622" i="6"/>
  <c r="C622" i="6"/>
  <c r="D622" i="6"/>
  <c r="E622" i="6"/>
  <c r="F622" i="6"/>
  <c r="H622" i="6"/>
  <c r="I622" i="6"/>
  <c r="N622" i="6"/>
  <c r="Q622" i="6"/>
  <c r="S622" i="6" s="1"/>
  <c r="R622" i="6"/>
  <c r="T622" i="6"/>
  <c r="B623" i="6"/>
  <c r="C623" i="6"/>
  <c r="D623" i="6"/>
  <c r="E623" i="6"/>
  <c r="F623" i="6"/>
  <c r="H623" i="6"/>
  <c r="I623" i="6"/>
  <c r="N623" i="6"/>
  <c r="Q623" i="6"/>
  <c r="R623" i="6"/>
  <c r="S623" i="6"/>
  <c r="T623" i="6"/>
  <c r="B624" i="6"/>
  <c r="C624" i="6"/>
  <c r="D624" i="6"/>
  <c r="E624" i="6"/>
  <c r="L624" i="6" s="1"/>
  <c r="F624" i="6"/>
  <c r="H624" i="6"/>
  <c r="I624" i="6"/>
  <c r="N624" i="6"/>
  <c r="R624" i="6"/>
  <c r="Q624" i="6" s="1"/>
  <c r="S624" i="6"/>
  <c r="T624" i="6"/>
  <c r="B625" i="6"/>
  <c r="C625" i="6"/>
  <c r="D625" i="6"/>
  <c r="E625" i="6"/>
  <c r="F625" i="6"/>
  <c r="H625" i="6"/>
  <c r="I625" i="6"/>
  <c r="L625" i="6"/>
  <c r="N625" i="6"/>
  <c r="R625" i="6"/>
  <c r="Q625" i="6" s="1"/>
  <c r="S625" i="6" s="1"/>
  <c r="T625" i="6"/>
  <c r="B626" i="6"/>
  <c r="C626" i="6"/>
  <c r="D626" i="6"/>
  <c r="E626" i="6"/>
  <c r="F626" i="6"/>
  <c r="H626" i="6"/>
  <c r="I626" i="6"/>
  <c r="N626" i="6"/>
  <c r="Q626" i="6"/>
  <c r="S626" i="6" s="1"/>
  <c r="R626" i="6"/>
  <c r="T626" i="6"/>
  <c r="B627" i="6"/>
  <c r="C627" i="6"/>
  <c r="D627" i="6"/>
  <c r="E627" i="6"/>
  <c r="F627" i="6"/>
  <c r="H627" i="6"/>
  <c r="I627" i="6"/>
  <c r="L627" i="6"/>
  <c r="N627" i="6"/>
  <c r="R627" i="6"/>
  <c r="Q627" i="6" s="1"/>
  <c r="S627" i="6" s="1"/>
  <c r="T627" i="6"/>
  <c r="B628" i="6"/>
  <c r="C628" i="6"/>
  <c r="D628" i="6"/>
  <c r="L628" i="6" s="1"/>
  <c r="E628" i="6"/>
  <c r="F628" i="6"/>
  <c r="H628" i="6"/>
  <c r="I628" i="6"/>
  <c r="N628" i="6"/>
  <c r="R628" i="6"/>
  <c r="Q628" i="6" s="1"/>
  <c r="S628" i="6"/>
  <c r="T628" i="6"/>
  <c r="B629" i="6"/>
  <c r="C629" i="6"/>
  <c r="L629" i="6" s="1"/>
  <c r="D629" i="6"/>
  <c r="E629" i="6"/>
  <c r="F629" i="6"/>
  <c r="H629" i="6"/>
  <c r="I629" i="6"/>
  <c r="N629" i="6"/>
  <c r="R629" i="6"/>
  <c r="Q629" i="6" s="1"/>
  <c r="S629" i="6" s="1"/>
  <c r="T629" i="6"/>
  <c r="B630" i="6"/>
  <c r="C630" i="6"/>
  <c r="D630" i="6"/>
  <c r="E630" i="6"/>
  <c r="F630" i="6"/>
  <c r="H630" i="6"/>
  <c r="I630" i="6"/>
  <c r="N630" i="6"/>
  <c r="Q630" i="6"/>
  <c r="S630" i="6" s="1"/>
  <c r="R630" i="6"/>
  <c r="T630" i="6"/>
  <c r="B631" i="6"/>
  <c r="C631" i="6"/>
  <c r="D631" i="6"/>
  <c r="E631" i="6"/>
  <c r="F631" i="6"/>
  <c r="H631" i="6"/>
  <c r="I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L632" i="6" s="1"/>
  <c r="N632" i="6"/>
  <c r="R632" i="6"/>
  <c r="Q632" i="6" s="1"/>
  <c r="S632" i="6"/>
  <c r="T632" i="6"/>
  <c r="B633" i="6"/>
  <c r="C633" i="6"/>
  <c r="D633" i="6"/>
  <c r="L633" i="6" s="1"/>
  <c r="E633" i="6"/>
  <c r="F633" i="6"/>
  <c r="H633" i="6"/>
  <c r="I633" i="6"/>
  <c r="N633" i="6"/>
  <c r="R633" i="6"/>
  <c r="Q633" i="6" s="1"/>
  <c r="S633" i="6" s="1"/>
  <c r="T633" i="6"/>
  <c r="B634" i="6"/>
  <c r="C634" i="6"/>
  <c r="D634" i="6"/>
  <c r="E634" i="6"/>
  <c r="F634" i="6"/>
  <c r="H634" i="6"/>
  <c r="I634" i="6"/>
  <c r="N634" i="6"/>
  <c r="Q634" i="6"/>
  <c r="S634" i="6" s="1"/>
  <c r="R634" i="6"/>
  <c r="T634" i="6"/>
  <c r="B635" i="6"/>
  <c r="C635" i="6"/>
  <c r="D635" i="6"/>
  <c r="E635" i="6"/>
  <c r="F635" i="6"/>
  <c r="L635" i="6" s="1"/>
  <c r="H635" i="6"/>
  <c r="I635" i="6"/>
  <c r="N635" i="6"/>
  <c r="R635" i="6"/>
  <c r="Q635" i="6" s="1"/>
  <c r="S635" i="6" s="1"/>
  <c r="T635" i="6"/>
  <c r="B636" i="6"/>
  <c r="C636" i="6"/>
  <c r="D636" i="6"/>
  <c r="L636" i="6" s="1"/>
  <c r="E636" i="6"/>
  <c r="F636" i="6"/>
  <c r="H636" i="6"/>
  <c r="I636" i="6"/>
  <c r="N636" i="6"/>
  <c r="R636" i="6"/>
  <c r="Q636" i="6" s="1"/>
  <c r="S636" i="6" s="1"/>
  <c r="T636" i="6"/>
  <c r="B637" i="6"/>
  <c r="C637" i="6"/>
  <c r="L637" i="6" s="1"/>
  <c r="D637" i="6"/>
  <c r="E637" i="6"/>
  <c r="F637" i="6"/>
  <c r="H637" i="6"/>
  <c r="I637" i="6"/>
  <c r="N637" i="6"/>
  <c r="R637" i="6"/>
  <c r="Q637" i="6" s="1"/>
  <c r="S637" i="6"/>
  <c r="T637" i="6"/>
  <c r="B638" i="6"/>
  <c r="C638" i="6"/>
  <c r="D638" i="6"/>
  <c r="E638" i="6"/>
  <c r="F638" i="6"/>
  <c r="H638" i="6"/>
  <c r="I638" i="6"/>
  <c r="N638" i="6"/>
  <c r="Q638" i="6"/>
  <c r="S638" i="6" s="1"/>
  <c r="R638" i="6"/>
  <c r="T638" i="6"/>
  <c r="B639" i="6"/>
  <c r="C639" i="6"/>
  <c r="D639" i="6"/>
  <c r="E639" i="6"/>
  <c r="F639" i="6"/>
  <c r="H639" i="6"/>
  <c r="I639" i="6"/>
  <c r="N639" i="6"/>
  <c r="Q639" i="6"/>
  <c r="R639" i="6"/>
  <c r="S639" i="6"/>
  <c r="T639" i="6"/>
  <c r="B640" i="6"/>
  <c r="C640" i="6"/>
  <c r="D640" i="6"/>
  <c r="E640" i="6"/>
  <c r="F640" i="6"/>
  <c r="H640" i="6"/>
  <c r="I640" i="6"/>
  <c r="L640" i="6"/>
  <c r="N640" i="6"/>
  <c r="R640" i="6"/>
  <c r="Q640" i="6" s="1"/>
  <c r="S640" i="6"/>
  <c r="T640" i="6"/>
  <c r="B641" i="6"/>
  <c r="C641" i="6"/>
  <c r="D641" i="6"/>
  <c r="E641" i="6"/>
  <c r="F641" i="6"/>
  <c r="H641" i="6"/>
  <c r="I641" i="6"/>
  <c r="L641" i="6" s="1"/>
  <c r="N641" i="6"/>
  <c r="R641" i="6"/>
  <c r="Q641" i="6" s="1"/>
  <c r="S641" i="6" s="1"/>
  <c r="T641" i="6"/>
  <c r="B642" i="6"/>
  <c r="C642" i="6"/>
  <c r="D642" i="6"/>
  <c r="E642" i="6"/>
  <c r="F642" i="6"/>
  <c r="H642" i="6"/>
  <c r="I642" i="6"/>
  <c r="N642" i="6"/>
  <c r="Q642" i="6"/>
  <c r="S642" i="6" s="1"/>
  <c r="R642" i="6"/>
  <c r="T642" i="6"/>
  <c r="B643" i="6"/>
  <c r="C643" i="6"/>
  <c r="D643" i="6"/>
  <c r="E643" i="6"/>
  <c r="F643" i="6"/>
  <c r="H643" i="6"/>
  <c r="I643" i="6"/>
  <c r="N643" i="6"/>
  <c r="R643" i="6"/>
  <c r="Q643" i="6" s="1"/>
  <c r="S643" i="6" s="1"/>
  <c r="T643" i="6"/>
  <c r="B644" i="6"/>
  <c r="C644" i="6"/>
  <c r="D644" i="6"/>
  <c r="L644" i="6" s="1"/>
  <c r="E644" i="6"/>
  <c r="F644" i="6"/>
  <c r="H644" i="6"/>
  <c r="I644" i="6"/>
  <c r="N644" i="6"/>
  <c r="R644" i="6"/>
  <c r="Q644" i="6" s="1"/>
  <c r="S644" i="6"/>
  <c r="T644" i="6"/>
  <c r="B645" i="6"/>
  <c r="C645" i="6"/>
  <c r="D645" i="6"/>
  <c r="E645" i="6"/>
  <c r="F645" i="6"/>
  <c r="H645" i="6"/>
  <c r="I645" i="6"/>
  <c r="N645" i="6"/>
  <c r="R645" i="6"/>
  <c r="Q645" i="6" s="1"/>
  <c r="S645" i="6"/>
  <c r="T645" i="6"/>
  <c r="B646" i="6"/>
  <c r="C646" i="6"/>
  <c r="D646" i="6"/>
  <c r="E646" i="6"/>
  <c r="F646" i="6"/>
  <c r="H646" i="6"/>
  <c r="I646" i="6"/>
  <c r="N646" i="6"/>
  <c r="Q646" i="6"/>
  <c r="S646" i="6" s="1"/>
  <c r="R646" i="6"/>
  <c r="T646" i="6"/>
  <c r="B647" i="6"/>
  <c r="C647" i="6"/>
  <c r="D647" i="6"/>
  <c r="E647" i="6"/>
  <c r="F647" i="6"/>
  <c r="H647" i="6"/>
  <c r="I647" i="6"/>
  <c r="N647" i="6"/>
  <c r="Q647" i="6"/>
  <c r="S647" i="6" s="1"/>
  <c r="R647" i="6"/>
  <c r="T647" i="6"/>
  <c r="B648" i="6"/>
  <c r="C648" i="6"/>
  <c r="D648" i="6"/>
  <c r="E648" i="6"/>
  <c r="F648" i="6"/>
  <c r="H648" i="6"/>
  <c r="I648" i="6"/>
  <c r="L648" i="6"/>
  <c r="N648" i="6"/>
  <c r="R648" i="6"/>
  <c r="Q648" i="6" s="1"/>
  <c r="S648" i="6"/>
  <c r="T648" i="6"/>
  <c r="B649" i="6"/>
  <c r="C649" i="6"/>
  <c r="D649" i="6"/>
  <c r="E649" i="6"/>
  <c r="F649" i="6"/>
  <c r="H649" i="6"/>
  <c r="I649" i="6"/>
  <c r="L649" i="6"/>
  <c r="N649" i="6"/>
  <c r="R649" i="6"/>
  <c r="Q649" i="6" s="1"/>
  <c r="S649" i="6" s="1"/>
  <c r="T649" i="6"/>
  <c r="B650" i="6"/>
  <c r="C650" i="6"/>
  <c r="D650" i="6"/>
  <c r="E650" i="6"/>
  <c r="F650" i="6"/>
  <c r="H650" i="6"/>
  <c r="I650" i="6"/>
  <c r="N650" i="6"/>
  <c r="Q650" i="6"/>
  <c r="S650" i="6" s="1"/>
  <c r="R650" i="6"/>
  <c r="T650" i="6"/>
  <c r="B651" i="6"/>
  <c r="C651" i="6"/>
  <c r="D651" i="6"/>
  <c r="E651" i="6"/>
  <c r="F651" i="6"/>
  <c r="L651" i="6" s="1"/>
  <c r="H651" i="6"/>
  <c r="I651" i="6"/>
  <c r="N651" i="6"/>
  <c r="R651" i="6"/>
  <c r="Q651" i="6" s="1"/>
  <c r="S651" i="6" s="1"/>
  <c r="T651" i="6"/>
  <c r="B652" i="6"/>
  <c r="C652" i="6"/>
  <c r="D652" i="6"/>
  <c r="L652" i="6" s="1"/>
  <c r="E652" i="6"/>
  <c r="F652" i="6"/>
  <c r="H652" i="6"/>
  <c r="I652" i="6"/>
  <c r="N652" i="6"/>
  <c r="R652" i="6"/>
  <c r="Q652" i="6" s="1"/>
  <c r="S652" i="6" s="1"/>
  <c r="T652" i="6"/>
  <c r="B653" i="6"/>
  <c r="C653" i="6"/>
  <c r="L653" i="6" s="1"/>
  <c r="D653" i="6"/>
  <c r="E653" i="6"/>
  <c r="F653" i="6"/>
  <c r="H653" i="6"/>
  <c r="I653" i="6"/>
  <c r="N653" i="6"/>
  <c r="R653" i="6"/>
  <c r="Q653" i="6" s="1"/>
  <c r="S653" i="6"/>
  <c r="T653" i="6"/>
  <c r="B654" i="6"/>
  <c r="C654" i="6"/>
  <c r="D654" i="6"/>
  <c r="E654" i="6"/>
  <c r="F654" i="6"/>
  <c r="H654" i="6"/>
  <c r="I654" i="6"/>
  <c r="N654" i="6"/>
  <c r="Q654" i="6"/>
  <c r="S654" i="6" s="1"/>
  <c r="R654" i="6"/>
  <c r="T654" i="6"/>
  <c r="B655" i="6"/>
  <c r="C655" i="6"/>
  <c r="D655" i="6"/>
  <c r="E655" i="6"/>
  <c r="F655" i="6"/>
  <c r="H655" i="6"/>
  <c r="I655" i="6"/>
  <c r="N655" i="6"/>
  <c r="Q655" i="6"/>
  <c r="R655" i="6"/>
  <c r="S655" i="6"/>
  <c r="T655" i="6"/>
  <c r="B656" i="6"/>
  <c r="C656" i="6"/>
  <c r="D656" i="6"/>
  <c r="E656" i="6"/>
  <c r="F656" i="6"/>
  <c r="H656" i="6"/>
  <c r="I656" i="6"/>
  <c r="L656" i="6"/>
  <c r="N656" i="6"/>
  <c r="R656" i="6"/>
  <c r="Q656" i="6" s="1"/>
  <c r="S656" i="6"/>
  <c r="T656" i="6"/>
  <c r="B657" i="6"/>
  <c r="C657" i="6"/>
  <c r="D657" i="6"/>
  <c r="E657" i="6"/>
  <c r="F657" i="6"/>
  <c r="H657" i="6"/>
  <c r="I657" i="6"/>
  <c r="L657" i="6"/>
  <c r="N657" i="6"/>
  <c r="R657" i="6"/>
  <c r="Q657" i="6" s="1"/>
  <c r="S657" i="6" s="1"/>
  <c r="T657" i="6"/>
  <c r="B658" i="6"/>
  <c r="C658" i="6"/>
  <c r="D658" i="6"/>
  <c r="E658" i="6"/>
  <c r="F658" i="6"/>
  <c r="H658" i="6"/>
  <c r="I658" i="6"/>
  <c r="N658" i="6"/>
  <c r="Q658" i="6"/>
  <c r="S658" i="6" s="1"/>
  <c r="R658" i="6"/>
  <c r="T658" i="6"/>
  <c r="B659" i="6"/>
  <c r="C659" i="6"/>
  <c r="D659" i="6"/>
  <c r="E659" i="6"/>
  <c r="F659" i="6"/>
  <c r="H659" i="6"/>
  <c r="I659" i="6"/>
  <c r="N659" i="6"/>
  <c r="R659" i="6"/>
  <c r="Q659" i="6" s="1"/>
  <c r="S659" i="6" s="1"/>
  <c r="T659" i="6"/>
  <c r="B660" i="6"/>
  <c r="C660" i="6"/>
  <c r="D660" i="6"/>
  <c r="L660" i="6" s="1"/>
  <c r="E660" i="6"/>
  <c r="F660" i="6"/>
  <c r="H660" i="6"/>
  <c r="I660" i="6"/>
  <c r="N660" i="6"/>
  <c r="R660" i="6"/>
  <c r="Q660" i="6" s="1"/>
  <c r="S660" i="6" s="1"/>
  <c r="T660" i="6"/>
  <c r="B661" i="6"/>
  <c r="C661" i="6"/>
  <c r="D661" i="6"/>
  <c r="E661" i="6"/>
  <c r="F661" i="6"/>
  <c r="H661" i="6"/>
  <c r="I661" i="6"/>
  <c r="N661" i="6"/>
  <c r="R661" i="6"/>
  <c r="Q661" i="6" s="1"/>
  <c r="S661" i="6" s="1"/>
  <c r="T661" i="6"/>
  <c r="B662" i="6"/>
  <c r="C662" i="6"/>
  <c r="D662" i="6"/>
  <c r="E662" i="6"/>
  <c r="F662" i="6"/>
  <c r="H662" i="6"/>
  <c r="I662" i="6"/>
  <c r="N662" i="6"/>
  <c r="Q662" i="6"/>
  <c r="S662" i="6" s="1"/>
  <c r="R662" i="6"/>
  <c r="T662" i="6"/>
  <c r="B663" i="6"/>
  <c r="C663" i="6"/>
  <c r="D663" i="6"/>
  <c r="E663" i="6"/>
  <c r="F663" i="6"/>
  <c r="H663" i="6"/>
  <c r="I663" i="6"/>
  <c r="N663" i="6"/>
  <c r="Q663" i="6"/>
  <c r="R663" i="6"/>
  <c r="S663" i="6"/>
  <c r="T663" i="6"/>
  <c r="B664" i="6"/>
  <c r="C664" i="6"/>
  <c r="D664" i="6"/>
  <c r="E664" i="6"/>
  <c r="L664" i="6" s="1"/>
  <c r="F664" i="6"/>
  <c r="H664" i="6"/>
  <c r="I664" i="6"/>
  <c r="N664" i="6"/>
  <c r="R664" i="6"/>
  <c r="Q664" i="6" s="1"/>
  <c r="S664" i="6"/>
  <c r="T664" i="6"/>
  <c r="B665" i="6"/>
  <c r="C665" i="6"/>
  <c r="D665" i="6"/>
  <c r="L665" i="6" s="1"/>
  <c r="E665" i="6"/>
  <c r="F665" i="6"/>
  <c r="H665" i="6"/>
  <c r="I665" i="6"/>
  <c r="N665" i="6"/>
  <c r="R665" i="6"/>
  <c r="Q665" i="6" s="1"/>
  <c r="T665" i="6"/>
  <c r="B666" i="6"/>
  <c r="C666" i="6"/>
  <c r="D666" i="6"/>
  <c r="E666" i="6"/>
  <c r="F666" i="6"/>
  <c r="H666" i="6"/>
  <c r="I666" i="6"/>
  <c r="N666" i="6"/>
  <c r="Q666" i="6"/>
  <c r="S666" i="6" s="1"/>
  <c r="R666" i="6"/>
  <c r="T666" i="6"/>
  <c r="B667" i="6"/>
  <c r="C667" i="6"/>
  <c r="D667" i="6"/>
  <c r="E667" i="6"/>
  <c r="F667" i="6"/>
  <c r="L667" i="6" s="1"/>
  <c r="H667" i="6"/>
  <c r="I667" i="6"/>
  <c r="N667" i="6"/>
  <c r="R667" i="6"/>
  <c r="Q667" i="6" s="1"/>
  <c r="S667" i="6" s="1"/>
  <c r="T667" i="6"/>
  <c r="B668" i="6"/>
  <c r="C668" i="6"/>
  <c r="D668" i="6"/>
  <c r="L668" i="6" s="1"/>
  <c r="E668" i="6"/>
  <c r="F668" i="6"/>
  <c r="H668" i="6"/>
  <c r="I668" i="6"/>
  <c r="N668" i="6"/>
  <c r="R668" i="6"/>
  <c r="Q668" i="6" s="1"/>
  <c r="S668" i="6" s="1"/>
  <c r="T668" i="6"/>
  <c r="B669" i="6"/>
  <c r="C669" i="6"/>
  <c r="D669" i="6"/>
  <c r="E669" i="6"/>
  <c r="F669" i="6"/>
  <c r="H669" i="6"/>
  <c r="I669" i="6"/>
  <c r="N669" i="6"/>
  <c r="R669" i="6"/>
  <c r="Q669" i="6" s="1"/>
  <c r="S669" i="6"/>
  <c r="T669" i="6"/>
  <c r="B670" i="6"/>
  <c r="C670" i="6"/>
  <c r="L670" i="6" s="1"/>
  <c r="D670" i="6"/>
  <c r="E670" i="6"/>
  <c r="F670" i="6"/>
  <c r="H670" i="6"/>
  <c r="I670" i="6"/>
  <c r="N670" i="6"/>
  <c r="Q670" i="6"/>
  <c r="S670" i="6" s="1"/>
  <c r="R670" i="6"/>
  <c r="T670" i="6"/>
  <c r="B671" i="6"/>
  <c r="C671" i="6"/>
  <c r="D671" i="6"/>
  <c r="E671" i="6"/>
  <c r="F671" i="6"/>
  <c r="H671" i="6"/>
  <c r="I671" i="6"/>
  <c r="N671" i="6"/>
  <c r="Q671" i="6"/>
  <c r="R671" i="6"/>
  <c r="S671" i="6"/>
  <c r="T671" i="6"/>
  <c r="B672" i="6"/>
  <c r="C672" i="6"/>
  <c r="D672" i="6"/>
  <c r="E672" i="6"/>
  <c r="L672" i="6" s="1"/>
  <c r="F672" i="6"/>
  <c r="H672" i="6"/>
  <c r="I672" i="6"/>
  <c r="N672" i="6"/>
  <c r="R672" i="6"/>
  <c r="Q672" i="6" s="1"/>
  <c r="S672" i="6"/>
  <c r="T672" i="6"/>
  <c r="B673" i="6"/>
  <c r="C673" i="6"/>
  <c r="D673" i="6"/>
  <c r="E673" i="6"/>
  <c r="F673" i="6"/>
  <c r="H673" i="6"/>
  <c r="I673" i="6"/>
  <c r="L673" i="6" s="1"/>
  <c r="N673" i="6"/>
  <c r="R673" i="6"/>
  <c r="Q673" i="6" s="1"/>
  <c r="S673" i="6" s="1"/>
  <c r="T673" i="6"/>
  <c r="B674" i="6"/>
  <c r="C674" i="6"/>
  <c r="D674" i="6"/>
  <c r="E674" i="6"/>
  <c r="F674" i="6"/>
  <c r="H674" i="6"/>
  <c r="I674" i="6"/>
  <c r="N674" i="6"/>
  <c r="Q674" i="6"/>
  <c r="S674" i="6" s="1"/>
  <c r="R674" i="6"/>
  <c r="T674" i="6"/>
  <c r="B675" i="6"/>
  <c r="C675" i="6"/>
  <c r="D675" i="6"/>
  <c r="E675" i="6"/>
  <c r="F675" i="6"/>
  <c r="L675" i="6" s="1"/>
  <c r="H675" i="6"/>
  <c r="I675" i="6"/>
  <c r="N675" i="6"/>
  <c r="R675" i="6"/>
  <c r="Q675" i="6" s="1"/>
  <c r="S675" i="6" s="1"/>
  <c r="T675" i="6"/>
  <c r="B676" i="6"/>
  <c r="C676" i="6"/>
  <c r="D676" i="6"/>
  <c r="L676" i="6" s="1"/>
  <c r="E676" i="6"/>
  <c r="F676" i="6"/>
  <c r="H676" i="6"/>
  <c r="I676" i="6"/>
  <c r="N676" i="6"/>
  <c r="R676" i="6"/>
  <c r="Q676" i="6" s="1"/>
  <c r="S676" i="6"/>
  <c r="T676" i="6"/>
  <c r="B677" i="6"/>
  <c r="C677" i="6"/>
  <c r="D677" i="6"/>
  <c r="E677" i="6"/>
  <c r="F677" i="6"/>
  <c r="H677" i="6"/>
  <c r="I677" i="6"/>
  <c r="N677" i="6"/>
  <c r="R677" i="6"/>
  <c r="Q677" i="6" s="1"/>
  <c r="S677" i="6"/>
  <c r="T677" i="6"/>
  <c r="B678" i="6"/>
  <c r="C678" i="6"/>
  <c r="D678" i="6"/>
  <c r="E678" i="6"/>
  <c r="F678" i="6"/>
  <c r="H678" i="6"/>
  <c r="I678" i="6"/>
  <c r="N678" i="6"/>
  <c r="Q678" i="6"/>
  <c r="S678" i="6" s="1"/>
  <c r="R678" i="6"/>
  <c r="T678" i="6"/>
  <c r="B679" i="6"/>
  <c r="C679" i="6"/>
  <c r="D679" i="6"/>
  <c r="E679" i="6"/>
  <c r="F679" i="6"/>
  <c r="H679" i="6"/>
  <c r="I679" i="6"/>
  <c r="N679" i="6"/>
  <c r="Q679" i="6"/>
  <c r="S679" i="6" s="1"/>
  <c r="R679" i="6"/>
  <c r="T679" i="6"/>
  <c r="B680" i="6"/>
  <c r="C680" i="6"/>
  <c r="D680" i="6"/>
  <c r="E680" i="6"/>
  <c r="F680" i="6"/>
  <c r="H680" i="6"/>
  <c r="I680" i="6"/>
  <c r="N680" i="6"/>
  <c r="R680" i="6"/>
  <c r="Q680" i="6" s="1"/>
  <c r="S680" i="6"/>
  <c r="T680" i="6"/>
  <c r="B681" i="6"/>
  <c r="C681" i="6"/>
  <c r="D681" i="6"/>
  <c r="E681" i="6"/>
  <c r="F681" i="6"/>
  <c r="H681" i="6"/>
  <c r="I681" i="6"/>
  <c r="L681" i="6"/>
  <c r="N681" i="6"/>
  <c r="R681" i="6"/>
  <c r="Q681" i="6" s="1"/>
  <c r="S681" i="6" s="1"/>
  <c r="T681" i="6"/>
  <c r="B682" i="6"/>
  <c r="C682" i="6"/>
  <c r="D682" i="6"/>
  <c r="E682" i="6"/>
  <c r="F682" i="6"/>
  <c r="H682" i="6"/>
  <c r="I682" i="6"/>
  <c r="N682" i="6"/>
  <c r="Q682" i="6"/>
  <c r="S682" i="6" s="1"/>
  <c r="R682" i="6"/>
  <c r="T682" i="6"/>
  <c r="B683" i="6"/>
  <c r="C683" i="6"/>
  <c r="D683" i="6"/>
  <c r="E683" i="6"/>
  <c r="F683" i="6"/>
  <c r="L683" i="6" s="1"/>
  <c r="H683" i="6"/>
  <c r="I683" i="6"/>
  <c r="N683" i="6"/>
  <c r="R683" i="6"/>
  <c r="Q683" i="6" s="1"/>
  <c r="S683" i="6" s="1"/>
  <c r="T683" i="6"/>
  <c r="B684" i="6"/>
  <c r="C684" i="6"/>
  <c r="D684" i="6"/>
  <c r="L684" i="6" s="1"/>
  <c r="E684" i="6"/>
  <c r="F684" i="6"/>
  <c r="H684" i="6"/>
  <c r="I684" i="6"/>
  <c r="N684" i="6"/>
  <c r="R684" i="6"/>
  <c r="Q684" i="6" s="1"/>
  <c r="S684" i="6" s="1"/>
  <c r="T684" i="6"/>
  <c r="B685" i="6"/>
  <c r="C685" i="6"/>
  <c r="D685" i="6"/>
  <c r="E685" i="6"/>
  <c r="F685" i="6"/>
  <c r="H685" i="6"/>
  <c r="I685" i="6"/>
  <c r="N685" i="6"/>
  <c r="R685" i="6"/>
  <c r="Q685" i="6" s="1"/>
  <c r="S685" i="6"/>
  <c r="T685" i="6"/>
  <c r="B686" i="6"/>
  <c r="C686" i="6"/>
  <c r="D686" i="6"/>
  <c r="E686" i="6"/>
  <c r="F686" i="6"/>
  <c r="H686" i="6"/>
  <c r="I686" i="6"/>
  <c r="N686" i="6"/>
  <c r="Q686" i="6"/>
  <c r="S686" i="6" s="1"/>
  <c r="R686" i="6"/>
  <c r="T686" i="6"/>
  <c r="B687" i="6"/>
  <c r="C687" i="6"/>
  <c r="D687" i="6"/>
  <c r="E687" i="6"/>
  <c r="F687" i="6"/>
  <c r="H687" i="6"/>
  <c r="I687" i="6"/>
  <c r="N687" i="6"/>
  <c r="Q687" i="6"/>
  <c r="R687" i="6"/>
  <c r="S687" i="6"/>
  <c r="T687" i="6"/>
  <c r="B688" i="6"/>
  <c r="C688" i="6"/>
  <c r="D688" i="6"/>
  <c r="E688" i="6"/>
  <c r="L688" i="6" s="1"/>
  <c r="F688" i="6"/>
  <c r="H688" i="6"/>
  <c r="I688" i="6"/>
  <c r="N688" i="6"/>
  <c r="R688" i="6"/>
  <c r="Q688" i="6" s="1"/>
  <c r="S688" i="6"/>
  <c r="T688" i="6"/>
  <c r="B689" i="6"/>
  <c r="C689" i="6"/>
  <c r="D689" i="6"/>
  <c r="E689" i="6"/>
  <c r="F689" i="6"/>
  <c r="H689" i="6"/>
  <c r="I689" i="6"/>
  <c r="L689" i="6"/>
  <c r="N689" i="6"/>
  <c r="R689" i="6"/>
  <c r="Q689" i="6" s="1"/>
  <c r="S689" i="6" s="1"/>
  <c r="T689" i="6"/>
  <c r="B690" i="6"/>
  <c r="C690" i="6"/>
  <c r="D690" i="6"/>
  <c r="E690" i="6"/>
  <c r="F690" i="6"/>
  <c r="H690" i="6"/>
  <c r="I690" i="6"/>
  <c r="N690" i="6"/>
  <c r="Q690" i="6"/>
  <c r="S690" i="6" s="1"/>
  <c r="R690" i="6"/>
  <c r="T690" i="6"/>
  <c r="B691" i="6"/>
  <c r="C691" i="6"/>
  <c r="D691" i="6"/>
  <c r="E691" i="6"/>
  <c r="F691" i="6"/>
  <c r="H691" i="6"/>
  <c r="I691" i="6"/>
  <c r="L691" i="6"/>
  <c r="N691" i="6"/>
  <c r="R691" i="6"/>
  <c r="Q691" i="6" s="1"/>
  <c r="S691" i="6" s="1"/>
  <c r="T691" i="6"/>
  <c r="B692" i="6"/>
  <c r="C692" i="6"/>
  <c r="D692" i="6"/>
  <c r="L692" i="6" s="1"/>
  <c r="E692" i="6"/>
  <c r="F692" i="6"/>
  <c r="H692" i="6"/>
  <c r="I692" i="6"/>
  <c r="N692" i="6"/>
  <c r="R692" i="6"/>
  <c r="Q692" i="6" s="1"/>
  <c r="S692" i="6"/>
  <c r="T692" i="6"/>
  <c r="B693" i="6"/>
  <c r="C693" i="6"/>
  <c r="L693" i="6" s="1"/>
  <c r="D693" i="6"/>
  <c r="E693" i="6"/>
  <c r="F693" i="6"/>
  <c r="H693" i="6"/>
  <c r="I693" i="6"/>
  <c r="N693" i="6"/>
  <c r="R693" i="6"/>
  <c r="Q693" i="6" s="1"/>
  <c r="S693" i="6" s="1"/>
  <c r="T693" i="6"/>
  <c r="B694" i="6"/>
  <c r="C694" i="6"/>
  <c r="D694" i="6"/>
  <c r="E694" i="6"/>
  <c r="F694" i="6"/>
  <c r="H694" i="6"/>
  <c r="I694" i="6"/>
  <c r="N694" i="6"/>
  <c r="Q694" i="6"/>
  <c r="S694" i="6" s="1"/>
  <c r="R694" i="6"/>
  <c r="T694" i="6"/>
  <c r="B695" i="6"/>
  <c r="C695" i="6"/>
  <c r="D695" i="6"/>
  <c r="E695" i="6"/>
  <c r="F695" i="6"/>
  <c r="H695" i="6"/>
  <c r="I695" i="6"/>
  <c r="N695" i="6"/>
  <c r="Q695" i="6"/>
  <c r="R695" i="6"/>
  <c r="S695" i="6"/>
  <c r="T695" i="6"/>
  <c r="B696" i="6"/>
  <c r="C696" i="6"/>
  <c r="D696" i="6"/>
  <c r="E696" i="6"/>
  <c r="F696" i="6"/>
  <c r="H696" i="6"/>
  <c r="I696" i="6"/>
  <c r="L696" i="6" s="1"/>
  <c r="N696" i="6"/>
  <c r="R696" i="6"/>
  <c r="Q696" i="6" s="1"/>
  <c r="S696" i="6"/>
  <c r="T696" i="6"/>
  <c r="B697" i="6"/>
  <c r="C697" i="6"/>
  <c r="D697" i="6"/>
  <c r="L697" i="6" s="1"/>
  <c r="E697" i="6"/>
  <c r="F697" i="6"/>
  <c r="H697" i="6"/>
  <c r="I697" i="6"/>
  <c r="N697" i="6"/>
  <c r="R697" i="6"/>
  <c r="Q697" i="6" s="1"/>
  <c r="S697" i="6" s="1"/>
  <c r="T697" i="6"/>
  <c r="B698" i="6"/>
  <c r="C698" i="6"/>
  <c r="D698" i="6"/>
  <c r="E698" i="6"/>
  <c r="F698" i="6"/>
  <c r="H698" i="6"/>
  <c r="I698" i="6"/>
  <c r="N698" i="6"/>
  <c r="Q698" i="6"/>
  <c r="S698" i="6" s="1"/>
  <c r="R698" i="6"/>
  <c r="T698" i="6"/>
  <c r="B699" i="6"/>
  <c r="C699" i="6"/>
  <c r="D699" i="6"/>
  <c r="E699" i="6"/>
  <c r="F699" i="6"/>
  <c r="L699" i="6" s="1"/>
  <c r="H699" i="6"/>
  <c r="I699" i="6"/>
  <c r="N699" i="6"/>
  <c r="R699" i="6"/>
  <c r="Q699" i="6" s="1"/>
  <c r="S699" i="6" s="1"/>
  <c r="T699" i="6"/>
  <c r="B700" i="6"/>
  <c r="C700" i="6"/>
  <c r="D700" i="6"/>
  <c r="L700" i="6" s="1"/>
  <c r="E700" i="6"/>
  <c r="F700" i="6"/>
  <c r="H700" i="6"/>
  <c r="I700" i="6"/>
  <c r="N700" i="6"/>
  <c r="R700" i="6"/>
  <c r="Q700" i="6" s="1"/>
  <c r="S700" i="6" s="1"/>
  <c r="T700" i="6"/>
  <c r="B701" i="6"/>
  <c r="C701" i="6"/>
  <c r="L701" i="6" s="1"/>
  <c r="D701" i="6"/>
  <c r="E701" i="6"/>
  <c r="F701" i="6"/>
  <c r="H701" i="6"/>
  <c r="I701" i="6"/>
  <c r="N701" i="6"/>
  <c r="R701" i="6"/>
  <c r="Q701" i="6" s="1"/>
  <c r="S701" i="6"/>
  <c r="T701" i="6"/>
  <c r="B702" i="6"/>
  <c r="C702" i="6"/>
  <c r="D702" i="6"/>
  <c r="E702" i="6"/>
  <c r="F702" i="6"/>
  <c r="H702" i="6"/>
  <c r="I702" i="6"/>
  <c r="N702" i="6"/>
  <c r="Q702" i="6"/>
  <c r="S702" i="6" s="1"/>
  <c r="R702" i="6"/>
  <c r="T702" i="6"/>
  <c r="B703" i="6"/>
  <c r="C703" i="6"/>
  <c r="D703" i="6"/>
  <c r="E703" i="6"/>
  <c r="F703" i="6"/>
  <c r="H703" i="6"/>
  <c r="I703" i="6"/>
  <c r="N703" i="6"/>
  <c r="Q703" i="6"/>
  <c r="R703" i="6"/>
  <c r="S703" i="6"/>
  <c r="T703" i="6"/>
  <c r="B704" i="6"/>
  <c r="C704" i="6"/>
  <c r="D704" i="6"/>
  <c r="E704" i="6"/>
  <c r="F704" i="6"/>
  <c r="H704" i="6"/>
  <c r="I704" i="6"/>
  <c r="L704" i="6"/>
  <c r="N704" i="6"/>
  <c r="R704" i="6"/>
  <c r="Q704" i="6" s="1"/>
  <c r="S704" i="6"/>
  <c r="T704" i="6"/>
  <c r="B705" i="6"/>
  <c r="C705" i="6"/>
  <c r="D705" i="6"/>
  <c r="E705" i="6"/>
  <c r="F705" i="6"/>
  <c r="H705" i="6"/>
  <c r="I705" i="6"/>
  <c r="L705" i="6" s="1"/>
  <c r="N705" i="6"/>
  <c r="R705" i="6"/>
  <c r="Q705" i="6" s="1"/>
  <c r="S705" i="6" s="1"/>
  <c r="T705" i="6"/>
  <c r="B706" i="6"/>
  <c r="C706" i="6"/>
  <c r="D706" i="6"/>
  <c r="E706" i="6"/>
  <c r="F706" i="6"/>
  <c r="H706" i="6"/>
  <c r="I706" i="6"/>
  <c r="N706" i="6"/>
  <c r="Q706" i="6"/>
  <c r="S706" i="6" s="1"/>
  <c r="R706" i="6"/>
  <c r="T706" i="6"/>
  <c r="B707" i="6"/>
  <c r="C707" i="6"/>
  <c r="D707" i="6"/>
  <c r="E707" i="6"/>
  <c r="F707" i="6"/>
  <c r="H707" i="6"/>
  <c r="I707" i="6"/>
  <c r="L707" i="6"/>
  <c r="N707" i="6"/>
  <c r="R707" i="6"/>
  <c r="Q707" i="6" s="1"/>
  <c r="S707" i="6" s="1"/>
  <c r="T707" i="6"/>
  <c r="B708" i="6"/>
  <c r="C708" i="6"/>
  <c r="D708" i="6"/>
  <c r="L708" i="6" s="1"/>
  <c r="E708" i="6"/>
  <c r="F708" i="6"/>
  <c r="H708" i="6"/>
  <c r="I708" i="6"/>
  <c r="N708" i="6"/>
  <c r="R708" i="6"/>
  <c r="Q708" i="6" s="1"/>
  <c r="S708" i="6"/>
  <c r="T708" i="6"/>
  <c r="B709" i="6"/>
  <c r="C709" i="6"/>
  <c r="L709" i="6" s="1"/>
  <c r="D709" i="6"/>
  <c r="E709" i="6"/>
  <c r="F709" i="6"/>
  <c r="H709" i="6"/>
  <c r="I709" i="6"/>
  <c r="N709" i="6"/>
  <c r="R709" i="6"/>
  <c r="Q709" i="6" s="1"/>
  <c r="S709" i="6"/>
  <c r="T709" i="6"/>
  <c r="B710" i="6"/>
  <c r="C710" i="6"/>
  <c r="D710" i="6"/>
  <c r="E710" i="6"/>
  <c r="F710" i="6"/>
  <c r="H710" i="6"/>
  <c r="I710" i="6"/>
  <c r="N710" i="6"/>
  <c r="Q710" i="6"/>
  <c r="S710" i="6" s="1"/>
  <c r="R710" i="6"/>
  <c r="T710" i="6"/>
  <c r="B711" i="6"/>
  <c r="C711" i="6"/>
  <c r="D711" i="6"/>
  <c r="E711" i="6"/>
  <c r="F711" i="6"/>
  <c r="H711" i="6"/>
  <c r="I711" i="6"/>
  <c r="N711" i="6"/>
  <c r="Q711" i="6"/>
  <c r="S711" i="6" s="1"/>
  <c r="R711" i="6"/>
  <c r="T711" i="6"/>
  <c r="B712" i="6"/>
  <c r="C712" i="6"/>
  <c r="D712" i="6"/>
  <c r="E712" i="6"/>
  <c r="F712" i="6"/>
  <c r="H712" i="6"/>
  <c r="I712" i="6"/>
  <c r="L712" i="6"/>
  <c r="N712" i="6"/>
  <c r="R712" i="6"/>
  <c r="Q712" i="6" s="1"/>
  <c r="S712" i="6"/>
  <c r="T712" i="6"/>
  <c r="B713" i="6"/>
  <c r="C713" i="6"/>
  <c r="D713" i="6"/>
  <c r="E713" i="6"/>
  <c r="F713" i="6"/>
  <c r="H713" i="6"/>
  <c r="I713" i="6"/>
  <c r="L713" i="6"/>
  <c r="N713" i="6"/>
  <c r="R713" i="6"/>
  <c r="Q713" i="6" s="1"/>
  <c r="S713" i="6" s="1"/>
  <c r="T713" i="6"/>
  <c r="B714" i="6"/>
  <c r="C714" i="6"/>
  <c r="D714" i="6"/>
  <c r="E714" i="6"/>
  <c r="F714" i="6"/>
  <c r="H714" i="6"/>
  <c r="I714" i="6"/>
  <c r="N714" i="6"/>
  <c r="Q714" i="6"/>
  <c r="S714" i="6" s="1"/>
  <c r="R714" i="6"/>
  <c r="T714" i="6"/>
  <c r="B715" i="6"/>
  <c r="C715" i="6"/>
  <c r="D715" i="6"/>
  <c r="E715" i="6"/>
  <c r="F715" i="6"/>
  <c r="L715" i="6" s="1"/>
  <c r="H715" i="6"/>
  <c r="I715" i="6"/>
  <c r="N715" i="6"/>
  <c r="R715" i="6"/>
  <c r="Q715" i="6" s="1"/>
  <c r="S715" i="6" s="1"/>
  <c r="T715" i="6"/>
  <c r="B716" i="6"/>
  <c r="C716" i="6"/>
  <c r="D716" i="6"/>
  <c r="L716" i="6" s="1"/>
  <c r="E716" i="6"/>
  <c r="F716" i="6"/>
  <c r="H716" i="6"/>
  <c r="I716" i="6"/>
  <c r="N716" i="6"/>
  <c r="R716" i="6"/>
  <c r="Q716" i="6" s="1"/>
  <c r="S716" i="6" s="1"/>
  <c r="T716" i="6"/>
  <c r="B717" i="6"/>
  <c r="C717" i="6"/>
  <c r="L717" i="6" s="1"/>
  <c r="D717" i="6"/>
  <c r="E717" i="6"/>
  <c r="F717" i="6"/>
  <c r="H717" i="6"/>
  <c r="I717" i="6"/>
  <c r="N717" i="6"/>
  <c r="R717" i="6"/>
  <c r="Q717" i="6" s="1"/>
  <c r="S717" i="6"/>
  <c r="T717" i="6"/>
  <c r="B718" i="6"/>
  <c r="C718" i="6"/>
  <c r="D718" i="6"/>
  <c r="E718" i="6"/>
  <c r="F718" i="6"/>
  <c r="H718" i="6"/>
  <c r="I718" i="6"/>
  <c r="N718" i="6"/>
  <c r="Q718" i="6"/>
  <c r="S718" i="6" s="1"/>
  <c r="R718" i="6"/>
  <c r="T718" i="6"/>
  <c r="B719" i="6"/>
  <c r="C719" i="6"/>
  <c r="D719" i="6"/>
  <c r="E719" i="6"/>
  <c r="F719" i="6"/>
  <c r="H719" i="6"/>
  <c r="I719" i="6"/>
  <c r="N719" i="6"/>
  <c r="Q719" i="6"/>
  <c r="R719" i="6"/>
  <c r="S719" i="6"/>
  <c r="T719" i="6"/>
  <c r="B720" i="6"/>
  <c r="C720" i="6"/>
  <c r="D720" i="6"/>
  <c r="E720" i="6"/>
  <c r="F720" i="6"/>
  <c r="H720" i="6"/>
  <c r="I720" i="6"/>
  <c r="L720" i="6"/>
  <c r="N720" i="6"/>
  <c r="R720" i="6"/>
  <c r="Q720" i="6" s="1"/>
  <c r="S720" i="6"/>
  <c r="T720" i="6"/>
  <c r="B721" i="6"/>
  <c r="C721" i="6"/>
  <c r="D721" i="6"/>
  <c r="E721" i="6"/>
  <c r="F721" i="6"/>
  <c r="H721" i="6"/>
  <c r="I721" i="6"/>
  <c r="L721" i="6"/>
  <c r="N721" i="6"/>
  <c r="R721" i="6"/>
  <c r="Q721" i="6" s="1"/>
  <c r="S721" i="6" s="1"/>
  <c r="T721" i="6"/>
  <c r="B722" i="6"/>
  <c r="C722" i="6"/>
  <c r="D722" i="6"/>
  <c r="E722" i="6"/>
  <c r="F722" i="6"/>
  <c r="H722" i="6"/>
  <c r="I722" i="6"/>
  <c r="N722" i="6"/>
  <c r="Q722" i="6"/>
  <c r="S722" i="6" s="1"/>
  <c r="R722" i="6"/>
  <c r="T722" i="6"/>
  <c r="B723" i="6"/>
  <c r="C723" i="6"/>
  <c r="D723" i="6"/>
  <c r="E723" i="6"/>
  <c r="F723" i="6"/>
  <c r="H723" i="6"/>
  <c r="I723" i="6"/>
  <c r="N723" i="6"/>
  <c r="R723" i="6"/>
  <c r="Q723" i="6" s="1"/>
  <c r="S723" i="6" s="1"/>
  <c r="T723" i="6"/>
  <c r="B724" i="6"/>
  <c r="C724" i="6"/>
  <c r="D724" i="6"/>
  <c r="L724" i="6" s="1"/>
  <c r="E724" i="6"/>
  <c r="F724" i="6"/>
  <c r="H724" i="6"/>
  <c r="I724" i="6"/>
  <c r="N724" i="6"/>
  <c r="R724" i="6"/>
  <c r="Q724" i="6" s="1"/>
  <c r="S724" i="6" s="1"/>
  <c r="T724" i="6"/>
  <c r="B725" i="6"/>
  <c r="C725" i="6"/>
  <c r="D725" i="6"/>
  <c r="E725" i="6"/>
  <c r="F725" i="6"/>
  <c r="H725" i="6"/>
  <c r="I725" i="6"/>
  <c r="N725" i="6"/>
  <c r="R725" i="6"/>
  <c r="Q725" i="6" s="1"/>
  <c r="S725" i="6" s="1"/>
  <c r="T725" i="6"/>
  <c r="B726" i="6"/>
  <c r="C726" i="6"/>
  <c r="D726" i="6"/>
  <c r="E726" i="6"/>
  <c r="F726" i="6"/>
  <c r="H726" i="6"/>
  <c r="I726" i="6"/>
  <c r="N726" i="6"/>
  <c r="Q726" i="6"/>
  <c r="S726" i="6" s="1"/>
  <c r="R726" i="6"/>
  <c r="T726" i="6"/>
  <c r="B727" i="6"/>
  <c r="C727" i="6"/>
  <c r="D727" i="6"/>
  <c r="E727" i="6"/>
  <c r="F727" i="6"/>
  <c r="H727" i="6"/>
  <c r="I727" i="6"/>
  <c r="N727" i="6"/>
  <c r="Q727" i="6"/>
  <c r="R727" i="6"/>
  <c r="S727" i="6"/>
  <c r="T727" i="6"/>
  <c r="B728" i="6"/>
  <c r="C728" i="6"/>
  <c r="D728" i="6"/>
  <c r="E728" i="6"/>
  <c r="L728" i="6" s="1"/>
  <c r="F728" i="6"/>
  <c r="H728" i="6"/>
  <c r="I728" i="6"/>
  <c r="N728" i="6"/>
  <c r="R728" i="6"/>
  <c r="Q728" i="6" s="1"/>
  <c r="S728" i="6"/>
  <c r="T728" i="6"/>
  <c r="B729" i="6"/>
  <c r="C729" i="6"/>
  <c r="D729" i="6"/>
  <c r="E729" i="6"/>
  <c r="F729" i="6"/>
  <c r="H729" i="6"/>
  <c r="I729" i="6"/>
  <c r="L729" i="6"/>
  <c r="N729" i="6"/>
  <c r="R729" i="6"/>
  <c r="Q729" i="6" s="1"/>
  <c r="T729" i="6"/>
  <c r="B730" i="6"/>
  <c r="C730" i="6"/>
  <c r="D730" i="6"/>
  <c r="E730" i="6"/>
  <c r="F730" i="6"/>
  <c r="H730" i="6"/>
  <c r="I730" i="6"/>
  <c r="N730" i="6"/>
  <c r="Q730" i="6"/>
  <c r="S730" i="6" s="1"/>
  <c r="R730" i="6"/>
  <c r="T730" i="6"/>
  <c r="B731" i="6"/>
  <c r="C731" i="6"/>
  <c r="D731" i="6"/>
  <c r="E731" i="6"/>
  <c r="F731" i="6"/>
  <c r="L731" i="6" s="1"/>
  <c r="H731" i="6"/>
  <c r="I731" i="6"/>
  <c r="N731" i="6"/>
  <c r="R731" i="6"/>
  <c r="Q731" i="6" s="1"/>
  <c r="S731" i="6" s="1"/>
  <c r="T731" i="6"/>
  <c r="B732" i="6"/>
  <c r="C732" i="6"/>
  <c r="D732" i="6"/>
  <c r="L732" i="6" s="1"/>
  <c r="E732" i="6"/>
  <c r="F732" i="6"/>
  <c r="H732" i="6"/>
  <c r="I732" i="6"/>
  <c r="N732" i="6"/>
  <c r="R732" i="6"/>
  <c r="Q732" i="6" s="1"/>
  <c r="S732" i="6" s="1"/>
  <c r="T732" i="6"/>
  <c r="B733" i="6"/>
  <c r="C733" i="6"/>
  <c r="D733" i="6"/>
  <c r="E733" i="6"/>
  <c r="F733" i="6"/>
  <c r="H733" i="6"/>
  <c r="I733" i="6"/>
  <c r="N733" i="6"/>
  <c r="R733" i="6"/>
  <c r="Q733" i="6" s="1"/>
  <c r="S733" i="6"/>
  <c r="T733" i="6"/>
  <c r="B734" i="6"/>
  <c r="C734" i="6"/>
  <c r="L734" i="6" s="1"/>
  <c r="D734" i="6"/>
  <c r="E734" i="6"/>
  <c r="F734" i="6"/>
  <c r="H734" i="6"/>
  <c r="I734" i="6"/>
  <c r="N734" i="6"/>
  <c r="Q734" i="6"/>
  <c r="S734" i="6" s="1"/>
  <c r="R734" i="6"/>
  <c r="T734" i="6"/>
  <c r="B735" i="6"/>
  <c r="C735" i="6"/>
  <c r="D735" i="6"/>
  <c r="E735" i="6"/>
  <c r="F735" i="6"/>
  <c r="H735" i="6"/>
  <c r="I735" i="6"/>
  <c r="N735" i="6"/>
  <c r="Q735" i="6"/>
  <c r="R735" i="6"/>
  <c r="S735" i="6"/>
  <c r="T735" i="6"/>
  <c r="B736" i="6"/>
  <c r="C736" i="6"/>
  <c r="D736" i="6"/>
  <c r="E736" i="6"/>
  <c r="L736" i="6" s="1"/>
  <c r="F736" i="6"/>
  <c r="H736" i="6"/>
  <c r="I736" i="6"/>
  <c r="N736" i="6"/>
  <c r="R736" i="6"/>
  <c r="Q736" i="6" s="1"/>
  <c r="S736" i="6"/>
  <c r="T736" i="6"/>
  <c r="B737" i="6"/>
  <c r="C737" i="6"/>
  <c r="D737" i="6"/>
  <c r="E737" i="6"/>
  <c r="F737" i="6"/>
  <c r="H737" i="6"/>
  <c r="I737" i="6"/>
  <c r="L737" i="6" s="1"/>
  <c r="N737" i="6"/>
  <c r="R737" i="6"/>
  <c r="Q737" i="6" s="1"/>
  <c r="T737" i="6"/>
  <c r="B738" i="6"/>
  <c r="C738" i="6"/>
  <c r="D738" i="6"/>
  <c r="E738" i="6"/>
  <c r="F738" i="6"/>
  <c r="H738" i="6"/>
  <c r="I738" i="6"/>
  <c r="N738" i="6"/>
  <c r="Q738" i="6"/>
  <c r="S738" i="6" s="1"/>
  <c r="R738" i="6"/>
  <c r="T738" i="6"/>
  <c r="B739" i="6"/>
  <c r="C739" i="6"/>
  <c r="D739" i="6"/>
  <c r="E739" i="6"/>
  <c r="F739" i="6"/>
  <c r="L739" i="6" s="1"/>
  <c r="H739" i="6"/>
  <c r="I739" i="6"/>
  <c r="N739" i="6"/>
  <c r="R739" i="6"/>
  <c r="Q739" i="6" s="1"/>
  <c r="S739" i="6" s="1"/>
  <c r="T739" i="6"/>
  <c r="B740" i="6"/>
  <c r="C740" i="6"/>
  <c r="D740" i="6"/>
  <c r="L740" i="6" s="1"/>
  <c r="E740" i="6"/>
  <c r="F740" i="6"/>
  <c r="H740" i="6"/>
  <c r="I740" i="6"/>
  <c r="N740" i="6"/>
  <c r="R740" i="6"/>
  <c r="Q740" i="6" s="1"/>
  <c r="S740" i="6"/>
  <c r="T740" i="6"/>
  <c r="B741" i="6"/>
  <c r="C741" i="6"/>
  <c r="D741" i="6"/>
  <c r="E741" i="6"/>
  <c r="F741" i="6"/>
  <c r="H741" i="6"/>
  <c r="I741" i="6"/>
  <c r="N741" i="6"/>
  <c r="R741" i="6"/>
  <c r="Q741" i="6" s="1"/>
  <c r="S741" i="6"/>
  <c r="T741" i="6"/>
  <c r="B742" i="6"/>
  <c r="C742" i="6"/>
  <c r="D742" i="6"/>
  <c r="E742" i="6"/>
  <c r="F742" i="6"/>
  <c r="H742" i="6"/>
  <c r="I742" i="6"/>
  <c r="N742" i="6"/>
  <c r="Q742" i="6"/>
  <c r="S742" i="6" s="1"/>
  <c r="R742" i="6"/>
  <c r="T742" i="6"/>
  <c r="B743" i="6"/>
  <c r="C743" i="6"/>
  <c r="D743" i="6"/>
  <c r="E743" i="6"/>
  <c r="F743" i="6"/>
  <c r="H743" i="6"/>
  <c r="I743" i="6"/>
  <c r="N743" i="6"/>
  <c r="Q743" i="6"/>
  <c r="S743" i="6" s="1"/>
  <c r="R743" i="6"/>
  <c r="T743" i="6"/>
  <c r="B744" i="6"/>
  <c r="C744" i="6"/>
  <c r="D744" i="6"/>
  <c r="E744" i="6"/>
  <c r="L744" i="6" s="1"/>
  <c r="F744" i="6"/>
  <c r="H744" i="6"/>
  <c r="I744" i="6"/>
  <c r="N744" i="6"/>
  <c r="R744" i="6"/>
  <c r="Q744" i="6" s="1"/>
  <c r="S744" i="6"/>
  <c r="T744" i="6"/>
  <c r="B745" i="6"/>
  <c r="C745" i="6"/>
  <c r="D745" i="6"/>
  <c r="E745" i="6"/>
  <c r="F745" i="6"/>
  <c r="H745" i="6"/>
  <c r="I745" i="6"/>
  <c r="L745" i="6"/>
  <c r="N745" i="6"/>
  <c r="R745" i="6"/>
  <c r="Q745" i="6" s="1"/>
  <c r="S745" i="6" s="1"/>
  <c r="T745" i="6"/>
  <c r="B746" i="6"/>
  <c r="C746" i="6"/>
  <c r="D746" i="6"/>
  <c r="E746" i="6"/>
  <c r="F746" i="6"/>
  <c r="H746" i="6"/>
  <c r="I746" i="6"/>
  <c r="N746" i="6"/>
  <c r="Q746" i="6"/>
  <c r="S746" i="6" s="1"/>
  <c r="R746" i="6"/>
  <c r="T746" i="6"/>
  <c r="B747" i="6"/>
  <c r="C747" i="6"/>
  <c r="D747" i="6"/>
  <c r="E747" i="6"/>
  <c r="F747" i="6"/>
  <c r="L747" i="6" s="1"/>
  <c r="H747" i="6"/>
  <c r="I747" i="6"/>
  <c r="N747" i="6"/>
  <c r="R747" i="6"/>
  <c r="Q747" i="6" s="1"/>
  <c r="S747" i="6" s="1"/>
  <c r="T747" i="6"/>
  <c r="B748" i="6"/>
  <c r="C748" i="6"/>
  <c r="D748" i="6"/>
  <c r="L748" i="6" s="1"/>
  <c r="E748" i="6"/>
  <c r="F748" i="6"/>
  <c r="H748" i="6"/>
  <c r="I748" i="6"/>
  <c r="N748" i="6"/>
  <c r="R748" i="6"/>
  <c r="Q748" i="6" s="1"/>
  <c r="S748" i="6" s="1"/>
  <c r="T748" i="6"/>
  <c r="B749" i="6"/>
  <c r="C749" i="6"/>
  <c r="D749" i="6"/>
  <c r="E749" i="6"/>
  <c r="F749" i="6"/>
  <c r="H749" i="6"/>
  <c r="I749" i="6"/>
  <c r="N749" i="6"/>
  <c r="R749" i="6"/>
  <c r="Q749" i="6" s="1"/>
  <c r="S749" i="6"/>
  <c r="T749" i="6"/>
  <c r="B750" i="6"/>
  <c r="C750" i="6"/>
  <c r="D750" i="6"/>
  <c r="E750" i="6"/>
  <c r="F750" i="6"/>
  <c r="H750" i="6"/>
  <c r="I750" i="6"/>
  <c r="N750" i="6"/>
  <c r="Q750" i="6"/>
  <c r="S750" i="6" s="1"/>
  <c r="R750" i="6"/>
  <c r="T750" i="6"/>
  <c r="B751" i="6"/>
  <c r="C751" i="6"/>
  <c r="D751" i="6"/>
  <c r="E751" i="6"/>
  <c r="F751" i="6"/>
  <c r="H751" i="6"/>
  <c r="I751" i="6"/>
  <c r="N751" i="6"/>
  <c r="Q751" i="6"/>
  <c r="R751" i="6"/>
  <c r="S751" i="6"/>
  <c r="T751" i="6"/>
  <c r="B752" i="6"/>
  <c r="C752" i="6"/>
  <c r="D752" i="6"/>
  <c r="E752" i="6"/>
  <c r="L752" i="6" s="1"/>
  <c r="F752" i="6"/>
  <c r="H752" i="6"/>
  <c r="I752" i="6"/>
  <c r="N752" i="6"/>
  <c r="R752" i="6"/>
  <c r="Q752" i="6" s="1"/>
  <c r="S752" i="6"/>
  <c r="T752" i="6"/>
  <c r="B753" i="6"/>
  <c r="C753" i="6"/>
  <c r="D753" i="6"/>
  <c r="E753" i="6"/>
  <c r="F753" i="6"/>
  <c r="H753" i="6"/>
  <c r="I753" i="6"/>
  <c r="L753" i="6"/>
  <c r="N753" i="6"/>
  <c r="R753" i="6"/>
  <c r="Q753" i="6" s="1"/>
  <c r="S753" i="6" s="1"/>
  <c r="T753" i="6"/>
  <c r="B754" i="6"/>
  <c r="C754" i="6"/>
  <c r="D754" i="6"/>
  <c r="E754" i="6"/>
  <c r="F754" i="6"/>
  <c r="H754" i="6"/>
  <c r="I754" i="6"/>
  <c r="N754" i="6"/>
  <c r="Q754" i="6"/>
  <c r="S754" i="6" s="1"/>
  <c r="R754" i="6"/>
  <c r="T754" i="6"/>
  <c r="B755" i="6"/>
  <c r="C755" i="6"/>
  <c r="D755" i="6"/>
  <c r="E755" i="6"/>
  <c r="F755" i="6"/>
  <c r="H755" i="6"/>
  <c r="I755" i="6"/>
  <c r="L755" i="6"/>
  <c r="N755" i="6"/>
  <c r="R755" i="6"/>
  <c r="Q755" i="6" s="1"/>
  <c r="S755" i="6" s="1"/>
  <c r="T755" i="6"/>
  <c r="B756" i="6"/>
  <c r="C756" i="6"/>
  <c r="D756" i="6"/>
  <c r="L756" i="6" s="1"/>
  <c r="E756" i="6"/>
  <c r="F756" i="6"/>
  <c r="H756" i="6"/>
  <c r="I756" i="6"/>
  <c r="N756" i="6"/>
  <c r="R756" i="6"/>
  <c r="Q756" i="6" s="1"/>
  <c r="S756" i="6"/>
  <c r="T756" i="6"/>
  <c r="B757" i="6"/>
  <c r="C757" i="6"/>
  <c r="L757" i="6" s="1"/>
  <c r="D757" i="6"/>
  <c r="E757" i="6"/>
  <c r="F757" i="6"/>
  <c r="H757" i="6"/>
  <c r="I757" i="6"/>
  <c r="N757" i="6"/>
  <c r="R757" i="6"/>
  <c r="Q757" i="6" s="1"/>
  <c r="S757" i="6" s="1"/>
  <c r="T757" i="6"/>
  <c r="B758" i="6"/>
  <c r="C758" i="6"/>
  <c r="D758" i="6"/>
  <c r="E758" i="6"/>
  <c r="F758" i="6"/>
  <c r="H758" i="6"/>
  <c r="I758" i="6"/>
  <c r="N758" i="6"/>
  <c r="Q758" i="6"/>
  <c r="S758" i="6" s="1"/>
  <c r="R758" i="6"/>
  <c r="T758" i="6"/>
  <c r="B759" i="6"/>
  <c r="C759" i="6"/>
  <c r="D759" i="6"/>
  <c r="E759" i="6"/>
  <c r="F759" i="6"/>
  <c r="H759" i="6"/>
  <c r="I759" i="6"/>
  <c r="N759" i="6"/>
  <c r="Q759" i="6"/>
  <c r="R759" i="6"/>
  <c r="S759" i="6"/>
  <c r="T759" i="6"/>
  <c r="B760" i="6"/>
  <c r="C760" i="6"/>
  <c r="D760" i="6"/>
  <c r="E760" i="6"/>
  <c r="F760" i="6"/>
  <c r="H760" i="6"/>
  <c r="I760" i="6"/>
  <c r="L760" i="6" s="1"/>
  <c r="N760" i="6"/>
  <c r="R760" i="6"/>
  <c r="Q760" i="6" s="1"/>
  <c r="S760" i="6"/>
  <c r="T760" i="6"/>
  <c r="B761" i="6"/>
  <c r="C761" i="6"/>
  <c r="D761" i="6"/>
  <c r="L761" i="6" s="1"/>
  <c r="E761" i="6"/>
  <c r="F761" i="6"/>
  <c r="H761" i="6"/>
  <c r="I761" i="6"/>
  <c r="N761" i="6"/>
  <c r="R761" i="6"/>
  <c r="Q761" i="6" s="1"/>
  <c r="S761" i="6" s="1"/>
  <c r="T761" i="6"/>
  <c r="B762" i="6"/>
  <c r="C762" i="6"/>
  <c r="D762" i="6"/>
  <c r="E762" i="6"/>
  <c r="F762" i="6"/>
  <c r="H762" i="6"/>
  <c r="I762" i="6"/>
  <c r="N762" i="6"/>
  <c r="Q762" i="6"/>
  <c r="S762" i="6" s="1"/>
  <c r="R762" i="6"/>
  <c r="T762" i="6"/>
  <c r="B763" i="6"/>
  <c r="C763" i="6"/>
  <c r="D763" i="6"/>
  <c r="E763" i="6"/>
  <c r="F763" i="6"/>
  <c r="L763" i="6" s="1"/>
  <c r="H763" i="6"/>
  <c r="I763" i="6"/>
  <c r="N763" i="6"/>
  <c r="R763" i="6"/>
  <c r="Q763" i="6" s="1"/>
  <c r="S763" i="6" s="1"/>
  <c r="T763" i="6"/>
  <c r="B764" i="6"/>
  <c r="C764" i="6"/>
  <c r="D764" i="6"/>
  <c r="L764" i="6" s="1"/>
  <c r="E764" i="6"/>
  <c r="F764" i="6"/>
  <c r="H764" i="6"/>
  <c r="I764" i="6"/>
  <c r="N764" i="6"/>
  <c r="R764" i="6"/>
  <c r="Q764" i="6" s="1"/>
  <c r="S764" i="6" s="1"/>
  <c r="T764" i="6"/>
  <c r="B765" i="6"/>
  <c r="C765" i="6"/>
  <c r="L765" i="6" s="1"/>
  <c r="D765" i="6"/>
  <c r="E765" i="6"/>
  <c r="F765" i="6"/>
  <c r="H765" i="6"/>
  <c r="I765" i="6"/>
  <c r="N765" i="6"/>
  <c r="R765" i="6"/>
  <c r="Q765" i="6" s="1"/>
  <c r="S765" i="6"/>
  <c r="T765" i="6"/>
  <c r="B766" i="6"/>
  <c r="C766" i="6"/>
  <c r="D766" i="6"/>
  <c r="E766" i="6"/>
  <c r="F766" i="6"/>
  <c r="H766" i="6"/>
  <c r="I766" i="6"/>
  <c r="N766" i="6"/>
  <c r="Q766" i="6"/>
  <c r="S766" i="6" s="1"/>
  <c r="R766" i="6"/>
  <c r="T766" i="6"/>
  <c r="B767" i="6"/>
  <c r="C767" i="6"/>
  <c r="D767" i="6"/>
  <c r="E767" i="6"/>
  <c r="F767" i="6"/>
  <c r="H767" i="6"/>
  <c r="I767" i="6"/>
  <c r="N767" i="6"/>
  <c r="Q767" i="6"/>
  <c r="R767" i="6"/>
  <c r="S767" i="6"/>
  <c r="T767" i="6"/>
  <c r="B768" i="6"/>
  <c r="C768" i="6"/>
  <c r="D768" i="6"/>
  <c r="E768" i="6"/>
  <c r="F768" i="6"/>
  <c r="H768" i="6"/>
  <c r="I768" i="6"/>
  <c r="L768" i="6"/>
  <c r="N768" i="6"/>
  <c r="R768" i="6"/>
  <c r="Q768" i="6" s="1"/>
  <c r="S768" i="6"/>
  <c r="T768" i="6"/>
  <c r="B769" i="6"/>
  <c r="C769" i="6"/>
  <c r="D769" i="6"/>
  <c r="E769" i="6"/>
  <c r="F769" i="6"/>
  <c r="H769" i="6"/>
  <c r="I769" i="6"/>
  <c r="L769" i="6" s="1"/>
  <c r="N769" i="6"/>
  <c r="R769" i="6"/>
  <c r="Q769" i="6" s="1"/>
  <c r="S769" i="6" s="1"/>
  <c r="T769" i="6"/>
  <c r="B770" i="6"/>
  <c r="C770" i="6"/>
  <c r="D770" i="6"/>
  <c r="E770" i="6"/>
  <c r="F770" i="6"/>
  <c r="H770" i="6"/>
  <c r="I770" i="6"/>
  <c r="N770" i="6"/>
  <c r="Q770" i="6"/>
  <c r="S770" i="6" s="1"/>
  <c r="R770" i="6"/>
  <c r="T770" i="6"/>
  <c r="B771" i="6"/>
  <c r="C771" i="6"/>
  <c r="D771" i="6"/>
  <c r="E771" i="6"/>
  <c r="F771" i="6"/>
  <c r="H771" i="6"/>
  <c r="L771" i="6" s="1"/>
  <c r="I771" i="6"/>
  <c r="N771" i="6"/>
  <c r="R771" i="6"/>
  <c r="Q771" i="6" s="1"/>
  <c r="S771" i="6" s="1"/>
  <c r="T771" i="6"/>
  <c r="B772" i="6"/>
  <c r="C772" i="6"/>
  <c r="D772" i="6"/>
  <c r="L772" i="6" s="1"/>
  <c r="E772" i="6"/>
  <c r="F772" i="6"/>
  <c r="H772" i="6"/>
  <c r="I772" i="6"/>
  <c r="N772" i="6"/>
  <c r="R772" i="6"/>
  <c r="Q772" i="6" s="1"/>
  <c r="S772" i="6"/>
  <c r="T772" i="6"/>
  <c r="B773" i="6"/>
  <c r="C773" i="6"/>
  <c r="L773" i="6" s="1"/>
  <c r="D773" i="6"/>
  <c r="E773" i="6"/>
  <c r="F773" i="6"/>
  <c r="H773" i="6"/>
  <c r="I773" i="6"/>
  <c r="N773" i="6"/>
  <c r="R773" i="6"/>
  <c r="Q773" i="6" s="1"/>
  <c r="S773" i="6"/>
  <c r="T773" i="6"/>
  <c r="B774" i="6"/>
  <c r="C774" i="6"/>
  <c r="D774" i="6"/>
  <c r="E774" i="6"/>
  <c r="F774" i="6"/>
  <c r="H774" i="6"/>
  <c r="I774" i="6"/>
  <c r="N774" i="6"/>
  <c r="Q774" i="6"/>
  <c r="S774" i="6" s="1"/>
  <c r="R774" i="6"/>
  <c r="T774" i="6"/>
  <c r="B775" i="6"/>
  <c r="C775" i="6"/>
  <c r="D775" i="6"/>
  <c r="E775" i="6"/>
  <c r="F775" i="6"/>
  <c r="H775" i="6"/>
  <c r="I775" i="6"/>
  <c r="N775" i="6"/>
  <c r="Q775" i="6"/>
  <c r="S775" i="6" s="1"/>
  <c r="R775" i="6"/>
  <c r="T775" i="6"/>
  <c r="B776" i="6"/>
  <c r="C776" i="6"/>
  <c r="D776" i="6"/>
  <c r="E776" i="6"/>
  <c r="F776" i="6"/>
  <c r="L776" i="6" s="1"/>
  <c r="H776" i="6"/>
  <c r="I776" i="6"/>
  <c r="N776" i="6"/>
  <c r="R776" i="6"/>
  <c r="Q776" i="6" s="1"/>
  <c r="S776" i="6"/>
  <c r="T776" i="6"/>
  <c r="B777" i="6"/>
  <c r="C777" i="6"/>
  <c r="D777" i="6"/>
  <c r="E777" i="6"/>
  <c r="F777" i="6"/>
  <c r="H777" i="6"/>
  <c r="I777" i="6"/>
  <c r="L777" i="6"/>
  <c r="N777" i="6"/>
  <c r="R777" i="6"/>
  <c r="Q777" i="6" s="1"/>
  <c r="S777" i="6" s="1"/>
  <c r="T777" i="6"/>
  <c r="B778" i="6"/>
  <c r="C778" i="6"/>
  <c r="D778" i="6"/>
  <c r="E778" i="6"/>
  <c r="F778" i="6"/>
  <c r="H778" i="6"/>
  <c r="I778" i="6"/>
  <c r="N778" i="6"/>
  <c r="Q778" i="6"/>
  <c r="S778" i="6" s="1"/>
  <c r="R778" i="6"/>
  <c r="T778" i="6"/>
  <c r="B779" i="6"/>
  <c r="C779" i="6"/>
  <c r="D779" i="6"/>
  <c r="E779" i="6"/>
  <c r="F779" i="6"/>
  <c r="L779" i="6" s="1"/>
  <c r="H779" i="6"/>
  <c r="I779" i="6"/>
  <c r="N779" i="6"/>
  <c r="R779" i="6"/>
  <c r="Q779" i="6" s="1"/>
  <c r="S779" i="6" s="1"/>
  <c r="T779" i="6"/>
  <c r="B780" i="6"/>
  <c r="C780" i="6"/>
  <c r="D780" i="6"/>
  <c r="L780" i="6" s="1"/>
  <c r="E780" i="6"/>
  <c r="F780" i="6"/>
  <c r="H780" i="6"/>
  <c r="I780" i="6"/>
  <c r="N780" i="6"/>
  <c r="R780" i="6"/>
  <c r="Q780" i="6" s="1"/>
  <c r="S780" i="6" s="1"/>
  <c r="T780" i="6"/>
  <c r="B781" i="6"/>
  <c r="C781" i="6"/>
  <c r="L781" i="6" s="1"/>
  <c r="D781" i="6"/>
  <c r="E781" i="6"/>
  <c r="F781" i="6"/>
  <c r="H781" i="6"/>
  <c r="I781" i="6"/>
  <c r="N781" i="6"/>
  <c r="R781" i="6"/>
  <c r="Q781" i="6" s="1"/>
  <c r="S781" i="6"/>
  <c r="T781" i="6"/>
  <c r="B782" i="6"/>
  <c r="C782" i="6"/>
  <c r="D782" i="6"/>
  <c r="E782" i="6"/>
  <c r="F782" i="6"/>
  <c r="H782" i="6"/>
  <c r="I782" i="6"/>
  <c r="N782" i="6"/>
  <c r="Q782" i="6"/>
  <c r="S782" i="6" s="1"/>
  <c r="R782" i="6"/>
  <c r="T782" i="6"/>
  <c r="B783" i="6"/>
  <c r="C783" i="6"/>
  <c r="D783" i="6"/>
  <c r="E783" i="6"/>
  <c r="F783" i="6"/>
  <c r="H783" i="6"/>
  <c r="I783" i="6"/>
  <c r="N783" i="6"/>
  <c r="Q783" i="6"/>
  <c r="R783" i="6"/>
  <c r="S783" i="6"/>
  <c r="T783" i="6"/>
  <c r="B784" i="6"/>
  <c r="C784" i="6"/>
  <c r="D784" i="6"/>
  <c r="E784" i="6"/>
  <c r="F784" i="6"/>
  <c r="H784" i="6"/>
  <c r="I784" i="6"/>
  <c r="L784" i="6"/>
  <c r="N784" i="6"/>
  <c r="R784" i="6"/>
  <c r="Q784" i="6" s="1"/>
  <c r="S784" i="6"/>
  <c r="T784" i="6"/>
  <c r="B785" i="6"/>
  <c r="C785" i="6"/>
  <c r="D785" i="6"/>
  <c r="E785" i="6"/>
  <c r="F785" i="6"/>
  <c r="H785" i="6"/>
  <c r="I785" i="6"/>
  <c r="L785" i="6"/>
  <c r="N785" i="6"/>
  <c r="R785" i="6"/>
  <c r="Q785" i="6" s="1"/>
  <c r="S785" i="6" s="1"/>
  <c r="T785" i="6"/>
  <c r="B786" i="6"/>
  <c r="C786" i="6"/>
  <c r="D786" i="6"/>
  <c r="E786" i="6"/>
  <c r="F786" i="6"/>
  <c r="H786" i="6"/>
  <c r="I786" i="6"/>
  <c r="N786" i="6"/>
  <c r="Q786" i="6"/>
  <c r="S786" i="6" s="1"/>
  <c r="R786" i="6"/>
  <c r="T786" i="6"/>
  <c r="B787" i="6"/>
  <c r="C787" i="6"/>
  <c r="D787" i="6"/>
  <c r="E787" i="6"/>
  <c r="F787" i="6"/>
  <c r="L787" i="6" s="1"/>
  <c r="H787" i="6"/>
  <c r="I787" i="6"/>
  <c r="N787" i="6"/>
  <c r="R787" i="6"/>
  <c r="Q787" i="6" s="1"/>
  <c r="S787" i="6" s="1"/>
  <c r="T787" i="6"/>
  <c r="B788" i="6"/>
  <c r="C788" i="6"/>
  <c r="D788" i="6"/>
  <c r="L788" i="6" s="1"/>
  <c r="E788" i="6"/>
  <c r="F788" i="6"/>
  <c r="H788" i="6"/>
  <c r="I788" i="6"/>
  <c r="N788" i="6"/>
  <c r="R788" i="6"/>
  <c r="Q788" i="6" s="1"/>
  <c r="S788" i="6" s="1"/>
  <c r="T788" i="6"/>
  <c r="B789" i="6"/>
  <c r="C789" i="6"/>
  <c r="D789" i="6"/>
  <c r="E789" i="6"/>
  <c r="F789" i="6"/>
  <c r="H789" i="6"/>
  <c r="I789" i="6"/>
  <c r="N789" i="6"/>
  <c r="R789" i="6"/>
  <c r="Q789" i="6" s="1"/>
  <c r="S789" i="6" s="1"/>
  <c r="T789" i="6"/>
  <c r="B790" i="6"/>
  <c r="C790" i="6"/>
  <c r="D790" i="6"/>
  <c r="E790" i="6"/>
  <c r="F790" i="6"/>
  <c r="H790" i="6"/>
  <c r="I790" i="6"/>
  <c r="N790" i="6"/>
  <c r="Q790" i="6"/>
  <c r="S790" i="6" s="1"/>
  <c r="R790" i="6"/>
  <c r="T790" i="6"/>
  <c r="B791" i="6"/>
  <c r="C791" i="6"/>
  <c r="D791" i="6"/>
  <c r="E791" i="6"/>
  <c r="F791" i="6"/>
  <c r="H791" i="6"/>
  <c r="I791" i="6"/>
  <c r="N791" i="6"/>
  <c r="Q791" i="6"/>
  <c r="R791" i="6"/>
  <c r="S791" i="6"/>
  <c r="T791" i="6"/>
  <c r="B792" i="6"/>
  <c r="C792" i="6"/>
  <c r="D792" i="6"/>
  <c r="E792" i="6"/>
  <c r="L792" i="6" s="1"/>
  <c r="F792" i="6"/>
  <c r="H792" i="6"/>
  <c r="I792" i="6"/>
  <c r="N792" i="6"/>
  <c r="R792" i="6"/>
  <c r="Q792" i="6" s="1"/>
  <c r="S792" i="6"/>
  <c r="T792" i="6"/>
  <c r="B793" i="6"/>
  <c r="C793" i="6"/>
  <c r="D793" i="6"/>
  <c r="L793" i="6" s="1"/>
  <c r="E793" i="6"/>
  <c r="F793" i="6"/>
  <c r="H793" i="6"/>
  <c r="I793" i="6"/>
  <c r="N793" i="6"/>
  <c r="R793" i="6"/>
  <c r="Q793" i="6" s="1"/>
  <c r="T793" i="6"/>
  <c r="B794" i="6"/>
  <c r="C794" i="6"/>
  <c r="D794" i="6"/>
  <c r="E794" i="6"/>
  <c r="F794" i="6"/>
  <c r="H794" i="6"/>
  <c r="I794" i="6"/>
  <c r="N794" i="6"/>
  <c r="Q794" i="6"/>
  <c r="S794" i="6" s="1"/>
  <c r="R794" i="6"/>
  <c r="T794" i="6"/>
  <c r="B795" i="6"/>
  <c r="C795" i="6"/>
  <c r="D795" i="6"/>
  <c r="E795" i="6"/>
  <c r="F795" i="6"/>
  <c r="L795" i="6" s="1"/>
  <c r="H795" i="6"/>
  <c r="I795" i="6"/>
  <c r="N795" i="6"/>
  <c r="R795" i="6"/>
  <c r="Q795" i="6" s="1"/>
  <c r="S795" i="6" s="1"/>
  <c r="T795" i="6"/>
  <c r="B796" i="6"/>
  <c r="C796" i="6"/>
  <c r="D796" i="6"/>
  <c r="L796" i="6" s="1"/>
  <c r="E796" i="6"/>
  <c r="F796" i="6"/>
  <c r="H796" i="6"/>
  <c r="I796" i="6"/>
  <c r="N796" i="6"/>
  <c r="R796" i="6"/>
  <c r="Q796" i="6" s="1"/>
  <c r="S796" i="6" s="1"/>
  <c r="T796" i="6"/>
  <c r="B797" i="6"/>
  <c r="C797" i="6"/>
  <c r="D797" i="6"/>
  <c r="E797" i="6"/>
  <c r="F797" i="6"/>
  <c r="H797" i="6"/>
  <c r="I797" i="6"/>
  <c r="N797" i="6"/>
  <c r="R797" i="6"/>
  <c r="Q797" i="6" s="1"/>
  <c r="S797" i="6"/>
  <c r="T797" i="6"/>
  <c r="B798" i="6"/>
  <c r="C798" i="6"/>
  <c r="L798" i="6" s="1"/>
  <c r="D798" i="6"/>
  <c r="E798" i="6"/>
  <c r="F798" i="6"/>
  <c r="H798" i="6"/>
  <c r="I798" i="6"/>
  <c r="N798" i="6"/>
  <c r="Q798" i="6"/>
  <c r="S798" i="6" s="1"/>
  <c r="R798" i="6"/>
  <c r="T798" i="6"/>
  <c r="B799" i="6"/>
  <c r="C799" i="6"/>
  <c r="D799" i="6"/>
  <c r="E799" i="6"/>
  <c r="F799" i="6"/>
  <c r="H799" i="6"/>
  <c r="I799" i="6"/>
  <c r="N799" i="6"/>
  <c r="Q799" i="6"/>
  <c r="R799" i="6"/>
  <c r="S799" i="6"/>
  <c r="T799" i="6"/>
  <c r="B800" i="6"/>
  <c r="C800" i="6"/>
  <c r="D800" i="6"/>
  <c r="E800" i="6"/>
  <c r="L800" i="6" s="1"/>
  <c r="F800" i="6"/>
  <c r="H800" i="6"/>
  <c r="I800" i="6"/>
  <c r="N800" i="6"/>
  <c r="R800" i="6"/>
  <c r="Q800" i="6" s="1"/>
  <c r="S800" i="6"/>
  <c r="T800" i="6"/>
  <c r="B801" i="6"/>
  <c r="C801" i="6"/>
  <c r="D801" i="6"/>
  <c r="E801" i="6"/>
  <c r="F801" i="6"/>
  <c r="H801" i="6"/>
  <c r="I801" i="6"/>
  <c r="L801" i="6" s="1"/>
  <c r="N801" i="6"/>
  <c r="R801" i="6"/>
  <c r="Q801" i="6" s="1"/>
  <c r="S801" i="6" s="1"/>
  <c r="T801" i="6"/>
  <c r="B802" i="6"/>
  <c r="C802" i="6"/>
  <c r="D802" i="6"/>
  <c r="E802" i="6"/>
  <c r="F802" i="6"/>
  <c r="H802" i="6"/>
  <c r="I802" i="6"/>
  <c r="N802" i="6"/>
  <c r="Q802" i="6"/>
  <c r="S802" i="6" s="1"/>
  <c r="R802" i="6"/>
  <c r="T802" i="6"/>
  <c r="B803" i="6"/>
  <c r="C803" i="6"/>
  <c r="D803" i="6"/>
  <c r="E803" i="6"/>
  <c r="F803" i="6"/>
  <c r="L803" i="6" s="1"/>
  <c r="H803" i="6"/>
  <c r="I803" i="6"/>
  <c r="N803" i="6"/>
  <c r="R803" i="6"/>
  <c r="Q803" i="6" s="1"/>
  <c r="S803" i="6" s="1"/>
  <c r="T803" i="6"/>
  <c r="B804" i="6"/>
  <c r="C804" i="6"/>
  <c r="D804" i="6"/>
  <c r="L804" i="6" s="1"/>
  <c r="E804" i="6"/>
  <c r="F804" i="6"/>
  <c r="H804" i="6"/>
  <c r="I804" i="6"/>
  <c r="N804" i="6"/>
  <c r="R804" i="6"/>
  <c r="Q804" i="6" s="1"/>
  <c r="S804" i="6"/>
  <c r="T804" i="6"/>
  <c r="B805" i="6"/>
  <c r="C805" i="6"/>
  <c r="D805" i="6"/>
  <c r="E805" i="6"/>
  <c r="F805" i="6"/>
  <c r="H805" i="6"/>
  <c r="I805" i="6"/>
  <c r="N805" i="6"/>
  <c r="R805" i="6"/>
  <c r="Q805" i="6" s="1"/>
  <c r="S805" i="6"/>
  <c r="T805" i="6"/>
  <c r="B806" i="6"/>
  <c r="C806" i="6"/>
  <c r="D806" i="6"/>
  <c r="E806" i="6"/>
  <c r="F806" i="6"/>
  <c r="H806" i="6"/>
  <c r="I806" i="6"/>
  <c r="N806" i="6"/>
  <c r="Q806" i="6"/>
  <c r="S806" i="6" s="1"/>
  <c r="R806" i="6"/>
  <c r="T806" i="6"/>
  <c r="B807" i="6"/>
  <c r="C807" i="6"/>
  <c r="D807" i="6"/>
  <c r="E807" i="6"/>
  <c r="F807" i="6"/>
  <c r="H807" i="6"/>
  <c r="I807" i="6"/>
  <c r="N807" i="6"/>
  <c r="Q807" i="6"/>
  <c r="S807" i="6" s="1"/>
  <c r="R807" i="6"/>
  <c r="T807" i="6"/>
  <c r="B808" i="6"/>
  <c r="C808" i="6"/>
  <c r="D808" i="6"/>
  <c r="E808" i="6"/>
  <c r="L808" i="6" s="1"/>
  <c r="F808" i="6"/>
  <c r="H808" i="6"/>
  <c r="I808" i="6"/>
  <c r="N808" i="6"/>
  <c r="R808" i="6"/>
  <c r="Q808" i="6" s="1"/>
  <c r="S808" i="6"/>
  <c r="T808" i="6"/>
  <c r="B809" i="6"/>
  <c r="C809" i="6"/>
  <c r="D809" i="6"/>
  <c r="E809" i="6"/>
  <c r="F809" i="6"/>
  <c r="H809" i="6"/>
  <c r="I809" i="6"/>
  <c r="L809" i="6"/>
  <c r="N809" i="6"/>
  <c r="R809" i="6"/>
  <c r="Q809" i="6" s="1"/>
  <c r="S809" i="6" s="1"/>
  <c r="T809" i="6"/>
  <c r="B810" i="6"/>
  <c r="C810" i="6"/>
  <c r="D810" i="6"/>
  <c r="E810" i="6"/>
  <c r="F810" i="6"/>
  <c r="H810" i="6"/>
  <c r="I810" i="6"/>
  <c r="N810" i="6"/>
  <c r="Q810" i="6"/>
  <c r="S810" i="6" s="1"/>
  <c r="R810" i="6"/>
  <c r="T810" i="6"/>
  <c r="B811" i="6"/>
  <c r="C811" i="6"/>
  <c r="D811" i="6"/>
  <c r="E811" i="6"/>
  <c r="F811" i="6"/>
  <c r="L811" i="6" s="1"/>
  <c r="H811" i="6"/>
  <c r="I811" i="6"/>
  <c r="N811" i="6"/>
  <c r="R811" i="6"/>
  <c r="Q811" i="6" s="1"/>
  <c r="S811" i="6" s="1"/>
  <c r="T811" i="6"/>
  <c r="B812" i="6"/>
  <c r="C812" i="6"/>
  <c r="D812" i="6"/>
  <c r="L812" i="6" s="1"/>
  <c r="E812" i="6"/>
  <c r="F812" i="6"/>
  <c r="H812" i="6"/>
  <c r="I812" i="6"/>
  <c r="N812" i="6"/>
  <c r="R812" i="6"/>
  <c r="Q812" i="6" s="1"/>
  <c r="S812" i="6" s="1"/>
  <c r="T812" i="6"/>
  <c r="B813" i="6"/>
  <c r="C813" i="6"/>
  <c r="D813" i="6"/>
  <c r="E813" i="6"/>
  <c r="F813" i="6"/>
  <c r="H813" i="6"/>
  <c r="I813" i="6"/>
  <c r="N813" i="6"/>
  <c r="R813" i="6"/>
  <c r="Q813" i="6" s="1"/>
  <c r="S813" i="6"/>
  <c r="T813" i="6"/>
  <c r="B814" i="6"/>
  <c r="C814" i="6"/>
  <c r="D814" i="6"/>
  <c r="E814" i="6"/>
  <c r="F814" i="6"/>
  <c r="H814" i="6"/>
  <c r="I814" i="6"/>
  <c r="N814" i="6"/>
  <c r="Q814" i="6"/>
  <c r="S814" i="6" s="1"/>
  <c r="R814" i="6"/>
  <c r="T814" i="6"/>
  <c r="B815" i="6"/>
  <c r="C815" i="6"/>
  <c r="D815" i="6"/>
  <c r="E815" i="6"/>
  <c r="F815" i="6"/>
  <c r="H815" i="6"/>
  <c r="I815" i="6"/>
  <c r="N815" i="6"/>
  <c r="Q815" i="6"/>
  <c r="R815" i="6"/>
  <c r="S815" i="6"/>
  <c r="T815" i="6"/>
  <c r="B816" i="6"/>
  <c r="C816" i="6"/>
  <c r="D816" i="6"/>
  <c r="E816" i="6"/>
  <c r="L816" i="6" s="1"/>
  <c r="F816" i="6"/>
  <c r="H816" i="6"/>
  <c r="I816" i="6"/>
  <c r="N816" i="6"/>
  <c r="R816" i="6"/>
  <c r="Q816" i="6" s="1"/>
  <c r="S816" i="6"/>
  <c r="T816" i="6"/>
  <c r="B817" i="6"/>
  <c r="C817" i="6"/>
  <c r="D817" i="6"/>
  <c r="E817" i="6"/>
  <c r="F817" i="6"/>
  <c r="H817" i="6"/>
  <c r="I817" i="6"/>
  <c r="L817" i="6"/>
  <c r="N817" i="6"/>
  <c r="R817" i="6"/>
  <c r="Q817" i="6" s="1"/>
  <c r="S817" i="6" s="1"/>
  <c r="T817" i="6"/>
  <c r="B818" i="6"/>
  <c r="C818" i="6"/>
  <c r="D818" i="6"/>
  <c r="E818" i="6"/>
  <c r="F818" i="6"/>
  <c r="H818" i="6"/>
  <c r="I818" i="6"/>
  <c r="N818" i="6"/>
  <c r="Q818" i="6"/>
  <c r="S818" i="6" s="1"/>
  <c r="R818" i="6"/>
  <c r="T818" i="6"/>
  <c r="B819" i="6"/>
  <c r="C819" i="6"/>
  <c r="D819" i="6"/>
  <c r="E819" i="6"/>
  <c r="F819" i="6"/>
  <c r="H819" i="6"/>
  <c r="I819" i="6"/>
  <c r="L819" i="6"/>
  <c r="N819" i="6"/>
  <c r="R819" i="6"/>
  <c r="Q819" i="6" s="1"/>
  <c r="S819" i="6" s="1"/>
  <c r="T819" i="6"/>
  <c r="B820" i="6"/>
  <c r="C820" i="6"/>
  <c r="D820" i="6"/>
  <c r="L820" i="6" s="1"/>
  <c r="E820" i="6"/>
  <c r="F820" i="6"/>
  <c r="H820" i="6"/>
  <c r="I820" i="6"/>
  <c r="N820" i="6"/>
  <c r="R820" i="6"/>
  <c r="Q820" i="6" s="1"/>
  <c r="S820" i="6"/>
  <c r="T820" i="6"/>
  <c r="B821" i="6"/>
  <c r="C821" i="6"/>
  <c r="L821" i="6" s="1"/>
  <c r="D821" i="6"/>
  <c r="E821" i="6"/>
  <c r="F821" i="6"/>
  <c r="H821" i="6"/>
  <c r="I821" i="6"/>
  <c r="N821" i="6"/>
  <c r="R821" i="6"/>
  <c r="Q821" i="6" s="1"/>
  <c r="S821" i="6" s="1"/>
  <c r="T821" i="6"/>
  <c r="B822" i="6"/>
  <c r="C822" i="6"/>
  <c r="D822" i="6"/>
  <c r="E822" i="6"/>
  <c r="F822" i="6"/>
  <c r="H822" i="6"/>
  <c r="I822" i="6"/>
  <c r="N822" i="6"/>
  <c r="Q822" i="6"/>
  <c r="S822" i="6" s="1"/>
  <c r="R822" i="6"/>
  <c r="T822" i="6"/>
  <c r="B823" i="6"/>
  <c r="C823" i="6"/>
  <c r="D823" i="6"/>
  <c r="E823" i="6"/>
  <c r="F823" i="6"/>
  <c r="H823" i="6"/>
  <c r="I823" i="6"/>
  <c r="N823" i="6"/>
  <c r="Q823" i="6"/>
  <c r="R823" i="6"/>
  <c r="S823" i="6"/>
  <c r="T823" i="6"/>
  <c r="B824" i="6"/>
  <c r="C824" i="6"/>
  <c r="D824" i="6"/>
  <c r="E824" i="6"/>
  <c r="F824" i="6"/>
  <c r="H824" i="6"/>
  <c r="I824" i="6"/>
  <c r="L824" i="6" s="1"/>
  <c r="N824" i="6"/>
  <c r="R824" i="6"/>
  <c r="Q824" i="6" s="1"/>
  <c r="S824" i="6"/>
  <c r="T824" i="6"/>
  <c r="B825" i="6"/>
  <c r="C825" i="6"/>
  <c r="D825" i="6"/>
  <c r="L825" i="6" s="1"/>
  <c r="E825" i="6"/>
  <c r="F825" i="6"/>
  <c r="H825" i="6"/>
  <c r="I825" i="6"/>
  <c r="N825" i="6"/>
  <c r="R825" i="6"/>
  <c r="Q825" i="6" s="1"/>
  <c r="S825" i="6" s="1"/>
  <c r="T825" i="6"/>
  <c r="B826" i="6"/>
  <c r="C826" i="6"/>
  <c r="D826" i="6"/>
  <c r="E826" i="6"/>
  <c r="F826" i="6"/>
  <c r="H826" i="6"/>
  <c r="I826" i="6"/>
  <c r="N826" i="6"/>
  <c r="Q826" i="6"/>
  <c r="S826" i="6" s="1"/>
  <c r="R826" i="6"/>
  <c r="T826" i="6"/>
  <c r="B827" i="6"/>
  <c r="C827" i="6"/>
  <c r="D827" i="6"/>
  <c r="E827" i="6"/>
  <c r="F827" i="6"/>
  <c r="L827" i="6" s="1"/>
  <c r="H827" i="6"/>
  <c r="I827" i="6"/>
  <c r="N827" i="6"/>
  <c r="R827" i="6"/>
  <c r="Q827" i="6" s="1"/>
  <c r="S827" i="6" s="1"/>
  <c r="T827" i="6"/>
  <c r="B828" i="6"/>
  <c r="C828" i="6"/>
  <c r="D828" i="6"/>
  <c r="L828" i="6" s="1"/>
  <c r="E828" i="6"/>
  <c r="F828" i="6"/>
  <c r="H828" i="6"/>
  <c r="I828" i="6"/>
  <c r="N828" i="6"/>
  <c r="R828" i="6"/>
  <c r="Q828" i="6" s="1"/>
  <c r="S828" i="6" s="1"/>
  <c r="T828" i="6"/>
  <c r="B829" i="6"/>
  <c r="C829" i="6"/>
  <c r="L829" i="6" s="1"/>
  <c r="D829" i="6"/>
  <c r="E829" i="6"/>
  <c r="F829" i="6"/>
  <c r="H829" i="6"/>
  <c r="I829" i="6"/>
  <c r="N829" i="6"/>
  <c r="R829" i="6"/>
  <c r="Q829" i="6" s="1"/>
  <c r="S829" i="6"/>
  <c r="T829" i="6"/>
  <c r="B830" i="6"/>
  <c r="C830" i="6"/>
  <c r="L830" i="6" s="1"/>
  <c r="D830" i="6"/>
  <c r="E830" i="6"/>
  <c r="F830" i="6"/>
  <c r="H830" i="6"/>
  <c r="I830" i="6"/>
  <c r="N830" i="6"/>
  <c r="Q830" i="6"/>
  <c r="S830" i="6" s="1"/>
  <c r="R830" i="6"/>
  <c r="T830" i="6"/>
  <c r="B831" i="6"/>
  <c r="C831" i="6"/>
  <c r="D831" i="6"/>
  <c r="E831" i="6"/>
  <c r="F831" i="6"/>
  <c r="H831" i="6"/>
  <c r="I831" i="6"/>
  <c r="N831" i="6"/>
  <c r="Q831" i="6"/>
  <c r="R831" i="6"/>
  <c r="S831" i="6"/>
  <c r="T831" i="6"/>
  <c r="B832" i="6"/>
  <c r="C832" i="6"/>
  <c r="D832" i="6"/>
  <c r="L832" i="6" s="1"/>
  <c r="E832" i="6"/>
  <c r="F832" i="6"/>
  <c r="H832" i="6"/>
  <c r="I832" i="6"/>
  <c r="N832" i="6"/>
  <c r="R832" i="6"/>
  <c r="Q832" i="6" s="1"/>
  <c r="S832" i="6" s="1"/>
  <c r="T832" i="6"/>
  <c r="B833" i="6"/>
  <c r="C833" i="6"/>
  <c r="D833" i="6"/>
  <c r="E833" i="6"/>
  <c r="F833" i="6"/>
  <c r="H833" i="6"/>
  <c r="I833" i="6"/>
  <c r="N833" i="6"/>
  <c r="Q833" i="6"/>
  <c r="R833" i="6"/>
  <c r="T833" i="6"/>
  <c r="B834" i="6"/>
  <c r="C834" i="6"/>
  <c r="D834" i="6"/>
  <c r="E834" i="6"/>
  <c r="F834" i="6"/>
  <c r="H834" i="6"/>
  <c r="I834" i="6"/>
  <c r="N834" i="6"/>
  <c r="R834" i="6"/>
  <c r="Q834" i="6" s="1"/>
  <c r="S834" i="6" s="1"/>
  <c r="T834" i="6"/>
  <c r="B835" i="6"/>
  <c r="C835" i="6"/>
  <c r="D835" i="6"/>
  <c r="E835" i="6"/>
  <c r="F835" i="6"/>
  <c r="H835" i="6"/>
  <c r="I835" i="6"/>
  <c r="N835" i="6"/>
  <c r="R835" i="6"/>
  <c r="Q835" i="6" s="1"/>
  <c r="S835" i="6"/>
  <c r="T835" i="6"/>
  <c r="B836" i="6"/>
  <c r="C836" i="6"/>
  <c r="D836" i="6"/>
  <c r="E836" i="6"/>
  <c r="F836" i="6"/>
  <c r="H836" i="6"/>
  <c r="I836" i="6"/>
  <c r="L836" i="6" s="1"/>
  <c r="N836" i="6"/>
  <c r="R836" i="6"/>
  <c r="Q836" i="6" s="1"/>
  <c r="S836" i="6"/>
  <c r="T836" i="6"/>
  <c r="B837" i="6"/>
  <c r="C837" i="6"/>
  <c r="D837" i="6"/>
  <c r="E837" i="6"/>
  <c r="F837" i="6"/>
  <c r="H837" i="6"/>
  <c r="I837" i="6"/>
  <c r="N837" i="6"/>
  <c r="R837" i="6"/>
  <c r="Q837" i="6" s="1"/>
  <c r="S837" i="6" s="1"/>
  <c r="T837" i="6"/>
  <c r="B838" i="6"/>
  <c r="C838" i="6"/>
  <c r="D838" i="6"/>
  <c r="E838" i="6"/>
  <c r="F838" i="6"/>
  <c r="H838" i="6"/>
  <c r="I838" i="6"/>
  <c r="N838" i="6"/>
  <c r="Q838" i="6"/>
  <c r="S838" i="6" s="1"/>
  <c r="R838" i="6"/>
  <c r="T838" i="6"/>
  <c r="B839" i="6"/>
  <c r="C839" i="6"/>
  <c r="D839" i="6"/>
  <c r="E839" i="6"/>
  <c r="F839" i="6"/>
  <c r="H839" i="6"/>
  <c r="I839" i="6"/>
  <c r="N839" i="6"/>
  <c r="Q839" i="6"/>
  <c r="R839" i="6"/>
  <c r="S839" i="6"/>
  <c r="T839" i="6"/>
  <c r="B840" i="6"/>
  <c r="C840" i="6"/>
  <c r="D840" i="6"/>
  <c r="E840" i="6"/>
  <c r="F840" i="6"/>
  <c r="H840" i="6"/>
  <c r="I840" i="6"/>
  <c r="L840" i="6"/>
  <c r="N840" i="6"/>
  <c r="R840" i="6"/>
  <c r="Q840" i="6" s="1"/>
  <c r="S840" i="6"/>
  <c r="T840" i="6"/>
  <c r="B841" i="6"/>
  <c r="C841" i="6"/>
  <c r="L841" i="6" s="1"/>
  <c r="D841" i="6"/>
  <c r="E841" i="6"/>
  <c r="F841" i="6"/>
  <c r="H841" i="6"/>
  <c r="I841" i="6"/>
  <c r="N841" i="6"/>
  <c r="R841" i="6"/>
  <c r="Q841" i="6" s="1"/>
  <c r="T841" i="6"/>
  <c r="B842" i="6"/>
  <c r="C842" i="6"/>
  <c r="D842" i="6"/>
  <c r="E842" i="6"/>
  <c r="F842" i="6"/>
  <c r="H842" i="6"/>
  <c r="I842" i="6"/>
  <c r="N842" i="6"/>
  <c r="R842" i="6"/>
  <c r="Q842" i="6" s="1"/>
  <c r="S842" i="6" s="1"/>
  <c r="T842" i="6"/>
  <c r="B843" i="6"/>
  <c r="C843" i="6"/>
  <c r="D843" i="6"/>
  <c r="E843" i="6"/>
  <c r="F843" i="6"/>
  <c r="L843" i="6" s="1"/>
  <c r="H843" i="6"/>
  <c r="I843" i="6"/>
  <c r="N843" i="6"/>
  <c r="R843" i="6"/>
  <c r="Q843" i="6" s="1"/>
  <c r="S843" i="6"/>
  <c r="T843" i="6"/>
  <c r="B844" i="6"/>
  <c r="C844" i="6"/>
  <c r="D844" i="6"/>
  <c r="E844" i="6"/>
  <c r="L844" i="6" s="1"/>
  <c r="F844" i="6"/>
  <c r="H844" i="6"/>
  <c r="I844" i="6"/>
  <c r="N844" i="6"/>
  <c r="R844" i="6"/>
  <c r="Q844" i="6" s="1"/>
  <c r="S844" i="6"/>
  <c r="T844" i="6"/>
  <c r="B845" i="6"/>
  <c r="C845" i="6"/>
  <c r="D845" i="6"/>
  <c r="E845" i="6"/>
  <c r="F845" i="6"/>
  <c r="H845" i="6"/>
  <c r="I845" i="6"/>
  <c r="N845" i="6"/>
  <c r="Q845" i="6"/>
  <c r="R845" i="6"/>
  <c r="S845" i="6"/>
  <c r="T845" i="6"/>
  <c r="B846" i="6"/>
  <c r="C846" i="6"/>
  <c r="D846" i="6"/>
  <c r="E846" i="6"/>
  <c r="F846" i="6"/>
  <c r="H846" i="6"/>
  <c r="I846" i="6"/>
  <c r="N846" i="6"/>
  <c r="Q846" i="6"/>
  <c r="S846" i="6" s="1"/>
  <c r="R846" i="6"/>
  <c r="T846" i="6"/>
  <c r="B847" i="6"/>
  <c r="C847" i="6"/>
  <c r="D847" i="6"/>
  <c r="E847" i="6"/>
  <c r="F847" i="6"/>
  <c r="L847" i="6" s="1"/>
  <c r="H847" i="6"/>
  <c r="I847" i="6"/>
  <c r="N847" i="6"/>
  <c r="Q847" i="6"/>
  <c r="R847" i="6"/>
  <c r="S847" i="6"/>
  <c r="T847" i="6"/>
  <c r="B848" i="6"/>
  <c r="C848" i="6"/>
  <c r="D848" i="6"/>
  <c r="E848" i="6"/>
  <c r="L848" i="6" s="1"/>
  <c r="F848" i="6"/>
  <c r="H848" i="6"/>
  <c r="I848" i="6"/>
  <c r="N848" i="6"/>
  <c r="R848" i="6"/>
  <c r="Q848" i="6" s="1"/>
  <c r="S848" i="6"/>
  <c r="T848" i="6"/>
  <c r="B849" i="6"/>
  <c r="C849" i="6"/>
  <c r="D849" i="6"/>
  <c r="E849" i="6"/>
  <c r="F849" i="6"/>
  <c r="H849" i="6"/>
  <c r="I849" i="6"/>
  <c r="L849" i="6"/>
  <c r="N849" i="6"/>
  <c r="R849" i="6"/>
  <c r="Q849" i="6" s="1"/>
  <c r="S849" i="6" s="1"/>
  <c r="T849" i="6"/>
  <c r="B850" i="6"/>
  <c r="C850" i="6"/>
  <c r="D850" i="6"/>
  <c r="E850" i="6"/>
  <c r="F850" i="6"/>
  <c r="H850" i="6"/>
  <c r="I850" i="6"/>
  <c r="N850" i="6"/>
  <c r="Q850" i="6"/>
  <c r="S850" i="6" s="1"/>
  <c r="R850" i="6"/>
  <c r="T850" i="6"/>
  <c r="B851" i="6"/>
  <c r="C851" i="6"/>
  <c r="D851" i="6"/>
  <c r="E851" i="6"/>
  <c r="F851" i="6"/>
  <c r="H851" i="6"/>
  <c r="I851" i="6"/>
  <c r="L851" i="6"/>
  <c r="N851" i="6"/>
  <c r="R851" i="6"/>
  <c r="Q851" i="6" s="1"/>
  <c r="S851" i="6" s="1"/>
  <c r="T851" i="6"/>
  <c r="B852" i="6"/>
  <c r="C852" i="6"/>
  <c r="D852" i="6"/>
  <c r="E852" i="6"/>
  <c r="L852" i="6" s="1"/>
  <c r="F852" i="6"/>
  <c r="H852" i="6"/>
  <c r="I852" i="6"/>
  <c r="N852" i="6"/>
  <c r="R852" i="6"/>
  <c r="Q852" i="6" s="1"/>
  <c r="S852" i="6" s="1"/>
  <c r="T852" i="6"/>
  <c r="B853" i="6"/>
  <c r="C853" i="6"/>
  <c r="D853" i="6"/>
  <c r="E853" i="6"/>
  <c r="F853" i="6"/>
  <c r="H853" i="6"/>
  <c r="I853" i="6"/>
  <c r="N853" i="6"/>
  <c r="Q853" i="6"/>
  <c r="S853" i="6" s="1"/>
  <c r="R853" i="6"/>
  <c r="T853" i="6"/>
  <c r="B854" i="6"/>
  <c r="C854" i="6"/>
  <c r="L854" i="6" s="1"/>
  <c r="D854" i="6"/>
  <c r="E854" i="6"/>
  <c r="F854" i="6"/>
  <c r="H854" i="6"/>
  <c r="I854" i="6"/>
  <c r="N854" i="6"/>
  <c r="Q854" i="6"/>
  <c r="S854" i="6" s="1"/>
  <c r="R854" i="6"/>
  <c r="T854" i="6"/>
  <c r="B855" i="6"/>
  <c r="C855" i="6"/>
  <c r="L855" i="6" s="1"/>
  <c r="D855" i="6"/>
  <c r="E855" i="6"/>
  <c r="F855" i="6"/>
  <c r="H855" i="6"/>
  <c r="I855" i="6"/>
  <c r="N855" i="6"/>
  <c r="Q855" i="6"/>
  <c r="S855" i="6" s="1"/>
  <c r="R855" i="6"/>
  <c r="T855" i="6"/>
  <c r="B856" i="6"/>
  <c r="C856" i="6"/>
  <c r="D856" i="6"/>
  <c r="E856" i="6"/>
  <c r="L856" i="6" s="1"/>
  <c r="F856" i="6"/>
  <c r="H856" i="6"/>
  <c r="I856" i="6"/>
  <c r="N856" i="6"/>
  <c r="R856" i="6"/>
  <c r="Q856" i="6" s="1"/>
  <c r="S856" i="6" s="1"/>
  <c r="T856" i="6"/>
  <c r="B857" i="6"/>
  <c r="C857" i="6"/>
  <c r="D857" i="6"/>
  <c r="E857" i="6"/>
  <c r="F857" i="6"/>
  <c r="H857" i="6"/>
  <c r="I857" i="6"/>
  <c r="L857" i="6"/>
  <c r="N857" i="6"/>
  <c r="Q857" i="6"/>
  <c r="S857" i="6" s="1"/>
  <c r="R857" i="6"/>
  <c r="T857" i="6"/>
  <c r="B858" i="6"/>
  <c r="C858" i="6"/>
  <c r="L858" i="6" s="1"/>
  <c r="D858" i="6"/>
  <c r="E858" i="6"/>
  <c r="F858" i="6"/>
  <c r="H858" i="6"/>
  <c r="I858" i="6"/>
  <c r="N858" i="6"/>
  <c r="R858" i="6"/>
  <c r="Q858" i="6" s="1"/>
  <c r="S858" i="6" s="1"/>
  <c r="T858" i="6"/>
  <c r="B859" i="6"/>
  <c r="C859" i="6"/>
  <c r="D859" i="6"/>
  <c r="E859" i="6"/>
  <c r="F859" i="6"/>
  <c r="H859" i="6"/>
  <c r="I859" i="6"/>
  <c r="N859" i="6"/>
  <c r="R859" i="6"/>
  <c r="Q859" i="6" s="1"/>
  <c r="S859" i="6" s="1"/>
  <c r="T859" i="6"/>
  <c r="B860" i="6"/>
  <c r="C860" i="6"/>
  <c r="D860" i="6"/>
  <c r="L860" i="6" s="1"/>
  <c r="E860" i="6"/>
  <c r="F860" i="6"/>
  <c r="H860" i="6"/>
  <c r="I860" i="6"/>
  <c r="N860" i="6"/>
  <c r="R860" i="6"/>
  <c r="Q860" i="6" s="1"/>
  <c r="S860" i="6"/>
  <c r="T860" i="6"/>
  <c r="B861" i="6"/>
  <c r="C861" i="6"/>
  <c r="D861" i="6"/>
  <c r="E861" i="6"/>
  <c r="F861" i="6"/>
  <c r="H861" i="6"/>
  <c r="I861" i="6"/>
  <c r="N861" i="6"/>
  <c r="R861" i="6"/>
  <c r="Q861" i="6" s="1"/>
  <c r="S861" i="6" s="1"/>
  <c r="T861" i="6"/>
  <c r="B862" i="6"/>
  <c r="C862" i="6"/>
  <c r="L862" i="6" s="1"/>
  <c r="D862" i="6"/>
  <c r="E862" i="6"/>
  <c r="F862" i="6"/>
  <c r="H862" i="6"/>
  <c r="I862" i="6"/>
  <c r="N862" i="6"/>
  <c r="Q862" i="6"/>
  <c r="S862" i="6" s="1"/>
  <c r="R862" i="6"/>
  <c r="T862" i="6"/>
  <c r="B863" i="6"/>
  <c r="C863" i="6"/>
  <c r="D863" i="6"/>
  <c r="E863" i="6"/>
  <c r="F863" i="6"/>
  <c r="H863" i="6"/>
  <c r="I863" i="6"/>
  <c r="L863" i="6"/>
  <c r="N863" i="6"/>
  <c r="Q863" i="6"/>
  <c r="S863" i="6" s="1"/>
  <c r="R863" i="6"/>
  <c r="T863" i="6"/>
  <c r="B864" i="6"/>
  <c r="C864" i="6"/>
  <c r="D864" i="6"/>
  <c r="E864" i="6"/>
  <c r="F864" i="6"/>
  <c r="H864" i="6"/>
  <c r="I864" i="6"/>
  <c r="N864" i="6"/>
  <c r="R864" i="6"/>
  <c r="Q864" i="6" s="1"/>
  <c r="S864" i="6"/>
  <c r="T864" i="6"/>
  <c r="B865" i="6"/>
  <c r="C865" i="6"/>
  <c r="L865" i="6" s="1"/>
  <c r="D865" i="6"/>
  <c r="E865" i="6"/>
  <c r="F865" i="6"/>
  <c r="H865" i="6"/>
  <c r="I865" i="6"/>
  <c r="N865" i="6"/>
  <c r="Q865" i="6"/>
  <c r="S865" i="6" s="1"/>
  <c r="R865" i="6"/>
  <c r="T865" i="6"/>
  <c r="B866" i="6"/>
  <c r="C866" i="6"/>
  <c r="D866" i="6"/>
  <c r="E866" i="6"/>
  <c r="F866" i="6"/>
  <c r="H866" i="6"/>
  <c r="I866" i="6"/>
  <c r="N866" i="6"/>
  <c r="R866" i="6"/>
  <c r="Q866" i="6" s="1"/>
  <c r="S866" i="6" s="1"/>
  <c r="T866" i="6"/>
  <c r="B867" i="6"/>
  <c r="C867" i="6"/>
  <c r="D867" i="6"/>
  <c r="E867" i="6"/>
  <c r="F867" i="6"/>
  <c r="H867" i="6"/>
  <c r="I867" i="6"/>
  <c r="L867" i="6"/>
  <c r="N867" i="6"/>
  <c r="R867" i="6"/>
  <c r="Q867" i="6" s="1"/>
  <c r="S867" i="6" s="1"/>
  <c r="T867" i="6"/>
  <c r="B868" i="6"/>
  <c r="C868" i="6"/>
  <c r="D868" i="6"/>
  <c r="E868" i="6"/>
  <c r="F868" i="6"/>
  <c r="H868" i="6"/>
  <c r="I868" i="6"/>
  <c r="N868" i="6"/>
  <c r="R868" i="6"/>
  <c r="Q868" i="6" s="1"/>
  <c r="S868" i="6"/>
  <c r="T868" i="6"/>
  <c r="B869" i="6"/>
  <c r="C869" i="6"/>
  <c r="D869" i="6"/>
  <c r="E869" i="6"/>
  <c r="F869" i="6"/>
  <c r="H869" i="6"/>
  <c r="I869" i="6"/>
  <c r="N869" i="6"/>
  <c r="R869" i="6"/>
  <c r="Q869" i="6" s="1"/>
  <c r="S869" i="6"/>
  <c r="T869" i="6"/>
  <c r="B870" i="6"/>
  <c r="C870" i="6"/>
  <c r="D870" i="6"/>
  <c r="E870" i="6"/>
  <c r="F870" i="6"/>
  <c r="H870" i="6"/>
  <c r="I870" i="6"/>
  <c r="N870" i="6"/>
  <c r="R870" i="6"/>
  <c r="Q870" i="6" s="1"/>
  <c r="S870" i="6"/>
  <c r="T870" i="6"/>
  <c r="B871" i="6"/>
  <c r="C871" i="6"/>
  <c r="D871" i="6"/>
  <c r="E871" i="6"/>
  <c r="F871" i="6"/>
  <c r="H871" i="6"/>
  <c r="I871" i="6"/>
  <c r="L871" i="6" s="1"/>
  <c r="N871" i="6"/>
  <c r="R871" i="6"/>
  <c r="Q871" i="6" s="1"/>
  <c r="S871" i="6" s="1"/>
  <c r="T871" i="6"/>
  <c r="B872" i="6"/>
  <c r="C872" i="6"/>
  <c r="D872" i="6"/>
  <c r="E872" i="6"/>
  <c r="F872" i="6"/>
  <c r="H872" i="6"/>
  <c r="I872" i="6"/>
  <c r="N872" i="6"/>
  <c r="Q872" i="6"/>
  <c r="S872" i="6" s="1"/>
  <c r="R872" i="6"/>
  <c r="T872" i="6"/>
  <c r="B873" i="6"/>
  <c r="C873" i="6"/>
  <c r="D873" i="6"/>
  <c r="E873" i="6"/>
  <c r="F873" i="6"/>
  <c r="H873" i="6"/>
  <c r="I873" i="6"/>
  <c r="L873" i="6"/>
  <c r="N873" i="6"/>
  <c r="Q873" i="6"/>
  <c r="R873" i="6"/>
  <c r="S873" i="6"/>
  <c r="T873" i="6"/>
  <c r="B874" i="6"/>
  <c r="C874" i="6"/>
  <c r="D874" i="6"/>
  <c r="L874" i="6" s="1"/>
  <c r="E874" i="6"/>
  <c r="F874" i="6"/>
  <c r="H874" i="6"/>
  <c r="I874" i="6"/>
  <c r="N874" i="6"/>
  <c r="R874" i="6"/>
  <c r="Q874" i="6" s="1"/>
  <c r="S874" i="6"/>
  <c r="T874" i="6"/>
  <c r="B875" i="6"/>
  <c r="C875" i="6"/>
  <c r="D875" i="6"/>
  <c r="E875" i="6"/>
  <c r="F875" i="6"/>
  <c r="H875" i="6"/>
  <c r="I875" i="6"/>
  <c r="N875" i="6"/>
  <c r="R875" i="6"/>
  <c r="Q875" i="6" s="1"/>
  <c r="S875" i="6"/>
  <c r="T875" i="6"/>
  <c r="B876" i="6"/>
  <c r="C876" i="6"/>
  <c r="L876" i="6" s="1"/>
  <c r="D876" i="6"/>
  <c r="E876" i="6"/>
  <c r="F876" i="6"/>
  <c r="H876" i="6"/>
  <c r="I876" i="6"/>
  <c r="N876" i="6"/>
  <c r="Q876" i="6"/>
  <c r="S876" i="6" s="1"/>
  <c r="R876" i="6"/>
  <c r="T876" i="6"/>
  <c r="B877" i="6"/>
  <c r="C877" i="6"/>
  <c r="L877" i="6" s="1"/>
  <c r="D877" i="6"/>
  <c r="E877" i="6"/>
  <c r="F877" i="6"/>
  <c r="H877" i="6"/>
  <c r="I877" i="6"/>
  <c r="N877" i="6"/>
  <c r="Q877" i="6"/>
  <c r="S877" i="6" s="1"/>
  <c r="R877" i="6"/>
  <c r="T877" i="6"/>
  <c r="B878" i="6"/>
  <c r="C878" i="6"/>
  <c r="D878" i="6"/>
  <c r="E878" i="6"/>
  <c r="F878" i="6"/>
  <c r="H878" i="6"/>
  <c r="I878" i="6"/>
  <c r="N878" i="6"/>
  <c r="R878" i="6"/>
  <c r="Q878" i="6" s="1"/>
  <c r="S878" i="6"/>
  <c r="T878" i="6"/>
  <c r="B879" i="6"/>
  <c r="C879" i="6"/>
  <c r="D879" i="6"/>
  <c r="E879" i="6"/>
  <c r="F879" i="6"/>
  <c r="H879" i="6"/>
  <c r="I879" i="6"/>
  <c r="N879" i="6"/>
  <c r="Q879" i="6"/>
  <c r="S879" i="6" s="1"/>
  <c r="R879" i="6"/>
  <c r="T879" i="6"/>
  <c r="B880" i="6"/>
  <c r="C880" i="6"/>
  <c r="D880" i="6"/>
  <c r="E880" i="6"/>
  <c r="F880" i="6"/>
  <c r="H880" i="6"/>
  <c r="I880" i="6"/>
  <c r="N880" i="6"/>
  <c r="R880" i="6"/>
  <c r="Q880" i="6" s="1"/>
  <c r="S880" i="6" s="1"/>
  <c r="T880" i="6"/>
  <c r="B881" i="6"/>
  <c r="C881" i="6"/>
  <c r="D881" i="6"/>
  <c r="E881" i="6"/>
  <c r="F881" i="6"/>
  <c r="H881" i="6"/>
  <c r="I881" i="6"/>
  <c r="L881" i="6"/>
  <c r="N881" i="6"/>
  <c r="Q881" i="6"/>
  <c r="R881" i="6"/>
  <c r="S881" i="6"/>
  <c r="T881" i="6"/>
  <c r="B882" i="6"/>
  <c r="C882" i="6"/>
  <c r="D882" i="6"/>
  <c r="L882" i="6" s="1"/>
  <c r="E882" i="6"/>
  <c r="F882" i="6"/>
  <c r="H882" i="6"/>
  <c r="I882" i="6"/>
  <c r="N882" i="6"/>
  <c r="R882" i="6"/>
  <c r="Q882" i="6" s="1"/>
  <c r="S882" i="6"/>
  <c r="T882" i="6"/>
  <c r="B883" i="6"/>
  <c r="C883" i="6"/>
  <c r="D883" i="6"/>
  <c r="E883" i="6"/>
  <c r="F883" i="6"/>
  <c r="H883" i="6"/>
  <c r="I883" i="6"/>
  <c r="N883" i="6"/>
  <c r="R883" i="6"/>
  <c r="Q883" i="6" s="1"/>
  <c r="S883" i="6"/>
  <c r="T883" i="6"/>
  <c r="B884" i="6"/>
  <c r="C884" i="6"/>
  <c r="D884" i="6"/>
  <c r="E884" i="6"/>
  <c r="F884" i="6"/>
  <c r="H884" i="6"/>
  <c r="I884" i="6"/>
  <c r="N884" i="6"/>
  <c r="Q884" i="6"/>
  <c r="S884" i="6" s="1"/>
  <c r="R884" i="6"/>
  <c r="T884" i="6"/>
  <c r="B885" i="6"/>
  <c r="C885" i="6"/>
  <c r="D885" i="6"/>
  <c r="E885" i="6"/>
  <c r="F885" i="6"/>
  <c r="H885" i="6"/>
  <c r="I885" i="6"/>
  <c r="N885" i="6"/>
  <c r="Q885" i="6"/>
  <c r="S885" i="6" s="1"/>
  <c r="R885" i="6"/>
  <c r="T885" i="6"/>
  <c r="B886" i="6"/>
  <c r="C886" i="6"/>
  <c r="D886" i="6"/>
  <c r="E886" i="6"/>
  <c r="F886" i="6"/>
  <c r="H886" i="6"/>
  <c r="I886" i="6"/>
  <c r="N886" i="6"/>
  <c r="R886" i="6"/>
  <c r="Q886" i="6" s="1"/>
  <c r="S886" i="6"/>
  <c r="T886" i="6"/>
  <c r="B887" i="6"/>
  <c r="C887" i="6"/>
  <c r="D887" i="6"/>
  <c r="E887" i="6"/>
  <c r="F887" i="6"/>
  <c r="H887" i="6"/>
  <c r="I887" i="6"/>
  <c r="L887" i="6"/>
  <c r="N887" i="6"/>
  <c r="R887" i="6"/>
  <c r="Q887" i="6" s="1"/>
  <c r="S887" i="6" s="1"/>
  <c r="T887" i="6"/>
  <c r="B888" i="6"/>
  <c r="C888" i="6"/>
  <c r="D888" i="6"/>
  <c r="E888" i="6"/>
  <c r="F888" i="6"/>
  <c r="H888" i="6"/>
  <c r="I888" i="6"/>
  <c r="N888" i="6"/>
  <c r="R888" i="6"/>
  <c r="Q888" i="6" s="1"/>
  <c r="S888" i="6" s="1"/>
  <c r="T888" i="6"/>
  <c r="B889" i="6"/>
  <c r="C889" i="6"/>
  <c r="D889" i="6"/>
  <c r="E889" i="6"/>
  <c r="F889" i="6"/>
  <c r="L889" i="6" s="1"/>
  <c r="H889" i="6"/>
  <c r="I889" i="6"/>
  <c r="N889" i="6"/>
  <c r="Q889" i="6"/>
  <c r="R889" i="6"/>
  <c r="S889" i="6"/>
  <c r="T889" i="6"/>
  <c r="B890" i="6"/>
  <c r="C890" i="6"/>
  <c r="D890" i="6"/>
  <c r="E890" i="6"/>
  <c r="F890" i="6"/>
  <c r="H890" i="6"/>
  <c r="I890" i="6"/>
  <c r="L890" i="6"/>
  <c r="N890" i="6"/>
  <c r="R890" i="6"/>
  <c r="Q890" i="6" s="1"/>
  <c r="S890" i="6"/>
  <c r="T890" i="6"/>
  <c r="B891" i="6"/>
  <c r="C891" i="6"/>
  <c r="D891" i="6"/>
  <c r="E891" i="6"/>
  <c r="F891" i="6"/>
  <c r="H891" i="6"/>
  <c r="I891" i="6"/>
  <c r="N891" i="6"/>
  <c r="R891" i="6"/>
  <c r="Q891" i="6" s="1"/>
  <c r="S891" i="6" s="1"/>
  <c r="T891" i="6"/>
  <c r="B892" i="6"/>
  <c r="C892" i="6"/>
  <c r="D892" i="6"/>
  <c r="E892" i="6"/>
  <c r="F892" i="6"/>
  <c r="H892" i="6"/>
  <c r="I892" i="6"/>
  <c r="N892" i="6"/>
  <c r="Q892" i="6"/>
  <c r="S892" i="6" s="1"/>
  <c r="R892" i="6"/>
  <c r="T892" i="6"/>
  <c r="B893" i="6"/>
  <c r="C893" i="6"/>
  <c r="L893" i="6" s="1"/>
  <c r="D893" i="6"/>
  <c r="E893" i="6"/>
  <c r="F893" i="6"/>
  <c r="H893" i="6"/>
  <c r="I893" i="6"/>
  <c r="N893" i="6"/>
  <c r="Q893" i="6"/>
  <c r="R893" i="6"/>
  <c r="S893" i="6"/>
  <c r="T893" i="6"/>
  <c r="B894" i="6"/>
  <c r="C894" i="6"/>
  <c r="D894" i="6"/>
  <c r="E894" i="6"/>
  <c r="F894" i="6"/>
  <c r="L894" i="6" s="1"/>
  <c r="H894" i="6"/>
  <c r="I894" i="6"/>
  <c r="N894" i="6"/>
  <c r="R894" i="6"/>
  <c r="Q894" i="6" s="1"/>
  <c r="S894" i="6" s="1"/>
  <c r="T894" i="6"/>
  <c r="B895" i="6"/>
  <c r="C895" i="6"/>
  <c r="D895" i="6"/>
  <c r="E895" i="6"/>
  <c r="F895" i="6"/>
  <c r="H895" i="6"/>
  <c r="I895" i="6"/>
  <c r="N895" i="6"/>
  <c r="Q895" i="6"/>
  <c r="S895" i="6" s="1"/>
  <c r="R895" i="6"/>
  <c r="T895" i="6"/>
  <c r="B896" i="6"/>
  <c r="C896" i="6"/>
  <c r="D896" i="6"/>
  <c r="E896" i="6"/>
  <c r="F896" i="6"/>
  <c r="H896" i="6"/>
  <c r="I896" i="6"/>
  <c r="N896" i="6"/>
  <c r="Q896" i="6"/>
  <c r="S896" i="6" s="1"/>
  <c r="R896" i="6"/>
  <c r="T896" i="6"/>
  <c r="B897" i="6"/>
  <c r="C897" i="6"/>
  <c r="D897" i="6"/>
  <c r="E897" i="6"/>
  <c r="F897" i="6"/>
  <c r="H897" i="6"/>
  <c r="I897" i="6"/>
  <c r="N897" i="6"/>
  <c r="Q897" i="6"/>
  <c r="R897" i="6"/>
  <c r="S897" i="6"/>
  <c r="T897" i="6"/>
  <c r="B898" i="6"/>
  <c r="C898" i="6"/>
  <c r="D898" i="6"/>
  <c r="E898" i="6"/>
  <c r="F898" i="6"/>
  <c r="H898" i="6"/>
  <c r="I898" i="6"/>
  <c r="L898" i="6"/>
  <c r="N898" i="6"/>
  <c r="R898" i="6"/>
  <c r="Q898" i="6" s="1"/>
  <c r="S898" i="6" s="1"/>
  <c r="T898" i="6"/>
  <c r="B899" i="6"/>
  <c r="C899" i="6"/>
  <c r="D899" i="6"/>
  <c r="E899" i="6"/>
  <c r="F899" i="6"/>
  <c r="H899" i="6"/>
  <c r="I899" i="6"/>
  <c r="N899" i="6"/>
  <c r="R899" i="6"/>
  <c r="Q899" i="6" s="1"/>
  <c r="S899" i="6"/>
  <c r="T899" i="6"/>
  <c r="B900" i="6"/>
  <c r="C900" i="6"/>
  <c r="D900" i="6"/>
  <c r="E900" i="6"/>
  <c r="F900" i="6"/>
  <c r="H900" i="6"/>
  <c r="I900" i="6"/>
  <c r="N900" i="6"/>
  <c r="Q900" i="6"/>
  <c r="S900" i="6" s="1"/>
  <c r="R900" i="6"/>
  <c r="T900" i="6"/>
  <c r="B901" i="6"/>
  <c r="C901" i="6"/>
  <c r="D901" i="6"/>
  <c r="E901" i="6"/>
  <c r="F901" i="6"/>
  <c r="H901" i="6"/>
  <c r="I901" i="6"/>
  <c r="N901" i="6"/>
  <c r="Q901" i="6"/>
  <c r="R901" i="6"/>
  <c r="S901" i="6"/>
  <c r="T901" i="6"/>
  <c r="B902" i="6"/>
  <c r="C902" i="6"/>
  <c r="D902" i="6"/>
  <c r="E902" i="6"/>
  <c r="L902" i="6" s="1"/>
  <c r="F902" i="6"/>
  <c r="H902" i="6"/>
  <c r="I902" i="6"/>
  <c r="N902" i="6"/>
  <c r="R902" i="6"/>
  <c r="Q902" i="6" s="1"/>
  <c r="S902" i="6"/>
  <c r="T902" i="6"/>
  <c r="B903" i="6"/>
  <c r="C903" i="6"/>
  <c r="D903" i="6"/>
  <c r="E903" i="6"/>
  <c r="F903" i="6"/>
  <c r="H903" i="6"/>
  <c r="I903" i="6"/>
  <c r="L903" i="6"/>
  <c r="N903" i="6"/>
  <c r="R903" i="6"/>
  <c r="Q903" i="6" s="1"/>
  <c r="S903" i="6" s="1"/>
  <c r="T903" i="6"/>
  <c r="B904" i="6"/>
  <c r="C904" i="6"/>
  <c r="D904" i="6"/>
  <c r="E904" i="6"/>
  <c r="F904" i="6"/>
  <c r="H904" i="6"/>
  <c r="I904" i="6"/>
  <c r="N904" i="6"/>
  <c r="Q904" i="6"/>
  <c r="S904" i="6" s="1"/>
  <c r="R904" i="6"/>
  <c r="T904" i="6"/>
  <c r="B905" i="6"/>
  <c r="C905" i="6"/>
  <c r="D905" i="6"/>
  <c r="E905" i="6"/>
  <c r="F905" i="6"/>
  <c r="H905" i="6"/>
  <c r="I905" i="6"/>
  <c r="L905" i="6"/>
  <c r="N905" i="6"/>
  <c r="R905" i="6"/>
  <c r="Q905" i="6" s="1"/>
  <c r="S905" i="6" s="1"/>
  <c r="T905" i="6"/>
  <c r="B906" i="6"/>
  <c r="C906" i="6"/>
  <c r="D906" i="6"/>
  <c r="L906" i="6" s="1"/>
  <c r="E906" i="6"/>
  <c r="F906" i="6"/>
  <c r="H906" i="6"/>
  <c r="I906" i="6"/>
  <c r="N906" i="6"/>
  <c r="R906" i="6"/>
  <c r="Q906" i="6" s="1"/>
  <c r="S906" i="6" s="1"/>
  <c r="T906" i="6"/>
  <c r="B907" i="6"/>
  <c r="C907" i="6"/>
  <c r="L907" i="6" s="1"/>
  <c r="D907" i="6"/>
  <c r="E907" i="6"/>
  <c r="F907" i="6"/>
  <c r="H907" i="6"/>
  <c r="I907" i="6"/>
  <c r="N907" i="6"/>
  <c r="R907" i="6"/>
  <c r="Q907" i="6" s="1"/>
  <c r="S907" i="6"/>
  <c r="T907" i="6"/>
  <c r="B908" i="6"/>
  <c r="C908" i="6"/>
  <c r="D908" i="6"/>
  <c r="E908" i="6"/>
  <c r="F908" i="6"/>
  <c r="H908" i="6"/>
  <c r="I908" i="6"/>
  <c r="N908" i="6"/>
  <c r="Q908" i="6"/>
  <c r="S908" i="6" s="1"/>
  <c r="R908" i="6"/>
  <c r="T908" i="6"/>
  <c r="B909" i="6"/>
  <c r="C909" i="6"/>
  <c r="D909" i="6"/>
  <c r="E909" i="6"/>
  <c r="F909" i="6"/>
  <c r="H909" i="6"/>
  <c r="I909" i="6"/>
  <c r="N909" i="6"/>
  <c r="Q909" i="6"/>
  <c r="R909" i="6"/>
  <c r="S909" i="6"/>
  <c r="T909" i="6"/>
  <c r="B910" i="6"/>
  <c r="C910" i="6"/>
  <c r="D910" i="6"/>
  <c r="E910" i="6"/>
  <c r="F910" i="6"/>
  <c r="H910" i="6"/>
  <c r="I910" i="6"/>
  <c r="L910" i="6"/>
  <c r="N910" i="6"/>
  <c r="R910" i="6"/>
  <c r="Q910" i="6" s="1"/>
  <c r="S910" i="6"/>
  <c r="T910" i="6"/>
  <c r="B911" i="6"/>
  <c r="C911" i="6"/>
  <c r="D911" i="6"/>
  <c r="L911" i="6" s="1"/>
  <c r="E911" i="6"/>
  <c r="F911" i="6"/>
  <c r="H911" i="6"/>
  <c r="I911" i="6"/>
  <c r="N911" i="6"/>
  <c r="R911" i="6"/>
  <c r="Q911" i="6" s="1"/>
  <c r="S911" i="6" s="1"/>
  <c r="T911" i="6"/>
  <c r="B912" i="6"/>
  <c r="C912" i="6"/>
  <c r="D912" i="6"/>
  <c r="E912" i="6"/>
  <c r="F912" i="6"/>
  <c r="H912" i="6"/>
  <c r="I912" i="6"/>
  <c r="N912" i="6"/>
  <c r="R912" i="6"/>
  <c r="Q912" i="6" s="1"/>
  <c r="S912" i="6" s="1"/>
  <c r="T912" i="6"/>
  <c r="B913" i="6"/>
  <c r="C913" i="6"/>
  <c r="D913" i="6"/>
  <c r="E913" i="6"/>
  <c r="F913" i="6"/>
  <c r="L913" i="6" s="1"/>
  <c r="H913" i="6"/>
  <c r="I913" i="6"/>
  <c r="N913" i="6"/>
  <c r="R913" i="6"/>
  <c r="Q913" i="6" s="1"/>
  <c r="T913" i="6"/>
  <c r="B914" i="6"/>
  <c r="C914" i="6"/>
  <c r="D914" i="6"/>
  <c r="E914" i="6"/>
  <c r="F914" i="6"/>
  <c r="H914" i="6"/>
  <c r="I914" i="6"/>
  <c r="L914" i="6"/>
  <c r="N914" i="6"/>
  <c r="R914" i="6"/>
  <c r="Q914" i="6" s="1"/>
  <c r="S914" i="6" s="1"/>
  <c r="T914" i="6"/>
  <c r="B915" i="6"/>
  <c r="C915" i="6"/>
  <c r="L915" i="6" s="1"/>
  <c r="D915" i="6"/>
  <c r="E915" i="6"/>
  <c r="F915" i="6"/>
  <c r="H915" i="6"/>
  <c r="I915" i="6"/>
  <c r="N915" i="6"/>
  <c r="R915" i="6"/>
  <c r="Q915" i="6" s="1"/>
  <c r="S915" i="6"/>
  <c r="T915" i="6"/>
  <c r="B916" i="6"/>
  <c r="C916" i="6"/>
  <c r="L916" i="6" s="1"/>
  <c r="D916" i="6"/>
  <c r="E916" i="6"/>
  <c r="F916" i="6"/>
  <c r="H916" i="6"/>
  <c r="I916" i="6"/>
  <c r="N916" i="6"/>
  <c r="Q916" i="6"/>
  <c r="S916" i="6" s="1"/>
  <c r="R916" i="6"/>
  <c r="T916" i="6"/>
  <c r="B917" i="6"/>
  <c r="C917" i="6"/>
  <c r="D917" i="6"/>
  <c r="E917" i="6"/>
  <c r="F917" i="6"/>
  <c r="H917" i="6"/>
  <c r="I917" i="6"/>
  <c r="N917" i="6"/>
  <c r="Q917" i="6"/>
  <c r="R917" i="6"/>
  <c r="S917" i="6"/>
  <c r="T917" i="6"/>
  <c r="B918" i="6"/>
  <c r="C918" i="6"/>
  <c r="D918" i="6"/>
  <c r="E918" i="6"/>
  <c r="F918" i="6"/>
  <c r="H918" i="6"/>
  <c r="I918" i="6"/>
  <c r="L918" i="6"/>
  <c r="N918" i="6"/>
  <c r="R918" i="6"/>
  <c r="Q918" i="6" s="1"/>
  <c r="S918" i="6"/>
  <c r="T918" i="6"/>
  <c r="B919" i="6"/>
  <c r="C919" i="6"/>
  <c r="D919" i="6"/>
  <c r="E919" i="6"/>
  <c r="F919" i="6"/>
  <c r="H919" i="6"/>
  <c r="I919" i="6"/>
  <c r="L919" i="6" s="1"/>
  <c r="N919" i="6"/>
  <c r="R919" i="6"/>
  <c r="Q919" i="6" s="1"/>
  <c r="S919" i="6" s="1"/>
  <c r="T919" i="6"/>
  <c r="B920" i="6"/>
  <c r="C920" i="6"/>
  <c r="D920" i="6"/>
  <c r="E920" i="6"/>
  <c r="F920" i="6"/>
  <c r="H920" i="6"/>
  <c r="I920" i="6"/>
  <c r="N920" i="6"/>
  <c r="Q920" i="6"/>
  <c r="S920" i="6" s="1"/>
  <c r="R920" i="6"/>
  <c r="T920" i="6"/>
  <c r="B921" i="6"/>
  <c r="C921" i="6"/>
  <c r="D921" i="6"/>
  <c r="E921" i="6"/>
  <c r="F921" i="6"/>
  <c r="H921" i="6"/>
  <c r="I921" i="6"/>
  <c r="L921" i="6"/>
  <c r="N921" i="6"/>
  <c r="R921" i="6"/>
  <c r="Q921" i="6" s="1"/>
  <c r="S921" i="6" s="1"/>
  <c r="T921" i="6"/>
  <c r="B922" i="6"/>
  <c r="C922" i="6"/>
  <c r="D922" i="6"/>
  <c r="L922" i="6" s="1"/>
  <c r="E922" i="6"/>
  <c r="F922" i="6"/>
  <c r="H922" i="6"/>
  <c r="I922" i="6"/>
  <c r="N922" i="6"/>
  <c r="R922" i="6"/>
  <c r="Q922" i="6" s="1"/>
  <c r="S922" i="6"/>
  <c r="T922" i="6"/>
  <c r="B923" i="6"/>
  <c r="C923" i="6"/>
  <c r="L923" i="6" s="1"/>
  <c r="D923" i="6"/>
  <c r="E923" i="6"/>
  <c r="F923" i="6"/>
  <c r="H923" i="6"/>
  <c r="I923" i="6"/>
  <c r="N923" i="6"/>
  <c r="R923" i="6"/>
  <c r="Q923" i="6" s="1"/>
  <c r="S923" i="6"/>
  <c r="T923" i="6"/>
  <c r="B924" i="6"/>
  <c r="C924" i="6"/>
  <c r="D924" i="6"/>
  <c r="E924" i="6"/>
  <c r="F924" i="6"/>
  <c r="H924" i="6"/>
  <c r="I924" i="6"/>
  <c r="N924" i="6"/>
  <c r="Q924" i="6"/>
  <c r="S924" i="6" s="1"/>
  <c r="R924" i="6"/>
  <c r="T924" i="6"/>
  <c r="B925" i="6"/>
  <c r="C925" i="6"/>
  <c r="D925" i="6"/>
  <c r="E925" i="6"/>
  <c r="F925" i="6"/>
  <c r="H925" i="6"/>
  <c r="I925" i="6"/>
  <c r="N925" i="6"/>
  <c r="Q925" i="6"/>
  <c r="S925" i="6" s="1"/>
  <c r="R925" i="6"/>
  <c r="T925" i="6"/>
  <c r="B926" i="6"/>
  <c r="C926" i="6"/>
  <c r="D926" i="6"/>
  <c r="E926" i="6"/>
  <c r="F926" i="6"/>
  <c r="H926" i="6"/>
  <c r="I926" i="6"/>
  <c r="L926" i="6"/>
  <c r="N926" i="6"/>
  <c r="R926" i="6"/>
  <c r="Q926" i="6" s="1"/>
  <c r="S926" i="6"/>
  <c r="T926" i="6"/>
  <c r="B927" i="6"/>
  <c r="C927" i="6"/>
  <c r="D927" i="6"/>
  <c r="E927" i="6"/>
  <c r="F927" i="6"/>
  <c r="H927" i="6"/>
  <c r="I927" i="6"/>
  <c r="L927" i="6"/>
  <c r="N927" i="6"/>
  <c r="R927" i="6"/>
  <c r="Q927" i="6" s="1"/>
  <c r="S927" i="6" s="1"/>
  <c r="T927" i="6"/>
  <c r="B928" i="6"/>
  <c r="C928" i="6"/>
  <c r="D928" i="6"/>
  <c r="E928" i="6"/>
  <c r="F928" i="6"/>
  <c r="H928" i="6"/>
  <c r="I928" i="6"/>
  <c r="N928" i="6"/>
  <c r="R928" i="6"/>
  <c r="Q928" i="6" s="1"/>
  <c r="S928" i="6" s="1"/>
  <c r="T928" i="6"/>
  <c r="B929" i="6"/>
  <c r="C929" i="6"/>
  <c r="D929" i="6"/>
  <c r="E929" i="6"/>
  <c r="F929" i="6"/>
  <c r="L929" i="6" s="1"/>
  <c r="H929" i="6"/>
  <c r="I929" i="6"/>
  <c r="N929" i="6"/>
  <c r="R929" i="6"/>
  <c r="Q929" i="6" s="1"/>
  <c r="S929" i="6" s="1"/>
  <c r="T929" i="6"/>
  <c r="B930" i="6"/>
  <c r="C930" i="6"/>
  <c r="D930" i="6"/>
  <c r="E930" i="6"/>
  <c r="F930" i="6"/>
  <c r="H930" i="6"/>
  <c r="I930" i="6"/>
  <c r="L930" i="6"/>
  <c r="N930" i="6"/>
  <c r="R930" i="6"/>
  <c r="Q930" i="6" s="1"/>
  <c r="S930" i="6" s="1"/>
  <c r="T930" i="6"/>
  <c r="B931" i="6"/>
  <c r="C931" i="6"/>
  <c r="D931" i="6"/>
  <c r="E931" i="6"/>
  <c r="F931" i="6"/>
  <c r="H931" i="6"/>
  <c r="I931" i="6"/>
  <c r="N931" i="6"/>
  <c r="R931" i="6"/>
  <c r="Q931" i="6" s="1"/>
  <c r="S931" i="6"/>
  <c r="T931" i="6"/>
  <c r="B932" i="6"/>
  <c r="C932" i="6"/>
  <c r="D932" i="6"/>
  <c r="E932" i="6"/>
  <c r="F932" i="6"/>
  <c r="H932" i="6"/>
  <c r="I932" i="6"/>
  <c r="N932" i="6"/>
  <c r="Q932" i="6"/>
  <c r="S932" i="6" s="1"/>
  <c r="R932" i="6"/>
  <c r="T932" i="6"/>
  <c r="B933" i="6"/>
  <c r="C933" i="6"/>
  <c r="D933" i="6"/>
  <c r="E933" i="6"/>
  <c r="F933" i="6"/>
  <c r="H933" i="6"/>
  <c r="I933" i="6"/>
  <c r="N933" i="6"/>
  <c r="Q933" i="6"/>
  <c r="R933" i="6"/>
  <c r="S933" i="6"/>
  <c r="T933" i="6"/>
  <c r="B934" i="6"/>
  <c r="C934" i="6"/>
  <c r="D934" i="6"/>
  <c r="E934" i="6"/>
  <c r="F934" i="6"/>
  <c r="H934" i="6"/>
  <c r="I934" i="6"/>
  <c r="L934" i="6"/>
  <c r="N934" i="6"/>
  <c r="R934" i="6"/>
  <c r="Q934" i="6" s="1"/>
  <c r="S934" i="6"/>
  <c r="T934" i="6"/>
  <c r="B935" i="6"/>
  <c r="C935" i="6"/>
  <c r="D935" i="6"/>
  <c r="E935" i="6"/>
  <c r="F935" i="6"/>
  <c r="H935" i="6"/>
  <c r="I935" i="6"/>
  <c r="L935" i="6"/>
  <c r="N935" i="6"/>
  <c r="R935" i="6"/>
  <c r="Q935" i="6" s="1"/>
  <c r="S935" i="6" s="1"/>
  <c r="T935" i="6"/>
  <c r="B936" i="6"/>
  <c r="C936" i="6"/>
  <c r="D936" i="6"/>
  <c r="E936" i="6"/>
  <c r="F936" i="6"/>
  <c r="H936" i="6"/>
  <c r="I936" i="6"/>
  <c r="N936" i="6"/>
  <c r="Q936" i="6"/>
  <c r="S936" i="6" s="1"/>
  <c r="R936" i="6"/>
  <c r="T936" i="6"/>
  <c r="B937" i="6"/>
  <c r="C937" i="6"/>
  <c r="D937" i="6"/>
  <c r="E937" i="6"/>
  <c r="F937" i="6"/>
  <c r="H937" i="6"/>
  <c r="L937" i="6" s="1"/>
  <c r="I937" i="6"/>
  <c r="N937" i="6"/>
  <c r="R937" i="6"/>
  <c r="Q937" i="6" s="1"/>
  <c r="S937" i="6" s="1"/>
  <c r="T937" i="6"/>
  <c r="B938" i="6"/>
  <c r="C938" i="6"/>
  <c r="D938" i="6"/>
  <c r="L938" i="6" s="1"/>
  <c r="E938" i="6"/>
  <c r="F938" i="6"/>
  <c r="H938" i="6"/>
  <c r="I938" i="6"/>
  <c r="N938" i="6"/>
  <c r="R938" i="6"/>
  <c r="Q938" i="6" s="1"/>
  <c r="S938" i="6" s="1"/>
  <c r="T938" i="6"/>
  <c r="B939" i="6"/>
  <c r="C939" i="6"/>
  <c r="D939" i="6"/>
  <c r="E939" i="6"/>
  <c r="F939" i="6"/>
  <c r="H939" i="6"/>
  <c r="I939" i="6"/>
  <c r="N939" i="6"/>
  <c r="R939" i="6"/>
  <c r="Q939" i="6" s="1"/>
  <c r="S939" i="6" s="1"/>
  <c r="T939" i="6"/>
  <c r="B940" i="6"/>
  <c r="C940" i="6"/>
  <c r="D940" i="6"/>
  <c r="E940" i="6"/>
  <c r="F940" i="6"/>
  <c r="H940" i="6"/>
  <c r="I940" i="6"/>
  <c r="N940" i="6"/>
  <c r="Q940" i="6"/>
  <c r="S940" i="6" s="1"/>
  <c r="R940" i="6"/>
  <c r="T940" i="6"/>
  <c r="B941" i="6"/>
  <c r="C941" i="6"/>
  <c r="D941" i="6"/>
  <c r="E941" i="6"/>
  <c r="F941" i="6"/>
  <c r="H941" i="6"/>
  <c r="I941" i="6"/>
  <c r="N941" i="6"/>
  <c r="Q941" i="6"/>
  <c r="R941" i="6"/>
  <c r="S941" i="6"/>
  <c r="T941" i="6"/>
  <c r="B942" i="6"/>
  <c r="C942" i="6"/>
  <c r="D942" i="6"/>
  <c r="E942" i="6"/>
  <c r="L942" i="6" s="1"/>
  <c r="F942" i="6"/>
  <c r="H942" i="6"/>
  <c r="I942" i="6"/>
  <c r="N942" i="6"/>
  <c r="R942" i="6"/>
  <c r="Q942" i="6" s="1"/>
  <c r="S942" i="6"/>
  <c r="T942" i="6"/>
  <c r="B943" i="6"/>
  <c r="C943" i="6"/>
  <c r="D943" i="6"/>
  <c r="E943" i="6"/>
  <c r="F943" i="6"/>
  <c r="H943" i="6"/>
  <c r="I943" i="6"/>
  <c r="L943" i="6"/>
  <c r="N943" i="6"/>
  <c r="R943" i="6"/>
  <c r="Q943" i="6" s="1"/>
  <c r="S943" i="6" s="1"/>
  <c r="T943" i="6"/>
  <c r="B944" i="6"/>
  <c r="C944" i="6"/>
  <c r="D944" i="6"/>
  <c r="E944" i="6"/>
  <c r="F944" i="6"/>
  <c r="H944" i="6"/>
  <c r="I944" i="6"/>
  <c r="N944" i="6"/>
  <c r="R944" i="6"/>
  <c r="Q944" i="6" s="1"/>
  <c r="S944" i="6" s="1"/>
  <c r="T944" i="6"/>
  <c r="B945" i="6"/>
  <c r="C945" i="6"/>
  <c r="D945" i="6"/>
  <c r="E945" i="6"/>
  <c r="F945" i="6"/>
  <c r="L945" i="6" s="1"/>
  <c r="H945" i="6"/>
  <c r="I945" i="6"/>
  <c r="N945" i="6"/>
  <c r="R945" i="6"/>
  <c r="Q945" i="6" s="1"/>
  <c r="S945" i="6" s="1"/>
  <c r="T945" i="6"/>
  <c r="B946" i="6"/>
  <c r="C946" i="6"/>
  <c r="D946" i="6"/>
  <c r="E946" i="6"/>
  <c r="F946" i="6"/>
  <c r="H946" i="6"/>
  <c r="I946" i="6"/>
  <c r="L946" i="6"/>
  <c r="N946" i="6"/>
  <c r="R946" i="6"/>
  <c r="Q946" i="6" s="1"/>
  <c r="S946" i="6" s="1"/>
  <c r="T946" i="6"/>
  <c r="B947" i="6"/>
  <c r="C947" i="6"/>
  <c r="D947" i="6"/>
  <c r="E947" i="6"/>
  <c r="F947" i="6"/>
  <c r="H947" i="6"/>
  <c r="I947" i="6"/>
  <c r="N947" i="6"/>
  <c r="R947" i="6"/>
  <c r="Q947" i="6" s="1"/>
  <c r="S947" i="6"/>
  <c r="T947" i="6"/>
  <c r="B948" i="6"/>
  <c r="C948" i="6"/>
  <c r="L948" i="6" s="1"/>
  <c r="D948" i="6"/>
  <c r="E948" i="6"/>
  <c r="F948" i="6"/>
  <c r="H948" i="6"/>
  <c r="I948" i="6"/>
  <c r="N948" i="6"/>
  <c r="Q948" i="6"/>
  <c r="S948" i="6" s="1"/>
  <c r="R948" i="6"/>
  <c r="T948" i="6"/>
  <c r="B949" i="6"/>
  <c r="C949" i="6"/>
  <c r="D949" i="6"/>
  <c r="E949" i="6"/>
  <c r="F949" i="6"/>
  <c r="H949" i="6"/>
  <c r="I949" i="6"/>
  <c r="N949" i="6"/>
  <c r="Q949" i="6"/>
  <c r="R949" i="6"/>
  <c r="S949" i="6"/>
  <c r="T949" i="6"/>
  <c r="B950" i="6"/>
  <c r="C950" i="6"/>
  <c r="D950" i="6"/>
  <c r="E950" i="6"/>
  <c r="L950" i="6" s="1"/>
  <c r="F950" i="6"/>
  <c r="H950" i="6"/>
  <c r="I950" i="6"/>
  <c r="N950" i="6"/>
  <c r="R950" i="6"/>
  <c r="Q950" i="6" s="1"/>
  <c r="S950" i="6"/>
  <c r="T950" i="6"/>
  <c r="B951" i="6"/>
  <c r="C951" i="6"/>
  <c r="D951" i="6"/>
  <c r="E951" i="6"/>
  <c r="F951" i="6"/>
  <c r="H951" i="6"/>
  <c r="I951" i="6"/>
  <c r="L951" i="6"/>
  <c r="N951" i="6"/>
  <c r="R951" i="6"/>
  <c r="Q951" i="6" s="1"/>
  <c r="S951" i="6" s="1"/>
  <c r="T951" i="6"/>
  <c r="B952" i="6"/>
  <c r="C952" i="6"/>
  <c r="D952" i="6"/>
  <c r="E952" i="6"/>
  <c r="F952" i="6"/>
  <c r="H952" i="6"/>
  <c r="I952" i="6"/>
  <c r="N952" i="6"/>
  <c r="Q952" i="6"/>
  <c r="S952" i="6" s="1"/>
  <c r="R952" i="6"/>
  <c r="T952" i="6"/>
  <c r="B953" i="6"/>
  <c r="C953" i="6"/>
  <c r="D953" i="6"/>
  <c r="E953" i="6"/>
  <c r="F953" i="6"/>
  <c r="L953" i="6" s="1"/>
  <c r="H953" i="6"/>
  <c r="I953" i="6"/>
  <c r="N953" i="6"/>
  <c r="Q953" i="6"/>
  <c r="R953" i="6"/>
  <c r="S953" i="6"/>
  <c r="T953" i="6"/>
  <c r="B954" i="6"/>
  <c r="C954" i="6"/>
  <c r="D954" i="6"/>
  <c r="E954" i="6"/>
  <c r="F954" i="6"/>
  <c r="H954" i="6"/>
  <c r="I954" i="6"/>
  <c r="L954" i="6"/>
  <c r="N954" i="6"/>
  <c r="R954" i="6"/>
  <c r="Q954" i="6" s="1"/>
  <c r="S954" i="6"/>
  <c r="T954" i="6"/>
  <c r="B955" i="6"/>
  <c r="C955" i="6"/>
  <c r="D955" i="6"/>
  <c r="E955" i="6"/>
  <c r="F955" i="6"/>
  <c r="H955" i="6"/>
  <c r="I955" i="6"/>
  <c r="N955" i="6"/>
  <c r="R955" i="6"/>
  <c r="Q955" i="6" s="1"/>
  <c r="S955" i="6"/>
  <c r="T955" i="6"/>
  <c r="B956" i="6"/>
  <c r="C956" i="6"/>
  <c r="L956" i="6" s="1"/>
  <c r="D956" i="6"/>
  <c r="E956" i="6"/>
  <c r="F956" i="6"/>
  <c r="H956" i="6"/>
  <c r="I956" i="6"/>
  <c r="N956" i="6"/>
  <c r="Q956" i="6"/>
  <c r="S956" i="6" s="1"/>
  <c r="R956" i="6"/>
  <c r="T956" i="6"/>
  <c r="B957" i="6"/>
  <c r="C957" i="6"/>
  <c r="L957" i="6" s="1"/>
  <c r="D957" i="6"/>
  <c r="E957" i="6"/>
  <c r="F957" i="6"/>
  <c r="H957" i="6"/>
  <c r="I957" i="6"/>
  <c r="N957" i="6"/>
  <c r="Q957" i="6"/>
  <c r="S957" i="6" s="1"/>
  <c r="R957" i="6"/>
  <c r="T957" i="6"/>
  <c r="B958" i="6"/>
  <c r="C958" i="6"/>
  <c r="D958" i="6"/>
  <c r="E958" i="6"/>
  <c r="L958" i="6" s="1"/>
  <c r="F958" i="6"/>
  <c r="H958" i="6"/>
  <c r="I958" i="6"/>
  <c r="N958" i="6"/>
  <c r="R958" i="6"/>
  <c r="Q958" i="6" s="1"/>
  <c r="S958" i="6"/>
  <c r="T958" i="6"/>
  <c r="B959" i="6"/>
  <c r="C959" i="6"/>
  <c r="D959" i="6"/>
  <c r="E959" i="6"/>
  <c r="F959" i="6"/>
  <c r="H959" i="6"/>
  <c r="I959" i="6"/>
  <c r="N959" i="6"/>
  <c r="Q959" i="6"/>
  <c r="S959" i="6" s="1"/>
  <c r="R959" i="6"/>
  <c r="T959" i="6"/>
  <c r="B960" i="6"/>
  <c r="C960" i="6"/>
  <c r="D960" i="6"/>
  <c r="E960" i="6"/>
  <c r="F960" i="6"/>
  <c r="H960" i="6"/>
  <c r="I960" i="6"/>
  <c r="N960" i="6"/>
  <c r="R960" i="6"/>
  <c r="Q960" i="6" s="1"/>
  <c r="S960" i="6" s="1"/>
  <c r="T960" i="6"/>
  <c r="B961" i="6"/>
  <c r="C961" i="6"/>
  <c r="D961" i="6"/>
  <c r="E961" i="6"/>
  <c r="F961" i="6"/>
  <c r="H961" i="6"/>
  <c r="I961" i="6"/>
  <c r="L961" i="6"/>
  <c r="N961" i="6"/>
  <c r="Q961" i="6"/>
  <c r="R961" i="6"/>
  <c r="S961" i="6"/>
  <c r="T961" i="6"/>
  <c r="B962" i="6"/>
  <c r="C962" i="6"/>
  <c r="D962" i="6"/>
  <c r="L962" i="6" s="1"/>
  <c r="E962" i="6"/>
  <c r="F962" i="6"/>
  <c r="H962" i="6"/>
  <c r="I962" i="6"/>
  <c r="N962" i="6"/>
  <c r="R962" i="6"/>
  <c r="Q962" i="6" s="1"/>
  <c r="S962" i="6"/>
  <c r="T962" i="6"/>
  <c r="B963" i="6"/>
  <c r="C963" i="6"/>
  <c r="L963" i="6" s="1"/>
  <c r="D963" i="6"/>
  <c r="E963" i="6"/>
  <c r="F963" i="6"/>
  <c r="H963" i="6"/>
  <c r="I963" i="6"/>
  <c r="N963" i="6"/>
  <c r="R963" i="6"/>
  <c r="Q963" i="6" s="1"/>
  <c r="S963" i="6"/>
  <c r="T963" i="6"/>
  <c r="B964" i="6"/>
  <c r="C964" i="6"/>
  <c r="D964" i="6"/>
  <c r="E964" i="6"/>
  <c r="F964" i="6"/>
  <c r="H964" i="6"/>
  <c r="I964" i="6"/>
  <c r="N964" i="6"/>
  <c r="Q964" i="6"/>
  <c r="S964" i="6" s="1"/>
  <c r="R964" i="6"/>
  <c r="T964" i="6"/>
  <c r="B965" i="6"/>
  <c r="C965" i="6"/>
  <c r="D965" i="6"/>
  <c r="E965" i="6"/>
  <c r="F965" i="6"/>
  <c r="H965" i="6"/>
  <c r="I965" i="6"/>
  <c r="N965" i="6"/>
  <c r="Q965" i="6"/>
  <c r="S965" i="6" s="1"/>
  <c r="R965" i="6"/>
  <c r="T965" i="6"/>
  <c r="B966" i="6"/>
  <c r="C966" i="6"/>
  <c r="D966" i="6"/>
  <c r="E966" i="6"/>
  <c r="F966" i="6"/>
  <c r="H966" i="6"/>
  <c r="I966" i="6"/>
  <c r="L966" i="6"/>
  <c r="N966" i="6"/>
  <c r="R966" i="6"/>
  <c r="Q966" i="6" s="1"/>
  <c r="S966" i="6"/>
  <c r="T966" i="6"/>
  <c r="B967" i="6"/>
  <c r="C967" i="6"/>
  <c r="D967" i="6"/>
  <c r="E967" i="6"/>
  <c r="F967" i="6"/>
  <c r="H967" i="6"/>
  <c r="I967" i="6"/>
  <c r="L967" i="6"/>
  <c r="N967" i="6"/>
  <c r="R967" i="6"/>
  <c r="Q967" i="6" s="1"/>
  <c r="S967" i="6" s="1"/>
  <c r="T967" i="6"/>
  <c r="B968" i="6"/>
  <c r="C968" i="6"/>
  <c r="D968" i="6"/>
  <c r="E968" i="6"/>
  <c r="F968" i="6"/>
  <c r="H968" i="6"/>
  <c r="I968" i="6"/>
  <c r="N968" i="6"/>
  <c r="R968" i="6"/>
  <c r="Q968" i="6" s="1"/>
  <c r="S968" i="6" s="1"/>
  <c r="T968" i="6"/>
  <c r="B969" i="6"/>
  <c r="C969" i="6"/>
  <c r="D969" i="6"/>
  <c r="E969" i="6"/>
  <c r="F969" i="6"/>
  <c r="L969" i="6" s="1"/>
  <c r="H969" i="6"/>
  <c r="I969" i="6"/>
  <c r="N969" i="6"/>
  <c r="Q969" i="6"/>
  <c r="R969" i="6"/>
  <c r="S969" i="6"/>
  <c r="T969" i="6"/>
  <c r="B970" i="6"/>
  <c r="C970" i="6"/>
  <c r="D970" i="6"/>
  <c r="E970" i="6"/>
  <c r="L970" i="6" s="1"/>
  <c r="F970" i="6"/>
  <c r="H970" i="6"/>
  <c r="I970" i="6"/>
  <c r="N970" i="6"/>
  <c r="R970" i="6"/>
  <c r="Q970" i="6" s="1"/>
  <c r="S970" i="6"/>
  <c r="T970" i="6"/>
  <c r="B971" i="6"/>
  <c r="C971" i="6"/>
  <c r="D971" i="6"/>
  <c r="E971" i="6"/>
  <c r="F971" i="6"/>
  <c r="H971" i="6"/>
  <c r="I971" i="6"/>
  <c r="N971" i="6"/>
  <c r="R971" i="6"/>
  <c r="Q971" i="6" s="1"/>
  <c r="S971" i="6" s="1"/>
  <c r="T971" i="6"/>
  <c r="B972" i="6"/>
  <c r="C972" i="6"/>
  <c r="D972" i="6"/>
  <c r="E972" i="6"/>
  <c r="F972" i="6"/>
  <c r="H972" i="6"/>
  <c r="I972" i="6"/>
  <c r="N972" i="6"/>
  <c r="Q972" i="6"/>
  <c r="S972" i="6" s="1"/>
  <c r="R972" i="6"/>
  <c r="T972" i="6"/>
  <c r="B973" i="6"/>
  <c r="C973" i="6"/>
  <c r="L973" i="6" s="1"/>
  <c r="D973" i="6"/>
  <c r="E973" i="6"/>
  <c r="F973" i="6"/>
  <c r="H973" i="6"/>
  <c r="I973" i="6"/>
  <c r="N973" i="6"/>
  <c r="Q973" i="6"/>
  <c r="R973" i="6"/>
  <c r="S973" i="6"/>
  <c r="T973" i="6"/>
  <c r="B974" i="6"/>
  <c r="C974" i="6"/>
  <c r="D974" i="6"/>
  <c r="E974" i="6"/>
  <c r="F974" i="6"/>
  <c r="H974" i="6"/>
  <c r="I974" i="6"/>
  <c r="N974" i="6"/>
  <c r="R974" i="6"/>
  <c r="Q974" i="6" s="1"/>
  <c r="S974" i="6" s="1"/>
  <c r="T974" i="6"/>
  <c r="B975" i="6"/>
  <c r="C975" i="6"/>
  <c r="L975" i="6" s="1"/>
  <c r="D975" i="6"/>
  <c r="E975" i="6"/>
  <c r="F975" i="6"/>
  <c r="H975" i="6"/>
  <c r="I975" i="6"/>
  <c r="N975" i="6"/>
  <c r="Q975" i="6"/>
  <c r="S975" i="6" s="1"/>
  <c r="R975" i="6"/>
  <c r="T975" i="6"/>
  <c r="B976" i="6"/>
  <c r="C976" i="6"/>
  <c r="L976" i="6" s="1"/>
  <c r="D976" i="6"/>
  <c r="E976" i="6"/>
  <c r="F976" i="6"/>
  <c r="H976" i="6"/>
  <c r="I976" i="6"/>
  <c r="N976" i="6"/>
  <c r="R976" i="6"/>
  <c r="Q976" i="6" s="1"/>
  <c r="S976" i="6" s="1"/>
  <c r="T976" i="6"/>
  <c r="B977" i="6"/>
  <c r="C977" i="6"/>
  <c r="D977" i="6"/>
  <c r="E977" i="6"/>
  <c r="F977" i="6"/>
  <c r="H977" i="6"/>
  <c r="I977" i="6"/>
  <c r="N977" i="6"/>
  <c r="Q977" i="6"/>
  <c r="R977" i="6"/>
  <c r="S977" i="6"/>
  <c r="T977" i="6"/>
  <c r="B978" i="6"/>
  <c r="C978" i="6"/>
  <c r="D978" i="6"/>
  <c r="E978" i="6"/>
  <c r="F978" i="6"/>
  <c r="H978" i="6"/>
  <c r="I978" i="6"/>
  <c r="L978" i="6"/>
  <c r="N978" i="6"/>
  <c r="R978" i="6"/>
  <c r="Q978" i="6" s="1"/>
  <c r="S978" i="6" s="1"/>
  <c r="T978" i="6"/>
  <c r="B979" i="6"/>
  <c r="C979" i="6"/>
  <c r="D979" i="6"/>
  <c r="E979" i="6"/>
  <c r="F979" i="6"/>
  <c r="H979" i="6"/>
  <c r="I979" i="6"/>
  <c r="N979" i="6"/>
  <c r="R979" i="6"/>
  <c r="Q979" i="6" s="1"/>
  <c r="S979" i="6"/>
  <c r="T979" i="6"/>
  <c r="B980" i="6"/>
  <c r="C980" i="6"/>
  <c r="L980" i="6" s="1"/>
  <c r="D980" i="6"/>
  <c r="E980" i="6"/>
  <c r="F980" i="6"/>
  <c r="H980" i="6"/>
  <c r="I980" i="6"/>
  <c r="N980" i="6"/>
  <c r="Q980" i="6"/>
  <c r="S980" i="6" s="1"/>
  <c r="R980" i="6"/>
  <c r="T980" i="6"/>
  <c r="B981" i="6"/>
  <c r="C981" i="6"/>
  <c r="D981" i="6"/>
  <c r="E981" i="6"/>
  <c r="F981" i="6"/>
  <c r="H981" i="6"/>
  <c r="I981" i="6"/>
  <c r="N981" i="6"/>
  <c r="Q981" i="6"/>
  <c r="R981" i="6"/>
  <c r="S981" i="6"/>
  <c r="T981" i="6"/>
  <c r="B982" i="6"/>
  <c r="C982" i="6"/>
  <c r="D982" i="6"/>
  <c r="E982" i="6"/>
  <c r="L982" i="6" s="1"/>
  <c r="F982" i="6"/>
  <c r="H982" i="6"/>
  <c r="I982" i="6"/>
  <c r="N982" i="6"/>
  <c r="R982" i="6"/>
  <c r="Q982" i="6" s="1"/>
  <c r="S982" i="6"/>
  <c r="T982" i="6"/>
  <c r="B983" i="6"/>
  <c r="C983" i="6"/>
  <c r="D983" i="6"/>
  <c r="E983" i="6"/>
  <c r="F983" i="6"/>
  <c r="H983" i="6"/>
  <c r="I983" i="6"/>
  <c r="L983" i="6" s="1"/>
  <c r="N983" i="6"/>
  <c r="R983" i="6"/>
  <c r="Q983" i="6" s="1"/>
  <c r="S983" i="6" s="1"/>
  <c r="T983" i="6"/>
  <c r="B984" i="6"/>
  <c r="C984" i="6"/>
  <c r="D984" i="6"/>
  <c r="E984" i="6"/>
  <c r="F984" i="6"/>
  <c r="H984" i="6"/>
  <c r="I984" i="6"/>
  <c r="N984" i="6"/>
  <c r="Q984" i="6"/>
  <c r="S984" i="6" s="1"/>
  <c r="R984" i="6"/>
  <c r="T984" i="6"/>
  <c r="B985" i="6"/>
  <c r="C985" i="6"/>
  <c r="D985" i="6"/>
  <c r="E985" i="6"/>
  <c r="F985" i="6"/>
  <c r="H985" i="6"/>
  <c r="I985" i="6"/>
  <c r="L985" i="6"/>
  <c r="N985" i="6"/>
  <c r="Q985" i="6"/>
  <c r="R985" i="6"/>
  <c r="S985" i="6"/>
  <c r="T985" i="6"/>
  <c r="B986" i="6"/>
  <c r="C986" i="6"/>
  <c r="D986" i="6"/>
  <c r="E986" i="6"/>
  <c r="F986" i="6"/>
  <c r="H986" i="6"/>
  <c r="I986" i="6"/>
  <c r="N986" i="6"/>
  <c r="R986" i="6"/>
  <c r="Q986" i="6" s="1"/>
  <c r="S986" i="6"/>
  <c r="T986" i="6"/>
  <c r="B987" i="6"/>
  <c r="C987" i="6"/>
  <c r="D987" i="6"/>
  <c r="E987" i="6"/>
  <c r="F987" i="6"/>
  <c r="H987" i="6"/>
  <c r="I987" i="6"/>
  <c r="N987" i="6"/>
  <c r="R987" i="6"/>
  <c r="Q987" i="6" s="1"/>
  <c r="S987" i="6"/>
  <c r="T987" i="6"/>
  <c r="B988" i="6"/>
  <c r="C988" i="6"/>
  <c r="L988" i="6" s="1"/>
  <c r="D988" i="6"/>
  <c r="E988" i="6"/>
  <c r="F988" i="6"/>
  <c r="H988" i="6"/>
  <c r="I988" i="6"/>
  <c r="N988" i="6"/>
  <c r="Q988" i="6"/>
  <c r="S988" i="6" s="1"/>
  <c r="R988" i="6"/>
  <c r="T988" i="6"/>
  <c r="B989" i="6"/>
  <c r="C989" i="6"/>
  <c r="L989" i="6" s="1"/>
  <c r="D989" i="6"/>
  <c r="E989" i="6"/>
  <c r="F989" i="6"/>
  <c r="H989" i="6"/>
  <c r="I989" i="6"/>
  <c r="N989" i="6"/>
  <c r="Q989" i="6"/>
  <c r="S989" i="6" s="1"/>
  <c r="R989" i="6"/>
  <c r="T989" i="6"/>
  <c r="B990" i="6"/>
  <c r="C990" i="6"/>
  <c r="D990" i="6"/>
  <c r="E990" i="6"/>
  <c r="F990" i="6"/>
  <c r="H990" i="6"/>
  <c r="I990" i="6"/>
  <c r="N990" i="6"/>
  <c r="R990" i="6"/>
  <c r="Q990" i="6" s="1"/>
  <c r="S990" i="6" s="1"/>
  <c r="T990" i="6"/>
  <c r="B991" i="6"/>
  <c r="C991" i="6"/>
  <c r="D991" i="6"/>
  <c r="E991" i="6"/>
  <c r="F991" i="6"/>
  <c r="H991" i="6"/>
  <c r="I991" i="6"/>
  <c r="N991" i="6"/>
  <c r="Q991" i="6"/>
  <c r="S991" i="6" s="1"/>
  <c r="R991" i="6"/>
  <c r="T991" i="6"/>
  <c r="B992" i="6"/>
  <c r="C992" i="6"/>
  <c r="D992" i="6"/>
  <c r="E992" i="6"/>
  <c r="F992" i="6"/>
  <c r="H992" i="6"/>
  <c r="I992" i="6"/>
  <c r="N992" i="6"/>
  <c r="R992" i="6"/>
  <c r="Q992" i="6" s="1"/>
  <c r="S992" i="6" s="1"/>
  <c r="T992" i="6"/>
  <c r="B993" i="6"/>
  <c r="C993" i="6"/>
  <c r="D993" i="6"/>
  <c r="E993" i="6"/>
  <c r="F993" i="6"/>
  <c r="H993" i="6"/>
  <c r="I993" i="6"/>
  <c r="L993" i="6"/>
  <c r="N993" i="6"/>
  <c r="Q993" i="6"/>
  <c r="R993" i="6"/>
  <c r="S993" i="6"/>
  <c r="T993" i="6"/>
  <c r="B994" i="6"/>
  <c r="C994" i="6"/>
  <c r="D994" i="6"/>
  <c r="L994" i="6" s="1"/>
  <c r="E994" i="6"/>
  <c r="F994" i="6"/>
  <c r="H994" i="6"/>
  <c r="I994" i="6"/>
  <c r="N994" i="6"/>
  <c r="R994" i="6"/>
  <c r="Q994" i="6" s="1"/>
  <c r="S994" i="6" s="1"/>
  <c r="T994" i="6"/>
  <c r="B995" i="6"/>
  <c r="C995" i="6"/>
  <c r="D995" i="6"/>
  <c r="E995" i="6"/>
  <c r="F995" i="6"/>
  <c r="H995" i="6"/>
  <c r="I995" i="6"/>
  <c r="N995" i="6"/>
  <c r="R995" i="6"/>
  <c r="Q995" i="6" s="1"/>
  <c r="S995" i="6" s="1"/>
  <c r="T995" i="6"/>
  <c r="B996" i="6"/>
  <c r="C996" i="6"/>
  <c r="D996" i="6"/>
  <c r="E996" i="6"/>
  <c r="F996" i="6"/>
  <c r="H996" i="6"/>
  <c r="I996" i="6"/>
  <c r="N996" i="6"/>
  <c r="Q996" i="6"/>
  <c r="S996" i="6" s="1"/>
  <c r="R996" i="6"/>
  <c r="T996" i="6"/>
  <c r="B997" i="6"/>
  <c r="C997" i="6"/>
  <c r="D997" i="6"/>
  <c r="E997" i="6"/>
  <c r="F997" i="6"/>
  <c r="H997" i="6"/>
  <c r="I997" i="6"/>
  <c r="N997" i="6"/>
  <c r="Q997" i="6"/>
  <c r="R997" i="6"/>
  <c r="S997" i="6"/>
  <c r="T997" i="6"/>
  <c r="B998" i="6"/>
  <c r="C998" i="6"/>
  <c r="D998" i="6"/>
  <c r="E998" i="6"/>
  <c r="L998" i="6" s="1"/>
  <c r="F998" i="6"/>
  <c r="H998" i="6"/>
  <c r="I998" i="6"/>
  <c r="N998" i="6"/>
  <c r="R998" i="6"/>
  <c r="Q998" i="6" s="1"/>
  <c r="S998" i="6"/>
  <c r="T998" i="6"/>
  <c r="B999" i="6"/>
  <c r="C999" i="6"/>
  <c r="D999" i="6"/>
  <c r="E999" i="6"/>
  <c r="F999" i="6"/>
  <c r="H999" i="6"/>
  <c r="I999" i="6"/>
  <c r="L999" i="6"/>
  <c r="N999" i="6"/>
  <c r="R999" i="6"/>
  <c r="Q999" i="6" s="1"/>
  <c r="S999" i="6" s="1"/>
  <c r="T999" i="6"/>
  <c r="B1000" i="6"/>
  <c r="C1000" i="6"/>
  <c r="D1000" i="6"/>
  <c r="E1000" i="6"/>
  <c r="F1000" i="6"/>
  <c r="H1000" i="6"/>
  <c r="I1000" i="6"/>
  <c r="N1000" i="6"/>
  <c r="R1000" i="6"/>
  <c r="Q1000" i="6" s="1"/>
  <c r="S1000" i="6" s="1"/>
  <c r="T1000" i="6"/>
  <c r="B1001" i="6"/>
  <c r="C1001" i="6"/>
  <c r="D1001" i="6"/>
  <c r="E1001" i="6"/>
  <c r="F1001" i="6"/>
  <c r="L1001" i="6" s="1"/>
  <c r="H1001" i="6"/>
  <c r="I1001" i="6"/>
  <c r="N1001" i="6"/>
  <c r="Q1001" i="6"/>
  <c r="R1001" i="6"/>
  <c r="S1001" i="6"/>
  <c r="T1001" i="6"/>
  <c r="B1002" i="6"/>
  <c r="C1002" i="6"/>
  <c r="D1002" i="6"/>
  <c r="E1002" i="6"/>
  <c r="F1002" i="6"/>
  <c r="H1002" i="6"/>
  <c r="I1002" i="6"/>
  <c r="L1002" i="6"/>
  <c r="N1002" i="6"/>
  <c r="R1002" i="6"/>
  <c r="Q1002" i="6" s="1"/>
  <c r="S1002" i="6"/>
  <c r="T1002" i="6"/>
  <c r="B1003" i="6"/>
  <c r="C1003" i="6"/>
  <c r="D1003" i="6"/>
  <c r="E1003" i="6"/>
  <c r="F1003" i="6"/>
  <c r="H1003" i="6"/>
  <c r="I1003" i="6"/>
  <c r="N1003" i="6"/>
  <c r="R1003" i="6"/>
  <c r="Q1003" i="6" s="1"/>
  <c r="S1003" i="6" s="1"/>
  <c r="T1003" i="6"/>
  <c r="B1004" i="6"/>
  <c r="C1004" i="6"/>
  <c r="D1004" i="6"/>
  <c r="E1004" i="6"/>
  <c r="F1004" i="6"/>
  <c r="H1004" i="6"/>
  <c r="I1004" i="6"/>
  <c r="N1004" i="6"/>
  <c r="Q1004" i="6"/>
  <c r="S1004" i="6" s="1"/>
  <c r="R1004" i="6"/>
  <c r="T1004" i="6"/>
  <c r="B1005" i="6"/>
  <c r="C1005" i="6"/>
  <c r="L1005" i="6" s="1"/>
  <c r="D1005" i="6"/>
  <c r="E1005" i="6"/>
  <c r="F1005" i="6"/>
  <c r="H1005" i="6"/>
  <c r="I1005" i="6"/>
  <c r="N1005" i="6"/>
  <c r="Q1005" i="6"/>
  <c r="R1005" i="6"/>
  <c r="S1005" i="6"/>
  <c r="T1005" i="6"/>
  <c r="B1006" i="6"/>
  <c r="C1006" i="6"/>
  <c r="D1006" i="6"/>
  <c r="E1006" i="6"/>
  <c r="F1006" i="6"/>
  <c r="L1006" i="6" s="1"/>
  <c r="H1006" i="6"/>
  <c r="I1006" i="6"/>
  <c r="N1006" i="6"/>
  <c r="R1006" i="6"/>
  <c r="Q1006" i="6" s="1"/>
  <c r="S1006" i="6" s="1"/>
  <c r="T1006" i="6"/>
  <c r="B1007" i="6"/>
  <c r="C1007" i="6"/>
  <c r="D1007" i="6"/>
  <c r="E1007" i="6"/>
  <c r="F1007" i="6"/>
  <c r="H1007" i="6"/>
  <c r="I1007" i="6"/>
  <c r="N1007" i="6"/>
  <c r="Q1007" i="6"/>
  <c r="S1007" i="6" s="1"/>
  <c r="R1007" i="6"/>
  <c r="T1007" i="6"/>
  <c r="B1008" i="6"/>
  <c r="C1008" i="6"/>
  <c r="D1008" i="6"/>
  <c r="E1008" i="6"/>
  <c r="F1008" i="6"/>
  <c r="H1008" i="6"/>
  <c r="I1008" i="6"/>
  <c r="N1008" i="6"/>
  <c r="Q1008" i="6"/>
  <c r="S1008" i="6" s="1"/>
  <c r="R1008" i="6"/>
  <c r="T1008" i="6"/>
  <c r="B1009" i="6"/>
  <c r="C1009" i="6"/>
  <c r="D1009" i="6"/>
  <c r="E1009" i="6"/>
  <c r="F1009" i="6"/>
  <c r="L1009" i="6" s="1"/>
  <c r="H1009" i="6"/>
  <c r="I1009" i="6"/>
  <c r="N1009" i="6"/>
  <c r="R1009" i="6"/>
  <c r="Q1009" i="6" s="1"/>
  <c r="S1009" i="6" s="1"/>
  <c r="T1009" i="6"/>
  <c r="B1010" i="6"/>
  <c r="C1010" i="6"/>
  <c r="D1010" i="6"/>
  <c r="E1010" i="6"/>
  <c r="F1010" i="6"/>
  <c r="H1010" i="6"/>
  <c r="I1010" i="6"/>
  <c r="L1010" i="6"/>
  <c r="N1010" i="6"/>
  <c r="R1010" i="6"/>
  <c r="Q1010" i="6" s="1"/>
  <c r="S1010" i="6"/>
  <c r="T1010" i="6"/>
  <c r="B1011" i="6"/>
  <c r="C1011" i="6"/>
  <c r="D1011" i="6"/>
  <c r="E1011" i="6"/>
  <c r="F1011" i="6"/>
  <c r="H1011" i="6"/>
  <c r="I1011" i="6"/>
  <c r="N1011" i="6"/>
  <c r="R1011" i="6"/>
  <c r="Q1011" i="6" s="1"/>
  <c r="S1011" i="6"/>
  <c r="T1011" i="6"/>
  <c r="B1012" i="6"/>
  <c r="C1012" i="6"/>
  <c r="L1012" i="6" s="1"/>
  <c r="D1012" i="6"/>
  <c r="E1012" i="6"/>
  <c r="F1012" i="6"/>
  <c r="H1012" i="6"/>
  <c r="I1012" i="6"/>
  <c r="N1012" i="6"/>
  <c r="Q1012" i="6"/>
  <c r="S1012" i="6" s="1"/>
  <c r="R1012" i="6"/>
  <c r="T1012" i="6"/>
  <c r="B1013" i="6"/>
  <c r="C1013" i="6"/>
  <c r="L1013" i="6" s="1"/>
  <c r="D1013" i="6"/>
  <c r="E1013" i="6"/>
  <c r="F1013" i="6"/>
  <c r="H1013" i="6"/>
  <c r="I1013" i="6"/>
  <c r="N1013" i="6"/>
  <c r="Q1013" i="6"/>
  <c r="S1013" i="6" s="1"/>
  <c r="R1013" i="6"/>
  <c r="T1013" i="6"/>
  <c r="B1014" i="6"/>
  <c r="C1014" i="6"/>
  <c r="D1014" i="6"/>
  <c r="E1014" i="6"/>
  <c r="L1014" i="6" s="1"/>
  <c r="F1014" i="6"/>
  <c r="H1014" i="6"/>
  <c r="I1014" i="6"/>
  <c r="N1014" i="6"/>
  <c r="R1014" i="6"/>
  <c r="Q1014" i="6" s="1"/>
  <c r="S1014" i="6"/>
  <c r="T1014" i="6"/>
  <c r="B1015" i="6"/>
  <c r="C1015" i="6"/>
  <c r="D1015" i="6"/>
  <c r="E1015" i="6"/>
  <c r="F1015" i="6"/>
  <c r="H1015" i="6"/>
  <c r="I1015" i="6"/>
  <c r="N1015" i="6"/>
  <c r="Q1015" i="6"/>
  <c r="S1015" i="6" s="1"/>
  <c r="R1015" i="6"/>
  <c r="T1015" i="6"/>
  <c r="B1016" i="6"/>
  <c r="C1016" i="6"/>
  <c r="D1016" i="6"/>
  <c r="E1016" i="6"/>
  <c r="F1016" i="6"/>
  <c r="H1016" i="6"/>
  <c r="I1016" i="6"/>
  <c r="N1016" i="6"/>
  <c r="R1016" i="6"/>
  <c r="Q1016" i="6" s="1"/>
  <c r="S1016" i="6" s="1"/>
  <c r="T1016" i="6"/>
  <c r="B1017" i="6"/>
  <c r="C1017" i="6"/>
  <c r="D1017" i="6"/>
  <c r="E1017" i="6"/>
  <c r="F1017" i="6"/>
  <c r="H1017" i="6"/>
  <c r="I1017" i="6"/>
  <c r="L1017" i="6"/>
  <c r="N1017" i="6"/>
  <c r="Q1017" i="6"/>
  <c r="R1017" i="6"/>
  <c r="S1017" i="6"/>
  <c r="T1017" i="6"/>
  <c r="B1018" i="6"/>
  <c r="C1018" i="6"/>
  <c r="D1018" i="6"/>
  <c r="L1018" i="6" s="1"/>
  <c r="E1018" i="6"/>
  <c r="F1018" i="6"/>
  <c r="H1018" i="6"/>
  <c r="I1018" i="6"/>
  <c r="N1018" i="6"/>
  <c r="R1018" i="6"/>
  <c r="Q1018" i="6" s="1"/>
  <c r="S1018" i="6" s="1"/>
  <c r="T1018" i="6"/>
  <c r="B1019" i="6"/>
  <c r="C1019" i="6"/>
  <c r="D1019" i="6"/>
  <c r="E1019" i="6"/>
  <c r="F1019" i="6"/>
  <c r="H1019" i="6"/>
  <c r="I1019" i="6"/>
  <c r="N1019" i="6"/>
  <c r="R1019" i="6"/>
  <c r="Q1019" i="6" s="1"/>
  <c r="S1019" i="6"/>
  <c r="T1019" i="6"/>
  <c r="B1020" i="6"/>
  <c r="C1020" i="6"/>
  <c r="D1020" i="6"/>
  <c r="E1020" i="6"/>
  <c r="F1020" i="6"/>
  <c r="H1020" i="6"/>
  <c r="I1020" i="6"/>
  <c r="N1020" i="6"/>
  <c r="Q1020" i="6"/>
  <c r="S1020" i="6" s="1"/>
  <c r="R1020" i="6"/>
  <c r="T1020" i="6"/>
  <c r="B1021" i="6"/>
  <c r="C1021" i="6"/>
  <c r="D1021" i="6"/>
  <c r="E1021" i="6"/>
  <c r="F1021" i="6"/>
  <c r="H1021" i="6"/>
  <c r="I1021" i="6"/>
  <c r="N1021" i="6"/>
  <c r="Q1021" i="6"/>
  <c r="S1021" i="6" s="1"/>
  <c r="R1021" i="6"/>
  <c r="T1021" i="6"/>
  <c r="B1022" i="6"/>
  <c r="C1022" i="6"/>
  <c r="D1022" i="6"/>
  <c r="E1022" i="6"/>
  <c r="F1022" i="6"/>
  <c r="H1022" i="6"/>
  <c r="I1022" i="6"/>
  <c r="N1022" i="6"/>
  <c r="R1022" i="6"/>
  <c r="Q1022" i="6" s="1"/>
  <c r="S1022" i="6"/>
  <c r="T1022" i="6"/>
  <c r="B1023" i="6"/>
  <c r="C1023" i="6"/>
  <c r="D1023" i="6"/>
  <c r="E1023" i="6"/>
  <c r="F1023" i="6"/>
  <c r="H1023" i="6"/>
  <c r="I1023" i="6"/>
  <c r="L1023" i="6"/>
  <c r="N1023" i="6"/>
  <c r="R1023" i="6"/>
  <c r="Q1023" i="6" s="1"/>
  <c r="S1023" i="6" s="1"/>
  <c r="T1023" i="6"/>
  <c r="B1024" i="6"/>
  <c r="C1024" i="6"/>
  <c r="D1024" i="6"/>
  <c r="E1024" i="6"/>
  <c r="F1024" i="6"/>
  <c r="H1024" i="6"/>
  <c r="I1024" i="6"/>
  <c r="N1024" i="6"/>
  <c r="R1024" i="6"/>
  <c r="Q1024" i="6" s="1"/>
  <c r="S1024" i="6" s="1"/>
  <c r="T1024" i="6"/>
  <c r="B1025" i="6"/>
  <c r="C1025" i="6"/>
  <c r="D1025" i="6"/>
  <c r="E1025" i="6"/>
  <c r="F1025" i="6"/>
  <c r="L1025" i="6" s="1"/>
  <c r="H1025" i="6"/>
  <c r="I1025" i="6"/>
  <c r="N1025" i="6"/>
  <c r="Q1025" i="6"/>
  <c r="R1025" i="6"/>
  <c r="S1025" i="6"/>
  <c r="T1025" i="6"/>
  <c r="B1026" i="6"/>
  <c r="C1026" i="6"/>
  <c r="D1026" i="6"/>
  <c r="E1026" i="6"/>
  <c r="L1026" i="6" s="1"/>
  <c r="F1026" i="6"/>
  <c r="H1026" i="6"/>
  <c r="I1026" i="6"/>
  <c r="N1026" i="6"/>
  <c r="R1026" i="6"/>
  <c r="Q1026" i="6" s="1"/>
  <c r="S1026" i="6"/>
  <c r="T1026" i="6"/>
  <c r="B1027" i="6"/>
  <c r="C1027" i="6"/>
  <c r="D1027" i="6"/>
  <c r="E1027" i="6"/>
  <c r="F1027" i="6"/>
  <c r="H1027" i="6"/>
  <c r="I1027" i="6"/>
  <c r="N1027" i="6"/>
  <c r="R1027" i="6"/>
  <c r="Q1027" i="6" s="1"/>
  <c r="S1027" i="6" s="1"/>
  <c r="T1027" i="6"/>
  <c r="B1028" i="6"/>
  <c r="C1028" i="6"/>
  <c r="D1028" i="6"/>
  <c r="E1028" i="6"/>
  <c r="F1028" i="6"/>
  <c r="H1028" i="6"/>
  <c r="I1028" i="6"/>
  <c r="N1028" i="6"/>
  <c r="Q1028" i="6"/>
  <c r="S1028" i="6" s="1"/>
  <c r="R1028" i="6"/>
  <c r="T1028" i="6"/>
  <c r="B1029" i="6"/>
  <c r="C1029" i="6"/>
  <c r="L1029" i="6" s="1"/>
  <c r="D1029" i="6"/>
  <c r="E1029" i="6"/>
  <c r="F1029" i="6"/>
  <c r="H1029" i="6"/>
  <c r="I1029" i="6"/>
  <c r="N1029" i="6"/>
  <c r="Q1029" i="6"/>
  <c r="R1029" i="6"/>
  <c r="S1029" i="6"/>
  <c r="T1029" i="6"/>
  <c r="B1030" i="6"/>
  <c r="C1030" i="6"/>
  <c r="D1030" i="6"/>
  <c r="E1030" i="6"/>
  <c r="F1030" i="6"/>
  <c r="H1030" i="6"/>
  <c r="I1030" i="6"/>
  <c r="N1030" i="6"/>
  <c r="R1030" i="6"/>
  <c r="Q1030" i="6" s="1"/>
  <c r="S1030" i="6" s="1"/>
  <c r="T1030" i="6"/>
  <c r="B1031" i="6"/>
  <c r="C1031" i="6"/>
  <c r="L1031" i="6" s="1"/>
  <c r="D1031" i="6"/>
  <c r="E1031" i="6"/>
  <c r="F1031" i="6"/>
  <c r="H1031" i="6"/>
  <c r="I1031" i="6"/>
  <c r="N1031" i="6"/>
  <c r="Q1031" i="6"/>
  <c r="S1031" i="6" s="1"/>
  <c r="R1031" i="6"/>
  <c r="T1031" i="6"/>
  <c r="B1032" i="6"/>
  <c r="C1032" i="6"/>
  <c r="L1032" i="6" s="1"/>
  <c r="D1032" i="6"/>
  <c r="E1032" i="6"/>
  <c r="F1032" i="6"/>
  <c r="H1032" i="6"/>
  <c r="I1032" i="6"/>
  <c r="N1032" i="6"/>
  <c r="R1032" i="6"/>
  <c r="Q1032" i="6" s="1"/>
  <c r="S1032" i="6" s="1"/>
  <c r="T1032" i="6"/>
  <c r="B1033" i="6"/>
  <c r="C1033" i="6"/>
  <c r="D1033" i="6"/>
  <c r="E1033" i="6"/>
  <c r="F1033" i="6"/>
  <c r="H1033" i="6"/>
  <c r="I1033" i="6"/>
  <c r="N1033" i="6"/>
  <c r="Q1033" i="6"/>
  <c r="R1033" i="6"/>
  <c r="S1033" i="6"/>
  <c r="T1033" i="6"/>
  <c r="B1034" i="6"/>
  <c r="C1034" i="6"/>
  <c r="D1034" i="6"/>
  <c r="E1034" i="6"/>
  <c r="L1034" i="6" s="1"/>
  <c r="F1034" i="6"/>
  <c r="H1034" i="6"/>
  <c r="I1034" i="6"/>
  <c r="N1034" i="6"/>
  <c r="R1034" i="6"/>
  <c r="Q1034" i="6" s="1"/>
  <c r="S1034" i="6" s="1"/>
  <c r="T1034" i="6"/>
  <c r="B1035" i="6"/>
  <c r="C1035" i="6"/>
  <c r="L1035" i="6" s="1"/>
  <c r="D1035" i="6"/>
  <c r="E1035" i="6"/>
  <c r="F1035" i="6"/>
  <c r="H1035" i="6"/>
  <c r="I1035" i="6"/>
  <c r="N1035" i="6"/>
  <c r="R1035" i="6"/>
  <c r="Q1035" i="6" s="1"/>
  <c r="S1035" i="6"/>
  <c r="T1035" i="6"/>
  <c r="B1036" i="6"/>
  <c r="C1036" i="6"/>
  <c r="D1036" i="6"/>
  <c r="E1036" i="6"/>
  <c r="F1036" i="6"/>
  <c r="H1036" i="6"/>
  <c r="I1036" i="6"/>
  <c r="N1036" i="6"/>
  <c r="Q1036" i="6"/>
  <c r="S1036" i="6" s="1"/>
  <c r="R1036" i="6"/>
  <c r="T1036" i="6"/>
  <c r="B1037" i="6"/>
  <c r="C1037" i="6"/>
  <c r="D1037" i="6"/>
  <c r="E1037" i="6"/>
  <c r="F1037" i="6"/>
  <c r="H1037" i="6"/>
  <c r="I1037" i="6"/>
  <c r="N1037" i="6"/>
  <c r="Q1037" i="6"/>
  <c r="R1037" i="6"/>
  <c r="S1037" i="6"/>
  <c r="T1037" i="6"/>
  <c r="B1038" i="6"/>
  <c r="C1038" i="6"/>
  <c r="D1038" i="6"/>
  <c r="E1038" i="6"/>
  <c r="F1038" i="6"/>
  <c r="H1038" i="6"/>
  <c r="I1038" i="6"/>
  <c r="L1038" i="6"/>
  <c r="N1038" i="6"/>
  <c r="R1038" i="6"/>
  <c r="Q1038" i="6" s="1"/>
  <c r="S1038" i="6"/>
  <c r="T1038" i="6"/>
  <c r="B1039" i="6"/>
  <c r="C1039" i="6"/>
  <c r="D1039" i="6"/>
  <c r="E1039" i="6"/>
  <c r="F1039" i="6"/>
  <c r="H1039" i="6"/>
  <c r="I1039" i="6"/>
  <c r="L1039" i="6" s="1"/>
  <c r="N1039" i="6"/>
  <c r="R1039" i="6"/>
  <c r="Q1039" i="6" s="1"/>
  <c r="S1039" i="6" s="1"/>
  <c r="T1039" i="6"/>
  <c r="B1040" i="6"/>
  <c r="C1040" i="6"/>
  <c r="D1040" i="6"/>
  <c r="E1040" i="6"/>
  <c r="F1040" i="6"/>
  <c r="H1040" i="6"/>
  <c r="I1040" i="6"/>
  <c r="N1040" i="6"/>
  <c r="Q1040" i="6"/>
  <c r="S1040" i="6" s="1"/>
  <c r="R1040" i="6"/>
  <c r="T1040" i="6"/>
  <c r="B1041" i="6"/>
  <c r="C1041" i="6"/>
  <c r="D1041" i="6"/>
  <c r="E1041" i="6"/>
  <c r="F1041" i="6"/>
  <c r="H1041" i="6"/>
  <c r="I1041" i="6"/>
  <c r="L1041" i="6"/>
  <c r="N1041" i="6"/>
  <c r="R1041" i="6"/>
  <c r="Q1041" i="6" s="1"/>
  <c r="S1041" i="6" s="1"/>
  <c r="T1041" i="6"/>
  <c r="B1042" i="6"/>
  <c r="C1042" i="6"/>
  <c r="D1042" i="6"/>
  <c r="L1042" i="6" s="1"/>
  <c r="E1042" i="6"/>
  <c r="F1042" i="6"/>
  <c r="H1042" i="6"/>
  <c r="I1042" i="6"/>
  <c r="N1042" i="6"/>
  <c r="R1042" i="6"/>
  <c r="Q1042" i="6" s="1"/>
  <c r="S1042" i="6"/>
  <c r="T1042" i="6"/>
  <c r="B1043" i="6"/>
  <c r="C1043" i="6"/>
  <c r="L1043" i="6" s="1"/>
  <c r="D1043" i="6"/>
  <c r="E1043" i="6"/>
  <c r="F1043" i="6"/>
  <c r="H1043" i="6"/>
  <c r="I1043" i="6"/>
  <c r="N1043" i="6"/>
  <c r="R1043" i="6"/>
  <c r="Q1043" i="6" s="1"/>
  <c r="S1043" i="6"/>
  <c r="T1043" i="6"/>
  <c r="B1044" i="6"/>
  <c r="C1044" i="6"/>
  <c r="D1044" i="6"/>
  <c r="E1044" i="6"/>
  <c r="F1044" i="6"/>
  <c r="H1044" i="6"/>
  <c r="I1044" i="6"/>
  <c r="N1044" i="6"/>
  <c r="Q1044" i="6"/>
  <c r="S1044" i="6" s="1"/>
  <c r="R1044" i="6"/>
  <c r="T1044" i="6"/>
  <c r="B1045" i="6"/>
  <c r="C1045" i="6"/>
  <c r="D1045" i="6"/>
  <c r="E1045" i="6"/>
  <c r="F1045" i="6"/>
  <c r="H1045" i="6"/>
  <c r="I1045" i="6"/>
  <c r="N1045" i="6"/>
  <c r="Q1045" i="6"/>
  <c r="S1045" i="6" s="1"/>
  <c r="R1045" i="6"/>
  <c r="T1045" i="6"/>
  <c r="B1046" i="6"/>
  <c r="C1046" i="6"/>
  <c r="D1046" i="6"/>
  <c r="E1046" i="6"/>
  <c r="F1046" i="6"/>
  <c r="H1046" i="6"/>
  <c r="I1046" i="6"/>
  <c r="L1046" i="6"/>
  <c r="N1046" i="6"/>
  <c r="R1046" i="6"/>
  <c r="Q1046" i="6" s="1"/>
  <c r="S1046" i="6"/>
  <c r="T1046" i="6"/>
  <c r="B1047" i="6"/>
  <c r="C1047" i="6"/>
  <c r="D1047" i="6"/>
  <c r="E1047" i="6"/>
  <c r="F1047" i="6"/>
  <c r="H1047" i="6"/>
  <c r="I1047" i="6"/>
  <c r="L1047" i="6"/>
  <c r="N1047" i="6"/>
  <c r="R1047" i="6"/>
  <c r="Q1047" i="6" s="1"/>
  <c r="S1047" i="6" s="1"/>
  <c r="T1047" i="6"/>
  <c r="B1048" i="6"/>
  <c r="C1048" i="6"/>
  <c r="D1048" i="6"/>
  <c r="E1048" i="6"/>
  <c r="F1048" i="6"/>
  <c r="H1048" i="6"/>
  <c r="I1048" i="6"/>
  <c r="N1048" i="6"/>
  <c r="R1048" i="6"/>
  <c r="Q1048" i="6" s="1"/>
  <c r="S1048" i="6" s="1"/>
  <c r="T1048" i="6"/>
  <c r="B1049" i="6"/>
  <c r="C1049" i="6"/>
  <c r="D1049" i="6"/>
  <c r="E1049" i="6"/>
  <c r="L1049" i="6" s="1"/>
  <c r="F1049" i="6"/>
  <c r="H1049" i="6"/>
  <c r="I1049" i="6"/>
  <c r="N1049" i="6"/>
  <c r="R1049" i="6"/>
  <c r="Q1049" i="6" s="1"/>
  <c r="S1049" i="6" s="1"/>
  <c r="T1049" i="6"/>
  <c r="B1050" i="6"/>
  <c r="C1050" i="6"/>
  <c r="D1050" i="6"/>
  <c r="E1050" i="6"/>
  <c r="F1050" i="6"/>
  <c r="H1050" i="6"/>
  <c r="I1050" i="6"/>
  <c r="L1050" i="6"/>
  <c r="N1050" i="6"/>
  <c r="R1050" i="6"/>
  <c r="Q1050" i="6" s="1"/>
  <c r="S1050" i="6"/>
  <c r="T1050" i="6"/>
  <c r="B1051" i="6"/>
  <c r="C1051" i="6"/>
  <c r="L1051" i="6" s="1"/>
  <c r="D1051" i="6"/>
  <c r="E1051" i="6"/>
  <c r="F1051" i="6"/>
  <c r="H1051" i="6"/>
  <c r="I1051" i="6"/>
  <c r="N1051" i="6"/>
  <c r="R1051" i="6"/>
  <c r="Q1051" i="6" s="1"/>
  <c r="S1051" i="6" s="1"/>
  <c r="T1051" i="6"/>
  <c r="B1052" i="6"/>
  <c r="C1052" i="6"/>
  <c r="D1052" i="6"/>
  <c r="E1052" i="6"/>
  <c r="F1052" i="6"/>
  <c r="H1052" i="6"/>
  <c r="I1052" i="6"/>
  <c r="N1052" i="6"/>
  <c r="Q1052" i="6"/>
  <c r="S1052" i="6" s="1"/>
  <c r="R1052" i="6"/>
  <c r="T1052" i="6"/>
  <c r="B1053" i="6"/>
  <c r="C1053" i="6"/>
  <c r="D1053" i="6"/>
  <c r="E1053" i="6"/>
  <c r="F1053" i="6"/>
  <c r="H1053" i="6"/>
  <c r="I1053" i="6"/>
  <c r="N1053" i="6"/>
  <c r="Q1053" i="6"/>
  <c r="S1053" i="6" s="1"/>
  <c r="R1053" i="6"/>
  <c r="T1053" i="6"/>
  <c r="B1054" i="6"/>
  <c r="C1054" i="6"/>
  <c r="D1054" i="6"/>
  <c r="E1054" i="6"/>
  <c r="F1054" i="6"/>
  <c r="H1054" i="6"/>
  <c r="I1054" i="6"/>
  <c r="L1054" i="6"/>
  <c r="N1054" i="6"/>
  <c r="R1054" i="6"/>
  <c r="Q1054" i="6" s="1"/>
  <c r="S1054" i="6"/>
  <c r="T1054" i="6"/>
  <c r="B1055" i="6"/>
  <c r="C1055" i="6"/>
  <c r="L1055" i="6" s="1"/>
  <c r="D1055" i="6"/>
  <c r="E1055" i="6"/>
  <c r="F1055" i="6"/>
  <c r="H1055" i="6"/>
  <c r="I1055" i="6"/>
  <c r="N1055" i="6"/>
  <c r="Q1055" i="6"/>
  <c r="S1055" i="6" s="1"/>
  <c r="R1055" i="6"/>
  <c r="T1055" i="6"/>
  <c r="B1056" i="6"/>
  <c r="C1056" i="6"/>
  <c r="D1056" i="6"/>
  <c r="E1056" i="6"/>
  <c r="F1056" i="6"/>
  <c r="H1056" i="6"/>
  <c r="I1056" i="6"/>
  <c r="N1056" i="6"/>
  <c r="Q1056" i="6"/>
  <c r="S1056" i="6" s="1"/>
  <c r="R1056" i="6"/>
  <c r="T1056" i="6"/>
  <c r="B1057" i="6"/>
  <c r="C1057" i="6"/>
  <c r="D1057" i="6"/>
  <c r="E1057" i="6"/>
  <c r="F1057" i="6"/>
  <c r="H1057" i="6"/>
  <c r="I1057" i="6"/>
  <c r="N1057" i="6"/>
  <c r="R1057" i="6"/>
  <c r="Q1057" i="6" s="1"/>
  <c r="S1057" i="6"/>
  <c r="T1057" i="6"/>
  <c r="B1058" i="6"/>
  <c r="C1058" i="6"/>
  <c r="D1058" i="6"/>
  <c r="E1058" i="6"/>
  <c r="L1058" i="6" s="1"/>
  <c r="F1058" i="6"/>
  <c r="H1058" i="6"/>
  <c r="I1058" i="6"/>
  <c r="N1058" i="6"/>
  <c r="R1058" i="6"/>
  <c r="Q1058" i="6" s="1"/>
  <c r="S1058" i="6" s="1"/>
  <c r="T1058" i="6"/>
  <c r="B1059" i="6"/>
  <c r="C1059" i="6"/>
  <c r="L1059" i="6" s="1"/>
  <c r="D1059" i="6"/>
  <c r="E1059" i="6"/>
  <c r="F1059" i="6"/>
  <c r="H1059" i="6"/>
  <c r="I1059" i="6"/>
  <c r="N1059" i="6"/>
  <c r="R1059" i="6"/>
  <c r="Q1059" i="6" s="1"/>
  <c r="S1059" i="6"/>
  <c r="T1059" i="6"/>
  <c r="B1060" i="6"/>
  <c r="C1060" i="6"/>
  <c r="D1060" i="6"/>
  <c r="E1060" i="6"/>
  <c r="F1060" i="6"/>
  <c r="H1060" i="6"/>
  <c r="I1060" i="6"/>
  <c r="N1060" i="6"/>
  <c r="Q1060" i="6"/>
  <c r="S1060" i="6" s="1"/>
  <c r="R1060" i="6"/>
  <c r="T1060" i="6"/>
  <c r="B1061" i="6"/>
  <c r="C1061" i="6"/>
  <c r="D1061" i="6"/>
  <c r="E1061" i="6"/>
  <c r="F1061" i="6"/>
  <c r="H1061" i="6"/>
  <c r="I1061" i="6"/>
  <c r="N1061" i="6"/>
  <c r="Q1061" i="6"/>
  <c r="R1061" i="6"/>
  <c r="S1061" i="6"/>
  <c r="T1061" i="6"/>
  <c r="B1062" i="6"/>
  <c r="C1062" i="6"/>
  <c r="D1062" i="6"/>
  <c r="E1062" i="6"/>
  <c r="F1062" i="6"/>
  <c r="H1062" i="6"/>
  <c r="I1062" i="6"/>
  <c r="N1062" i="6"/>
  <c r="R1062" i="6"/>
  <c r="Q1062" i="6" s="1"/>
  <c r="S1062" i="6" s="1"/>
  <c r="T1062" i="6"/>
  <c r="B1063" i="6"/>
  <c r="C1063" i="6"/>
  <c r="D1063" i="6"/>
  <c r="E1063" i="6"/>
  <c r="F1063" i="6"/>
  <c r="H1063" i="6"/>
  <c r="I1063" i="6"/>
  <c r="N1063" i="6"/>
  <c r="R1063" i="6"/>
  <c r="Q1063" i="6" s="1"/>
  <c r="S1063" i="6" s="1"/>
  <c r="T1063" i="6"/>
  <c r="B1064" i="6"/>
  <c r="C1064" i="6"/>
  <c r="L1064" i="6" s="1"/>
  <c r="D1064" i="6"/>
  <c r="E1064" i="6"/>
  <c r="F1064" i="6"/>
  <c r="H1064" i="6"/>
  <c r="I1064" i="6"/>
  <c r="N1064" i="6"/>
  <c r="R1064" i="6"/>
  <c r="Q1064" i="6" s="1"/>
  <c r="S1064" i="6" s="1"/>
  <c r="T1064" i="6"/>
  <c r="B1065" i="6"/>
  <c r="C1065" i="6"/>
  <c r="D1065" i="6"/>
  <c r="E1065" i="6"/>
  <c r="L1065" i="6" s="1"/>
  <c r="F1065" i="6"/>
  <c r="H1065" i="6"/>
  <c r="I1065" i="6"/>
  <c r="N1065" i="6"/>
  <c r="Q1065" i="6"/>
  <c r="R1065" i="6"/>
  <c r="S1065" i="6"/>
  <c r="T1065" i="6"/>
  <c r="B1066" i="6"/>
  <c r="C1066" i="6"/>
  <c r="D1066" i="6"/>
  <c r="E1066" i="6"/>
  <c r="L1066" i="6" s="1"/>
  <c r="F1066" i="6"/>
  <c r="H1066" i="6"/>
  <c r="I1066" i="6"/>
  <c r="N1066" i="6"/>
  <c r="R1066" i="6"/>
  <c r="Q1066" i="6" s="1"/>
  <c r="S1066" i="6" s="1"/>
  <c r="T1066" i="6"/>
  <c r="B1067" i="6"/>
  <c r="C1067" i="6"/>
  <c r="L1067" i="6" s="1"/>
  <c r="D1067" i="6"/>
  <c r="E1067" i="6"/>
  <c r="F1067" i="6"/>
  <c r="H1067" i="6"/>
  <c r="I1067" i="6"/>
  <c r="N1067" i="6"/>
  <c r="R1067" i="6"/>
  <c r="Q1067" i="6" s="1"/>
  <c r="S1067" i="6"/>
  <c r="T1067" i="6"/>
  <c r="B1069" i="6"/>
  <c r="C1069" i="6"/>
  <c r="F1069" i="6"/>
  <c r="G1069" i="6"/>
  <c r="H1069" i="6"/>
  <c r="I1069" i="6"/>
  <c r="J1069" i="6"/>
  <c r="K1069" i="6"/>
  <c r="N1069" i="6"/>
  <c r="O1069" i="6"/>
  <c r="R1069" i="6"/>
  <c r="T1069" i="6"/>
  <c r="B1070" i="6"/>
  <c r="C1070" i="6"/>
  <c r="E1070" i="6"/>
  <c r="G1070" i="6"/>
  <c r="H1070" i="6"/>
  <c r="I1070" i="6"/>
  <c r="J1070" i="6"/>
  <c r="K1070" i="6"/>
  <c r="O1070" i="6"/>
  <c r="P1070" i="6"/>
  <c r="T1070" i="6"/>
  <c r="B1071" i="6"/>
  <c r="C1071" i="6"/>
  <c r="D1071" i="6"/>
  <c r="E1071" i="6"/>
  <c r="F1071" i="6"/>
  <c r="G1071" i="6"/>
  <c r="H1071" i="6"/>
  <c r="I1071" i="6"/>
  <c r="J1071" i="6"/>
  <c r="K1071" i="6"/>
  <c r="N1071" i="6"/>
  <c r="O1071" i="6"/>
  <c r="P1071" i="6"/>
  <c r="R1071" i="6"/>
  <c r="T1071" i="6"/>
  <c r="B1072" i="6"/>
  <c r="C1072" i="6"/>
  <c r="D1072" i="6"/>
  <c r="E1072" i="6"/>
  <c r="F1072" i="6"/>
  <c r="G1072" i="6"/>
  <c r="H1072" i="6"/>
  <c r="I1072" i="6"/>
  <c r="J1072" i="6"/>
  <c r="K1072" i="6"/>
  <c r="N1072" i="6"/>
  <c r="O1072" i="6"/>
  <c r="P1072" i="6"/>
  <c r="R1072" i="6"/>
  <c r="T1072" i="6"/>
  <c r="B1073" i="6"/>
  <c r="C1073" i="6"/>
  <c r="F1073" i="6"/>
  <c r="G1073" i="6"/>
  <c r="J1073" i="6"/>
  <c r="K1073" i="6"/>
  <c r="M1073" i="6"/>
  <c r="O1073" i="6"/>
  <c r="P1073" i="6"/>
  <c r="R1073" i="6"/>
  <c r="B1074" i="6"/>
  <c r="G1074" i="6"/>
  <c r="I1074" i="6"/>
  <c r="J1074" i="6"/>
  <c r="K1074" i="6"/>
  <c r="M1074" i="6"/>
  <c r="O1074" i="6"/>
  <c r="P1074" i="6"/>
  <c r="Q1074" i="6"/>
  <c r="R1074" i="6"/>
  <c r="B1075" i="6"/>
  <c r="E1075" i="6"/>
  <c r="F1075" i="6"/>
  <c r="G1075" i="6"/>
  <c r="H1075" i="6"/>
  <c r="I1075" i="6"/>
  <c r="J1075" i="6"/>
  <c r="K1075" i="6"/>
  <c r="M1075" i="6"/>
  <c r="N1075" i="6"/>
  <c r="O1075" i="6"/>
  <c r="P1075" i="6"/>
  <c r="R1075" i="6"/>
  <c r="B1076" i="6"/>
  <c r="C1076" i="6"/>
  <c r="D1076" i="6"/>
  <c r="E1076" i="6"/>
  <c r="F1076" i="6"/>
  <c r="G1076" i="6"/>
  <c r="H1076" i="6"/>
  <c r="I1076" i="6"/>
  <c r="J1076" i="6"/>
  <c r="K1076" i="6"/>
  <c r="M1076" i="6"/>
  <c r="N1076" i="6"/>
  <c r="O1076" i="6"/>
  <c r="P1076" i="6"/>
  <c r="Q1076" i="6"/>
  <c r="R1076" i="6"/>
  <c r="S1076" i="6"/>
  <c r="T1076" i="6"/>
  <c r="B1077" i="6"/>
  <c r="C1077" i="6"/>
  <c r="D1077" i="6"/>
  <c r="E1077" i="6"/>
  <c r="G1077" i="6"/>
  <c r="I1077" i="6"/>
  <c r="J1077" i="6"/>
  <c r="K1077" i="6"/>
  <c r="M1077" i="6"/>
  <c r="O1077" i="6"/>
  <c r="P1077" i="6"/>
  <c r="T1077" i="6"/>
  <c r="B1078" i="6"/>
  <c r="D1078" i="6"/>
  <c r="G1078" i="6"/>
  <c r="H1078" i="6"/>
  <c r="J1078" i="6"/>
  <c r="K1078" i="6"/>
  <c r="M1078" i="6"/>
  <c r="N1078" i="6"/>
  <c r="O1078" i="6"/>
  <c r="P1078" i="6"/>
  <c r="R1078" i="6"/>
  <c r="B1079" i="6"/>
  <c r="D1079" i="6"/>
  <c r="E1079" i="6"/>
  <c r="G1079" i="6"/>
  <c r="I1079" i="6"/>
  <c r="J1079" i="6"/>
  <c r="K1079" i="6"/>
  <c r="M1079" i="6"/>
  <c r="N1079" i="6"/>
  <c r="O1079" i="6"/>
  <c r="P1079" i="6"/>
  <c r="Q1079" i="6"/>
  <c r="R1079" i="6"/>
  <c r="S1079" i="6"/>
  <c r="T1079" i="6"/>
  <c r="B1080" i="6"/>
  <c r="C1080" i="6"/>
  <c r="D1080" i="6"/>
  <c r="E1080" i="6"/>
  <c r="F1080" i="6"/>
  <c r="G1080" i="6"/>
  <c r="H1080" i="6"/>
  <c r="I1080" i="6"/>
  <c r="J1080" i="6"/>
  <c r="K1080" i="6"/>
  <c r="M1080" i="6"/>
  <c r="N1080" i="6"/>
  <c r="O1080" i="6"/>
  <c r="P1080" i="6"/>
  <c r="R1080" i="6"/>
  <c r="B1081" i="6"/>
  <c r="D1081" i="6"/>
  <c r="E1081" i="6"/>
  <c r="F1081" i="6"/>
  <c r="G1081" i="6"/>
  <c r="H1081" i="6"/>
  <c r="J1081" i="6"/>
  <c r="K1081" i="6"/>
  <c r="M1081" i="6"/>
  <c r="N1081" i="6"/>
  <c r="O1081" i="6"/>
  <c r="P1081" i="6"/>
  <c r="Q1081" i="6"/>
  <c r="R1081" i="6"/>
  <c r="T1081" i="6"/>
  <c r="B1082" i="6"/>
  <c r="C1082" i="6"/>
  <c r="D1082" i="6"/>
  <c r="E1082" i="6"/>
  <c r="F1082" i="6"/>
  <c r="G1082" i="6"/>
  <c r="H1082" i="6"/>
  <c r="I1082" i="6"/>
  <c r="J1082" i="6"/>
  <c r="K1082" i="6"/>
  <c r="M1082" i="6"/>
  <c r="N1082" i="6"/>
  <c r="O1082" i="6"/>
  <c r="P1082" i="6"/>
  <c r="R1082" i="6"/>
  <c r="T1082" i="6"/>
  <c r="B1083" i="6"/>
  <c r="C1083" i="6"/>
  <c r="D1083" i="6"/>
  <c r="E1083" i="6"/>
  <c r="F1083" i="6"/>
  <c r="G1083" i="6"/>
  <c r="H1083" i="6"/>
  <c r="I1083" i="6"/>
  <c r="J1083" i="6"/>
  <c r="K1083" i="6"/>
  <c r="M1083" i="6"/>
  <c r="N1083" i="6"/>
  <c r="O1083" i="6"/>
  <c r="P1083" i="6"/>
  <c r="Q1083" i="6"/>
  <c r="R1083" i="6"/>
  <c r="S1083" i="6"/>
  <c r="T1083" i="6"/>
  <c r="B1084" i="6"/>
  <c r="D1084" i="6"/>
  <c r="E1084" i="6"/>
  <c r="F1084" i="6"/>
  <c r="G1084" i="6"/>
  <c r="I1084" i="6"/>
  <c r="J1084" i="6"/>
  <c r="K1084" i="6"/>
  <c r="M1084" i="6"/>
  <c r="N1084" i="6"/>
  <c r="O1084" i="6"/>
  <c r="P1084" i="6"/>
  <c r="Q1084" i="6"/>
  <c r="R1084" i="6"/>
  <c r="S1084" i="6"/>
  <c r="T1084" i="6"/>
  <c r="B1085" i="6"/>
  <c r="D1085" i="6"/>
  <c r="E1085" i="6"/>
  <c r="F1085" i="6"/>
  <c r="G1085" i="6"/>
  <c r="H1085" i="6"/>
  <c r="I1085" i="6"/>
  <c r="J1085" i="6"/>
  <c r="K1085" i="6"/>
  <c r="M1085" i="6"/>
  <c r="N1085" i="6"/>
  <c r="O1085" i="6"/>
  <c r="P1085" i="6"/>
  <c r="Q1085" i="6"/>
  <c r="R1085" i="6"/>
  <c r="T1085" i="6"/>
  <c r="B1086" i="6"/>
  <c r="C1086" i="6"/>
  <c r="D1086" i="6"/>
  <c r="E1086" i="6"/>
  <c r="F1086" i="6"/>
  <c r="G1086" i="6"/>
  <c r="H1086" i="6"/>
  <c r="I1086" i="6"/>
  <c r="J1086" i="6"/>
  <c r="K1086" i="6"/>
  <c r="M1086" i="6"/>
  <c r="N1086" i="6"/>
  <c r="O1086" i="6"/>
  <c r="P1086" i="6"/>
  <c r="Q1086" i="6"/>
  <c r="R1086" i="6"/>
  <c r="T1086" i="6"/>
  <c r="B1087" i="6"/>
  <c r="C1087" i="6"/>
  <c r="E1087" i="6"/>
  <c r="F1087" i="6"/>
  <c r="G1087" i="6"/>
  <c r="H1087" i="6"/>
  <c r="J1087" i="6"/>
  <c r="K1087" i="6"/>
  <c r="M1087" i="6"/>
  <c r="N1087" i="6"/>
  <c r="O1087" i="6"/>
  <c r="P1087" i="6"/>
  <c r="B1088" i="6"/>
  <c r="C1088" i="6"/>
  <c r="D1088" i="6"/>
  <c r="E1088" i="6"/>
  <c r="F1088" i="6"/>
  <c r="G1088" i="6"/>
  <c r="H1088" i="6"/>
  <c r="J1088" i="6"/>
  <c r="K1088" i="6"/>
  <c r="M1088" i="6"/>
  <c r="O1088" i="6"/>
  <c r="P1088" i="6"/>
  <c r="B1089" i="6"/>
  <c r="C1089" i="6"/>
  <c r="D1089" i="6"/>
  <c r="E1089" i="6"/>
  <c r="F1089" i="6"/>
  <c r="G1089" i="6"/>
  <c r="H1089" i="6"/>
  <c r="I1089" i="6"/>
  <c r="J1089" i="6"/>
  <c r="K1089" i="6"/>
  <c r="M1089" i="6"/>
  <c r="N1089" i="6"/>
  <c r="O1089" i="6"/>
  <c r="P1089" i="6"/>
  <c r="Q1089" i="6"/>
  <c r="R1089" i="6"/>
  <c r="T1089" i="6"/>
  <c r="B1090" i="6"/>
  <c r="C1090" i="6"/>
  <c r="E1090" i="6"/>
  <c r="F1090" i="6"/>
  <c r="G1090" i="6"/>
  <c r="H1090" i="6"/>
  <c r="I1090" i="6"/>
  <c r="J1090" i="6"/>
  <c r="K1090" i="6"/>
  <c r="M1090" i="6"/>
  <c r="N1090" i="6"/>
  <c r="O1090" i="6"/>
  <c r="P1090" i="6"/>
  <c r="Q1090" i="6"/>
  <c r="R1090" i="6"/>
  <c r="T1090" i="6"/>
  <c r="B1091" i="6"/>
  <c r="C1091" i="6"/>
  <c r="G1091" i="6"/>
  <c r="H1091" i="6"/>
  <c r="I1091" i="6"/>
  <c r="J1091" i="6"/>
  <c r="K1091" i="6"/>
  <c r="M1091" i="6"/>
  <c r="N1091" i="6"/>
  <c r="O1091" i="6"/>
  <c r="P1091" i="6"/>
  <c r="Q1091" i="6"/>
  <c r="R1091" i="6"/>
  <c r="T1091" i="6"/>
  <c r="B1092" i="6"/>
  <c r="C1092" i="6"/>
  <c r="E1092" i="6"/>
  <c r="F1092" i="6"/>
  <c r="G1092" i="6"/>
  <c r="H1092" i="6"/>
  <c r="I1092" i="6"/>
  <c r="J1092" i="6"/>
  <c r="K1092" i="6"/>
  <c r="M1092" i="6"/>
  <c r="N1092" i="6"/>
  <c r="O1092" i="6"/>
  <c r="P1092" i="6"/>
  <c r="Q1092" i="6"/>
  <c r="R1092" i="6"/>
  <c r="T1092" i="6"/>
  <c r="B1093" i="6"/>
  <c r="C1093" i="6"/>
  <c r="E1093" i="6"/>
  <c r="F1093" i="6"/>
  <c r="G1093" i="6"/>
  <c r="I1093" i="6"/>
  <c r="J1093" i="6"/>
  <c r="K1093" i="6"/>
  <c r="M1093" i="6"/>
  <c r="N1093" i="6"/>
  <c r="O1093" i="6"/>
  <c r="P1093" i="6"/>
  <c r="R1093" i="6"/>
  <c r="T1093" i="6"/>
  <c r="A1094" i="6"/>
  <c r="B1094" i="6"/>
  <c r="E1094" i="6"/>
  <c r="G1094" i="6"/>
  <c r="H1094" i="6"/>
  <c r="I1094" i="6"/>
  <c r="J1094" i="6"/>
  <c r="K1094" i="6"/>
  <c r="M1094" i="6"/>
  <c r="O1094" i="6"/>
  <c r="P1094" i="6"/>
  <c r="R1094" i="6"/>
  <c r="T1094" i="6"/>
  <c r="A1095" i="6"/>
  <c r="D1095" i="6"/>
  <c r="F1095" i="6"/>
  <c r="G1095" i="6"/>
  <c r="J1095" i="6"/>
  <c r="K1095" i="6"/>
  <c r="M1095" i="6"/>
  <c r="N1095" i="6"/>
  <c r="O1095" i="6"/>
  <c r="P1095" i="6"/>
  <c r="R1095" i="6"/>
  <c r="C1096" i="6"/>
  <c r="D1096" i="6"/>
  <c r="E1096" i="6"/>
  <c r="F1096" i="6"/>
  <c r="G1096" i="6"/>
  <c r="H1096" i="6"/>
  <c r="J1096" i="6"/>
  <c r="K1096" i="6"/>
  <c r="M1096" i="6"/>
  <c r="N1096" i="6"/>
  <c r="O1096" i="6"/>
  <c r="P1096" i="6"/>
  <c r="T1096" i="6"/>
  <c r="C1097" i="6"/>
  <c r="F1097" i="6"/>
  <c r="G1097" i="6"/>
  <c r="H1097" i="6"/>
  <c r="J1097" i="6"/>
  <c r="K1097" i="6"/>
  <c r="M1097" i="6"/>
  <c r="N1097" i="6"/>
  <c r="O1097" i="6"/>
  <c r="P1097" i="6"/>
  <c r="R1097" i="6"/>
  <c r="D1098" i="6"/>
  <c r="E1098" i="6"/>
  <c r="F1098" i="6"/>
  <c r="G1098" i="6"/>
  <c r="H1098" i="6"/>
  <c r="J1098" i="6"/>
  <c r="K1098" i="6"/>
  <c r="M1098" i="6"/>
  <c r="N1098" i="6"/>
  <c r="O1098" i="6"/>
  <c r="P1098" i="6"/>
  <c r="Q1098" i="6"/>
  <c r="R1098" i="6"/>
  <c r="S1098" i="6"/>
  <c r="T1098" i="6"/>
  <c r="C1099" i="6"/>
  <c r="D1099" i="6"/>
  <c r="E1099" i="6"/>
  <c r="F1099" i="6"/>
  <c r="G1099" i="6"/>
  <c r="H1099" i="6"/>
  <c r="J1099" i="6"/>
  <c r="K1099" i="6"/>
  <c r="M1099" i="6"/>
  <c r="N1099" i="6"/>
  <c r="O1099" i="6"/>
  <c r="P1099" i="6"/>
  <c r="T1099" i="6"/>
  <c r="D1100" i="6"/>
  <c r="E1100" i="6"/>
  <c r="G1100" i="6"/>
  <c r="H1100" i="6"/>
  <c r="I1100" i="6"/>
  <c r="J1100" i="6"/>
  <c r="K1100" i="6"/>
  <c r="M1100" i="6"/>
  <c r="O1100" i="6"/>
  <c r="P1100" i="6"/>
  <c r="T1100" i="6"/>
  <c r="C1101" i="6"/>
  <c r="D1101" i="6"/>
  <c r="E1101" i="6"/>
  <c r="F1101" i="6"/>
  <c r="G1101" i="6"/>
  <c r="H1101" i="6"/>
  <c r="I1101" i="6"/>
  <c r="J1101" i="6"/>
  <c r="K1101" i="6"/>
  <c r="M1101" i="6"/>
  <c r="N1101" i="6"/>
  <c r="O1101" i="6"/>
  <c r="P1101" i="6"/>
  <c r="Q1101" i="6"/>
  <c r="R1101" i="6"/>
  <c r="S1101" i="6"/>
  <c r="T1101" i="6"/>
  <c r="C1102" i="6"/>
  <c r="D1102" i="6"/>
  <c r="E1102" i="6"/>
  <c r="F1102" i="6"/>
  <c r="G1102" i="6"/>
  <c r="H1102" i="6"/>
  <c r="J1102" i="6"/>
  <c r="K1102" i="6"/>
  <c r="M1102" i="6"/>
  <c r="N1102" i="6"/>
  <c r="O1102" i="6"/>
  <c r="P1102" i="6"/>
  <c r="T1102" i="6"/>
  <c r="D1103" i="6"/>
  <c r="G1103" i="6"/>
  <c r="J1103" i="6"/>
  <c r="K1103" i="6"/>
  <c r="M1103" i="6"/>
  <c r="O1103" i="6"/>
  <c r="P1103" i="6"/>
  <c r="D1104" i="6"/>
  <c r="E1104" i="6"/>
  <c r="G1104" i="6"/>
  <c r="H1104" i="6"/>
  <c r="J1104" i="6"/>
  <c r="K1104" i="6"/>
  <c r="M1104" i="6"/>
  <c r="N1104" i="6"/>
  <c r="O1104" i="6"/>
  <c r="P1104" i="6"/>
  <c r="T1104" i="6"/>
  <c r="C1105" i="6"/>
  <c r="D1105" i="6"/>
  <c r="G1105" i="6"/>
  <c r="H1105" i="6"/>
  <c r="J1105" i="6"/>
  <c r="K1105" i="6"/>
  <c r="M1105" i="6"/>
  <c r="N1105" i="6"/>
  <c r="O1105" i="6"/>
  <c r="P1105" i="6"/>
  <c r="T1105" i="6"/>
  <c r="C1106" i="6"/>
  <c r="E1106" i="6"/>
  <c r="G1106" i="6"/>
  <c r="H1106" i="6"/>
  <c r="J1106" i="6"/>
  <c r="K1106" i="6"/>
  <c r="M1106" i="6"/>
  <c r="N1106" i="6"/>
  <c r="O1106" i="6"/>
  <c r="P1106" i="6"/>
  <c r="T1106" i="6"/>
  <c r="C1107" i="6"/>
  <c r="D1107" i="6"/>
  <c r="F1107" i="6"/>
  <c r="G1107" i="6"/>
  <c r="H1107" i="6"/>
  <c r="I1107" i="6"/>
  <c r="J1107" i="6"/>
  <c r="K1107" i="6"/>
  <c r="M1107" i="6"/>
  <c r="N1107" i="6"/>
  <c r="O1107" i="6"/>
  <c r="P1107" i="6"/>
  <c r="T1107" i="6"/>
  <c r="C1108" i="6"/>
  <c r="D1108" i="6"/>
  <c r="E1108" i="6"/>
  <c r="G1108" i="6"/>
  <c r="H1108" i="6"/>
  <c r="J1108" i="6"/>
  <c r="K1108" i="6"/>
  <c r="M1108" i="6"/>
  <c r="N1108" i="6"/>
  <c r="O1108" i="6"/>
  <c r="P1108" i="6"/>
  <c r="T1108" i="6"/>
  <c r="C1109" i="6"/>
  <c r="E1109" i="6"/>
  <c r="G1109" i="6"/>
  <c r="H1109" i="6"/>
  <c r="I1109" i="6"/>
  <c r="J1109" i="6"/>
  <c r="K1109" i="6"/>
  <c r="M1109" i="6"/>
  <c r="N1109" i="6"/>
  <c r="O1109" i="6"/>
  <c r="P1109" i="6"/>
  <c r="T1109" i="6"/>
  <c r="C1110" i="6"/>
  <c r="D1110" i="6"/>
  <c r="E1110" i="6"/>
  <c r="G1110" i="6"/>
  <c r="H1110" i="6"/>
  <c r="J1110" i="6"/>
  <c r="K1110" i="6"/>
  <c r="M1110" i="6"/>
  <c r="N1110" i="6"/>
  <c r="O1110" i="6"/>
  <c r="P1110" i="6"/>
  <c r="T1110" i="6"/>
  <c r="C1111" i="6"/>
  <c r="D1111" i="6"/>
  <c r="G1111" i="6"/>
  <c r="H1111" i="6"/>
  <c r="I1111" i="6"/>
  <c r="J1111" i="6"/>
  <c r="K1111" i="6"/>
  <c r="M1111" i="6"/>
  <c r="N1111" i="6"/>
  <c r="O1111" i="6"/>
  <c r="P1111" i="6"/>
  <c r="T1111" i="6"/>
  <c r="C1112" i="6"/>
  <c r="D1112" i="6"/>
  <c r="G1112" i="6"/>
  <c r="H1112" i="6"/>
  <c r="J1112" i="6"/>
  <c r="K1112" i="6"/>
  <c r="M1112" i="6"/>
  <c r="N1112" i="6"/>
  <c r="O1112" i="6"/>
  <c r="P1112" i="6"/>
  <c r="T1112" i="6"/>
  <c r="C1113" i="6"/>
  <c r="D1113" i="6"/>
  <c r="G1113" i="6"/>
  <c r="H1113" i="6"/>
  <c r="I1113" i="6"/>
  <c r="J1113" i="6"/>
  <c r="K1113" i="6"/>
  <c r="M1113" i="6"/>
  <c r="N1113" i="6"/>
  <c r="O1113" i="6"/>
  <c r="P1113" i="6"/>
  <c r="T1113" i="6"/>
  <c r="C1114" i="6"/>
  <c r="D1114" i="6"/>
  <c r="G1114" i="6"/>
  <c r="H1114" i="6"/>
  <c r="J1114" i="6"/>
  <c r="K1114" i="6"/>
  <c r="M1114" i="6"/>
  <c r="N1114" i="6"/>
  <c r="O1114" i="6"/>
  <c r="P1114" i="6"/>
  <c r="C1115" i="6"/>
  <c r="D1115" i="6"/>
  <c r="G1115" i="6"/>
  <c r="H1115" i="6"/>
  <c r="J1115" i="6"/>
  <c r="K1115" i="6"/>
  <c r="M1115" i="6"/>
  <c r="O1115" i="6"/>
  <c r="P1115" i="6"/>
  <c r="C1116" i="6"/>
  <c r="D1116" i="6"/>
  <c r="G1116" i="6"/>
  <c r="H1116" i="6"/>
  <c r="J1116" i="6"/>
  <c r="K1116" i="6"/>
  <c r="M1116" i="6"/>
  <c r="O1116" i="6"/>
  <c r="P1116" i="6"/>
  <c r="C1117" i="6"/>
  <c r="D1117" i="6"/>
  <c r="G1117" i="6"/>
  <c r="H1117" i="6"/>
  <c r="I1117" i="6"/>
  <c r="J1117" i="6"/>
  <c r="K1117" i="6"/>
  <c r="M1117" i="6"/>
  <c r="O1117" i="6"/>
  <c r="P1117" i="6"/>
  <c r="C9" i="5"/>
  <c r="E9" i="5"/>
  <c r="B22" i="5"/>
  <c r="C22" i="5"/>
  <c r="D22" i="5"/>
  <c r="E22" i="5"/>
  <c r="F22" i="5"/>
  <c r="G22" i="5"/>
  <c r="H22" i="5"/>
  <c r="I22" i="5"/>
  <c r="J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B23" i="5"/>
  <c r="C23" i="5"/>
  <c r="D23" i="5"/>
  <c r="E23" i="5"/>
  <c r="F23" i="5"/>
  <c r="G23" i="5"/>
  <c r="H23" i="5"/>
  <c r="I23" i="5"/>
  <c r="J23" i="5"/>
  <c r="L23" i="5"/>
  <c r="M23" i="5"/>
  <c r="N23" i="5"/>
  <c r="AC23" i="5" s="1"/>
  <c r="O23" i="5"/>
  <c r="P23" i="5"/>
  <c r="Q23" i="5"/>
  <c r="R23" i="5"/>
  <c r="S23" i="5"/>
  <c r="T23" i="5"/>
  <c r="U23" i="5"/>
  <c r="V23" i="5"/>
  <c r="W23" i="5"/>
  <c r="Y23" i="5"/>
  <c r="Z23" i="5"/>
  <c r="AA23" i="5"/>
  <c r="B24" i="5"/>
  <c r="C24" i="5"/>
  <c r="D24" i="5"/>
  <c r="E24" i="5"/>
  <c r="F24" i="5"/>
  <c r="G24" i="5"/>
  <c r="H24" i="5"/>
  <c r="I24" i="5"/>
  <c r="J24" i="5"/>
  <c r="L24" i="5"/>
  <c r="M24" i="5"/>
  <c r="N24" i="5"/>
  <c r="O24" i="5"/>
  <c r="P24" i="5"/>
  <c r="Q24" i="5"/>
  <c r="R24" i="5"/>
  <c r="S24" i="5"/>
  <c r="T24" i="5"/>
  <c r="U24" i="5"/>
  <c r="V24" i="5"/>
  <c r="W24" i="5"/>
  <c r="Y24" i="5"/>
  <c r="Z24" i="5"/>
  <c r="AA24" i="5"/>
  <c r="B25" i="5"/>
  <c r="C25" i="5"/>
  <c r="D25" i="5"/>
  <c r="E25" i="5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B26" i="5"/>
  <c r="C26" i="5"/>
  <c r="D26" i="5"/>
  <c r="E26" i="5"/>
  <c r="F26" i="5"/>
  <c r="G26" i="5"/>
  <c r="H26" i="5"/>
  <c r="I26" i="5"/>
  <c r="J26" i="5"/>
  <c r="L26" i="5"/>
  <c r="M26" i="5"/>
  <c r="N26" i="5"/>
  <c r="O26" i="5"/>
  <c r="P26" i="5"/>
  <c r="Q26" i="5"/>
  <c r="R26" i="5"/>
  <c r="S26" i="5"/>
  <c r="T26" i="5"/>
  <c r="U26" i="5"/>
  <c r="V26" i="5"/>
  <c r="W26" i="5"/>
  <c r="Y26" i="5"/>
  <c r="Z26" i="5"/>
  <c r="AA26" i="5"/>
  <c r="B27" i="5"/>
  <c r="C27" i="5"/>
  <c r="D27" i="5"/>
  <c r="E27" i="5"/>
  <c r="F27" i="5"/>
  <c r="G27" i="5"/>
  <c r="H27" i="5"/>
  <c r="I27" i="5"/>
  <c r="J27" i="5"/>
  <c r="L27" i="5"/>
  <c r="M27" i="5"/>
  <c r="N27" i="5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AB28" i="5"/>
  <c r="AC28" i="5"/>
  <c r="B29" i="5"/>
  <c r="C29" i="5"/>
  <c r="D29" i="5"/>
  <c r="E29" i="5"/>
  <c r="F29" i="5"/>
  <c r="G29" i="5"/>
  <c r="H29" i="5"/>
  <c r="I29" i="5"/>
  <c r="J29" i="5"/>
  <c r="L29" i="5"/>
  <c r="M29" i="5"/>
  <c r="AC29" i="5" s="1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AC30" i="5" s="1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B31" i="5"/>
  <c r="C31" i="5"/>
  <c r="D31" i="5"/>
  <c r="E31" i="5"/>
  <c r="F31" i="5"/>
  <c r="G31" i="5"/>
  <c r="H31" i="5"/>
  <c r="I31" i="5"/>
  <c r="J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AC32" i="5" s="1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B33" i="5"/>
  <c r="C33" i="5"/>
  <c r="D33" i="5"/>
  <c r="E33" i="5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AA1071" i="5" s="1"/>
  <c r="B34" i="5"/>
  <c r="C34" i="5"/>
  <c r="D34" i="5"/>
  <c r="E34" i="5"/>
  <c r="F34" i="5"/>
  <c r="G34" i="5"/>
  <c r="H34" i="5"/>
  <c r="I34" i="5"/>
  <c r="J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Z35" i="5"/>
  <c r="AA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B37" i="5"/>
  <c r="C37" i="5"/>
  <c r="D37" i="5"/>
  <c r="E37" i="5"/>
  <c r="F37" i="5"/>
  <c r="G37" i="5"/>
  <c r="H37" i="5"/>
  <c r="I37" i="5"/>
  <c r="J37" i="5"/>
  <c r="L37" i="5"/>
  <c r="M37" i="5"/>
  <c r="N37" i="5"/>
  <c r="O37" i="5"/>
  <c r="P37" i="5"/>
  <c r="Q37" i="5"/>
  <c r="R37" i="5"/>
  <c r="S37" i="5"/>
  <c r="T37" i="5"/>
  <c r="U37" i="5"/>
  <c r="V37" i="5"/>
  <c r="W37" i="5"/>
  <c r="Z37" i="5"/>
  <c r="AA37" i="5"/>
  <c r="AC37" i="5"/>
  <c r="B38" i="5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Z38" i="5"/>
  <c r="AA38" i="5"/>
  <c r="AC38" i="5"/>
  <c r="B39" i="5"/>
  <c r="C39" i="5"/>
  <c r="D39" i="5"/>
  <c r="E39" i="5"/>
  <c r="F39" i="5"/>
  <c r="G39" i="5"/>
  <c r="H39" i="5"/>
  <c r="I39" i="5"/>
  <c r="J39" i="5"/>
  <c r="L39" i="5"/>
  <c r="M39" i="5"/>
  <c r="N39" i="5"/>
  <c r="O39" i="5"/>
  <c r="P39" i="5"/>
  <c r="Q39" i="5"/>
  <c r="R39" i="5"/>
  <c r="S39" i="5"/>
  <c r="T39" i="5"/>
  <c r="U39" i="5"/>
  <c r="V39" i="5"/>
  <c r="W39" i="5"/>
  <c r="Z39" i="5"/>
  <c r="AA39" i="5"/>
  <c r="AB39" i="5"/>
  <c r="B40" i="5"/>
  <c r="C40" i="5"/>
  <c r="D40" i="5"/>
  <c r="E40" i="5"/>
  <c r="AB40" i="5" s="1"/>
  <c r="F40" i="5"/>
  <c r="G40" i="5"/>
  <c r="H40" i="5"/>
  <c r="I40" i="5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Z40" i="5"/>
  <c r="AA40" i="5"/>
  <c r="B41" i="5"/>
  <c r="C41" i="5"/>
  <c r="D41" i="5"/>
  <c r="E41" i="5"/>
  <c r="F41" i="5"/>
  <c r="G41" i="5"/>
  <c r="H41" i="5"/>
  <c r="I41" i="5"/>
  <c r="J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B42" i="5"/>
  <c r="C42" i="5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D43" i="5"/>
  <c r="E43" i="5"/>
  <c r="F43" i="5"/>
  <c r="G43" i="5"/>
  <c r="H43" i="5"/>
  <c r="I43" i="5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B44" i="5"/>
  <c r="C44" i="5"/>
  <c r="D44" i="5"/>
  <c r="E44" i="5"/>
  <c r="F44" i="5"/>
  <c r="G44" i="5"/>
  <c r="H44" i="5"/>
  <c r="I44" i="5"/>
  <c r="J44" i="5"/>
  <c r="L44" i="5"/>
  <c r="M44" i="5"/>
  <c r="AC44" i="5" s="1"/>
  <c r="N44" i="5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E45" i="5"/>
  <c r="F45" i="5"/>
  <c r="G45" i="5"/>
  <c r="H45" i="5"/>
  <c r="I45" i="5"/>
  <c r="J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B46" i="5"/>
  <c r="C46" i="5"/>
  <c r="D46" i="5"/>
  <c r="E46" i="5"/>
  <c r="F46" i="5"/>
  <c r="G46" i="5"/>
  <c r="H46" i="5"/>
  <c r="I46" i="5"/>
  <c r="J46" i="5"/>
  <c r="L46" i="5"/>
  <c r="M46" i="5"/>
  <c r="N46" i="5"/>
  <c r="O46" i="5"/>
  <c r="P46" i="5"/>
  <c r="AC46" i="5" s="1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B48" i="5"/>
  <c r="C48" i="5"/>
  <c r="D48" i="5"/>
  <c r="E48" i="5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Z48" i="5"/>
  <c r="AA48" i="5"/>
  <c r="B49" i="5"/>
  <c r="C49" i="5"/>
  <c r="D49" i="5"/>
  <c r="E49" i="5"/>
  <c r="F49" i="5"/>
  <c r="G49" i="5"/>
  <c r="H49" i="5"/>
  <c r="I49" i="5"/>
  <c r="J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B50" i="5"/>
  <c r="C50" i="5"/>
  <c r="D50" i="5"/>
  <c r="E50" i="5"/>
  <c r="F50" i="5"/>
  <c r="G50" i="5"/>
  <c r="H50" i="5"/>
  <c r="I50" i="5"/>
  <c r="J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AB50" i="5"/>
  <c r="B51" i="5"/>
  <c r="C51" i="5"/>
  <c r="D51" i="5"/>
  <c r="E51" i="5"/>
  <c r="AB51" i="5" s="1"/>
  <c r="F51" i="5"/>
  <c r="G51" i="5"/>
  <c r="H51" i="5"/>
  <c r="I51" i="5"/>
  <c r="J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B52" i="5"/>
  <c r="AB52" i="5" s="1"/>
  <c r="C52" i="5"/>
  <c r="D52" i="5"/>
  <c r="E52" i="5"/>
  <c r="F52" i="5"/>
  <c r="G52" i="5"/>
  <c r="H52" i="5"/>
  <c r="I52" i="5"/>
  <c r="J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B53" i="5"/>
  <c r="C53" i="5"/>
  <c r="D53" i="5"/>
  <c r="E53" i="5"/>
  <c r="F53" i="5"/>
  <c r="G53" i="5"/>
  <c r="H53" i="5"/>
  <c r="I53" i="5"/>
  <c r="J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AB53" i="5"/>
  <c r="B54" i="5"/>
  <c r="C54" i="5"/>
  <c r="D54" i="5"/>
  <c r="E54" i="5"/>
  <c r="F54" i="5"/>
  <c r="G54" i="5"/>
  <c r="H54" i="5"/>
  <c r="I54" i="5"/>
  <c r="J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B55" i="5"/>
  <c r="C55" i="5"/>
  <c r="D55" i="5"/>
  <c r="E55" i="5"/>
  <c r="F55" i="5"/>
  <c r="G55" i="5"/>
  <c r="H55" i="5"/>
  <c r="I55" i="5"/>
  <c r="J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B56" i="5"/>
  <c r="C56" i="5"/>
  <c r="D56" i="5"/>
  <c r="E56" i="5"/>
  <c r="F56" i="5"/>
  <c r="G56" i="5"/>
  <c r="H56" i="5"/>
  <c r="I56" i="5"/>
  <c r="J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B58" i="5"/>
  <c r="C58" i="5"/>
  <c r="D58" i="5"/>
  <c r="E58" i="5"/>
  <c r="F58" i="5"/>
  <c r="G58" i="5"/>
  <c r="H58" i="5"/>
  <c r="I58" i="5"/>
  <c r="J58" i="5"/>
  <c r="L58" i="5"/>
  <c r="M58" i="5"/>
  <c r="N58" i="5"/>
  <c r="AC58" i="5" s="1"/>
  <c r="O58" i="5"/>
  <c r="P58" i="5"/>
  <c r="Q58" i="5"/>
  <c r="R58" i="5"/>
  <c r="S58" i="5"/>
  <c r="T58" i="5"/>
  <c r="U58" i="5"/>
  <c r="V58" i="5"/>
  <c r="W58" i="5"/>
  <c r="X58" i="5"/>
  <c r="B59" i="5"/>
  <c r="C59" i="5"/>
  <c r="D59" i="5"/>
  <c r="E59" i="5"/>
  <c r="F59" i="5"/>
  <c r="G59" i="5"/>
  <c r="H59" i="5"/>
  <c r="I59" i="5"/>
  <c r="J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B60" i="5"/>
  <c r="C60" i="5"/>
  <c r="D60" i="5"/>
  <c r="E60" i="5"/>
  <c r="AB60" i="5" s="1"/>
  <c r="F60" i="5"/>
  <c r="G60" i="5"/>
  <c r="H60" i="5"/>
  <c r="I60" i="5"/>
  <c r="J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AC64" i="5"/>
  <c r="B65" i="5"/>
  <c r="C65" i="5"/>
  <c r="D65" i="5"/>
  <c r="E65" i="5"/>
  <c r="F65" i="5"/>
  <c r="G65" i="5"/>
  <c r="H65" i="5"/>
  <c r="I65" i="5"/>
  <c r="J65" i="5"/>
  <c r="K65" i="5"/>
  <c r="L65" i="5"/>
  <c r="M65" i="5"/>
  <c r="AC65" i="5" s="1"/>
  <c r="N65" i="5"/>
  <c r="O65" i="5"/>
  <c r="P65" i="5"/>
  <c r="Q65" i="5"/>
  <c r="R65" i="5"/>
  <c r="S65" i="5"/>
  <c r="T65" i="5"/>
  <c r="U65" i="5"/>
  <c r="V65" i="5"/>
  <c r="W65" i="5"/>
  <c r="X65" i="5"/>
  <c r="AB65" i="5"/>
  <c r="B66" i="5"/>
  <c r="C66" i="5"/>
  <c r="D66" i="5"/>
  <c r="E66" i="5"/>
  <c r="F66" i="5"/>
  <c r="G66" i="5"/>
  <c r="H66" i="5"/>
  <c r="AB66" i="5" s="1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AC72" i="5" s="1"/>
  <c r="O72" i="5"/>
  <c r="P72" i="5"/>
  <c r="Q72" i="5"/>
  <c r="R72" i="5"/>
  <c r="S72" i="5"/>
  <c r="T72" i="5"/>
  <c r="U72" i="5"/>
  <c r="V72" i="5"/>
  <c r="W72" i="5"/>
  <c r="X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AC73" i="5" s="1"/>
  <c r="O73" i="5"/>
  <c r="P73" i="5"/>
  <c r="Q73" i="5"/>
  <c r="R73" i="5"/>
  <c r="S73" i="5"/>
  <c r="T73" i="5"/>
  <c r="U73" i="5"/>
  <c r="V73" i="5"/>
  <c r="W73" i="5"/>
  <c r="X73" i="5"/>
  <c r="B74" i="5"/>
  <c r="AB74" i="5" s="1"/>
  <c r="C74" i="5"/>
  <c r="D74" i="5"/>
  <c r="E74" i="5"/>
  <c r="F74" i="5"/>
  <c r="G74" i="5"/>
  <c r="H74" i="5"/>
  <c r="I74" i="5"/>
  <c r="J74" i="5"/>
  <c r="K74" i="5"/>
  <c r="L74" i="5"/>
  <c r="M74" i="5"/>
  <c r="N74" i="5"/>
  <c r="AC74" i="5" s="1"/>
  <c r="O74" i="5"/>
  <c r="P74" i="5"/>
  <c r="Q74" i="5"/>
  <c r="R74" i="5"/>
  <c r="S74" i="5"/>
  <c r="T74" i="5"/>
  <c r="U74" i="5"/>
  <c r="V74" i="5"/>
  <c r="W74" i="5"/>
  <c r="X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AC80" i="5" s="1"/>
  <c r="P80" i="5"/>
  <c r="Q80" i="5"/>
  <c r="R80" i="5"/>
  <c r="S80" i="5"/>
  <c r="T80" i="5"/>
  <c r="U80" i="5"/>
  <c r="V80" i="5"/>
  <c r="W80" i="5"/>
  <c r="X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AC81" i="5" s="1"/>
  <c r="P81" i="5"/>
  <c r="Q81" i="5"/>
  <c r="R81" i="5"/>
  <c r="S81" i="5"/>
  <c r="T81" i="5"/>
  <c r="U81" i="5"/>
  <c r="V81" i="5"/>
  <c r="W81" i="5"/>
  <c r="X81" i="5"/>
  <c r="AB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AC83" i="5" s="1"/>
  <c r="P83" i="5"/>
  <c r="Q83" i="5"/>
  <c r="R83" i="5"/>
  <c r="S83" i="5"/>
  <c r="T83" i="5"/>
  <c r="U83" i="5"/>
  <c r="V83" i="5"/>
  <c r="W83" i="5"/>
  <c r="X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AC88" i="5" s="1"/>
  <c r="Q88" i="5"/>
  <c r="R88" i="5"/>
  <c r="S88" i="5"/>
  <c r="T88" i="5"/>
  <c r="U88" i="5"/>
  <c r="V88" i="5"/>
  <c r="W88" i="5"/>
  <c r="X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AC89" i="5" s="1"/>
  <c r="Q89" i="5"/>
  <c r="R89" i="5"/>
  <c r="S89" i="5"/>
  <c r="T89" i="5"/>
  <c r="U89" i="5"/>
  <c r="V89" i="5"/>
  <c r="W89" i="5"/>
  <c r="X89" i="5"/>
  <c r="B90" i="5"/>
  <c r="C90" i="5"/>
  <c r="D90" i="5"/>
  <c r="E90" i="5"/>
  <c r="F90" i="5"/>
  <c r="G90" i="5"/>
  <c r="H90" i="5"/>
  <c r="AB90" i="5" s="1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AC91" i="5" s="1"/>
  <c r="Q91" i="5"/>
  <c r="R91" i="5"/>
  <c r="S91" i="5"/>
  <c r="T91" i="5"/>
  <c r="U91" i="5"/>
  <c r="V91" i="5"/>
  <c r="W91" i="5"/>
  <c r="X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AB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AC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AB97" i="5"/>
  <c r="AC97" i="5"/>
  <c r="B98" i="5"/>
  <c r="C98" i="5"/>
  <c r="D98" i="5"/>
  <c r="E98" i="5"/>
  <c r="F98" i="5"/>
  <c r="G98" i="5"/>
  <c r="H98" i="5"/>
  <c r="AB98" i="5" s="1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AC103" i="5" s="1"/>
  <c r="O103" i="5"/>
  <c r="P103" i="5"/>
  <c r="Q103" i="5"/>
  <c r="R103" i="5"/>
  <c r="S103" i="5"/>
  <c r="T103" i="5"/>
  <c r="U103" i="5"/>
  <c r="V103" i="5"/>
  <c r="W103" i="5"/>
  <c r="X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AC104" i="5" s="1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AC105" i="5" s="1"/>
  <c r="O105" i="5"/>
  <c r="P105" i="5"/>
  <c r="Q105" i="5"/>
  <c r="R105" i="5"/>
  <c r="S105" i="5"/>
  <c r="T105" i="5"/>
  <c r="U105" i="5"/>
  <c r="V105" i="5"/>
  <c r="W105" i="5"/>
  <c r="X105" i="5"/>
  <c r="B106" i="5"/>
  <c r="C106" i="5"/>
  <c r="AB106" i="5" s="1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AC107" i="5" s="1"/>
  <c r="P107" i="5"/>
  <c r="Q107" i="5"/>
  <c r="R107" i="5"/>
  <c r="S107" i="5"/>
  <c r="T107" i="5"/>
  <c r="U107" i="5"/>
  <c r="V107" i="5"/>
  <c r="W107" i="5"/>
  <c r="X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AC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AC113" i="5" s="1"/>
  <c r="N113" i="5"/>
  <c r="O113" i="5"/>
  <c r="P113" i="5"/>
  <c r="Q113" i="5"/>
  <c r="R113" i="5"/>
  <c r="S113" i="5"/>
  <c r="T113" i="5"/>
  <c r="U113" i="5"/>
  <c r="V113" i="5"/>
  <c r="W113" i="5"/>
  <c r="X113" i="5"/>
  <c r="AB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AC116" i="5" s="1"/>
  <c r="O116" i="5"/>
  <c r="P116" i="5"/>
  <c r="Q116" i="5"/>
  <c r="R116" i="5"/>
  <c r="S116" i="5"/>
  <c r="T116" i="5"/>
  <c r="U116" i="5"/>
  <c r="V116" i="5"/>
  <c r="W116" i="5"/>
  <c r="X116" i="5"/>
  <c r="AB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AC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AC121" i="5" s="1"/>
  <c r="N121" i="5"/>
  <c r="O121" i="5"/>
  <c r="P121" i="5"/>
  <c r="Q121" i="5"/>
  <c r="R121" i="5"/>
  <c r="S121" i="5"/>
  <c r="T121" i="5"/>
  <c r="U121" i="5"/>
  <c r="V121" i="5"/>
  <c r="W121" i="5"/>
  <c r="X121" i="5"/>
  <c r="AB121" i="5"/>
  <c r="B122" i="5"/>
  <c r="C122" i="5"/>
  <c r="D122" i="5"/>
  <c r="E122" i="5"/>
  <c r="F122" i="5"/>
  <c r="G122" i="5"/>
  <c r="H122" i="5"/>
  <c r="AB122" i="5" s="1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B124" i="5"/>
  <c r="AB124" i="5" s="1"/>
  <c r="C124" i="5"/>
  <c r="D124" i="5"/>
  <c r="E124" i="5"/>
  <c r="F124" i="5"/>
  <c r="G124" i="5"/>
  <c r="H124" i="5"/>
  <c r="I124" i="5"/>
  <c r="J124" i="5"/>
  <c r="K124" i="5"/>
  <c r="L124" i="5"/>
  <c r="M124" i="5"/>
  <c r="N124" i="5"/>
  <c r="AC124" i="5" s="1"/>
  <c r="O124" i="5"/>
  <c r="P124" i="5"/>
  <c r="Q124" i="5"/>
  <c r="R124" i="5"/>
  <c r="S124" i="5"/>
  <c r="T124" i="5"/>
  <c r="U124" i="5"/>
  <c r="V124" i="5"/>
  <c r="W124" i="5"/>
  <c r="X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AC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AC129" i="5" s="1"/>
  <c r="N129" i="5"/>
  <c r="O129" i="5"/>
  <c r="P129" i="5"/>
  <c r="Q129" i="5"/>
  <c r="R129" i="5"/>
  <c r="S129" i="5"/>
  <c r="T129" i="5"/>
  <c r="U129" i="5"/>
  <c r="V129" i="5"/>
  <c r="W129" i="5"/>
  <c r="X129" i="5"/>
  <c r="AB129" i="5"/>
  <c r="B130" i="5"/>
  <c r="C130" i="5"/>
  <c r="D130" i="5"/>
  <c r="E130" i="5"/>
  <c r="F130" i="5"/>
  <c r="G130" i="5"/>
  <c r="H130" i="5"/>
  <c r="AB130" i="5" s="1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AC136" i="5" s="1"/>
  <c r="O136" i="5"/>
  <c r="P136" i="5"/>
  <c r="Q136" i="5"/>
  <c r="R136" i="5"/>
  <c r="S136" i="5"/>
  <c r="T136" i="5"/>
  <c r="U136" i="5"/>
  <c r="V136" i="5"/>
  <c r="W136" i="5"/>
  <c r="X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AC137" i="5" s="1"/>
  <c r="O137" i="5"/>
  <c r="P137" i="5"/>
  <c r="Q137" i="5"/>
  <c r="R137" i="5"/>
  <c r="S137" i="5"/>
  <c r="T137" i="5"/>
  <c r="U137" i="5"/>
  <c r="V137" i="5"/>
  <c r="W137" i="5"/>
  <c r="X137" i="5"/>
  <c r="B138" i="5"/>
  <c r="AB138" i="5" s="1"/>
  <c r="C138" i="5"/>
  <c r="D138" i="5"/>
  <c r="E138" i="5"/>
  <c r="F138" i="5"/>
  <c r="G138" i="5"/>
  <c r="H138" i="5"/>
  <c r="I138" i="5"/>
  <c r="J138" i="5"/>
  <c r="K138" i="5"/>
  <c r="L138" i="5"/>
  <c r="M138" i="5"/>
  <c r="N138" i="5"/>
  <c r="AC138" i="5" s="1"/>
  <c r="O138" i="5"/>
  <c r="P138" i="5"/>
  <c r="Q138" i="5"/>
  <c r="R138" i="5"/>
  <c r="S138" i="5"/>
  <c r="T138" i="5"/>
  <c r="U138" i="5"/>
  <c r="V138" i="5"/>
  <c r="W138" i="5"/>
  <c r="X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AC142" i="5" s="1"/>
  <c r="N142" i="5"/>
  <c r="O142" i="5"/>
  <c r="P142" i="5"/>
  <c r="Q142" i="5"/>
  <c r="R142" i="5"/>
  <c r="S142" i="5"/>
  <c r="T142" i="5"/>
  <c r="U142" i="5"/>
  <c r="V142" i="5"/>
  <c r="W142" i="5"/>
  <c r="X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AC144" i="5" s="1"/>
  <c r="O144" i="5"/>
  <c r="P144" i="5"/>
  <c r="Q144" i="5"/>
  <c r="R144" i="5"/>
  <c r="S144" i="5"/>
  <c r="T144" i="5"/>
  <c r="U144" i="5"/>
  <c r="V144" i="5"/>
  <c r="W144" i="5"/>
  <c r="X144" i="5"/>
  <c r="B145" i="5"/>
  <c r="C145" i="5"/>
  <c r="AB145" i="5" s="1"/>
  <c r="D145" i="5"/>
  <c r="E145" i="5"/>
  <c r="F145" i="5"/>
  <c r="G145" i="5"/>
  <c r="H145" i="5"/>
  <c r="I145" i="5"/>
  <c r="J145" i="5"/>
  <c r="K145" i="5"/>
  <c r="L145" i="5"/>
  <c r="M145" i="5"/>
  <c r="N145" i="5"/>
  <c r="O145" i="5"/>
  <c r="AC145" i="5" s="1"/>
  <c r="P145" i="5"/>
  <c r="Q145" i="5"/>
  <c r="R145" i="5"/>
  <c r="S145" i="5"/>
  <c r="T145" i="5"/>
  <c r="U145" i="5"/>
  <c r="V145" i="5"/>
  <c r="W145" i="5"/>
  <c r="X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AC146" i="5" s="1"/>
  <c r="O146" i="5"/>
  <c r="P146" i="5"/>
  <c r="Q146" i="5"/>
  <c r="R146" i="5"/>
  <c r="S146" i="5"/>
  <c r="T146" i="5"/>
  <c r="U146" i="5"/>
  <c r="V146" i="5"/>
  <c r="W146" i="5"/>
  <c r="X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AC152" i="5" s="1"/>
  <c r="P152" i="5"/>
  <c r="Q152" i="5"/>
  <c r="R152" i="5"/>
  <c r="S152" i="5"/>
  <c r="T152" i="5"/>
  <c r="U152" i="5"/>
  <c r="V152" i="5"/>
  <c r="W152" i="5"/>
  <c r="X152" i="5"/>
  <c r="B153" i="5"/>
  <c r="C153" i="5"/>
  <c r="D153" i="5"/>
  <c r="AB153" i="5" s="1"/>
  <c r="E153" i="5"/>
  <c r="F153" i="5"/>
  <c r="G153" i="5"/>
  <c r="H153" i="5"/>
  <c r="I153" i="5"/>
  <c r="J153" i="5"/>
  <c r="K153" i="5"/>
  <c r="L153" i="5"/>
  <c r="M153" i="5"/>
  <c r="N153" i="5"/>
  <c r="O153" i="5"/>
  <c r="P153" i="5"/>
  <c r="AC153" i="5" s="1"/>
  <c r="Q153" i="5"/>
  <c r="R153" i="5"/>
  <c r="S153" i="5"/>
  <c r="T153" i="5"/>
  <c r="U153" i="5"/>
  <c r="V153" i="5"/>
  <c r="W153" i="5"/>
  <c r="X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AC155" i="5" s="1"/>
  <c r="Q155" i="5"/>
  <c r="R155" i="5"/>
  <c r="S155" i="5"/>
  <c r="T155" i="5"/>
  <c r="U155" i="5"/>
  <c r="V155" i="5"/>
  <c r="W155" i="5"/>
  <c r="X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AB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AC160" i="5" s="1"/>
  <c r="Q160" i="5"/>
  <c r="R160" i="5"/>
  <c r="S160" i="5"/>
  <c r="T160" i="5"/>
  <c r="U160" i="5"/>
  <c r="V160" i="5"/>
  <c r="W160" i="5"/>
  <c r="X160" i="5"/>
  <c r="B161" i="5"/>
  <c r="C161" i="5"/>
  <c r="D161" i="5"/>
  <c r="AB161" i="5" s="1"/>
  <c r="E161" i="5"/>
  <c r="F161" i="5"/>
  <c r="G161" i="5"/>
  <c r="H161" i="5"/>
  <c r="I161" i="5"/>
  <c r="J161" i="5"/>
  <c r="K161" i="5"/>
  <c r="L161" i="5"/>
  <c r="M161" i="5"/>
  <c r="N161" i="5"/>
  <c r="O161" i="5"/>
  <c r="P161" i="5"/>
  <c r="AC161" i="5" s="1"/>
  <c r="Q161" i="5"/>
  <c r="R161" i="5"/>
  <c r="S161" i="5"/>
  <c r="T161" i="5"/>
  <c r="U161" i="5"/>
  <c r="V161" i="5"/>
  <c r="W161" i="5"/>
  <c r="X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AC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AC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AB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AC176" i="5" s="1"/>
  <c r="O176" i="5"/>
  <c r="P176" i="5"/>
  <c r="Q176" i="5"/>
  <c r="R176" i="5"/>
  <c r="S176" i="5"/>
  <c r="T176" i="5"/>
  <c r="U176" i="5"/>
  <c r="V176" i="5"/>
  <c r="W176" i="5"/>
  <c r="X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AC177" i="5" s="1"/>
  <c r="O177" i="5"/>
  <c r="P177" i="5"/>
  <c r="Q177" i="5"/>
  <c r="R177" i="5"/>
  <c r="S177" i="5"/>
  <c r="T177" i="5"/>
  <c r="U177" i="5"/>
  <c r="V177" i="5"/>
  <c r="W177" i="5"/>
  <c r="X177" i="5"/>
  <c r="B178" i="5"/>
  <c r="AB178" i="5" s="1"/>
  <c r="C178" i="5"/>
  <c r="D178" i="5"/>
  <c r="E178" i="5"/>
  <c r="F178" i="5"/>
  <c r="G178" i="5"/>
  <c r="H178" i="5"/>
  <c r="I178" i="5"/>
  <c r="J178" i="5"/>
  <c r="K178" i="5"/>
  <c r="L178" i="5"/>
  <c r="M178" i="5"/>
  <c r="N178" i="5"/>
  <c r="AC178" i="5" s="1"/>
  <c r="O178" i="5"/>
  <c r="P178" i="5"/>
  <c r="Q178" i="5"/>
  <c r="R178" i="5"/>
  <c r="S178" i="5"/>
  <c r="T178" i="5"/>
  <c r="U178" i="5"/>
  <c r="V178" i="5"/>
  <c r="W178" i="5"/>
  <c r="X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AC183" i="5" s="1"/>
  <c r="O183" i="5"/>
  <c r="P183" i="5"/>
  <c r="Q183" i="5"/>
  <c r="R183" i="5"/>
  <c r="S183" i="5"/>
  <c r="T183" i="5"/>
  <c r="U183" i="5"/>
  <c r="V183" i="5"/>
  <c r="W183" i="5"/>
  <c r="X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AC184" i="5" s="1"/>
  <c r="P184" i="5"/>
  <c r="Q184" i="5"/>
  <c r="R184" i="5"/>
  <c r="S184" i="5"/>
  <c r="T184" i="5"/>
  <c r="U184" i="5"/>
  <c r="V184" i="5"/>
  <c r="W184" i="5"/>
  <c r="X184" i="5"/>
  <c r="B185" i="5"/>
  <c r="C185" i="5"/>
  <c r="AB185" i="5" s="1"/>
  <c r="D185" i="5"/>
  <c r="E185" i="5"/>
  <c r="F185" i="5"/>
  <c r="G185" i="5"/>
  <c r="H185" i="5"/>
  <c r="I185" i="5"/>
  <c r="J185" i="5"/>
  <c r="K185" i="5"/>
  <c r="L185" i="5"/>
  <c r="M185" i="5"/>
  <c r="N185" i="5"/>
  <c r="O185" i="5"/>
  <c r="AC185" i="5" s="1"/>
  <c r="P185" i="5"/>
  <c r="Q185" i="5"/>
  <c r="R185" i="5"/>
  <c r="S185" i="5"/>
  <c r="T185" i="5"/>
  <c r="U185" i="5"/>
  <c r="V185" i="5"/>
  <c r="W185" i="5"/>
  <c r="X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AB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AC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AB193" i="5"/>
  <c r="AC193" i="5"/>
  <c r="B194" i="5"/>
  <c r="C194" i="5"/>
  <c r="D194" i="5"/>
  <c r="E194" i="5"/>
  <c r="F194" i="5"/>
  <c r="G194" i="5"/>
  <c r="H194" i="5"/>
  <c r="AB194" i="5" s="1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AC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AC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AB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AC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AB209" i="5"/>
  <c r="AC209" i="5"/>
  <c r="B210" i="5"/>
  <c r="C210" i="5"/>
  <c r="D210" i="5"/>
  <c r="E210" i="5"/>
  <c r="F210" i="5"/>
  <c r="G210" i="5"/>
  <c r="H210" i="5"/>
  <c r="AB210" i="5" s="1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AC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AC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AB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AC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AB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AC224" i="5" s="1"/>
  <c r="Q224" i="5"/>
  <c r="R224" i="5"/>
  <c r="S224" i="5"/>
  <c r="T224" i="5"/>
  <c r="U224" i="5"/>
  <c r="V224" i="5"/>
  <c r="W224" i="5"/>
  <c r="X224" i="5"/>
  <c r="B225" i="5"/>
  <c r="C225" i="5"/>
  <c r="D225" i="5"/>
  <c r="AB225" i="5" s="1"/>
  <c r="E225" i="5"/>
  <c r="F225" i="5"/>
  <c r="G225" i="5"/>
  <c r="H225" i="5"/>
  <c r="I225" i="5"/>
  <c r="J225" i="5"/>
  <c r="K225" i="5"/>
  <c r="L225" i="5"/>
  <c r="M225" i="5"/>
  <c r="N225" i="5"/>
  <c r="O225" i="5"/>
  <c r="AC225" i="5" s="1"/>
  <c r="P225" i="5"/>
  <c r="Q225" i="5"/>
  <c r="R225" i="5"/>
  <c r="S225" i="5"/>
  <c r="T225" i="5"/>
  <c r="U225" i="5"/>
  <c r="V225" i="5"/>
  <c r="W225" i="5"/>
  <c r="X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AC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AC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AB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AC240" i="5" s="1"/>
  <c r="O240" i="5"/>
  <c r="P240" i="5"/>
  <c r="Q240" i="5"/>
  <c r="R240" i="5"/>
  <c r="S240" i="5"/>
  <c r="T240" i="5"/>
  <c r="U240" i="5"/>
  <c r="V240" i="5"/>
  <c r="W240" i="5"/>
  <c r="X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AC241" i="5" s="1"/>
  <c r="O241" i="5"/>
  <c r="P241" i="5"/>
  <c r="Q241" i="5"/>
  <c r="R241" i="5"/>
  <c r="S241" i="5"/>
  <c r="T241" i="5"/>
  <c r="U241" i="5"/>
  <c r="V241" i="5"/>
  <c r="W241" i="5"/>
  <c r="X241" i="5"/>
  <c r="B242" i="5"/>
  <c r="AB242" i="5" s="1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AC243" i="5" s="1"/>
  <c r="O243" i="5"/>
  <c r="P243" i="5"/>
  <c r="Q243" i="5"/>
  <c r="R243" i="5"/>
  <c r="S243" i="5"/>
  <c r="T243" i="5"/>
  <c r="U243" i="5"/>
  <c r="V243" i="5"/>
  <c r="W243" i="5"/>
  <c r="X243" i="5"/>
  <c r="B244" i="5"/>
  <c r="AB244" i="5" s="1"/>
  <c r="C244" i="5"/>
  <c r="D244" i="5"/>
  <c r="E244" i="5"/>
  <c r="F244" i="5"/>
  <c r="G244" i="5"/>
  <c r="H244" i="5"/>
  <c r="I244" i="5"/>
  <c r="J244" i="5"/>
  <c r="K244" i="5"/>
  <c r="L244" i="5"/>
  <c r="M244" i="5"/>
  <c r="N244" i="5"/>
  <c r="AC244" i="5" s="1"/>
  <c r="O244" i="5"/>
  <c r="P244" i="5"/>
  <c r="Q244" i="5"/>
  <c r="R244" i="5"/>
  <c r="S244" i="5"/>
  <c r="T244" i="5"/>
  <c r="U244" i="5"/>
  <c r="V244" i="5"/>
  <c r="W244" i="5"/>
  <c r="X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AC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AC249" i="5" s="1"/>
  <c r="N249" i="5"/>
  <c r="O249" i="5"/>
  <c r="P249" i="5"/>
  <c r="Q249" i="5"/>
  <c r="R249" i="5"/>
  <c r="S249" i="5"/>
  <c r="T249" i="5"/>
  <c r="U249" i="5"/>
  <c r="V249" i="5"/>
  <c r="W249" i="5"/>
  <c r="X249" i="5"/>
  <c r="AB249" i="5"/>
  <c r="B250" i="5"/>
  <c r="C250" i="5"/>
  <c r="D250" i="5"/>
  <c r="E250" i="5"/>
  <c r="F250" i="5"/>
  <c r="G250" i="5"/>
  <c r="H250" i="5"/>
  <c r="AB250" i="5" s="1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B252" i="5"/>
  <c r="AB252" i="5" s="1"/>
  <c r="C252" i="5"/>
  <c r="D252" i="5"/>
  <c r="E252" i="5"/>
  <c r="F252" i="5"/>
  <c r="G252" i="5"/>
  <c r="H252" i="5"/>
  <c r="I252" i="5"/>
  <c r="J252" i="5"/>
  <c r="K252" i="5"/>
  <c r="L252" i="5"/>
  <c r="M252" i="5"/>
  <c r="N252" i="5"/>
  <c r="AC252" i="5" s="1"/>
  <c r="O252" i="5"/>
  <c r="P252" i="5"/>
  <c r="Q252" i="5"/>
  <c r="R252" i="5"/>
  <c r="S252" i="5"/>
  <c r="T252" i="5"/>
  <c r="U252" i="5"/>
  <c r="V252" i="5"/>
  <c r="W252" i="5"/>
  <c r="X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AC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AC257" i="5" s="1"/>
  <c r="N257" i="5"/>
  <c r="O257" i="5"/>
  <c r="P257" i="5"/>
  <c r="Q257" i="5"/>
  <c r="R257" i="5"/>
  <c r="S257" i="5"/>
  <c r="T257" i="5"/>
  <c r="U257" i="5"/>
  <c r="V257" i="5"/>
  <c r="W257" i="5"/>
  <c r="X257" i="5"/>
  <c r="AB257" i="5"/>
  <c r="B258" i="5"/>
  <c r="C258" i="5"/>
  <c r="D258" i="5"/>
  <c r="E258" i="5"/>
  <c r="F258" i="5"/>
  <c r="G258" i="5"/>
  <c r="H258" i="5"/>
  <c r="AB258" i="5" s="1"/>
  <c r="I258" i="5"/>
  <c r="J258" i="5"/>
  <c r="K258" i="5"/>
  <c r="L258" i="5"/>
  <c r="M258" i="5"/>
  <c r="N258" i="5"/>
  <c r="O258" i="5"/>
  <c r="P258" i="5"/>
  <c r="AC258" i="5" s="1"/>
  <c r="Q258" i="5"/>
  <c r="R258" i="5"/>
  <c r="S258" i="5"/>
  <c r="T258" i="5"/>
  <c r="U258" i="5"/>
  <c r="V258" i="5"/>
  <c r="W258" i="5"/>
  <c r="X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AC264" i="5" s="1"/>
  <c r="O264" i="5"/>
  <c r="P264" i="5"/>
  <c r="Q264" i="5"/>
  <c r="R264" i="5"/>
  <c r="S264" i="5"/>
  <c r="T264" i="5"/>
  <c r="U264" i="5"/>
  <c r="V264" i="5"/>
  <c r="W264" i="5"/>
  <c r="X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AC265" i="5" s="1"/>
  <c r="O265" i="5"/>
  <c r="P265" i="5"/>
  <c r="Q265" i="5"/>
  <c r="R265" i="5"/>
  <c r="S265" i="5"/>
  <c r="T265" i="5"/>
  <c r="U265" i="5"/>
  <c r="V265" i="5"/>
  <c r="W265" i="5"/>
  <c r="X265" i="5"/>
  <c r="B266" i="5"/>
  <c r="AB266" i="5" s="1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AC271" i="5" s="1"/>
  <c r="O271" i="5"/>
  <c r="P271" i="5"/>
  <c r="Q271" i="5"/>
  <c r="R271" i="5"/>
  <c r="S271" i="5"/>
  <c r="T271" i="5"/>
  <c r="U271" i="5"/>
  <c r="V271" i="5"/>
  <c r="W271" i="5"/>
  <c r="X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AC272" i="5" s="1"/>
  <c r="P272" i="5"/>
  <c r="Q272" i="5"/>
  <c r="R272" i="5"/>
  <c r="S272" i="5"/>
  <c r="T272" i="5"/>
  <c r="U272" i="5"/>
  <c r="V272" i="5"/>
  <c r="W272" i="5"/>
  <c r="X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AC273" i="5" s="1"/>
  <c r="P273" i="5"/>
  <c r="Q273" i="5"/>
  <c r="R273" i="5"/>
  <c r="S273" i="5"/>
  <c r="T273" i="5"/>
  <c r="U273" i="5"/>
  <c r="V273" i="5"/>
  <c r="W273" i="5"/>
  <c r="X273" i="5"/>
  <c r="B274" i="5"/>
  <c r="C274" i="5"/>
  <c r="AB274" i="5" s="1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AC275" i="5" s="1"/>
  <c r="P275" i="5"/>
  <c r="Q275" i="5"/>
  <c r="R275" i="5"/>
  <c r="S275" i="5"/>
  <c r="T275" i="5"/>
  <c r="U275" i="5"/>
  <c r="V275" i="5"/>
  <c r="W275" i="5"/>
  <c r="X275" i="5"/>
  <c r="B276" i="5"/>
  <c r="C276" i="5"/>
  <c r="AB276" i="5" s="1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AC280" i="5" s="1"/>
  <c r="O280" i="5"/>
  <c r="P280" i="5"/>
  <c r="Q280" i="5"/>
  <c r="R280" i="5"/>
  <c r="S280" i="5"/>
  <c r="T280" i="5"/>
  <c r="U280" i="5"/>
  <c r="V280" i="5"/>
  <c r="W280" i="5"/>
  <c r="X280" i="5"/>
  <c r="B281" i="5"/>
  <c r="AB281" i="5" s="1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AC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B284" i="5"/>
  <c r="C284" i="5"/>
  <c r="AB284" i="5" s="1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AC288" i="5" s="1"/>
  <c r="O288" i="5"/>
  <c r="P288" i="5"/>
  <c r="Q288" i="5"/>
  <c r="R288" i="5"/>
  <c r="S288" i="5"/>
  <c r="T288" i="5"/>
  <c r="U288" i="5"/>
  <c r="V288" i="5"/>
  <c r="W288" i="5"/>
  <c r="X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AB289" i="5"/>
  <c r="AC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B292" i="5"/>
  <c r="C292" i="5"/>
  <c r="D292" i="5"/>
  <c r="E292" i="5"/>
  <c r="F292" i="5"/>
  <c r="G292" i="5"/>
  <c r="AB292" i="5" s="1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AC294" i="5" s="1"/>
  <c r="N294" i="5"/>
  <c r="O294" i="5"/>
  <c r="P294" i="5"/>
  <c r="Q294" i="5"/>
  <c r="R294" i="5"/>
  <c r="S294" i="5"/>
  <c r="T294" i="5"/>
  <c r="U294" i="5"/>
  <c r="V294" i="5"/>
  <c r="W294" i="5"/>
  <c r="X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AC296" i="5" s="1"/>
  <c r="P296" i="5"/>
  <c r="Q296" i="5"/>
  <c r="R296" i="5"/>
  <c r="S296" i="5"/>
  <c r="T296" i="5"/>
  <c r="U296" i="5"/>
  <c r="V296" i="5"/>
  <c r="W296" i="5"/>
  <c r="X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AC297" i="5" s="1"/>
  <c r="P297" i="5"/>
  <c r="Q297" i="5"/>
  <c r="R297" i="5"/>
  <c r="S297" i="5"/>
  <c r="T297" i="5"/>
  <c r="U297" i="5"/>
  <c r="V297" i="5"/>
  <c r="W297" i="5"/>
  <c r="X297" i="5"/>
  <c r="B298" i="5"/>
  <c r="C298" i="5"/>
  <c r="AB298" i="5" s="1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AC299" i="5" s="1"/>
  <c r="P299" i="5"/>
  <c r="Q299" i="5"/>
  <c r="R299" i="5"/>
  <c r="S299" i="5"/>
  <c r="T299" i="5"/>
  <c r="U299" i="5"/>
  <c r="V299" i="5"/>
  <c r="W299" i="5"/>
  <c r="X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AC301" i="5" s="1"/>
  <c r="N301" i="5"/>
  <c r="O301" i="5"/>
  <c r="P301" i="5"/>
  <c r="Q301" i="5"/>
  <c r="R301" i="5"/>
  <c r="S301" i="5"/>
  <c r="T301" i="5"/>
  <c r="U301" i="5"/>
  <c r="V301" i="5"/>
  <c r="W301" i="5"/>
  <c r="X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AC304" i="5" s="1"/>
  <c r="Q304" i="5"/>
  <c r="R304" i="5"/>
  <c r="S304" i="5"/>
  <c r="T304" i="5"/>
  <c r="U304" i="5"/>
  <c r="V304" i="5"/>
  <c r="W304" i="5"/>
  <c r="X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AC305" i="5" s="1"/>
  <c r="Q305" i="5"/>
  <c r="R305" i="5"/>
  <c r="S305" i="5"/>
  <c r="T305" i="5"/>
  <c r="U305" i="5"/>
  <c r="V305" i="5"/>
  <c r="W305" i="5"/>
  <c r="X305" i="5"/>
  <c r="B306" i="5"/>
  <c r="C306" i="5"/>
  <c r="D306" i="5"/>
  <c r="AB306" i="5" s="1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B312" i="5"/>
  <c r="C312" i="5"/>
  <c r="D312" i="5"/>
  <c r="E312" i="5"/>
  <c r="F312" i="5"/>
  <c r="G312" i="5"/>
  <c r="H312" i="5"/>
  <c r="I312" i="5"/>
  <c r="J312" i="5"/>
  <c r="J1094" i="5" s="1"/>
  <c r="K312" i="5"/>
  <c r="L312" i="5"/>
  <c r="M312" i="5"/>
  <c r="N312" i="5"/>
  <c r="O312" i="5"/>
  <c r="P312" i="5"/>
  <c r="Q312" i="5"/>
  <c r="R312" i="5"/>
  <c r="R1094" i="5" s="1"/>
  <c r="S312" i="5"/>
  <c r="T312" i="5"/>
  <c r="U312" i="5"/>
  <c r="V312" i="5"/>
  <c r="W312" i="5"/>
  <c r="X312" i="5"/>
  <c r="AC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AC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AB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AC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AB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AC321" i="5" s="1"/>
  <c r="N321" i="5"/>
  <c r="O321" i="5"/>
  <c r="P321" i="5"/>
  <c r="Q321" i="5"/>
  <c r="R321" i="5"/>
  <c r="S321" i="5"/>
  <c r="T321" i="5"/>
  <c r="U321" i="5"/>
  <c r="V321" i="5"/>
  <c r="W321" i="5"/>
  <c r="X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AC323" i="5" s="1"/>
  <c r="P323" i="5"/>
  <c r="Q323" i="5"/>
  <c r="R323" i="5"/>
  <c r="S323" i="5"/>
  <c r="T323" i="5"/>
  <c r="U323" i="5"/>
  <c r="V323" i="5"/>
  <c r="W323" i="5"/>
  <c r="X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AC325" i="5" s="1"/>
  <c r="N325" i="5"/>
  <c r="O325" i="5"/>
  <c r="P325" i="5"/>
  <c r="Q325" i="5"/>
  <c r="R325" i="5"/>
  <c r="S325" i="5"/>
  <c r="T325" i="5"/>
  <c r="U325" i="5"/>
  <c r="V325" i="5"/>
  <c r="W325" i="5"/>
  <c r="X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AC336" i="5" s="1"/>
  <c r="Q336" i="5"/>
  <c r="R336" i="5"/>
  <c r="S336" i="5"/>
  <c r="T336" i="5"/>
  <c r="U336" i="5"/>
  <c r="V336" i="5"/>
  <c r="W336" i="5"/>
  <c r="X336" i="5"/>
  <c r="B337" i="5"/>
  <c r="C337" i="5"/>
  <c r="D337" i="5"/>
  <c r="AB337" i="5" s="1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AC338" i="5" s="1"/>
  <c r="Q338" i="5"/>
  <c r="R338" i="5"/>
  <c r="S338" i="5"/>
  <c r="T338" i="5"/>
  <c r="U338" i="5"/>
  <c r="V338" i="5"/>
  <c r="W338" i="5"/>
  <c r="X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AC340" i="5" s="1"/>
  <c r="O340" i="5"/>
  <c r="P340" i="5"/>
  <c r="Q340" i="5"/>
  <c r="R340" i="5"/>
  <c r="S340" i="5"/>
  <c r="T340" i="5"/>
  <c r="U340" i="5"/>
  <c r="V340" i="5"/>
  <c r="W340" i="5"/>
  <c r="X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AC344" i="5" s="1"/>
  <c r="O344" i="5"/>
  <c r="P344" i="5"/>
  <c r="Q344" i="5"/>
  <c r="R344" i="5"/>
  <c r="S344" i="5"/>
  <c r="T344" i="5"/>
  <c r="U344" i="5"/>
  <c r="V344" i="5"/>
  <c r="W344" i="5"/>
  <c r="X344" i="5"/>
  <c r="B345" i="5"/>
  <c r="AB345" i="5" s="1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AC349" i="5" s="1"/>
  <c r="N349" i="5"/>
  <c r="O349" i="5"/>
  <c r="P349" i="5"/>
  <c r="Q349" i="5"/>
  <c r="R349" i="5"/>
  <c r="S349" i="5"/>
  <c r="T349" i="5"/>
  <c r="U349" i="5"/>
  <c r="V349" i="5"/>
  <c r="W349" i="5"/>
  <c r="X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AC352" i="5" s="1"/>
  <c r="Q352" i="5"/>
  <c r="R352" i="5"/>
  <c r="S352" i="5"/>
  <c r="T352" i="5"/>
  <c r="U352" i="5"/>
  <c r="V352" i="5"/>
  <c r="W352" i="5"/>
  <c r="X352" i="5"/>
  <c r="B353" i="5"/>
  <c r="C353" i="5"/>
  <c r="D353" i="5"/>
  <c r="AB353" i="5" s="1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AC360" i="5" s="1"/>
  <c r="O360" i="5"/>
  <c r="P360" i="5"/>
  <c r="Q360" i="5"/>
  <c r="R360" i="5"/>
  <c r="S360" i="5"/>
  <c r="T360" i="5"/>
  <c r="U360" i="5"/>
  <c r="V360" i="5"/>
  <c r="W360" i="5"/>
  <c r="X360" i="5"/>
  <c r="B361" i="5"/>
  <c r="AB361" i="5" s="1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AC368" i="5" s="1"/>
  <c r="Q368" i="5"/>
  <c r="R368" i="5"/>
  <c r="S368" i="5"/>
  <c r="T368" i="5"/>
  <c r="U368" i="5"/>
  <c r="V368" i="5"/>
  <c r="W368" i="5"/>
  <c r="X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B372" i="5"/>
  <c r="C372" i="5"/>
  <c r="D372" i="5"/>
  <c r="E372" i="5"/>
  <c r="F372" i="5"/>
  <c r="F1099" i="5" s="1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V1099" i="5" s="1"/>
  <c r="W372" i="5"/>
  <c r="X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AC373" i="5" s="1"/>
  <c r="N373" i="5"/>
  <c r="O373" i="5"/>
  <c r="P373" i="5"/>
  <c r="Q373" i="5"/>
  <c r="R373" i="5"/>
  <c r="S373" i="5"/>
  <c r="T373" i="5"/>
  <c r="U373" i="5"/>
  <c r="V373" i="5"/>
  <c r="W373" i="5"/>
  <c r="X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AC376" i="5" s="1"/>
  <c r="O376" i="5"/>
  <c r="P376" i="5"/>
  <c r="Q376" i="5"/>
  <c r="R376" i="5"/>
  <c r="S376" i="5"/>
  <c r="T376" i="5"/>
  <c r="U376" i="5"/>
  <c r="V376" i="5"/>
  <c r="W376" i="5"/>
  <c r="X376" i="5"/>
  <c r="B377" i="5"/>
  <c r="AB377" i="5" s="1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AC378" i="5" s="1"/>
  <c r="Q378" i="5"/>
  <c r="R378" i="5"/>
  <c r="S378" i="5"/>
  <c r="T378" i="5"/>
  <c r="U378" i="5"/>
  <c r="V378" i="5"/>
  <c r="W378" i="5"/>
  <c r="X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AC384" i="5" s="1"/>
  <c r="O384" i="5"/>
  <c r="P384" i="5"/>
  <c r="Q384" i="5"/>
  <c r="R384" i="5"/>
  <c r="S384" i="5"/>
  <c r="T384" i="5"/>
  <c r="U384" i="5"/>
  <c r="V384" i="5"/>
  <c r="W384" i="5"/>
  <c r="X384" i="5"/>
  <c r="B385" i="5"/>
  <c r="AB385" i="5" s="1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AC392" i="5" s="1"/>
  <c r="O392" i="5"/>
  <c r="P392" i="5"/>
  <c r="Q392" i="5"/>
  <c r="R392" i="5"/>
  <c r="S392" i="5"/>
  <c r="T392" i="5"/>
  <c r="U392" i="5"/>
  <c r="V392" i="5"/>
  <c r="W392" i="5"/>
  <c r="X392" i="5"/>
  <c r="B393" i="5"/>
  <c r="AB393" i="5" s="1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AC394" i="5" s="1"/>
  <c r="Q394" i="5"/>
  <c r="R394" i="5"/>
  <c r="S394" i="5"/>
  <c r="T394" i="5"/>
  <c r="U394" i="5"/>
  <c r="V394" i="5"/>
  <c r="W394" i="5"/>
  <c r="X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N396" i="5"/>
  <c r="AC396" i="5" s="1"/>
  <c r="O396" i="5"/>
  <c r="P396" i="5"/>
  <c r="Q396" i="5"/>
  <c r="R396" i="5"/>
  <c r="S396" i="5"/>
  <c r="T396" i="5"/>
  <c r="U396" i="5"/>
  <c r="V396" i="5"/>
  <c r="W396" i="5"/>
  <c r="X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AC400" i="5" s="1"/>
  <c r="O400" i="5"/>
  <c r="P400" i="5"/>
  <c r="Q400" i="5"/>
  <c r="R400" i="5"/>
  <c r="S400" i="5"/>
  <c r="T400" i="5"/>
  <c r="U400" i="5"/>
  <c r="V400" i="5"/>
  <c r="W400" i="5"/>
  <c r="X400" i="5"/>
  <c r="B401" i="5"/>
  <c r="AB401" i="5" s="1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AC405" i="5" s="1"/>
  <c r="N405" i="5"/>
  <c r="O405" i="5"/>
  <c r="P405" i="5"/>
  <c r="Q405" i="5"/>
  <c r="R405" i="5"/>
  <c r="S405" i="5"/>
  <c r="T405" i="5"/>
  <c r="U405" i="5"/>
  <c r="V405" i="5"/>
  <c r="W405" i="5"/>
  <c r="X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AC408" i="5" s="1"/>
  <c r="O408" i="5"/>
  <c r="P408" i="5"/>
  <c r="Q408" i="5"/>
  <c r="R408" i="5"/>
  <c r="S408" i="5"/>
  <c r="T408" i="5"/>
  <c r="U408" i="5"/>
  <c r="V408" i="5"/>
  <c r="W408" i="5"/>
  <c r="X408" i="5"/>
  <c r="B409" i="5"/>
  <c r="AB409" i="5" s="1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N410" i="5"/>
  <c r="O410" i="5"/>
  <c r="P410" i="5"/>
  <c r="AC410" i="5" s="1"/>
  <c r="Q410" i="5"/>
  <c r="R410" i="5"/>
  <c r="S410" i="5"/>
  <c r="T410" i="5"/>
  <c r="U410" i="5"/>
  <c r="V410" i="5"/>
  <c r="W410" i="5"/>
  <c r="X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N416" i="5"/>
  <c r="AC416" i="5" s="1"/>
  <c r="O416" i="5"/>
  <c r="P416" i="5"/>
  <c r="Q416" i="5"/>
  <c r="R416" i="5"/>
  <c r="S416" i="5"/>
  <c r="T416" i="5"/>
  <c r="U416" i="5"/>
  <c r="V416" i="5"/>
  <c r="W416" i="5"/>
  <c r="X416" i="5"/>
  <c r="B417" i="5"/>
  <c r="AB417" i="5" s="1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N424" i="5"/>
  <c r="AC424" i="5" s="1"/>
  <c r="O424" i="5"/>
  <c r="P424" i="5"/>
  <c r="Q424" i="5"/>
  <c r="R424" i="5"/>
  <c r="S424" i="5"/>
  <c r="T424" i="5"/>
  <c r="U424" i="5"/>
  <c r="V424" i="5"/>
  <c r="W424" i="5"/>
  <c r="X424" i="5"/>
  <c r="B425" i="5"/>
  <c r="AB425" i="5" s="1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N432" i="5"/>
  <c r="AC432" i="5" s="1"/>
  <c r="O432" i="5"/>
  <c r="P432" i="5"/>
  <c r="Q432" i="5"/>
  <c r="R432" i="5"/>
  <c r="S432" i="5"/>
  <c r="T432" i="5"/>
  <c r="U432" i="5"/>
  <c r="V432" i="5"/>
  <c r="W432" i="5"/>
  <c r="X432" i="5"/>
  <c r="B433" i="5"/>
  <c r="AB433" i="5" s="1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AC437" i="5" s="1"/>
  <c r="N437" i="5"/>
  <c r="O437" i="5"/>
  <c r="P437" i="5"/>
  <c r="Q437" i="5"/>
  <c r="R437" i="5"/>
  <c r="S437" i="5"/>
  <c r="T437" i="5"/>
  <c r="U437" i="5"/>
  <c r="V437" i="5"/>
  <c r="W437" i="5"/>
  <c r="X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N440" i="5"/>
  <c r="AC440" i="5" s="1"/>
  <c r="O440" i="5"/>
  <c r="P440" i="5"/>
  <c r="Q440" i="5"/>
  <c r="R440" i="5"/>
  <c r="S440" i="5"/>
  <c r="T440" i="5"/>
  <c r="U440" i="5"/>
  <c r="V440" i="5"/>
  <c r="W440" i="5"/>
  <c r="X440" i="5"/>
  <c r="B441" i="5"/>
  <c r="AB441" i="5" s="1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B449" i="5"/>
  <c r="C449" i="5"/>
  <c r="AB449" i="5" s="1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AC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AB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AC463" i="5" s="1"/>
  <c r="O463" i="5"/>
  <c r="P463" i="5"/>
  <c r="Q463" i="5"/>
  <c r="R463" i="5"/>
  <c r="S463" i="5"/>
  <c r="T463" i="5"/>
  <c r="U463" i="5"/>
  <c r="V463" i="5"/>
  <c r="W463" i="5"/>
  <c r="X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N464" i="5"/>
  <c r="O464" i="5"/>
  <c r="AC464" i="5" s="1"/>
  <c r="P464" i="5"/>
  <c r="Q464" i="5"/>
  <c r="R464" i="5"/>
  <c r="S464" i="5"/>
  <c r="T464" i="5"/>
  <c r="U464" i="5"/>
  <c r="V464" i="5"/>
  <c r="W464" i="5"/>
  <c r="X464" i="5"/>
  <c r="B465" i="5"/>
  <c r="C465" i="5"/>
  <c r="AB465" i="5" s="1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AC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AB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AC478" i="5" s="1"/>
  <c r="N478" i="5"/>
  <c r="O478" i="5"/>
  <c r="P478" i="5"/>
  <c r="Q478" i="5"/>
  <c r="R478" i="5"/>
  <c r="S478" i="5"/>
  <c r="T478" i="5"/>
  <c r="U478" i="5"/>
  <c r="V478" i="5"/>
  <c r="W478" i="5"/>
  <c r="X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AC479" i="5" s="1"/>
  <c r="O479" i="5"/>
  <c r="P479" i="5"/>
  <c r="Q479" i="5"/>
  <c r="R479" i="5"/>
  <c r="S479" i="5"/>
  <c r="T479" i="5"/>
  <c r="U479" i="5"/>
  <c r="V479" i="5"/>
  <c r="W479" i="5"/>
  <c r="X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N480" i="5"/>
  <c r="O480" i="5"/>
  <c r="AC480" i="5" s="1"/>
  <c r="P480" i="5"/>
  <c r="Q480" i="5"/>
  <c r="R480" i="5"/>
  <c r="S480" i="5"/>
  <c r="T480" i="5"/>
  <c r="U480" i="5"/>
  <c r="V480" i="5"/>
  <c r="W480" i="5"/>
  <c r="X480" i="5"/>
  <c r="B481" i="5"/>
  <c r="C481" i="5"/>
  <c r="AB481" i="5" s="1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AC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AC489" i="5" s="1"/>
  <c r="N489" i="5"/>
  <c r="O489" i="5"/>
  <c r="P489" i="5"/>
  <c r="Q489" i="5"/>
  <c r="R489" i="5"/>
  <c r="S489" i="5"/>
  <c r="T489" i="5"/>
  <c r="U489" i="5"/>
  <c r="V489" i="5"/>
  <c r="W489" i="5"/>
  <c r="X489" i="5"/>
  <c r="AB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AC495" i="5" s="1"/>
  <c r="O495" i="5"/>
  <c r="P495" i="5"/>
  <c r="Q495" i="5"/>
  <c r="R495" i="5"/>
  <c r="S495" i="5"/>
  <c r="T495" i="5"/>
  <c r="U495" i="5"/>
  <c r="V495" i="5"/>
  <c r="W495" i="5"/>
  <c r="X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N496" i="5"/>
  <c r="O496" i="5"/>
  <c r="AC496" i="5" s="1"/>
  <c r="P496" i="5"/>
  <c r="Q496" i="5"/>
  <c r="R496" i="5"/>
  <c r="S496" i="5"/>
  <c r="T496" i="5"/>
  <c r="U496" i="5"/>
  <c r="V496" i="5"/>
  <c r="W496" i="5"/>
  <c r="X496" i="5"/>
  <c r="B497" i="5"/>
  <c r="C497" i="5"/>
  <c r="AB497" i="5" s="1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AC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AB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AC510" i="5" s="1"/>
  <c r="N510" i="5"/>
  <c r="O510" i="5"/>
  <c r="P510" i="5"/>
  <c r="Q510" i="5"/>
  <c r="R510" i="5"/>
  <c r="S510" i="5"/>
  <c r="T510" i="5"/>
  <c r="U510" i="5"/>
  <c r="V510" i="5"/>
  <c r="W510" i="5"/>
  <c r="X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AC511" i="5" s="1"/>
  <c r="O511" i="5"/>
  <c r="P511" i="5"/>
  <c r="Q511" i="5"/>
  <c r="R511" i="5"/>
  <c r="S511" i="5"/>
  <c r="T511" i="5"/>
  <c r="U511" i="5"/>
  <c r="V511" i="5"/>
  <c r="W511" i="5"/>
  <c r="X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B513" i="5"/>
  <c r="C513" i="5"/>
  <c r="D513" i="5"/>
  <c r="AB513" i="5" s="1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N514" i="5"/>
  <c r="O514" i="5"/>
  <c r="P514" i="5"/>
  <c r="AC514" i="5" s="1"/>
  <c r="Q514" i="5"/>
  <c r="R514" i="5"/>
  <c r="S514" i="5"/>
  <c r="T514" i="5"/>
  <c r="U514" i="5"/>
  <c r="V514" i="5"/>
  <c r="W514" i="5"/>
  <c r="X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N520" i="5"/>
  <c r="AC520" i="5" s="1"/>
  <c r="O520" i="5"/>
  <c r="P520" i="5"/>
  <c r="Q520" i="5"/>
  <c r="R520" i="5"/>
  <c r="S520" i="5"/>
  <c r="T520" i="5"/>
  <c r="U520" i="5"/>
  <c r="V520" i="5"/>
  <c r="W520" i="5"/>
  <c r="X520" i="5"/>
  <c r="B521" i="5"/>
  <c r="C521" i="5"/>
  <c r="AB521" i="5" s="1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B526" i="5"/>
  <c r="C526" i="5"/>
  <c r="D526" i="5"/>
  <c r="E526" i="5"/>
  <c r="F526" i="5"/>
  <c r="G526" i="5"/>
  <c r="G1112" i="5" s="1"/>
  <c r="H526" i="5"/>
  <c r="I526" i="5"/>
  <c r="J526" i="5"/>
  <c r="K526" i="5"/>
  <c r="L526" i="5"/>
  <c r="M526" i="5"/>
  <c r="N526" i="5"/>
  <c r="O526" i="5"/>
  <c r="O1112" i="5" s="1"/>
  <c r="P526" i="5"/>
  <c r="Q526" i="5"/>
  <c r="R526" i="5"/>
  <c r="S526" i="5"/>
  <c r="T526" i="5"/>
  <c r="U526" i="5"/>
  <c r="V526" i="5"/>
  <c r="W526" i="5"/>
  <c r="W1112" i="5" s="1"/>
  <c r="X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AC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AC529" i="5" s="1"/>
  <c r="N529" i="5"/>
  <c r="O529" i="5"/>
  <c r="P529" i="5"/>
  <c r="Q529" i="5"/>
  <c r="R529" i="5"/>
  <c r="S529" i="5"/>
  <c r="T529" i="5"/>
  <c r="U529" i="5"/>
  <c r="V529" i="5"/>
  <c r="W529" i="5"/>
  <c r="X529" i="5"/>
  <c r="AB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N532" i="5"/>
  <c r="AC532" i="5" s="1"/>
  <c r="O532" i="5"/>
  <c r="P532" i="5"/>
  <c r="Q532" i="5"/>
  <c r="R532" i="5"/>
  <c r="S532" i="5"/>
  <c r="T532" i="5"/>
  <c r="U532" i="5"/>
  <c r="V532" i="5"/>
  <c r="W532" i="5"/>
  <c r="X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N536" i="5"/>
  <c r="AC536" i="5" s="1"/>
  <c r="O536" i="5"/>
  <c r="P536" i="5"/>
  <c r="Q536" i="5"/>
  <c r="R536" i="5"/>
  <c r="S536" i="5"/>
  <c r="T536" i="5"/>
  <c r="U536" i="5"/>
  <c r="V536" i="5"/>
  <c r="W536" i="5"/>
  <c r="X536" i="5"/>
  <c r="B537" i="5"/>
  <c r="AB537" i="5" s="1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AC541" i="5" s="1"/>
  <c r="N541" i="5"/>
  <c r="O541" i="5"/>
  <c r="P541" i="5"/>
  <c r="Q541" i="5"/>
  <c r="R541" i="5"/>
  <c r="S541" i="5"/>
  <c r="T541" i="5"/>
  <c r="U541" i="5"/>
  <c r="V541" i="5"/>
  <c r="W541" i="5"/>
  <c r="X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AC545" i="5" s="1"/>
  <c r="N545" i="5"/>
  <c r="O545" i="5"/>
  <c r="P545" i="5"/>
  <c r="Q545" i="5"/>
  <c r="R545" i="5"/>
  <c r="S545" i="5"/>
  <c r="T545" i="5"/>
  <c r="U545" i="5"/>
  <c r="V545" i="5"/>
  <c r="W545" i="5"/>
  <c r="X545" i="5"/>
  <c r="AB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B553" i="5"/>
  <c r="C553" i="5"/>
  <c r="D553" i="5"/>
  <c r="AB553" i="5" s="1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AC554" i="5" s="1"/>
  <c r="Q554" i="5"/>
  <c r="R554" i="5"/>
  <c r="S554" i="5"/>
  <c r="T554" i="5"/>
  <c r="U554" i="5"/>
  <c r="V554" i="5"/>
  <c r="W554" i="5"/>
  <c r="X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N560" i="5"/>
  <c r="AC560" i="5" s="1"/>
  <c r="O560" i="5"/>
  <c r="P560" i="5"/>
  <c r="Q560" i="5"/>
  <c r="R560" i="5"/>
  <c r="S560" i="5"/>
  <c r="T560" i="5"/>
  <c r="U560" i="5"/>
  <c r="V560" i="5"/>
  <c r="W560" i="5"/>
  <c r="X560" i="5"/>
  <c r="B561" i="5"/>
  <c r="AB561" i="5" s="1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AC568" i="5" s="1"/>
  <c r="Q568" i="5"/>
  <c r="R568" i="5"/>
  <c r="S568" i="5"/>
  <c r="T568" i="5"/>
  <c r="U568" i="5"/>
  <c r="V568" i="5"/>
  <c r="W568" i="5"/>
  <c r="X568" i="5"/>
  <c r="B569" i="5"/>
  <c r="C569" i="5"/>
  <c r="D569" i="5"/>
  <c r="AB569" i="5" s="1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AC570" i="5" s="1"/>
  <c r="Q570" i="5"/>
  <c r="R570" i="5"/>
  <c r="S570" i="5"/>
  <c r="T570" i="5"/>
  <c r="U570" i="5"/>
  <c r="V570" i="5"/>
  <c r="W570" i="5"/>
  <c r="X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B574" i="5"/>
  <c r="C574" i="5"/>
  <c r="D574" i="5"/>
  <c r="E574" i="5"/>
  <c r="F574" i="5"/>
  <c r="G574" i="5"/>
  <c r="H574" i="5"/>
  <c r="I574" i="5"/>
  <c r="J574" i="5"/>
  <c r="K574" i="5"/>
  <c r="L574" i="5"/>
  <c r="L1116" i="5" s="1"/>
  <c r="M574" i="5"/>
  <c r="N574" i="5"/>
  <c r="O574" i="5"/>
  <c r="P574" i="5"/>
  <c r="Q574" i="5"/>
  <c r="R574" i="5"/>
  <c r="S574" i="5"/>
  <c r="T574" i="5"/>
  <c r="T1116" i="5" s="1"/>
  <c r="U574" i="5"/>
  <c r="V574" i="5"/>
  <c r="W574" i="5"/>
  <c r="X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N576" i="5"/>
  <c r="AC576" i="5" s="1"/>
  <c r="O576" i="5"/>
  <c r="P576" i="5"/>
  <c r="Q576" i="5"/>
  <c r="R576" i="5"/>
  <c r="S576" i="5"/>
  <c r="T576" i="5"/>
  <c r="U576" i="5"/>
  <c r="V576" i="5"/>
  <c r="W576" i="5"/>
  <c r="X576" i="5"/>
  <c r="B577" i="5"/>
  <c r="AB577" i="5" s="1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B585" i="5"/>
  <c r="AB585" i="5" s="1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AC587" i="5" s="1"/>
  <c r="P587" i="5"/>
  <c r="Q587" i="5"/>
  <c r="R587" i="5"/>
  <c r="S587" i="5"/>
  <c r="T587" i="5"/>
  <c r="U587" i="5"/>
  <c r="V587" i="5"/>
  <c r="W587" i="5"/>
  <c r="X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AC592" i="5" s="1"/>
  <c r="Q592" i="5"/>
  <c r="R592" i="5"/>
  <c r="S592" i="5"/>
  <c r="T592" i="5"/>
  <c r="U592" i="5"/>
  <c r="V592" i="5"/>
  <c r="W592" i="5"/>
  <c r="X592" i="5"/>
  <c r="B593" i="5"/>
  <c r="C593" i="5"/>
  <c r="D593" i="5"/>
  <c r="AB593" i="5" s="1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AC594" i="5" s="1"/>
  <c r="Q594" i="5"/>
  <c r="R594" i="5"/>
  <c r="S594" i="5"/>
  <c r="T594" i="5"/>
  <c r="U594" i="5"/>
  <c r="V594" i="5"/>
  <c r="W594" i="5"/>
  <c r="X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N596" i="5"/>
  <c r="AC596" i="5" s="1"/>
  <c r="O596" i="5"/>
  <c r="P596" i="5"/>
  <c r="Q596" i="5"/>
  <c r="R596" i="5"/>
  <c r="S596" i="5"/>
  <c r="T596" i="5"/>
  <c r="U596" i="5"/>
  <c r="V596" i="5"/>
  <c r="W596" i="5"/>
  <c r="X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N600" i="5"/>
  <c r="AC600" i="5" s="1"/>
  <c r="O600" i="5"/>
  <c r="P600" i="5"/>
  <c r="Q600" i="5"/>
  <c r="R600" i="5"/>
  <c r="S600" i="5"/>
  <c r="T600" i="5"/>
  <c r="U600" i="5"/>
  <c r="V600" i="5"/>
  <c r="W600" i="5"/>
  <c r="X600" i="5"/>
  <c r="B601" i="5"/>
  <c r="AB601" i="5" s="1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AC605" i="5" s="1"/>
  <c r="N605" i="5"/>
  <c r="O605" i="5"/>
  <c r="P605" i="5"/>
  <c r="Q605" i="5"/>
  <c r="R605" i="5"/>
  <c r="S605" i="5"/>
  <c r="T605" i="5"/>
  <c r="U605" i="5"/>
  <c r="V605" i="5"/>
  <c r="W605" i="5"/>
  <c r="X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AC609" i="5" s="1"/>
  <c r="N609" i="5"/>
  <c r="O609" i="5"/>
  <c r="P609" i="5"/>
  <c r="Q609" i="5"/>
  <c r="R609" i="5"/>
  <c r="S609" i="5"/>
  <c r="T609" i="5"/>
  <c r="U609" i="5"/>
  <c r="V609" i="5"/>
  <c r="W609" i="5"/>
  <c r="X609" i="5"/>
  <c r="AB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X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X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B614" i="5"/>
  <c r="C614" i="5"/>
  <c r="D614" i="5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X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B617" i="5"/>
  <c r="C617" i="5"/>
  <c r="D617" i="5"/>
  <c r="AB617" i="5" s="1"/>
  <c r="E617" i="5"/>
  <c r="F617" i="5"/>
  <c r="G617" i="5"/>
  <c r="H617" i="5"/>
  <c r="I617" i="5"/>
  <c r="J617" i="5"/>
  <c r="K617" i="5"/>
  <c r="L617" i="5"/>
  <c r="M617" i="5"/>
  <c r="AC617" i="5" s="1"/>
  <c r="N617" i="5"/>
  <c r="O617" i="5"/>
  <c r="P617" i="5"/>
  <c r="Q617" i="5"/>
  <c r="R617" i="5"/>
  <c r="S617" i="5"/>
  <c r="T617" i="5"/>
  <c r="U617" i="5"/>
  <c r="V617" i="5"/>
  <c r="W617" i="5"/>
  <c r="X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AC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AC625" i="5" s="1"/>
  <c r="N625" i="5"/>
  <c r="O625" i="5"/>
  <c r="P625" i="5"/>
  <c r="Q625" i="5"/>
  <c r="R625" i="5"/>
  <c r="S625" i="5"/>
  <c r="T625" i="5"/>
  <c r="U625" i="5"/>
  <c r="V625" i="5"/>
  <c r="W625" i="5"/>
  <c r="X625" i="5"/>
  <c r="AB625" i="5"/>
  <c r="B626" i="5"/>
  <c r="C626" i="5"/>
  <c r="D626" i="5"/>
  <c r="E626" i="5"/>
  <c r="F626" i="5"/>
  <c r="G626" i="5"/>
  <c r="H626" i="5"/>
  <c r="AB626" i="5" s="1"/>
  <c r="I626" i="5"/>
  <c r="J626" i="5"/>
  <c r="K626" i="5"/>
  <c r="L626" i="5"/>
  <c r="M626" i="5"/>
  <c r="N626" i="5"/>
  <c r="O626" i="5"/>
  <c r="P626" i="5"/>
  <c r="AC626" i="5" s="1"/>
  <c r="Q626" i="5"/>
  <c r="R626" i="5"/>
  <c r="S626" i="5"/>
  <c r="T626" i="5"/>
  <c r="U626" i="5"/>
  <c r="V626" i="5"/>
  <c r="W626" i="5"/>
  <c r="X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AC632" i="5" s="1"/>
  <c r="O632" i="5"/>
  <c r="P632" i="5"/>
  <c r="Q632" i="5"/>
  <c r="R632" i="5"/>
  <c r="S632" i="5"/>
  <c r="T632" i="5"/>
  <c r="U632" i="5"/>
  <c r="V632" i="5"/>
  <c r="W632" i="5"/>
  <c r="X632" i="5"/>
  <c r="B633" i="5"/>
  <c r="AB633" i="5" s="1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AC633" i="5" s="1"/>
  <c r="P633" i="5"/>
  <c r="Q633" i="5"/>
  <c r="R633" i="5"/>
  <c r="S633" i="5"/>
  <c r="T633" i="5"/>
  <c r="U633" i="5"/>
  <c r="V633" i="5"/>
  <c r="W633" i="5"/>
  <c r="X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AC637" i="5" s="1"/>
  <c r="N637" i="5"/>
  <c r="O637" i="5"/>
  <c r="P637" i="5"/>
  <c r="Q637" i="5"/>
  <c r="R637" i="5"/>
  <c r="S637" i="5"/>
  <c r="T637" i="5"/>
  <c r="U637" i="5"/>
  <c r="V637" i="5"/>
  <c r="W637" i="5"/>
  <c r="X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AC641" i="5" s="1"/>
  <c r="N641" i="5"/>
  <c r="O641" i="5"/>
  <c r="P641" i="5"/>
  <c r="Q641" i="5"/>
  <c r="R641" i="5"/>
  <c r="S641" i="5"/>
  <c r="T641" i="5"/>
  <c r="U641" i="5"/>
  <c r="V641" i="5"/>
  <c r="W641" i="5"/>
  <c r="X641" i="5"/>
  <c r="AB641" i="5"/>
  <c r="B642" i="5"/>
  <c r="C642" i="5"/>
  <c r="D642" i="5"/>
  <c r="E642" i="5"/>
  <c r="F642" i="5"/>
  <c r="G642" i="5"/>
  <c r="H642" i="5"/>
  <c r="AB642" i="5" s="1"/>
  <c r="I642" i="5"/>
  <c r="J642" i="5"/>
  <c r="K642" i="5"/>
  <c r="L642" i="5"/>
  <c r="M642" i="5"/>
  <c r="N642" i="5"/>
  <c r="O642" i="5"/>
  <c r="P642" i="5"/>
  <c r="AC642" i="5" s="1"/>
  <c r="Q642" i="5"/>
  <c r="R642" i="5"/>
  <c r="S642" i="5"/>
  <c r="T642" i="5"/>
  <c r="U642" i="5"/>
  <c r="V642" i="5"/>
  <c r="W642" i="5"/>
  <c r="X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N644" i="5"/>
  <c r="AC644" i="5" s="1"/>
  <c r="O644" i="5"/>
  <c r="P644" i="5"/>
  <c r="Q644" i="5"/>
  <c r="R644" i="5"/>
  <c r="S644" i="5"/>
  <c r="T644" i="5"/>
  <c r="U644" i="5"/>
  <c r="V644" i="5"/>
  <c r="W644" i="5"/>
  <c r="X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N648" i="5"/>
  <c r="AC648" i="5" s="1"/>
  <c r="O648" i="5"/>
  <c r="P648" i="5"/>
  <c r="Q648" i="5"/>
  <c r="R648" i="5"/>
  <c r="S648" i="5"/>
  <c r="T648" i="5"/>
  <c r="U648" i="5"/>
  <c r="V648" i="5"/>
  <c r="W648" i="5"/>
  <c r="X648" i="5"/>
  <c r="B649" i="5"/>
  <c r="AB649" i="5" s="1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AC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AC654" i="5" s="1"/>
  <c r="N654" i="5"/>
  <c r="O654" i="5"/>
  <c r="P654" i="5"/>
  <c r="Q654" i="5"/>
  <c r="R654" i="5"/>
  <c r="S654" i="5"/>
  <c r="T654" i="5"/>
  <c r="U654" i="5"/>
  <c r="V654" i="5"/>
  <c r="W654" i="5"/>
  <c r="X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AC655" i="5" s="1"/>
  <c r="O655" i="5"/>
  <c r="P655" i="5"/>
  <c r="Q655" i="5"/>
  <c r="R655" i="5"/>
  <c r="S655" i="5"/>
  <c r="T655" i="5"/>
  <c r="U655" i="5"/>
  <c r="V655" i="5"/>
  <c r="W655" i="5"/>
  <c r="X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B657" i="5"/>
  <c r="C657" i="5"/>
  <c r="D657" i="5"/>
  <c r="AB657" i="5" s="1"/>
  <c r="E657" i="5"/>
  <c r="F657" i="5"/>
  <c r="G657" i="5"/>
  <c r="H657" i="5"/>
  <c r="I657" i="5"/>
  <c r="J657" i="5"/>
  <c r="K657" i="5"/>
  <c r="L657" i="5"/>
  <c r="M657" i="5"/>
  <c r="AC657" i="5" s="1"/>
  <c r="N657" i="5"/>
  <c r="O657" i="5"/>
  <c r="P657" i="5"/>
  <c r="Q657" i="5"/>
  <c r="R657" i="5"/>
  <c r="S657" i="5"/>
  <c r="T657" i="5"/>
  <c r="U657" i="5"/>
  <c r="V657" i="5"/>
  <c r="W657" i="5"/>
  <c r="X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AC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AC665" i="5" s="1"/>
  <c r="N665" i="5"/>
  <c r="O665" i="5"/>
  <c r="P665" i="5"/>
  <c r="Q665" i="5"/>
  <c r="R665" i="5"/>
  <c r="S665" i="5"/>
  <c r="T665" i="5"/>
  <c r="U665" i="5"/>
  <c r="V665" i="5"/>
  <c r="W665" i="5"/>
  <c r="X665" i="5"/>
  <c r="AB665" i="5"/>
  <c r="B666" i="5"/>
  <c r="C666" i="5"/>
  <c r="D666" i="5"/>
  <c r="E666" i="5"/>
  <c r="F666" i="5"/>
  <c r="G666" i="5"/>
  <c r="H666" i="5"/>
  <c r="AB666" i="5" s="1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N672" i="5"/>
  <c r="AC672" i="5" s="1"/>
  <c r="O672" i="5"/>
  <c r="P672" i="5"/>
  <c r="Q672" i="5"/>
  <c r="R672" i="5"/>
  <c r="S672" i="5"/>
  <c r="T672" i="5"/>
  <c r="U672" i="5"/>
  <c r="V672" i="5"/>
  <c r="W672" i="5"/>
  <c r="X672" i="5"/>
  <c r="B673" i="5"/>
  <c r="C673" i="5"/>
  <c r="AB673" i="5" s="1"/>
  <c r="D673" i="5"/>
  <c r="E673" i="5"/>
  <c r="F673" i="5"/>
  <c r="G673" i="5"/>
  <c r="H673" i="5"/>
  <c r="I673" i="5"/>
  <c r="J673" i="5"/>
  <c r="K673" i="5"/>
  <c r="L673" i="5"/>
  <c r="M673" i="5"/>
  <c r="N673" i="5"/>
  <c r="O673" i="5"/>
  <c r="AC673" i="5" s="1"/>
  <c r="P673" i="5"/>
  <c r="Q673" i="5"/>
  <c r="R673" i="5"/>
  <c r="S673" i="5"/>
  <c r="T673" i="5"/>
  <c r="U673" i="5"/>
  <c r="V673" i="5"/>
  <c r="W673" i="5"/>
  <c r="X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AC675" i="5" s="1"/>
  <c r="P675" i="5"/>
  <c r="Q675" i="5"/>
  <c r="R675" i="5"/>
  <c r="S675" i="5"/>
  <c r="T675" i="5"/>
  <c r="U675" i="5"/>
  <c r="V675" i="5"/>
  <c r="W675" i="5"/>
  <c r="X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AC681" i="5" s="1"/>
  <c r="N681" i="5"/>
  <c r="O681" i="5"/>
  <c r="P681" i="5"/>
  <c r="Q681" i="5"/>
  <c r="R681" i="5"/>
  <c r="S681" i="5"/>
  <c r="T681" i="5"/>
  <c r="U681" i="5"/>
  <c r="V681" i="5"/>
  <c r="W681" i="5"/>
  <c r="X681" i="5"/>
  <c r="AB681" i="5"/>
  <c r="B682" i="5"/>
  <c r="C682" i="5"/>
  <c r="D682" i="5"/>
  <c r="E682" i="5"/>
  <c r="F682" i="5"/>
  <c r="G682" i="5"/>
  <c r="H682" i="5"/>
  <c r="AB682" i="5" s="1"/>
  <c r="I682" i="5"/>
  <c r="J682" i="5"/>
  <c r="K682" i="5"/>
  <c r="L682" i="5"/>
  <c r="M682" i="5"/>
  <c r="N682" i="5"/>
  <c r="O682" i="5"/>
  <c r="P682" i="5"/>
  <c r="AC682" i="5" s="1"/>
  <c r="Q682" i="5"/>
  <c r="R682" i="5"/>
  <c r="S682" i="5"/>
  <c r="T682" i="5"/>
  <c r="U682" i="5"/>
  <c r="V682" i="5"/>
  <c r="W682" i="5"/>
  <c r="X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N684" i="5"/>
  <c r="AC684" i="5" s="1"/>
  <c r="O684" i="5"/>
  <c r="P684" i="5"/>
  <c r="Q684" i="5"/>
  <c r="R684" i="5"/>
  <c r="S684" i="5"/>
  <c r="T684" i="5"/>
  <c r="U684" i="5"/>
  <c r="V684" i="5"/>
  <c r="W684" i="5"/>
  <c r="X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X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N688" i="5"/>
  <c r="AC688" i="5" s="1"/>
  <c r="O688" i="5"/>
  <c r="P688" i="5"/>
  <c r="Q688" i="5"/>
  <c r="R688" i="5"/>
  <c r="S688" i="5"/>
  <c r="T688" i="5"/>
  <c r="U688" i="5"/>
  <c r="V688" i="5"/>
  <c r="W688" i="5"/>
  <c r="X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AC689" i="5" s="1"/>
  <c r="O689" i="5"/>
  <c r="P689" i="5"/>
  <c r="Q689" i="5"/>
  <c r="R689" i="5"/>
  <c r="S689" i="5"/>
  <c r="T689" i="5"/>
  <c r="U689" i="5"/>
  <c r="V689" i="5"/>
  <c r="W689" i="5"/>
  <c r="X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AC695" i="5" s="1"/>
  <c r="O695" i="5"/>
  <c r="P695" i="5"/>
  <c r="Q695" i="5"/>
  <c r="R695" i="5"/>
  <c r="S695" i="5"/>
  <c r="T695" i="5"/>
  <c r="U695" i="5"/>
  <c r="V695" i="5"/>
  <c r="W695" i="5"/>
  <c r="X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B705" i="5"/>
  <c r="AB705" i="5" s="1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AC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AC711" i="5" s="1"/>
  <c r="O711" i="5"/>
  <c r="P711" i="5"/>
  <c r="Q711" i="5"/>
  <c r="R711" i="5"/>
  <c r="S711" i="5"/>
  <c r="T711" i="5"/>
  <c r="U711" i="5"/>
  <c r="V711" i="5"/>
  <c r="W711" i="5"/>
  <c r="X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AC712" i="5" s="1"/>
  <c r="P712" i="5"/>
  <c r="Q712" i="5"/>
  <c r="R712" i="5"/>
  <c r="S712" i="5"/>
  <c r="T712" i="5"/>
  <c r="U712" i="5"/>
  <c r="V712" i="5"/>
  <c r="W712" i="5"/>
  <c r="X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AC713" i="5" s="1"/>
  <c r="N713" i="5"/>
  <c r="O713" i="5"/>
  <c r="P713" i="5"/>
  <c r="Q713" i="5"/>
  <c r="R713" i="5"/>
  <c r="S713" i="5"/>
  <c r="T713" i="5"/>
  <c r="U713" i="5"/>
  <c r="V713" i="5"/>
  <c r="W713" i="5"/>
  <c r="X713" i="5"/>
  <c r="AB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AC714" i="5" s="1"/>
  <c r="Q714" i="5"/>
  <c r="R714" i="5"/>
  <c r="S714" i="5"/>
  <c r="T714" i="5"/>
  <c r="U714" i="5"/>
  <c r="V714" i="5"/>
  <c r="W714" i="5"/>
  <c r="X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N716" i="5"/>
  <c r="AC716" i="5" s="1"/>
  <c r="O716" i="5"/>
  <c r="P716" i="5"/>
  <c r="Q716" i="5"/>
  <c r="R716" i="5"/>
  <c r="S716" i="5"/>
  <c r="T716" i="5"/>
  <c r="U716" i="5"/>
  <c r="V716" i="5"/>
  <c r="W716" i="5"/>
  <c r="X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X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X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N720" i="5"/>
  <c r="AC720" i="5" s="1"/>
  <c r="O720" i="5"/>
  <c r="P720" i="5"/>
  <c r="Q720" i="5"/>
  <c r="R720" i="5"/>
  <c r="S720" i="5"/>
  <c r="T720" i="5"/>
  <c r="U720" i="5"/>
  <c r="V720" i="5"/>
  <c r="W720" i="5"/>
  <c r="X720" i="5"/>
  <c r="B721" i="5"/>
  <c r="C721" i="5"/>
  <c r="AB721" i="5" s="1"/>
  <c r="D721" i="5"/>
  <c r="E721" i="5"/>
  <c r="F721" i="5"/>
  <c r="G721" i="5"/>
  <c r="H721" i="5"/>
  <c r="I721" i="5"/>
  <c r="J721" i="5"/>
  <c r="K721" i="5"/>
  <c r="L721" i="5"/>
  <c r="M721" i="5"/>
  <c r="AC721" i="5" s="1"/>
  <c r="N721" i="5"/>
  <c r="O721" i="5"/>
  <c r="P721" i="5"/>
  <c r="Q721" i="5"/>
  <c r="R721" i="5"/>
  <c r="S721" i="5"/>
  <c r="T721" i="5"/>
  <c r="U721" i="5"/>
  <c r="V721" i="5"/>
  <c r="W721" i="5"/>
  <c r="X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AC723" i="5" s="1"/>
  <c r="P723" i="5"/>
  <c r="Q723" i="5"/>
  <c r="R723" i="5"/>
  <c r="S723" i="5"/>
  <c r="T723" i="5"/>
  <c r="U723" i="5"/>
  <c r="V723" i="5"/>
  <c r="W723" i="5"/>
  <c r="X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N728" i="5"/>
  <c r="AC728" i="5" s="1"/>
  <c r="O728" i="5"/>
  <c r="P728" i="5"/>
  <c r="Q728" i="5"/>
  <c r="R728" i="5"/>
  <c r="S728" i="5"/>
  <c r="T728" i="5"/>
  <c r="U728" i="5"/>
  <c r="V728" i="5"/>
  <c r="W728" i="5"/>
  <c r="X728" i="5"/>
  <c r="B729" i="5"/>
  <c r="AB729" i="5" s="1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AC729" i="5" s="1"/>
  <c r="Q729" i="5"/>
  <c r="R729" i="5"/>
  <c r="S729" i="5"/>
  <c r="T729" i="5"/>
  <c r="U729" i="5"/>
  <c r="V729" i="5"/>
  <c r="W729" i="5"/>
  <c r="X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AC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AC737" i="5" s="1"/>
  <c r="N737" i="5"/>
  <c r="O737" i="5"/>
  <c r="P737" i="5"/>
  <c r="Q737" i="5"/>
  <c r="R737" i="5"/>
  <c r="S737" i="5"/>
  <c r="T737" i="5"/>
  <c r="U737" i="5"/>
  <c r="V737" i="5"/>
  <c r="W737" i="5"/>
  <c r="X737" i="5"/>
  <c r="AB737" i="5"/>
  <c r="B738" i="5"/>
  <c r="C738" i="5"/>
  <c r="D738" i="5"/>
  <c r="E738" i="5"/>
  <c r="F738" i="5"/>
  <c r="G738" i="5"/>
  <c r="H738" i="5"/>
  <c r="AB738" i="5" s="1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AC744" i="5" s="1"/>
  <c r="O744" i="5"/>
  <c r="P744" i="5"/>
  <c r="Q744" i="5"/>
  <c r="R744" i="5"/>
  <c r="S744" i="5"/>
  <c r="T744" i="5"/>
  <c r="U744" i="5"/>
  <c r="V744" i="5"/>
  <c r="W744" i="5"/>
  <c r="X744" i="5"/>
  <c r="B745" i="5"/>
  <c r="C745" i="5"/>
  <c r="AB745" i="5" s="1"/>
  <c r="D745" i="5"/>
  <c r="E745" i="5"/>
  <c r="F745" i="5"/>
  <c r="G745" i="5"/>
  <c r="H745" i="5"/>
  <c r="I745" i="5"/>
  <c r="J745" i="5"/>
  <c r="K745" i="5"/>
  <c r="L745" i="5"/>
  <c r="M745" i="5"/>
  <c r="N745" i="5"/>
  <c r="O745" i="5"/>
  <c r="AC745" i="5" s="1"/>
  <c r="P745" i="5"/>
  <c r="Q745" i="5"/>
  <c r="R745" i="5"/>
  <c r="S745" i="5"/>
  <c r="T745" i="5"/>
  <c r="U745" i="5"/>
  <c r="V745" i="5"/>
  <c r="W745" i="5"/>
  <c r="X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AC752" i="5" s="1"/>
  <c r="Q752" i="5"/>
  <c r="R752" i="5"/>
  <c r="S752" i="5"/>
  <c r="T752" i="5"/>
  <c r="U752" i="5"/>
  <c r="V752" i="5"/>
  <c r="W752" i="5"/>
  <c r="X752" i="5"/>
  <c r="B753" i="5"/>
  <c r="C753" i="5"/>
  <c r="D753" i="5"/>
  <c r="AB753" i="5" s="1"/>
  <c r="E753" i="5"/>
  <c r="F753" i="5"/>
  <c r="G753" i="5"/>
  <c r="H753" i="5"/>
  <c r="I753" i="5"/>
  <c r="J753" i="5"/>
  <c r="K753" i="5"/>
  <c r="L753" i="5"/>
  <c r="M753" i="5"/>
  <c r="N753" i="5"/>
  <c r="O753" i="5"/>
  <c r="P753" i="5"/>
  <c r="AC753" i="5" s="1"/>
  <c r="Q753" i="5"/>
  <c r="R753" i="5"/>
  <c r="S753" i="5"/>
  <c r="T753" i="5"/>
  <c r="U753" i="5"/>
  <c r="V753" i="5"/>
  <c r="W753" i="5"/>
  <c r="X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AB761" i="5"/>
  <c r="AC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AC766" i="5" s="1"/>
  <c r="N766" i="5"/>
  <c r="O766" i="5"/>
  <c r="P766" i="5"/>
  <c r="Q766" i="5"/>
  <c r="R766" i="5"/>
  <c r="S766" i="5"/>
  <c r="T766" i="5"/>
  <c r="U766" i="5"/>
  <c r="V766" i="5"/>
  <c r="W766" i="5"/>
  <c r="X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AB769" i="5"/>
  <c r="AC769" i="5"/>
  <c r="B770" i="5"/>
  <c r="C770" i="5"/>
  <c r="D770" i="5"/>
  <c r="E770" i="5"/>
  <c r="F770" i="5"/>
  <c r="G770" i="5"/>
  <c r="H770" i="5"/>
  <c r="AB770" i="5" s="1"/>
  <c r="I770" i="5"/>
  <c r="J770" i="5"/>
  <c r="K770" i="5"/>
  <c r="L770" i="5"/>
  <c r="M770" i="5"/>
  <c r="N770" i="5"/>
  <c r="O770" i="5"/>
  <c r="P770" i="5"/>
  <c r="AC770" i="5" s="1"/>
  <c r="Q770" i="5"/>
  <c r="R770" i="5"/>
  <c r="S770" i="5"/>
  <c r="T770" i="5"/>
  <c r="U770" i="5"/>
  <c r="V770" i="5"/>
  <c r="W770" i="5"/>
  <c r="X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AC772" i="5" s="1"/>
  <c r="O772" i="5"/>
  <c r="P772" i="5"/>
  <c r="Q772" i="5"/>
  <c r="R772" i="5"/>
  <c r="S772" i="5"/>
  <c r="T772" i="5"/>
  <c r="U772" i="5"/>
  <c r="V772" i="5"/>
  <c r="W772" i="5"/>
  <c r="X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AC776" i="5" s="1"/>
  <c r="O776" i="5"/>
  <c r="P776" i="5"/>
  <c r="Q776" i="5"/>
  <c r="R776" i="5"/>
  <c r="S776" i="5"/>
  <c r="T776" i="5"/>
  <c r="U776" i="5"/>
  <c r="V776" i="5"/>
  <c r="W776" i="5"/>
  <c r="X776" i="5"/>
  <c r="B777" i="5"/>
  <c r="AB777" i="5" s="1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AC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B780" i="5"/>
  <c r="C780" i="5"/>
  <c r="D780" i="5"/>
  <c r="E780" i="5"/>
  <c r="F780" i="5"/>
  <c r="G780" i="5"/>
  <c r="AB780" i="5" s="1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AC785" i="5" s="1"/>
  <c r="Q785" i="5"/>
  <c r="R785" i="5"/>
  <c r="S785" i="5"/>
  <c r="T785" i="5"/>
  <c r="U785" i="5"/>
  <c r="V785" i="5"/>
  <c r="W785" i="5"/>
  <c r="X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AC786" i="5" s="1"/>
  <c r="Q786" i="5"/>
  <c r="R786" i="5"/>
  <c r="S786" i="5"/>
  <c r="T786" i="5"/>
  <c r="U786" i="5"/>
  <c r="V786" i="5"/>
  <c r="W786" i="5"/>
  <c r="X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AC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AB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AC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AB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AC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AC800" i="5"/>
  <c r="B801" i="5"/>
  <c r="C801" i="5"/>
  <c r="D801" i="5"/>
  <c r="E801" i="5"/>
  <c r="F801" i="5"/>
  <c r="G801" i="5"/>
  <c r="H801" i="5"/>
  <c r="I801" i="5"/>
  <c r="AB801" i="5" s="1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AC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AC808" i="5" s="1"/>
  <c r="P808" i="5"/>
  <c r="Q808" i="5"/>
  <c r="R808" i="5"/>
  <c r="S808" i="5"/>
  <c r="T808" i="5"/>
  <c r="U808" i="5"/>
  <c r="V808" i="5"/>
  <c r="W808" i="5"/>
  <c r="X808" i="5"/>
  <c r="B809" i="5"/>
  <c r="C809" i="5"/>
  <c r="AB809" i="5" s="1"/>
  <c r="D809" i="5"/>
  <c r="E809" i="5"/>
  <c r="F809" i="5"/>
  <c r="G809" i="5"/>
  <c r="H809" i="5"/>
  <c r="I809" i="5"/>
  <c r="J809" i="5"/>
  <c r="K809" i="5"/>
  <c r="L809" i="5"/>
  <c r="M809" i="5"/>
  <c r="N809" i="5"/>
  <c r="O809" i="5"/>
  <c r="AC809" i="5" s="1"/>
  <c r="P809" i="5"/>
  <c r="Q809" i="5"/>
  <c r="R809" i="5"/>
  <c r="S809" i="5"/>
  <c r="T809" i="5"/>
  <c r="U809" i="5"/>
  <c r="V809" i="5"/>
  <c r="W809" i="5"/>
  <c r="X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AC811" i="5" s="1"/>
  <c r="P811" i="5"/>
  <c r="Q811" i="5"/>
  <c r="R811" i="5"/>
  <c r="S811" i="5"/>
  <c r="T811" i="5"/>
  <c r="U811" i="5"/>
  <c r="V811" i="5"/>
  <c r="W811" i="5"/>
  <c r="X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AC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AB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AC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N820" i="5"/>
  <c r="O820" i="5"/>
  <c r="P820" i="5"/>
  <c r="Q820" i="5"/>
  <c r="R820" i="5"/>
  <c r="S820" i="5"/>
  <c r="T820" i="5"/>
  <c r="U820" i="5"/>
  <c r="V820" i="5"/>
  <c r="W820" i="5"/>
  <c r="X820" i="5"/>
  <c r="AB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AC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AB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AC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AC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AC833" i="5" s="1"/>
  <c r="N833" i="5"/>
  <c r="O833" i="5"/>
  <c r="P833" i="5"/>
  <c r="Q833" i="5"/>
  <c r="R833" i="5"/>
  <c r="S833" i="5"/>
  <c r="T833" i="5"/>
  <c r="U833" i="5"/>
  <c r="V833" i="5"/>
  <c r="W833" i="5"/>
  <c r="X833" i="5"/>
  <c r="AB833" i="5"/>
  <c r="B834" i="5"/>
  <c r="C834" i="5"/>
  <c r="D834" i="5"/>
  <c r="E834" i="5"/>
  <c r="F834" i="5"/>
  <c r="G834" i="5"/>
  <c r="H834" i="5"/>
  <c r="AB834" i="5" s="1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AC840" i="5" s="1"/>
  <c r="O840" i="5"/>
  <c r="P840" i="5"/>
  <c r="Q840" i="5"/>
  <c r="R840" i="5"/>
  <c r="S840" i="5"/>
  <c r="T840" i="5"/>
  <c r="U840" i="5"/>
  <c r="V840" i="5"/>
  <c r="W840" i="5"/>
  <c r="X840" i="5"/>
  <c r="B841" i="5"/>
  <c r="AB841" i="5" s="1"/>
  <c r="C841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AC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B844" i="5"/>
  <c r="C844" i="5"/>
  <c r="D844" i="5"/>
  <c r="E844" i="5"/>
  <c r="F844" i="5"/>
  <c r="G844" i="5"/>
  <c r="AB844" i="5" s="1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AC849" i="5" s="1"/>
  <c r="Q849" i="5"/>
  <c r="R849" i="5"/>
  <c r="S849" i="5"/>
  <c r="T849" i="5"/>
  <c r="U849" i="5"/>
  <c r="V849" i="5"/>
  <c r="W849" i="5"/>
  <c r="X849" i="5"/>
  <c r="B850" i="5"/>
  <c r="C850" i="5"/>
  <c r="D850" i="5"/>
  <c r="AB850" i="5" s="1"/>
  <c r="E850" i="5"/>
  <c r="F850" i="5"/>
  <c r="G850" i="5"/>
  <c r="H850" i="5"/>
  <c r="I850" i="5"/>
  <c r="J850" i="5"/>
  <c r="K850" i="5"/>
  <c r="L850" i="5"/>
  <c r="M850" i="5"/>
  <c r="N850" i="5"/>
  <c r="O850" i="5"/>
  <c r="P850" i="5"/>
  <c r="AC850" i="5" s="1"/>
  <c r="Q850" i="5"/>
  <c r="R850" i="5"/>
  <c r="S850" i="5"/>
  <c r="T850" i="5"/>
  <c r="U850" i="5"/>
  <c r="V850" i="5"/>
  <c r="W850" i="5"/>
  <c r="X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AC851" i="5" s="1"/>
  <c r="Q851" i="5"/>
  <c r="R851" i="5"/>
  <c r="S851" i="5"/>
  <c r="T851" i="5"/>
  <c r="U851" i="5"/>
  <c r="V851" i="5"/>
  <c r="W851" i="5"/>
  <c r="X851" i="5"/>
  <c r="B852" i="5"/>
  <c r="C852" i="5"/>
  <c r="D852" i="5"/>
  <c r="AB852" i="5" s="1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AC854" i="5" s="1"/>
  <c r="N854" i="5"/>
  <c r="O854" i="5"/>
  <c r="P854" i="5"/>
  <c r="Q854" i="5"/>
  <c r="R854" i="5"/>
  <c r="S854" i="5"/>
  <c r="T854" i="5"/>
  <c r="U854" i="5"/>
  <c r="V854" i="5"/>
  <c r="W854" i="5"/>
  <c r="X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N855" i="5"/>
  <c r="AC855" i="5" s="1"/>
  <c r="O855" i="5"/>
  <c r="P855" i="5"/>
  <c r="Q855" i="5"/>
  <c r="R855" i="5"/>
  <c r="S855" i="5"/>
  <c r="T855" i="5"/>
  <c r="U855" i="5"/>
  <c r="V855" i="5"/>
  <c r="W855" i="5"/>
  <c r="X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N856" i="5"/>
  <c r="O856" i="5"/>
  <c r="P856" i="5"/>
  <c r="Q856" i="5"/>
  <c r="R856" i="5"/>
  <c r="S856" i="5"/>
  <c r="T856" i="5"/>
  <c r="U856" i="5"/>
  <c r="V856" i="5"/>
  <c r="W856" i="5"/>
  <c r="X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AC857" i="5" s="1"/>
  <c r="Q857" i="5"/>
  <c r="R857" i="5"/>
  <c r="S857" i="5"/>
  <c r="T857" i="5"/>
  <c r="U857" i="5"/>
  <c r="V857" i="5"/>
  <c r="W857" i="5"/>
  <c r="X857" i="5"/>
  <c r="B858" i="5"/>
  <c r="C858" i="5"/>
  <c r="D858" i="5"/>
  <c r="AB858" i="5" s="1"/>
  <c r="E858" i="5"/>
  <c r="F858" i="5"/>
  <c r="G858" i="5"/>
  <c r="H858" i="5"/>
  <c r="I858" i="5"/>
  <c r="J858" i="5"/>
  <c r="K858" i="5"/>
  <c r="L858" i="5"/>
  <c r="M858" i="5"/>
  <c r="N858" i="5"/>
  <c r="O858" i="5"/>
  <c r="P858" i="5"/>
  <c r="AC858" i="5" s="1"/>
  <c r="Q858" i="5"/>
  <c r="R858" i="5"/>
  <c r="S858" i="5"/>
  <c r="T858" i="5"/>
  <c r="U858" i="5"/>
  <c r="V858" i="5"/>
  <c r="W858" i="5"/>
  <c r="X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AC859" i="5" s="1"/>
  <c r="Q859" i="5"/>
  <c r="R859" i="5"/>
  <c r="S859" i="5"/>
  <c r="T859" i="5"/>
  <c r="U859" i="5"/>
  <c r="V859" i="5"/>
  <c r="W859" i="5"/>
  <c r="X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AC864" i="5" s="1"/>
  <c r="Q864" i="5"/>
  <c r="R864" i="5"/>
  <c r="S864" i="5"/>
  <c r="T864" i="5"/>
  <c r="U864" i="5"/>
  <c r="V864" i="5"/>
  <c r="W864" i="5"/>
  <c r="X864" i="5"/>
  <c r="B865" i="5"/>
  <c r="C865" i="5"/>
  <c r="D865" i="5"/>
  <c r="AB865" i="5" s="1"/>
  <c r="E865" i="5"/>
  <c r="F865" i="5"/>
  <c r="G865" i="5"/>
  <c r="H865" i="5"/>
  <c r="I865" i="5"/>
  <c r="J865" i="5"/>
  <c r="K865" i="5"/>
  <c r="L865" i="5"/>
  <c r="M865" i="5"/>
  <c r="N865" i="5"/>
  <c r="O865" i="5"/>
  <c r="P865" i="5"/>
  <c r="AC865" i="5" s="1"/>
  <c r="Q865" i="5"/>
  <c r="R865" i="5"/>
  <c r="S865" i="5"/>
  <c r="T865" i="5"/>
  <c r="U865" i="5"/>
  <c r="V865" i="5"/>
  <c r="W865" i="5"/>
  <c r="X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AC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AC873" i="5" s="1"/>
  <c r="N873" i="5"/>
  <c r="O873" i="5"/>
  <c r="P873" i="5"/>
  <c r="Q873" i="5"/>
  <c r="R873" i="5"/>
  <c r="S873" i="5"/>
  <c r="T873" i="5"/>
  <c r="U873" i="5"/>
  <c r="V873" i="5"/>
  <c r="W873" i="5"/>
  <c r="X873" i="5"/>
  <c r="AB873" i="5"/>
  <c r="B874" i="5"/>
  <c r="C874" i="5"/>
  <c r="D874" i="5"/>
  <c r="E874" i="5"/>
  <c r="F874" i="5"/>
  <c r="G874" i="5"/>
  <c r="H874" i="5"/>
  <c r="AB874" i="5" s="1"/>
  <c r="I874" i="5"/>
  <c r="J874" i="5"/>
  <c r="K874" i="5"/>
  <c r="L874" i="5"/>
  <c r="M874" i="5"/>
  <c r="N874" i="5"/>
  <c r="O874" i="5"/>
  <c r="P874" i="5"/>
  <c r="AC874" i="5" s="1"/>
  <c r="Q874" i="5"/>
  <c r="R874" i="5"/>
  <c r="S874" i="5"/>
  <c r="T874" i="5"/>
  <c r="U874" i="5"/>
  <c r="V874" i="5"/>
  <c r="W874" i="5"/>
  <c r="X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AC880" i="5" s="1"/>
  <c r="O880" i="5"/>
  <c r="P880" i="5"/>
  <c r="Q880" i="5"/>
  <c r="R880" i="5"/>
  <c r="S880" i="5"/>
  <c r="T880" i="5"/>
  <c r="U880" i="5"/>
  <c r="V880" i="5"/>
  <c r="W880" i="5"/>
  <c r="X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B882" i="5"/>
  <c r="C882" i="5"/>
  <c r="D882" i="5"/>
  <c r="AB882" i="5" s="1"/>
  <c r="E882" i="5"/>
  <c r="F882" i="5"/>
  <c r="G882" i="5"/>
  <c r="H882" i="5"/>
  <c r="I882" i="5"/>
  <c r="J882" i="5"/>
  <c r="K882" i="5"/>
  <c r="L882" i="5"/>
  <c r="M882" i="5"/>
  <c r="N882" i="5"/>
  <c r="O882" i="5"/>
  <c r="P882" i="5"/>
  <c r="AC882" i="5" s="1"/>
  <c r="Q882" i="5"/>
  <c r="R882" i="5"/>
  <c r="S882" i="5"/>
  <c r="T882" i="5"/>
  <c r="U882" i="5"/>
  <c r="V882" i="5"/>
  <c r="W882" i="5"/>
  <c r="X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AC883" i="5" s="1"/>
  <c r="Q883" i="5"/>
  <c r="R883" i="5"/>
  <c r="S883" i="5"/>
  <c r="T883" i="5"/>
  <c r="U883" i="5"/>
  <c r="V883" i="5"/>
  <c r="W883" i="5"/>
  <c r="X883" i="5"/>
  <c r="B884" i="5"/>
  <c r="C884" i="5"/>
  <c r="D884" i="5"/>
  <c r="AB884" i="5" s="1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N887" i="5"/>
  <c r="AC887" i="5" s="1"/>
  <c r="O887" i="5"/>
  <c r="P887" i="5"/>
  <c r="Q887" i="5"/>
  <c r="R887" i="5"/>
  <c r="S887" i="5"/>
  <c r="T887" i="5"/>
  <c r="U887" i="5"/>
  <c r="V887" i="5"/>
  <c r="W887" i="5"/>
  <c r="X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AC889" i="5" s="1"/>
  <c r="Q889" i="5"/>
  <c r="R889" i="5"/>
  <c r="S889" i="5"/>
  <c r="T889" i="5"/>
  <c r="U889" i="5"/>
  <c r="V889" i="5"/>
  <c r="W889" i="5"/>
  <c r="X889" i="5"/>
  <c r="B890" i="5"/>
  <c r="C890" i="5"/>
  <c r="D890" i="5"/>
  <c r="AB890" i="5" s="1"/>
  <c r="E890" i="5"/>
  <c r="F890" i="5"/>
  <c r="G890" i="5"/>
  <c r="H890" i="5"/>
  <c r="I890" i="5"/>
  <c r="J890" i="5"/>
  <c r="K890" i="5"/>
  <c r="L890" i="5"/>
  <c r="M890" i="5"/>
  <c r="N890" i="5"/>
  <c r="O890" i="5"/>
  <c r="P890" i="5"/>
  <c r="AC890" i="5" s="1"/>
  <c r="Q890" i="5"/>
  <c r="R890" i="5"/>
  <c r="S890" i="5"/>
  <c r="T890" i="5"/>
  <c r="U890" i="5"/>
  <c r="V890" i="5"/>
  <c r="W890" i="5"/>
  <c r="X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AC891" i="5" s="1"/>
  <c r="Q891" i="5"/>
  <c r="R891" i="5"/>
  <c r="S891" i="5"/>
  <c r="T891" i="5"/>
  <c r="U891" i="5"/>
  <c r="V891" i="5"/>
  <c r="W891" i="5"/>
  <c r="X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AC896" i="5" s="1"/>
  <c r="Q896" i="5"/>
  <c r="R896" i="5"/>
  <c r="S896" i="5"/>
  <c r="T896" i="5"/>
  <c r="U896" i="5"/>
  <c r="V896" i="5"/>
  <c r="W896" i="5"/>
  <c r="X896" i="5"/>
  <c r="B897" i="5"/>
  <c r="C897" i="5"/>
  <c r="D897" i="5"/>
  <c r="AB897" i="5" s="1"/>
  <c r="E897" i="5"/>
  <c r="F897" i="5"/>
  <c r="G897" i="5"/>
  <c r="H897" i="5"/>
  <c r="I897" i="5"/>
  <c r="J897" i="5"/>
  <c r="K897" i="5"/>
  <c r="L897" i="5"/>
  <c r="M897" i="5"/>
  <c r="N897" i="5"/>
  <c r="O897" i="5"/>
  <c r="P897" i="5"/>
  <c r="AC897" i="5" s="1"/>
  <c r="Q897" i="5"/>
  <c r="R897" i="5"/>
  <c r="S897" i="5"/>
  <c r="T897" i="5"/>
  <c r="U897" i="5"/>
  <c r="V897" i="5"/>
  <c r="W897" i="5"/>
  <c r="X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AC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AC905" i="5" s="1"/>
  <c r="N905" i="5"/>
  <c r="O905" i="5"/>
  <c r="P905" i="5"/>
  <c r="Q905" i="5"/>
  <c r="R905" i="5"/>
  <c r="S905" i="5"/>
  <c r="T905" i="5"/>
  <c r="U905" i="5"/>
  <c r="V905" i="5"/>
  <c r="W905" i="5"/>
  <c r="X905" i="5"/>
  <c r="AB905" i="5"/>
  <c r="B906" i="5"/>
  <c r="C906" i="5"/>
  <c r="D906" i="5"/>
  <c r="E906" i="5"/>
  <c r="F906" i="5"/>
  <c r="G906" i="5"/>
  <c r="H906" i="5"/>
  <c r="AB906" i="5" s="1"/>
  <c r="I906" i="5"/>
  <c r="J906" i="5"/>
  <c r="K906" i="5"/>
  <c r="L906" i="5"/>
  <c r="M906" i="5"/>
  <c r="N906" i="5"/>
  <c r="O906" i="5"/>
  <c r="P906" i="5"/>
  <c r="AC906" i="5" s="1"/>
  <c r="Q906" i="5"/>
  <c r="R906" i="5"/>
  <c r="S906" i="5"/>
  <c r="T906" i="5"/>
  <c r="U906" i="5"/>
  <c r="V906" i="5"/>
  <c r="W906" i="5"/>
  <c r="X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AC912" i="5" s="1"/>
  <c r="O912" i="5"/>
  <c r="P912" i="5"/>
  <c r="Q912" i="5"/>
  <c r="R912" i="5"/>
  <c r="S912" i="5"/>
  <c r="T912" i="5"/>
  <c r="U912" i="5"/>
  <c r="V912" i="5"/>
  <c r="W912" i="5"/>
  <c r="X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AC913" i="5" s="1"/>
  <c r="P913" i="5"/>
  <c r="Q913" i="5"/>
  <c r="R913" i="5"/>
  <c r="S913" i="5"/>
  <c r="T913" i="5"/>
  <c r="U913" i="5"/>
  <c r="V913" i="5"/>
  <c r="W913" i="5"/>
  <c r="X913" i="5"/>
  <c r="B914" i="5"/>
  <c r="C914" i="5"/>
  <c r="AB914" i="5" s="1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AC915" i="5" s="1"/>
  <c r="P915" i="5"/>
  <c r="Q915" i="5"/>
  <c r="R915" i="5"/>
  <c r="S915" i="5"/>
  <c r="T915" i="5"/>
  <c r="U915" i="5"/>
  <c r="V915" i="5"/>
  <c r="W915" i="5"/>
  <c r="X915" i="5"/>
  <c r="B916" i="5"/>
  <c r="C916" i="5"/>
  <c r="AB916" i="5" s="1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AC920" i="5" s="1"/>
  <c r="O920" i="5"/>
  <c r="P920" i="5"/>
  <c r="Q920" i="5"/>
  <c r="R920" i="5"/>
  <c r="S920" i="5"/>
  <c r="T920" i="5"/>
  <c r="U920" i="5"/>
  <c r="V920" i="5"/>
  <c r="W920" i="5"/>
  <c r="X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AC921" i="5" s="1"/>
  <c r="P921" i="5"/>
  <c r="Q921" i="5"/>
  <c r="R921" i="5"/>
  <c r="S921" i="5"/>
  <c r="T921" i="5"/>
  <c r="U921" i="5"/>
  <c r="V921" i="5"/>
  <c r="W921" i="5"/>
  <c r="X921" i="5"/>
  <c r="B922" i="5"/>
  <c r="C922" i="5"/>
  <c r="AB922" i="5" s="1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AC923" i="5" s="1"/>
  <c r="P923" i="5"/>
  <c r="Q923" i="5"/>
  <c r="R923" i="5"/>
  <c r="S923" i="5"/>
  <c r="T923" i="5"/>
  <c r="U923" i="5"/>
  <c r="V923" i="5"/>
  <c r="W923" i="5"/>
  <c r="X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N925" i="5"/>
  <c r="O925" i="5"/>
  <c r="P925" i="5"/>
  <c r="Q925" i="5"/>
  <c r="R925" i="5"/>
  <c r="S925" i="5"/>
  <c r="T925" i="5"/>
  <c r="U925" i="5"/>
  <c r="V925" i="5"/>
  <c r="W925" i="5"/>
  <c r="X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N926" i="5"/>
  <c r="O926" i="5"/>
  <c r="P926" i="5"/>
  <c r="Q926" i="5"/>
  <c r="R926" i="5"/>
  <c r="S926" i="5"/>
  <c r="T926" i="5"/>
  <c r="U926" i="5"/>
  <c r="V926" i="5"/>
  <c r="W926" i="5"/>
  <c r="X926" i="5"/>
  <c r="B927" i="5"/>
  <c r="C927" i="5"/>
  <c r="D927" i="5"/>
  <c r="E927" i="5"/>
  <c r="F927" i="5"/>
  <c r="G927" i="5"/>
  <c r="H927" i="5"/>
  <c r="I927" i="5"/>
  <c r="J927" i="5"/>
  <c r="K927" i="5"/>
  <c r="L927" i="5"/>
  <c r="M927" i="5"/>
  <c r="N927" i="5"/>
  <c r="AC927" i="5" s="1"/>
  <c r="O927" i="5"/>
  <c r="P927" i="5"/>
  <c r="Q927" i="5"/>
  <c r="R927" i="5"/>
  <c r="S927" i="5"/>
  <c r="T927" i="5"/>
  <c r="U927" i="5"/>
  <c r="V927" i="5"/>
  <c r="W927" i="5"/>
  <c r="X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AC928" i="5" s="1"/>
  <c r="P928" i="5"/>
  <c r="Q928" i="5"/>
  <c r="R928" i="5"/>
  <c r="S928" i="5"/>
  <c r="T928" i="5"/>
  <c r="U928" i="5"/>
  <c r="V928" i="5"/>
  <c r="W928" i="5"/>
  <c r="X928" i="5"/>
  <c r="B929" i="5"/>
  <c r="C929" i="5"/>
  <c r="AB929" i="5" s="1"/>
  <c r="D929" i="5"/>
  <c r="E929" i="5"/>
  <c r="F929" i="5"/>
  <c r="G929" i="5"/>
  <c r="H929" i="5"/>
  <c r="I929" i="5"/>
  <c r="J929" i="5"/>
  <c r="K929" i="5"/>
  <c r="L929" i="5"/>
  <c r="M929" i="5"/>
  <c r="N929" i="5"/>
  <c r="O929" i="5"/>
  <c r="AC929" i="5" s="1"/>
  <c r="P929" i="5"/>
  <c r="Q929" i="5"/>
  <c r="R929" i="5"/>
  <c r="S929" i="5"/>
  <c r="T929" i="5"/>
  <c r="U929" i="5"/>
  <c r="V929" i="5"/>
  <c r="W929" i="5"/>
  <c r="X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AC931" i="5" s="1"/>
  <c r="P931" i="5"/>
  <c r="Q931" i="5"/>
  <c r="R931" i="5"/>
  <c r="S931" i="5"/>
  <c r="T931" i="5"/>
  <c r="U931" i="5"/>
  <c r="V931" i="5"/>
  <c r="W931" i="5"/>
  <c r="X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AC936" i="5" s="1"/>
  <c r="Q936" i="5"/>
  <c r="R936" i="5"/>
  <c r="S936" i="5"/>
  <c r="T936" i="5"/>
  <c r="U936" i="5"/>
  <c r="V936" i="5"/>
  <c r="W936" i="5"/>
  <c r="X936" i="5"/>
  <c r="B937" i="5"/>
  <c r="C937" i="5"/>
  <c r="D937" i="5"/>
  <c r="AB937" i="5" s="1"/>
  <c r="E937" i="5"/>
  <c r="F937" i="5"/>
  <c r="G937" i="5"/>
  <c r="H937" i="5"/>
  <c r="I937" i="5"/>
  <c r="J937" i="5"/>
  <c r="K937" i="5"/>
  <c r="L937" i="5"/>
  <c r="M937" i="5"/>
  <c r="N937" i="5"/>
  <c r="O937" i="5"/>
  <c r="P937" i="5"/>
  <c r="AC937" i="5" s="1"/>
  <c r="Q937" i="5"/>
  <c r="R937" i="5"/>
  <c r="S937" i="5"/>
  <c r="T937" i="5"/>
  <c r="U937" i="5"/>
  <c r="V937" i="5"/>
  <c r="W937" i="5"/>
  <c r="X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AC945" i="5" s="1"/>
  <c r="O945" i="5"/>
  <c r="P945" i="5"/>
  <c r="Q945" i="5"/>
  <c r="R945" i="5"/>
  <c r="S945" i="5"/>
  <c r="T945" i="5"/>
  <c r="U945" i="5"/>
  <c r="V945" i="5"/>
  <c r="W945" i="5"/>
  <c r="X945" i="5"/>
  <c r="B946" i="5"/>
  <c r="AB946" i="5" s="1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N947" i="5"/>
  <c r="AC947" i="5" s="1"/>
  <c r="O947" i="5"/>
  <c r="P947" i="5"/>
  <c r="Q947" i="5"/>
  <c r="R947" i="5"/>
  <c r="S947" i="5"/>
  <c r="T947" i="5"/>
  <c r="U947" i="5"/>
  <c r="V947" i="5"/>
  <c r="W947" i="5"/>
  <c r="X947" i="5"/>
  <c r="B948" i="5"/>
  <c r="AB948" i="5" s="1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AC953" i="5" s="1"/>
  <c r="O953" i="5"/>
  <c r="P953" i="5"/>
  <c r="Q953" i="5"/>
  <c r="R953" i="5"/>
  <c r="S953" i="5"/>
  <c r="T953" i="5"/>
  <c r="U953" i="5"/>
  <c r="V953" i="5"/>
  <c r="W953" i="5"/>
  <c r="X953" i="5"/>
  <c r="B954" i="5"/>
  <c r="AB954" i="5" s="1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N955" i="5"/>
  <c r="AC955" i="5" s="1"/>
  <c r="O955" i="5"/>
  <c r="P955" i="5"/>
  <c r="Q955" i="5"/>
  <c r="R955" i="5"/>
  <c r="S955" i="5"/>
  <c r="T955" i="5"/>
  <c r="U955" i="5"/>
  <c r="V955" i="5"/>
  <c r="W955" i="5"/>
  <c r="X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AC956" i="5" s="1"/>
  <c r="O956" i="5"/>
  <c r="P956" i="5"/>
  <c r="Q956" i="5"/>
  <c r="R956" i="5"/>
  <c r="S956" i="5"/>
  <c r="T956" i="5"/>
  <c r="U956" i="5"/>
  <c r="V956" i="5"/>
  <c r="W956" i="5"/>
  <c r="X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AC960" i="5" s="1"/>
  <c r="O960" i="5"/>
  <c r="P960" i="5"/>
  <c r="Q960" i="5"/>
  <c r="R960" i="5"/>
  <c r="S960" i="5"/>
  <c r="T960" i="5"/>
  <c r="U960" i="5"/>
  <c r="V960" i="5"/>
  <c r="W960" i="5"/>
  <c r="X960" i="5"/>
  <c r="B961" i="5"/>
  <c r="AB961" i="5" s="1"/>
  <c r="C961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Q961" i="5"/>
  <c r="R961" i="5"/>
  <c r="S961" i="5"/>
  <c r="T961" i="5"/>
  <c r="U961" i="5"/>
  <c r="V961" i="5"/>
  <c r="W961" i="5"/>
  <c r="X961" i="5"/>
  <c r="AC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AC968" i="5" s="1"/>
  <c r="P968" i="5"/>
  <c r="Q968" i="5"/>
  <c r="R968" i="5"/>
  <c r="S968" i="5"/>
  <c r="T968" i="5"/>
  <c r="U968" i="5"/>
  <c r="V968" i="5"/>
  <c r="W968" i="5"/>
  <c r="X968" i="5"/>
  <c r="B969" i="5"/>
  <c r="C969" i="5"/>
  <c r="AB969" i="5" s="1"/>
  <c r="D969" i="5"/>
  <c r="E969" i="5"/>
  <c r="F969" i="5"/>
  <c r="G969" i="5"/>
  <c r="H969" i="5"/>
  <c r="I969" i="5"/>
  <c r="J969" i="5"/>
  <c r="K969" i="5"/>
  <c r="L969" i="5"/>
  <c r="M969" i="5"/>
  <c r="N969" i="5"/>
  <c r="O969" i="5"/>
  <c r="AC969" i="5" s="1"/>
  <c r="P969" i="5"/>
  <c r="Q969" i="5"/>
  <c r="R969" i="5"/>
  <c r="S969" i="5"/>
  <c r="T969" i="5"/>
  <c r="U969" i="5"/>
  <c r="V969" i="5"/>
  <c r="W969" i="5"/>
  <c r="X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AC971" i="5" s="1"/>
  <c r="P971" i="5"/>
  <c r="Q971" i="5"/>
  <c r="R971" i="5"/>
  <c r="S971" i="5"/>
  <c r="T971" i="5"/>
  <c r="U971" i="5"/>
  <c r="V971" i="5"/>
  <c r="W971" i="5"/>
  <c r="X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AC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AC978" i="5" s="1"/>
  <c r="N978" i="5"/>
  <c r="O978" i="5"/>
  <c r="P978" i="5"/>
  <c r="Q978" i="5"/>
  <c r="R978" i="5"/>
  <c r="S978" i="5"/>
  <c r="T978" i="5"/>
  <c r="U978" i="5"/>
  <c r="V978" i="5"/>
  <c r="W978" i="5"/>
  <c r="X978" i="5"/>
  <c r="AB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AC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AB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AC981" i="5" s="1"/>
  <c r="N981" i="5"/>
  <c r="O981" i="5"/>
  <c r="P981" i="5"/>
  <c r="Q981" i="5"/>
  <c r="R981" i="5"/>
  <c r="S981" i="5"/>
  <c r="T981" i="5"/>
  <c r="U981" i="5"/>
  <c r="V981" i="5"/>
  <c r="W981" i="5"/>
  <c r="X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AC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AC986" i="5" s="1"/>
  <c r="N986" i="5"/>
  <c r="O986" i="5"/>
  <c r="P986" i="5"/>
  <c r="Q986" i="5"/>
  <c r="R986" i="5"/>
  <c r="S986" i="5"/>
  <c r="T986" i="5"/>
  <c r="U986" i="5"/>
  <c r="V986" i="5"/>
  <c r="W986" i="5"/>
  <c r="X986" i="5"/>
  <c r="AB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AC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AC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AC993" i="5" s="1"/>
  <c r="N993" i="5"/>
  <c r="O993" i="5"/>
  <c r="P993" i="5"/>
  <c r="Q993" i="5"/>
  <c r="R993" i="5"/>
  <c r="S993" i="5"/>
  <c r="T993" i="5"/>
  <c r="U993" i="5"/>
  <c r="V993" i="5"/>
  <c r="W993" i="5"/>
  <c r="X993" i="5"/>
  <c r="AB993" i="5"/>
  <c r="B994" i="5"/>
  <c r="C994" i="5"/>
  <c r="D994" i="5"/>
  <c r="E994" i="5"/>
  <c r="F994" i="5"/>
  <c r="G994" i="5"/>
  <c r="H994" i="5"/>
  <c r="AB994" i="5" s="1"/>
  <c r="I994" i="5"/>
  <c r="J994" i="5"/>
  <c r="K994" i="5"/>
  <c r="L994" i="5"/>
  <c r="M994" i="5"/>
  <c r="N994" i="5"/>
  <c r="O994" i="5"/>
  <c r="P994" i="5"/>
  <c r="AC994" i="5" s="1"/>
  <c r="Q994" i="5"/>
  <c r="R994" i="5"/>
  <c r="S994" i="5"/>
  <c r="T994" i="5"/>
  <c r="U994" i="5"/>
  <c r="V994" i="5"/>
  <c r="W994" i="5"/>
  <c r="X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AC996" i="5" s="1"/>
  <c r="O996" i="5"/>
  <c r="P996" i="5"/>
  <c r="Q996" i="5"/>
  <c r="R996" i="5"/>
  <c r="S996" i="5"/>
  <c r="T996" i="5"/>
  <c r="U996" i="5"/>
  <c r="V996" i="5"/>
  <c r="W996" i="5"/>
  <c r="X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N999" i="5"/>
  <c r="O999" i="5"/>
  <c r="P999" i="5"/>
  <c r="Q999" i="5"/>
  <c r="R999" i="5"/>
  <c r="S999" i="5"/>
  <c r="T999" i="5"/>
  <c r="U999" i="5"/>
  <c r="V999" i="5"/>
  <c r="W999" i="5"/>
  <c r="X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N1000" i="5"/>
  <c r="AC1000" i="5" s="1"/>
  <c r="O1000" i="5"/>
  <c r="P1000" i="5"/>
  <c r="Q1000" i="5"/>
  <c r="R1000" i="5"/>
  <c r="S1000" i="5"/>
  <c r="T1000" i="5"/>
  <c r="U1000" i="5"/>
  <c r="V1000" i="5"/>
  <c r="W1000" i="5"/>
  <c r="X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AC1001" i="5" s="1"/>
  <c r="P1001" i="5"/>
  <c r="Q1001" i="5"/>
  <c r="R1001" i="5"/>
  <c r="S1001" i="5"/>
  <c r="T1001" i="5"/>
  <c r="U1001" i="5"/>
  <c r="V1001" i="5"/>
  <c r="W1001" i="5"/>
  <c r="X1001" i="5"/>
  <c r="B1002" i="5"/>
  <c r="C1002" i="5"/>
  <c r="AB1002" i="5" s="1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AC1003" i="5" s="1"/>
  <c r="P1003" i="5"/>
  <c r="Q1003" i="5"/>
  <c r="R1003" i="5"/>
  <c r="S1003" i="5"/>
  <c r="T1003" i="5"/>
  <c r="U1003" i="5"/>
  <c r="V1003" i="5"/>
  <c r="W1003" i="5"/>
  <c r="X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AC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AB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AC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AB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AC1017" i="5" s="1"/>
  <c r="N1017" i="5"/>
  <c r="O1017" i="5"/>
  <c r="P1017" i="5"/>
  <c r="Q1017" i="5"/>
  <c r="R1017" i="5"/>
  <c r="S1017" i="5"/>
  <c r="T1017" i="5"/>
  <c r="U1017" i="5"/>
  <c r="V1017" i="5"/>
  <c r="W1017" i="5"/>
  <c r="X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AC1021" i="5" s="1"/>
  <c r="N1021" i="5"/>
  <c r="O1021" i="5"/>
  <c r="P1021" i="5"/>
  <c r="Q1021" i="5"/>
  <c r="R1021" i="5"/>
  <c r="S1021" i="5"/>
  <c r="T1021" i="5"/>
  <c r="U1021" i="5"/>
  <c r="V1021" i="5"/>
  <c r="W1021" i="5"/>
  <c r="X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AC1024" i="5" s="1"/>
  <c r="Q1024" i="5"/>
  <c r="R1024" i="5"/>
  <c r="S1024" i="5"/>
  <c r="T1024" i="5"/>
  <c r="U1024" i="5"/>
  <c r="V1024" i="5"/>
  <c r="W1024" i="5"/>
  <c r="X1024" i="5"/>
  <c r="B1025" i="5"/>
  <c r="C1025" i="5"/>
  <c r="D1025" i="5"/>
  <c r="AB1025" i="5" s="1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AC1027" i="5" s="1"/>
  <c r="N1027" i="5"/>
  <c r="O1027" i="5"/>
  <c r="P1027" i="5"/>
  <c r="Q1027" i="5"/>
  <c r="R1027" i="5"/>
  <c r="S1027" i="5"/>
  <c r="T1027" i="5"/>
  <c r="U1027" i="5"/>
  <c r="V1027" i="5"/>
  <c r="W1027" i="5"/>
  <c r="X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AC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B1033" i="5"/>
  <c r="C1033" i="5"/>
  <c r="D1033" i="5"/>
  <c r="E1033" i="5"/>
  <c r="F1033" i="5"/>
  <c r="G1033" i="5"/>
  <c r="H1033" i="5"/>
  <c r="I1033" i="5"/>
  <c r="J1033" i="5"/>
  <c r="K1033" i="5"/>
  <c r="L1033" i="5"/>
  <c r="M1033" i="5"/>
  <c r="N1033" i="5"/>
  <c r="AC1033" i="5" s="1"/>
  <c r="O1033" i="5"/>
  <c r="P1033" i="5"/>
  <c r="Q1033" i="5"/>
  <c r="R1033" i="5"/>
  <c r="S1033" i="5"/>
  <c r="T1033" i="5"/>
  <c r="U1033" i="5"/>
  <c r="V1033" i="5"/>
  <c r="W1033" i="5"/>
  <c r="X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AC1036" i="5" s="1"/>
  <c r="N1036" i="5"/>
  <c r="O1036" i="5"/>
  <c r="P1036" i="5"/>
  <c r="Q1036" i="5"/>
  <c r="R1036" i="5"/>
  <c r="S1036" i="5"/>
  <c r="T1036" i="5"/>
  <c r="U1036" i="5"/>
  <c r="V1036" i="5"/>
  <c r="W1036" i="5"/>
  <c r="X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N1037" i="5"/>
  <c r="AC1037" i="5" s="1"/>
  <c r="O1037" i="5"/>
  <c r="P1037" i="5"/>
  <c r="Q1037" i="5"/>
  <c r="R1037" i="5"/>
  <c r="S1037" i="5"/>
  <c r="T1037" i="5"/>
  <c r="U1037" i="5"/>
  <c r="V1037" i="5"/>
  <c r="W1037" i="5"/>
  <c r="X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AC1039" i="5" s="1"/>
  <c r="P1039" i="5"/>
  <c r="Q1039" i="5"/>
  <c r="R1039" i="5"/>
  <c r="S1039" i="5"/>
  <c r="T1039" i="5"/>
  <c r="U1039" i="5"/>
  <c r="V1039" i="5"/>
  <c r="W1039" i="5"/>
  <c r="X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AC1041" i="5" s="1"/>
  <c r="Q1041" i="5"/>
  <c r="R1041" i="5"/>
  <c r="S1041" i="5"/>
  <c r="T1041" i="5"/>
  <c r="U1041" i="5"/>
  <c r="V1041" i="5"/>
  <c r="W1041" i="5"/>
  <c r="X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AC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AC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AC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AB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AC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AC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AB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N1065" i="5"/>
  <c r="AC1065" i="5" s="1"/>
  <c r="O1065" i="5"/>
  <c r="P1065" i="5"/>
  <c r="Q1065" i="5"/>
  <c r="R1065" i="5"/>
  <c r="S1065" i="5"/>
  <c r="T1065" i="5"/>
  <c r="U1065" i="5"/>
  <c r="V1065" i="5"/>
  <c r="W1065" i="5"/>
  <c r="X1065" i="5"/>
  <c r="B1066" i="5"/>
  <c r="AB1066" i="5" s="1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AC1066" i="5" s="1"/>
  <c r="Q1066" i="5"/>
  <c r="R1066" i="5"/>
  <c r="S1066" i="5"/>
  <c r="T1066" i="5"/>
  <c r="U1066" i="5"/>
  <c r="V1066" i="5"/>
  <c r="W1066" i="5"/>
  <c r="X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AC1068" i="5" s="1"/>
  <c r="Q1068" i="5"/>
  <c r="R1068" i="5"/>
  <c r="S1068" i="5"/>
  <c r="T1068" i="5"/>
  <c r="U1068" i="5"/>
  <c r="V1068" i="5"/>
  <c r="W1068" i="5"/>
  <c r="X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B1071" i="5"/>
  <c r="C1071" i="5"/>
  <c r="D1071" i="5"/>
  <c r="E1071" i="5"/>
  <c r="F1071" i="5"/>
  <c r="G1071" i="5"/>
  <c r="H1071" i="5"/>
  <c r="J1071" i="5"/>
  <c r="L1071" i="5"/>
  <c r="M1071" i="5"/>
  <c r="N1071" i="5"/>
  <c r="O1071" i="5"/>
  <c r="P1071" i="5"/>
  <c r="Q1071" i="5"/>
  <c r="S1071" i="5"/>
  <c r="T1071" i="5"/>
  <c r="U1071" i="5"/>
  <c r="V1071" i="5"/>
  <c r="W1071" i="5"/>
  <c r="X1071" i="5"/>
  <c r="Y1071" i="5"/>
  <c r="C1072" i="5"/>
  <c r="D1072" i="5"/>
  <c r="E1072" i="5"/>
  <c r="F1072" i="5"/>
  <c r="L1072" i="5"/>
  <c r="M1072" i="5"/>
  <c r="N1072" i="5"/>
  <c r="O1072" i="5"/>
  <c r="P1072" i="5"/>
  <c r="T1072" i="5"/>
  <c r="U1072" i="5"/>
  <c r="V1072" i="5"/>
  <c r="W1072" i="5"/>
  <c r="X1072" i="5"/>
  <c r="Z1072" i="5"/>
  <c r="AA1072" i="5"/>
  <c r="B1073" i="5"/>
  <c r="C1073" i="5"/>
  <c r="D1073" i="5"/>
  <c r="F1073" i="5"/>
  <c r="G1073" i="5"/>
  <c r="I1073" i="5"/>
  <c r="J1073" i="5"/>
  <c r="L1073" i="5"/>
  <c r="M1073" i="5"/>
  <c r="O1073" i="5"/>
  <c r="P1073" i="5"/>
  <c r="R1073" i="5"/>
  <c r="S1073" i="5"/>
  <c r="T1073" i="5"/>
  <c r="U1073" i="5"/>
  <c r="W1073" i="5"/>
  <c r="X1073" i="5"/>
  <c r="B1074" i="5"/>
  <c r="C1074" i="5"/>
  <c r="D1074" i="5"/>
  <c r="G1074" i="5"/>
  <c r="I1074" i="5"/>
  <c r="J1074" i="5"/>
  <c r="K1074" i="5"/>
  <c r="L1074" i="5"/>
  <c r="Q1074" i="5"/>
  <c r="R1074" i="5"/>
  <c r="S1074" i="5"/>
  <c r="T1074" i="5"/>
  <c r="B1075" i="5"/>
  <c r="C1075" i="5"/>
  <c r="D1075" i="5"/>
  <c r="E1075" i="5"/>
  <c r="F1075" i="5"/>
  <c r="H1075" i="5"/>
  <c r="I1075" i="5"/>
  <c r="J1075" i="5"/>
  <c r="K1075" i="5"/>
  <c r="L1075" i="5"/>
  <c r="M1075" i="5"/>
  <c r="N1075" i="5"/>
  <c r="P1075" i="5"/>
  <c r="Q1075" i="5"/>
  <c r="R1075" i="5"/>
  <c r="S1075" i="5"/>
  <c r="T1075" i="5"/>
  <c r="U1075" i="5"/>
  <c r="V1075" i="5"/>
  <c r="X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B1077" i="5"/>
  <c r="C1077" i="5"/>
  <c r="D1077" i="5"/>
  <c r="F1077" i="5"/>
  <c r="G1077" i="5"/>
  <c r="H1077" i="5"/>
  <c r="I1077" i="5"/>
  <c r="J1077" i="5"/>
  <c r="K1077" i="5"/>
  <c r="L1077" i="5"/>
  <c r="N1077" i="5"/>
  <c r="O1077" i="5"/>
  <c r="P1077" i="5"/>
  <c r="Q1077" i="5"/>
  <c r="R1077" i="5"/>
  <c r="S1077" i="5"/>
  <c r="T1077" i="5"/>
  <c r="V1077" i="5"/>
  <c r="W1077" i="5"/>
  <c r="X1077" i="5"/>
  <c r="B1078" i="5"/>
  <c r="C1078" i="5"/>
  <c r="D1078" i="5"/>
  <c r="E1078" i="5"/>
  <c r="F1078" i="5"/>
  <c r="G1078" i="5"/>
  <c r="J1078" i="5"/>
  <c r="K1078" i="5"/>
  <c r="L1078" i="5"/>
  <c r="M1078" i="5"/>
  <c r="N1078" i="5"/>
  <c r="O1078" i="5"/>
  <c r="R1078" i="5"/>
  <c r="S1078" i="5"/>
  <c r="T1078" i="5"/>
  <c r="U1078" i="5"/>
  <c r="V1078" i="5"/>
  <c r="W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B1080" i="5"/>
  <c r="C1080" i="5"/>
  <c r="D1080" i="5"/>
  <c r="H1080" i="5"/>
  <c r="I1080" i="5"/>
  <c r="J1080" i="5"/>
  <c r="K1080" i="5"/>
  <c r="L1080" i="5"/>
  <c r="P1080" i="5"/>
  <c r="Q1080" i="5"/>
  <c r="R1080" i="5"/>
  <c r="S1080" i="5"/>
  <c r="T1080" i="5"/>
  <c r="X1080" i="5"/>
  <c r="B1081" i="5"/>
  <c r="C1081" i="5"/>
  <c r="D1081" i="5"/>
  <c r="E1081" i="5"/>
  <c r="I1081" i="5"/>
  <c r="J1081" i="5"/>
  <c r="K1081" i="5"/>
  <c r="L1081" i="5"/>
  <c r="M1081" i="5"/>
  <c r="R1081" i="5"/>
  <c r="S1081" i="5"/>
  <c r="T1081" i="5"/>
  <c r="U1081" i="5"/>
  <c r="B1082" i="5"/>
  <c r="C1082" i="5"/>
  <c r="D1082" i="5"/>
  <c r="F1082" i="5"/>
  <c r="H1082" i="5"/>
  <c r="I1082" i="5"/>
  <c r="J1082" i="5"/>
  <c r="K1082" i="5"/>
  <c r="L1082" i="5"/>
  <c r="N1082" i="5"/>
  <c r="P1082" i="5"/>
  <c r="Q1082" i="5"/>
  <c r="R1082" i="5"/>
  <c r="S1082" i="5"/>
  <c r="T1082" i="5"/>
  <c r="V1082" i="5"/>
  <c r="X1082" i="5"/>
  <c r="B1083" i="5"/>
  <c r="C1083" i="5"/>
  <c r="D1083" i="5"/>
  <c r="H1083" i="5"/>
  <c r="I1083" i="5"/>
  <c r="J1083" i="5"/>
  <c r="K1083" i="5"/>
  <c r="L1083" i="5"/>
  <c r="O1083" i="5"/>
  <c r="P1083" i="5"/>
  <c r="Q1083" i="5"/>
  <c r="R1083" i="5"/>
  <c r="S1083" i="5"/>
  <c r="T1083" i="5"/>
  <c r="W1083" i="5"/>
  <c r="X1083" i="5"/>
  <c r="C1084" i="5"/>
  <c r="D1084" i="5"/>
  <c r="E1084" i="5"/>
  <c r="F1084" i="5"/>
  <c r="G1084" i="5"/>
  <c r="H1084" i="5"/>
  <c r="I1084" i="5"/>
  <c r="K1084" i="5"/>
  <c r="L1084" i="5"/>
  <c r="M1084" i="5"/>
  <c r="N1084" i="5"/>
  <c r="O1084" i="5"/>
  <c r="P1084" i="5"/>
  <c r="Q1084" i="5"/>
  <c r="S1084" i="5"/>
  <c r="T1084" i="5"/>
  <c r="U1084" i="5"/>
  <c r="V1084" i="5"/>
  <c r="W1084" i="5"/>
  <c r="X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C1088" i="5"/>
  <c r="D1088" i="5"/>
  <c r="E1088" i="5"/>
  <c r="I1088" i="5"/>
  <c r="J1088" i="5"/>
  <c r="K1088" i="5"/>
  <c r="L1088" i="5"/>
  <c r="M1088" i="5"/>
  <c r="Q1088" i="5"/>
  <c r="R1088" i="5"/>
  <c r="S1088" i="5"/>
  <c r="T1088" i="5"/>
  <c r="U1088" i="5"/>
  <c r="C1089" i="5"/>
  <c r="D1089" i="5"/>
  <c r="E1089" i="5"/>
  <c r="F1089" i="5"/>
  <c r="G1089" i="5"/>
  <c r="I1089" i="5"/>
  <c r="K1089" i="5"/>
  <c r="L1089" i="5"/>
  <c r="M1089" i="5"/>
  <c r="N1089" i="5"/>
  <c r="O1089" i="5"/>
  <c r="Q1089" i="5"/>
  <c r="R1089" i="5"/>
  <c r="S1089" i="5"/>
  <c r="T1089" i="5"/>
  <c r="U1089" i="5"/>
  <c r="V1089" i="5"/>
  <c r="W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C1091" i="5"/>
  <c r="D1091" i="5"/>
  <c r="G1091" i="5"/>
  <c r="H1091" i="5"/>
  <c r="J1091" i="5"/>
  <c r="K1091" i="5"/>
  <c r="L1091" i="5"/>
  <c r="O1091" i="5"/>
  <c r="R1091" i="5"/>
  <c r="S1091" i="5"/>
  <c r="T1091" i="5"/>
  <c r="W1091" i="5"/>
  <c r="C1092" i="5"/>
  <c r="D1092" i="5"/>
  <c r="E1092" i="5"/>
  <c r="F1092" i="5"/>
  <c r="G1092" i="5"/>
  <c r="H1092" i="5"/>
  <c r="I1092" i="5"/>
  <c r="K1092" i="5"/>
  <c r="L1092" i="5"/>
  <c r="M1092" i="5"/>
  <c r="N1092" i="5"/>
  <c r="O1092" i="5"/>
  <c r="P1092" i="5"/>
  <c r="Q1092" i="5"/>
  <c r="S1092" i="5"/>
  <c r="T1092" i="5"/>
  <c r="U1092" i="5"/>
  <c r="V1092" i="5"/>
  <c r="W1092" i="5"/>
  <c r="X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C1094" i="5"/>
  <c r="D1094" i="5"/>
  <c r="F1094" i="5"/>
  <c r="I1094" i="5"/>
  <c r="K1094" i="5"/>
  <c r="L1094" i="5"/>
  <c r="N1094" i="5"/>
  <c r="Q1094" i="5"/>
  <c r="S1094" i="5"/>
  <c r="T1094" i="5"/>
  <c r="U1094" i="5"/>
  <c r="V1094" i="5"/>
  <c r="W1094" i="5"/>
  <c r="A1095" i="5"/>
  <c r="B1095" i="5"/>
  <c r="C1095" i="5"/>
  <c r="D1095" i="5"/>
  <c r="E1095" i="5"/>
  <c r="F1095" i="5"/>
  <c r="G1095" i="5"/>
  <c r="H1095" i="5"/>
  <c r="J1095" i="5"/>
  <c r="K1095" i="5"/>
  <c r="L1095" i="5"/>
  <c r="M1095" i="5"/>
  <c r="N1095" i="5"/>
  <c r="O1095" i="5"/>
  <c r="P1095" i="5"/>
  <c r="R1095" i="5"/>
  <c r="S1095" i="5"/>
  <c r="T1095" i="5"/>
  <c r="U1095" i="5"/>
  <c r="V1095" i="5"/>
  <c r="W1095" i="5"/>
  <c r="X1095" i="5"/>
  <c r="A1096" i="5"/>
  <c r="A1097" i="5" s="1"/>
  <c r="A1098" i="5" s="1"/>
  <c r="A1099" i="5" s="1"/>
  <c r="A1100" i="5" s="1"/>
  <c r="A1101" i="5" s="1"/>
  <c r="A1102" i="5" s="1"/>
  <c r="A1103" i="5" s="1"/>
  <c r="A1104" i="5" s="1"/>
  <c r="A1105" i="5" s="1"/>
  <c r="A1106" i="5" s="1"/>
  <c r="A1107" i="5" s="1"/>
  <c r="A1108" i="5" s="1"/>
  <c r="A1109" i="5" s="1"/>
  <c r="A1110" i="5" s="1"/>
  <c r="A1111" i="5" s="1"/>
  <c r="A1112" i="5" s="1"/>
  <c r="A1113" i="5" s="1"/>
  <c r="A1114" i="5" s="1"/>
  <c r="A1115" i="5" s="1"/>
  <c r="A1116" i="5" s="1"/>
  <c r="A1117" i="5" s="1"/>
  <c r="A1118" i="5" s="1"/>
  <c r="A1119" i="5" s="1"/>
  <c r="B1096" i="5"/>
  <c r="C1096" i="5"/>
  <c r="D1096" i="5"/>
  <c r="F1096" i="5"/>
  <c r="H1096" i="5"/>
  <c r="I1096" i="5"/>
  <c r="J1096" i="5"/>
  <c r="K1096" i="5"/>
  <c r="L1096" i="5"/>
  <c r="N1096" i="5"/>
  <c r="P1096" i="5"/>
  <c r="Q1096" i="5"/>
  <c r="R1096" i="5"/>
  <c r="S1096" i="5"/>
  <c r="T1096" i="5"/>
  <c r="V1096" i="5"/>
  <c r="X1096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B1098" i="5"/>
  <c r="C1098" i="5"/>
  <c r="D1098" i="5"/>
  <c r="E1098" i="5"/>
  <c r="F1098" i="5"/>
  <c r="G1098" i="5"/>
  <c r="I1098" i="5"/>
  <c r="J1098" i="5"/>
  <c r="K1098" i="5"/>
  <c r="L1098" i="5"/>
  <c r="M1098" i="5"/>
  <c r="N1098" i="5"/>
  <c r="O1098" i="5"/>
  <c r="Q1098" i="5"/>
  <c r="R1098" i="5"/>
  <c r="S1098" i="5"/>
  <c r="T1098" i="5"/>
  <c r="U1098" i="5"/>
  <c r="V1098" i="5"/>
  <c r="W1098" i="5"/>
  <c r="B1099" i="5"/>
  <c r="C1099" i="5"/>
  <c r="D1099" i="5"/>
  <c r="E1099" i="5"/>
  <c r="H1099" i="5"/>
  <c r="I1099" i="5"/>
  <c r="J1099" i="5"/>
  <c r="K1099" i="5"/>
  <c r="L1099" i="5"/>
  <c r="M1099" i="5"/>
  <c r="P1099" i="5"/>
  <c r="Q1099" i="5"/>
  <c r="R1099" i="5"/>
  <c r="S1099" i="5"/>
  <c r="T1099" i="5"/>
  <c r="U1099" i="5"/>
  <c r="X1099" i="5"/>
  <c r="B1100" i="5"/>
  <c r="C1100" i="5"/>
  <c r="D1100" i="5"/>
  <c r="F1100" i="5"/>
  <c r="H1100" i="5"/>
  <c r="I1100" i="5"/>
  <c r="J1100" i="5"/>
  <c r="K1100" i="5"/>
  <c r="L1100" i="5"/>
  <c r="N1100" i="5"/>
  <c r="P1100" i="5"/>
  <c r="Q1100" i="5"/>
  <c r="R1100" i="5"/>
  <c r="S1100" i="5"/>
  <c r="T1100" i="5"/>
  <c r="V1100" i="5"/>
  <c r="X1100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B1103" i="5"/>
  <c r="C1103" i="5"/>
  <c r="D1103" i="5"/>
  <c r="E1103" i="5"/>
  <c r="F1103" i="5"/>
  <c r="I1103" i="5"/>
  <c r="J1103" i="5"/>
  <c r="K1103" i="5"/>
  <c r="L1103" i="5"/>
  <c r="M1103" i="5"/>
  <c r="N1103" i="5"/>
  <c r="Q1103" i="5"/>
  <c r="R1103" i="5"/>
  <c r="S1103" i="5"/>
  <c r="T1103" i="5"/>
  <c r="U1103" i="5"/>
  <c r="V1103" i="5"/>
  <c r="B1104" i="5"/>
  <c r="C1104" i="5"/>
  <c r="D1104" i="5"/>
  <c r="E1104" i="5"/>
  <c r="F1104" i="5"/>
  <c r="H1104" i="5"/>
  <c r="I1104" i="5"/>
  <c r="J1104" i="5"/>
  <c r="K1104" i="5"/>
  <c r="L1104" i="5"/>
  <c r="M1104" i="5"/>
  <c r="N1104" i="5"/>
  <c r="P1104" i="5"/>
  <c r="Q1104" i="5"/>
  <c r="R1104" i="5"/>
  <c r="S1104" i="5"/>
  <c r="T1104" i="5"/>
  <c r="U1104" i="5"/>
  <c r="V1104" i="5"/>
  <c r="X1104" i="5"/>
  <c r="B1105" i="5"/>
  <c r="C1105" i="5"/>
  <c r="D1105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B1106" i="5"/>
  <c r="C1106" i="5"/>
  <c r="D1106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B1107" i="5"/>
  <c r="C1107" i="5"/>
  <c r="D1107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B1108" i="5"/>
  <c r="C1108" i="5"/>
  <c r="D1108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B1109" i="5"/>
  <c r="C1109" i="5"/>
  <c r="D1109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B1111" i="5"/>
  <c r="C1111" i="5"/>
  <c r="D1111" i="5"/>
  <c r="E1111" i="5"/>
  <c r="F1111" i="5"/>
  <c r="H1111" i="5"/>
  <c r="I1111" i="5"/>
  <c r="J1111" i="5"/>
  <c r="K1111" i="5"/>
  <c r="L1111" i="5"/>
  <c r="M1111" i="5"/>
  <c r="N1111" i="5"/>
  <c r="P1111" i="5"/>
  <c r="Q1111" i="5"/>
  <c r="R1111" i="5"/>
  <c r="S1111" i="5"/>
  <c r="T1111" i="5"/>
  <c r="U1111" i="5"/>
  <c r="V1111" i="5"/>
  <c r="X1111" i="5"/>
  <c r="B1112" i="5"/>
  <c r="C1112" i="5"/>
  <c r="D1112" i="5"/>
  <c r="E1112" i="5"/>
  <c r="H1112" i="5"/>
  <c r="I1112" i="5"/>
  <c r="J1112" i="5"/>
  <c r="K1112" i="5"/>
  <c r="L1112" i="5"/>
  <c r="M1112" i="5"/>
  <c r="P1112" i="5"/>
  <c r="Q1112" i="5"/>
  <c r="R1112" i="5"/>
  <c r="S1112" i="5"/>
  <c r="T1112" i="5"/>
  <c r="U1112" i="5"/>
  <c r="X1112" i="5"/>
  <c r="B1113" i="5"/>
  <c r="C1113" i="5"/>
  <c r="D1113" i="5"/>
  <c r="F1113" i="5"/>
  <c r="G1113" i="5"/>
  <c r="H1113" i="5"/>
  <c r="I1113" i="5"/>
  <c r="J1113" i="5"/>
  <c r="K1113" i="5"/>
  <c r="L1113" i="5"/>
  <c r="N1113" i="5"/>
  <c r="O1113" i="5"/>
  <c r="P1113" i="5"/>
  <c r="Q1113" i="5"/>
  <c r="R1113" i="5"/>
  <c r="S1113" i="5"/>
  <c r="T1113" i="5"/>
  <c r="V1113" i="5"/>
  <c r="W1113" i="5"/>
  <c r="X1113" i="5"/>
  <c r="B1114" i="5"/>
  <c r="C1114" i="5"/>
  <c r="D1114" i="5"/>
  <c r="E1114" i="5"/>
  <c r="F1114" i="5"/>
  <c r="G1114" i="5"/>
  <c r="I1114" i="5"/>
  <c r="J1114" i="5"/>
  <c r="K1114" i="5"/>
  <c r="L1114" i="5"/>
  <c r="M1114" i="5"/>
  <c r="N1114" i="5"/>
  <c r="O1114" i="5"/>
  <c r="Q1114" i="5"/>
  <c r="R1114" i="5"/>
  <c r="S1114" i="5"/>
  <c r="T1114" i="5"/>
  <c r="U1114" i="5"/>
  <c r="V1114" i="5"/>
  <c r="W1114" i="5"/>
  <c r="B1115" i="5"/>
  <c r="C1115" i="5"/>
  <c r="D1115" i="5"/>
  <c r="E1115" i="5"/>
  <c r="H1115" i="5"/>
  <c r="J1115" i="5"/>
  <c r="K1115" i="5"/>
  <c r="L1115" i="5"/>
  <c r="M1115" i="5"/>
  <c r="P1115" i="5"/>
  <c r="R1115" i="5"/>
  <c r="S1115" i="5"/>
  <c r="T1115" i="5"/>
  <c r="U1115" i="5"/>
  <c r="X1115" i="5"/>
  <c r="B1116" i="5"/>
  <c r="C1116" i="5"/>
  <c r="H1116" i="5"/>
  <c r="I1116" i="5"/>
  <c r="J1116" i="5"/>
  <c r="K1116" i="5"/>
  <c r="P1116" i="5"/>
  <c r="Q1116" i="5"/>
  <c r="R1116" i="5"/>
  <c r="S1116" i="5"/>
  <c r="X1116" i="5"/>
  <c r="B1117" i="5"/>
  <c r="C1117" i="5"/>
  <c r="E1117" i="5"/>
  <c r="F1117" i="5"/>
  <c r="G1117" i="5"/>
  <c r="H1117" i="5"/>
  <c r="I1117" i="5"/>
  <c r="J1117" i="5"/>
  <c r="K1117" i="5"/>
  <c r="M1117" i="5"/>
  <c r="N1117" i="5"/>
  <c r="O1117" i="5"/>
  <c r="P1117" i="5"/>
  <c r="Q1117" i="5"/>
  <c r="R1117" i="5"/>
  <c r="S1117" i="5"/>
  <c r="U1117" i="5"/>
  <c r="V1117" i="5"/>
  <c r="W1117" i="5"/>
  <c r="X1117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E9" i="4"/>
  <c r="G9" i="4"/>
  <c r="J12" i="4"/>
  <c r="J13" i="4"/>
  <c r="J14" i="4"/>
  <c r="J15" i="4"/>
  <c r="J16" i="4"/>
  <c r="J17" i="4"/>
  <c r="J18" i="4"/>
  <c r="J19" i="4"/>
  <c r="J20" i="4"/>
  <c r="B21" i="4"/>
  <c r="C21" i="4"/>
  <c r="D21" i="4"/>
  <c r="E21" i="4"/>
  <c r="F21" i="4"/>
  <c r="G21" i="4"/>
  <c r="H21" i="4"/>
  <c r="I21" i="4"/>
  <c r="J21" i="4"/>
  <c r="B22" i="4"/>
  <c r="C22" i="4"/>
  <c r="D22" i="4"/>
  <c r="E22" i="4"/>
  <c r="F22" i="4"/>
  <c r="G22" i="4"/>
  <c r="H22" i="4"/>
  <c r="I22" i="4"/>
  <c r="J22" i="4"/>
  <c r="B23" i="4"/>
  <c r="C23" i="4"/>
  <c r="D23" i="4"/>
  <c r="E23" i="4"/>
  <c r="F23" i="4"/>
  <c r="G23" i="4"/>
  <c r="H23" i="4"/>
  <c r="H1069" i="4" s="1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J1070" i="4" s="1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J1073" i="4" s="1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J1079" i="4" s="1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J1080" i="4" s="1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J1086" i="4" s="1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J1096" i="4" s="1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J1100" i="4" s="1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J1106" i="4" s="1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J1110" i="4" s="1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J1111" i="4" s="1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J1114" i="4" s="1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J1115" i="4" s="1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C1008" i="4"/>
  <c r="D1008" i="4"/>
  <c r="E1008" i="4"/>
  <c r="F1008" i="4"/>
  <c r="G1008" i="4"/>
  <c r="H1008" i="4"/>
  <c r="I1008" i="4"/>
  <c r="J1008" i="4"/>
  <c r="B1009" i="4"/>
  <c r="C1009" i="4"/>
  <c r="D1009" i="4"/>
  <c r="E1009" i="4"/>
  <c r="F1009" i="4"/>
  <c r="G1009" i="4"/>
  <c r="H1009" i="4"/>
  <c r="I1009" i="4"/>
  <c r="J1009" i="4"/>
  <c r="B1010" i="4"/>
  <c r="C1010" i="4"/>
  <c r="D1010" i="4"/>
  <c r="E1010" i="4"/>
  <c r="F1010" i="4"/>
  <c r="G1010" i="4"/>
  <c r="H1010" i="4"/>
  <c r="I1010" i="4"/>
  <c r="J1010" i="4"/>
  <c r="B1011" i="4"/>
  <c r="C1011" i="4"/>
  <c r="D1011" i="4"/>
  <c r="E1011" i="4"/>
  <c r="F1011" i="4"/>
  <c r="G1011" i="4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D1020" i="4"/>
  <c r="E1020" i="4"/>
  <c r="F1020" i="4"/>
  <c r="G1020" i="4"/>
  <c r="H1020" i="4"/>
  <c r="I1020" i="4"/>
  <c r="J1020" i="4"/>
  <c r="B1021" i="4"/>
  <c r="C1021" i="4"/>
  <c r="D1021" i="4"/>
  <c r="E1021" i="4"/>
  <c r="F1021" i="4"/>
  <c r="G1021" i="4"/>
  <c r="H1021" i="4"/>
  <c r="I1021" i="4"/>
  <c r="J1021" i="4"/>
  <c r="B1022" i="4"/>
  <c r="C1022" i="4"/>
  <c r="D1022" i="4"/>
  <c r="E1022" i="4"/>
  <c r="F1022" i="4"/>
  <c r="G1022" i="4"/>
  <c r="H1022" i="4"/>
  <c r="I1022" i="4"/>
  <c r="J1022" i="4"/>
  <c r="B1023" i="4"/>
  <c r="C1023" i="4"/>
  <c r="D1023" i="4"/>
  <c r="E1023" i="4"/>
  <c r="F1023" i="4"/>
  <c r="G1023" i="4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C1032" i="4"/>
  <c r="D1032" i="4"/>
  <c r="E1032" i="4"/>
  <c r="F1032" i="4"/>
  <c r="G1032" i="4"/>
  <c r="H1032" i="4"/>
  <c r="I1032" i="4"/>
  <c r="J1032" i="4"/>
  <c r="B1033" i="4"/>
  <c r="C1033" i="4"/>
  <c r="D1033" i="4"/>
  <c r="E1033" i="4"/>
  <c r="F1033" i="4"/>
  <c r="G1033" i="4"/>
  <c r="H1033" i="4"/>
  <c r="I1033" i="4"/>
  <c r="J1033" i="4"/>
  <c r="B1034" i="4"/>
  <c r="C1034" i="4"/>
  <c r="D1034" i="4"/>
  <c r="E1034" i="4"/>
  <c r="F1034" i="4"/>
  <c r="G1034" i="4"/>
  <c r="H1034" i="4"/>
  <c r="I1034" i="4"/>
  <c r="J1034" i="4"/>
  <c r="B1035" i="4"/>
  <c r="C1035" i="4"/>
  <c r="D1035" i="4"/>
  <c r="E1035" i="4"/>
  <c r="F1035" i="4"/>
  <c r="G1035" i="4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D1044" i="4"/>
  <c r="E1044" i="4"/>
  <c r="F1044" i="4"/>
  <c r="G1044" i="4"/>
  <c r="H1044" i="4"/>
  <c r="I1044" i="4"/>
  <c r="J1044" i="4"/>
  <c r="B1045" i="4"/>
  <c r="C1045" i="4"/>
  <c r="D1045" i="4"/>
  <c r="E1045" i="4"/>
  <c r="F1045" i="4"/>
  <c r="G1045" i="4"/>
  <c r="H1045" i="4"/>
  <c r="I1045" i="4"/>
  <c r="J1045" i="4"/>
  <c r="B1046" i="4"/>
  <c r="C1046" i="4"/>
  <c r="D1046" i="4"/>
  <c r="E1046" i="4"/>
  <c r="F1046" i="4"/>
  <c r="G1046" i="4"/>
  <c r="H1046" i="4"/>
  <c r="I1046" i="4"/>
  <c r="J1046" i="4"/>
  <c r="B1047" i="4"/>
  <c r="C1047" i="4"/>
  <c r="D1047" i="4"/>
  <c r="E1047" i="4"/>
  <c r="F1047" i="4"/>
  <c r="G1047" i="4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C1056" i="4"/>
  <c r="D1056" i="4"/>
  <c r="E1056" i="4"/>
  <c r="F1056" i="4"/>
  <c r="G1056" i="4"/>
  <c r="H1056" i="4"/>
  <c r="I1056" i="4"/>
  <c r="J1056" i="4"/>
  <c r="B1057" i="4"/>
  <c r="C1057" i="4"/>
  <c r="D1057" i="4"/>
  <c r="E1057" i="4"/>
  <c r="F1057" i="4"/>
  <c r="G1057" i="4"/>
  <c r="H1057" i="4"/>
  <c r="I1057" i="4"/>
  <c r="J1057" i="4"/>
  <c r="B1058" i="4"/>
  <c r="C1058" i="4"/>
  <c r="D1058" i="4"/>
  <c r="E1058" i="4"/>
  <c r="F1058" i="4"/>
  <c r="G1058" i="4"/>
  <c r="H1058" i="4"/>
  <c r="I1058" i="4"/>
  <c r="J1058" i="4"/>
  <c r="B1059" i="4"/>
  <c r="C1059" i="4"/>
  <c r="D1059" i="4"/>
  <c r="E1059" i="4"/>
  <c r="F1059" i="4"/>
  <c r="G1059" i="4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D1069" i="4"/>
  <c r="E1069" i="4"/>
  <c r="F1069" i="4"/>
  <c r="G1069" i="4"/>
  <c r="C1072" i="4"/>
  <c r="H1075" i="4"/>
  <c r="D1079" i="4"/>
  <c r="I1082" i="4"/>
  <c r="E1086" i="4"/>
  <c r="J1089" i="4"/>
  <c r="I1092" i="4"/>
  <c r="A1094" i="4"/>
  <c r="A1095" i="4"/>
  <c r="A1096" i="4" s="1"/>
  <c r="A1097" i="4" s="1"/>
  <c r="C1097" i="4"/>
  <c r="A1098" i="4"/>
  <c r="A1099" i="4" s="1"/>
  <c r="A1100" i="4" s="1"/>
  <c r="A1101" i="4" s="1"/>
  <c r="H1099" i="4"/>
  <c r="A1102" i="4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C1102" i="4"/>
  <c r="H1104" i="4"/>
  <c r="D1107" i="4"/>
  <c r="F1112" i="4"/>
  <c r="F1117" i="4"/>
  <c r="D9" i="3"/>
  <c r="F9" i="3"/>
  <c r="B21" i="3"/>
  <c r="C21" i="3"/>
  <c r="D21" i="3"/>
  <c r="E21" i="3"/>
  <c r="F21" i="3"/>
  <c r="G21" i="3"/>
  <c r="H21" i="3"/>
  <c r="I21" i="3"/>
  <c r="J21" i="3"/>
  <c r="K21" i="3"/>
  <c r="B22" i="3"/>
  <c r="C22" i="3"/>
  <c r="D22" i="3"/>
  <c r="E22" i="3"/>
  <c r="F22" i="3"/>
  <c r="G22" i="3"/>
  <c r="H22" i="3"/>
  <c r="I22" i="3"/>
  <c r="J22" i="3"/>
  <c r="K22" i="3"/>
  <c r="B23" i="3"/>
  <c r="C23" i="3"/>
  <c r="D23" i="3"/>
  <c r="E23" i="3"/>
  <c r="F23" i="3"/>
  <c r="G23" i="3"/>
  <c r="H23" i="3"/>
  <c r="I23" i="3"/>
  <c r="J23" i="3"/>
  <c r="K23" i="3"/>
  <c r="B24" i="3"/>
  <c r="C24" i="3"/>
  <c r="D24" i="3"/>
  <c r="E24" i="3"/>
  <c r="F24" i="3"/>
  <c r="G24" i="3"/>
  <c r="H24" i="3"/>
  <c r="I24" i="3"/>
  <c r="J24" i="3"/>
  <c r="K24" i="3"/>
  <c r="B25" i="3"/>
  <c r="C25" i="3"/>
  <c r="D25" i="3"/>
  <c r="E25" i="3"/>
  <c r="F25" i="3"/>
  <c r="G25" i="3"/>
  <c r="H25" i="3"/>
  <c r="I25" i="3"/>
  <c r="J25" i="3"/>
  <c r="K25" i="3"/>
  <c r="B26" i="3"/>
  <c r="C26" i="3"/>
  <c r="D26" i="3"/>
  <c r="E26" i="3"/>
  <c r="F26" i="3"/>
  <c r="G26" i="3"/>
  <c r="H26" i="3"/>
  <c r="I26" i="3"/>
  <c r="J26" i="3"/>
  <c r="K26" i="3"/>
  <c r="B27" i="3"/>
  <c r="C27" i="3"/>
  <c r="D27" i="3"/>
  <c r="E27" i="3"/>
  <c r="F27" i="3"/>
  <c r="G27" i="3"/>
  <c r="H27" i="3"/>
  <c r="I27" i="3"/>
  <c r="J27" i="3"/>
  <c r="K27" i="3"/>
  <c r="B28" i="3"/>
  <c r="C28" i="3"/>
  <c r="D28" i="3"/>
  <c r="E28" i="3"/>
  <c r="F28" i="3"/>
  <c r="G28" i="3"/>
  <c r="H28" i="3"/>
  <c r="I28" i="3"/>
  <c r="J28" i="3"/>
  <c r="K28" i="3"/>
  <c r="B29" i="3"/>
  <c r="C29" i="3"/>
  <c r="D29" i="3"/>
  <c r="E29" i="3"/>
  <c r="F29" i="3"/>
  <c r="G29" i="3"/>
  <c r="H29" i="3"/>
  <c r="I29" i="3"/>
  <c r="J29" i="3"/>
  <c r="K29" i="3"/>
  <c r="B30" i="3"/>
  <c r="C30" i="3"/>
  <c r="D30" i="3"/>
  <c r="E30" i="3"/>
  <c r="F30" i="3"/>
  <c r="G30" i="3"/>
  <c r="H30" i="3"/>
  <c r="I30" i="3"/>
  <c r="J30" i="3"/>
  <c r="K30" i="3"/>
  <c r="B31" i="3"/>
  <c r="C31" i="3"/>
  <c r="D31" i="3"/>
  <c r="E31" i="3"/>
  <c r="F31" i="3"/>
  <c r="G31" i="3"/>
  <c r="H31" i="3"/>
  <c r="I31" i="3"/>
  <c r="J31" i="3"/>
  <c r="K31" i="3"/>
  <c r="B32" i="3"/>
  <c r="C32" i="3"/>
  <c r="D32" i="3"/>
  <c r="E32" i="3"/>
  <c r="F32" i="3"/>
  <c r="G32" i="3"/>
  <c r="H32" i="3"/>
  <c r="I32" i="3"/>
  <c r="J32" i="3"/>
  <c r="K32" i="3"/>
  <c r="B33" i="3"/>
  <c r="C33" i="3"/>
  <c r="D33" i="3"/>
  <c r="E33" i="3"/>
  <c r="F33" i="3"/>
  <c r="G33" i="3"/>
  <c r="H33" i="3"/>
  <c r="I33" i="3"/>
  <c r="J33" i="3"/>
  <c r="K33" i="3"/>
  <c r="B34" i="3"/>
  <c r="C34" i="3"/>
  <c r="D34" i="3"/>
  <c r="E34" i="3"/>
  <c r="F34" i="3"/>
  <c r="G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B36" i="3"/>
  <c r="C36" i="3"/>
  <c r="D36" i="3"/>
  <c r="E36" i="3"/>
  <c r="F36" i="3"/>
  <c r="G36" i="3"/>
  <c r="H36" i="3"/>
  <c r="I36" i="3"/>
  <c r="J36" i="3"/>
  <c r="K36" i="3"/>
  <c r="B37" i="3"/>
  <c r="C37" i="3"/>
  <c r="D37" i="3"/>
  <c r="E37" i="3"/>
  <c r="F37" i="3"/>
  <c r="G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B39" i="3"/>
  <c r="C39" i="3"/>
  <c r="D39" i="3"/>
  <c r="E39" i="3"/>
  <c r="F39" i="3"/>
  <c r="G39" i="3"/>
  <c r="H39" i="3"/>
  <c r="I39" i="3"/>
  <c r="J39" i="3"/>
  <c r="K39" i="3"/>
  <c r="B40" i="3"/>
  <c r="C40" i="3"/>
  <c r="D40" i="3"/>
  <c r="E40" i="3"/>
  <c r="F40" i="3"/>
  <c r="G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B42" i="3"/>
  <c r="C42" i="3"/>
  <c r="D42" i="3"/>
  <c r="E42" i="3"/>
  <c r="F42" i="3"/>
  <c r="G42" i="3"/>
  <c r="H42" i="3"/>
  <c r="I42" i="3"/>
  <c r="J42" i="3"/>
  <c r="K42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B48" i="3"/>
  <c r="C48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B50" i="3"/>
  <c r="C50" i="3"/>
  <c r="D50" i="3"/>
  <c r="E50" i="3"/>
  <c r="F50" i="3"/>
  <c r="G50" i="3"/>
  <c r="H50" i="3"/>
  <c r="I50" i="3"/>
  <c r="J50" i="3"/>
  <c r="K50" i="3"/>
  <c r="B51" i="3"/>
  <c r="C51" i="3"/>
  <c r="D51" i="3"/>
  <c r="E51" i="3"/>
  <c r="F51" i="3"/>
  <c r="G51" i="3"/>
  <c r="H51" i="3"/>
  <c r="I51" i="3"/>
  <c r="J51" i="3"/>
  <c r="K51" i="3"/>
  <c r="B52" i="3"/>
  <c r="C52" i="3"/>
  <c r="D52" i="3"/>
  <c r="E52" i="3"/>
  <c r="F52" i="3"/>
  <c r="G52" i="3"/>
  <c r="H52" i="3"/>
  <c r="I52" i="3"/>
  <c r="J52" i="3"/>
  <c r="K52" i="3"/>
  <c r="B53" i="3"/>
  <c r="C53" i="3"/>
  <c r="D53" i="3"/>
  <c r="E53" i="3"/>
  <c r="F53" i="3"/>
  <c r="G53" i="3"/>
  <c r="H53" i="3"/>
  <c r="I53" i="3"/>
  <c r="J53" i="3"/>
  <c r="K53" i="3"/>
  <c r="B54" i="3"/>
  <c r="C54" i="3"/>
  <c r="D54" i="3"/>
  <c r="E54" i="3"/>
  <c r="F54" i="3"/>
  <c r="G54" i="3"/>
  <c r="H54" i="3"/>
  <c r="I54" i="3"/>
  <c r="J54" i="3"/>
  <c r="K54" i="3"/>
  <c r="B55" i="3"/>
  <c r="C55" i="3"/>
  <c r="D55" i="3"/>
  <c r="E55" i="3"/>
  <c r="F55" i="3"/>
  <c r="G55" i="3"/>
  <c r="H55" i="3"/>
  <c r="I55" i="3"/>
  <c r="J55" i="3"/>
  <c r="K55" i="3"/>
  <c r="B56" i="3"/>
  <c r="C56" i="3"/>
  <c r="D56" i="3"/>
  <c r="E56" i="3"/>
  <c r="F56" i="3"/>
  <c r="G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B58" i="3"/>
  <c r="C58" i="3"/>
  <c r="D58" i="3"/>
  <c r="E58" i="3"/>
  <c r="F58" i="3"/>
  <c r="G58" i="3"/>
  <c r="H58" i="3"/>
  <c r="I58" i="3"/>
  <c r="J58" i="3"/>
  <c r="K58" i="3"/>
  <c r="B59" i="3"/>
  <c r="C59" i="3"/>
  <c r="D59" i="3"/>
  <c r="E59" i="3"/>
  <c r="F59" i="3"/>
  <c r="G59" i="3"/>
  <c r="H59" i="3"/>
  <c r="I59" i="3"/>
  <c r="J59" i="3"/>
  <c r="K59" i="3"/>
  <c r="B60" i="3"/>
  <c r="C60" i="3"/>
  <c r="D60" i="3"/>
  <c r="E60" i="3"/>
  <c r="F60" i="3"/>
  <c r="G60" i="3"/>
  <c r="H60" i="3"/>
  <c r="I60" i="3"/>
  <c r="J60" i="3"/>
  <c r="K60" i="3"/>
  <c r="B61" i="3"/>
  <c r="C61" i="3"/>
  <c r="D61" i="3"/>
  <c r="E61" i="3"/>
  <c r="F61" i="3"/>
  <c r="G61" i="3"/>
  <c r="H61" i="3"/>
  <c r="I61" i="3"/>
  <c r="J61" i="3"/>
  <c r="K61" i="3"/>
  <c r="B62" i="3"/>
  <c r="C62" i="3"/>
  <c r="D62" i="3"/>
  <c r="E62" i="3"/>
  <c r="F62" i="3"/>
  <c r="G62" i="3"/>
  <c r="H62" i="3"/>
  <c r="I62" i="3"/>
  <c r="J62" i="3"/>
  <c r="K62" i="3"/>
  <c r="B63" i="3"/>
  <c r="C63" i="3"/>
  <c r="D63" i="3"/>
  <c r="E63" i="3"/>
  <c r="F63" i="3"/>
  <c r="G63" i="3"/>
  <c r="H63" i="3"/>
  <c r="I63" i="3"/>
  <c r="J63" i="3"/>
  <c r="K63" i="3"/>
  <c r="B64" i="3"/>
  <c r="C64" i="3"/>
  <c r="D64" i="3"/>
  <c r="E64" i="3"/>
  <c r="F64" i="3"/>
  <c r="G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B66" i="3"/>
  <c r="C66" i="3"/>
  <c r="D66" i="3"/>
  <c r="E66" i="3"/>
  <c r="F66" i="3"/>
  <c r="G66" i="3"/>
  <c r="H66" i="3"/>
  <c r="I66" i="3"/>
  <c r="J66" i="3"/>
  <c r="K66" i="3"/>
  <c r="B67" i="3"/>
  <c r="C67" i="3"/>
  <c r="D67" i="3"/>
  <c r="E67" i="3"/>
  <c r="F67" i="3"/>
  <c r="G67" i="3"/>
  <c r="H67" i="3"/>
  <c r="I67" i="3"/>
  <c r="J67" i="3"/>
  <c r="K67" i="3"/>
  <c r="B68" i="3"/>
  <c r="C68" i="3"/>
  <c r="D68" i="3"/>
  <c r="E68" i="3"/>
  <c r="F68" i="3"/>
  <c r="G68" i="3"/>
  <c r="H68" i="3"/>
  <c r="I68" i="3"/>
  <c r="J68" i="3"/>
  <c r="K68" i="3"/>
  <c r="B69" i="3"/>
  <c r="C69" i="3"/>
  <c r="D69" i="3"/>
  <c r="E69" i="3"/>
  <c r="F69" i="3"/>
  <c r="G69" i="3"/>
  <c r="H69" i="3"/>
  <c r="I69" i="3"/>
  <c r="J69" i="3"/>
  <c r="K69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72" i="3"/>
  <c r="C72" i="3"/>
  <c r="D72" i="3"/>
  <c r="E72" i="3"/>
  <c r="F72" i="3"/>
  <c r="G72" i="3"/>
  <c r="H72" i="3"/>
  <c r="I72" i="3"/>
  <c r="J72" i="3"/>
  <c r="K72" i="3"/>
  <c r="B73" i="3"/>
  <c r="C73" i="3"/>
  <c r="D73" i="3"/>
  <c r="E73" i="3"/>
  <c r="F73" i="3"/>
  <c r="G73" i="3"/>
  <c r="H73" i="3"/>
  <c r="I73" i="3"/>
  <c r="J73" i="3"/>
  <c r="K73" i="3"/>
  <c r="B74" i="3"/>
  <c r="C74" i="3"/>
  <c r="D74" i="3"/>
  <c r="E74" i="3"/>
  <c r="F74" i="3"/>
  <c r="G74" i="3"/>
  <c r="H74" i="3"/>
  <c r="I74" i="3"/>
  <c r="J74" i="3"/>
  <c r="K74" i="3"/>
  <c r="B75" i="3"/>
  <c r="C75" i="3"/>
  <c r="D75" i="3"/>
  <c r="E75" i="3"/>
  <c r="F75" i="3"/>
  <c r="G75" i="3"/>
  <c r="H75" i="3"/>
  <c r="I75" i="3"/>
  <c r="J75" i="3"/>
  <c r="K75" i="3"/>
  <c r="B76" i="3"/>
  <c r="C76" i="3"/>
  <c r="D76" i="3"/>
  <c r="E76" i="3"/>
  <c r="F76" i="3"/>
  <c r="G76" i="3"/>
  <c r="H76" i="3"/>
  <c r="I76" i="3"/>
  <c r="J76" i="3"/>
  <c r="K76" i="3"/>
  <c r="B77" i="3"/>
  <c r="C77" i="3"/>
  <c r="D77" i="3"/>
  <c r="E77" i="3"/>
  <c r="F77" i="3"/>
  <c r="G77" i="3"/>
  <c r="H77" i="3"/>
  <c r="I77" i="3"/>
  <c r="J77" i="3"/>
  <c r="K77" i="3"/>
  <c r="B78" i="3"/>
  <c r="C78" i="3"/>
  <c r="D78" i="3"/>
  <c r="E78" i="3"/>
  <c r="F78" i="3"/>
  <c r="G78" i="3"/>
  <c r="H78" i="3"/>
  <c r="I78" i="3"/>
  <c r="J78" i="3"/>
  <c r="K78" i="3"/>
  <c r="B79" i="3"/>
  <c r="C79" i="3"/>
  <c r="D79" i="3"/>
  <c r="E79" i="3"/>
  <c r="F79" i="3"/>
  <c r="G79" i="3"/>
  <c r="H79" i="3"/>
  <c r="I79" i="3"/>
  <c r="J79" i="3"/>
  <c r="K79" i="3"/>
  <c r="B80" i="3"/>
  <c r="C80" i="3"/>
  <c r="D80" i="3"/>
  <c r="E80" i="3"/>
  <c r="F80" i="3"/>
  <c r="G80" i="3"/>
  <c r="H80" i="3"/>
  <c r="I80" i="3"/>
  <c r="J80" i="3"/>
  <c r="K80" i="3"/>
  <c r="B81" i="3"/>
  <c r="C81" i="3"/>
  <c r="D81" i="3"/>
  <c r="E81" i="3"/>
  <c r="F81" i="3"/>
  <c r="G81" i="3"/>
  <c r="H81" i="3"/>
  <c r="I81" i="3"/>
  <c r="J81" i="3"/>
  <c r="K81" i="3"/>
  <c r="B82" i="3"/>
  <c r="C82" i="3"/>
  <c r="D82" i="3"/>
  <c r="E82" i="3"/>
  <c r="F82" i="3"/>
  <c r="G82" i="3"/>
  <c r="H82" i="3"/>
  <c r="I82" i="3"/>
  <c r="J82" i="3"/>
  <c r="K82" i="3"/>
  <c r="B83" i="3"/>
  <c r="C83" i="3"/>
  <c r="D83" i="3"/>
  <c r="E83" i="3"/>
  <c r="F83" i="3"/>
  <c r="G83" i="3"/>
  <c r="H83" i="3"/>
  <c r="I83" i="3"/>
  <c r="J83" i="3"/>
  <c r="K83" i="3"/>
  <c r="B84" i="3"/>
  <c r="C84" i="3"/>
  <c r="D84" i="3"/>
  <c r="E84" i="3"/>
  <c r="F84" i="3"/>
  <c r="G84" i="3"/>
  <c r="H84" i="3"/>
  <c r="I84" i="3"/>
  <c r="J84" i="3"/>
  <c r="K84" i="3"/>
  <c r="B85" i="3"/>
  <c r="C85" i="3"/>
  <c r="D85" i="3"/>
  <c r="E85" i="3"/>
  <c r="F85" i="3"/>
  <c r="G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B87" i="3"/>
  <c r="C87" i="3"/>
  <c r="D87" i="3"/>
  <c r="E87" i="3"/>
  <c r="F87" i="3"/>
  <c r="G87" i="3"/>
  <c r="H87" i="3"/>
  <c r="I87" i="3"/>
  <c r="J87" i="3"/>
  <c r="K87" i="3"/>
  <c r="B88" i="3"/>
  <c r="C88" i="3"/>
  <c r="D88" i="3"/>
  <c r="E88" i="3"/>
  <c r="F88" i="3"/>
  <c r="G88" i="3"/>
  <c r="H88" i="3"/>
  <c r="I88" i="3"/>
  <c r="J88" i="3"/>
  <c r="K88" i="3"/>
  <c r="B89" i="3"/>
  <c r="C89" i="3"/>
  <c r="D89" i="3"/>
  <c r="E89" i="3"/>
  <c r="F89" i="3"/>
  <c r="G89" i="3"/>
  <c r="H89" i="3"/>
  <c r="I89" i="3"/>
  <c r="J89" i="3"/>
  <c r="K89" i="3"/>
  <c r="B90" i="3"/>
  <c r="C90" i="3"/>
  <c r="D90" i="3"/>
  <c r="E90" i="3"/>
  <c r="F90" i="3"/>
  <c r="G90" i="3"/>
  <c r="H90" i="3"/>
  <c r="I90" i="3"/>
  <c r="J90" i="3"/>
  <c r="K90" i="3"/>
  <c r="B91" i="3"/>
  <c r="C91" i="3"/>
  <c r="D91" i="3"/>
  <c r="E91" i="3"/>
  <c r="F91" i="3"/>
  <c r="G91" i="3"/>
  <c r="H91" i="3"/>
  <c r="I91" i="3"/>
  <c r="J91" i="3"/>
  <c r="K91" i="3"/>
  <c r="B92" i="3"/>
  <c r="C92" i="3"/>
  <c r="D92" i="3"/>
  <c r="E92" i="3"/>
  <c r="F92" i="3"/>
  <c r="G92" i="3"/>
  <c r="H92" i="3"/>
  <c r="I92" i="3"/>
  <c r="J92" i="3"/>
  <c r="K92" i="3"/>
  <c r="B93" i="3"/>
  <c r="C93" i="3"/>
  <c r="D93" i="3"/>
  <c r="E93" i="3"/>
  <c r="F93" i="3"/>
  <c r="G93" i="3"/>
  <c r="H93" i="3"/>
  <c r="I93" i="3"/>
  <c r="J93" i="3"/>
  <c r="K93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97" i="3"/>
  <c r="C97" i="3"/>
  <c r="D97" i="3"/>
  <c r="E97" i="3"/>
  <c r="F97" i="3"/>
  <c r="G97" i="3"/>
  <c r="H97" i="3"/>
  <c r="I97" i="3"/>
  <c r="J97" i="3"/>
  <c r="K97" i="3"/>
  <c r="B98" i="3"/>
  <c r="C98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B100" i="3"/>
  <c r="C100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H101" i="3"/>
  <c r="I101" i="3"/>
  <c r="J101" i="3"/>
  <c r="K101" i="3"/>
  <c r="B102" i="3"/>
  <c r="C102" i="3"/>
  <c r="D102" i="3"/>
  <c r="E102" i="3"/>
  <c r="F102" i="3"/>
  <c r="G102" i="3"/>
  <c r="H102" i="3"/>
  <c r="I102" i="3"/>
  <c r="J102" i="3"/>
  <c r="K102" i="3"/>
  <c r="B103" i="3"/>
  <c r="C103" i="3"/>
  <c r="D103" i="3"/>
  <c r="E103" i="3"/>
  <c r="F103" i="3"/>
  <c r="G103" i="3"/>
  <c r="H103" i="3"/>
  <c r="I103" i="3"/>
  <c r="J103" i="3"/>
  <c r="K103" i="3"/>
  <c r="B104" i="3"/>
  <c r="C104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B106" i="3"/>
  <c r="C106" i="3"/>
  <c r="D106" i="3"/>
  <c r="E106" i="3"/>
  <c r="F106" i="3"/>
  <c r="G106" i="3"/>
  <c r="H106" i="3"/>
  <c r="I106" i="3"/>
  <c r="J106" i="3"/>
  <c r="K106" i="3"/>
  <c r="B107" i="3"/>
  <c r="C107" i="3"/>
  <c r="D107" i="3"/>
  <c r="E107" i="3"/>
  <c r="F107" i="3"/>
  <c r="G107" i="3"/>
  <c r="H107" i="3"/>
  <c r="I107" i="3"/>
  <c r="J107" i="3"/>
  <c r="K107" i="3"/>
  <c r="B108" i="3"/>
  <c r="C108" i="3"/>
  <c r="D108" i="3"/>
  <c r="E108" i="3"/>
  <c r="F108" i="3"/>
  <c r="G108" i="3"/>
  <c r="H108" i="3"/>
  <c r="I108" i="3"/>
  <c r="J108" i="3"/>
  <c r="K108" i="3"/>
  <c r="B109" i="3"/>
  <c r="C109" i="3"/>
  <c r="D109" i="3"/>
  <c r="E109" i="3"/>
  <c r="F109" i="3"/>
  <c r="G109" i="3"/>
  <c r="H109" i="3"/>
  <c r="I109" i="3"/>
  <c r="J109" i="3"/>
  <c r="K109" i="3"/>
  <c r="B110" i="3"/>
  <c r="C110" i="3"/>
  <c r="D110" i="3"/>
  <c r="E110" i="3"/>
  <c r="F110" i="3"/>
  <c r="G110" i="3"/>
  <c r="H110" i="3"/>
  <c r="I110" i="3"/>
  <c r="J110" i="3"/>
  <c r="K110" i="3"/>
  <c r="B111" i="3"/>
  <c r="C111" i="3"/>
  <c r="D111" i="3"/>
  <c r="E111" i="3"/>
  <c r="F111" i="3"/>
  <c r="G111" i="3"/>
  <c r="H111" i="3"/>
  <c r="I111" i="3"/>
  <c r="J111" i="3"/>
  <c r="K111" i="3"/>
  <c r="B112" i="3"/>
  <c r="C112" i="3"/>
  <c r="D112" i="3"/>
  <c r="E112" i="3"/>
  <c r="F112" i="3"/>
  <c r="G112" i="3"/>
  <c r="H112" i="3"/>
  <c r="I112" i="3"/>
  <c r="J112" i="3"/>
  <c r="K112" i="3"/>
  <c r="B113" i="3"/>
  <c r="C113" i="3"/>
  <c r="D113" i="3"/>
  <c r="E113" i="3"/>
  <c r="F113" i="3"/>
  <c r="G113" i="3"/>
  <c r="H113" i="3"/>
  <c r="I113" i="3"/>
  <c r="J113" i="3"/>
  <c r="K113" i="3"/>
  <c r="B114" i="3"/>
  <c r="C114" i="3"/>
  <c r="D114" i="3"/>
  <c r="E114" i="3"/>
  <c r="F114" i="3"/>
  <c r="G114" i="3"/>
  <c r="H114" i="3"/>
  <c r="I114" i="3"/>
  <c r="J114" i="3"/>
  <c r="K114" i="3"/>
  <c r="B115" i="3"/>
  <c r="C115" i="3"/>
  <c r="D115" i="3"/>
  <c r="E115" i="3"/>
  <c r="F115" i="3"/>
  <c r="G115" i="3"/>
  <c r="H115" i="3"/>
  <c r="I115" i="3"/>
  <c r="J115" i="3"/>
  <c r="K115" i="3"/>
  <c r="B116" i="3"/>
  <c r="C116" i="3"/>
  <c r="D116" i="3"/>
  <c r="E116" i="3"/>
  <c r="F116" i="3"/>
  <c r="G116" i="3"/>
  <c r="H116" i="3"/>
  <c r="I116" i="3"/>
  <c r="J116" i="3"/>
  <c r="K116" i="3"/>
  <c r="B117" i="3"/>
  <c r="C117" i="3"/>
  <c r="D117" i="3"/>
  <c r="E117" i="3"/>
  <c r="F117" i="3"/>
  <c r="G117" i="3"/>
  <c r="H117" i="3"/>
  <c r="I117" i="3"/>
  <c r="J117" i="3"/>
  <c r="K117" i="3"/>
  <c r="B118" i="3"/>
  <c r="C118" i="3"/>
  <c r="D118" i="3"/>
  <c r="E118" i="3"/>
  <c r="F118" i="3"/>
  <c r="G118" i="3"/>
  <c r="H118" i="3"/>
  <c r="I118" i="3"/>
  <c r="J118" i="3"/>
  <c r="K118" i="3"/>
  <c r="B119" i="3"/>
  <c r="C119" i="3"/>
  <c r="D119" i="3"/>
  <c r="E119" i="3"/>
  <c r="F119" i="3"/>
  <c r="G119" i="3"/>
  <c r="H119" i="3"/>
  <c r="I119" i="3"/>
  <c r="J119" i="3"/>
  <c r="K119" i="3"/>
  <c r="B120" i="3"/>
  <c r="C120" i="3"/>
  <c r="D120" i="3"/>
  <c r="E120" i="3"/>
  <c r="F120" i="3"/>
  <c r="G120" i="3"/>
  <c r="H120" i="3"/>
  <c r="I120" i="3"/>
  <c r="J120" i="3"/>
  <c r="K120" i="3"/>
  <c r="B121" i="3"/>
  <c r="C121" i="3"/>
  <c r="D121" i="3"/>
  <c r="E121" i="3"/>
  <c r="F121" i="3"/>
  <c r="G121" i="3"/>
  <c r="H121" i="3"/>
  <c r="I121" i="3"/>
  <c r="J121" i="3"/>
  <c r="K121" i="3"/>
  <c r="B122" i="3"/>
  <c r="C122" i="3"/>
  <c r="D122" i="3"/>
  <c r="E122" i="3"/>
  <c r="F122" i="3"/>
  <c r="G122" i="3"/>
  <c r="H122" i="3"/>
  <c r="I122" i="3"/>
  <c r="J122" i="3"/>
  <c r="K122" i="3"/>
  <c r="B123" i="3"/>
  <c r="C123" i="3"/>
  <c r="D123" i="3"/>
  <c r="E123" i="3"/>
  <c r="F123" i="3"/>
  <c r="G123" i="3"/>
  <c r="H123" i="3"/>
  <c r="I123" i="3"/>
  <c r="J123" i="3"/>
  <c r="K123" i="3"/>
  <c r="B124" i="3"/>
  <c r="C124" i="3"/>
  <c r="D124" i="3"/>
  <c r="E124" i="3"/>
  <c r="F124" i="3"/>
  <c r="G124" i="3"/>
  <c r="H124" i="3"/>
  <c r="I124" i="3"/>
  <c r="J124" i="3"/>
  <c r="K124" i="3"/>
  <c r="B125" i="3"/>
  <c r="C125" i="3"/>
  <c r="D125" i="3"/>
  <c r="E125" i="3"/>
  <c r="F125" i="3"/>
  <c r="G125" i="3"/>
  <c r="H125" i="3"/>
  <c r="I125" i="3"/>
  <c r="J125" i="3"/>
  <c r="K125" i="3"/>
  <c r="B126" i="3"/>
  <c r="C126" i="3"/>
  <c r="D126" i="3"/>
  <c r="E126" i="3"/>
  <c r="F126" i="3"/>
  <c r="G126" i="3"/>
  <c r="H126" i="3"/>
  <c r="I126" i="3"/>
  <c r="J126" i="3"/>
  <c r="K126" i="3"/>
  <c r="B127" i="3"/>
  <c r="C127" i="3"/>
  <c r="D127" i="3"/>
  <c r="E127" i="3"/>
  <c r="F127" i="3"/>
  <c r="G127" i="3"/>
  <c r="H127" i="3"/>
  <c r="I127" i="3"/>
  <c r="J127" i="3"/>
  <c r="K127" i="3"/>
  <c r="B128" i="3"/>
  <c r="C128" i="3"/>
  <c r="D128" i="3"/>
  <c r="E128" i="3"/>
  <c r="F128" i="3"/>
  <c r="G128" i="3"/>
  <c r="H128" i="3"/>
  <c r="I128" i="3"/>
  <c r="J128" i="3"/>
  <c r="K128" i="3"/>
  <c r="B129" i="3"/>
  <c r="C129" i="3"/>
  <c r="D129" i="3"/>
  <c r="E129" i="3"/>
  <c r="F129" i="3"/>
  <c r="G129" i="3"/>
  <c r="H129" i="3"/>
  <c r="I129" i="3"/>
  <c r="J129" i="3"/>
  <c r="K129" i="3"/>
  <c r="B130" i="3"/>
  <c r="C130" i="3"/>
  <c r="D130" i="3"/>
  <c r="E130" i="3"/>
  <c r="F130" i="3"/>
  <c r="G130" i="3"/>
  <c r="H130" i="3"/>
  <c r="I130" i="3"/>
  <c r="J130" i="3"/>
  <c r="K130" i="3"/>
  <c r="B131" i="3"/>
  <c r="C131" i="3"/>
  <c r="D131" i="3"/>
  <c r="E131" i="3"/>
  <c r="F131" i="3"/>
  <c r="G131" i="3"/>
  <c r="H131" i="3"/>
  <c r="I131" i="3"/>
  <c r="J131" i="3"/>
  <c r="K131" i="3"/>
  <c r="B132" i="3"/>
  <c r="C132" i="3"/>
  <c r="D132" i="3"/>
  <c r="E132" i="3"/>
  <c r="F132" i="3"/>
  <c r="G132" i="3"/>
  <c r="H132" i="3"/>
  <c r="I132" i="3"/>
  <c r="J132" i="3"/>
  <c r="K132" i="3"/>
  <c r="B133" i="3"/>
  <c r="C133" i="3"/>
  <c r="D133" i="3"/>
  <c r="E133" i="3"/>
  <c r="F133" i="3"/>
  <c r="G133" i="3"/>
  <c r="H133" i="3"/>
  <c r="I133" i="3"/>
  <c r="J133" i="3"/>
  <c r="K133" i="3"/>
  <c r="B134" i="3"/>
  <c r="C134" i="3"/>
  <c r="D134" i="3"/>
  <c r="E134" i="3"/>
  <c r="F134" i="3"/>
  <c r="G134" i="3"/>
  <c r="H134" i="3"/>
  <c r="I134" i="3"/>
  <c r="J134" i="3"/>
  <c r="K134" i="3"/>
  <c r="B135" i="3"/>
  <c r="C135" i="3"/>
  <c r="D135" i="3"/>
  <c r="E135" i="3"/>
  <c r="F135" i="3"/>
  <c r="G135" i="3"/>
  <c r="H135" i="3"/>
  <c r="I135" i="3"/>
  <c r="J135" i="3"/>
  <c r="K135" i="3"/>
  <c r="B136" i="3"/>
  <c r="C136" i="3"/>
  <c r="D136" i="3"/>
  <c r="E136" i="3"/>
  <c r="F136" i="3"/>
  <c r="G136" i="3"/>
  <c r="H136" i="3"/>
  <c r="I136" i="3"/>
  <c r="J136" i="3"/>
  <c r="K136" i="3"/>
  <c r="B137" i="3"/>
  <c r="C137" i="3"/>
  <c r="D137" i="3"/>
  <c r="E137" i="3"/>
  <c r="F137" i="3"/>
  <c r="G137" i="3"/>
  <c r="H137" i="3"/>
  <c r="I137" i="3"/>
  <c r="J137" i="3"/>
  <c r="K137" i="3"/>
  <c r="B138" i="3"/>
  <c r="C138" i="3"/>
  <c r="D138" i="3"/>
  <c r="E138" i="3"/>
  <c r="F138" i="3"/>
  <c r="G138" i="3"/>
  <c r="H138" i="3"/>
  <c r="I138" i="3"/>
  <c r="J138" i="3"/>
  <c r="K138" i="3"/>
  <c r="B139" i="3"/>
  <c r="C139" i="3"/>
  <c r="D139" i="3"/>
  <c r="E139" i="3"/>
  <c r="F139" i="3"/>
  <c r="G139" i="3"/>
  <c r="H139" i="3"/>
  <c r="I139" i="3"/>
  <c r="J139" i="3"/>
  <c r="K139" i="3"/>
  <c r="B140" i="3"/>
  <c r="C140" i="3"/>
  <c r="D140" i="3"/>
  <c r="E140" i="3"/>
  <c r="F140" i="3"/>
  <c r="G140" i="3"/>
  <c r="H140" i="3"/>
  <c r="I140" i="3"/>
  <c r="J140" i="3"/>
  <c r="K140" i="3"/>
  <c r="B141" i="3"/>
  <c r="C141" i="3"/>
  <c r="D141" i="3"/>
  <c r="E141" i="3"/>
  <c r="F141" i="3"/>
  <c r="G141" i="3"/>
  <c r="H141" i="3"/>
  <c r="I141" i="3"/>
  <c r="J141" i="3"/>
  <c r="K141" i="3"/>
  <c r="B142" i="3"/>
  <c r="C142" i="3"/>
  <c r="D142" i="3"/>
  <c r="E142" i="3"/>
  <c r="F142" i="3"/>
  <c r="G142" i="3"/>
  <c r="H142" i="3"/>
  <c r="I142" i="3"/>
  <c r="J142" i="3"/>
  <c r="K142" i="3"/>
  <c r="B143" i="3"/>
  <c r="C143" i="3"/>
  <c r="D143" i="3"/>
  <c r="E143" i="3"/>
  <c r="F143" i="3"/>
  <c r="G143" i="3"/>
  <c r="H143" i="3"/>
  <c r="I143" i="3"/>
  <c r="J143" i="3"/>
  <c r="K143" i="3"/>
  <c r="B144" i="3"/>
  <c r="C144" i="3"/>
  <c r="D144" i="3"/>
  <c r="E144" i="3"/>
  <c r="F144" i="3"/>
  <c r="G144" i="3"/>
  <c r="H144" i="3"/>
  <c r="I144" i="3"/>
  <c r="J144" i="3"/>
  <c r="K144" i="3"/>
  <c r="B145" i="3"/>
  <c r="C145" i="3"/>
  <c r="D145" i="3"/>
  <c r="E145" i="3"/>
  <c r="F145" i="3"/>
  <c r="G145" i="3"/>
  <c r="H145" i="3"/>
  <c r="I145" i="3"/>
  <c r="J145" i="3"/>
  <c r="K145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B150" i="3"/>
  <c r="C150" i="3"/>
  <c r="D150" i="3"/>
  <c r="E150" i="3"/>
  <c r="F150" i="3"/>
  <c r="G150" i="3"/>
  <c r="H150" i="3"/>
  <c r="I150" i="3"/>
  <c r="J150" i="3"/>
  <c r="K150" i="3"/>
  <c r="B151" i="3"/>
  <c r="C151" i="3"/>
  <c r="D151" i="3"/>
  <c r="E151" i="3"/>
  <c r="F151" i="3"/>
  <c r="G151" i="3"/>
  <c r="H151" i="3"/>
  <c r="I151" i="3"/>
  <c r="J151" i="3"/>
  <c r="K151" i="3"/>
  <c r="B152" i="3"/>
  <c r="C152" i="3"/>
  <c r="D152" i="3"/>
  <c r="E152" i="3"/>
  <c r="F152" i="3"/>
  <c r="G152" i="3"/>
  <c r="H152" i="3"/>
  <c r="I152" i="3"/>
  <c r="J152" i="3"/>
  <c r="K152" i="3"/>
  <c r="B153" i="3"/>
  <c r="C153" i="3"/>
  <c r="D153" i="3"/>
  <c r="E153" i="3"/>
  <c r="F153" i="3"/>
  <c r="G153" i="3"/>
  <c r="H153" i="3"/>
  <c r="I153" i="3"/>
  <c r="J153" i="3"/>
  <c r="K153" i="3"/>
  <c r="B154" i="3"/>
  <c r="C154" i="3"/>
  <c r="D154" i="3"/>
  <c r="E154" i="3"/>
  <c r="F154" i="3"/>
  <c r="G154" i="3"/>
  <c r="H154" i="3"/>
  <c r="I154" i="3"/>
  <c r="J154" i="3"/>
  <c r="K154" i="3"/>
  <c r="B155" i="3"/>
  <c r="C155" i="3"/>
  <c r="D155" i="3"/>
  <c r="E155" i="3"/>
  <c r="F155" i="3"/>
  <c r="G155" i="3"/>
  <c r="H155" i="3"/>
  <c r="I155" i="3"/>
  <c r="J155" i="3"/>
  <c r="K155" i="3"/>
  <c r="B156" i="3"/>
  <c r="C156" i="3"/>
  <c r="D156" i="3"/>
  <c r="E156" i="3"/>
  <c r="F156" i="3"/>
  <c r="G156" i="3"/>
  <c r="H156" i="3"/>
  <c r="I156" i="3"/>
  <c r="J156" i="3"/>
  <c r="K156" i="3"/>
  <c r="B157" i="3"/>
  <c r="C157" i="3"/>
  <c r="D157" i="3"/>
  <c r="E157" i="3"/>
  <c r="F157" i="3"/>
  <c r="G157" i="3"/>
  <c r="H157" i="3"/>
  <c r="I157" i="3"/>
  <c r="J157" i="3"/>
  <c r="K157" i="3"/>
  <c r="B158" i="3"/>
  <c r="C158" i="3"/>
  <c r="D158" i="3"/>
  <c r="E158" i="3"/>
  <c r="F158" i="3"/>
  <c r="G158" i="3"/>
  <c r="H158" i="3"/>
  <c r="I158" i="3"/>
  <c r="J158" i="3"/>
  <c r="K158" i="3"/>
  <c r="B159" i="3"/>
  <c r="C159" i="3"/>
  <c r="D159" i="3"/>
  <c r="E159" i="3"/>
  <c r="F159" i="3"/>
  <c r="G159" i="3"/>
  <c r="H159" i="3"/>
  <c r="I159" i="3"/>
  <c r="J159" i="3"/>
  <c r="K159" i="3"/>
  <c r="B160" i="3"/>
  <c r="C160" i="3"/>
  <c r="D160" i="3"/>
  <c r="E160" i="3"/>
  <c r="F160" i="3"/>
  <c r="G160" i="3"/>
  <c r="H160" i="3"/>
  <c r="I160" i="3"/>
  <c r="J160" i="3"/>
  <c r="K160" i="3"/>
  <c r="B161" i="3"/>
  <c r="C161" i="3"/>
  <c r="D161" i="3"/>
  <c r="E161" i="3"/>
  <c r="F161" i="3"/>
  <c r="G161" i="3"/>
  <c r="H161" i="3"/>
  <c r="I161" i="3"/>
  <c r="J161" i="3"/>
  <c r="K161" i="3"/>
  <c r="B162" i="3"/>
  <c r="C162" i="3"/>
  <c r="D162" i="3"/>
  <c r="E162" i="3"/>
  <c r="F162" i="3"/>
  <c r="G162" i="3"/>
  <c r="H162" i="3"/>
  <c r="I162" i="3"/>
  <c r="J162" i="3"/>
  <c r="K162" i="3"/>
  <c r="B163" i="3"/>
  <c r="C163" i="3"/>
  <c r="D163" i="3"/>
  <c r="E163" i="3"/>
  <c r="F163" i="3"/>
  <c r="G163" i="3"/>
  <c r="H163" i="3"/>
  <c r="I163" i="3"/>
  <c r="J163" i="3"/>
  <c r="K163" i="3"/>
  <c r="B164" i="3"/>
  <c r="C164" i="3"/>
  <c r="D164" i="3"/>
  <c r="E164" i="3"/>
  <c r="F164" i="3"/>
  <c r="G164" i="3"/>
  <c r="H164" i="3"/>
  <c r="I164" i="3"/>
  <c r="J164" i="3"/>
  <c r="K164" i="3"/>
  <c r="B165" i="3"/>
  <c r="C165" i="3"/>
  <c r="D165" i="3"/>
  <c r="E165" i="3"/>
  <c r="F165" i="3"/>
  <c r="G165" i="3"/>
  <c r="H165" i="3"/>
  <c r="I165" i="3"/>
  <c r="J165" i="3"/>
  <c r="K165" i="3"/>
  <c r="B166" i="3"/>
  <c r="C166" i="3"/>
  <c r="D166" i="3"/>
  <c r="E166" i="3"/>
  <c r="F166" i="3"/>
  <c r="G166" i="3"/>
  <c r="H166" i="3"/>
  <c r="I166" i="3"/>
  <c r="J166" i="3"/>
  <c r="K166" i="3"/>
  <c r="B167" i="3"/>
  <c r="C167" i="3"/>
  <c r="D167" i="3"/>
  <c r="E167" i="3"/>
  <c r="F167" i="3"/>
  <c r="G167" i="3"/>
  <c r="H167" i="3"/>
  <c r="I167" i="3"/>
  <c r="J167" i="3"/>
  <c r="K167" i="3"/>
  <c r="B168" i="3"/>
  <c r="C168" i="3"/>
  <c r="D168" i="3"/>
  <c r="E168" i="3"/>
  <c r="F168" i="3"/>
  <c r="G168" i="3"/>
  <c r="H168" i="3"/>
  <c r="I168" i="3"/>
  <c r="J168" i="3"/>
  <c r="K168" i="3"/>
  <c r="B169" i="3"/>
  <c r="C169" i="3"/>
  <c r="D169" i="3"/>
  <c r="E169" i="3"/>
  <c r="F169" i="3"/>
  <c r="G169" i="3"/>
  <c r="H169" i="3"/>
  <c r="I169" i="3"/>
  <c r="J169" i="3"/>
  <c r="K169" i="3"/>
  <c r="B170" i="3"/>
  <c r="C170" i="3"/>
  <c r="D170" i="3"/>
  <c r="E170" i="3"/>
  <c r="F170" i="3"/>
  <c r="G170" i="3"/>
  <c r="H170" i="3"/>
  <c r="I170" i="3"/>
  <c r="J170" i="3"/>
  <c r="K170" i="3"/>
  <c r="B171" i="3"/>
  <c r="C171" i="3"/>
  <c r="D171" i="3"/>
  <c r="E171" i="3"/>
  <c r="F171" i="3"/>
  <c r="G171" i="3"/>
  <c r="H171" i="3"/>
  <c r="I171" i="3"/>
  <c r="J171" i="3"/>
  <c r="K171" i="3"/>
  <c r="B172" i="3"/>
  <c r="C172" i="3"/>
  <c r="D172" i="3"/>
  <c r="E172" i="3"/>
  <c r="F172" i="3"/>
  <c r="G172" i="3"/>
  <c r="H172" i="3"/>
  <c r="I172" i="3"/>
  <c r="J172" i="3"/>
  <c r="K172" i="3"/>
  <c r="B173" i="3"/>
  <c r="C173" i="3"/>
  <c r="D173" i="3"/>
  <c r="E173" i="3"/>
  <c r="F173" i="3"/>
  <c r="G173" i="3"/>
  <c r="H173" i="3"/>
  <c r="I173" i="3"/>
  <c r="J173" i="3"/>
  <c r="K173" i="3"/>
  <c r="B174" i="3"/>
  <c r="C174" i="3"/>
  <c r="D174" i="3"/>
  <c r="E174" i="3"/>
  <c r="F174" i="3"/>
  <c r="G174" i="3"/>
  <c r="H174" i="3"/>
  <c r="I174" i="3"/>
  <c r="J174" i="3"/>
  <c r="K174" i="3"/>
  <c r="B175" i="3"/>
  <c r="C175" i="3"/>
  <c r="D175" i="3"/>
  <c r="E175" i="3"/>
  <c r="F175" i="3"/>
  <c r="G175" i="3"/>
  <c r="H175" i="3"/>
  <c r="I175" i="3"/>
  <c r="J175" i="3"/>
  <c r="K175" i="3"/>
  <c r="B176" i="3"/>
  <c r="C176" i="3"/>
  <c r="D176" i="3"/>
  <c r="E176" i="3"/>
  <c r="F176" i="3"/>
  <c r="G176" i="3"/>
  <c r="H176" i="3"/>
  <c r="I176" i="3"/>
  <c r="J176" i="3"/>
  <c r="K176" i="3"/>
  <c r="B177" i="3"/>
  <c r="C177" i="3"/>
  <c r="D177" i="3"/>
  <c r="E177" i="3"/>
  <c r="F177" i="3"/>
  <c r="G177" i="3"/>
  <c r="H177" i="3"/>
  <c r="I177" i="3"/>
  <c r="J177" i="3"/>
  <c r="K177" i="3"/>
  <c r="B178" i="3"/>
  <c r="C178" i="3"/>
  <c r="D178" i="3"/>
  <c r="E178" i="3"/>
  <c r="F178" i="3"/>
  <c r="G178" i="3"/>
  <c r="H178" i="3"/>
  <c r="I178" i="3"/>
  <c r="J178" i="3"/>
  <c r="K178" i="3"/>
  <c r="B179" i="3"/>
  <c r="C179" i="3"/>
  <c r="D179" i="3"/>
  <c r="E179" i="3"/>
  <c r="F179" i="3"/>
  <c r="G179" i="3"/>
  <c r="H179" i="3"/>
  <c r="I179" i="3"/>
  <c r="J179" i="3"/>
  <c r="K179" i="3"/>
  <c r="B180" i="3"/>
  <c r="C180" i="3"/>
  <c r="D180" i="3"/>
  <c r="E180" i="3"/>
  <c r="F180" i="3"/>
  <c r="G180" i="3"/>
  <c r="H180" i="3"/>
  <c r="I180" i="3"/>
  <c r="J180" i="3"/>
  <c r="K180" i="3"/>
  <c r="B181" i="3"/>
  <c r="C181" i="3"/>
  <c r="D181" i="3"/>
  <c r="E181" i="3"/>
  <c r="F181" i="3"/>
  <c r="G181" i="3"/>
  <c r="H181" i="3"/>
  <c r="I181" i="3"/>
  <c r="J181" i="3"/>
  <c r="K181" i="3"/>
  <c r="B182" i="3"/>
  <c r="C182" i="3"/>
  <c r="D182" i="3"/>
  <c r="E182" i="3"/>
  <c r="F182" i="3"/>
  <c r="G182" i="3"/>
  <c r="H182" i="3"/>
  <c r="I182" i="3"/>
  <c r="J182" i="3"/>
  <c r="K182" i="3"/>
  <c r="B183" i="3"/>
  <c r="C183" i="3"/>
  <c r="D183" i="3"/>
  <c r="E183" i="3"/>
  <c r="F183" i="3"/>
  <c r="G183" i="3"/>
  <c r="H183" i="3"/>
  <c r="I183" i="3"/>
  <c r="J183" i="3"/>
  <c r="K183" i="3"/>
  <c r="B184" i="3"/>
  <c r="C184" i="3"/>
  <c r="D184" i="3"/>
  <c r="E184" i="3"/>
  <c r="F184" i="3"/>
  <c r="G184" i="3"/>
  <c r="H184" i="3"/>
  <c r="I184" i="3"/>
  <c r="J184" i="3"/>
  <c r="K184" i="3"/>
  <c r="B185" i="3"/>
  <c r="C185" i="3"/>
  <c r="D185" i="3"/>
  <c r="E185" i="3"/>
  <c r="F185" i="3"/>
  <c r="G185" i="3"/>
  <c r="H185" i="3"/>
  <c r="I185" i="3"/>
  <c r="J185" i="3"/>
  <c r="K185" i="3"/>
  <c r="B186" i="3"/>
  <c r="C186" i="3"/>
  <c r="D186" i="3"/>
  <c r="E186" i="3"/>
  <c r="F186" i="3"/>
  <c r="G186" i="3"/>
  <c r="H186" i="3"/>
  <c r="I186" i="3"/>
  <c r="J186" i="3"/>
  <c r="K186" i="3"/>
  <c r="B187" i="3"/>
  <c r="C187" i="3"/>
  <c r="D187" i="3"/>
  <c r="E187" i="3"/>
  <c r="F187" i="3"/>
  <c r="G187" i="3"/>
  <c r="H187" i="3"/>
  <c r="I187" i="3"/>
  <c r="J187" i="3"/>
  <c r="K187" i="3"/>
  <c r="B188" i="3"/>
  <c r="C188" i="3"/>
  <c r="D188" i="3"/>
  <c r="E188" i="3"/>
  <c r="F188" i="3"/>
  <c r="G188" i="3"/>
  <c r="H188" i="3"/>
  <c r="I188" i="3"/>
  <c r="J188" i="3"/>
  <c r="K188" i="3"/>
  <c r="B189" i="3"/>
  <c r="C189" i="3"/>
  <c r="D189" i="3"/>
  <c r="E189" i="3"/>
  <c r="F189" i="3"/>
  <c r="G189" i="3"/>
  <c r="H189" i="3"/>
  <c r="I189" i="3"/>
  <c r="J189" i="3"/>
  <c r="K189" i="3"/>
  <c r="B190" i="3"/>
  <c r="C190" i="3"/>
  <c r="D190" i="3"/>
  <c r="E190" i="3"/>
  <c r="F190" i="3"/>
  <c r="G190" i="3"/>
  <c r="H190" i="3"/>
  <c r="I190" i="3"/>
  <c r="J190" i="3"/>
  <c r="K190" i="3"/>
  <c r="B191" i="3"/>
  <c r="C191" i="3"/>
  <c r="D191" i="3"/>
  <c r="E191" i="3"/>
  <c r="F191" i="3"/>
  <c r="G191" i="3"/>
  <c r="H191" i="3"/>
  <c r="I191" i="3"/>
  <c r="J191" i="3"/>
  <c r="K191" i="3"/>
  <c r="B192" i="3"/>
  <c r="C192" i="3"/>
  <c r="D192" i="3"/>
  <c r="E192" i="3"/>
  <c r="F192" i="3"/>
  <c r="G192" i="3"/>
  <c r="H192" i="3"/>
  <c r="I192" i="3"/>
  <c r="J192" i="3"/>
  <c r="K192" i="3"/>
  <c r="B193" i="3"/>
  <c r="C193" i="3"/>
  <c r="D193" i="3"/>
  <c r="E193" i="3"/>
  <c r="F193" i="3"/>
  <c r="G193" i="3"/>
  <c r="H193" i="3"/>
  <c r="I193" i="3"/>
  <c r="J193" i="3"/>
  <c r="K193" i="3"/>
  <c r="B194" i="3"/>
  <c r="C194" i="3"/>
  <c r="D194" i="3"/>
  <c r="E194" i="3"/>
  <c r="F194" i="3"/>
  <c r="G194" i="3"/>
  <c r="H194" i="3"/>
  <c r="I194" i="3"/>
  <c r="J194" i="3"/>
  <c r="K194" i="3"/>
  <c r="B195" i="3"/>
  <c r="C195" i="3"/>
  <c r="D195" i="3"/>
  <c r="E195" i="3"/>
  <c r="F195" i="3"/>
  <c r="G195" i="3"/>
  <c r="H195" i="3"/>
  <c r="I195" i="3"/>
  <c r="J195" i="3"/>
  <c r="K195" i="3"/>
  <c r="B196" i="3"/>
  <c r="C196" i="3"/>
  <c r="D196" i="3"/>
  <c r="E196" i="3"/>
  <c r="F196" i="3"/>
  <c r="G196" i="3"/>
  <c r="H196" i="3"/>
  <c r="I196" i="3"/>
  <c r="J196" i="3"/>
  <c r="K196" i="3"/>
  <c r="B197" i="3"/>
  <c r="C197" i="3"/>
  <c r="D197" i="3"/>
  <c r="E197" i="3"/>
  <c r="F197" i="3"/>
  <c r="G197" i="3"/>
  <c r="H197" i="3"/>
  <c r="I197" i="3"/>
  <c r="J197" i="3"/>
  <c r="K197" i="3"/>
  <c r="B198" i="3"/>
  <c r="C198" i="3"/>
  <c r="D198" i="3"/>
  <c r="E198" i="3"/>
  <c r="F198" i="3"/>
  <c r="G198" i="3"/>
  <c r="H198" i="3"/>
  <c r="I198" i="3"/>
  <c r="J198" i="3"/>
  <c r="K198" i="3"/>
  <c r="B199" i="3"/>
  <c r="C199" i="3"/>
  <c r="D199" i="3"/>
  <c r="E199" i="3"/>
  <c r="F199" i="3"/>
  <c r="G199" i="3"/>
  <c r="H199" i="3"/>
  <c r="I199" i="3"/>
  <c r="J199" i="3"/>
  <c r="K199" i="3"/>
  <c r="B200" i="3"/>
  <c r="C200" i="3"/>
  <c r="D200" i="3"/>
  <c r="E200" i="3"/>
  <c r="F200" i="3"/>
  <c r="G200" i="3"/>
  <c r="H200" i="3"/>
  <c r="I200" i="3"/>
  <c r="J200" i="3"/>
  <c r="K200" i="3"/>
  <c r="B201" i="3"/>
  <c r="C201" i="3"/>
  <c r="D201" i="3"/>
  <c r="E201" i="3"/>
  <c r="F201" i="3"/>
  <c r="G201" i="3"/>
  <c r="H201" i="3"/>
  <c r="I201" i="3"/>
  <c r="J201" i="3"/>
  <c r="K201" i="3"/>
  <c r="B202" i="3"/>
  <c r="C202" i="3"/>
  <c r="D202" i="3"/>
  <c r="E202" i="3"/>
  <c r="F202" i="3"/>
  <c r="G202" i="3"/>
  <c r="H202" i="3"/>
  <c r="I202" i="3"/>
  <c r="J202" i="3"/>
  <c r="K202" i="3"/>
  <c r="B203" i="3"/>
  <c r="C203" i="3"/>
  <c r="D203" i="3"/>
  <c r="E203" i="3"/>
  <c r="F203" i="3"/>
  <c r="G203" i="3"/>
  <c r="H203" i="3"/>
  <c r="I203" i="3"/>
  <c r="J203" i="3"/>
  <c r="K203" i="3"/>
  <c r="B204" i="3"/>
  <c r="C204" i="3"/>
  <c r="D204" i="3"/>
  <c r="E204" i="3"/>
  <c r="F204" i="3"/>
  <c r="G204" i="3"/>
  <c r="H204" i="3"/>
  <c r="I204" i="3"/>
  <c r="J204" i="3"/>
  <c r="K204" i="3"/>
  <c r="B205" i="3"/>
  <c r="C205" i="3"/>
  <c r="D205" i="3"/>
  <c r="E205" i="3"/>
  <c r="F205" i="3"/>
  <c r="G205" i="3"/>
  <c r="H205" i="3"/>
  <c r="I205" i="3"/>
  <c r="J205" i="3"/>
  <c r="K205" i="3"/>
  <c r="B206" i="3"/>
  <c r="C206" i="3"/>
  <c r="D206" i="3"/>
  <c r="E206" i="3"/>
  <c r="F206" i="3"/>
  <c r="G206" i="3"/>
  <c r="H206" i="3"/>
  <c r="I206" i="3"/>
  <c r="J206" i="3"/>
  <c r="K206" i="3"/>
  <c r="B207" i="3"/>
  <c r="C207" i="3"/>
  <c r="D207" i="3"/>
  <c r="E207" i="3"/>
  <c r="F207" i="3"/>
  <c r="G207" i="3"/>
  <c r="H207" i="3"/>
  <c r="I207" i="3"/>
  <c r="J207" i="3"/>
  <c r="K207" i="3"/>
  <c r="B208" i="3"/>
  <c r="C208" i="3"/>
  <c r="D208" i="3"/>
  <c r="E208" i="3"/>
  <c r="F208" i="3"/>
  <c r="G208" i="3"/>
  <c r="H208" i="3"/>
  <c r="I208" i="3"/>
  <c r="J208" i="3"/>
  <c r="K208" i="3"/>
  <c r="B209" i="3"/>
  <c r="C209" i="3"/>
  <c r="D209" i="3"/>
  <c r="E209" i="3"/>
  <c r="F209" i="3"/>
  <c r="G209" i="3"/>
  <c r="H209" i="3"/>
  <c r="I209" i="3"/>
  <c r="J209" i="3"/>
  <c r="K209" i="3"/>
  <c r="B210" i="3"/>
  <c r="C210" i="3"/>
  <c r="D210" i="3"/>
  <c r="E210" i="3"/>
  <c r="F210" i="3"/>
  <c r="G210" i="3"/>
  <c r="H210" i="3"/>
  <c r="I210" i="3"/>
  <c r="J210" i="3"/>
  <c r="K210" i="3"/>
  <c r="B211" i="3"/>
  <c r="C211" i="3"/>
  <c r="D211" i="3"/>
  <c r="E211" i="3"/>
  <c r="F211" i="3"/>
  <c r="G211" i="3"/>
  <c r="H211" i="3"/>
  <c r="I211" i="3"/>
  <c r="J211" i="3"/>
  <c r="K211" i="3"/>
  <c r="B212" i="3"/>
  <c r="C212" i="3"/>
  <c r="D212" i="3"/>
  <c r="E212" i="3"/>
  <c r="F212" i="3"/>
  <c r="G212" i="3"/>
  <c r="H212" i="3"/>
  <c r="I212" i="3"/>
  <c r="J212" i="3"/>
  <c r="K212" i="3"/>
  <c r="B213" i="3"/>
  <c r="C213" i="3"/>
  <c r="D213" i="3"/>
  <c r="E213" i="3"/>
  <c r="F213" i="3"/>
  <c r="G213" i="3"/>
  <c r="H213" i="3"/>
  <c r="I213" i="3"/>
  <c r="J213" i="3"/>
  <c r="K213" i="3"/>
  <c r="B214" i="3"/>
  <c r="C214" i="3"/>
  <c r="D214" i="3"/>
  <c r="E214" i="3"/>
  <c r="F214" i="3"/>
  <c r="G214" i="3"/>
  <c r="H214" i="3"/>
  <c r="I214" i="3"/>
  <c r="J214" i="3"/>
  <c r="K214" i="3"/>
  <c r="B215" i="3"/>
  <c r="C215" i="3"/>
  <c r="D215" i="3"/>
  <c r="E215" i="3"/>
  <c r="F215" i="3"/>
  <c r="G215" i="3"/>
  <c r="H215" i="3"/>
  <c r="I215" i="3"/>
  <c r="J215" i="3"/>
  <c r="K215" i="3"/>
  <c r="B216" i="3"/>
  <c r="C216" i="3"/>
  <c r="D216" i="3"/>
  <c r="E216" i="3"/>
  <c r="F216" i="3"/>
  <c r="G216" i="3"/>
  <c r="H216" i="3"/>
  <c r="I216" i="3"/>
  <c r="J216" i="3"/>
  <c r="K216" i="3"/>
  <c r="B217" i="3"/>
  <c r="C217" i="3"/>
  <c r="D217" i="3"/>
  <c r="E217" i="3"/>
  <c r="F217" i="3"/>
  <c r="G217" i="3"/>
  <c r="H217" i="3"/>
  <c r="I217" i="3"/>
  <c r="J217" i="3"/>
  <c r="K217" i="3"/>
  <c r="B218" i="3"/>
  <c r="C218" i="3"/>
  <c r="D218" i="3"/>
  <c r="E218" i="3"/>
  <c r="F218" i="3"/>
  <c r="G218" i="3"/>
  <c r="H218" i="3"/>
  <c r="I218" i="3"/>
  <c r="J218" i="3"/>
  <c r="K218" i="3"/>
  <c r="B219" i="3"/>
  <c r="C219" i="3"/>
  <c r="D219" i="3"/>
  <c r="E219" i="3"/>
  <c r="F219" i="3"/>
  <c r="G219" i="3"/>
  <c r="H219" i="3"/>
  <c r="I219" i="3"/>
  <c r="J219" i="3"/>
  <c r="K219" i="3"/>
  <c r="B220" i="3"/>
  <c r="C220" i="3"/>
  <c r="D220" i="3"/>
  <c r="E220" i="3"/>
  <c r="F220" i="3"/>
  <c r="G220" i="3"/>
  <c r="H220" i="3"/>
  <c r="I220" i="3"/>
  <c r="J220" i="3"/>
  <c r="K220" i="3"/>
  <c r="B221" i="3"/>
  <c r="C221" i="3"/>
  <c r="D221" i="3"/>
  <c r="E221" i="3"/>
  <c r="F221" i="3"/>
  <c r="G221" i="3"/>
  <c r="H221" i="3"/>
  <c r="I221" i="3"/>
  <c r="J221" i="3"/>
  <c r="K221" i="3"/>
  <c r="B222" i="3"/>
  <c r="C222" i="3"/>
  <c r="D222" i="3"/>
  <c r="E222" i="3"/>
  <c r="F222" i="3"/>
  <c r="G222" i="3"/>
  <c r="H222" i="3"/>
  <c r="I222" i="3"/>
  <c r="J222" i="3"/>
  <c r="K222" i="3"/>
  <c r="B223" i="3"/>
  <c r="C223" i="3"/>
  <c r="D223" i="3"/>
  <c r="E223" i="3"/>
  <c r="F223" i="3"/>
  <c r="G223" i="3"/>
  <c r="H223" i="3"/>
  <c r="I223" i="3"/>
  <c r="J223" i="3"/>
  <c r="K223" i="3"/>
  <c r="B224" i="3"/>
  <c r="C224" i="3"/>
  <c r="D224" i="3"/>
  <c r="E224" i="3"/>
  <c r="F224" i="3"/>
  <c r="G224" i="3"/>
  <c r="H224" i="3"/>
  <c r="I224" i="3"/>
  <c r="J224" i="3"/>
  <c r="K224" i="3"/>
  <c r="B225" i="3"/>
  <c r="C225" i="3"/>
  <c r="D225" i="3"/>
  <c r="E225" i="3"/>
  <c r="F225" i="3"/>
  <c r="G225" i="3"/>
  <c r="H225" i="3"/>
  <c r="I225" i="3"/>
  <c r="J225" i="3"/>
  <c r="K225" i="3"/>
  <c r="B226" i="3"/>
  <c r="C226" i="3"/>
  <c r="D226" i="3"/>
  <c r="E226" i="3"/>
  <c r="F226" i="3"/>
  <c r="G226" i="3"/>
  <c r="H226" i="3"/>
  <c r="I226" i="3"/>
  <c r="J226" i="3"/>
  <c r="K226" i="3"/>
  <c r="B227" i="3"/>
  <c r="C227" i="3"/>
  <c r="D227" i="3"/>
  <c r="E227" i="3"/>
  <c r="F227" i="3"/>
  <c r="G227" i="3"/>
  <c r="H227" i="3"/>
  <c r="I227" i="3"/>
  <c r="J227" i="3"/>
  <c r="K227" i="3"/>
  <c r="B228" i="3"/>
  <c r="C228" i="3"/>
  <c r="D228" i="3"/>
  <c r="E228" i="3"/>
  <c r="F228" i="3"/>
  <c r="G228" i="3"/>
  <c r="H228" i="3"/>
  <c r="I228" i="3"/>
  <c r="J228" i="3"/>
  <c r="K228" i="3"/>
  <c r="B229" i="3"/>
  <c r="C229" i="3"/>
  <c r="D229" i="3"/>
  <c r="E229" i="3"/>
  <c r="F229" i="3"/>
  <c r="G229" i="3"/>
  <c r="H229" i="3"/>
  <c r="I229" i="3"/>
  <c r="J229" i="3"/>
  <c r="K229" i="3"/>
  <c r="B230" i="3"/>
  <c r="C230" i="3"/>
  <c r="D230" i="3"/>
  <c r="E230" i="3"/>
  <c r="F230" i="3"/>
  <c r="G230" i="3"/>
  <c r="H230" i="3"/>
  <c r="I230" i="3"/>
  <c r="J230" i="3"/>
  <c r="K230" i="3"/>
  <c r="B231" i="3"/>
  <c r="C231" i="3"/>
  <c r="D231" i="3"/>
  <c r="E231" i="3"/>
  <c r="F231" i="3"/>
  <c r="G231" i="3"/>
  <c r="H231" i="3"/>
  <c r="I231" i="3"/>
  <c r="J231" i="3"/>
  <c r="K231" i="3"/>
  <c r="B232" i="3"/>
  <c r="C232" i="3"/>
  <c r="D232" i="3"/>
  <c r="E232" i="3"/>
  <c r="F232" i="3"/>
  <c r="G232" i="3"/>
  <c r="H232" i="3"/>
  <c r="I232" i="3"/>
  <c r="J232" i="3"/>
  <c r="K232" i="3"/>
  <c r="B233" i="3"/>
  <c r="C233" i="3"/>
  <c r="D233" i="3"/>
  <c r="E233" i="3"/>
  <c r="F233" i="3"/>
  <c r="G233" i="3"/>
  <c r="H233" i="3"/>
  <c r="I233" i="3"/>
  <c r="J233" i="3"/>
  <c r="K233" i="3"/>
  <c r="B234" i="3"/>
  <c r="C234" i="3"/>
  <c r="D234" i="3"/>
  <c r="E234" i="3"/>
  <c r="F234" i="3"/>
  <c r="G234" i="3"/>
  <c r="H234" i="3"/>
  <c r="I234" i="3"/>
  <c r="J234" i="3"/>
  <c r="K234" i="3"/>
  <c r="B235" i="3"/>
  <c r="C235" i="3"/>
  <c r="D235" i="3"/>
  <c r="E235" i="3"/>
  <c r="F235" i="3"/>
  <c r="G235" i="3"/>
  <c r="H235" i="3"/>
  <c r="I235" i="3"/>
  <c r="J235" i="3"/>
  <c r="K235" i="3"/>
  <c r="B236" i="3"/>
  <c r="C236" i="3"/>
  <c r="D236" i="3"/>
  <c r="E236" i="3"/>
  <c r="F236" i="3"/>
  <c r="G236" i="3"/>
  <c r="H236" i="3"/>
  <c r="I236" i="3"/>
  <c r="J236" i="3"/>
  <c r="K236" i="3"/>
  <c r="B237" i="3"/>
  <c r="C237" i="3"/>
  <c r="D237" i="3"/>
  <c r="E237" i="3"/>
  <c r="F237" i="3"/>
  <c r="G237" i="3"/>
  <c r="H237" i="3"/>
  <c r="I237" i="3"/>
  <c r="J237" i="3"/>
  <c r="K237" i="3"/>
  <c r="B238" i="3"/>
  <c r="C238" i="3"/>
  <c r="D238" i="3"/>
  <c r="E238" i="3"/>
  <c r="F238" i="3"/>
  <c r="G238" i="3"/>
  <c r="H238" i="3"/>
  <c r="I238" i="3"/>
  <c r="J238" i="3"/>
  <c r="K238" i="3"/>
  <c r="B239" i="3"/>
  <c r="C239" i="3"/>
  <c r="D239" i="3"/>
  <c r="E239" i="3"/>
  <c r="F239" i="3"/>
  <c r="G239" i="3"/>
  <c r="H239" i="3"/>
  <c r="I239" i="3"/>
  <c r="J239" i="3"/>
  <c r="K239" i="3"/>
  <c r="B240" i="3"/>
  <c r="C240" i="3"/>
  <c r="D240" i="3"/>
  <c r="E240" i="3"/>
  <c r="F240" i="3"/>
  <c r="G240" i="3"/>
  <c r="H240" i="3"/>
  <c r="I240" i="3"/>
  <c r="J240" i="3"/>
  <c r="K240" i="3"/>
  <c r="B241" i="3"/>
  <c r="C241" i="3"/>
  <c r="D241" i="3"/>
  <c r="E241" i="3"/>
  <c r="F241" i="3"/>
  <c r="G241" i="3"/>
  <c r="H241" i="3"/>
  <c r="I241" i="3"/>
  <c r="J241" i="3"/>
  <c r="K241" i="3"/>
  <c r="B242" i="3"/>
  <c r="C242" i="3"/>
  <c r="D242" i="3"/>
  <c r="E242" i="3"/>
  <c r="F242" i="3"/>
  <c r="G242" i="3"/>
  <c r="H242" i="3"/>
  <c r="I242" i="3"/>
  <c r="J242" i="3"/>
  <c r="K242" i="3"/>
  <c r="B243" i="3"/>
  <c r="C243" i="3"/>
  <c r="D243" i="3"/>
  <c r="E243" i="3"/>
  <c r="F243" i="3"/>
  <c r="G243" i="3"/>
  <c r="H243" i="3"/>
  <c r="I243" i="3"/>
  <c r="J243" i="3"/>
  <c r="K243" i="3"/>
  <c r="B244" i="3"/>
  <c r="C244" i="3"/>
  <c r="D244" i="3"/>
  <c r="E244" i="3"/>
  <c r="F244" i="3"/>
  <c r="G244" i="3"/>
  <c r="H244" i="3"/>
  <c r="I244" i="3"/>
  <c r="J244" i="3"/>
  <c r="K244" i="3"/>
  <c r="B245" i="3"/>
  <c r="C245" i="3"/>
  <c r="D245" i="3"/>
  <c r="E245" i="3"/>
  <c r="F245" i="3"/>
  <c r="G245" i="3"/>
  <c r="H245" i="3"/>
  <c r="I245" i="3"/>
  <c r="J245" i="3"/>
  <c r="K245" i="3"/>
  <c r="B246" i="3"/>
  <c r="C246" i="3"/>
  <c r="D246" i="3"/>
  <c r="E246" i="3"/>
  <c r="F246" i="3"/>
  <c r="G246" i="3"/>
  <c r="H246" i="3"/>
  <c r="I246" i="3"/>
  <c r="J246" i="3"/>
  <c r="K246" i="3"/>
  <c r="B247" i="3"/>
  <c r="C247" i="3"/>
  <c r="D247" i="3"/>
  <c r="E247" i="3"/>
  <c r="F247" i="3"/>
  <c r="G247" i="3"/>
  <c r="H247" i="3"/>
  <c r="I247" i="3"/>
  <c r="J247" i="3"/>
  <c r="K247" i="3"/>
  <c r="B248" i="3"/>
  <c r="C248" i="3"/>
  <c r="D248" i="3"/>
  <c r="E248" i="3"/>
  <c r="F248" i="3"/>
  <c r="G248" i="3"/>
  <c r="H248" i="3"/>
  <c r="I248" i="3"/>
  <c r="J248" i="3"/>
  <c r="K248" i="3"/>
  <c r="B249" i="3"/>
  <c r="C249" i="3"/>
  <c r="D249" i="3"/>
  <c r="E249" i="3"/>
  <c r="F249" i="3"/>
  <c r="G249" i="3"/>
  <c r="H249" i="3"/>
  <c r="I249" i="3"/>
  <c r="J249" i="3"/>
  <c r="K249" i="3"/>
  <c r="B250" i="3"/>
  <c r="C250" i="3"/>
  <c r="D250" i="3"/>
  <c r="E250" i="3"/>
  <c r="F250" i="3"/>
  <c r="G250" i="3"/>
  <c r="H250" i="3"/>
  <c r="I250" i="3"/>
  <c r="J250" i="3"/>
  <c r="K250" i="3"/>
  <c r="B251" i="3"/>
  <c r="C251" i="3"/>
  <c r="D251" i="3"/>
  <c r="E251" i="3"/>
  <c r="F251" i="3"/>
  <c r="G251" i="3"/>
  <c r="H251" i="3"/>
  <c r="I251" i="3"/>
  <c r="J251" i="3"/>
  <c r="K251" i="3"/>
  <c r="B252" i="3"/>
  <c r="C252" i="3"/>
  <c r="D252" i="3"/>
  <c r="E252" i="3"/>
  <c r="F252" i="3"/>
  <c r="G252" i="3"/>
  <c r="H252" i="3"/>
  <c r="I252" i="3"/>
  <c r="J252" i="3"/>
  <c r="K252" i="3"/>
  <c r="B253" i="3"/>
  <c r="C253" i="3"/>
  <c r="D253" i="3"/>
  <c r="E253" i="3"/>
  <c r="F253" i="3"/>
  <c r="G253" i="3"/>
  <c r="H253" i="3"/>
  <c r="I253" i="3"/>
  <c r="J253" i="3"/>
  <c r="K253" i="3"/>
  <c r="B254" i="3"/>
  <c r="C254" i="3"/>
  <c r="D254" i="3"/>
  <c r="E254" i="3"/>
  <c r="F254" i="3"/>
  <c r="G254" i="3"/>
  <c r="H254" i="3"/>
  <c r="I254" i="3"/>
  <c r="J254" i="3"/>
  <c r="K254" i="3"/>
  <c r="B255" i="3"/>
  <c r="C255" i="3"/>
  <c r="D255" i="3"/>
  <c r="E255" i="3"/>
  <c r="F255" i="3"/>
  <c r="G255" i="3"/>
  <c r="H255" i="3"/>
  <c r="I255" i="3"/>
  <c r="J255" i="3"/>
  <c r="K255" i="3"/>
  <c r="B256" i="3"/>
  <c r="C256" i="3"/>
  <c r="D256" i="3"/>
  <c r="E256" i="3"/>
  <c r="F256" i="3"/>
  <c r="G256" i="3"/>
  <c r="H256" i="3"/>
  <c r="I256" i="3"/>
  <c r="J256" i="3"/>
  <c r="K256" i="3"/>
  <c r="B257" i="3"/>
  <c r="C257" i="3"/>
  <c r="D257" i="3"/>
  <c r="E257" i="3"/>
  <c r="F257" i="3"/>
  <c r="G257" i="3"/>
  <c r="H257" i="3"/>
  <c r="I257" i="3"/>
  <c r="J257" i="3"/>
  <c r="K257" i="3"/>
  <c r="B258" i="3"/>
  <c r="C258" i="3"/>
  <c r="D258" i="3"/>
  <c r="E258" i="3"/>
  <c r="F258" i="3"/>
  <c r="G258" i="3"/>
  <c r="H258" i="3"/>
  <c r="I258" i="3"/>
  <c r="J258" i="3"/>
  <c r="K258" i="3"/>
  <c r="B259" i="3"/>
  <c r="C259" i="3"/>
  <c r="D259" i="3"/>
  <c r="E259" i="3"/>
  <c r="F259" i="3"/>
  <c r="G259" i="3"/>
  <c r="H259" i="3"/>
  <c r="I259" i="3"/>
  <c r="J259" i="3"/>
  <c r="K259" i="3"/>
  <c r="B260" i="3"/>
  <c r="C260" i="3"/>
  <c r="D260" i="3"/>
  <c r="E260" i="3"/>
  <c r="F260" i="3"/>
  <c r="G260" i="3"/>
  <c r="H260" i="3"/>
  <c r="I260" i="3"/>
  <c r="J260" i="3"/>
  <c r="K260" i="3"/>
  <c r="B261" i="3"/>
  <c r="C261" i="3"/>
  <c r="D261" i="3"/>
  <c r="E261" i="3"/>
  <c r="F261" i="3"/>
  <c r="G261" i="3"/>
  <c r="H261" i="3"/>
  <c r="I261" i="3"/>
  <c r="J261" i="3"/>
  <c r="K261" i="3"/>
  <c r="B262" i="3"/>
  <c r="C262" i="3"/>
  <c r="D262" i="3"/>
  <c r="E262" i="3"/>
  <c r="F262" i="3"/>
  <c r="G262" i="3"/>
  <c r="H262" i="3"/>
  <c r="I262" i="3"/>
  <c r="J262" i="3"/>
  <c r="K262" i="3"/>
  <c r="B263" i="3"/>
  <c r="C263" i="3"/>
  <c r="D263" i="3"/>
  <c r="E263" i="3"/>
  <c r="F263" i="3"/>
  <c r="G263" i="3"/>
  <c r="H263" i="3"/>
  <c r="I263" i="3"/>
  <c r="J263" i="3"/>
  <c r="K263" i="3"/>
  <c r="B264" i="3"/>
  <c r="C264" i="3"/>
  <c r="D264" i="3"/>
  <c r="E264" i="3"/>
  <c r="F264" i="3"/>
  <c r="G264" i="3"/>
  <c r="H264" i="3"/>
  <c r="I264" i="3"/>
  <c r="J264" i="3"/>
  <c r="K264" i="3"/>
  <c r="B265" i="3"/>
  <c r="C265" i="3"/>
  <c r="D265" i="3"/>
  <c r="E265" i="3"/>
  <c r="F265" i="3"/>
  <c r="G265" i="3"/>
  <c r="H265" i="3"/>
  <c r="I265" i="3"/>
  <c r="J265" i="3"/>
  <c r="K265" i="3"/>
  <c r="B266" i="3"/>
  <c r="C266" i="3"/>
  <c r="D266" i="3"/>
  <c r="E266" i="3"/>
  <c r="F266" i="3"/>
  <c r="G266" i="3"/>
  <c r="H266" i="3"/>
  <c r="I266" i="3"/>
  <c r="J266" i="3"/>
  <c r="K266" i="3"/>
  <c r="B267" i="3"/>
  <c r="C267" i="3"/>
  <c r="D267" i="3"/>
  <c r="E267" i="3"/>
  <c r="F267" i="3"/>
  <c r="G267" i="3"/>
  <c r="H267" i="3"/>
  <c r="I267" i="3"/>
  <c r="J267" i="3"/>
  <c r="K267" i="3"/>
  <c r="B268" i="3"/>
  <c r="C268" i="3"/>
  <c r="D268" i="3"/>
  <c r="E268" i="3"/>
  <c r="F268" i="3"/>
  <c r="G268" i="3"/>
  <c r="H268" i="3"/>
  <c r="I268" i="3"/>
  <c r="J268" i="3"/>
  <c r="K268" i="3"/>
  <c r="B269" i="3"/>
  <c r="C269" i="3"/>
  <c r="D269" i="3"/>
  <c r="E269" i="3"/>
  <c r="F269" i="3"/>
  <c r="G269" i="3"/>
  <c r="H269" i="3"/>
  <c r="I269" i="3"/>
  <c r="J269" i="3"/>
  <c r="K269" i="3"/>
  <c r="B270" i="3"/>
  <c r="C270" i="3"/>
  <c r="D270" i="3"/>
  <c r="E270" i="3"/>
  <c r="F270" i="3"/>
  <c r="G270" i="3"/>
  <c r="H270" i="3"/>
  <c r="I270" i="3"/>
  <c r="J270" i="3"/>
  <c r="K270" i="3"/>
  <c r="B271" i="3"/>
  <c r="C271" i="3"/>
  <c r="D271" i="3"/>
  <c r="E271" i="3"/>
  <c r="F271" i="3"/>
  <c r="G271" i="3"/>
  <c r="H271" i="3"/>
  <c r="I271" i="3"/>
  <c r="J271" i="3"/>
  <c r="K271" i="3"/>
  <c r="B272" i="3"/>
  <c r="C272" i="3"/>
  <c r="D272" i="3"/>
  <c r="E272" i="3"/>
  <c r="F272" i="3"/>
  <c r="G272" i="3"/>
  <c r="H272" i="3"/>
  <c r="I272" i="3"/>
  <c r="J272" i="3"/>
  <c r="K272" i="3"/>
  <c r="B273" i="3"/>
  <c r="C273" i="3"/>
  <c r="D273" i="3"/>
  <c r="E273" i="3"/>
  <c r="F273" i="3"/>
  <c r="G273" i="3"/>
  <c r="H273" i="3"/>
  <c r="I273" i="3"/>
  <c r="J273" i="3"/>
  <c r="K273" i="3"/>
  <c r="B274" i="3"/>
  <c r="C274" i="3"/>
  <c r="D274" i="3"/>
  <c r="E274" i="3"/>
  <c r="F274" i="3"/>
  <c r="G274" i="3"/>
  <c r="H274" i="3"/>
  <c r="I274" i="3"/>
  <c r="J274" i="3"/>
  <c r="K274" i="3"/>
  <c r="B275" i="3"/>
  <c r="C275" i="3"/>
  <c r="D275" i="3"/>
  <c r="E275" i="3"/>
  <c r="F275" i="3"/>
  <c r="G275" i="3"/>
  <c r="H275" i="3"/>
  <c r="I275" i="3"/>
  <c r="J275" i="3"/>
  <c r="K275" i="3"/>
  <c r="B276" i="3"/>
  <c r="C276" i="3"/>
  <c r="D276" i="3"/>
  <c r="E276" i="3"/>
  <c r="F276" i="3"/>
  <c r="G276" i="3"/>
  <c r="H276" i="3"/>
  <c r="I276" i="3"/>
  <c r="J276" i="3"/>
  <c r="K276" i="3"/>
  <c r="B277" i="3"/>
  <c r="C277" i="3"/>
  <c r="D277" i="3"/>
  <c r="E277" i="3"/>
  <c r="F277" i="3"/>
  <c r="G277" i="3"/>
  <c r="H277" i="3"/>
  <c r="I277" i="3"/>
  <c r="J277" i="3"/>
  <c r="K277" i="3"/>
  <c r="B278" i="3"/>
  <c r="C278" i="3"/>
  <c r="D278" i="3"/>
  <c r="E278" i="3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B280" i="3"/>
  <c r="C280" i="3"/>
  <c r="D280" i="3"/>
  <c r="E280" i="3"/>
  <c r="F280" i="3"/>
  <c r="G280" i="3"/>
  <c r="H280" i="3"/>
  <c r="I280" i="3"/>
  <c r="J280" i="3"/>
  <c r="K280" i="3"/>
  <c r="B281" i="3"/>
  <c r="C281" i="3"/>
  <c r="D281" i="3"/>
  <c r="E281" i="3"/>
  <c r="F281" i="3"/>
  <c r="G281" i="3"/>
  <c r="H281" i="3"/>
  <c r="I281" i="3"/>
  <c r="J281" i="3"/>
  <c r="K281" i="3"/>
  <c r="B282" i="3"/>
  <c r="C282" i="3"/>
  <c r="D282" i="3"/>
  <c r="E282" i="3"/>
  <c r="F282" i="3"/>
  <c r="G282" i="3"/>
  <c r="H282" i="3"/>
  <c r="I282" i="3"/>
  <c r="J282" i="3"/>
  <c r="K282" i="3"/>
  <c r="B283" i="3"/>
  <c r="C283" i="3"/>
  <c r="D283" i="3"/>
  <c r="E283" i="3"/>
  <c r="F283" i="3"/>
  <c r="G283" i="3"/>
  <c r="H283" i="3"/>
  <c r="I283" i="3"/>
  <c r="J283" i="3"/>
  <c r="K283" i="3"/>
  <c r="B284" i="3"/>
  <c r="C284" i="3"/>
  <c r="D284" i="3"/>
  <c r="E284" i="3"/>
  <c r="F284" i="3"/>
  <c r="G284" i="3"/>
  <c r="H284" i="3"/>
  <c r="I284" i="3"/>
  <c r="J284" i="3"/>
  <c r="K284" i="3"/>
  <c r="B285" i="3"/>
  <c r="C285" i="3"/>
  <c r="D285" i="3"/>
  <c r="E285" i="3"/>
  <c r="F285" i="3"/>
  <c r="G285" i="3"/>
  <c r="H285" i="3"/>
  <c r="I285" i="3"/>
  <c r="J285" i="3"/>
  <c r="K285" i="3"/>
  <c r="B286" i="3"/>
  <c r="C286" i="3"/>
  <c r="D286" i="3"/>
  <c r="E286" i="3"/>
  <c r="F286" i="3"/>
  <c r="G286" i="3"/>
  <c r="H286" i="3"/>
  <c r="I286" i="3"/>
  <c r="J286" i="3"/>
  <c r="K286" i="3"/>
  <c r="B287" i="3"/>
  <c r="C287" i="3"/>
  <c r="D287" i="3"/>
  <c r="E287" i="3"/>
  <c r="F287" i="3"/>
  <c r="G287" i="3"/>
  <c r="H287" i="3"/>
  <c r="I287" i="3"/>
  <c r="J287" i="3"/>
  <c r="K287" i="3"/>
  <c r="B288" i="3"/>
  <c r="C288" i="3"/>
  <c r="D288" i="3"/>
  <c r="E288" i="3"/>
  <c r="F288" i="3"/>
  <c r="G288" i="3"/>
  <c r="H288" i="3"/>
  <c r="I288" i="3"/>
  <c r="J288" i="3"/>
  <c r="K288" i="3"/>
  <c r="B289" i="3"/>
  <c r="C289" i="3"/>
  <c r="D289" i="3"/>
  <c r="E289" i="3"/>
  <c r="F289" i="3"/>
  <c r="G289" i="3"/>
  <c r="H289" i="3"/>
  <c r="I289" i="3"/>
  <c r="J289" i="3"/>
  <c r="K289" i="3"/>
  <c r="B290" i="3"/>
  <c r="C290" i="3"/>
  <c r="D290" i="3"/>
  <c r="E290" i="3"/>
  <c r="F290" i="3"/>
  <c r="G290" i="3"/>
  <c r="H290" i="3"/>
  <c r="I290" i="3"/>
  <c r="J290" i="3"/>
  <c r="K290" i="3"/>
  <c r="B291" i="3"/>
  <c r="C291" i="3"/>
  <c r="D291" i="3"/>
  <c r="E291" i="3"/>
  <c r="F291" i="3"/>
  <c r="G291" i="3"/>
  <c r="H291" i="3"/>
  <c r="I291" i="3"/>
  <c r="J291" i="3"/>
  <c r="K291" i="3"/>
  <c r="B292" i="3"/>
  <c r="C292" i="3"/>
  <c r="D292" i="3"/>
  <c r="E292" i="3"/>
  <c r="F292" i="3"/>
  <c r="G292" i="3"/>
  <c r="H292" i="3"/>
  <c r="I292" i="3"/>
  <c r="J292" i="3"/>
  <c r="K292" i="3"/>
  <c r="B293" i="3"/>
  <c r="C293" i="3"/>
  <c r="D293" i="3"/>
  <c r="E293" i="3"/>
  <c r="F293" i="3"/>
  <c r="G293" i="3"/>
  <c r="H293" i="3"/>
  <c r="I293" i="3"/>
  <c r="J293" i="3"/>
  <c r="K293" i="3"/>
  <c r="B294" i="3"/>
  <c r="C294" i="3"/>
  <c r="D294" i="3"/>
  <c r="E294" i="3"/>
  <c r="F294" i="3"/>
  <c r="G294" i="3"/>
  <c r="H294" i="3"/>
  <c r="I294" i="3"/>
  <c r="J294" i="3"/>
  <c r="K294" i="3"/>
  <c r="B295" i="3"/>
  <c r="C295" i="3"/>
  <c r="D295" i="3"/>
  <c r="E295" i="3"/>
  <c r="F295" i="3"/>
  <c r="G295" i="3"/>
  <c r="H295" i="3"/>
  <c r="I295" i="3"/>
  <c r="J295" i="3"/>
  <c r="K295" i="3"/>
  <c r="B296" i="3"/>
  <c r="C296" i="3"/>
  <c r="D296" i="3"/>
  <c r="E296" i="3"/>
  <c r="F296" i="3"/>
  <c r="G296" i="3"/>
  <c r="H296" i="3"/>
  <c r="I296" i="3"/>
  <c r="J296" i="3"/>
  <c r="K296" i="3"/>
  <c r="B297" i="3"/>
  <c r="C297" i="3"/>
  <c r="D297" i="3"/>
  <c r="E297" i="3"/>
  <c r="F297" i="3"/>
  <c r="G297" i="3"/>
  <c r="H297" i="3"/>
  <c r="I297" i="3"/>
  <c r="J297" i="3"/>
  <c r="K297" i="3"/>
  <c r="B298" i="3"/>
  <c r="C298" i="3"/>
  <c r="D298" i="3"/>
  <c r="E298" i="3"/>
  <c r="F298" i="3"/>
  <c r="G298" i="3"/>
  <c r="H298" i="3"/>
  <c r="I298" i="3"/>
  <c r="J298" i="3"/>
  <c r="K298" i="3"/>
  <c r="B299" i="3"/>
  <c r="C299" i="3"/>
  <c r="D299" i="3"/>
  <c r="E299" i="3"/>
  <c r="F299" i="3"/>
  <c r="G299" i="3"/>
  <c r="H299" i="3"/>
  <c r="I299" i="3"/>
  <c r="J299" i="3"/>
  <c r="K299" i="3"/>
  <c r="B300" i="3"/>
  <c r="C300" i="3"/>
  <c r="D300" i="3"/>
  <c r="E300" i="3"/>
  <c r="F300" i="3"/>
  <c r="G300" i="3"/>
  <c r="H300" i="3"/>
  <c r="I300" i="3"/>
  <c r="J300" i="3"/>
  <c r="K300" i="3"/>
  <c r="B301" i="3"/>
  <c r="C301" i="3"/>
  <c r="D301" i="3"/>
  <c r="E301" i="3"/>
  <c r="F301" i="3"/>
  <c r="G301" i="3"/>
  <c r="H301" i="3"/>
  <c r="I301" i="3"/>
  <c r="J301" i="3"/>
  <c r="K301" i="3"/>
  <c r="B302" i="3"/>
  <c r="C302" i="3"/>
  <c r="D302" i="3"/>
  <c r="E302" i="3"/>
  <c r="F302" i="3"/>
  <c r="G302" i="3"/>
  <c r="H302" i="3"/>
  <c r="I302" i="3"/>
  <c r="J302" i="3"/>
  <c r="K302" i="3"/>
  <c r="B303" i="3"/>
  <c r="C303" i="3"/>
  <c r="D303" i="3"/>
  <c r="E303" i="3"/>
  <c r="F303" i="3"/>
  <c r="G303" i="3"/>
  <c r="H303" i="3"/>
  <c r="I303" i="3"/>
  <c r="J303" i="3"/>
  <c r="K303" i="3"/>
  <c r="B304" i="3"/>
  <c r="C304" i="3"/>
  <c r="D304" i="3"/>
  <c r="E304" i="3"/>
  <c r="F304" i="3"/>
  <c r="G304" i="3"/>
  <c r="H304" i="3"/>
  <c r="I304" i="3"/>
  <c r="J304" i="3"/>
  <c r="K304" i="3"/>
  <c r="B305" i="3"/>
  <c r="C305" i="3"/>
  <c r="D305" i="3"/>
  <c r="E305" i="3"/>
  <c r="F305" i="3"/>
  <c r="G305" i="3"/>
  <c r="H305" i="3"/>
  <c r="I305" i="3"/>
  <c r="J305" i="3"/>
  <c r="K305" i="3"/>
  <c r="B306" i="3"/>
  <c r="C306" i="3"/>
  <c r="D306" i="3"/>
  <c r="E306" i="3"/>
  <c r="F306" i="3"/>
  <c r="G306" i="3"/>
  <c r="H306" i="3"/>
  <c r="I306" i="3"/>
  <c r="J306" i="3"/>
  <c r="K306" i="3"/>
  <c r="B307" i="3"/>
  <c r="C307" i="3"/>
  <c r="D307" i="3"/>
  <c r="E307" i="3"/>
  <c r="F307" i="3"/>
  <c r="G307" i="3"/>
  <c r="H307" i="3"/>
  <c r="I307" i="3"/>
  <c r="J307" i="3"/>
  <c r="K307" i="3"/>
  <c r="B308" i="3"/>
  <c r="C308" i="3"/>
  <c r="D308" i="3"/>
  <c r="E308" i="3"/>
  <c r="F308" i="3"/>
  <c r="G308" i="3"/>
  <c r="H308" i="3"/>
  <c r="I308" i="3"/>
  <c r="J308" i="3"/>
  <c r="K308" i="3"/>
  <c r="B309" i="3"/>
  <c r="C309" i="3"/>
  <c r="D309" i="3"/>
  <c r="E309" i="3"/>
  <c r="F309" i="3"/>
  <c r="G309" i="3"/>
  <c r="H309" i="3"/>
  <c r="I309" i="3"/>
  <c r="J309" i="3"/>
  <c r="K309" i="3"/>
  <c r="B310" i="3"/>
  <c r="C310" i="3"/>
  <c r="D310" i="3"/>
  <c r="E310" i="3"/>
  <c r="F310" i="3"/>
  <c r="G310" i="3"/>
  <c r="H310" i="3"/>
  <c r="I310" i="3"/>
  <c r="J310" i="3"/>
  <c r="K310" i="3"/>
  <c r="B311" i="3"/>
  <c r="C311" i="3"/>
  <c r="D311" i="3"/>
  <c r="E311" i="3"/>
  <c r="F311" i="3"/>
  <c r="G311" i="3"/>
  <c r="H311" i="3"/>
  <c r="I311" i="3"/>
  <c r="J311" i="3"/>
  <c r="K311" i="3"/>
  <c r="B312" i="3"/>
  <c r="C312" i="3"/>
  <c r="D312" i="3"/>
  <c r="E312" i="3"/>
  <c r="F312" i="3"/>
  <c r="G312" i="3"/>
  <c r="H312" i="3"/>
  <c r="I312" i="3"/>
  <c r="J312" i="3"/>
  <c r="K312" i="3"/>
  <c r="B313" i="3"/>
  <c r="C313" i="3"/>
  <c r="D313" i="3"/>
  <c r="E313" i="3"/>
  <c r="F313" i="3"/>
  <c r="G313" i="3"/>
  <c r="H313" i="3"/>
  <c r="I313" i="3"/>
  <c r="J313" i="3"/>
  <c r="K313" i="3"/>
  <c r="B314" i="3"/>
  <c r="C314" i="3"/>
  <c r="D314" i="3"/>
  <c r="E314" i="3"/>
  <c r="F314" i="3"/>
  <c r="G314" i="3"/>
  <c r="H314" i="3"/>
  <c r="I314" i="3"/>
  <c r="J314" i="3"/>
  <c r="K314" i="3"/>
  <c r="B315" i="3"/>
  <c r="C315" i="3"/>
  <c r="D315" i="3"/>
  <c r="E315" i="3"/>
  <c r="F315" i="3"/>
  <c r="G315" i="3"/>
  <c r="H315" i="3"/>
  <c r="I315" i="3"/>
  <c r="J315" i="3"/>
  <c r="K315" i="3"/>
  <c r="B316" i="3"/>
  <c r="C316" i="3"/>
  <c r="D316" i="3"/>
  <c r="E316" i="3"/>
  <c r="F316" i="3"/>
  <c r="G316" i="3"/>
  <c r="H316" i="3"/>
  <c r="I316" i="3"/>
  <c r="J316" i="3"/>
  <c r="K316" i="3"/>
  <c r="B317" i="3"/>
  <c r="C317" i="3"/>
  <c r="D317" i="3"/>
  <c r="E317" i="3"/>
  <c r="F317" i="3"/>
  <c r="G317" i="3"/>
  <c r="H317" i="3"/>
  <c r="I317" i="3"/>
  <c r="J317" i="3"/>
  <c r="K317" i="3"/>
  <c r="B318" i="3"/>
  <c r="C318" i="3"/>
  <c r="D318" i="3"/>
  <c r="E318" i="3"/>
  <c r="F318" i="3"/>
  <c r="G318" i="3"/>
  <c r="H318" i="3"/>
  <c r="I318" i="3"/>
  <c r="J318" i="3"/>
  <c r="K318" i="3"/>
  <c r="B319" i="3"/>
  <c r="C319" i="3"/>
  <c r="D319" i="3"/>
  <c r="E319" i="3"/>
  <c r="F319" i="3"/>
  <c r="G319" i="3"/>
  <c r="H319" i="3"/>
  <c r="I319" i="3"/>
  <c r="J319" i="3"/>
  <c r="K319" i="3"/>
  <c r="B320" i="3"/>
  <c r="C320" i="3"/>
  <c r="D320" i="3"/>
  <c r="E320" i="3"/>
  <c r="F320" i="3"/>
  <c r="G320" i="3"/>
  <c r="H320" i="3"/>
  <c r="I320" i="3"/>
  <c r="J320" i="3"/>
  <c r="K320" i="3"/>
  <c r="B321" i="3"/>
  <c r="C321" i="3"/>
  <c r="D321" i="3"/>
  <c r="E321" i="3"/>
  <c r="F321" i="3"/>
  <c r="G321" i="3"/>
  <c r="H321" i="3"/>
  <c r="I321" i="3"/>
  <c r="J321" i="3"/>
  <c r="K321" i="3"/>
  <c r="B322" i="3"/>
  <c r="C322" i="3"/>
  <c r="D322" i="3"/>
  <c r="E322" i="3"/>
  <c r="F322" i="3"/>
  <c r="G322" i="3"/>
  <c r="H322" i="3"/>
  <c r="I322" i="3"/>
  <c r="J322" i="3"/>
  <c r="K322" i="3"/>
  <c r="B323" i="3"/>
  <c r="C323" i="3"/>
  <c r="D323" i="3"/>
  <c r="E323" i="3"/>
  <c r="F323" i="3"/>
  <c r="G323" i="3"/>
  <c r="H323" i="3"/>
  <c r="I323" i="3"/>
  <c r="J323" i="3"/>
  <c r="K323" i="3"/>
  <c r="B324" i="3"/>
  <c r="C324" i="3"/>
  <c r="D324" i="3"/>
  <c r="E324" i="3"/>
  <c r="F324" i="3"/>
  <c r="G324" i="3"/>
  <c r="H324" i="3"/>
  <c r="I324" i="3"/>
  <c r="J324" i="3"/>
  <c r="K324" i="3"/>
  <c r="B325" i="3"/>
  <c r="C325" i="3"/>
  <c r="D325" i="3"/>
  <c r="E325" i="3"/>
  <c r="F325" i="3"/>
  <c r="G325" i="3"/>
  <c r="H325" i="3"/>
  <c r="I325" i="3"/>
  <c r="J325" i="3"/>
  <c r="K325" i="3"/>
  <c r="B326" i="3"/>
  <c r="C326" i="3"/>
  <c r="D326" i="3"/>
  <c r="E326" i="3"/>
  <c r="F326" i="3"/>
  <c r="G326" i="3"/>
  <c r="H326" i="3"/>
  <c r="I326" i="3"/>
  <c r="J326" i="3"/>
  <c r="K326" i="3"/>
  <c r="B327" i="3"/>
  <c r="C327" i="3"/>
  <c r="D327" i="3"/>
  <c r="E327" i="3"/>
  <c r="F327" i="3"/>
  <c r="G327" i="3"/>
  <c r="H327" i="3"/>
  <c r="I327" i="3"/>
  <c r="J327" i="3"/>
  <c r="K327" i="3"/>
  <c r="B328" i="3"/>
  <c r="C328" i="3"/>
  <c r="D328" i="3"/>
  <c r="E328" i="3"/>
  <c r="F328" i="3"/>
  <c r="G328" i="3"/>
  <c r="H328" i="3"/>
  <c r="I328" i="3"/>
  <c r="J328" i="3"/>
  <c r="K328" i="3"/>
  <c r="B329" i="3"/>
  <c r="C329" i="3"/>
  <c r="D329" i="3"/>
  <c r="E329" i="3"/>
  <c r="F329" i="3"/>
  <c r="G329" i="3"/>
  <c r="H329" i="3"/>
  <c r="I329" i="3"/>
  <c r="J329" i="3"/>
  <c r="K329" i="3"/>
  <c r="B330" i="3"/>
  <c r="C330" i="3"/>
  <c r="D330" i="3"/>
  <c r="E330" i="3"/>
  <c r="F330" i="3"/>
  <c r="G330" i="3"/>
  <c r="H330" i="3"/>
  <c r="I330" i="3"/>
  <c r="J330" i="3"/>
  <c r="K330" i="3"/>
  <c r="B331" i="3"/>
  <c r="C331" i="3"/>
  <c r="D331" i="3"/>
  <c r="E331" i="3"/>
  <c r="F331" i="3"/>
  <c r="G331" i="3"/>
  <c r="H331" i="3"/>
  <c r="I331" i="3"/>
  <c r="J331" i="3"/>
  <c r="K331" i="3"/>
  <c r="B332" i="3"/>
  <c r="C332" i="3"/>
  <c r="D332" i="3"/>
  <c r="E332" i="3"/>
  <c r="F332" i="3"/>
  <c r="G332" i="3"/>
  <c r="H332" i="3"/>
  <c r="I332" i="3"/>
  <c r="J332" i="3"/>
  <c r="K332" i="3"/>
  <c r="B333" i="3"/>
  <c r="C333" i="3"/>
  <c r="D333" i="3"/>
  <c r="E333" i="3"/>
  <c r="F333" i="3"/>
  <c r="G333" i="3"/>
  <c r="H333" i="3"/>
  <c r="I333" i="3"/>
  <c r="J333" i="3"/>
  <c r="K333" i="3"/>
  <c r="B334" i="3"/>
  <c r="C334" i="3"/>
  <c r="D334" i="3"/>
  <c r="E334" i="3"/>
  <c r="F334" i="3"/>
  <c r="G334" i="3"/>
  <c r="H334" i="3"/>
  <c r="I334" i="3"/>
  <c r="J334" i="3"/>
  <c r="K334" i="3"/>
  <c r="B335" i="3"/>
  <c r="C335" i="3"/>
  <c r="D335" i="3"/>
  <c r="E335" i="3"/>
  <c r="F335" i="3"/>
  <c r="G335" i="3"/>
  <c r="H335" i="3"/>
  <c r="I335" i="3"/>
  <c r="J335" i="3"/>
  <c r="K335" i="3"/>
  <c r="B336" i="3"/>
  <c r="C336" i="3"/>
  <c r="D336" i="3"/>
  <c r="E336" i="3"/>
  <c r="F336" i="3"/>
  <c r="G336" i="3"/>
  <c r="H336" i="3"/>
  <c r="I336" i="3"/>
  <c r="J336" i="3"/>
  <c r="K336" i="3"/>
  <c r="B337" i="3"/>
  <c r="C337" i="3"/>
  <c r="D337" i="3"/>
  <c r="E337" i="3"/>
  <c r="F337" i="3"/>
  <c r="G337" i="3"/>
  <c r="H337" i="3"/>
  <c r="I337" i="3"/>
  <c r="J337" i="3"/>
  <c r="K337" i="3"/>
  <c r="B338" i="3"/>
  <c r="C338" i="3"/>
  <c r="D338" i="3"/>
  <c r="E338" i="3"/>
  <c r="F338" i="3"/>
  <c r="G338" i="3"/>
  <c r="H338" i="3"/>
  <c r="I338" i="3"/>
  <c r="J338" i="3"/>
  <c r="K338" i="3"/>
  <c r="B339" i="3"/>
  <c r="C339" i="3"/>
  <c r="D339" i="3"/>
  <c r="E339" i="3"/>
  <c r="F339" i="3"/>
  <c r="G339" i="3"/>
  <c r="H339" i="3"/>
  <c r="I339" i="3"/>
  <c r="J339" i="3"/>
  <c r="K339" i="3"/>
  <c r="B340" i="3"/>
  <c r="C340" i="3"/>
  <c r="D340" i="3"/>
  <c r="E340" i="3"/>
  <c r="F340" i="3"/>
  <c r="G340" i="3"/>
  <c r="H340" i="3"/>
  <c r="I340" i="3"/>
  <c r="J340" i="3"/>
  <c r="K340" i="3"/>
  <c r="B341" i="3"/>
  <c r="C341" i="3"/>
  <c r="D341" i="3"/>
  <c r="E341" i="3"/>
  <c r="F341" i="3"/>
  <c r="G341" i="3"/>
  <c r="H341" i="3"/>
  <c r="I341" i="3"/>
  <c r="J341" i="3"/>
  <c r="K341" i="3"/>
  <c r="B342" i="3"/>
  <c r="C342" i="3"/>
  <c r="D342" i="3"/>
  <c r="E342" i="3"/>
  <c r="F342" i="3"/>
  <c r="G342" i="3"/>
  <c r="H342" i="3"/>
  <c r="I342" i="3"/>
  <c r="J342" i="3"/>
  <c r="K342" i="3"/>
  <c r="B343" i="3"/>
  <c r="C343" i="3"/>
  <c r="D343" i="3"/>
  <c r="E343" i="3"/>
  <c r="F343" i="3"/>
  <c r="G343" i="3"/>
  <c r="H343" i="3"/>
  <c r="I343" i="3"/>
  <c r="J343" i="3"/>
  <c r="K343" i="3"/>
  <c r="B344" i="3"/>
  <c r="C344" i="3"/>
  <c r="D344" i="3"/>
  <c r="E344" i="3"/>
  <c r="F344" i="3"/>
  <c r="G344" i="3"/>
  <c r="H344" i="3"/>
  <c r="I344" i="3"/>
  <c r="J344" i="3"/>
  <c r="K344" i="3"/>
  <c r="B345" i="3"/>
  <c r="C345" i="3"/>
  <c r="D345" i="3"/>
  <c r="E345" i="3"/>
  <c r="F345" i="3"/>
  <c r="G345" i="3"/>
  <c r="H345" i="3"/>
  <c r="I345" i="3"/>
  <c r="J345" i="3"/>
  <c r="K345" i="3"/>
  <c r="B346" i="3"/>
  <c r="C346" i="3"/>
  <c r="D346" i="3"/>
  <c r="E346" i="3"/>
  <c r="F346" i="3"/>
  <c r="G346" i="3"/>
  <c r="H346" i="3"/>
  <c r="I346" i="3"/>
  <c r="J346" i="3"/>
  <c r="K346" i="3"/>
  <c r="B347" i="3"/>
  <c r="C347" i="3"/>
  <c r="D347" i="3"/>
  <c r="E347" i="3"/>
  <c r="F347" i="3"/>
  <c r="G347" i="3"/>
  <c r="H347" i="3"/>
  <c r="I347" i="3"/>
  <c r="J347" i="3"/>
  <c r="K347" i="3"/>
  <c r="B348" i="3"/>
  <c r="C348" i="3"/>
  <c r="D348" i="3"/>
  <c r="E348" i="3"/>
  <c r="F348" i="3"/>
  <c r="G348" i="3"/>
  <c r="H348" i="3"/>
  <c r="I348" i="3"/>
  <c r="J348" i="3"/>
  <c r="K348" i="3"/>
  <c r="B349" i="3"/>
  <c r="C349" i="3"/>
  <c r="D349" i="3"/>
  <c r="E349" i="3"/>
  <c r="F349" i="3"/>
  <c r="G349" i="3"/>
  <c r="H349" i="3"/>
  <c r="I349" i="3"/>
  <c r="J349" i="3"/>
  <c r="K349" i="3"/>
  <c r="B350" i="3"/>
  <c r="C350" i="3"/>
  <c r="D350" i="3"/>
  <c r="E350" i="3"/>
  <c r="F350" i="3"/>
  <c r="G350" i="3"/>
  <c r="H350" i="3"/>
  <c r="I350" i="3"/>
  <c r="J350" i="3"/>
  <c r="K350" i="3"/>
  <c r="B351" i="3"/>
  <c r="C351" i="3"/>
  <c r="D351" i="3"/>
  <c r="E351" i="3"/>
  <c r="F351" i="3"/>
  <c r="G351" i="3"/>
  <c r="H351" i="3"/>
  <c r="I351" i="3"/>
  <c r="J351" i="3"/>
  <c r="K351" i="3"/>
  <c r="B352" i="3"/>
  <c r="C352" i="3"/>
  <c r="D352" i="3"/>
  <c r="E352" i="3"/>
  <c r="F352" i="3"/>
  <c r="G352" i="3"/>
  <c r="H352" i="3"/>
  <c r="I352" i="3"/>
  <c r="J352" i="3"/>
  <c r="K352" i="3"/>
  <c r="B353" i="3"/>
  <c r="C353" i="3"/>
  <c r="D353" i="3"/>
  <c r="E353" i="3"/>
  <c r="F353" i="3"/>
  <c r="G353" i="3"/>
  <c r="H353" i="3"/>
  <c r="I353" i="3"/>
  <c r="J353" i="3"/>
  <c r="K353" i="3"/>
  <c r="B354" i="3"/>
  <c r="C354" i="3"/>
  <c r="D354" i="3"/>
  <c r="E354" i="3"/>
  <c r="F354" i="3"/>
  <c r="G354" i="3"/>
  <c r="H354" i="3"/>
  <c r="I354" i="3"/>
  <c r="J354" i="3"/>
  <c r="K354" i="3"/>
  <c r="B355" i="3"/>
  <c r="C355" i="3"/>
  <c r="D355" i="3"/>
  <c r="E355" i="3"/>
  <c r="F355" i="3"/>
  <c r="G355" i="3"/>
  <c r="H355" i="3"/>
  <c r="I355" i="3"/>
  <c r="J355" i="3"/>
  <c r="K355" i="3"/>
  <c r="B356" i="3"/>
  <c r="C356" i="3"/>
  <c r="D356" i="3"/>
  <c r="E356" i="3"/>
  <c r="F356" i="3"/>
  <c r="G356" i="3"/>
  <c r="H356" i="3"/>
  <c r="I356" i="3"/>
  <c r="J356" i="3"/>
  <c r="K356" i="3"/>
  <c r="B357" i="3"/>
  <c r="C357" i="3"/>
  <c r="D357" i="3"/>
  <c r="E357" i="3"/>
  <c r="F357" i="3"/>
  <c r="G357" i="3"/>
  <c r="H357" i="3"/>
  <c r="I357" i="3"/>
  <c r="J357" i="3"/>
  <c r="K357" i="3"/>
  <c r="B358" i="3"/>
  <c r="C358" i="3"/>
  <c r="D358" i="3"/>
  <c r="E358" i="3"/>
  <c r="F358" i="3"/>
  <c r="G358" i="3"/>
  <c r="H358" i="3"/>
  <c r="I358" i="3"/>
  <c r="J358" i="3"/>
  <c r="K358" i="3"/>
  <c r="B359" i="3"/>
  <c r="C359" i="3"/>
  <c r="D359" i="3"/>
  <c r="E359" i="3"/>
  <c r="F359" i="3"/>
  <c r="G359" i="3"/>
  <c r="H359" i="3"/>
  <c r="I359" i="3"/>
  <c r="J359" i="3"/>
  <c r="K359" i="3"/>
  <c r="B360" i="3"/>
  <c r="C360" i="3"/>
  <c r="D360" i="3"/>
  <c r="E360" i="3"/>
  <c r="F360" i="3"/>
  <c r="G360" i="3"/>
  <c r="H360" i="3"/>
  <c r="I360" i="3"/>
  <c r="J360" i="3"/>
  <c r="K360" i="3"/>
  <c r="B361" i="3"/>
  <c r="C361" i="3"/>
  <c r="D361" i="3"/>
  <c r="E361" i="3"/>
  <c r="F361" i="3"/>
  <c r="G361" i="3"/>
  <c r="H361" i="3"/>
  <c r="I361" i="3"/>
  <c r="J361" i="3"/>
  <c r="K361" i="3"/>
  <c r="B362" i="3"/>
  <c r="C362" i="3"/>
  <c r="D362" i="3"/>
  <c r="E362" i="3"/>
  <c r="F362" i="3"/>
  <c r="G362" i="3"/>
  <c r="H362" i="3"/>
  <c r="I362" i="3"/>
  <c r="J362" i="3"/>
  <c r="K362" i="3"/>
  <c r="B363" i="3"/>
  <c r="C363" i="3"/>
  <c r="D363" i="3"/>
  <c r="E363" i="3"/>
  <c r="F363" i="3"/>
  <c r="G363" i="3"/>
  <c r="H363" i="3"/>
  <c r="I363" i="3"/>
  <c r="J363" i="3"/>
  <c r="K363" i="3"/>
  <c r="B364" i="3"/>
  <c r="C364" i="3"/>
  <c r="D364" i="3"/>
  <c r="E364" i="3"/>
  <c r="F364" i="3"/>
  <c r="G364" i="3"/>
  <c r="H364" i="3"/>
  <c r="I364" i="3"/>
  <c r="J364" i="3"/>
  <c r="K364" i="3"/>
  <c r="B365" i="3"/>
  <c r="C365" i="3"/>
  <c r="D365" i="3"/>
  <c r="E365" i="3"/>
  <c r="F365" i="3"/>
  <c r="G365" i="3"/>
  <c r="H365" i="3"/>
  <c r="I365" i="3"/>
  <c r="J365" i="3"/>
  <c r="K365" i="3"/>
  <c r="B366" i="3"/>
  <c r="C366" i="3"/>
  <c r="D366" i="3"/>
  <c r="E366" i="3"/>
  <c r="F366" i="3"/>
  <c r="G366" i="3"/>
  <c r="H366" i="3"/>
  <c r="I366" i="3"/>
  <c r="J366" i="3"/>
  <c r="K366" i="3"/>
  <c r="B367" i="3"/>
  <c r="C367" i="3"/>
  <c r="D367" i="3"/>
  <c r="E367" i="3"/>
  <c r="F367" i="3"/>
  <c r="G367" i="3"/>
  <c r="H367" i="3"/>
  <c r="I367" i="3"/>
  <c r="J367" i="3"/>
  <c r="K367" i="3"/>
  <c r="B368" i="3"/>
  <c r="C368" i="3"/>
  <c r="D368" i="3"/>
  <c r="E368" i="3"/>
  <c r="F368" i="3"/>
  <c r="G368" i="3"/>
  <c r="H368" i="3"/>
  <c r="I368" i="3"/>
  <c r="J368" i="3"/>
  <c r="K368" i="3"/>
  <c r="B369" i="3"/>
  <c r="C369" i="3"/>
  <c r="D369" i="3"/>
  <c r="E369" i="3"/>
  <c r="F369" i="3"/>
  <c r="G369" i="3"/>
  <c r="H369" i="3"/>
  <c r="I369" i="3"/>
  <c r="J369" i="3"/>
  <c r="K369" i="3"/>
  <c r="B370" i="3"/>
  <c r="C370" i="3"/>
  <c r="D370" i="3"/>
  <c r="E370" i="3"/>
  <c r="F370" i="3"/>
  <c r="G370" i="3"/>
  <c r="H370" i="3"/>
  <c r="I370" i="3"/>
  <c r="J370" i="3"/>
  <c r="K370" i="3"/>
  <c r="B371" i="3"/>
  <c r="C371" i="3"/>
  <c r="D371" i="3"/>
  <c r="E371" i="3"/>
  <c r="F371" i="3"/>
  <c r="G371" i="3"/>
  <c r="H371" i="3"/>
  <c r="I371" i="3"/>
  <c r="J371" i="3"/>
  <c r="K371" i="3"/>
  <c r="B372" i="3"/>
  <c r="C372" i="3"/>
  <c r="D372" i="3"/>
  <c r="E372" i="3"/>
  <c r="F372" i="3"/>
  <c r="G372" i="3"/>
  <c r="H372" i="3"/>
  <c r="I372" i="3"/>
  <c r="J372" i="3"/>
  <c r="K372" i="3"/>
  <c r="B373" i="3"/>
  <c r="C373" i="3"/>
  <c r="D373" i="3"/>
  <c r="E373" i="3"/>
  <c r="F373" i="3"/>
  <c r="G373" i="3"/>
  <c r="H373" i="3"/>
  <c r="I373" i="3"/>
  <c r="J373" i="3"/>
  <c r="K373" i="3"/>
  <c r="B374" i="3"/>
  <c r="C374" i="3"/>
  <c r="D374" i="3"/>
  <c r="E374" i="3"/>
  <c r="F374" i="3"/>
  <c r="G374" i="3"/>
  <c r="H374" i="3"/>
  <c r="I374" i="3"/>
  <c r="J374" i="3"/>
  <c r="K374" i="3"/>
  <c r="B375" i="3"/>
  <c r="C375" i="3"/>
  <c r="D375" i="3"/>
  <c r="E375" i="3"/>
  <c r="F375" i="3"/>
  <c r="G375" i="3"/>
  <c r="H375" i="3"/>
  <c r="I375" i="3"/>
  <c r="J375" i="3"/>
  <c r="K375" i="3"/>
  <c r="B376" i="3"/>
  <c r="C376" i="3"/>
  <c r="D376" i="3"/>
  <c r="E376" i="3"/>
  <c r="F376" i="3"/>
  <c r="G376" i="3"/>
  <c r="H376" i="3"/>
  <c r="I376" i="3"/>
  <c r="J376" i="3"/>
  <c r="K376" i="3"/>
  <c r="B377" i="3"/>
  <c r="C377" i="3"/>
  <c r="D377" i="3"/>
  <c r="E377" i="3"/>
  <c r="F377" i="3"/>
  <c r="G377" i="3"/>
  <c r="H377" i="3"/>
  <c r="I377" i="3"/>
  <c r="J377" i="3"/>
  <c r="K377" i="3"/>
  <c r="B378" i="3"/>
  <c r="C378" i="3"/>
  <c r="D378" i="3"/>
  <c r="E378" i="3"/>
  <c r="F378" i="3"/>
  <c r="G378" i="3"/>
  <c r="H378" i="3"/>
  <c r="I378" i="3"/>
  <c r="J378" i="3"/>
  <c r="K378" i="3"/>
  <c r="B379" i="3"/>
  <c r="C379" i="3"/>
  <c r="D379" i="3"/>
  <c r="E379" i="3"/>
  <c r="F379" i="3"/>
  <c r="G379" i="3"/>
  <c r="H379" i="3"/>
  <c r="I379" i="3"/>
  <c r="J379" i="3"/>
  <c r="K379" i="3"/>
  <c r="B380" i="3"/>
  <c r="C380" i="3"/>
  <c r="D380" i="3"/>
  <c r="E380" i="3"/>
  <c r="F380" i="3"/>
  <c r="G380" i="3"/>
  <c r="H380" i="3"/>
  <c r="I380" i="3"/>
  <c r="J380" i="3"/>
  <c r="K380" i="3"/>
  <c r="B381" i="3"/>
  <c r="C381" i="3"/>
  <c r="D381" i="3"/>
  <c r="E381" i="3"/>
  <c r="F381" i="3"/>
  <c r="G381" i="3"/>
  <c r="H381" i="3"/>
  <c r="I381" i="3"/>
  <c r="J381" i="3"/>
  <c r="K381" i="3"/>
  <c r="B382" i="3"/>
  <c r="C382" i="3"/>
  <c r="D382" i="3"/>
  <c r="E382" i="3"/>
  <c r="F382" i="3"/>
  <c r="G382" i="3"/>
  <c r="H382" i="3"/>
  <c r="I382" i="3"/>
  <c r="J382" i="3"/>
  <c r="K382" i="3"/>
  <c r="B383" i="3"/>
  <c r="C383" i="3"/>
  <c r="D383" i="3"/>
  <c r="E383" i="3"/>
  <c r="F383" i="3"/>
  <c r="G383" i="3"/>
  <c r="H383" i="3"/>
  <c r="I383" i="3"/>
  <c r="J383" i="3"/>
  <c r="K383" i="3"/>
  <c r="B384" i="3"/>
  <c r="C384" i="3"/>
  <c r="D384" i="3"/>
  <c r="E384" i="3"/>
  <c r="F384" i="3"/>
  <c r="G384" i="3"/>
  <c r="H384" i="3"/>
  <c r="I384" i="3"/>
  <c r="J384" i="3"/>
  <c r="K384" i="3"/>
  <c r="B385" i="3"/>
  <c r="C385" i="3"/>
  <c r="D385" i="3"/>
  <c r="E385" i="3"/>
  <c r="F385" i="3"/>
  <c r="G385" i="3"/>
  <c r="H385" i="3"/>
  <c r="I385" i="3"/>
  <c r="J385" i="3"/>
  <c r="K385" i="3"/>
  <c r="B386" i="3"/>
  <c r="C386" i="3"/>
  <c r="D386" i="3"/>
  <c r="E386" i="3"/>
  <c r="F386" i="3"/>
  <c r="G386" i="3"/>
  <c r="H386" i="3"/>
  <c r="I386" i="3"/>
  <c r="J386" i="3"/>
  <c r="K386" i="3"/>
  <c r="B387" i="3"/>
  <c r="C387" i="3"/>
  <c r="D387" i="3"/>
  <c r="E387" i="3"/>
  <c r="F387" i="3"/>
  <c r="G387" i="3"/>
  <c r="H387" i="3"/>
  <c r="I387" i="3"/>
  <c r="J387" i="3"/>
  <c r="K387" i="3"/>
  <c r="B388" i="3"/>
  <c r="C388" i="3"/>
  <c r="D388" i="3"/>
  <c r="E388" i="3"/>
  <c r="F388" i="3"/>
  <c r="G388" i="3"/>
  <c r="H388" i="3"/>
  <c r="I388" i="3"/>
  <c r="J388" i="3"/>
  <c r="K388" i="3"/>
  <c r="B389" i="3"/>
  <c r="C389" i="3"/>
  <c r="D389" i="3"/>
  <c r="E389" i="3"/>
  <c r="F389" i="3"/>
  <c r="G389" i="3"/>
  <c r="H389" i="3"/>
  <c r="I389" i="3"/>
  <c r="J389" i="3"/>
  <c r="K389" i="3"/>
  <c r="B390" i="3"/>
  <c r="C390" i="3"/>
  <c r="D390" i="3"/>
  <c r="E390" i="3"/>
  <c r="F390" i="3"/>
  <c r="G390" i="3"/>
  <c r="H390" i="3"/>
  <c r="I390" i="3"/>
  <c r="J390" i="3"/>
  <c r="K390" i="3"/>
  <c r="B391" i="3"/>
  <c r="C391" i="3"/>
  <c r="D391" i="3"/>
  <c r="E391" i="3"/>
  <c r="F391" i="3"/>
  <c r="G391" i="3"/>
  <c r="H391" i="3"/>
  <c r="I391" i="3"/>
  <c r="J391" i="3"/>
  <c r="K391" i="3"/>
  <c r="B392" i="3"/>
  <c r="C392" i="3"/>
  <c r="D392" i="3"/>
  <c r="E392" i="3"/>
  <c r="F392" i="3"/>
  <c r="G392" i="3"/>
  <c r="H392" i="3"/>
  <c r="I392" i="3"/>
  <c r="J392" i="3"/>
  <c r="K392" i="3"/>
  <c r="B393" i="3"/>
  <c r="C393" i="3"/>
  <c r="D393" i="3"/>
  <c r="E393" i="3"/>
  <c r="F393" i="3"/>
  <c r="G393" i="3"/>
  <c r="H393" i="3"/>
  <c r="I393" i="3"/>
  <c r="J393" i="3"/>
  <c r="K393" i="3"/>
  <c r="B394" i="3"/>
  <c r="C394" i="3"/>
  <c r="D394" i="3"/>
  <c r="E394" i="3"/>
  <c r="F394" i="3"/>
  <c r="G394" i="3"/>
  <c r="H394" i="3"/>
  <c r="I394" i="3"/>
  <c r="J394" i="3"/>
  <c r="K394" i="3"/>
  <c r="B395" i="3"/>
  <c r="C395" i="3"/>
  <c r="D395" i="3"/>
  <c r="E395" i="3"/>
  <c r="F395" i="3"/>
  <c r="G395" i="3"/>
  <c r="H395" i="3"/>
  <c r="I395" i="3"/>
  <c r="J395" i="3"/>
  <c r="K395" i="3"/>
  <c r="B396" i="3"/>
  <c r="C396" i="3"/>
  <c r="D396" i="3"/>
  <c r="E396" i="3"/>
  <c r="F396" i="3"/>
  <c r="G396" i="3"/>
  <c r="H396" i="3"/>
  <c r="I396" i="3"/>
  <c r="J396" i="3"/>
  <c r="K396" i="3"/>
  <c r="B397" i="3"/>
  <c r="C397" i="3"/>
  <c r="D397" i="3"/>
  <c r="E397" i="3"/>
  <c r="F397" i="3"/>
  <c r="G397" i="3"/>
  <c r="H397" i="3"/>
  <c r="I397" i="3"/>
  <c r="J397" i="3"/>
  <c r="K397" i="3"/>
  <c r="B398" i="3"/>
  <c r="C398" i="3"/>
  <c r="D398" i="3"/>
  <c r="E398" i="3"/>
  <c r="F398" i="3"/>
  <c r="G398" i="3"/>
  <c r="H398" i="3"/>
  <c r="I398" i="3"/>
  <c r="J398" i="3"/>
  <c r="K398" i="3"/>
  <c r="B399" i="3"/>
  <c r="C399" i="3"/>
  <c r="D399" i="3"/>
  <c r="E399" i="3"/>
  <c r="F399" i="3"/>
  <c r="G399" i="3"/>
  <c r="H399" i="3"/>
  <c r="I399" i="3"/>
  <c r="J399" i="3"/>
  <c r="K399" i="3"/>
  <c r="B400" i="3"/>
  <c r="C400" i="3"/>
  <c r="D400" i="3"/>
  <c r="E400" i="3"/>
  <c r="F400" i="3"/>
  <c r="G400" i="3"/>
  <c r="H400" i="3"/>
  <c r="I400" i="3"/>
  <c r="J400" i="3"/>
  <c r="K400" i="3"/>
  <c r="B401" i="3"/>
  <c r="C401" i="3"/>
  <c r="D401" i="3"/>
  <c r="E401" i="3"/>
  <c r="F401" i="3"/>
  <c r="G401" i="3"/>
  <c r="H401" i="3"/>
  <c r="I401" i="3"/>
  <c r="J401" i="3"/>
  <c r="K401" i="3"/>
  <c r="B402" i="3"/>
  <c r="C402" i="3"/>
  <c r="D402" i="3"/>
  <c r="E402" i="3"/>
  <c r="F402" i="3"/>
  <c r="G402" i="3"/>
  <c r="H402" i="3"/>
  <c r="I402" i="3"/>
  <c r="J402" i="3"/>
  <c r="K402" i="3"/>
  <c r="B403" i="3"/>
  <c r="C403" i="3"/>
  <c r="D403" i="3"/>
  <c r="E403" i="3"/>
  <c r="F403" i="3"/>
  <c r="G403" i="3"/>
  <c r="H403" i="3"/>
  <c r="I403" i="3"/>
  <c r="J403" i="3"/>
  <c r="K403" i="3"/>
  <c r="B404" i="3"/>
  <c r="C404" i="3"/>
  <c r="D404" i="3"/>
  <c r="E404" i="3"/>
  <c r="F404" i="3"/>
  <c r="G404" i="3"/>
  <c r="H404" i="3"/>
  <c r="I404" i="3"/>
  <c r="J404" i="3"/>
  <c r="K404" i="3"/>
  <c r="B405" i="3"/>
  <c r="C405" i="3"/>
  <c r="D405" i="3"/>
  <c r="E405" i="3"/>
  <c r="F405" i="3"/>
  <c r="G405" i="3"/>
  <c r="H405" i="3"/>
  <c r="I405" i="3"/>
  <c r="J405" i="3"/>
  <c r="K405" i="3"/>
  <c r="B406" i="3"/>
  <c r="C406" i="3"/>
  <c r="D406" i="3"/>
  <c r="E406" i="3"/>
  <c r="F406" i="3"/>
  <c r="G406" i="3"/>
  <c r="H406" i="3"/>
  <c r="I406" i="3"/>
  <c r="J406" i="3"/>
  <c r="K406" i="3"/>
  <c r="B407" i="3"/>
  <c r="C407" i="3"/>
  <c r="D407" i="3"/>
  <c r="E407" i="3"/>
  <c r="F407" i="3"/>
  <c r="G407" i="3"/>
  <c r="H407" i="3"/>
  <c r="I407" i="3"/>
  <c r="J407" i="3"/>
  <c r="K407" i="3"/>
  <c r="B408" i="3"/>
  <c r="C408" i="3"/>
  <c r="D408" i="3"/>
  <c r="E408" i="3"/>
  <c r="F408" i="3"/>
  <c r="G408" i="3"/>
  <c r="H408" i="3"/>
  <c r="I408" i="3"/>
  <c r="J408" i="3"/>
  <c r="K408" i="3"/>
  <c r="B409" i="3"/>
  <c r="C409" i="3"/>
  <c r="D409" i="3"/>
  <c r="E409" i="3"/>
  <c r="F409" i="3"/>
  <c r="G409" i="3"/>
  <c r="H409" i="3"/>
  <c r="I409" i="3"/>
  <c r="J409" i="3"/>
  <c r="K409" i="3"/>
  <c r="B410" i="3"/>
  <c r="C410" i="3"/>
  <c r="D410" i="3"/>
  <c r="E410" i="3"/>
  <c r="F410" i="3"/>
  <c r="G410" i="3"/>
  <c r="H410" i="3"/>
  <c r="I410" i="3"/>
  <c r="J410" i="3"/>
  <c r="K410" i="3"/>
  <c r="B411" i="3"/>
  <c r="C411" i="3"/>
  <c r="D411" i="3"/>
  <c r="E411" i="3"/>
  <c r="F411" i="3"/>
  <c r="G411" i="3"/>
  <c r="H411" i="3"/>
  <c r="I411" i="3"/>
  <c r="J411" i="3"/>
  <c r="K411" i="3"/>
  <c r="B412" i="3"/>
  <c r="C412" i="3"/>
  <c r="D412" i="3"/>
  <c r="E412" i="3"/>
  <c r="F412" i="3"/>
  <c r="G412" i="3"/>
  <c r="H412" i="3"/>
  <c r="I412" i="3"/>
  <c r="J412" i="3"/>
  <c r="K412" i="3"/>
  <c r="B413" i="3"/>
  <c r="C413" i="3"/>
  <c r="D413" i="3"/>
  <c r="E413" i="3"/>
  <c r="F413" i="3"/>
  <c r="G413" i="3"/>
  <c r="H413" i="3"/>
  <c r="I413" i="3"/>
  <c r="J413" i="3"/>
  <c r="K413" i="3"/>
  <c r="B414" i="3"/>
  <c r="C414" i="3"/>
  <c r="D414" i="3"/>
  <c r="E414" i="3"/>
  <c r="F414" i="3"/>
  <c r="G414" i="3"/>
  <c r="H414" i="3"/>
  <c r="I414" i="3"/>
  <c r="J414" i="3"/>
  <c r="K414" i="3"/>
  <c r="B415" i="3"/>
  <c r="C415" i="3"/>
  <c r="D415" i="3"/>
  <c r="E415" i="3"/>
  <c r="F415" i="3"/>
  <c r="G415" i="3"/>
  <c r="H415" i="3"/>
  <c r="I415" i="3"/>
  <c r="J415" i="3"/>
  <c r="K415" i="3"/>
  <c r="B416" i="3"/>
  <c r="C416" i="3"/>
  <c r="D416" i="3"/>
  <c r="E416" i="3"/>
  <c r="F416" i="3"/>
  <c r="G416" i="3"/>
  <c r="H416" i="3"/>
  <c r="I416" i="3"/>
  <c r="J416" i="3"/>
  <c r="K416" i="3"/>
  <c r="B417" i="3"/>
  <c r="C417" i="3"/>
  <c r="D417" i="3"/>
  <c r="E417" i="3"/>
  <c r="F417" i="3"/>
  <c r="G417" i="3"/>
  <c r="H417" i="3"/>
  <c r="I417" i="3"/>
  <c r="J417" i="3"/>
  <c r="K417" i="3"/>
  <c r="B418" i="3"/>
  <c r="C418" i="3"/>
  <c r="D418" i="3"/>
  <c r="E418" i="3"/>
  <c r="F418" i="3"/>
  <c r="G418" i="3"/>
  <c r="H418" i="3"/>
  <c r="I418" i="3"/>
  <c r="J418" i="3"/>
  <c r="K418" i="3"/>
  <c r="B419" i="3"/>
  <c r="C419" i="3"/>
  <c r="D419" i="3"/>
  <c r="E419" i="3"/>
  <c r="F419" i="3"/>
  <c r="G419" i="3"/>
  <c r="H419" i="3"/>
  <c r="I419" i="3"/>
  <c r="J419" i="3"/>
  <c r="K419" i="3"/>
  <c r="B420" i="3"/>
  <c r="C420" i="3"/>
  <c r="D420" i="3"/>
  <c r="E420" i="3"/>
  <c r="F420" i="3"/>
  <c r="G420" i="3"/>
  <c r="H420" i="3"/>
  <c r="I420" i="3"/>
  <c r="J420" i="3"/>
  <c r="K420" i="3"/>
  <c r="B421" i="3"/>
  <c r="C421" i="3"/>
  <c r="D421" i="3"/>
  <c r="E421" i="3"/>
  <c r="F421" i="3"/>
  <c r="G421" i="3"/>
  <c r="H421" i="3"/>
  <c r="I421" i="3"/>
  <c r="J421" i="3"/>
  <c r="K421" i="3"/>
  <c r="B422" i="3"/>
  <c r="C422" i="3"/>
  <c r="D422" i="3"/>
  <c r="E422" i="3"/>
  <c r="F422" i="3"/>
  <c r="G422" i="3"/>
  <c r="H422" i="3"/>
  <c r="I422" i="3"/>
  <c r="J422" i="3"/>
  <c r="K422" i="3"/>
  <c r="B423" i="3"/>
  <c r="C423" i="3"/>
  <c r="D423" i="3"/>
  <c r="E423" i="3"/>
  <c r="F423" i="3"/>
  <c r="G423" i="3"/>
  <c r="H423" i="3"/>
  <c r="I423" i="3"/>
  <c r="J423" i="3"/>
  <c r="K423" i="3"/>
  <c r="B424" i="3"/>
  <c r="C424" i="3"/>
  <c r="D424" i="3"/>
  <c r="E424" i="3"/>
  <c r="F424" i="3"/>
  <c r="G424" i="3"/>
  <c r="H424" i="3"/>
  <c r="I424" i="3"/>
  <c r="J424" i="3"/>
  <c r="K424" i="3"/>
  <c r="B425" i="3"/>
  <c r="C425" i="3"/>
  <c r="D425" i="3"/>
  <c r="E425" i="3"/>
  <c r="F425" i="3"/>
  <c r="G425" i="3"/>
  <c r="H425" i="3"/>
  <c r="I425" i="3"/>
  <c r="J425" i="3"/>
  <c r="K425" i="3"/>
  <c r="B426" i="3"/>
  <c r="C426" i="3"/>
  <c r="D426" i="3"/>
  <c r="E426" i="3"/>
  <c r="F426" i="3"/>
  <c r="G426" i="3"/>
  <c r="H426" i="3"/>
  <c r="I426" i="3"/>
  <c r="J426" i="3"/>
  <c r="K426" i="3"/>
  <c r="B427" i="3"/>
  <c r="C427" i="3"/>
  <c r="D427" i="3"/>
  <c r="E427" i="3"/>
  <c r="F427" i="3"/>
  <c r="G427" i="3"/>
  <c r="H427" i="3"/>
  <c r="I427" i="3"/>
  <c r="J427" i="3"/>
  <c r="K427" i="3"/>
  <c r="B428" i="3"/>
  <c r="C428" i="3"/>
  <c r="D428" i="3"/>
  <c r="E428" i="3"/>
  <c r="F428" i="3"/>
  <c r="G428" i="3"/>
  <c r="H428" i="3"/>
  <c r="I428" i="3"/>
  <c r="J428" i="3"/>
  <c r="K428" i="3"/>
  <c r="B429" i="3"/>
  <c r="C429" i="3"/>
  <c r="D429" i="3"/>
  <c r="E429" i="3"/>
  <c r="F429" i="3"/>
  <c r="G429" i="3"/>
  <c r="H429" i="3"/>
  <c r="I429" i="3"/>
  <c r="J429" i="3"/>
  <c r="K429" i="3"/>
  <c r="B430" i="3"/>
  <c r="C430" i="3"/>
  <c r="D430" i="3"/>
  <c r="E430" i="3"/>
  <c r="F430" i="3"/>
  <c r="G430" i="3"/>
  <c r="H430" i="3"/>
  <c r="I430" i="3"/>
  <c r="J430" i="3"/>
  <c r="K430" i="3"/>
  <c r="B431" i="3"/>
  <c r="C431" i="3"/>
  <c r="D431" i="3"/>
  <c r="E431" i="3"/>
  <c r="F431" i="3"/>
  <c r="G431" i="3"/>
  <c r="H431" i="3"/>
  <c r="I431" i="3"/>
  <c r="J431" i="3"/>
  <c r="K431" i="3"/>
  <c r="B432" i="3"/>
  <c r="C432" i="3"/>
  <c r="D432" i="3"/>
  <c r="E432" i="3"/>
  <c r="F432" i="3"/>
  <c r="G432" i="3"/>
  <c r="H432" i="3"/>
  <c r="I432" i="3"/>
  <c r="J432" i="3"/>
  <c r="K432" i="3"/>
  <c r="B433" i="3"/>
  <c r="C433" i="3"/>
  <c r="D433" i="3"/>
  <c r="E433" i="3"/>
  <c r="F433" i="3"/>
  <c r="G433" i="3"/>
  <c r="H433" i="3"/>
  <c r="I433" i="3"/>
  <c r="J433" i="3"/>
  <c r="K433" i="3"/>
  <c r="B434" i="3"/>
  <c r="C434" i="3"/>
  <c r="D434" i="3"/>
  <c r="E434" i="3"/>
  <c r="F434" i="3"/>
  <c r="G434" i="3"/>
  <c r="H434" i="3"/>
  <c r="I434" i="3"/>
  <c r="J434" i="3"/>
  <c r="K434" i="3"/>
  <c r="B435" i="3"/>
  <c r="C435" i="3"/>
  <c r="D435" i="3"/>
  <c r="E435" i="3"/>
  <c r="F435" i="3"/>
  <c r="G435" i="3"/>
  <c r="H435" i="3"/>
  <c r="I435" i="3"/>
  <c r="J435" i="3"/>
  <c r="K435" i="3"/>
  <c r="B436" i="3"/>
  <c r="C436" i="3"/>
  <c r="D436" i="3"/>
  <c r="E436" i="3"/>
  <c r="F436" i="3"/>
  <c r="G436" i="3"/>
  <c r="H436" i="3"/>
  <c r="I436" i="3"/>
  <c r="J436" i="3"/>
  <c r="K436" i="3"/>
  <c r="B437" i="3"/>
  <c r="C437" i="3"/>
  <c r="D437" i="3"/>
  <c r="E437" i="3"/>
  <c r="F437" i="3"/>
  <c r="G437" i="3"/>
  <c r="H437" i="3"/>
  <c r="I437" i="3"/>
  <c r="J437" i="3"/>
  <c r="K437" i="3"/>
  <c r="B438" i="3"/>
  <c r="C438" i="3"/>
  <c r="D438" i="3"/>
  <c r="E438" i="3"/>
  <c r="F438" i="3"/>
  <c r="G438" i="3"/>
  <c r="H438" i="3"/>
  <c r="I438" i="3"/>
  <c r="J438" i="3"/>
  <c r="K438" i="3"/>
  <c r="B439" i="3"/>
  <c r="C439" i="3"/>
  <c r="D439" i="3"/>
  <c r="E439" i="3"/>
  <c r="F439" i="3"/>
  <c r="G439" i="3"/>
  <c r="H439" i="3"/>
  <c r="I439" i="3"/>
  <c r="J439" i="3"/>
  <c r="K439" i="3"/>
  <c r="B440" i="3"/>
  <c r="C440" i="3"/>
  <c r="D440" i="3"/>
  <c r="E440" i="3"/>
  <c r="F440" i="3"/>
  <c r="G440" i="3"/>
  <c r="H440" i="3"/>
  <c r="I440" i="3"/>
  <c r="J440" i="3"/>
  <c r="K440" i="3"/>
  <c r="B441" i="3"/>
  <c r="C441" i="3"/>
  <c r="D441" i="3"/>
  <c r="E441" i="3"/>
  <c r="F441" i="3"/>
  <c r="G441" i="3"/>
  <c r="H441" i="3"/>
  <c r="I441" i="3"/>
  <c r="J441" i="3"/>
  <c r="K441" i="3"/>
  <c r="B442" i="3"/>
  <c r="C442" i="3"/>
  <c r="D442" i="3"/>
  <c r="E442" i="3"/>
  <c r="F442" i="3"/>
  <c r="G442" i="3"/>
  <c r="H442" i="3"/>
  <c r="I442" i="3"/>
  <c r="J442" i="3"/>
  <c r="K442" i="3"/>
  <c r="B443" i="3"/>
  <c r="C443" i="3"/>
  <c r="D443" i="3"/>
  <c r="E443" i="3"/>
  <c r="F443" i="3"/>
  <c r="G443" i="3"/>
  <c r="H443" i="3"/>
  <c r="I443" i="3"/>
  <c r="J443" i="3"/>
  <c r="K443" i="3"/>
  <c r="B444" i="3"/>
  <c r="C444" i="3"/>
  <c r="D444" i="3"/>
  <c r="E444" i="3"/>
  <c r="F444" i="3"/>
  <c r="G444" i="3"/>
  <c r="H444" i="3"/>
  <c r="I444" i="3"/>
  <c r="J444" i="3"/>
  <c r="K444" i="3"/>
  <c r="B445" i="3"/>
  <c r="C445" i="3"/>
  <c r="D445" i="3"/>
  <c r="E445" i="3"/>
  <c r="F445" i="3"/>
  <c r="G445" i="3"/>
  <c r="H445" i="3"/>
  <c r="I445" i="3"/>
  <c r="J445" i="3"/>
  <c r="K445" i="3"/>
  <c r="B446" i="3"/>
  <c r="C446" i="3"/>
  <c r="D446" i="3"/>
  <c r="E446" i="3"/>
  <c r="F446" i="3"/>
  <c r="G446" i="3"/>
  <c r="H446" i="3"/>
  <c r="I446" i="3"/>
  <c r="J446" i="3"/>
  <c r="K446" i="3"/>
  <c r="B447" i="3"/>
  <c r="C447" i="3"/>
  <c r="D447" i="3"/>
  <c r="E447" i="3"/>
  <c r="F447" i="3"/>
  <c r="G447" i="3"/>
  <c r="H447" i="3"/>
  <c r="I447" i="3"/>
  <c r="J447" i="3"/>
  <c r="K447" i="3"/>
  <c r="B448" i="3"/>
  <c r="C448" i="3"/>
  <c r="D448" i="3"/>
  <c r="E448" i="3"/>
  <c r="F448" i="3"/>
  <c r="G448" i="3"/>
  <c r="H448" i="3"/>
  <c r="I448" i="3"/>
  <c r="J448" i="3"/>
  <c r="K448" i="3"/>
  <c r="B449" i="3"/>
  <c r="C449" i="3"/>
  <c r="D449" i="3"/>
  <c r="E449" i="3"/>
  <c r="F449" i="3"/>
  <c r="G449" i="3"/>
  <c r="H449" i="3"/>
  <c r="I449" i="3"/>
  <c r="J449" i="3"/>
  <c r="K449" i="3"/>
  <c r="B450" i="3"/>
  <c r="C450" i="3"/>
  <c r="D450" i="3"/>
  <c r="E450" i="3"/>
  <c r="F450" i="3"/>
  <c r="G450" i="3"/>
  <c r="H450" i="3"/>
  <c r="I450" i="3"/>
  <c r="J450" i="3"/>
  <c r="K450" i="3"/>
  <c r="B451" i="3"/>
  <c r="C451" i="3"/>
  <c r="D451" i="3"/>
  <c r="E451" i="3"/>
  <c r="F451" i="3"/>
  <c r="G451" i="3"/>
  <c r="H451" i="3"/>
  <c r="I451" i="3"/>
  <c r="J451" i="3"/>
  <c r="K451" i="3"/>
  <c r="B452" i="3"/>
  <c r="C452" i="3"/>
  <c r="D452" i="3"/>
  <c r="E452" i="3"/>
  <c r="F452" i="3"/>
  <c r="G452" i="3"/>
  <c r="H452" i="3"/>
  <c r="I452" i="3"/>
  <c r="J452" i="3"/>
  <c r="K452" i="3"/>
  <c r="B453" i="3"/>
  <c r="C453" i="3"/>
  <c r="D453" i="3"/>
  <c r="E453" i="3"/>
  <c r="F453" i="3"/>
  <c r="G453" i="3"/>
  <c r="H453" i="3"/>
  <c r="I453" i="3"/>
  <c r="J453" i="3"/>
  <c r="K453" i="3"/>
  <c r="B454" i="3"/>
  <c r="C454" i="3"/>
  <c r="D454" i="3"/>
  <c r="E454" i="3"/>
  <c r="F454" i="3"/>
  <c r="G454" i="3"/>
  <c r="H454" i="3"/>
  <c r="I454" i="3"/>
  <c r="J454" i="3"/>
  <c r="K454" i="3"/>
  <c r="B455" i="3"/>
  <c r="C455" i="3"/>
  <c r="D455" i="3"/>
  <c r="E455" i="3"/>
  <c r="F455" i="3"/>
  <c r="G455" i="3"/>
  <c r="H455" i="3"/>
  <c r="I455" i="3"/>
  <c r="J455" i="3"/>
  <c r="K455" i="3"/>
  <c r="B456" i="3"/>
  <c r="C456" i="3"/>
  <c r="D456" i="3"/>
  <c r="E456" i="3"/>
  <c r="F456" i="3"/>
  <c r="G456" i="3"/>
  <c r="H456" i="3"/>
  <c r="I456" i="3"/>
  <c r="J456" i="3"/>
  <c r="K456" i="3"/>
  <c r="B457" i="3"/>
  <c r="C457" i="3"/>
  <c r="D457" i="3"/>
  <c r="E457" i="3"/>
  <c r="F457" i="3"/>
  <c r="G457" i="3"/>
  <c r="H457" i="3"/>
  <c r="I457" i="3"/>
  <c r="J457" i="3"/>
  <c r="K457" i="3"/>
  <c r="B458" i="3"/>
  <c r="C458" i="3"/>
  <c r="D458" i="3"/>
  <c r="E458" i="3"/>
  <c r="F458" i="3"/>
  <c r="G458" i="3"/>
  <c r="H458" i="3"/>
  <c r="I458" i="3"/>
  <c r="J458" i="3"/>
  <c r="K458" i="3"/>
  <c r="B459" i="3"/>
  <c r="C459" i="3"/>
  <c r="D459" i="3"/>
  <c r="E459" i="3"/>
  <c r="F459" i="3"/>
  <c r="G459" i="3"/>
  <c r="H459" i="3"/>
  <c r="I459" i="3"/>
  <c r="J459" i="3"/>
  <c r="K459" i="3"/>
  <c r="B460" i="3"/>
  <c r="C460" i="3"/>
  <c r="D460" i="3"/>
  <c r="E460" i="3"/>
  <c r="F460" i="3"/>
  <c r="G460" i="3"/>
  <c r="H460" i="3"/>
  <c r="I460" i="3"/>
  <c r="J460" i="3"/>
  <c r="K460" i="3"/>
  <c r="B461" i="3"/>
  <c r="C461" i="3"/>
  <c r="D461" i="3"/>
  <c r="E461" i="3"/>
  <c r="F461" i="3"/>
  <c r="G461" i="3"/>
  <c r="H461" i="3"/>
  <c r="I461" i="3"/>
  <c r="J461" i="3"/>
  <c r="K461" i="3"/>
  <c r="B462" i="3"/>
  <c r="C462" i="3"/>
  <c r="D462" i="3"/>
  <c r="E462" i="3"/>
  <c r="F462" i="3"/>
  <c r="G462" i="3"/>
  <c r="H462" i="3"/>
  <c r="I462" i="3"/>
  <c r="J462" i="3"/>
  <c r="K462" i="3"/>
  <c r="B463" i="3"/>
  <c r="C463" i="3"/>
  <c r="D463" i="3"/>
  <c r="E463" i="3"/>
  <c r="F463" i="3"/>
  <c r="G463" i="3"/>
  <c r="H463" i="3"/>
  <c r="I463" i="3"/>
  <c r="J463" i="3"/>
  <c r="K463" i="3"/>
  <c r="B464" i="3"/>
  <c r="C464" i="3"/>
  <c r="D464" i="3"/>
  <c r="E464" i="3"/>
  <c r="F464" i="3"/>
  <c r="G464" i="3"/>
  <c r="H464" i="3"/>
  <c r="I464" i="3"/>
  <c r="J464" i="3"/>
  <c r="K464" i="3"/>
  <c r="B465" i="3"/>
  <c r="C465" i="3"/>
  <c r="D465" i="3"/>
  <c r="E465" i="3"/>
  <c r="F465" i="3"/>
  <c r="G465" i="3"/>
  <c r="H465" i="3"/>
  <c r="I465" i="3"/>
  <c r="J465" i="3"/>
  <c r="K465" i="3"/>
  <c r="B466" i="3"/>
  <c r="C466" i="3"/>
  <c r="D466" i="3"/>
  <c r="E466" i="3"/>
  <c r="F466" i="3"/>
  <c r="G466" i="3"/>
  <c r="H466" i="3"/>
  <c r="I466" i="3"/>
  <c r="J466" i="3"/>
  <c r="K466" i="3"/>
  <c r="B467" i="3"/>
  <c r="C467" i="3"/>
  <c r="D467" i="3"/>
  <c r="E467" i="3"/>
  <c r="F467" i="3"/>
  <c r="G467" i="3"/>
  <c r="H467" i="3"/>
  <c r="I467" i="3"/>
  <c r="J467" i="3"/>
  <c r="K467" i="3"/>
  <c r="B468" i="3"/>
  <c r="C468" i="3"/>
  <c r="D468" i="3"/>
  <c r="E468" i="3"/>
  <c r="F468" i="3"/>
  <c r="G468" i="3"/>
  <c r="H468" i="3"/>
  <c r="I468" i="3"/>
  <c r="J468" i="3"/>
  <c r="K468" i="3"/>
  <c r="B469" i="3"/>
  <c r="C469" i="3"/>
  <c r="D469" i="3"/>
  <c r="E469" i="3"/>
  <c r="F469" i="3"/>
  <c r="G469" i="3"/>
  <c r="H469" i="3"/>
  <c r="I469" i="3"/>
  <c r="J469" i="3"/>
  <c r="K469" i="3"/>
  <c r="B470" i="3"/>
  <c r="C470" i="3"/>
  <c r="D470" i="3"/>
  <c r="E470" i="3"/>
  <c r="F470" i="3"/>
  <c r="G470" i="3"/>
  <c r="H470" i="3"/>
  <c r="I470" i="3"/>
  <c r="J470" i="3"/>
  <c r="K470" i="3"/>
  <c r="B471" i="3"/>
  <c r="C471" i="3"/>
  <c r="D471" i="3"/>
  <c r="E471" i="3"/>
  <c r="F471" i="3"/>
  <c r="G471" i="3"/>
  <c r="H471" i="3"/>
  <c r="I471" i="3"/>
  <c r="J471" i="3"/>
  <c r="K471" i="3"/>
  <c r="B472" i="3"/>
  <c r="C472" i="3"/>
  <c r="D472" i="3"/>
  <c r="E472" i="3"/>
  <c r="F472" i="3"/>
  <c r="G472" i="3"/>
  <c r="H472" i="3"/>
  <c r="I472" i="3"/>
  <c r="J472" i="3"/>
  <c r="K472" i="3"/>
  <c r="B473" i="3"/>
  <c r="C473" i="3"/>
  <c r="D473" i="3"/>
  <c r="E473" i="3"/>
  <c r="F473" i="3"/>
  <c r="G473" i="3"/>
  <c r="H473" i="3"/>
  <c r="I473" i="3"/>
  <c r="J473" i="3"/>
  <c r="K473" i="3"/>
  <c r="B474" i="3"/>
  <c r="C474" i="3"/>
  <c r="D474" i="3"/>
  <c r="E474" i="3"/>
  <c r="F474" i="3"/>
  <c r="G474" i="3"/>
  <c r="H474" i="3"/>
  <c r="I474" i="3"/>
  <c r="J474" i="3"/>
  <c r="K474" i="3"/>
  <c r="B475" i="3"/>
  <c r="C475" i="3"/>
  <c r="D475" i="3"/>
  <c r="E475" i="3"/>
  <c r="F475" i="3"/>
  <c r="G475" i="3"/>
  <c r="H475" i="3"/>
  <c r="I475" i="3"/>
  <c r="J475" i="3"/>
  <c r="K475" i="3"/>
  <c r="B476" i="3"/>
  <c r="C476" i="3"/>
  <c r="D476" i="3"/>
  <c r="E476" i="3"/>
  <c r="F476" i="3"/>
  <c r="G476" i="3"/>
  <c r="H476" i="3"/>
  <c r="I476" i="3"/>
  <c r="J476" i="3"/>
  <c r="K476" i="3"/>
  <c r="B477" i="3"/>
  <c r="C477" i="3"/>
  <c r="D477" i="3"/>
  <c r="E477" i="3"/>
  <c r="F477" i="3"/>
  <c r="G477" i="3"/>
  <c r="H477" i="3"/>
  <c r="I477" i="3"/>
  <c r="J477" i="3"/>
  <c r="K477" i="3"/>
  <c r="B478" i="3"/>
  <c r="C478" i="3"/>
  <c r="D478" i="3"/>
  <c r="E478" i="3"/>
  <c r="F478" i="3"/>
  <c r="G478" i="3"/>
  <c r="H478" i="3"/>
  <c r="I478" i="3"/>
  <c r="J478" i="3"/>
  <c r="K478" i="3"/>
  <c r="B479" i="3"/>
  <c r="C479" i="3"/>
  <c r="D479" i="3"/>
  <c r="E479" i="3"/>
  <c r="F479" i="3"/>
  <c r="G479" i="3"/>
  <c r="H479" i="3"/>
  <c r="I479" i="3"/>
  <c r="J479" i="3"/>
  <c r="K479" i="3"/>
  <c r="B480" i="3"/>
  <c r="C480" i="3"/>
  <c r="D480" i="3"/>
  <c r="E480" i="3"/>
  <c r="F480" i="3"/>
  <c r="G480" i="3"/>
  <c r="H480" i="3"/>
  <c r="I480" i="3"/>
  <c r="J480" i="3"/>
  <c r="K480" i="3"/>
  <c r="B481" i="3"/>
  <c r="C481" i="3"/>
  <c r="D481" i="3"/>
  <c r="E481" i="3"/>
  <c r="F481" i="3"/>
  <c r="G481" i="3"/>
  <c r="H481" i="3"/>
  <c r="I481" i="3"/>
  <c r="J481" i="3"/>
  <c r="K481" i="3"/>
  <c r="B482" i="3"/>
  <c r="C482" i="3"/>
  <c r="D482" i="3"/>
  <c r="E482" i="3"/>
  <c r="F482" i="3"/>
  <c r="G482" i="3"/>
  <c r="H482" i="3"/>
  <c r="I482" i="3"/>
  <c r="J482" i="3"/>
  <c r="K482" i="3"/>
  <c r="B483" i="3"/>
  <c r="C483" i="3"/>
  <c r="D483" i="3"/>
  <c r="E483" i="3"/>
  <c r="F483" i="3"/>
  <c r="G483" i="3"/>
  <c r="H483" i="3"/>
  <c r="I483" i="3"/>
  <c r="J483" i="3"/>
  <c r="K483" i="3"/>
  <c r="B484" i="3"/>
  <c r="C484" i="3"/>
  <c r="D484" i="3"/>
  <c r="E484" i="3"/>
  <c r="F484" i="3"/>
  <c r="G484" i="3"/>
  <c r="H484" i="3"/>
  <c r="I484" i="3"/>
  <c r="J484" i="3"/>
  <c r="K484" i="3"/>
  <c r="B485" i="3"/>
  <c r="C485" i="3"/>
  <c r="D485" i="3"/>
  <c r="E485" i="3"/>
  <c r="F485" i="3"/>
  <c r="G485" i="3"/>
  <c r="H485" i="3"/>
  <c r="I485" i="3"/>
  <c r="J485" i="3"/>
  <c r="K485" i="3"/>
  <c r="B486" i="3"/>
  <c r="C486" i="3"/>
  <c r="D486" i="3"/>
  <c r="E486" i="3"/>
  <c r="F486" i="3"/>
  <c r="G486" i="3"/>
  <c r="H486" i="3"/>
  <c r="I486" i="3"/>
  <c r="J486" i="3"/>
  <c r="K486" i="3"/>
  <c r="B487" i="3"/>
  <c r="C487" i="3"/>
  <c r="D487" i="3"/>
  <c r="E487" i="3"/>
  <c r="F487" i="3"/>
  <c r="G487" i="3"/>
  <c r="H487" i="3"/>
  <c r="I487" i="3"/>
  <c r="J487" i="3"/>
  <c r="K487" i="3"/>
  <c r="B488" i="3"/>
  <c r="C488" i="3"/>
  <c r="D488" i="3"/>
  <c r="E488" i="3"/>
  <c r="F488" i="3"/>
  <c r="G488" i="3"/>
  <c r="H488" i="3"/>
  <c r="I488" i="3"/>
  <c r="J488" i="3"/>
  <c r="K488" i="3"/>
  <c r="B489" i="3"/>
  <c r="C489" i="3"/>
  <c r="D489" i="3"/>
  <c r="E489" i="3"/>
  <c r="F489" i="3"/>
  <c r="G489" i="3"/>
  <c r="H489" i="3"/>
  <c r="I489" i="3"/>
  <c r="J489" i="3"/>
  <c r="K489" i="3"/>
  <c r="B490" i="3"/>
  <c r="C490" i="3"/>
  <c r="D490" i="3"/>
  <c r="E490" i="3"/>
  <c r="F490" i="3"/>
  <c r="G490" i="3"/>
  <c r="H490" i="3"/>
  <c r="I490" i="3"/>
  <c r="J490" i="3"/>
  <c r="K490" i="3"/>
  <c r="B491" i="3"/>
  <c r="C491" i="3"/>
  <c r="D491" i="3"/>
  <c r="E491" i="3"/>
  <c r="F491" i="3"/>
  <c r="G491" i="3"/>
  <c r="H491" i="3"/>
  <c r="I491" i="3"/>
  <c r="J491" i="3"/>
  <c r="K491" i="3"/>
  <c r="B492" i="3"/>
  <c r="C492" i="3"/>
  <c r="D492" i="3"/>
  <c r="E492" i="3"/>
  <c r="F492" i="3"/>
  <c r="G492" i="3"/>
  <c r="H492" i="3"/>
  <c r="I492" i="3"/>
  <c r="J492" i="3"/>
  <c r="K492" i="3"/>
  <c r="B493" i="3"/>
  <c r="C493" i="3"/>
  <c r="D493" i="3"/>
  <c r="E493" i="3"/>
  <c r="F493" i="3"/>
  <c r="G493" i="3"/>
  <c r="H493" i="3"/>
  <c r="I493" i="3"/>
  <c r="J493" i="3"/>
  <c r="K493" i="3"/>
  <c r="B494" i="3"/>
  <c r="C494" i="3"/>
  <c r="D494" i="3"/>
  <c r="E494" i="3"/>
  <c r="F494" i="3"/>
  <c r="G494" i="3"/>
  <c r="H494" i="3"/>
  <c r="I494" i="3"/>
  <c r="J494" i="3"/>
  <c r="K494" i="3"/>
  <c r="B495" i="3"/>
  <c r="C495" i="3"/>
  <c r="D495" i="3"/>
  <c r="E495" i="3"/>
  <c r="F495" i="3"/>
  <c r="G495" i="3"/>
  <c r="H495" i="3"/>
  <c r="I495" i="3"/>
  <c r="J495" i="3"/>
  <c r="K495" i="3"/>
  <c r="B496" i="3"/>
  <c r="C496" i="3"/>
  <c r="D496" i="3"/>
  <c r="E496" i="3"/>
  <c r="F496" i="3"/>
  <c r="G496" i="3"/>
  <c r="H496" i="3"/>
  <c r="I496" i="3"/>
  <c r="J496" i="3"/>
  <c r="K496" i="3"/>
  <c r="B497" i="3"/>
  <c r="C497" i="3"/>
  <c r="D497" i="3"/>
  <c r="E497" i="3"/>
  <c r="F497" i="3"/>
  <c r="G497" i="3"/>
  <c r="H497" i="3"/>
  <c r="I497" i="3"/>
  <c r="J497" i="3"/>
  <c r="K497" i="3"/>
  <c r="B498" i="3"/>
  <c r="C498" i="3"/>
  <c r="D498" i="3"/>
  <c r="E498" i="3"/>
  <c r="F498" i="3"/>
  <c r="G498" i="3"/>
  <c r="H498" i="3"/>
  <c r="I498" i="3"/>
  <c r="J498" i="3"/>
  <c r="K498" i="3"/>
  <c r="B499" i="3"/>
  <c r="C499" i="3"/>
  <c r="D499" i="3"/>
  <c r="E499" i="3"/>
  <c r="F499" i="3"/>
  <c r="G499" i="3"/>
  <c r="H499" i="3"/>
  <c r="I499" i="3"/>
  <c r="J499" i="3"/>
  <c r="K499" i="3"/>
  <c r="B500" i="3"/>
  <c r="C500" i="3"/>
  <c r="D500" i="3"/>
  <c r="E500" i="3"/>
  <c r="F500" i="3"/>
  <c r="G500" i="3"/>
  <c r="H500" i="3"/>
  <c r="I500" i="3"/>
  <c r="J500" i="3"/>
  <c r="K500" i="3"/>
  <c r="B501" i="3"/>
  <c r="C501" i="3"/>
  <c r="D501" i="3"/>
  <c r="E501" i="3"/>
  <c r="F501" i="3"/>
  <c r="G501" i="3"/>
  <c r="H501" i="3"/>
  <c r="I501" i="3"/>
  <c r="J501" i="3"/>
  <c r="K501" i="3"/>
  <c r="B502" i="3"/>
  <c r="C502" i="3"/>
  <c r="D502" i="3"/>
  <c r="E502" i="3"/>
  <c r="F502" i="3"/>
  <c r="G502" i="3"/>
  <c r="H502" i="3"/>
  <c r="I502" i="3"/>
  <c r="J502" i="3"/>
  <c r="K502" i="3"/>
  <c r="B503" i="3"/>
  <c r="C503" i="3"/>
  <c r="D503" i="3"/>
  <c r="E503" i="3"/>
  <c r="F503" i="3"/>
  <c r="G503" i="3"/>
  <c r="H503" i="3"/>
  <c r="I503" i="3"/>
  <c r="J503" i="3"/>
  <c r="K503" i="3"/>
  <c r="B504" i="3"/>
  <c r="C504" i="3"/>
  <c r="D504" i="3"/>
  <c r="E504" i="3"/>
  <c r="F504" i="3"/>
  <c r="G504" i="3"/>
  <c r="H504" i="3"/>
  <c r="I504" i="3"/>
  <c r="J504" i="3"/>
  <c r="K504" i="3"/>
  <c r="B505" i="3"/>
  <c r="C505" i="3"/>
  <c r="D505" i="3"/>
  <c r="E505" i="3"/>
  <c r="F505" i="3"/>
  <c r="G505" i="3"/>
  <c r="H505" i="3"/>
  <c r="I505" i="3"/>
  <c r="J505" i="3"/>
  <c r="K505" i="3"/>
  <c r="B506" i="3"/>
  <c r="C506" i="3"/>
  <c r="D506" i="3"/>
  <c r="E506" i="3"/>
  <c r="F506" i="3"/>
  <c r="G506" i="3"/>
  <c r="H506" i="3"/>
  <c r="I506" i="3"/>
  <c r="J506" i="3"/>
  <c r="K506" i="3"/>
  <c r="B507" i="3"/>
  <c r="C507" i="3"/>
  <c r="D507" i="3"/>
  <c r="E507" i="3"/>
  <c r="F507" i="3"/>
  <c r="G507" i="3"/>
  <c r="H507" i="3"/>
  <c r="I507" i="3"/>
  <c r="J507" i="3"/>
  <c r="K507" i="3"/>
  <c r="B508" i="3"/>
  <c r="C508" i="3"/>
  <c r="D508" i="3"/>
  <c r="E508" i="3"/>
  <c r="F508" i="3"/>
  <c r="G508" i="3"/>
  <c r="H508" i="3"/>
  <c r="I508" i="3"/>
  <c r="J508" i="3"/>
  <c r="K508" i="3"/>
  <c r="B509" i="3"/>
  <c r="C509" i="3"/>
  <c r="D509" i="3"/>
  <c r="E509" i="3"/>
  <c r="F509" i="3"/>
  <c r="G509" i="3"/>
  <c r="H509" i="3"/>
  <c r="I509" i="3"/>
  <c r="J509" i="3"/>
  <c r="K509" i="3"/>
  <c r="B510" i="3"/>
  <c r="C510" i="3"/>
  <c r="D510" i="3"/>
  <c r="E510" i="3"/>
  <c r="F510" i="3"/>
  <c r="G510" i="3"/>
  <c r="H510" i="3"/>
  <c r="I510" i="3"/>
  <c r="J510" i="3"/>
  <c r="K510" i="3"/>
  <c r="B511" i="3"/>
  <c r="C511" i="3"/>
  <c r="D511" i="3"/>
  <c r="E511" i="3"/>
  <c r="F511" i="3"/>
  <c r="G511" i="3"/>
  <c r="H511" i="3"/>
  <c r="I511" i="3"/>
  <c r="J511" i="3"/>
  <c r="K511" i="3"/>
  <c r="B512" i="3"/>
  <c r="C512" i="3"/>
  <c r="D512" i="3"/>
  <c r="E512" i="3"/>
  <c r="F512" i="3"/>
  <c r="G512" i="3"/>
  <c r="H512" i="3"/>
  <c r="I512" i="3"/>
  <c r="J512" i="3"/>
  <c r="K512" i="3"/>
  <c r="B513" i="3"/>
  <c r="C513" i="3"/>
  <c r="D513" i="3"/>
  <c r="E513" i="3"/>
  <c r="F513" i="3"/>
  <c r="G513" i="3"/>
  <c r="H513" i="3"/>
  <c r="I513" i="3"/>
  <c r="J513" i="3"/>
  <c r="K513" i="3"/>
  <c r="B514" i="3"/>
  <c r="C514" i="3"/>
  <c r="D514" i="3"/>
  <c r="E514" i="3"/>
  <c r="F514" i="3"/>
  <c r="G514" i="3"/>
  <c r="H514" i="3"/>
  <c r="I514" i="3"/>
  <c r="J514" i="3"/>
  <c r="K514" i="3"/>
  <c r="B515" i="3"/>
  <c r="C515" i="3"/>
  <c r="D515" i="3"/>
  <c r="E515" i="3"/>
  <c r="F515" i="3"/>
  <c r="G515" i="3"/>
  <c r="H515" i="3"/>
  <c r="I515" i="3"/>
  <c r="J515" i="3"/>
  <c r="K515" i="3"/>
  <c r="B516" i="3"/>
  <c r="C516" i="3"/>
  <c r="D516" i="3"/>
  <c r="E516" i="3"/>
  <c r="F516" i="3"/>
  <c r="G516" i="3"/>
  <c r="H516" i="3"/>
  <c r="I516" i="3"/>
  <c r="J516" i="3"/>
  <c r="K516" i="3"/>
  <c r="B517" i="3"/>
  <c r="C517" i="3"/>
  <c r="D517" i="3"/>
  <c r="E517" i="3"/>
  <c r="F517" i="3"/>
  <c r="G517" i="3"/>
  <c r="H517" i="3"/>
  <c r="I517" i="3"/>
  <c r="J517" i="3"/>
  <c r="K517" i="3"/>
  <c r="B518" i="3"/>
  <c r="C518" i="3"/>
  <c r="D518" i="3"/>
  <c r="E518" i="3"/>
  <c r="F518" i="3"/>
  <c r="G518" i="3"/>
  <c r="H518" i="3"/>
  <c r="I518" i="3"/>
  <c r="J518" i="3"/>
  <c r="K518" i="3"/>
  <c r="B519" i="3"/>
  <c r="C519" i="3"/>
  <c r="D519" i="3"/>
  <c r="E519" i="3"/>
  <c r="F519" i="3"/>
  <c r="G519" i="3"/>
  <c r="H519" i="3"/>
  <c r="I519" i="3"/>
  <c r="J519" i="3"/>
  <c r="K519" i="3"/>
  <c r="B520" i="3"/>
  <c r="C520" i="3"/>
  <c r="D520" i="3"/>
  <c r="E520" i="3"/>
  <c r="F520" i="3"/>
  <c r="G520" i="3"/>
  <c r="H520" i="3"/>
  <c r="I520" i="3"/>
  <c r="J520" i="3"/>
  <c r="K520" i="3"/>
  <c r="B521" i="3"/>
  <c r="C521" i="3"/>
  <c r="D521" i="3"/>
  <c r="E521" i="3"/>
  <c r="F521" i="3"/>
  <c r="G521" i="3"/>
  <c r="H521" i="3"/>
  <c r="I521" i="3"/>
  <c r="J521" i="3"/>
  <c r="K521" i="3"/>
  <c r="B522" i="3"/>
  <c r="C522" i="3"/>
  <c r="D522" i="3"/>
  <c r="E522" i="3"/>
  <c r="F522" i="3"/>
  <c r="G522" i="3"/>
  <c r="H522" i="3"/>
  <c r="I522" i="3"/>
  <c r="J522" i="3"/>
  <c r="K522" i="3"/>
  <c r="B523" i="3"/>
  <c r="C523" i="3"/>
  <c r="D523" i="3"/>
  <c r="E523" i="3"/>
  <c r="F523" i="3"/>
  <c r="G523" i="3"/>
  <c r="H523" i="3"/>
  <c r="I523" i="3"/>
  <c r="J523" i="3"/>
  <c r="K523" i="3"/>
  <c r="B524" i="3"/>
  <c r="C524" i="3"/>
  <c r="D524" i="3"/>
  <c r="E524" i="3"/>
  <c r="F524" i="3"/>
  <c r="G524" i="3"/>
  <c r="H524" i="3"/>
  <c r="I524" i="3"/>
  <c r="J524" i="3"/>
  <c r="K524" i="3"/>
  <c r="B525" i="3"/>
  <c r="C525" i="3"/>
  <c r="D525" i="3"/>
  <c r="E525" i="3"/>
  <c r="F525" i="3"/>
  <c r="G525" i="3"/>
  <c r="H525" i="3"/>
  <c r="I525" i="3"/>
  <c r="J525" i="3"/>
  <c r="K525" i="3"/>
  <c r="B526" i="3"/>
  <c r="C526" i="3"/>
  <c r="D526" i="3"/>
  <c r="E526" i="3"/>
  <c r="F526" i="3"/>
  <c r="G526" i="3"/>
  <c r="H526" i="3"/>
  <c r="I526" i="3"/>
  <c r="J526" i="3"/>
  <c r="K526" i="3"/>
  <c r="B527" i="3"/>
  <c r="C527" i="3"/>
  <c r="D527" i="3"/>
  <c r="E527" i="3"/>
  <c r="F527" i="3"/>
  <c r="G527" i="3"/>
  <c r="H527" i="3"/>
  <c r="I527" i="3"/>
  <c r="J527" i="3"/>
  <c r="K527" i="3"/>
  <c r="B528" i="3"/>
  <c r="C528" i="3"/>
  <c r="D528" i="3"/>
  <c r="E528" i="3"/>
  <c r="F528" i="3"/>
  <c r="G528" i="3"/>
  <c r="H528" i="3"/>
  <c r="I528" i="3"/>
  <c r="J528" i="3"/>
  <c r="K528" i="3"/>
  <c r="B529" i="3"/>
  <c r="C529" i="3"/>
  <c r="D529" i="3"/>
  <c r="E529" i="3"/>
  <c r="F529" i="3"/>
  <c r="G529" i="3"/>
  <c r="H529" i="3"/>
  <c r="I529" i="3"/>
  <c r="J529" i="3"/>
  <c r="K529" i="3"/>
  <c r="B530" i="3"/>
  <c r="C530" i="3"/>
  <c r="D530" i="3"/>
  <c r="E530" i="3"/>
  <c r="F530" i="3"/>
  <c r="G530" i="3"/>
  <c r="H530" i="3"/>
  <c r="I530" i="3"/>
  <c r="J530" i="3"/>
  <c r="K530" i="3"/>
  <c r="B531" i="3"/>
  <c r="C531" i="3"/>
  <c r="D531" i="3"/>
  <c r="E531" i="3"/>
  <c r="F531" i="3"/>
  <c r="G531" i="3"/>
  <c r="H531" i="3"/>
  <c r="I531" i="3"/>
  <c r="J531" i="3"/>
  <c r="K531" i="3"/>
  <c r="B532" i="3"/>
  <c r="C532" i="3"/>
  <c r="D532" i="3"/>
  <c r="E532" i="3"/>
  <c r="F532" i="3"/>
  <c r="G532" i="3"/>
  <c r="H532" i="3"/>
  <c r="I532" i="3"/>
  <c r="J532" i="3"/>
  <c r="K532" i="3"/>
  <c r="B533" i="3"/>
  <c r="C533" i="3"/>
  <c r="D533" i="3"/>
  <c r="E533" i="3"/>
  <c r="F533" i="3"/>
  <c r="G533" i="3"/>
  <c r="H533" i="3"/>
  <c r="I533" i="3"/>
  <c r="J533" i="3"/>
  <c r="K533" i="3"/>
  <c r="B534" i="3"/>
  <c r="C534" i="3"/>
  <c r="D534" i="3"/>
  <c r="E534" i="3"/>
  <c r="F534" i="3"/>
  <c r="G534" i="3"/>
  <c r="H534" i="3"/>
  <c r="I534" i="3"/>
  <c r="J534" i="3"/>
  <c r="K534" i="3"/>
  <c r="B535" i="3"/>
  <c r="C535" i="3"/>
  <c r="D535" i="3"/>
  <c r="E535" i="3"/>
  <c r="F535" i="3"/>
  <c r="G535" i="3"/>
  <c r="H535" i="3"/>
  <c r="I535" i="3"/>
  <c r="J535" i="3"/>
  <c r="K535" i="3"/>
  <c r="B536" i="3"/>
  <c r="C536" i="3"/>
  <c r="D536" i="3"/>
  <c r="E536" i="3"/>
  <c r="F536" i="3"/>
  <c r="G536" i="3"/>
  <c r="H536" i="3"/>
  <c r="I536" i="3"/>
  <c r="J536" i="3"/>
  <c r="K536" i="3"/>
  <c r="B537" i="3"/>
  <c r="C537" i="3"/>
  <c r="D537" i="3"/>
  <c r="E537" i="3"/>
  <c r="F537" i="3"/>
  <c r="G537" i="3"/>
  <c r="H537" i="3"/>
  <c r="I537" i="3"/>
  <c r="J537" i="3"/>
  <c r="K537" i="3"/>
  <c r="B538" i="3"/>
  <c r="C538" i="3"/>
  <c r="D538" i="3"/>
  <c r="E538" i="3"/>
  <c r="F538" i="3"/>
  <c r="G538" i="3"/>
  <c r="H538" i="3"/>
  <c r="I538" i="3"/>
  <c r="J538" i="3"/>
  <c r="K538" i="3"/>
  <c r="B539" i="3"/>
  <c r="C539" i="3"/>
  <c r="D539" i="3"/>
  <c r="E539" i="3"/>
  <c r="F539" i="3"/>
  <c r="G539" i="3"/>
  <c r="H539" i="3"/>
  <c r="I539" i="3"/>
  <c r="J539" i="3"/>
  <c r="K539" i="3"/>
  <c r="B540" i="3"/>
  <c r="C540" i="3"/>
  <c r="D540" i="3"/>
  <c r="E540" i="3"/>
  <c r="F540" i="3"/>
  <c r="G540" i="3"/>
  <c r="H540" i="3"/>
  <c r="I540" i="3"/>
  <c r="J540" i="3"/>
  <c r="K540" i="3"/>
  <c r="B541" i="3"/>
  <c r="C541" i="3"/>
  <c r="D541" i="3"/>
  <c r="E541" i="3"/>
  <c r="F541" i="3"/>
  <c r="G541" i="3"/>
  <c r="H541" i="3"/>
  <c r="I541" i="3"/>
  <c r="J541" i="3"/>
  <c r="K541" i="3"/>
  <c r="B542" i="3"/>
  <c r="C542" i="3"/>
  <c r="D542" i="3"/>
  <c r="E542" i="3"/>
  <c r="F542" i="3"/>
  <c r="G542" i="3"/>
  <c r="H542" i="3"/>
  <c r="I542" i="3"/>
  <c r="J542" i="3"/>
  <c r="K542" i="3"/>
  <c r="B543" i="3"/>
  <c r="C543" i="3"/>
  <c r="D543" i="3"/>
  <c r="E543" i="3"/>
  <c r="F543" i="3"/>
  <c r="G543" i="3"/>
  <c r="H543" i="3"/>
  <c r="I543" i="3"/>
  <c r="J543" i="3"/>
  <c r="K543" i="3"/>
  <c r="B544" i="3"/>
  <c r="C544" i="3"/>
  <c r="D544" i="3"/>
  <c r="E544" i="3"/>
  <c r="F544" i="3"/>
  <c r="G544" i="3"/>
  <c r="H544" i="3"/>
  <c r="I544" i="3"/>
  <c r="J544" i="3"/>
  <c r="K544" i="3"/>
  <c r="B545" i="3"/>
  <c r="C545" i="3"/>
  <c r="D545" i="3"/>
  <c r="E545" i="3"/>
  <c r="F545" i="3"/>
  <c r="G545" i="3"/>
  <c r="H545" i="3"/>
  <c r="I545" i="3"/>
  <c r="J545" i="3"/>
  <c r="K545" i="3"/>
  <c r="B546" i="3"/>
  <c r="C546" i="3"/>
  <c r="D546" i="3"/>
  <c r="E546" i="3"/>
  <c r="F546" i="3"/>
  <c r="G546" i="3"/>
  <c r="H546" i="3"/>
  <c r="I546" i="3"/>
  <c r="J546" i="3"/>
  <c r="K546" i="3"/>
  <c r="B547" i="3"/>
  <c r="C547" i="3"/>
  <c r="D547" i="3"/>
  <c r="E547" i="3"/>
  <c r="F547" i="3"/>
  <c r="G547" i="3"/>
  <c r="H547" i="3"/>
  <c r="I547" i="3"/>
  <c r="J547" i="3"/>
  <c r="K547" i="3"/>
  <c r="B548" i="3"/>
  <c r="C548" i="3"/>
  <c r="D548" i="3"/>
  <c r="E548" i="3"/>
  <c r="F548" i="3"/>
  <c r="G548" i="3"/>
  <c r="H548" i="3"/>
  <c r="I548" i="3"/>
  <c r="J548" i="3"/>
  <c r="K548" i="3"/>
  <c r="B549" i="3"/>
  <c r="C549" i="3"/>
  <c r="D549" i="3"/>
  <c r="E549" i="3"/>
  <c r="F549" i="3"/>
  <c r="G549" i="3"/>
  <c r="H549" i="3"/>
  <c r="I549" i="3"/>
  <c r="J549" i="3"/>
  <c r="K549" i="3"/>
  <c r="B550" i="3"/>
  <c r="C550" i="3"/>
  <c r="D550" i="3"/>
  <c r="E550" i="3"/>
  <c r="F550" i="3"/>
  <c r="G550" i="3"/>
  <c r="H550" i="3"/>
  <c r="I550" i="3"/>
  <c r="J550" i="3"/>
  <c r="K550" i="3"/>
  <c r="B551" i="3"/>
  <c r="C551" i="3"/>
  <c r="D551" i="3"/>
  <c r="E551" i="3"/>
  <c r="F551" i="3"/>
  <c r="G551" i="3"/>
  <c r="H551" i="3"/>
  <c r="I551" i="3"/>
  <c r="J551" i="3"/>
  <c r="K551" i="3"/>
  <c r="B552" i="3"/>
  <c r="C552" i="3"/>
  <c r="D552" i="3"/>
  <c r="E552" i="3"/>
  <c r="F552" i="3"/>
  <c r="G552" i="3"/>
  <c r="H552" i="3"/>
  <c r="I552" i="3"/>
  <c r="J552" i="3"/>
  <c r="K552" i="3"/>
  <c r="B553" i="3"/>
  <c r="C553" i="3"/>
  <c r="D553" i="3"/>
  <c r="E553" i="3"/>
  <c r="F553" i="3"/>
  <c r="G553" i="3"/>
  <c r="H553" i="3"/>
  <c r="I553" i="3"/>
  <c r="J553" i="3"/>
  <c r="K553" i="3"/>
  <c r="B554" i="3"/>
  <c r="C554" i="3"/>
  <c r="D554" i="3"/>
  <c r="E554" i="3"/>
  <c r="F554" i="3"/>
  <c r="G554" i="3"/>
  <c r="H554" i="3"/>
  <c r="I554" i="3"/>
  <c r="J554" i="3"/>
  <c r="K554" i="3"/>
  <c r="B555" i="3"/>
  <c r="C555" i="3"/>
  <c r="D555" i="3"/>
  <c r="E555" i="3"/>
  <c r="F555" i="3"/>
  <c r="G555" i="3"/>
  <c r="H555" i="3"/>
  <c r="I555" i="3"/>
  <c r="J555" i="3"/>
  <c r="K555" i="3"/>
  <c r="B556" i="3"/>
  <c r="C556" i="3"/>
  <c r="D556" i="3"/>
  <c r="E556" i="3"/>
  <c r="F556" i="3"/>
  <c r="G556" i="3"/>
  <c r="H556" i="3"/>
  <c r="I556" i="3"/>
  <c r="J556" i="3"/>
  <c r="K556" i="3"/>
  <c r="B557" i="3"/>
  <c r="C557" i="3"/>
  <c r="D557" i="3"/>
  <c r="E557" i="3"/>
  <c r="F557" i="3"/>
  <c r="G557" i="3"/>
  <c r="H557" i="3"/>
  <c r="I557" i="3"/>
  <c r="J557" i="3"/>
  <c r="K557" i="3"/>
  <c r="B558" i="3"/>
  <c r="C558" i="3"/>
  <c r="D558" i="3"/>
  <c r="E558" i="3"/>
  <c r="F558" i="3"/>
  <c r="G558" i="3"/>
  <c r="H558" i="3"/>
  <c r="I558" i="3"/>
  <c r="J558" i="3"/>
  <c r="K558" i="3"/>
  <c r="B559" i="3"/>
  <c r="C559" i="3"/>
  <c r="D559" i="3"/>
  <c r="E559" i="3"/>
  <c r="F559" i="3"/>
  <c r="G559" i="3"/>
  <c r="H559" i="3"/>
  <c r="I559" i="3"/>
  <c r="J559" i="3"/>
  <c r="K559" i="3"/>
  <c r="B560" i="3"/>
  <c r="C560" i="3"/>
  <c r="D560" i="3"/>
  <c r="E560" i="3"/>
  <c r="F560" i="3"/>
  <c r="G560" i="3"/>
  <c r="H560" i="3"/>
  <c r="I560" i="3"/>
  <c r="J560" i="3"/>
  <c r="K560" i="3"/>
  <c r="B561" i="3"/>
  <c r="C561" i="3"/>
  <c r="D561" i="3"/>
  <c r="E561" i="3"/>
  <c r="F561" i="3"/>
  <c r="G561" i="3"/>
  <c r="H561" i="3"/>
  <c r="I561" i="3"/>
  <c r="J561" i="3"/>
  <c r="K561" i="3"/>
  <c r="B562" i="3"/>
  <c r="C562" i="3"/>
  <c r="D562" i="3"/>
  <c r="E562" i="3"/>
  <c r="F562" i="3"/>
  <c r="G562" i="3"/>
  <c r="H562" i="3"/>
  <c r="I562" i="3"/>
  <c r="J562" i="3"/>
  <c r="K562" i="3"/>
  <c r="B563" i="3"/>
  <c r="C563" i="3"/>
  <c r="D563" i="3"/>
  <c r="E563" i="3"/>
  <c r="F563" i="3"/>
  <c r="G563" i="3"/>
  <c r="H563" i="3"/>
  <c r="I563" i="3"/>
  <c r="J563" i="3"/>
  <c r="K563" i="3"/>
  <c r="B564" i="3"/>
  <c r="C564" i="3"/>
  <c r="D564" i="3"/>
  <c r="E564" i="3"/>
  <c r="F564" i="3"/>
  <c r="G564" i="3"/>
  <c r="H564" i="3"/>
  <c r="I564" i="3"/>
  <c r="J564" i="3"/>
  <c r="K564" i="3"/>
  <c r="B565" i="3"/>
  <c r="C565" i="3"/>
  <c r="D565" i="3"/>
  <c r="E565" i="3"/>
  <c r="F565" i="3"/>
  <c r="G565" i="3"/>
  <c r="H565" i="3"/>
  <c r="I565" i="3"/>
  <c r="J565" i="3"/>
  <c r="K565" i="3"/>
  <c r="B566" i="3"/>
  <c r="C566" i="3"/>
  <c r="D566" i="3"/>
  <c r="E566" i="3"/>
  <c r="F566" i="3"/>
  <c r="G566" i="3"/>
  <c r="H566" i="3"/>
  <c r="I566" i="3"/>
  <c r="J566" i="3"/>
  <c r="K566" i="3"/>
  <c r="B567" i="3"/>
  <c r="C567" i="3"/>
  <c r="D567" i="3"/>
  <c r="E567" i="3"/>
  <c r="F567" i="3"/>
  <c r="G567" i="3"/>
  <c r="H567" i="3"/>
  <c r="I567" i="3"/>
  <c r="J567" i="3"/>
  <c r="K567" i="3"/>
  <c r="B568" i="3"/>
  <c r="C568" i="3"/>
  <c r="D568" i="3"/>
  <c r="E568" i="3"/>
  <c r="F568" i="3"/>
  <c r="G568" i="3"/>
  <c r="H568" i="3"/>
  <c r="I568" i="3"/>
  <c r="J568" i="3"/>
  <c r="K568" i="3"/>
  <c r="B569" i="3"/>
  <c r="C569" i="3"/>
  <c r="D569" i="3"/>
  <c r="E569" i="3"/>
  <c r="F569" i="3"/>
  <c r="G569" i="3"/>
  <c r="H569" i="3"/>
  <c r="I569" i="3"/>
  <c r="J569" i="3"/>
  <c r="K569" i="3"/>
  <c r="B570" i="3"/>
  <c r="C570" i="3"/>
  <c r="D570" i="3"/>
  <c r="E570" i="3"/>
  <c r="F570" i="3"/>
  <c r="G570" i="3"/>
  <c r="H570" i="3"/>
  <c r="I570" i="3"/>
  <c r="J570" i="3"/>
  <c r="K570" i="3"/>
  <c r="B571" i="3"/>
  <c r="C571" i="3"/>
  <c r="D571" i="3"/>
  <c r="E571" i="3"/>
  <c r="F571" i="3"/>
  <c r="G571" i="3"/>
  <c r="H571" i="3"/>
  <c r="I571" i="3"/>
  <c r="J571" i="3"/>
  <c r="K571" i="3"/>
  <c r="B572" i="3"/>
  <c r="C572" i="3"/>
  <c r="D572" i="3"/>
  <c r="E572" i="3"/>
  <c r="F572" i="3"/>
  <c r="G572" i="3"/>
  <c r="H572" i="3"/>
  <c r="I572" i="3"/>
  <c r="J572" i="3"/>
  <c r="K572" i="3"/>
  <c r="B573" i="3"/>
  <c r="C573" i="3"/>
  <c r="D573" i="3"/>
  <c r="E573" i="3"/>
  <c r="F573" i="3"/>
  <c r="G573" i="3"/>
  <c r="H573" i="3"/>
  <c r="I573" i="3"/>
  <c r="J573" i="3"/>
  <c r="K573" i="3"/>
  <c r="B574" i="3"/>
  <c r="C574" i="3"/>
  <c r="D574" i="3"/>
  <c r="E574" i="3"/>
  <c r="F574" i="3"/>
  <c r="G574" i="3"/>
  <c r="H574" i="3"/>
  <c r="I574" i="3"/>
  <c r="J574" i="3"/>
  <c r="K574" i="3"/>
  <c r="B575" i="3"/>
  <c r="C575" i="3"/>
  <c r="D575" i="3"/>
  <c r="E575" i="3"/>
  <c r="F575" i="3"/>
  <c r="G575" i="3"/>
  <c r="H575" i="3"/>
  <c r="I575" i="3"/>
  <c r="J575" i="3"/>
  <c r="K575" i="3"/>
  <c r="B576" i="3"/>
  <c r="C576" i="3"/>
  <c r="D576" i="3"/>
  <c r="E576" i="3"/>
  <c r="F576" i="3"/>
  <c r="G576" i="3"/>
  <c r="H576" i="3"/>
  <c r="I576" i="3"/>
  <c r="J576" i="3"/>
  <c r="K576" i="3"/>
  <c r="B577" i="3"/>
  <c r="C577" i="3"/>
  <c r="D577" i="3"/>
  <c r="E577" i="3"/>
  <c r="F577" i="3"/>
  <c r="G577" i="3"/>
  <c r="H577" i="3"/>
  <c r="I577" i="3"/>
  <c r="J577" i="3"/>
  <c r="K577" i="3"/>
  <c r="B578" i="3"/>
  <c r="C578" i="3"/>
  <c r="D578" i="3"/>
  <c r="E578" i="3"/>
  <c r="F578" i="3"/>
  <c r="G578" i="3"/>
  <c r="H578" i="3"/>
  <c r="I578" i="3"/>
  <c r="J578" i="3"/>
  <c r="K578" i="3"/>
  <c r="B579" i="3"/>
  <c r="C579" i="3"/>
  <c r="D579" i="3"/>
  <c r="E579" i="3"/>
  <c r="F579" i="3"/>
  <c r="G579" i="3"/>
  <c r="H579" i="3"/>
  <c r="I579" i="3"/>
  <c r="J579" i="3"/>
  <c r="K579" i="3"/>
  <c r="B580" i="3"/>
  <c r="C580" i="3"/>
  <c r="D580" i="3"/>
  <c r="E580" i="3"/>
  <c r="F580" i="3"/>
  <c r="G580" i="3"/>
  <c r="H580" i="3"/>
  <c r="I580" i="3"/>
  <c r="J580" i="3"/>
  <c r="K580" i="3"/>
  <c r="B581" i="3"/>
  <c r="C581" i="3"/>
  <c r="D581" i="3"/>
  <c r="E581" i="3"/>
  <c r="F581" i="3"/>
  <c r="G581" i="3"/>
  <c r="H581" i="3"/>
  <c r="I581" i="3"/>
  <c r="J581" i="3"/>
  <c r="K581" i="3"/>
  <c r="B582" i="3"/>
  <c r="C582" i="3"/>
  <c r="D582" i="3"/>
  <c r="E582" i="3"/>
  <c r="F582" i="3"/>
  <c r="G582" i="3"/>
  <c r="H582" i="3"/>
  <c r="I582" i="3"/>
  <c r="J582" i="3"/>
  <c r="K582" i="3"/>
  <c r="B583" i="3"/>
  <c r="C583" i="3"/>
  <c r="D583" i="3"/>
  <c r="E583" i="3"/>
  <c r="F583" i="3"/>
  <c r="G583" i="3"/>
  <c r="H583" i="3"/>
  <c r="I583" i="3"/>
  <c r="J583" i="3"/>
  <c r="K583" i="3"/>
  <c r="B584" i="3"/>
  <c r="C584" i="3"/>
  <c r="D584" i="3"/>
  <c r="E584" i="3"/>
  <c r="F584" i="3"/>
  <c r="G584" i="3"/>
  <c r="H584" i="3"/>
  <c r="I584" i="3"/>
  <c r="J584" i="3"/>
  <c r="K584" i="3"/>
  <c r="B585" i="3"/>
  <c r="C585" i="3"/>
  <c r="D585" i="3"/>
  <c r="E585" i="3"/>
  <c r="F585" i="3"/>
  <c r="G585" i="3"/>
  <c r="H585" i="3"/>
  <c r="I585" i="3"/>
  <c r="J585" i="3"/>
  <c r="K585" i="3"/>
  <c r="B586" i="3"/>
  <c r="C586" i="3"/>
  <c r="D586" i="3"/>
  <c r="E586" i="3"/>
  <c r="F586" i="3"/>
  <c r="G586" i="3"/>
  <c r="H586" i="3"/>
  <c r="I586" i="3"/>
  <c r="J586" i="3"/>
  <c r="K586" i="3"/>
  <c r="B587" i="3"/>
  <c r="C587" i="3"/>
  <c r="D587" i="3"/>
  <c r="E587" i="3"/>
  <c r="F587" i="3"/>
  <c r="G587" i="3"/>
  <c r="H587" i="3"/>
  <c r="I587" i="3"/>
  <c r="J587" i="3"/>
  <c r="K587" i="3"/>
  <c r="B588" i="3"/>
  <c r="C588" i="3"/>
  <c r="D588" i="3"/>
  <c r="E588" i="3"/>
  <c r="F588" i="3"/>
  <c r="G588" i="3"/>
  <c r="H588" i="3"/>
  <c r="I588" i="3"/>
  <c r="J588" i="3"/>
  <c r="K588" i="3"/>
  <c r="B589" i="3"/>
  <c r="C589" i="3"/>
  <c r="D589" i="3"/>
  <c r="E589" i="3"/>
  <c r="F589" i="3"/>
  <c r="G589" i="3"/>
  <c r="H589" i="3"/>
  <c r="I589" i="3"/>
  <c r="J589" i="3"/>
  <c r="K589" i="3"/>
  <c r="B590" i="3"/>
  <c r="C590" i="3"/>
  <c r="D590" i="3"/>
  <c r="E590" i="3"/>
  <c r="F590" i="3"/>
  <c r="G590" i="3"/>
  <c r="H590" i="3"/>
  <c r="I590" i="3"/>
  <c r="J590" i="3"/>
  <c r="K590" i="3"/>
  <c r="B591" i="3"/>
  <c r="C591" i="3"/>
  <c r="D591" i="3"/>
  <c r="E591" i="3"/>
  <c r="F591" i="3"/>
  <c r="G591" i="3"/>
  <c r="H591" i="3"/>
  <c r="I591" i="3"/>
  <c r="J591" i="3"/>
  <c r="K591" i="3"/>
  <c r="B592" i="3"/>
  <c r="C592" i="3"/>
  <c r="D592" i="3"/>
  <c r="E592" i="3"/>
  <c r="F592" i="3"/>
  <c r="G592" i="3"/>
  <c r="H592" i="3"/>
  <c r="I592" i="3"/>
  <c r="J592" i="3"/>
  <c r="K592" i="3"/>
  <c r="B593" i="3"/>
  <c r="C593" i="3"/>
  <c r="D593" i="3"/>
  <c r="E593" i="3"/>
  <c r="F593" i="3"/>
  <c r="G593" i="3"/>
  <c r="H593" i="3"/>
  <c r="I593" i="3"/>
  <c r="J593" i="3"/>
  <c r="K593" i="3"/>
  <c r="B594" i="3"/>
  <c r="C594" i="3"/>
  <c r="D594" i="3"/>
  <c r="E594" i="3"/>
  <c r="F594" i="3"/>
  <c r="G594" i="3"/>
  <c r="H594" i="3"/>
  <c r="I594" i="3"/>
  <c r="J594" i="3"/>
  <c r="K594" i="3"/>
  <c r="B595" i="3"/>
  <c r="C595" i="3"/>
  <c r="D595" i="3"/>
  <c r="E595" i="3"/>
  <c r="F595" i="3"/>
  <c r="G595" i="3"/>
  <c r="H595" i="3"/>
  <c r="I595" i="3"/>
  <c r="J595" i="3"/>
  <c r="K595" i="3"/>
  <c r="B596" i="3"/>
  <c r="C596" i="3"/>
  <c r="D596" i="3"/>
  <c r="E596" i="3"/>
  <c r="F596" i="3"/>
  <c r="G596" i="3"/>
  <c r="H596" i="3"/>
  <c r="I596" i="3"/>
  <c r="J596" i="3"/>
  <c r="K596" i="3"/>
  <c r="B597" i="3"/>
  <c r="C597" i="3"/>
  <c r="D597" i="3"/>
  <c r="E597" i="3"/>
  <c r="F597" i="3"/>
  <c r="G597" i="3"/>
  <c r="H597" i="3"/>
  <c r="I597" i="3"/>
  <c r="J597" i="3"/>
  <c r="K597" i="3"/>
  <c r="B598" i="3"/>
  <c r="C598" i="3"/>
  <c r="D598" i="3"/>
  <c r="E598" i="3"/>
  <c r="F598" i="3"/>
  <c r="G598" i="3"/>
  <c r="H598" i="3"/>
  <c r="I598" i="3"/>
  <c r="J598" i="3"/>
  <c r="K598" i="3"/>
  <c r="B599" i="3"/>
  <c r="C599" i="3"/>
  <c r="D599" i="3"/>
  <c r="E599" i="3"/>
  <c r="F599" i="3"/>
  <c r="G599" i="3"/>
  <c r="H599" i="3"/>
  <c r="I599" i="3"/>
  <c r="J599" i="3"/>
  <c r="K599" i="3"/>
  <c r="B600" i="3"/>
  <c r="C600" i="3"/>
  <c r="D600" i="3"/>
  <c r="E600" i="3"/>
  <c r="F600" i="3"/>
  <c r="G600" i="3"/>
  <c r="H600" i="3"/>
  <c r="I600" i="3"/>
  <c r="J600" i="3"/>
  <c r="K600" i="3"/>
  <c r="B601" i="3"/>
  <c r="C601" i="3"/>
  <c r="D601" i="3"/>
  <c r="E601" i="3"/>
  <c r="F601" i="3"/>
  <c r="G601" i="3"/>
  <c r="H601" i="3"/>
  <c r="I601" i="3"/>
  <c r="J601" i="3"/>
  <c r="K601" i="3"/>
  <c r="B602" i="3"/>
  <c r="C602" i="3"/>
  <c r="D602" i="3"/>
  <c r="E602" i="3"/>
  <c r="F602" i="3"/>
  <c r="G602" i="3"/>
  <c r="H602" i="3"/>
  <c r="I602" i="3"/>
  <c r="J602" i="3"/>
  <c r="K602" i="3"/>
  <c r="B603" i="3"/>
  <c r="C603" i="3"/>
  <c r="D603" i="3"/>
  <c r="E603" i="3"/>
  <c r="F603" i="3"/>
  <c r="G603" i="3"/>
  <c r="H603" i="3"/>
  <c r="I603" i="3"/>
  <c r="J603" i="3"/>
  <c r="K603" i="3"/>
  <c r="B604" i="3"/>
  <c r="C604" i="3"/>
  <c r="D604" i="3"/>
  <c r="E604" i="3"/>
  <c r="F604" i="3"/>
  <c r="G604" i="3"/>
  <c r="H604" i="3"/>
  <c r="I604" i="3"/>
  <c r="J604" i="3"/>
  <c r="K604" i="3"/>
  <c r="B605" i="3"/>
  <c r="C605" i="3"/>
  <c r="D605" i="3"/>
  <c r="E605" i="3"/>
  <c r="F605" i="3"/>
  <c r="G605" i="3"/>
  <c r="H605" i="3"/>
  <c r="I605" i="3"/>
  <c r="J605" i="3"/>
  <c r="K605" i="3"/>
  <c r="B606" i="3"/>
  <c r="C606" i="3"/>
  <c r="D606" i="3"/>
  <c r="E606" i="3"/>
  <c r="F606" i="3"/>
  <c r="G606" i="3"/>
  <c r="H606" i="3"/>
  <c r="I606" i="3"/>
  <c r="J606" i="3"/>
  <c r="K606" i="3"/>
  <c r="B607" i="3"/>
  <c r="C607" i="3"/>
  <c r="D607" i="3"/>
  <c r="E607" i="3"/>
  <c r="F607" i="3"/>
  <c r="G607" i="3"/>
  <c r="H607" i="3"/>
  <c r="I607" i="3"/>
  <c r="J607" i="3"/>
  <c r="K607" i="3"/>
  <c r="B608" i="3"/>
  <c r="C608" i="3"/>
  <c r="D608" i="3"/>
  <c r="E608" i="3"/>
  <c r="F608" i="3"/>
  <c r="G608" i="3"/>
  <c r="H608" i="3"/>
  <c r="I608" i="3"/>
  <c r="J608" i="3"/>
  <c r="K608" i="3"/>
  <c r="B609" i="3"/>
  <c r="C609" i="3"/>
  <c r="D609" i="3"/>
  <c r="E609" i="3"/>
  <c r="F609" i="3"/>
  <c r="G609" i="3"/>
  <c r="H609" i="3"/>
  <c r="I609" i="3"/>
  <c r="J609" i="3"/>
  <c r="K609" i="3"/>
  <c r="B610" i="3"/>
  <c r="C610" i="3"/>
  <c r="D610" i="3"/>
  <c r="E610" i="3"/>
  <c r="F610" i="3"/>
  <c r="G610" i="3"/>
  <c r="H610" i="3"/>
  <c r="I610" i="3"/>
  <c r="J610" i="3"/>
  <c r="K610" i="3"/>
  <c r="B611" i="3"/>
  <c r="C611" i="3"/>
  <c r="D611" i="3"/>
  <c r="E611" i="3"/>
  <c r="F611" i="3"/>
  <c r="G611" i="3"/>
  <c r="H611" i="3"/>
  <c r="I611" i="3"/>
  <c r="J611" i="3"/>
  <c r="K611" i="3"/>
  <c r="B612" i="3"/>
  <c r="C612" i="3"/>
  <c r="D612" i="3"/>
  <c r="E612" i="3"/>
  <c r="F612" i="3"/>
  <c r="G612" i="3"/>
  <c r="H612" i="3"/>
  <c r="I612" i="3"/>
  <c r="J612" i="3"/>
  <c r="K612" i="3"/>
  <c r="B613" i="3"/>
  <c r="C613" i="3"/>
  <c r="D613" i="3"/>
  <c r="E613" i="3"/>
  <c r="F613" i="3"/>
  <c r="G613" i="3"/>
  <c r="H613" i="3"/>
  <c r="I613" i="3"/>
  <c r="J613" i="3"/>
  <c r="K613" i="3"/>
  <c r="B614" i="3"/>
  <c r="C614" i="3"/>
  <c r="D614" i="3"/>
  <c r="E614" i="3"/>
  <c r="F614" i="3"/>
  <c r="G614" i="3"/>
  <c r="H614" i="3"/>
  <c r="I614" i="3"/>
  <c r="J614" i="3"/>
  <c r="K614" i="3"/>
  <c r="B615" i="3"/>
  <c r="C615" i="3"/>
  <c r="D615" i="3"/>
  <c r="E615" i="3"/>
  <c r="F615" i="3"/>
  <c r="G615" i="3"/>
  <c r="H615" i="3"/>
  <c r="I615" i="3"/>
  <c r="J615" i="3"/>
  <c r="K615" i="3"/>
  <c r="B616" i="3"/>
  <c r="C616" i="3"/>
  <c r="D616" i="3"/>
  <c r="E616" i="3"/>
  <c r="F616" i="3"/>
  <c r="G616" i="3"/>
  <c r="H616" i="3"/>
  <c r="I616" i="3"/>
  <c r="J616" i="3"/>
  <c r="K616" i="3"/>
  <c r="B617" i="3"/>
  <c r="C617" i="3"/>
  <c r="D617" i="3"/>
  <c r="E617" i="3"/>
  <c r="F617" i="3"/>
  <c r="G617" i="3"/>
  <c r="H617" i="3"/>
  <c r="I617" i="3"/>
  <c r="J617" i="3"/>
  <c r="K617" i="3"/>
  <c r="B618" i="3"/>
  <c r="C618" i="3"/>
  <c r="D618" i="3"/>
  <c r="E618" i="3"/>
  <c r="F618" i="3"/>
  <c r="G618" i="3"/>
  <c r="H618" i="3"/>
  <c r="I618" i="3"/>
  <c r="J618" i="3"/>
  <c r="K618" i="3"/>
  <c r="B619" i="3"/>
  <c r="C619" i="3"/>
  <c r="D619" i="3"/>
  <c r="E619" i="3"/>
  <c r="F619" i="3"/>
  <c r="G619" i="3"/>
  <c r="H619" i="3"/>
  <c r="I619" i="3"/>
  <c r="J619" i="3"/>
  <c r="K619" i="3"/>
  <c r="B620" i="3"/>
  <c r="C620" i="3"/>
  <c r="D620" i="3"/>
  <c r="E620" i="3"/>
  <c r="F620" i="3"/>
  <c r="G620" i="3"/>
  <c r="H620" i="3"/>
  <c r="I620" i="3"/>
  <c r="J620" i="3"/>
  <c r="K620" i="3"/>
  <c r="B621" i="3"/>
  <c r="C621" i="3"/>
  <c r="D621" i="3"/>
  <c r="E621" i="3"/>
  <c r="F621" i="3"/>
  <c r="G621" i="3"/>
  <c r="H621" i="3"/>
  <c r="I621" i="3"/>
  <c r="J621" i="3"/>
  <c r="K621" i="3"/>
  <c r="B622" i="3"/>
  <c r="C622" i="3"/>
  <c r="D622" i="3"/>
  <c r="E622" i="3"/>
  <c r="F622" i="3"/>
  <c r="G622" i="3"/>
  <c r="H622" i="3"/>
  <c r="I622" i="3"/>
  <c r="J622" i="3"/>
  <c r="K622" i="3"/>
  <c r="B623" i="3"/>
  <c r="C623" i="3"/>
  <c r="D623" i="3"/>
  <c r="E623" i="3"/>
  <c r="F623" i="3"/>
  <c r="G623" i="3"/>
  <c r="H623" i="3"/>
  <c r="I623" i="3"/>
  <c r="J623" i="3"/>
  <c r="K623" i="3"/>
  <c r="B624" i="3"/>
  <c r="C624" i="3"/>
  <c r="D624" i="3"/>
  <c r="E624" i="3"/>
  <c r="F624" i="3"/>
  <c r="G624" i="3"/>
  <c r="H624" i="3"/>
  <c r="I624" i="3"/>
  <c r="J624" i="3"/>
  <c r="K624" i="3"/>
  <c r="B625" i="3"/>
  <c r="C625" i="3"/>
  <c r="D625" i="3"/>
  <c r="E625" i="3"/>
  <c r="F625" i="3"/>
  <c r="G625" i="3"/>
  <c r="H625" i="3"/>
  <c r="I625" i="3"/>
  <c r="J625" i="3"/>
  <c r="K625" i="3"/>
  <c r="B626" i="3"/>
  <c r="C626" i="3"/>
  <c r="D626" i="3"/>
  <c r="E626" i="3"/>
  <c r="F626" i="3"/>
  <c r="G626" i="3"/>
  <c r="H626" i="3"/>
  <c r="I626" i="3"/>
  <c r="J626" i="3"/>
  <c r="K626" i="3"/>
  <c r="B627" i="3"/>
  <c r="C627" i="3"/>
  <c r="D627" i="3"/>
  <c r="E627" i="3"/>
  <c r="F627" i="3"/>
  <c r="G627" i="3"/>
  <c r="H627" i="3"/>
  <c r="I627" i="3"/>
  <c r="J627" i="3"/>
  <c r="K627" i="3"/>
  <c r="B628" i="3"/>
  <c r="C628" i="3"/>
  <c r="D628" i="3"/>
  <c r="E628" i="3"/>
  <c r="F628" i="3"/>
  <c r="G628" i="3"/>
  <c r="H628" i="3"/>
  <c r="I628" i="3"/>
  <c r="J628" i="3"/>
  <c r="K628" i="3"/>
  <c r="B629" i="3"/>
  <c r="C629" i="3"/>
  <c r="D629" i="3"/>
  <c r="E629" i="3"/>
  <c r="F629" i="3"/>
  <c r="G629" i="3"/>
  <c r="H629" i="3"/>
  <c r="I629" i="3"/>
  <c r="J629" i="3"/>
  <c r="K629" i="3"/>
  <c r="B630" i="3"/>
  <c r="C630" i="3"/>
  <c r="D630" i="3"/>
  <c r="E630" i="3"/>
  <c r="F630" i="3"/>
  <c r="G630" i="3"/>
  <c r="H630" i="3"/>
  <c r="I630" i="3"/>
  <c r="J630" i="3"/>
  <c r="K630" i="3"/>
  <c r="B631" i="3"/>
  <c r="C631" i="3"/>
  <c r="D631" i="3"/>
  <c r="E631" i="3"/>
  <c r="F631" i="3"/>
  <c r="G631" i="3"/>
  <c r="H631" i="3"/>
  <c r="I631" i="3"/>
  <c r="J631" i="3"/>
  <c r="K631" i="3"/>
  <c r="B632" i="3"/>
  <c r="C632" i="3"/>
  <c r="D632" i="3"/>
  <c r="E632" i="3"/>
  <c r="F632" i="3"/>
  <c r="G632" i="3"/>
  <c r="H632" i="3"/>
  <c r="I632" i="3"/>
  <c r="J632" i="3"/>
  <c r="K632" i="3"/>
  <c r="B633" i="3"/>
  <c r="C633" i="3"/>
  <c r="D633" i="3"/>
  <c r="E633" i="3"/>
  <c r="F633" i="3"/>
  <c r="G633" i="3"/>
  <c r="H633" i="3"/>
  <c r="I633" i="3"/>
  <c r="J633" i="3"/>
  <c r="K633" i="3"/>
  <c r="B634" i="3"/>
  <c r="C634" i="3"/>
  <c r="D634" i="3"/>
  <c r="E634" i="3"/>
  <c r="F634" i="3"/>
  <c r="G634" i="3"/>
  <c r="H634" i="3"/>
  <c r="I634" i="3"/>
  <c r="J634" i="3"/>
  <c r="K634" i="3"/>
  <c r="B635" i="3"/>
  <c r="C635" i="3"/>
  <c r="D635" i="3"/>
  <c r="E635" i="3"/>
  <c r="F635" i="3"/>
  <c r="G635" i="3"/>
  <c r="H635" i="3"/>
  <c r="I635" i="3"/>
  <c r="J635" i="3"/>
  <c r="K635" i="3"/>
  <c r="B636" i="3"/>
  <c r="C636" i="3"/>
  <c r="D636" i="3"/>
  <c r="E636" i="3"/>
  <c r="F636" i="3"/>
  <c r="G636" i="3"/>
  <c r="H636" i="3"/>
  <c r="I636" i="3"/>
  <c r="J636" i="3"/>
  <c r="K636" i="3"/>
  <c r="B637" i="3"/>
  <c r="C637" i="3"/>
  <c r="D637" i="3"/>
  <c r="E637" i="3"/>
  <c r="F637" i="3"/>
  <c r="G637" i="3"/>
  <c r="H637" i="3"/>
  <c r="I637" i="3"/>
  <c r="J637" i="3"/>
  <c r="K637" i="3"/>
  <c r="B638" i="3"/>
  <c r="C638" i="3"/>
  <c r="D638" i="3"/>
  <c r="E638" i="3"/>
  <c r="F638" i="3"/>
  <c r="G638" i="3"/>
  <c r="H638" i="3"/>
  <c r="I638" i="3"/>
  <c r="J638" i="3"/>
  <c r="K638" i="3"/>
  <c r="B639" i="3"/>
  <c r="C639" i="3"/>
  <c r="D639" i="3"/>
  <c r="E639" i="3"/>
  <c r="F639" i="3"/>
  <c r="G639" i="3"/>
  <c r="H639" i="3"/>
  <c r="I639" i="3"/>
  <c r="J639" i="3"/>
  <c r="K639" i="3"/>
  <c r="B640" i="3"/>
  <c r="C640" i="3"/>
  <c r="D640" i="3"/>
  <c r="E640" i="3"/>
  <c r="F640" i="3"/>
  <c r="G640" i="3"/>
  <c r="H640" i="3"/>
  <c r="I640" i="3"/>
  <c r="J640" i="3"/>
  <c r="K640" i="3"/>
  <c r="B641" i="3"/>
  <c r="C641" i="3"/>
  <c r="D641" i="3"/>
  <c r="E641" i="3"/>
  <c r="F641" i="3"/>
  <c r="G641" i="3"/>
  <c r="H641" i="3"/>
  <c r="I641" i="3"/>
  <c r="J641" i="3"/>
  <c r="K641" i="3"/>
  <c r="B642" i="3"/>
  <c r="C642" i="3"/>
  <c r="D642" i="3"/>
  <c r="E642" i="3"/>
  <c r="F642" i="3"/>
  <c r="G642" i="3"/>
  <c r="H642" i="3"/>
  <c r="I642" i="3"/>
  <c r="J642" i="3"/>
  <c r="K642" i="3"/>
  <c r="B643" i="3"/>
  <c r="C643" i="3"/>
  <c r="D643" i="3"/>
  <c r="E643" i="3"/>
  <c r="F643" i="3"/>
  <c r="G643" i="3"/>
  <c r="H643" i="3"/>
  <c r="I643" i="3"/>
  <c r="J643" i="3"/>
  <c r="K643" i="3"/>
  <c r="B644" i="3"/>
  <c r="C644" i="3"/>
  <c r="D644" i="3"/>
  <c r="E644" i="3"/>
  <c r="F644" i="3"/>
  <c r="G644" i="3"/>
  <c r="H644" i="3"/>
  <c r="I644" i="3"/>
  <c r="J644" i="3"/>
  <c r="K644" i="3"/>
  <c r="B645" i="3"/>
  <c r="C645" i="3"/>
  <c r="D645" i="3"/>
  <c r="E645" i="3"/>
  <c r="F645" i="3"/>
  <c r="G645" i="3"/>
  <c r="H645" i="3"/>
  <c r="I645" i="3"/>
  <c r="J645" i="3"/>
  <c r="K645" i="3"/>
  <c r="B646" i="3"/>
  <c r="C646" i="3"/>
  <c r="D646" i="3"/>
  <c r="E646" i="3"/>
  <c r="F646" i="3"/>
  <c r="G646" i="3"/>
  <c r="H646" i="3"/>
  <c r="I646" i="3"/>
  <c r="J646" i="3"/>
  <c r="K646" i="3"/>
  <c r="B647" i="3"/>
  <c r="C647" i="3"/>
  <c r="D647" i="3"/>
  <c r="E647" i="3"/>
  <c r="F647" i="3"/>
  <c r="G647" i="3"/>
  <c r="H647" i="3"/>
  <c r="I647" i="3"/>
  <c r="J647" i="3"/>
  <c r="K647" i="3"/>
  <c r="B648" i="3"/>
  <c r="C648" i="3"/>
  <c r="D648" i="3"/>
  <c r="E648" i="3"/>
  <c r="F648" i="3"/>
  <c r="G648" i="3"/>
  <c r="H648" i="3"/>
  <c r="I648" i="3"/>
  <c r="J648" i="3"/>
  <c r="K648" i="3"/>
  <c r="B649" i="3"/>
  <c r="C649" i="3"/>
  <c r="D649" i="3"/>
  <c r="E649" i="3"/>
  <c r="F649" i="3"/>
  <c r="G649" i="3"/>
  <c r="H649" i="3"/>
  <c r="I649" i="3"/>
  <c r="J649" i="3"/>
  <c r="K649" i="3"/>
  <c r="B650" i="3"/>
  <c r="C650" i="3"/>
  <c r="D650" i="3"/>
  <c r="E650" i="3"/>
  <c r="F650" i="3"/>
  <c r="G650" i="3"/>
  <c r="H650" i="3"/>
  <c r="I650" i="3"/>
  <c r="J650" i="3"/>
  <c r="K650" i="3"/>
  <c r="B651" i="3"/>
  <c r="C651" i="3"/>
  <c r="D651" i="3"/>
  <c r="E651" i="3"/>
  <c r="F651" i="3"/>
  <c r="G651" i="3"/>
  <c r="H651" i="3"/>
  <c r="I651" i="3"/>
  <c r="J651" i="3"/>
  <c r="K651" i="3"/>
  <c r="B652" i="3"/>
  <c r="C652" i="3"/>
  <c r="D652" i="3"/>
  <c r="E652" i="3"/>
  <c r="F652" i="3"/>
  <c r="G652" i="3"/>
  <c r="H652" i="3"/>
  <c r="I652" i="3"/>
  <c r="J652" i="3"/>
  <c r="K652" i="3"/>
  <c r="B653" i="3"/>
  <c r="C653" i="3"/>
  <c r="D653" i="3"/>
  <c r="E653" i="3"/>
  <c r="F653" i="3"/>
  <c r="G653" i="3"/>
  <c r="H653" i="3"/>
  <c r="I653" i="3"/>
  <c r="J653" i="3"/>
  <c r="K653" i="3"/>
  <c r="B654" i="3"/>
  <c r="C654" i="3"/>
  <c r="D654" i="3"/>
  <c r="E654" i="3"/>
  <c r="F654" i="3"/>
  <c r="G654" i="3"/>
  <c r="H654" i="3"/>
  <c r="I654" i="3"/>
  <c r="J654" i="3"/>
  <c r="K654" i="3"/>
  <c r="B655" i="3"/>
  <c r="C655" i="3"/>
  <c r="D655" i="3"/>
  <c r="E655" i="3"/>
  <c r="F655" i="3"/>
  <c r="G655" i="3"/>
  <c r="H655" i="3"/>
  <c r="I655" i="3"/>
  <c r="J655" i="3"/>
  <c r="K655" i="3"/>
  <c r="B656" i="3"/>
  <c r="C656" i="3"/>
  <c r="D656" i="3"/>
  <c r="E656" i="3"/>
  <c r="F656" i="3"/>
  <c r="G656" i="3"/>
  <c r="H656" i="3"/>
  <c r="I656" i="3"/>
  <c r="J656" i="3"/>
  <c r="K656" i="3"/>
  <c r="B657" i="3"/>
  <c r="C657" i="3"/>
  <c r="D657" i="3"/>
  <c r="E657" i="3"/>
  <c r="F657" i="3"/>
  <c r="G657" i="3"/>
  <c r="H657" i="3"/>
  <c r="I657" i="3"/>
  <c r="J657" i="3"/>
  <c r="K657" i="3"/>
  <c r="B658" i="3"/>
  <c r="C658" i="3"/>
  <c r="D658" i="3"/>
  <c r="E658" i="3"/>
  <c r="F658" i="3"/>
  <c r="G658" i="3"/>
  <c r="H658" i="3"/>
  <c r="I658" i="3"/>
  <c r="J658" i="3"/>
  <c r="K658" i="3"/>
  <c r="B659" i="3"/>
  <c r="C659" i="3"/>
  <c r="D659" i="3"/>
  <c r="E659" i="3"/>
  <c r="F659" i="3"/>
  <c r="G659" i="3"/>
  <c r="H659" i="3"/>
  <c r="I659" i="3"/>
  <c r="J659" i="3"/>
  <c r="K659" i="3"/>
  <c r="B660" i="3"/>
  <c r="C660" i="3"/>
  <c r="D660" i="3"/>
  <c r="E660" i="3"/>
  <c r="F660" i="3"/>
  <c r="G660" i="3"/>
  <c r="H660" i="3"/>
  <c r="I660" i="3"/>
  <c r="J660" i="3"/>
  <c r="K660" i="3"/>
  <c r="B661" i="3"/>
  <c r="C661" i="3"/>
  <c r="D661" i="3"/>
  <c r="E661" i="3"/>
  <c r="F661" i="3"/>
  <c r="G661" i="3"/>
  <c r="H661" i="3"/>
  <c r="I661" i="3"/>
  <c r="J661" i="3"/>
  <c r="K661" i="3"/>
  <c r="B662" i="3"/>
  <c r="C662" i="3"/>
  <c r="D662" i="3"/>
  <c r="E662" i="3"/>
  <c r="F662" i="3"/>
  <c r="G662" i="3"/>
  <c r="H662" i="3"/>
  <c r="I662" i="3"/>
  <c r="J662" i="3"/>
  <c r="K662" i="3"/>
  <c r="B663" i="3"/>
  <c r="C663" i="3"/>
  <c r="D663" i="3"/>
  <c r="E663" i="3"/>
  <c r="F663" i="3"/>
  <c r="G663" i="3"/>
  <c r="H663" i="3"/>
  <c r="I663" i="3"/>
  <c r="J663" i="3"/>
  <c r="K663" i="3"/>
  <c r="B664" i="3"/>
  <c r="C664" i="3"/>
  <c r="D664" i="3"/>
  <c r="E664" i="3"/>
  <c r="F664" i="3"/>
  <c r="G664" i="3"/>
  <c r="H664" i="3"/>
  <c r="I664" i="3"/>
  <c r="J664" i="3"/>
  <c r="K664" i="3"/>
  <c r="B665" i="3"/>
  <c r="C665" i="3"/>
  <c r="D665" i="3"/>
  <c r="E665" i="3"/>
  <c r="F665" i="3"/>
  <c r="G665" i="3"/>
  <c r="H665" i="3"/>
  <c r="I665" i="3"/>
  <c r="J665" i="3"/>
  <c r="K665" i="3"/>
  <c r="B666" i="3"/>
  <c r="C666" i="3"/>
  <c r="D666" i="3"/>
  <c r="E666" i="3"/>
  <c r="F666" i="3"/>
  <c r="G666" i="3"/>
  <c r="H666" i="3"/>
  <c r="I666" i="3"/>
  <c r="J666" i="3"/>
  <c r="K666" i="3"/>
  <c r="B667" i="3"/>
  <c r="C667" i="3"/>
  <c r="D667" i="3"/>
  <c r="E667" i="3"/>
  <c r="F667" i="3"/>
  <c r="G667" i="3"/>
  <c r="H667" i="3"/>
  <c r="I667" i="3"/>
  <c r="J667" i="3"/>
  <c r="K667" i="3"/>
  <c r="B668" i="3"/>
  <c r="C668" i="3"/>
  <c r="D668" i="3"/>
  <c r="E668" i="3"/>
  <c r="F668" i="3"/>
  <c r="G668" i="3"/>
  <c r="H668" i="3"/>
  <c r="I668" i="3"/>
  <c r="J668" i="3"/>
  <c r="K668" i="3"/>
  <c r="B669" i="3"/>
  <c r="C669" i="3"/>
  <c r="D669" i="3"/>
  <c r="E669" i="3"/>
  <c r="F669" i="3"/>
  <c r="G669" i="3"/>
  <c r="H669" i="3"/>
  <c r="I669" i="3"/>
  <c r="J669" i="3"/>
  <c r="K669" i="3"/>
  <c r="B670" i="3"/>
  <c r="C670" i="3"/>
  <c r="D670" i="3"/>
  <c r="E670" i="3"/>
  <c r="F670" i="3"/>
  <c r="G670" i="3"/>
  <c r="H670" i="3"/>
  <c r="I670" i="3"/>
  <c r="J670" i="3"/>
  <c r="K670" i="3"/>
  <c r="B671" i="3"/>
  <c r="C671" i="3"/>
  <c r="D671" i="3"/>
  <c r="E671" i="3"/>
  <c r="F671" i="3"/>
  <c r="G671" i="3"/>
  <c r="H671" i="3"/>
  <c r="I671" i="3"/>
  <c r="J671" i="3"/>
  <c r="K671" i="3"/>
  <c r="B672" i="3"/>
  <c r="C672" i="3"/>
  <c r="D672" i="3"/>
  <c r="E672" i="3"/>
  <c r="F672" i="3"/>
  <c r="G672" i="3"/>
  <c r="H672" i="3"/>
  <c r="I672" i="3"/>
  <c r="J672" i="3"/>
  <c r="K672" i="3"/>
  <c r="B673" i="3"/>
  <c r="C673" i="3"/>
  <c r="D673" i="3"/>
  <c r="E673" i="3"/>
  <c r="F673" i="3"/>
  <c r="G673" i="3"/>
  <c r="H673" i="3"/>
  <c r="I673" i="3"/>
  <c r="J673" i="3"/>
  <c r="K673" i="3"/>
  <c r="B674" i="3"/>
  <c r="C674" i="3"/>
  <c r="D674" i="3"/>
  <c r="E674" i="3"/>
  <c r="F674" i="3"/>
  <c r="G674" i="3"/>
  <c r="H674" i="3"/>
  <c r="I674" i="3"/>
  <c r="J674" i="3"/>
  <c r="K674" i="3"/>
  <c r="B675" i="3"/>
  <c r="C675" i="3"/>
  <c r="D675" i="3"/>
  <c r="E675" i="3"/>
  <c r="F675" i="3"/>
  <c r="G675" i="3"/>
  <c r="H675" i="3"/>
  <c r="I675" i="3"/>
  <c r="J675" i="3"/>
  <c r="K675" i="3"/>
  <c r="B676" i="3"/>
  <c r="C676" i="3"/>
  <c r="D676" i="3"/>
  <c r="E676" i="3"/>
  <c r="F676" i="3"/>
  <c r="G676" i="3"/>
  <c r="H676" i="3"/>
  <c r="I676" i="3"/>
  <c r="J676" i="3"/>
  <c r="K676" i="3"/>
  <c r="B677" i="3"/>
  <c r="C677" i="3"/>
  <c r="D677" i="3"/>
  <c r="E677" i="3"/>
  <c r="F677" i="3"/>
  <c r="G677" i="3"/>
  <c r="H677" i="3"/>
  <c r="I677" i="3"/>
  <c r="J677" i="3"/>
  <c r="K677" i="3"/>
  <c r="B678" i="3"/>
  <c r="C678" i="3"/>
  <c r="D678" i="3"/>
  <c r="E678" i="3"/>
  <c r="F678" i="3"/>
  <c r="G678" i="3"/>
  <c r="H678" i="3"/>
  <c r="I678" i="3"/>
  <c r="J678" i="3"/>
  <c r="K678" i="3"/>
  <c r="B679" i="3"/>
  <c r="C679" i="3"/>
  <c r="D679" i="3"/>
  <c r="E679" i="3"/>
  <c r="F679" i="3"/>
  <c r="G679" i="3"/>
  <c r="H679" i="3"/>
  <c r="I679" i="3"/>
  <c r="J679" i="3"/>
  <c r="K679" i="3"/>
  <c r="B680" i="3"/>
  <c r="C680" i="3"/>
  <c r="D680" i="3"/>
  <c r="E680" i="3"/>
  <c r="F680" i="3"/>
  <c r="G680" i="3"/>
  <c r="H680" i="3"/>
  <c r="I680" i="3"/>
  <c r="J680" i="3"/>
  <c r="K680" i="3"/>
  <c r="B681" i="3"/>
  <c r="C681" i="3"/>
  <c r="D681" i="3"/>
  <c r="E681" i="3"/>
  <c r="F681" i="3"/>
  <c r="G681" i="3"/>
  <c r="H681" i="3"/>
  <c r="I681" i="3"/>
  <c r="J681" i="3"/>
  <c r="K681" i="3"/>
  <c r="B682" i="3"/>
  <c r="C682" i="3"/>
  <c r="D682" i="3"/>
  <c r="E682" i="3"/>
  <c r="F682" i="3"/>
  <c r="G682" i="3"/>
  <c r="H682" i="3"/>
  <c r="I682" i="3"/>
  <c r="J682" i="3"/>
  <c r="K682" i="3"/>
  <c r="B683" i="3"/>
  <c r="C683" i="3"/>
  <c r="D683" i="3"/>
  <c r="E683" i="3"/>
  <c r="F683" i="3"/>
  <c r="G683" i="3"/>
  <c r="H683" i="3"/>
  <c r="I683" i="3"/>
  <c r="J683" i="3"/>
  <c r="K683" i="3"/>
  <c r="B684" i="3"/>
  <c r="C684" i="3"/>
  <c r="D684" i="3"/>
  <c r="E684" i="3"/>
  <c r="F684" i="3"/>
  <c r="G684" i="3"/>
  <c r="H684" i="3"/>
  <c r="I684" i="3"/>
  <c r="J684" i="3"/>
  <c r="K684" i="3"/>
  <c r="B685" i="3"/>
  <c r="C685" i="3"/>
  <c r="D685" i="3"/>
  <c r="E685" i="3"/>
  <c r="F685" i="3"/>
  <c r="G685" i="3"/>
  <c r="H685" i="3"/>
  <c r="I685" i="3"/>
  <c r="J685" i="3"/>
  <c r="K685" i="3"/>
  <c r="B686" i="3"/>
  <c r="C686" i="3"/>
  <c r="D686" i="3"/>
  <c r="E686" i="3"/>
  <c r="F686" i="3"/>
  <c r="G686" i="3"/>
  <c r="H686" i="3"/>
  <c r="I686" i="3"/>
  <c r="J686" i="3"/>
  <c r="K686" i="3"/>
  <c r="B687" i="3"/>
  <c r="C687" i="3"/>
  <c r="D687" i="3"/>
  <c r="E687" i="3"/>
  <c r="F687" i="3"/>
  <c r="G687" i="3"/>
  <c r="H687" i="3"/>
  <c r="I687" i="3"/>
  <c r="J687" i="3"/>
  <c r="K687" i="3"/>
  <c r="B688" i="3"/>
  <c r="C688" i="3"/>
  <c r="D688" i="3"/>
  <c r="E688" i="3"/>
  <c r="F688" i="3"/>
  <c r="G688" i="3"/>
  <c r="H688" i="3"/>
  <c r="I688" i="3"/>
  <c r="J688" i="3"/>
  <c r="K688" i="3"/>
  <c r="B689" i="3"/>
  <c r="C689" i="3"/>
  <c r="D689" i="3"/>
  <c r="E689" i="3"/>
  <c r="F689" i="3"/>
  <c r="G689" i="3"/>
  <c r="H689" i="3"/>
  <c r="I689" i="3"/>
  <c r="J689" i="3"/>
  <c r="K689" i="3"/>
  <c r="B690" i="3"/>
  <c r="C690" i="3"/>
  <c r="D690" i="3"/>
  <c r="E690" i="3"/>
  <c r="F690" i="3"/>
  <c r="G690" i="3"/>
  <c r="H690" i="3"/>
  <c r="I690" i="3"/>
  <c r="J690" i="3"/>
  <c r="K690" i="3"/>
  <c r="B691" i="3"/>
  <c r="C691" i="3"/>
  <c r="D691" i="3"/>
  <c r="E691" i="3"/>
  <c r="F691" i="3"/>
  <c r="G691" i="3"/>
  <c r="H691" i="3"/>
  <c r="I691" i="3"/>
  <c r="J691" i="3"/>
  <c r="K691" i="3"/>
  <c r="B692" i="3"/>
  <c r="C692" i="3"/>
  <c r="D692" i="3"/>
  <c r="E692" i="3"/>
  <c r="F692" i="3"/>
  <c r="G692" i="3"/>
  <c r="H692" i="3"/>
  <c r="I692" i="3"/>
  <c r="J692" i="3"/>
  <c r="K692" i="3"/>
  <c r="B693" i="3"/>
  <c r="C693" i="3"/>
  <c r="D693" i="3"/>
  <c r="E693" i="3"/>
  <c r="F693" i="3"/>
  <c r="G693" i="3"/>
  <c r="H693" i="3"/>
  <c r="I693" i="3"/>
  <c r="J693" i="3"/>
  <c r="K693" i="3"/>
  <c r="B694" i="3"/>
  <c r="C694" i="3"/>
  <c r="D694" i="3"/>
  <c r="E694" i="3"/>
  <c r="F694" i="3"/>
  <c r="G694" i="3"/>
  <c r="H694" i="3"/>
  <c r="I694" i="3"/>
  <c r="J694" i="3"/>
  <c r="K694" i="3"/>
  <c r="B695" i="3"/>
  <c r="C695" i="3"/>
  <c r="D695" i="3"/>
  <c r="E695" i="3"/>
  <c r="F695" i="3"/>
  <c r="G695" i="3"/>
  <c r="H695" i="3"/>
  <c r="I695" i="3"/>
  <c r="J695" i="3"/>
  <c r="K695" i="3"/>
  <c r="B696" i="3"/>
  <c r="C696" i="3"/>
  <c r="D696" i="3"/>
  <c r="E696" i="3"/>
  <c r="F696" i="3"/>
  <c r="G696" i="3"/>
  <c r="H696" i="3"/>
  <c r="I696" i="3"/>
  <c r="J696" i="3"/>
  <c r="K696" i="3"/>
  <c r="B697" i="3"/>
  <c r="C697" i="3"/>
  <c r="D697" i="3"/>
  <c r="E697" i="3"/>
  <c r="F697" i="3"/>
  <c r="G697" i="3"/>
  <c r="H697" i="3"/>
  <c r="I697" i="3"/>
  <c r="J697" i="3"/>
  <c r="K697" i="3"/>
  <c r="B698" i="3"/>
  <c r="C698" i="3"/>
  <c r="D698" i="3"/>
  <c r="E698" i="3"/>
  <c r="F698" i="3"/>
  <c r="G698" i="3"/>
  <c r="H698" i="3"/>
  <c r="I698" i="3"/>
  <c r="J698" i="3"/>
  <c r="K698" i="3"/>
  <c r="B699" i="3"/>
  <c r="C699" i="3"/>
  <c r="D699" i="3"/>
  <c r="E699" i="3"/>
  <c r="F699" i="3"/>
  <c r="G699" i="3"/>
  <c r="H699" i="3"/>
  <c r="I699" i="3"/>
  <c r="J699" i="3"/>
  <c r="K699" i="3"/>
  <c r="B700" i="3"/>
  <c r="C700" i="3"/>
  <c r="D700" i="3"/>
  <c r="E700" i="3"/>
  <c r="F700" i="3"/>
  <c r="G700" i="3"/>
  <c r="H700" i="3"/>
  <c r="I700" i="3"/>
  <c r="J700" i="3"/>
  <c r="K700" i="3"/>
  <c r="B701" i="3"/>
  <c r="C701" i="3"/>
  <c r="D701" i="3"/>
  <c r="E701" i="3"/>
  <c r="F701" i="3"/>
  <c r="G701" i="3"/>
  <c r="H701" i="3"/>
  <c r="I701" i="3"/>
  <c r="J701" i="3"/>
  <c r="K701" i="3"/>
  <c r="B702" i="3"/>
  <c r="C702" i="3"/>
  <c r="D702" i="3"/>
  <c r="E702" i="3"/>
  <c r="F702" i="3"/>
  <c r="G702" i="3"/>
  <c r="H702" i="3"/>
  <c r="I702" i="3"/>
  <c r="J702" i="3"/>
  <c r="K702" i="3"/>
  <c r="B703" i="3"/>
  <c r="C703" i="3"/>
  <c r="D703" i="3"/>
  <c r="E703" i="3"/>
  <c r="F703" i="3"/>
  <c r="G703" i="3"/>
  <c r="H703" i="3"/>
  <c r="I703" i="3"/>
  <c r="J703" i="3"/>
  <c r="K703" i="3"/>
  <c r="B704" i="3"/>
  <c r="C704" i="3"/>
  <c r="D704" i="3"/>
  <c r="E704" i="3"/>
  <c r="F704" i="3"/>
  <c r="G704" i="3"/>
  <c r="H704" i="3"/>
  <c r="I704" i="3"/>
  <c r="J704" i="3"/>
  <c r="K704" i="3"/>
  <c r="B705" i="3"/>
  <c r="C705" i="3"/>
  <c r="D705" i="3"/>
  <c r="E705" i="3"/>
  <c r="F705" i="3"/>
  <c r="G705" i="3"/>
  <c r="H705" i="3"/>
  <c r="I705" i="3"/>
  <c r="J705" i="3"/>
  <c r="K705" i="3"/>
  <c r="B706" i="3"/>
  <c r="C706" i="3"/>
  <c r="D706" i="3"/>
  <c r="E706" i="3"/>
  <c r="F706" i="3"/>
  <c r="G706" i="3"/>
  <c r="H706" i="3"/>
  <c r="I706" i="3"/>
  <c r="J706" i="3"/>
  <c r="K706" i="3"/>
  <c r="B707" i="3"/>
  <c r="C707" i="3"/>
  <c r="D707" i="3"/>
  <c r="E707" i="3"/>
  <c r="F707" i="3"/>
  <c r="G707" i="3"/>
  <c r="H707" i="3"/>
  <c r="I707" i="3"/>
  <c r="J707" i="3"/>
  <c r="K707" i="3"/>
  <c r="B708" i="3"/>
  <c r="C708" i="3"/>
  <c r="D708" i="3"/>
  <c r="E708" i="3"/>
  <c r="F708" i="3"/>
  <c r="G708" i="3"/>
  <c r="H708" i="3"/>
  <c r="I708" i="3"/>
  <c r="J708" i="3"/>
  <c r="K708" i="3"/>
  <c r="B709" i="3"/>
  <c r="C709" i="3"/>
  <c r="D709" i="3"/>
  <c r="E709" i="3"/>
  <c r="F709" i="3"/>
  <c r="G709" i="3"/>
  <c r="H709" i="3"/>
  <c r="I709" i="3"/>
  <c r="J709" i="3"/>
  <c r="K709" i="3"/>
  <c r="B710" i="3"/>
  <c r="C710" i="3"/>
  <c r="D710" i="3"/>
  <c r="E710" i="3"/>
  <c r="F710" i="3"/>
  <c r="G710" i="3"/>
  <c r="H710" i="3"/>
  <c r="I710" i="3"/>
  <c r="J710" i="3"/>
  <c r="K710" i="3"/>
  <c r="B711" i="3"/>
  <c r="C711" i="3"/>
  <c r="D711" i="3"/>
  <c r="E711" i="3"/>
  <c r="F711" i="3"/>
  <c r="G711" i="3"/>
  <c r="H711" i="3"/>
  <c r="I711" i="3"/>
  <c r="J711" i="3"/>
  <c r="K711" i="3"/>
  <c r="B712" i="3"/>
  <c r="C712" i="3"/>
  <c r="D712" i="3"/>
  <c r="E712" i="3"/>
  <c r="F712" i="3"/>
  <c r="G712" i="3"/>
  <c r="H712" i="3"/>
  <c r="I712" i="3"/>
  <c r="J712" i="3"/>
  <c r="K712" i="3"/>
  <c r="B713" i="3"/>
  <c r="C713" i="3"/>
  <c r="D713" i="3"/>
  <c r="E713" i="3"/>
  <c r="F713" i="3"/>
  <c r="G713" i="3"/>
  <c r="H713" i="3"/>
  <c r="I713" i="3"/>
  <c r="J713" i="3"/>
  <c r="K713" i="3"/>
  <c r="B714" i="3"/>
  <c r="C714" i="3"/>
  <c r="D714" i="3"/>
  <c r="E714" i="3"/>
  <c r="F714" i="3"/>
  <c r="G714" i="3"/>
  <c r="H714" i="3"/>
  <c r="I714" i="3"/>
  <c r="J714" i="3"/>
  <c r="K714" i="3"/>
  <c r="B715" i="3"/>
  <c r="C715" i="3"/>
  <c r="D715" i="3"/>
  <c r="E715" i="3"/>
  <c r="F715" i="3"/>
  <c r="G715" i="3"/>
  <c r="H715" i="3"/>
  <c r="I715" i="3"/>
  <c r="J715" i="3"/>
  <c r="K715" i="3"/>
  <c r="B716" i="3"/>
  <c r="C716" i="3"/>
  <c r="D716" i="3"/>
  <c r="E716" i="3"/>
  <c r="F716" i="3"/>
  <c r="G716" i="3"/>
  <c r="H716" i="3"/>
  <c r="I716" i="3"/>
  <c r="J716" i="3"/>
  <c r="K716" i="3"/>
  <c r="B717" i="3"/>
  <c r="C717" i="3"/>
  <c r="D717" i="3"/>
  <c r="E717" i="3"/>
  <c r="F717" i="3"/>
  <c r="G717" i="3"/>
  <c r="H717" i="3"/>
  <c r="I717" i="3"/>
  <c r="J717" i="3"/>
  <c r="K717" i="3"/>
  <c r="B718" i="3"/>
  <c r="C718" i="3"/>
  <c r="D718" i="3"/>
  <c r="E718" i="3"/>
  <c r="F718" i="3"/>
  <c r="G718" i="3"/>
  <c r="H718" i="3"/>
  <c r="I718" i="3"/>
  <c r="J718" i="3"/>
  <c r="K718" i="3"/>
  <c r="B719" i="3"/>
  <c r="C719" i="3"/>
  <c r="D719" i="3"/>
  <c r="E719" i="3"/>
  <c r="F719" i="3"/>
  <c r="G719" i="3"/>
  <c r="H719" i="3"/>
  <c r="I719" i="3"/>
  <c r="J719" i="3"/>
  <c r="K719" i="3"/>
  <c r="B720" i="3"/>
  <c r="C720" i="3"/>
  <c r="D720" i="3"/>
  <c r="E720" i="3"/>
  <c r="F720" i="3"/>
  <c r="G720" i="3"/>
  <c r="H720" i="3"/>
  <c r="I720" i="3"/>
  <c r="J720" i="3"/>
  <c r="K720" i="3"/>
  <c r="B721" i="3"/>
  <c r="C721" i="3"/>
  <c r="D721" i="3"/>
  <c r="E721" i="3"/>
  <c r="F721" i="3"/>
  <c r="G721" i="3"/>
  <c r="H721" i="3"/>
  <c r="I721" i="3"/>
  <c r="J721" i="3"/>
  <c r="K721" i="3"/>
  <c r="B722" i="3"/>
  <c r="C722" i="3"/>
  <c r="D722" i="3"/>
  <c r="E722" i="3"/>
  <c r="F722" i="3"/>
  <c r="G722" i="3"/>
  <c r="H722" i="3"/>
  <c r="I722" i="3"/>
  <c r="J722" i="3"/>
  <c r="K722" i="3"/>
  <c r="B723" i="3"/>
  <c r="C723" i="3"/>
  <c r="D723" i="3"/>
  <c r="E723" i="3"/>
  <c r="F723" i="3"/>
  <c r="G723" i="3"/>
  <c r="H723" i="3"/>
  <c r="I723" i="3"/>
  <c r="J723" i="3"/>
  <c r="K723" i="3"/>
  <c r="B724" i="3"/>
  <c r="C724" i="3"/>
  <c r="D724" i="3"/>
  <c r="E724" i="3"/>
  <c r="F724" i="3"/>
  <c r="G724" i="3"/>
  <c r="H724" i="3"/>
  <c r="I724" i="3"/>
  <c r="J724" i="3"/>
  <c r="K724" i="3"/>
  <c r="B725" i="3"/>
  <c r="C725" i="3"/>
  <c r="D725" i="3"/>
  <c r="E725" i="3"/>
  <c r="F725" i="3"/>
  <c r="G725" i="3"/>
  <c r="H725" i="3"/>
  <c r="I725" i="3"/>
  <c r="J725" i="3"/>
  <c r="K725" i="3"/>
  <c r="B726" i="3"/>
  <c r="C726" i="3"/>
  <c r="D726" i="3"/>
  <c r="E726" i="3"/>
  <c r="F726" i="3"/>
  <c r="G726" i="3"/>
  <c r="H726" i="3"/>
  <c r="I726" i="3"/>
  <c r="J726" i="3"/>
  <c r="K726" i="3"/>
  <c r="B727" i="3"/>
  <c r="C727" i="3"/>
  <c r="D727" i="3"/>
  <c r="E727" i="3"/>
  <c r="F727" i="3"/>
  <c r="G727" i="3"/>
  <c r="H727" i="3"/>
  <c r="I727" i="3"/>
  <c r="J727" i="3"/>
  <c r="K727" i="3"/>
  <c r="B728" i="3"/>
  <c r="C728" i="3"/>
  <c r="D728" i="3"/>
  <c r="E728" i="3"/>
  <c r="F728" i="3"/>
  <c r="G728" i="3"/>
  <c r="H728" i="3"/>
  <c r="I728" i="3"/>
  <c r="J728" i="3"/>
  <c r="K728" i="3"/>
  <c r="B729" i="3"/>
  <c r="C729" i="3"/>
  <c r="D729" i="3"/>
  <c r="E729" i="3"/>
  <c r="F729" i="3"/>
  <c r="G729" i="3"/>
  <c r="H729" i="3"/>
  <c r="I729" i="3"/>
  <c r="J729" i="3"/>
  <c r="K729" i="3"/>
  <c r="B730" i="3"/>
  <c r="C730" i="3"/>
  <c r="D730" i="3"/>
  <c r="E730" i="3"/>
  <c r="F730" i="3"/>
  <c r="G730" i="3"/>
  <c r="H730" i="3"/>
  <c r="I730" i="3"/>
  <c r="J730" i="3"/>
  <c r="K730" i="3"/>
  <c r="B731" i="3"/>
  <c r="C731" i="3"/>
  <c r="D731" i="3"/>
  <c r="E731" i="3"/>
  <c r="F731" i="3"/>
  <c r="G731" i="3"/>
  <c r="H731" i="3"/>
  <c r="I731" i="3"/>
  <c r="J731" i="3"/>
  <c r="K731" i="3"/>
  <c r="B732" i="3"/>
  <c r="C732" i="3"/>
  <c r="D732" i="3"/>
  <c r="E732" i="3"/>
  <c r="F732" i="3"/>
  <c r="G732" i="3"/>
  <c r="H732" i="3"/>
  <c r="I732" i="3"/>
  <c r="J732" i="3"/>
  <c r="K732" i="3"/>
  <c r="B733" i="3"/>
  <c r="C733" i="3"/>
  <c r="D733" i="3"/>
  <c r="E733" i="3"/>
  <c r="F733" i="3"/>
  <c r="G733" i="3"/>
  <c r="H733" i="3"/>
  <c r="I733" i="3"/>
  <c r="J733" i="3"/>
  <c r="K733" i="3"/>
  <c r="B734" i="3"/>
  <c r="C734" i="3"/>
  <c r="D734" i="3"/>
  <c r="E734" i="3"/>
  <c r="F734" i="3"/>
  <c r="G734" i="3"/>
  <c r="H734" i="3"/>
  <c r="I734" i="3"/>
  <c r="J734" i="3"/>
  <c r="K734" i="3"/>
  <c r="B735" i="3"/>
  <c r="C735" i="3"/>
  <c r="D735" i="3"/>
  <c r="E735" i="3"/>
  <c r="F735" i="3"/>
  <c r="G735" i="3"/>
  <c r="H735" i="3"/>
  <c r="I735" i="3"/>
  <c r="J735" i="3"/>
  <c r="K735" i="3"/>
  <c r="B736" i="3"/>
  <c r="C736" i="3"/>
  <c r="D736" i="3"/>
  <c r="E736" i="3"/>
  <c r="F736" i="3"/>
  <c r="G736" i="3"/>
  <c r="H736" i="3"/>
  <c r="I736" i="3"/>
  <c r="J736" i="3"/>
  <c r="K736" i="3"/>
  <c r="B737" i="3"/>
  <c r="C737" i="3"/>
  <c r="D737" i="3"/>
  <c r="E737" i="3"/>
  <c r="F737" i="3"/>
  <c r="G737" i="3"/>
  <c r="H737" i="3"/>
  <c r="I737" i="3"/>
  <c r="J737" i="3"/>
  <c r="K737" i="3"/>
  <c r="B738" i="3"/>
  <c r="C738" i="3"/>
  <c r="D738" i="3"/>
  <c r="E738" i="3"/>
  <c r="F738" i="3"/>
  <c r="G738" i="3"/>
  <c r="H738" i="3"/>
  <c r="I738" i="3"/>
  <c r="J738" i="3"/>
  <c r="K738" i="3"/>
  <c r="B739" i="3"/>
  <c r="C739" i="3"/>
  <c r="D739" i="3"/>
  <c r="E739" i="3"/>
  <c r="F739" i="3"/>
  <c r="G739" i="3"/>
  <c r="H739" i="3"/>
  <c r="I739" i="3"/>
  <c r="J739" i="3"/>
  <c r="K739" i="3"/>
  <c r="B740" i="3"/>
  <c r="C740" i="3"/>
  <c r="D740" i="3"/>
  <c r="E740" i="3"/>
  <c r="F740" i="3"/>
  <c r="G740" i="3"/>
  <c r="H740" i="3"/>
  <c r="I740" i="3"/>
  <c r="J740" i="3"/>
  <c r="K740" i="3"/>
  <c r="B741" i="3"/>
  <c r="C741" i="3"/>
  <c r="D741" i="3"/>
  <c r="E741" i="3"/>
  <c r="F741" i="3"/>
  <c r="G741" i="3"/>
  <c r="H741" i="3"/>
  <c r="I741" i="3"/>
  <c r="J741" i="3"/>
  <c r="K741" i="3"/>
  <c r="B742" i="3"/>
  <c r="C742" i="3"/>
  <c r="D742" i="3"/>
  <c r="E742" i="3"/>
  <c r="F742" i="3"/>
  <c r="G742" i="3"/>
  <c r="H742" i="3"/>
  <c r="I742" i="3"/>
  <c r="J742" i="3"/>
  <c r="K742" i="3"/>
  <c r="B743" i="3"/>
  <c r="C743" i="3"/>
  <c r="D743" i="3"/>
  <c r="E743" i="3"/>
  <c r="F743" i="3"/>
  <c r="G743" i="3"/>
  <c r="H743" i="3"/>
  <c r="I743" i="3"/>
  <c r="J743" i="3"/>
  <c r="K743" i="3"/>
  <c r="B744" i="3"/>
  <c r="C744" i="3"/>
  <c r="D744" i="3"/>
  <c r="E744" i="3"/>
  <c r="F744" i="3"/>
  <c r="G744" i="3"/>
  <c r="H744" i="3"/>
  <c r="I744" i="3"/>
  <c r="J744" i="3"/>
  <c r="K744" i="3"/>
  <c r="B745" i="3"/>
  <c r="C745" i="3"/>
  <c r="D745" i="3"/>
  <c r="E745" i="3"/>
  <c r="F745" i="3"/>
  <c r="G745" i="3"/>
  <c r="H745" i="3"/>
  <c r="I745" i="3"/>
  <c r="J745" i="3"/>
  <c r="K745" i="3"/>
  <c r="B746" i="3"/>
  <c r="C746" i="3"/>
  <c r="D746" i="3"/>
  <c r="E746" i="3"/>
  <c r="F746" i="3"/>
  <c r="G746" i="3"/>
  <c r="H746" i="3"/>
  <c r="I746" i="3"/>
  <c r="J746" i="3"/>
  <c r="K746" i="3"/>
  <c r="B747" i="3"/>
  <c r="C747" i="3"/>
  <c r="D747" i="3"/>
  <c r="E747" i="3"/>
  <c r="F747" i="3"/>
  <c r="G747" i="3"/>
  <c r="H747" i="3"/>
  <c r="I747" i="3"/>
  <c r="J747" i="3"/>
  <c r="K747" i="3"/>
  <c r="B748" i="3"/>
  <c r="C748" i="3"/>
  <c r="D748" i="3"/>
  <c r="E748" i="3"/>
  <c r="F748" i="3"/>
  <c r="G748" i="3"/>
  <c r="H748" i="3"/>
  <c r="I748" i="3"/>
  <c r="J748" i="3"/>
  <c r="K748" i="3"/>
  <c r="B749" i="3"/>
  <c r="C749" i="3"/>
  <c r="D749" i="3"/>
  <c r="E749" i="3"/>
  <c r="F749" i="3"/>
  <c r="G749" i="3"/>
  <c r="H749" i="3"/>
  <c r="I749" i="3"/>
  <c r="J749" i="3"/>
  <c r="K749" i="3"/>
  <c r="B750" i="3"/>
  <c r="C750" i="3"/>
  <c r="D750" i="3"/>
  <c r="E750" i="3"/>
  <c r="F750" i="3"/>
  <c r="G750" i="3"/>
  <c r="H750" i="3"/>
  <c r="I750" i="3"/>
  <c r="J750" i="3"/>
  <c r="K750" i="3"/>
  <c r="B751" i="3"/>
  <c r="C751" i="3"/>
  <c r="D751" i="3"/>
  <c r="E751" i="3"/>
  <c r="F751" i="3"/>
  <c r="G751" i="3"/>
  <c r="H751" i="3"/>
  <c r="I751" i="3"/>
  <c r="J751" i="3"/>
  <c r="K751" i="3"/>
  <c r="B752" i="3"/>
  <c r="C752" i="3"/>
  <c r="D752" i="3"/>
  <c r="E752" i="3"/>
  <c r="F752" i="3"/>
  <c r="G752" i="3"/>
  <c r="H752" i="3"/>
  <c r="I752" i="3"/>
  <c r="J752" i="3"/>
  <c r="K752" i="3"/>
  <c r="B753" i="3"/>
  <c r="C753" i="3"/>
  <c r="D753" i="3"/>
  <c r="E753" i="3"/>
  <c r="F753" i="3"/>
  <c r="G753" i="3"/>
  <c r="H753" i="3"/>
  <c r="I753" i="3"/>
  <c r="J753" i="3"/>
  <c r="K753" i="3"/>
  <c r="B754" i="3"/>
  <c r="C754" i="3"/>
  <c r="D754" i="3"/>
  <c r="E754" i="3"/>
  <c r="F754" i="3"/>
  <c r="G754" i="3"/>
  <c r="H754" i="3"/>
  <c r="I754" i="3"/>
  <c r="J754" i="3"/>
  <c r="K754" i="3"/>
  <c r="B755" i="3"/>
  <c r="C755" i="3"/>
  <c r="D755" i="3"/>
  <c r="E755" i="3"/>
  <c r="F755" i="3"/>
  <c r="G755" i="3"/>
  <c r="H755" i="3"/>
  <c r="I755" i="3"/>
  <c r="J755" i="3"/>
  <c r="K755" i="3"/>
  <c r="B756" i="3"/>
  <c r="C756" i="3"/>
  <c r="D756" i="3"/>
  <c r="E756" i="3"/>
  <c r="F756" i="3"/>
  <c r="G756" i="3"/>
  <c r="H756" i="3"/>
  <c r="I756" i="3"/>
  <c r="J756" i="3"/>
  <c r="K756" i="3"/>
  <c r="B757" i="3"/>
  <c r="C757" i="3"/>
  <c r="D757" i="3"/>
  <c r="E757" i="3"/>
  <c r="F757" i="3"/>
  <c r="G757" i="3"/>
  <c r="H757" i="3"/>
  <c r="I757" i="3"/>
  <c r="J757" i="3"/>
  <c r="K757" i="3"/>
  <c r="B758" i="3"/>
  <c r="C758" i="3"/>
  <c r="D758" i="3"/>
  <c r="E758" i="3"/>
  <c r="F758" i="3"/>
  <c r="G758" i="3"/>
  <c r="H758" i="3"/>
  <c r="I758" i="3"/>
  <c r="J758" i="3"/>
  <c r="K758" i="3"/>
  <c r="B759" i="3"/>
  <c r="C759" i="3"/>
  <c r="D759" i="3"/>
  <c r="E759" i="3"/>
  <c r="F759" i="3"/>
  <c r="G759" i="3"/>
  <c r="H759" i="3"/>
  <c r="I759" i="3"/>
  <c r="J759" i="3"/>
  <c r="K759" i="3"/>
  <c r="B760" i="3"/>
  <c r="C760" i="3"/>
  <c r="D760" i="3"/>
  <c r="E760" i="3"/>
  <c r="F760" i="3"/>
  <c r="G760" i="3"/>
  <c r="H760" i="3"/>
  <c r="I760" i="3"/>
  <c r="J760" i="3"/>
  <c r="K760" i="3"/>
  <c r="B761" i="3"/>
  <c r="C761" i="3"/>
  <c r="D761" i="3"/>
  <c r="E761" i="3"/>
  <c r="F761" i="3"/>
  <c r="G761" i="3"/>
  <c r="H761" i="3"/>
  <c r="I761" i="3"/>
  <c r="J761" i="3"/>
  <c r="K761" i="3"/>
  <c r="B762" i="3"/>
  <c r="C762" i="3"/>
  <c r="D762" i="3"/>
  <c r="E762" i="3"/>
  <c r="F762" i="3"/>
  <c r="G762" i="3"/>
  <c r="H762" i="3"/>
  <c r="I762" i="3"/>
  <c r="J762" i="3"/>
  <c r="K762" i="3"/>
  <c r="B763" i="3"/>
  <c r="C763" i="3"/>
  <c r="D763" i="3"/>
  <c r="E763" i="3"/>
  <c r="F763" i="3"/>
  <c r="G763" i="3"/>
  <c r="H763" i="3"/>
  <c r="I763" i="3"/>
  <c r="J763" i="3"/>
  <c r="K763" i="3"/>
  <c r="B764" i="3"/>
  <c r="C764" i="3"/>
  <c r="D764" i="3"/>
  <c r="E764" i="3"/>
  <c r="F764" i="3"/>
  <c r="G764" i="3"/>
  <c r="H764" i="3"/>
  <c r="I764" i="3"/>
  <c r="J764" i="3"/>
  <c r="K764" i="3"/>
  <c r="B765" i="3"/>
  <c r="C765" i="3"/>
  <c r="D765" i="3"/>
  <c r="E765" i="3"/>
  <c r="F765" i="3"/>
  <c r="G765" i="3"/>
  <c r="H765" i="3"/>
  <c r="I765" i="3"/>
  <c r="J765" i="3"/>
  <c r="K765" i="3"/>
  <c r="B766" i="3"/>
  <c r="C766" i="3"/>
  <c r="D766" i="3"/>
  <c r="E766" i="3"/>
  <c r="F766" i="3"/>
  <c r="G766" i="3"/>
  <c r="H766" i="3"/>
  <c r="I766" i="3"/>
  <c r="J766" i="3"/>
  <c r="K766" i="3"/>
  <c r="B767" i="3"/>
  <c r="C767" i="3"/>
  <c r="D767" i="3"/>
  <c r="E767" i="3"/>
  <c r="F767" i="3"/>
  <c r="G767" i="3"/>
  <c r="H767" i="3"/>
  <c r="I767" i="3"/>
  <c r="J767" i="3"/>
  <c r="K767" i="3"/>
  <c r="B768" i="3"/>
  <c r="C768" i="3"/>
  <c r="D768" i="3"/>
  <c r="E768" i="3"/>
  <c r="F768" i="3"/>
  <c r="G768" i="3"/>
  <c r="H768" i="3"/>
  <c r="I768" i="3"/>
  <c r="J768" i="3"/>
  <c r="K768" i="3"/>
  <c r="B769" i="3"/>
  <c r="C769" i="3"/>
  <c r="D769" i="3"/>
  <c r="E769" i="3"/>
  <c r="F769" i="3"/>
  <c r="G769" i="3"/>
  <c r="H769" i="3"/>
  <c r="I769" i="3"/>
  <c r="J769" i="3"/>
  <c r="K769" i="3"/>
  <c r="B770" i="3"/>
  <c r="C770" i="3"/>
  <c r="D770" i="3"/>
  <c r="E770" i="3"/>
  <c r="F770" i="3"/>
  <c r="G770" i="3"/>
  <c r="H770" i="3"/>
  <c r="I770" i="3"/>
  <c r="J770" i="3"/>
  <c r="K770" i="3"/>
  <c r="B771" i="3"/>
  <c r="C771" i="3"/>
  <c r="D771" i="3"/>
  <c r="E771" i="3"/>
  <c r="F771" i="3"/>
  <c r="G771" i="3"/>
  <c r="H771" i="3"/>
  <c r="I771" i="3"/>
  <c r="J771" i="3"/>
  <c r="K771" i="3"/>
  <c r="B772" i="3"/>
  <c r="C772" i="3"/>
  <c r="D772" i="3"/>
  <c r="E772" i="3"/>
  <c r="F772" i="3"/>
  <c r="G772" i="3"/>
  <c r="H772" i="3"/>
  <c r="I772" i="3"/>
  <c r="J772" i="3"/>
  <c r="K772" i="3"/>
  <c r="B773" i="3"/>
  <c r="C773" i="3"/>
  <c r="D773" i="3"/>
  <c r="E773" i="3"/>
  <c r="F773" i="3"/>
  <c r="G773" i="3"/>
  <c r="H773" i="3"/>
  <c r="I773" i="3"/>
  <c r="J773" i="3"/>
  <c r="K773" i="3"/>
  <c r="B774" i="3"/>
  <c r="C774" i="3"/>
  <c r="D774" i="3"/>
  <c r="E774" i="3"/>
  <c r="F774" i="3"/>
  <c r="G774" i="3"/>
  <c r="H774" i="3"/>
  <c r="I774" i="3"/>
  <c r="J774" i="3"/>
  <c r="K774" i="3"/>
  <c r="B775" i="3"/>
  <c r="C775" i="3"/>
  <c r="D775" i="3"/>
  <c r="E775" i="3"/>
  <c r="F775" i="3"/>
  <c r="G775" i="3"/>
  <c r="H775" i="3"/>
  <c r="I775" i="3"/>
  <c r="J775" i="3"/>
  <c r="K775" i="3"/>
  <c r="B776" i="3"/>
  <c r="C776" i="3"/>
  <c r="D776" i="3"/>
  <c r="E776" i="3"/>
  <c r="F776" i="3"/>
  <c r="G776" i="3"/>
  <c r="H776" i="3"/>
  <c r="I776" i="3"/>
  <c r="J776" i="3"/>
  <c r="K776" i="3"/>
  <c r="B777" i="3"/>
  <c r="C777" i="3"/>
  <c r="D777" i="3"/>
  <c r="E777" i="3"/>
  <c r="F777" i="3"/>
  <c r="G777" i="3"/>
  <c r="H777" i="3"/>
  <c r="I777" i="3"/>
  <c r="J777" i="3"/>
  <c r="K777" i="3"/>
  <c r="B778" i="3"/>
  <c r="C778" i="3"/>
  <c r="D778" i="3"/>
  <c r="E778" i="3"/>
  <c r="F778" i="3"/>
  <c r="G778" i="3"/>
  <c r="H778" i="3"/>
  <c r="I778" i="3"/>
  <c r="J778" i="3"/>
  <c r="K778" i="3"/>
  <c r="B779" i="3"/>
  <c r="C779" i="3"/>
  <c r="D779" i="3"/>
  <c r="E779" i="3"/>
  <c r="F779" i="3"/>
  <c r="G779" i="3"/>
  <c r="H779" i="3"/>
  <c r="I779" i="3"/>
  <c r="J779" i="3"/>
  <c r="K779" i="3"/>
  <c r="B780" i="3"/>
  <c r="C780" i="3"/>
  <c r="D780" i="3"/>
  <c r="E780" i="3"/>
  <c r="F780" i="3"/>
  <c r="G780" i="3"/>
  <c r="H780" i="3"/>
  <c r="I780" i="3"/>
  <c r="J780" i="3"/>
  <c r="K780" i="3"/>
  <c r="B781" i="3"/>
  <c r="C781" i="3"/>
  <c r="D781" i="3"/>
  <c r="E781" i="3"/>
  <c r="F781" i="3"/>
  <c r="G781" i="3"/>
  <c r="H781" i="3"/>
  <c r="I781" i="3"/>
  <c r="J781" i="3"/>
  <c r="K781" i="3"/>
  <c r="B782" i="3"/>
  <c r="C782" i="3"/>
  <c r="D782" i="3"/>
  <c r="E782" i="3"/>
  <c r="F782" i="3"/>
  <c r="G782" i="3"/>
  <c r="H782" i="3"/>
  <c r="I782" i="3"/>
  <c r="J782" i="3"/>
  <c r="K782" i="3"/>
  <c r="B783" i="3"/>
  <c r="C783" i="3"/>
  <c r="D783" i="3"/>
  <c r="E783" i="3"/>
  <c r="F783" i="3"/>
  <c r="G783" i="3"/>
  <c r="H783" i="3"/>
  <c r="I783" i="3"/>
  <c r="J783" i="3"/>
  <c r="K783" i="3"/>
  <c r="B784" i="3"/>
  <c r="C784" i="3"/>
  <c r="D784" i="3"/>
  <c r="E784" i="3"/>
  <c r="F784" i="3"/>
  <c r="G784" i="3"/>
  <c r="H784" i="3"/>
  <c r="I784" i="3"/>
  <c r="J784" i="3"/>
  <c r="K784" i="3"/>
  <c r="B785" i="3"/>
  <c r="C785" i="3"/>
  <c r="D785" i="3"/>
  <c r="E785" i="3"/>
  <c r="F785" i="3"/>
  <c r="G785" i="3"/>
  <c r="H785" i="3"/>
  <c r="I785" i="3"/>
  <c r="J785" i="3"/>
  <c r="K785" i="3"/>
  <c r="B786" i="3"/>
  <c r="C786" i="3"/>
  <c r="D786" i="3"/>
  <c r="E786" i="3"/>
  <c r="F786" i="3"/>
  <c r="G786" i="3"/>
  <c r="H786" i="3"/>
  <c r="I786" i="3"/>
  <c r="J786" i="3"/>
  <c r="K786" i="3"/>
  <c r="B787" i="3"/>
  <c r="C787" i="3"/>
  <c r="D787" i="3"/>
  <c r="E787" i="3"/>
  <c r="F787" i="3"/>
  <c r="G787" i="3"/>
  <c r="H787" i="3"/>
  <c r="I787" i="3"/>
  <c r="J787" i="3"/>
  <c r="K787" i="3"/>
  <c r="B788" i="3"/>
  <c r="C788" i="3"/>
  <c r="D788" i="3"/>
  <c r="E788" i="3"/>
  <c r="F788" i="3"/>
  <c r="G788" i="3"/>
  <c r="H788" i="3"/>
  <c r="I788" i="3"/>
  <c r="J788" i="3"/>
  <c r="K788" i="3"/>
  <c r="B789" i="3"/>
  <c r="C789" i="3"/>
  <c r="D789" i="3"/>
  <c r="E789" i="3"/>
  <c r="F789" i="3"/>
  <c r="G789" i="3"/>
  <c r="H789" i="3"/>
  <c r="I789" i="3"/>
  <c r="J789" i="3"/>
  <c r="K789" i="3"/>
  <c r="B790" i="3"/>
  <c r="C790" i="3"/>
  <c r="D790" i="3"/>
  <c r="E790" i="3"/>
  <c r="F790" i="3"/>
  <c r="G790" i="3"/>
  <c r="H790" i="3"/>
  <c r="I790" i="3"/>
  <c r="J790" i="3"/>
  <c r="K790" i="3"/>
  <c r="B791" i="3"/>
  <c r="C791" i="3"/>
  <c r="D791" i="3"/>
  <c r="E791" i="3"/>
  <c r="F791" i="3"/>
  <c r="G791" i="3"/>
  <c r="H791" i="3"/>
  <c r="I791" i="3"/>
  <c r="J791" i="3"/>
  <c r="K791" i="3"/>
  <c r="B792" i="3"/>
  <c r="C792" i="3"/>
  <c r="D792" i="3"/>
  <c r="E792" i="3"/>
  <c r="F792" i="3"/>
  <c r="G792" i="3"/>
  <c r="H792" i="3"/>
  <c r="I792" i="3"/>
  <c r="J792" i="3"/>
  <c r="K792" i="3"/>
  <c r="B793" i="3"/>
  <c r="C793" i="3"/>
  <c r="D793" i="3"/>
  <c r="E793" i="3"/>
  <c r="F793" i="3"/>
  <c r="G793" i="3"/>
  <c r="H793" i="3"/>
  <c r="I793" i="3"/>
  <c r="J793" i="3"/>
  <c r="K793" i="3"/>
  <c r="B794" i="3"/>
  <c r="C794" i="3"/>
  <c r="D794" i="3"/>
  <c r="E794" i="3"/>
  <c r="F794" i="3"/>
  <c r="G794" i="3"/>
  <c r="H794" i="3"/>
  <c r="I794" i="3"/>
  <c r="J794" i="3"/>
  <c r="K794" i="3"/>
  <c r="B795" i="3"/>
  <c r="C795" i="3"/>
  <c r="D795" i="3"/>
  <c r="E795" i="3"/>
  <c r="F795" i="3"/>
  <c r="G795" i="3"/>
  <c r="H795" i="3"/>
  <c r="I795" i="3"/>
  <c r="J795" i="3"/>
  <c r="K795" i="3"/>
  <c r="B796" i="3"/>
  <c r="C796" i="3"/>
  <c r="D796" i="3"/>
  <c r="E796" i="3"/>
  <c r="F796" i="3"/>
  <c r="G796" i="3"/>
  <c r="H796" i="3"/>
  <c r="I796" i="3"/>
  <c r="J796" i="3"/>
  <c r="K796" i="3"/>
  <c r="B797" i="3"/>
  <c r="C797" i="3"/>
  <c r="D797" i="3"/>
  <c r="E797" i="3"/>
  <c r="F797" i="3"/>
  <c r="G797" i="3"/>
  <c r="H797" i="3"/>
  <c r="I797" i="3"/>
  <c r="J797" i="3"/>
  <c r="K797" i="3"/>
  <c r="B798" i="3"/>
  <c r="C798" i="3"/>
  <c r="D798" i="3"/>
  <c r="E798" i="3"/>
  <c r="F798" i="3"/>
  <c r="G798" i="3"/>
  <c r="H798" i="3"/>
  <c r="I798" i="3"/>
  <c r="J798" i="3"/>
  <c r="K798" i="3"/>
  <c r="B799" i="3"/>
  <c r="C799" i="3"/>
  <c r="D799" i="3"/>
  <c r="E799" i="3"/>
  <c r="F799" i="3"/>
  <c r="G799" i="3"/>
  <c r="H799" i="3"/>
  <c r="I799" i="3"/>
  <c r="J799" i="3"/>
  <c r="K799" i="3"/>
  <c r="B800" i="3"/>
  <c r="C800" i="3"/>
  <c r="D800" i="3"/>
  <c r="E800" i="3"/>
  <c r="F800" i="3"/>
  <c r="G800" i="3"/>
  <c r="H800" i="3"/>
  <c r="I800" i="3"/>
  <c r="J800" i="3"/>
  <c r="K800" i="3"/>
  <c r="B801" i="3"/>
  <c r="C801" i="3"/>
  <c r="D801" i="3"/>
  <c r="E801" i="3"/>
  <c r="F801" i="3"/>
  <c r="G801" i="3"/>
  <c r="H801" i="3"/>
  <c r="I801" i="3"/>
  <c r="J801" i="3"/>
  <c r="K801" i="3"/>
  <c r="B802" i="3"/>
  <c r="C802" i="3"/>
  <c r="D802" i="3"/>
  <c r="E802" i="3"/>
  <c r="F802" i="3"/>
  <c r="G802" i="3"/>
  <c r="H802" i="3"/>
  <c r="I802" i="3"/>
  <c r="J802" i="3"/>
  <c r="K802" i="3"/>
  <c r="B803" i="3"/>
  <c r="C803" i="3"/>
  <c r="D803" i="3"/>
  <c r="E803" i="3"/>
  <c r="F803" i="3"/>
  <c r="G803" i="3"/>
  <c r="H803" i="3"/>
  <c r="I803" i="3"/>
  <c r="J803" i="3"/>
  <c r="K803" i="3"/>
  <c r="B804" i="3"/>
  <c r="C804" i="3"/>
  <c r="D804" i="3"/>
  <c r="E804" i="3"/>
  <c r="F804" i="3"/>
  <c r="G804" i="3"/>
  <c r="H804" i="3"/>
  <c r="I804" i="3"/>
  <c r="J804" i="3"/>
  <c r="K804" i="3"/>
  <c r="B805" i="3"/>
  <c r="C805" i="3"/>
  <c r="D805" i="3"/>
  <c r="E805" i="3"/>
  <c r="F805" i="3"/>
  <c r="G805" i="3"/>
  <c r="H805" i="3"/>
  <c r="I805" i="3"/>
  <c r="J805" i="3"/>
  <c r="K805" i="3"/>
  <c r="B806" i="3"/>
  <c r="C806" i="3"/>
  <c r="D806" i="3"/>
  <c r="E806" i="3"/>
  <c r="F806" i="3"/>
  <c r="G806" i="3"/>
  <c r="H806" i="3"/>
  <c r="I806" i="3"/>
  <c r="J806" i="3"/>
  <c r="K806" i="3"/>
  <c r="B807" i="3"/>
  <c r="C807" i="3"/>
  <c r="D807" i="3"/>
  <c r="E807" i="3"/>
  <c r="F807" i="3"/>
  <c r="G807" i="3"/>
  <c r="H807" i="3"/>
  <c r="I807" i="3"/>
  <c r="J807" i="3"/>
  <c r="K807" i="3"/>
  <c r="B808" i="3"/>
  <c r="C808" i="3"/>
  <c r="D808" i="3"/>
  <c r="E808" i="3"/>
  <c r="F808" i="3"/>
  <c r="G808" i="3"/>
  <c r="H808" i="3"/>
  <c r="I808" i="3"/>
  <c r="J808" i="3"/>
  <c r="K808" i="3"/>
  <c r="B809" i="3"/>
  <c r="C809" i="3"/>
  <c r="D809" i="3"/>
  <c r="E809" i="3"/>
  <c r="F809" i="3"/>
  <c r="G809" i="3"/>
  <c r="H809" i="3"/>
  <c r="I809" i="3"/>
  <c r="J809" i="3"/>
  <c r="K809" i="3"/>
  <c r="B810" i="3"/>
  <c r="C810" i="3"/>
  <c r="D810" i="3"/>
  <c r="E810" i="3"/>
  <c r="F810" i="3"/>
  <c r="G810" i="3"/>
  <c r="H810" i="3"/>
  <c r="I810" i="3"/>
  <c r="J810" i="3"/>
  <c r="K810" i="3"/>
  <c r="B811" i="3"/>
  <c r="C811" i="3"/>
  <c r="D811" i="3"/>
  <c r="E811" i="3"/>
  <c r="F811" i="3"/>
  <c r="G811" i="3"/>
  <c r="H811" i="3"/>
  <c r="I811" i="3"/>
  <c r="J811" i="3"/>
  <c r="K811" i="3"/>
  <c r="B812" i="3"/>
  <c r="C812" i="3"/>
  <c r="D812" i="3"/>
  <c r="E812" i="3"/>
  <c r="F812" i="3"/>
  <c r="G812" i="3"/>
  <c r="H812" i="3"/>
  <c r="I812" i="3"/>
  <c r="J812" i="3"/>
  <c r="K812" i="3"/>
  <c r="B813" i="3"/>
  <c r="C813" i="3"/>
  <c r="D813" i="3"/>
  <c r="E813" i="3"/>
  <c r="F813" i="3"/>
  <c r="G813" i="3"/>
  <c r="H813" i="3"/>
  <c r="I813" i="3"/>
  <c r="J813" i="3"/>
  <c r="K813" i="3"/>
  <c r="B814" i="3"/>
  <c r="C814" i="3"/>
  <c r="D814" i="3"/>
  <c r="E814" i="3"/>
  <c r="F814" i="3"/>
  <c r="G814" i="3"/>
  <c r="H814" i="3"/>
  <c r="I814" i="3"/>
  <c r="J814" i="3"/>
  <c r="K814" i="3"/>
  <c r="B815" i="3"/>
  <c r="C815" i="3"/>
  <c r="D815" i="3"/>
  <c r="E815" i="3"/>
  <c r="F815" i="3"/>
  <c r="G815" i="3"/>
  <c r="H815" i="3"/>
  <c r="I815" i="3"/>
  <c r="J815" i="3"/>
  <c r="K815" i="3"/>
  <c r="B816" i="3"/>
  <c r="C816" i="3"/>
  <c r="D816" i="3"/>
  <c r="E816" i="3"/>
  <c r="F816" i="3"/>
  <c r="G816" i="3"/>
  <c r="H816" i="3"/>
  <c r="I816" i="3"/>
  <c r="J816" i="3"/>
  <c r="K816" i="3"/>
  <c r="B817" i="3"/>
  <c r="C817" i="3"/>
  <c r="D817" i="3"/>
  <c r="E817" i="3"/>
  <c r="F817" i="3"/>
  <c r="G817" i="3"/>
  <c r="H817" i="3"/>
  <c r="I817" i="3"/>
  <c r="J817" i="3"/>
  <c r="K817" i="3"/>
  <c r="B818" i="3"/>
  <c r="C818" i="3"/>
  <c r="D818" i="3"/>
  <c r="E818" i="3"/>
  <c r="F818" i="3"/>
  <c r="G818" i="3"/>
  <c r="H818" i="3"/>
  <c r="I818" i="3"/>
  <c r="J818" i="3"/>
  <c r="K818" i="3"/>
  <c r="B819" i="3"/>
  <c r="C819" i="3"/>
  <c r="D819" i="3"/>
  <c r="E819" i="3"/>
  <c r="F819" i="3"/>
  <c r="G819" i="3"/>
  <c r="H819" i="3"/>
  <c r="I819" i="3"/>
  <c r="J819" i="3"/>
  <c r="K819" i="3"/>
  <c r="B820" i="3"/>
  <c r="C820" i="3"/>
  <c r="D820" i="3"/>
  <c r="E820" i="3"/>
  <c r="F820" i="3"/>
  <c r="G820" i="3"/>
  <c r="H820" i="3"/>
  <c r="I820" i="3"/>
  <c r="J820" i="3"/>
  <c r="K820" i="3"/>
  <c r="B821" i="3"/>
  <c r="C821" i="3"/>
  <c r="D821" i="3"/>
  <c r="E821" i="3"/>
  <c r="F821" i="3"/>
  <c r="G821" i="3"/>
  <c r="H821" i="3"/>
  <c r="I821" i="3"/>
  <c r="J821" i="3"/>
  <c r="K821" i="3"/>
  <c r="B822" i="3"/>
  <c r="C822" i="3"/>
  <c r="D822" i="3"/>
  <c r="E822" i="3"/>
  <c r="F822" i="3"/>
  <c r="G822" i="3"/>
  <c r="H822" i="3"/>
  <c r="I822" i="3"/>
  <c r="J822" i="3"/>
  <c r="K822" i="3"/>
  <c r="B823" i="3"/>
  <c r="C823" i="3"/>
  <c r="D823" i="3"/>
  <c r="E823" i="3"/>
  <c r="F823" i="3"/>
  <c r="G823" i="3"/>
  <c r="H823" i="3"/>
  <c r="I823" i="3"/>
  <c r="J823" i="3"/>
  <c r="K823" i="3"/>
  <c r="B824" i="3"/>
  <c r="C824" i="3"/>
  <c r="D824" i="3"/>
  <c r="E824" i="3"/>
  <c r="F824" i="3"/>
  <c r="G824" i="3"/>
  <c r="H824" i="3"/>
  <c r="I824" i="3"/>
  <c r="J824" i="3"/>
  <c r="K824" i="3"/>
  <c r="B825" i="3"/>
  <c r="C825" i="3"/>
  <c r="D825" i="3"/>
  <c r="E825" i="3"/>
  <c r="F825" i="3"/>
  <c r="G825" i="3"/>
  <c r="H825" i="3"/>
  <c r="I825" i="3"/>
  <c r="J825" i="3"/>
  <c r="K825" i="3"/>
  <c r="B826" i="3"/>
  <c r="C826" i="3"/>
  <c r="D826" i="3"/>
  <c r="E826" i="3"/>
  <c r="F826" i="3"/>
  <c r="G826" i="3"/>
  <c r="H826" i="3"/>
  <c r="I826" i="3"/>
  <c r="J826" i="3"/>
  <c r="K826" i="3"/>
  <c r="B827" i="3"/>
  <c r="C827" i="3"/>
  <c r="D827" i="3"/>
  <c r="E827" i="3"/>
  <c r="F827" i="3"/>
  <c r="G827" i="3"/>
  <c r="H827" i="3"/>
  <c r="I827" i="3"/>
  <c r="J827" i="3"/>
  <c r="K827" i="3"/>
  <c r="B828" i="3"/>
  <c r="C828" i="3"/>
  <c r="D828" i="3"/>
  <c r="E828" i="3"/>
  <c r="F828" i="3"/>
  <c r="G828" i="3"/>
  <c r="H828" i="3"/>
  <c r="I828" i="3"/>
  <c r="J828" i="3"/>
  <c r="K828" i="3"/>
  <c r="B829" i="3"/>
  <c r="C829" i="3"/>
  <c r="D829" i="3"/>
  <c r="E829" i="3"/>
  <c r="F829" i="3"/>
  <c r="G829" i="3"/>
  <c r="H829" i="3"/>
  <c r="I829" i="3"/>
  <c r="J829" i="3"/>
  <c r="K829" i="3"/>
  <c r="B830" i="3"/>
  <c r="C830" i="3"/>
  <c r="D830" i="3"/>
  <c r="E830" i="3"/>
  <c r="F830" i="3"/>
  <c r="G830" i="3"/>
  <c r="H830" i="3"/>
  <c r="I830" i="3"/>
  <c r="J830" i="3"/>
  <c r="K830" i="3"/>
  <c r="B831" i="3"/>
  <c r="C831" i="3"/>
  <c r="D831" i="3"/>
  <c r="E831" i="3"/>
  <c r="F831" i="3"/>
  <c r="G831" i="3"/>
  <c r="H831" i="3"/>
  <c r="I831" i="3"/>
  <c r="J831" i="3"/>
  <c r="K831" i="3"/>
  <c r="B832" i="3"/>
  <c r="C832" i="3"/>
  <c r="D832" i="3"/>
  <c r="E832" i="3"/>
  <c r="F832" i="3"/>
  <c r="G832" i="3"/>
  <c r="H832" i="3"/>
  <c r="I832" i="3"/>
  <c r="J832" i="3"/>
  <c r="K832" i="3"/>
  <c r="B833" i="3"/>
  <c r="C833" i="3"/>
  <c r="D833" i="3"/>
  <c r="E833" i="3"/>
  <c r="F833" i="3"/>
  <c r="G833" i="3"/>
  <c r="H833" i="3"/>
  <c r="I833" i="3"/>
  <c r="J833" i="3"/>
  <c r="K833" i="3"/>
  <c r="B834" i="3"/>
  <c r="C834" i="3"/>
  <c r="D834" i="3"/>
  <c r="E834" i="3"/>
  <c r="F834" i="3"/>
  <c r="G834" i="3"/>
  <c r="H834" i="3"/>
  <c r="I834" i="3"/>
  <c r="J834" i="3"/>
  <c r="K834" i="3"/>
  <c r="B835" i="3"/>
  <c r="C835" i="3"/>
  <c r="D835" i="3"/>
  <c r="E835" i="3"/>
  <c r="F835" i="3"/>
  <c r="G835" i="3"/>
  <c r="H835" i="3"/>
  <c r="I835" i="3"/>
  <c r="J835" i="3"/>
  <c r="K835" i="3"/>
  <c r="B836" i="3"/>
  <c r="C836" i="3"/>
  <c r="D836" i="3"/>
  <c r="E836" i="3"/>
  <c r="F836" i="3"/>
  <c r="G836" i="3"/>
  <c r="H836" i="3"/>
  <c r="I836" i="3"/>
  <c r="J836" i="3"/>
  <c r="K836" i="3"/>
  <c r="B837" i="3"/>
  <c r="C837" i="3"/>
  <c r="D837" i="3"/>
  <c r="E837" i="3"/>
  <c r="F837" i="3"/>
  <c r="G837" i="3"/>
  <c r="H837" i="3"/>
  <c r="I837" i="3"/>
  <c r="J837" i="3"/>
  <c r="K837" i="3"/>
  <c r="B838" i="3"/>
  <c r="C838" i="3"/>
  <c r="D838" i="3"/>
  <c r="E838" i="3"/>
  <c r="F838" i="3"/>
  <c r="G838" i="3"/>
  <c r="H838" i="3"/>
  <c r="I838" i="3"/>
  <c r="J838" i="3"/>
  <c r="K838" i="3"/>
  <c r="B839" i="3"/>
  <c r="C839" i="3"/>
  <c r="D839" i="3"/>
  <c r="E839" i="3"/>
  <c r="F839" i="3"/>
  <c r="G839" i="3"/>
  <c r="H839" i="3"/>
  <c r="I839" i="3"/>
  <c r="J839" i="3"/>
  <c r="K839" i="3"/>
  <c r="B840" i="3"/>
  <c r="C840" i="3"/>
  <c r="D840" i="3"/>
  <c r="E840" i="3"/>
  <c r="F840" i="3"/>
  <c r="G840" i="3"/>
  <c r="H840" i="3"/>
  <c r="I840" i="3"/>
  <c r="J840" i="3"/>
  <c r="K840" i="3"/>
  <c r="B841" i="3"/>
  <c r="C841" i="3"/>
  <c r="D841" i="3"/>
  <c r="E841" i="3"/>
  <c r="F841" i="3"/>
  <c r="G841" i="3"/>
  <c r="H841" i="3"/>
  <c r="I841" i="3"/>
  <c r="J841" i="3"/>
  <c r="K841" i="3"/>
  <c r="B842" i="3"/>
  <c r="C842" i="3"/>
  <c r="D842" i="3"/>
  <c r="E842" i="3"/>
  <c r="F842" i="3"/>
  <c r="G842" i="3"/>
  <c r="H842" i="3"/>
  <c r="I842" i="3"/>
  <c r="J842" i="3"/>
  <c r="K842" i="3"/>
  <c r="B843" i="3"/>
  <c r="C843" i="3"/>
  <c r="D843" i="3"/>
  <c r="E843" i="3"/>
  <c r="F843" i="3"/>
  <c r="G843" i="3"/>
  <c r="H843" i="3"/>
  <c r="I843" i="3"/>
  <c r="J843" i="3"/>
  <c r="K843" i="3"/>
  <c r="B844" i="3"/>
  <c r="C844" i="3"/>
  <c r="D844" i="3"/>
  <c r="E844" i="3"/>
  <c r="F844" i="3"/>
  <c r="G844" i="3"/>
  <c r="H844" i="3"/>
  <c r="I844" i="3"/>
  <c r="J844" i="3"/>
  <c r="K844" i="3"/>
  <c r="B845" i="3"/>
  <c r="C845" i="3"/>
  <c r="D845" i="3"/>
  <c r="E845" i="3"/>
  <c r="F845" i="3"/>
  <c r="G845" i="3"/>
  <c r="H845" i="3"/>
  <c r="I845" i="3"/>
  <c r="J845" i="3"/>
  <c r="K845" i="3"/>
  <c r="B846" i="3"/>
  <c r="C846" i="3"/>
  <c r="D846" i="3"/>
  <c r="E846" i="3"/>
  <c r="F846" i="3"/>
  <c r="G846" i="3"/>
  <c r="H846" i="3"/>
  <c r="I846" i="3"/>
  <c r="J846" i="3"/>
  <c r="K846" i="3"/>
  <c r="B847" i="3"/>
  <c r="C847" i="3"/>
  <c r="D847" i="3"/>
  <c r="E847" i="3"/>
  <c r="F847" i="3"/>
  <c r="G847" i="3"/>
  <c r="H847" i="3"/>
  <c r="I847" i="3"/>
  <c r="J847" i="3"/>
  <c r="K847" i="3"/>
  <c r="B848" i="3"/>
  <c r="C848" i="3"/>
  <c r="D848" i="3"/>
  <c r="E848" i="3"/>
  <c r="F848" i="3"/>
  <c r="G848" i="3"/>
  <c r="H848" i="3"/>
  <c r="I848" i="3"/>
  <c r="J848" i="3"/>
  <c r="K848" i="3"/>
  <c r="B849" i="3"/>
  <c r="C849" i="3"/>
  <c r="D849" i="3"/>
  <c r="E849" i="3"/>
  <c r="F849" i="3"/>
  <c r="G849" i="3"/>
  <c r="H849" i="3"/>
  <c r="I849" i="3"/>
  <c r="J849" i="3"/>
  <c r="K849" i="3"/>
  <c r="B850" i="3"/>
  <c r="C850" i="3"/>
  <c r="D850" i="3"/>
  <c r="E850" i="3"/>
  <c r="F850" i="3"/>
  <c r="G850" i="3"/>
  <c r="H850" i="3"/>
  <c r="I850" i="3"/>
  <c r="J850" i="3"/>
  <c r="K850" i="3"/>
  <c r="B851" i="3"/>
  <c r="C851" i="3"/>
  <c r="D851" i="3"/>
  <c r="E851" i="3"/>
  <c r="F851" i="3"/>
  <c r="G851" i="3"/>
  <c r="H851" i="3"/>
  <c r="I851" i="3"/>
  <c r="J851" i="3"/>
  <c r="K851" i="3"/>
  <c r="B852" i="3"/>
  <c r="C852" i="3"/>
  <c r="D852" i="3"/>
  <c r="E852" i="3"/>
  <c r="F852" i="3"/>
  <c r="G852" i="3"/>
  <c r="H852" i="3"/>
  <c r="I852" i="3"/>
  <c r="J852" i="3"/>
  <c r="K852" i="3"/>
  <c r="B853" i="3"/>
  <c r="C853" i="3"/>
  <c r="D853" i="3"/>
  <c r="E853" i="3"/>
  <c r="F853" i="3"/>
  <c r="G853" i="3"/>
  <c r="H853" i="3"/>
  <c r="I853" i="3"/>
  <c r="J853" i="3"/>
  <c r="K853" i="3"/>
  <c r="B854" i="3"/>
  <c r="C854" i="3"/>
  <c r="D854" i="3"/>
  <c r="E854" i="3"/>
  <c r="F854" i="3"/>
  <c r="G854" i="3"/>
  <c r="H854" i="3"/>
  <c r="I854" i="3"/>
  <c r="J854" i="3"/>
  <c r="K854" i="3"/>
  <c r="B855" i="3"/>
  <c r="C855" i="3"/>
  <c r="D855" i="3"/>
  <c r="E855" i="3"/>
  <c r="F855" i="3"/>
  <c r="G855" i="3"/>
  <c r="H855" i="3"/>
  <c r="I855" i="3"/>
  <c r="J855" i="3"/>
  <c r="K855" i="3"/>
  <c r="B856" i="3"/>
  <c r="C856" i="3"/>
  <c r="D856" i="3"/>
  <c r="E856" i="3"/>
  <c r="F856" i="3"/>
  <c r="G856" i="3"/>
  <c r="H856" i="3"/>
  <c r="I856" i="3"/>
  <c r="J856" i="3"/>
  <c r="K856" i="3"/>
  <c r="B857" i="3"/>
  <c r="C857" i="3"/>
  <c r="D857" i="3"/>
  <c r="E857" i="3"/>
  <c r="F857" i="3"/>
  <c r="G857" i="3"/>
  <c r="H857" i="3"/>
  <c r="I857" i="3"/>
  <c r="J857" i="3"/>
  <c r="K857" i="3"/>
  <c r="B858" i="3"/>
  <c r="C858" i="3"/>
  <c r="D858" i="3"/>
  <c r="E858" i="3"/>
  <c r="F858" i="3"/>
  <c r="G858" i="3"/>
  <c r="H858" i="3"/>
  <c r="I858" i="3"/>
  <c r="J858" i="3"/>
  <c r="K858" i="3"/>
  <c r="B859" i="3"/>
  <c r="C859" i="3"/>
  <c r="D859" i="3"/>
  <c r="E859" i="3"/>
  <c r="F859" i="3"/>
  <c r="G859" i="3"/>
  <c r="H859" i="3"/>
  <c r="I859" i="3"/>
  <c r="J859" i="3"/>
  <c r="K859" i="3"/>
  <c r="B860" i="3"/>
  <c r="C860" i="3"/>
  <c r="D860" i="3"/>
  <c r="E860" i="3"/>
  <c r="F860" i="3"/>
  <c r="G860" i="3"/>
  <c r="H860" i="3"/>
  <c r="I860" i="3"/>
  <c r="J860" i="3"/>
  <c r="K860" i="3"/>
  <c r="B861" i="3"/>
  <c r="C861" i="3"/>
  <c r="D861" i="3"/>
  <c r="E861" i="3"/>
  <c r="F861" i="3"/>
  <c r="G861" i="3"/>
  <c r="H861" i="3"/>
  <c r="I861" i="3"/>
  <c r="J861" i="3"/>
  <c r="K861" i="3"/>
  <c r="B862" i="3"/>
  <c r="C862" i="3"/>
  <c r="D862" i="3"/>
  <c r="E862" i="3"/>
  <c r="F862" i="3"/>
  <c r="G862" i="3"/>
  <c r="H862" i="3"/>
  <c r="I862" i="3"/>
  <c r="J862" i="3"/>
  <c r="K862" i="3"/>
  <c r="B863" i="3"/>
  <c r="C863" i="3"/>
  <c r="D863" i="3"/>
  <c r="E863" i="3"/>
  <c r="F863" i="3"/>
  <c r="G863" i="3"/>
  <c r="H863" i="3"/>
  <c r="I863" i="3"/>
  <c r="J863" i="3"/>
  <c r="K863" i="3"/>
  <c r="B864" i="3"/>
  <c r="C864" i="3"/>
  <c r="D864" i="3"/>
  <c r="E864" i="3"/>
  <c r="F864" i="3"/>
  <c r="G864" i="3"/>
  <c r="H864" i="3"/>
  <c r="I864" i="3"/>
  <c r="J864" i="3"/>
  <c r="K864" i="3"/>
  <c r="B865" i="3"/>
  <c r="C865" i="3"/>
  <c r="D865" i="3"/>
  <c r="E865" i="3"/>
  <c r="F865" i="3"/>
  <c r="G865" i="3"/>
  <c r="H865" i="3"/>
  <c r="I865" i="3"/>
  <c r="J865" i="3"/>
  <c r="K865" i="3"/>
  <c r="B866" i="3"/>
  <c r="C866" i="3"/>
  <c r="D866" i="3"/>
  <c r="E866" i="3"/>
  <c r="F866" i="3"/>
  <c r="G866" i="3"/>
  <c r="H866" i="3"/>
  <c r="I866" i="3"/>
  <c r="J866" i="3"/>
  <c r="K866" i="3"/>
  <c r="B867" i="3"/>
  <c r="C867" i="3"/>
  <c r="D867" i="3"/>
  <c r="E867" i="3"/>
  <c r="F867" i="3"/>
  <c r="G867" i="3"/>
  <c r="H867" i="3"/>
  <c r="I867" i="3"/>
  <c r="J867" i="3"/>
  <c r="K867" i="3"/>
  <c r="B868" i="3"/>
  <c r="C868" i="3"/>
  <c r="D868" i="3"/>
  <c r="E868" i="3"/>
  <c r="F868" i="3"/>
  <c r="G868" i="3"/>
  <c r="H868" i="3"/>
  <c r="I868" i="3"/>
  <c r="J868" i="3"/>
  <c r="K868" i="3"/>
  <c r="B869" i="3"/>
  <c r="C869" i="3"/>
  <c r="D869" i="3"/>
  <c r="E869" i="3"/>
  <c r="F869" i="3"/>
  <c r="G869" i="3"/>
  <c r="H869" i="3"/>
  <c r="I869" i="3"/>
  <c r="J869" i="3"/>
  <c r="K869" i="3"/>
  <c r="B870" i="3"/>
  <c r="C870" i="3"/>
  <c r="D870" i="3"/>
  <c r="E870" i="3"/>
  <c r="F870" i="3"/>
  <c r="G870" i="3"/>
  <c r="H870" i="3"/>
  <c r="I870" i="3"/>
  <c r="J870" i="3"/>
  <c r="K870" i="3"/>
  <c r="B871" i="3"/>
  <c r="C871" i="3"/>
  <c r="D871" i="3"/>
  <c r="E871" i="3"/>
  <c r="F871" i="3"/>
  <c r="G871" i="3"/>
  <c r="H871" i="3"/>
  <c r="I871" i="3"/>
  <c r="J871" i="3"/>
  <c r="K871" i="3"/>
  <c r="B872" i="3"/>
  <c r="C872" i="3"/>
  <c r="D872" i="3"/>
  <c r="E872" i="3"/>
  <c r="F872" i="3"/>
  <c r="G872" i="3"/>
  <c r="H872" i="3"/>
  <c r="I872" i="3"/>
  <c r="J872" i="3"/>
  <c r="K872" i="3"/>
  <c r="B873" i="3"/>
  <c r="C873" i="3"/>
  <c r="D873" i="3"/>
  <c r="E873" i="3"/>
  <c r="F873" i="3"/>
  <c r="G873" i="3"/>
  <c r="H873" i="3"/>
  <c r="I873" i="3"/>
  <c r="J873" i="3"/>
  <c r="K873" i="3"/>
  <c r="B874" i="3"/>
  <c r="C874" i="3"/>
  <c r="D874" i="3"/>
  <c r="E874" i="3"/>
  <c r="F874" i="3"/>
  <c r="G874" i="3"/>
  <c r="H874" i="3"/>
  <c r="I874" i="3"/>
  <c r="J874" i="3"/>
  <c r="K874" i="3"/>
  <c r="B875" i="3"/>
  <c r="C875" i="3"/>
  <c r="D875" i="3"/>
  <c r="E875" i="3"/>
  <c r="F875" i="3"/>
  <c r="G875" i="3"/>
  <c r="H875" i="3"/>
  <c r="I875" i="3"/>
  <c r="J875" i="3"/>
  <c r="K875" i="3"/>
  <c r="B876" i="3"/>
  <c r="C876" i="3"/>
  <c r="D876" i="3"/>
  <c r="E876" i="3"/>
  <c r="F876" i="3"/>
  <c r="G876" i="3"/>
  <c r="H876" i="3"/>
  <c r="I876" i="3"/>
  <c r="J876" i="3"/>
  <c r="K876" i="3"/>
  <c r="B877" i="3"/>
  <c r="C877" i="3"/>
  <c r="D877" i="3"/>
  <c r="E877" i="3"/>
  <c r="F877" i="3"/>
  <c r="G877" i="3"/>
  <c r="H877" i="3"/>
  <c r="I877" i="3"/>
  <c r="J877" i="3"/>
  <c r="K877" i="3"/>
  <c r="B878" i="3"/>
  <c r="C878" i="3"/>
  <c r="D878" i="3"/>
  <c r="E878" i="3"/>
  <c r="F878" i="3"/>
  <c r="G878" i="3"/>
  <c r="H878" i="3"/>
  <c r="I878" i="3"/>
  <c r="J878" i="3"/>
  <c r="K878" i="3"/>
  <c r="B879" i="3"/>
  <c r="C879" i="3"/>
  <c r="D879" i="3"/>
  <c r="E879" i="3"/>
  <c r="F879" i="3"/>
  <c r="G879" i="3"/>
  <c r="H879" i="3"/>
  <c r="I879" i="3"/>
  <c r="J879" i="3"/>
  <c r="K879" i="3"/>
  <c r="B880" i="3"/>
  <c r="C880" i="3"/>
  <c r="D880" i="3"/>
  <c r="E880" i="3"/>
  <c r="F880" i="3"/>
  <c r="G880" i="3"/>
  <c r="H880" i="3"/>
  <c r="I880" i="3"/>
  <c r="J880" i="3"/>
  <c r="K880" i="3"/>
  <c r="B881" i="3"/>
  <c r="C881" i="3"/>
  <c r="D881" i="3"/>
  <c r="E881" i="3"/>
  <c r="F881" i="3"/>
  <c r="G881" i="3"/>
  <c r="H881" i="3"/>
  <c r="I881" i="3"/>
  <c r="J881" i="3"/>
  <c r="K881" i="3"/>
  <c r="B882" i="3"/>
  <c r="C882" i="3"/>
  <c r="D882" i="3"/>
  <c r="E882" i="3"/>
  <c r="F882" i="3"/>
  <c r="G882" i="3"/>
  <c r="H882" i="3"/>
  <c r="I882" i="3"/>
  <c r="J882" i="3"/>
  <c r="K882" i="3"/>
  <c r="B883" i="3"/>
  <c r="C883" i="3"/>
  <c r="D883" i="3"/>
  <c r="E883" i="3"/>
  <c r="F883" i="3"/>
  <c r="G883" i="3"/>
  <c r="H883" i="3"/>
  <c r="I883" i="3"/>
  <c r="J883" i="3"/>
  <c r="K883" i="3"/>
  <c r="B884" i="3"/>
  <c r="C884" i="3"/>
  <c r="D884" i="3"/>
  <c r="E884" i="3"/>
  <c r="F884" i="3"/>
  <c r="G884" i="3"/>
  <c r="H884" i="3"/>
  <c r="I884" i="3"/>
  <c r="J884" i="3"/>
  <c r="K884" i="3"/>
  <c r="B885" i="3"/>
  <c r="C885" i="3"/>
  <c r="D885" i="3"/>
  <c r="E885" i="3"/>
  <c r="F885" i="3"/>
  <c r="G885" i="3"/>
  <c r="H885" i="3"/>
  <c r="I885" i="3"/>
  <c r="J885" i="3"/>
  <c r="K885" i="3"/>
  <c r="B886" i="3"/>
  <c r="C886" i="3"/>
  <c r="D886" i="3"/>
  <c r="E886" i="3"/>
  <c r="F886" i="3"/>
  <c r="G886" i="3"/>
  <c r="H886" i="3"/>
  <c r="I886" i="3"/>
  <c r="J886" i="3"/>
  <c r="K886" i="3"/>
  <c r="B887" i="3"/>
  <c r="C887" i="3"/>
  <c r="D887" i="3"/>
  <c r="E887" i="3"/>
  <c r="F887" i="3"/>
  <c r="G887" i="3"/>
  <c r="H887" i="3"/>
  <c r="I887" i="3"/>
  <c r="J887" i="3"/>
  <c r="K887" i="3"/>
  <c r="B888" i="3"/>
  <c r="C888" i="3"/>
  <c r="D888" i="3"/>
  <c r="E888" i="3"/>
  <c r="F888" i="3"/>
  <c r="G888" i="3"/>
  <c r="H888" i="3"/>
  <c r="I888" i="3"/>
  <c r="J888" i="3"/>
  <c r="K888" i="3"/>
  <c r="B889" i="3"/>
  <c r="C889" i="3"/>
  <c r="D889" i="3"/>
  <c r="E889" i="3"/>
  <c r="F889" i="3"/>
  <c r="G889" i="3"/>
  <c r="H889" i="3"/>
  <c r="I889" i="3"/>
  <c r="J889" i="3"/>
  <c r="K889" i="3"/>
  <c r="B890" i="3"/>
  <c r="C890" i="3"/>
  <c r="D890" i="3"/>
  <c r="E890" i="3"/>
  <c r="F890" i="3"/>
  <c r="G890" i="3"/>
  <c r="H890" i="3"/>
  <c r="I890" i="3"/>
  <c r="J890" i="3"/>
  <c r="K890" i="3"/>
  <c r="B891" i="3"/>
  <c r="C891" i="3"/>
  <c r="D891" i="3"/>
  <c r="E891" i="3"/>
  <c r="F891" i="3"/>
  <c r="G891" i="3"/>
  <c r="H891" i="3"/>
  <c r="I891" i="3"/>
  <c r="J891" i="3"/>
  <c r="K891" i="3"/>
  <c r="B892" i="3"/>
  <c r="C892" i="3"/>
  <c r="D892" i="3"/>
  <c r="E892" i="3"/>
  <c r="F892" i="3"/>
  <c r="G892" i="3"/>
  <c r="H892" i="3"/>
  <c r="I892" i="3"/>
  <c r="J892" i="3"/>
  <c r="K892" i="3"/>
  <c r="B893" i="3"/>
  <c r="C893" i="3"/>
  <c r="D893" i="3"/>
  <c r="E893" i="3"/>
  <c r="F893" i="3"/>
  <c r="G893" i="3"/>
  <c r="H893" i="3"/>
  <c r="I893" i="3"/>
  <c r="J893" i="3"/>
  <c r="K893" i="3"/>
  <c r="B894" i="3"/>
  <c r="C894" i="3"/>
  <c r="D894" i="3"/>
  <c r="E894" i="3"/>
  <c r="F894" i="3"/>
  <c r="G894" i="3"/>
  <c r="H894" i="3"/>
  <c r="I894" i="3"/>
  <c r="J894" i="3"/>
  <c r="K894" i="3"/>
  <c r="B895" i="3"/>
  <c r="C895" i="3"/>
  <c r="D895" i="3"/>
  <c r="E895" i="3"/>
  <c r="F895" i="3"/>
  <c r="G895" i="3"/>
  <c r="H895" i="3"/>
  <c r="I895" i="3"/>
  <c r="J895" i="3"/>
  <c r="K895" i="3"/>
  <c r="B896" i="3"/>
  <c r="C896" i="3"/>
  <c r="D896" i="3"/>
  <c r="E896" i="3"/>
  <c r="F896" i="3"/>
  <c r="G896" i="3"/>
  <c r="H896" i="3"/>
  <c r="I896" i="3"/>
  <c r="J896" i="3"/>
  <c r="K896" i="3"/>
  <c r="B897" i="3"/>
  <c r="C897" i="3"/>
  <c r="D897" i="3"/>
  <c r="E897" i="3"/>
  <c r="F897" i="3"/>
  <c r="G897" i="3"/>
  <c r="H897" i="3"/>
  <c r="I897" i="3"/>
  <c r="J897" i="3"/>
  <c r="K897" i="3"/>
  <c r="B898" i="3"/>
  <c r="C898" i="3"/>
  <c r="D898" i="3"/>
  <c r="E898" i="3"/>
  <c r="F898" i="3"/>
  <c r="G898" i="3"/>
  <c r="H898" i="3"/>
  <c r="I898" i="3"/>
  <c r="J898" i="3"/>
  <c r="K898" i="3"/>
  <c r="B899" i="3"/>
  <c r="C899" i="3"/>
  <c r="D899" i="3"/>
  <c r="E899" i="3"/>
  <c r="F899" i="3"/>
  <c r="G899" i="3"/>
  <c r="H899" i="3"/>
  <c r="I899" i="3"/>
  <c r="J899" i="3"/>
  <c r="K899" i="3"/>
  <c r="B900" i="3"/>
  <c r="C900" i="3"/>
  <c r="D900" i="3"/>
  <c r="E900" i="3"/>
  <c r="F900" i="3"/>
  <c r="G900" i="3"/>
  <c r="H900" i="3"/>
  <c r="I900" i="3"/>
  <c r="J900" i="3"/>
  <c r="K900" i="3"/>
  <c r="B901" i="3"/>
  <c r="C901" i="3"/>
  <c r="D901" i="3"/>
  <c r="E901" i="3"/>
  <c r="F901" i="3"/>
  <c r="G901" i="3"/>
  <c r="H901" i="3"/>
  <c r="I901" i="3"/>
  <c r="J901" i="3"/>
  <c r="K901" i="3"/>
  <c r="B902" i="3"/>
  <c r="C902" i="3"/>
  <c r="D902" i="3"/>
  <c r="E902" i="3"/>
  <c r="F902" i="3"/>
  <c r="G902" i="3"/>
  <c r="H902" i="3"/>
  <c r="I902" i="3"/>
  <c r="J902" i="3"/>
  <c r="K902" i="3"/>
  <c r="B903" i="3"/>
  <c r="C903" i="3"/>
  <c r="D903" i="3"/>
  <c r="E903" i="3"/>
  <c r="F903" i="3"/>
  <c r="G903" i="3"/>
  <c r="H903" i="3"/>
  <c r="I903" i="3"/>
  <c r="J903" i="3"/>
  <c r="K903" i="3"/>
  <c r="B904" i="3"/>
  <c r="C904" i="3"/>
  <c r="D904" i="3"/>
  <c r="E904" i="3"/>
  <c r="F904" i="3"/>
  <c r="G904" i="3"/>
  <c r="H904" i="3"/>
  <c r="I904" i="3"/>
  <c r="J904" i="3"/>
  <c r="K904" i="3"/>
  <c r="B905" i="3"/>
  <c r="C905" i="3"/>
  <c r="D905" i="3"/>
  <c r="E905" i="3"/>
  <c r="F905" i="3"/>
  <c r="G905" i="3"/>
  <c r="H905" i="3"/>
  <c r="I905" i="3"/>
  <c r="J905" i="3"/>
  <c r="K905" i="3"/>
  <c r="B906" i="3"/>
  <c r="C906" i="3"/>
  <c r="D906" i="3"/>
  <c r="E906" i="3"/>
  <c r="F906" i="3"/>
  <c r="G906" i="3"/>
  <c r="H906" i="3"/>
  <c r="I906" i="3"/>
  <c r="J906" i="3"/>
  <c r="K906" i="3"/>
  <c r="B907" i="3"/>
  <c r="C907" i="3"/>
  <c r="D907" i="3"/>
  <c r="E907" i="3"/>
  <c r="F907" i="3"/>
  <c r="G907" i="3"/>
  <c r="H907" i="3"/>
  <c r="I907" i="3"/>
  <c r="J907" i="3"/>
  <c r="K907" i="3"/>
  <c r="B908" i="3"/>
  <c r="C908" i="3"/>
  <c r="D908" i="3"/>
  <c r="E908" i="3"/>
  <c r="F908" i="3"/>
  <c r="G908" i="3"/>
  <c r="H908" i="3"/>
  <c r="I908" i="3"/>
  <c r="J908" i="3"/>
  <c r="K908" i="3"/>
  <c r="B909" i="3"/>
  <c r="C909" i="3"/>
  <c r="D909" i="3"/>
  <c r="E909" i="3"/>
  <c r="F909" i="3"/>
  <c r="G909" i="3"/>
  <c r="H909" i="3"/>
  <c r="I909" i="3"/>
  <c r="J909" i="3"/>
  <c r="K909" i="3"/>
  <c r="B910" i="3"/>
  <c r="C910" i="3"/>
  <c r="D910" i="3"/>
  <c r="E910" i="3"/>
  <c r="F910" i="3"/>
  <c r="G910" i="3"/>
  <c r="H910" i="3"/>
  <c r="I910" i="3"/>
  <c r="J910" i="3"/>
  <c r="K910" i="3"/>
  <c r="B911" i="3"/>
  <c r="C911" i="3"/>
  <c r="D911" i="3"/>
  <c r="E911" i="3"/>
  <c r="F911" i="3"/>
  <c r="G911" i="3"/>
  <c r="H911" i="3"/>
  <c r="I911" i="3"/>
  <c r="J911" i="3"/>
  <c r="K911" i="3"/>
  <c r="B912" i="3"/>
  <c r="C912" i="3"/>
  <c r="D912" i="3"/>
  <c r="E912" i="3"/>
  <c r="F912" i="3"/>
  <c r="G912" i="3"/>
  <c r="H912" i="3"/>
  <c r="I912" i="3"/>
  <c r="J912" i="3"/>
  <c r="K912" i="3"/>
  <c r="B913" i="3"/>
  <c r="C913" i="3"/>
  <c r="D913" i="3"/>
  <c r="E913" i="3"/>
  <c r="F913" i="3"/>
  <c r="G913" i="3"/>
  <c r="H913" i="3"/>
  <c r="I913" i="3"/>
  <c r="J913" i="3"/>
  <c r="K913" i="3"/>
  <c r="B914" i="3"/>
  <c r="C914" i="3"/>
  <c r="D914" i="3"/>
  <c r="E914" i="3"/>
  <c r="F914" i="3"/>
  <c r="G914" i="3"/>
  <c r="H914" i="3"/>
  <c r="I914" i="3"/>
  <c r="J914" i="3"/>
  <c r="K914" i="3"/>
  <c r="B915" i="3"/>
  <c r="C915" i="3"/>
  <c r="D915" i="3"/>
  <c r="E915" i="3"/>
  <c r="F915" i="3"/>
  <c r="G915" i="3"/>
  <c r="H915" i="3"/>
  <c r="I915" i="3"/>
  <c r="J915" i="3"/>
  <c r="K915" i="3"/>
  <c r="B916" i="3"/>
  <c r="C916" i="3"/>
  <c r="D916" i="3"/>
  <c r="E916" i="3"/>
  <c r="F916" i="3"/>
  <c r="G916" i="3"/>
  <c r="H916" i="3"/>
  <c r="I916" i="3"/>
  <c r="J916" i="3"/>
  <c r="K916" i="3"/>
  <c r="B917" i="3"/>
  <c r="C917" i="3"/>
  <c r="D917" i="3"/>
  <c r="E917" i="3"/>
  <c r="F917" i="3"/>
  <c r="G917" i="3"/>
  <c r="H917" i="3"/>
  <c r="I917" i="3"/>
  <c r="J917" i="3"/>
  <c r="K917" i="3"/>
  <c r="B918" i="3"/>
  <c r="C918" i="3"/>
  <c r="D918" i="3"/>
  <c r="E918" i="3"/>
  <c r="F918" i="3"/>
  <c r="G918" i="3"/>
  <c r="H918" i="3"/>
  <c r="I918" i="3"/>
  <c r="J918" i="3"/>
  <c r="K918" i="3"/>
  <c r="B919" i="3"/>
  <c r="C919" i="3"/>
  <c r="D919" i="3"/>
  <c r="E919" i="3"/>
  <c r="F919" i="3"/>
  <c r="G919" i="3"/>
  <c r="H919" i="3"/>
  <c r="I919" i="3"/>
  <c r="J919" i="3"/>
  <c r="K919" i="3"/>
  <c r="B920" i="3"/>
  <c r="C920" i="3"/>
  <c r="D920" i="3"/>
  <c r="E920" i="3"/>
  <c r="F920" i="3"/>
  <c r="G920" i="3"/>
  <c r="H920" i="3"/>
  <c r="I920" i="3"/>
  <c r="J920" i="3"/>
  <c r="K920" i="3"/>
  <c r="B921" i="3"/>
  <c r="C921" i="3"/>
  <c r="D921" i="3"/>
  <c r="E921" i="3"/>
  <c r="F921" i="3"/>
  <c r="G921" i="3"/>
  <c r="H921" i="3"/>
  <c r="I921" i="3"/>
  <c r="J921" i="3"/>
  <c r="K921" i="3"/>
  <c r="B922" i="3"/>
  <c r="C922" i="3"/>
  <c r="D922" i="3"/>
  <c r="E922" i="3"/>
  <c r="F922" i="3"/>
  <c r="G922" i="3"/>
  <c r="H922" i="3"/>
  <c r="I922" i="3"/>
  <c r="J922" i="3"/>
  <c r="K922" i="3"/>
  <c r="B923" i="3"/>
  <c r="C923" i="3"/>
  <c r="D923" i="3"/>
  <c r="E923" i="3"/>
  <c r="F923" i="3"/>
  <c r="G923" i="3"/>
  <c r="H923" i="3"/>
  <c r="I923" i="3"/>
  <c r="J923" i="3"/>
  <c r="K923" i="3"/>
  <c r="B924" i="3"/>
  <c r="C924" i="3"/>
  <c r="D924" i="3"/>
  <c r="E924" i="3"/>
  <c r="F924" i="3"/>
  <c r="G924" i="3"/>
  <c r="H924" i="3"/>
  <c r="I924" i="3"/>
  <c r="J924" i="3"/>
  <c r="K924" i="3"/>
  <c r="B925" i="3"/>
  <c r="C925" i="3"/>
  <c r="D925" i="3"/>
  <c r="E925" i="3"/>
  <c r="F925" i="3"/>
  <c r="G925" i="3"/>
  <c r="H925" i="3"/>
  <c r="I925" i="3"/>
  <c r="J925" i="3"/>
  <c r="K925" i="3"/>
  <c r="B926" i="3"/>
  <c r="C926" i="3"/>
  <c r="D926" i="3"/>
  <c r="E926" i="3"/>
  <c r="F926" i="3"/>
  <c r="G926" i="3"/>
  <c r="H926" i="3"/>
  <c r="I926" i="3"/>
  <c r="J926" i="3"/>
  <c r="K926" i="3"/>
  <c r="B927" i="3"/>
  <c r="C927" i="3"/>
  <c r="D927" i="3"/>
  <c r="E927" i="3"/>
  <c r="F927" i="3"/>
  <c r="G927" i="3"/>
  <c r="H927" i="3"/>
  <c r="I927" i="3"/>
  <c r="J927" i="3"/>
  <c r="K927" i="3"/>
  <c r="B928" i="3"/>
  <c r="C928" i="3"/>
  <c r="D928" i="3"/>
  <c r="E928" i="3"/>
  <c r="F928" i="3"/>
  <c r="G928" i="3"/>
  <c r="H928" i="3"/>
  <c r="I928" i="3"/>
  <c r="J928" i="3"/>
  <c r="K928" i="3"/>
  <c r="B929" i="3"/>
  <c r="C929" i="3"/>
  <c r="D929" i="3"/>
  <c r="E929" i="3"/>
  <c r="F929" i="3"/>
  <c r="G929" i="3"/>
  <c r="H929" i="3"/>
  <c r="I929" i="3"/>
  <c r="J929" i="3"/>
  <c r="K929" i="3"/>
  <c r="B930" i="3"/>
  <c r="C930" i="3"/>
  <c r="D930" i="3"/>
  <c r="E930" i="3"/>
  <c r="F930" i="3"/>
  <c r="G930" i="3"/>
  <c r="H930" i="3"/>
  <c r="I930" i="3"/>
  <c r="J930" i="3"/>
  <c r="K930" i="3"/>
  <c r="B931" i="3"/>
  <c r="C931" i="3"/>
  <c r="D931" i="3"/>
  <c r="E931" i="3"/>
  <c r="F931" i="3"/>
  <c r="G931" i="3"/>
  <c r="H931" i="3"/>
  <c r="I931" i="3"/>
  <c r="J931" i="3"/>
  <c r="K931" i="3"/>
  <c r="B932" i="3"/>
  <c r="C932" i="3"/>
  <c r="D932" i="3"/>
  <c r="E932" i="3"/>
  <c r="F932" i="3"/>
  <c r="G932" i="3"/>
  <c r="H932" i="3"/>
  <c r="I932" i="3"/>
  <c r="J932" i="3"/>
  <c r="K932" i="3"/>
  <c r="B933" i="3"/>
  <c r="C933" i="3"/>
  <c r="D933" i="3"/>
  <c r="E933" i="3"/>
  <c r="F933" i="3"/>
  <c r="G933" i="3"/>
  <c r="H933" i="3"/>
  <c r="I933" i="3"/>
  <c r="J933" i="3"/>
  <c r="K933" i="3"/>
  <c r="B934" i="3"/>
  <c r="C934" i="3"/>
  <c r="D934" i="3"/>
  <c r="E934" i="3"/>
  <c r="F934" i="3"/>
  <c r="G934" i="3"/>
  <c r="H934" i="3"/>
  <c r="I934" i="3"/>
  <c r="J934" i="3"/>
  <c r="K934" i="3"/>
  <c r="B935" i="3"/>
  <c r="C935" i="3"/>
  <c r="D935" i="3"/>
  <c r="E935" i="3"/>
  <c r="F935" i="3"/>
  <c r="G935" i="3"/>
  <c r="H935" i="3"/>
  <c r="I935" i="3"/>
  <c r="J935" i="3"/>
  <c r="K935" i="3"/>
  <c r="B936" i="3"/>
  <c r="C936" i="3"/>
  <c r="D936" i="3"/>
  <c r="E936" i="3"/>
  <c r="F936" i="3"/>
  <c r="G936" i="3"/>
  <c r="H936" i="3"/>
  <c r="I936" i="3"/>
  <c r="J936" i="3"/>
  <c r="K936" i="3"/>
  <c r="B937" i="3"/>
  <c r="C937" i="3"/>
  <c r="D937" i="3"/>
  <c r="E937" i="3"/>
  <c r="F937" i="3"/>
  <c r="G937" i="3"/>
  <c r="H937" i="3"/>
  <c r="I937" i="3"/>
  <c r="J937" i="3"/>
  <c r="K937" i="3"/>
  <c r="B938" i="3"/>
  <c r="C938" i="3"/>
  <c r="D938" i="3"/>
  <c r="E938" i="3"/>
  <c r="F938" i="3"/>
  <c r="G938" i="3"/>
  <c r="H938" i="3"/>
  <c r="I938" i="3"/>
  <c r="J938" i="3"/>
  <c r="K938" i="3"/>
  <c r="B939" i="3"/>
  <c r="C939" i="3"/>
  <c r="D939" i="3"/>
  <c r="E939" i="3"/>
  <c r="F939" i="3"/>
  <c r="G939" i="3"/>
  <c r="H939" i="3"/>
  <c r="I939" i="3"/>
  <c r="J939" i="3"/>
  <c r="K939" i="3"/>
  <c r="B940" i="3"/>
  <c r="C940" i="3"/>
  <c r="D940" i="3"/>
  <c r="E940" i="3"/>
  <c r="F940" i="3"/>
  <c r="G940" i="3"/>
  <c r="H940" i="3"/>
  <c r="I940" i="3"/>
  <c r="J940" i="3"/>
  <c r="K940" i="3"/>
  <c r="B941" i="3"/>
  <c r="C941" i="3"/>
  <c r="D941" i="3"/>
  <c r="E941" i="3"/>
  <c r="F941" i="3"/>
  <c r="G941" i="3"/>
  <c r="H941" i="3"/>
  <c r="I941" i="3"/>
  <c r="J941" i="3"/>
  <c r="K941" i="3"/>
  <c r="B942" i="3"/>
  <c r="C942" i="3"/>
  <c r="D942" i="3"/>
  <c r="E942" i="3"/>
  <c r="F942" i="3"/>
  <c r="G942" i="3"/>
  <c r="H942" i="3"/>
  <c r="I942" i="3"/>
  <c r="J942" i="3"/>
  <c r="K942" i="3"/>
  <c r="B943" i="3"/>
  <c r="C943" i="3"/>
  <c r="D943" i="3"/>
  <c r="E943" i="3"/>
  <c r="F943" i="3"/>
  <c r="G943" i="3"/>
  <c r="H943" i="3"/>
  <c r="I943" i="3"/>
  <c r="J943" i="3"/>
  <c r="K943" i="3"/>
  <c r="B944" i="3"/>
  <c r="C944" i="3"/>
  <c r="D944" i="3"/>
  <c r="E944" i="3"/>
  <c r="F944" i="3"/>
  <c r="G944" i="3"/>
  <c r="H944" i="3"/>
  <c r="I944" i="3"/>
  <c r="J944" i="3"/>
  <c r="K944" i="3"/>
  <c r="B945" i="3"/>
  <c r="C945" i="3"/>
  <c r="D945" i="3"/>
  <c r="E945" i="3"/>
  <c r="F945" i="3"/>
  <c r="G945" i="3"/>
  <c r="H945" i="3"/>
  <c r="I945" i="3"/>
  <c r="J945" i="3"/>
  <c r="K945" i="3"/>
  <c r="B946" i="3"/>
  <c r="C946" i="3"/>
  <c r="D946" i="3"/>
  <c r="E946" i="3"/>
  <c r="F946" i="3"/>
  <c r="G946" i="3"/>
  <c r="H946" i="3"/>
  <c r="I946" i="3"/>
  <c r="J946" i="3"/>
  <c r="K946" i="3"/>
  <c r="B947" i="3"/>
  <c r="C947" i="3"/>
  <c r="D947" i="3"/>
  <c r="E947" i="3"/>
  <c r="F947" i="3"/>
  <c r="G947" i="3"/>
  <c r="H947" i="3"/>
  <c r="I947" i="3"/>
  <c r="J947" i="3"/>
  <c r="K947" i="3"/>
  <c r="B948" i="3"/>
  <c r="C948" i="3"/>
  <c r="D948" i="3"/>
  <c r="E948" i="3"/>
  <c r="F948" i="3"/>
  <c r="G948" i="3"/>
  <c r="H948" i="3"/>
  <c r="I948" i="3"/>
  <c r="J948" i="3"/>
  <c r="K948" i="3"/>
  <c r="B949" i="3"/>
  <c r="C949" i="3"/>
  <c r="D949" i="3"/>
  <c r="E949" i="3"/>
  <c r="F949" i="3"/>
  <c r="G949" i="3"/>
  <c r="H949" i="3"/>
  <c r="I949" i="3"/>
  <c r="J949" i="3"/>
  <c r="K949" i="3"/>
  <c r="B950" i="3"/>
  <c r="C950" i="3"/>
  <c r="D950" i="3"/>
  <c r="E950" i="3"/>
  <c r="F950" i="3"/>
  <c r="G950" i="3"/>
  <c r="H950" i="3"/>
  <c r="I950" i="3"/>
  <c r="J950" i="3"/>
  <c r="K950" i="3"/>
  <c r="B951" i="3"/>
  <c r="C951" i="3"/>
  <c r="D951" i="3"/>
  <c r="E951" i="3"/>
  <c r="F951" i="3"/>
  <c r="G951" i="3"/>
  <c r="H951" i="3"/>
  <c r="I951" i="3"/>
  <c r="J951" i="3"/>
  <c r="K951" i="3"/>
  <c r="B952" i="3"/>
  <c r="C952" i="3"/>
  <c r="D952" i="3"/>
  <c r="E952" i="3"/>
  <c r="F952" i="3"/>
  <c r="G952" i="3"/>
  <c r="H952" i="3"/>
  <c r="I952" i="3"/>
  <c r="J952" i="3"/>
  <c r="K952" i="3"/>
  <c r="B953" i="3"/>
  <c r="C953" i="3"/>
  <c r="D953" i="3"/>
  <c r="E953" i="3"/>
  <c r="F953" i="3"/>
  <c r="G953" i="3"/>
  <c r="H953" i="3"/>
  <c r="I953" i="3"/>
  <c r="J953" i="3"/>
  <c r="K953" i="3"/>
  <c r="B954" i="3"/>
  <c r="C954" i="3"/>
  <c r="D954" i="3"/>
  <c r="E954" i="3"/>
  <c r="F954" i="3"/>
  <c r="G954" i="3"/>
  <c r="H954" i="3"/>
  <c r="I954" i="3"/>
  <c r="J954" i="3"/>
  <c r="K954" i="3"/>
  <c r="B955" i="3"/>
  <c r="C955" i="3"/>
  <c r="D955" i="3"/>
  <c r="E955" i="3"/>
  <c r="F955" i="3"/>
  <c r="G955" i="3"/>
  <c r="H955" i="3"/>
  <c r="I955" i="3"/>
  <c r="J955" i="3"/>
  <c r="K955" i="3"/>
  <c r="B956" i="3"/>
  <c r="C956" i="3"/>
  <c r="D956" i="3"/>
  <c r="E956" i="3"/>
  <c r="F956" i="3"/>
  <c r="G956" i="3"/>
  <c r="H956" i="3"/>
  <c r="I956" i="3"/>
  <c r="J956" i="3"/>
  <c r="K956" i="3"/>
  <c r="B957" i="3"/>
  <c r="C957" i="3"/>
  <c r="D957" i="3"/>
  <c r="E957" i="3"/>
  <c r="F957" i="3"/>
  <c r="G957" i="3"/>
  <c r="H957" i="3"/>
  <c r="I957" i="3"/>
  <c r="J957" i="3"/>
  <c r="K957" i="3"/>
  <c r="B958" i="3"/>
  <c r="C958" i="3"/>
  <c r="D958" i="3"/>
  <c r="E958" i="3"/>
  <c r="F958" i="3"/>
  <c r="G958" i="3"/>
  <c r="H958" i="3"/>
  <c r="I958" i="3"/>
  <c r="J958" i="3"/>
  <c r="K958" i="3"/>
  <c r="B959" i="3"/>
  <c r="C959" i="3"/>
  <c r="D959" i="3"/>
  <c r="E959" i="3"/>
  <c r="F959" i="3"/>
  <c r="G959" i="3"/>
  <c r="H959" i="3"/>
  <c r="I959" i="3"/>
  <c r="J959" i="3"/>
  <c r="K959" i="3"/>
  <c r="B960" i="3"/>
  <c r="C960" i="3"/>
  <c r="D960" i="3"/>
  <c r="E960" i="3"/>
  <c r="F960" i="3"/>
  <c r="G960" i="3"/>
  <c r="H960" i="3"/>
  <c r="I960" i="3"/>
  <c r="J960" i="3"/>
  <c r="K960" i="3"/>
  <c r="B961" i="3"/>
  <c r="C961" i="3"/>
  <c r="D961" i="3"/>
  <c r="E961" i="3"/>
  <c r="F961" i="3"/>
  <c r="G961" i="3"/>
  <c r="H961" i="3"/>
  <c r="I961" i="3"/>
  <c r="J961" i="3"/>
  <c r="K961" i="3"/>
  <c r="B962" i="3"/>
  <c r="C962" i="3"/>
  <c r="D962" i="3"/>
  <c r="E962" i="3"/>
  <c r="F962" i="3"/>
  <c r="G962" i="3"/>
  <c r="H962" i="3"/>
  <c r="I962" i="3"/>
  <c r="J962" i="3"/>
  <c r="K962" i="3"/>
  <c r="B963" i="3"/>
  <c r="C963" i="3"/>
  <c r="D963" i="3"/>
  <c r="E963" i="3"/>
  <c r="F963" i="3"/>
  <c r="G963" i="3"/>
  <c r="H963" i="3"/>
  <c r="I963" i="3"/>
  <c r="J963" i="3"/>
  <c r="K963" i="3"/>
  <c r="B964" i="3"/>
  <c r="C964" i="3"/>
  <c r="D964" i="3"/>
  <c r="E964" i="3"/>
  <c r="F964" i="3"/>
  <c r="G964" i="3"/>
  <c r="H964" i="3"/>
  <c r="I964" i="3"/>
  <c r="J964" i="3"/>
  <c r="K964" i="3"/>
  <c r="B965" i="3"/>
  <c r="C965" i="3"/>
  <c r="D965" i="3"/>
  <c r="E965" i="3"/>
  <c r="F965" i="3"/>
  <c r="G965" i="3"/>
  <c r="H965" i="3"/>
  <c r="I965" i="3"/>
  <c r="J965" i="3"/>
  <c r="K965" i="3"/>
  <c r="B966" i="3"/>
  <c r="C966" i="3"/>
  <c r="D966" i="3"/>
  <c r="E966" i="3"/>
  <c r="F966" i="3"/>
  <c r="G966" i="3"/>
  <c r="H966" i="3"/>
  <c r="I966" i="3"/>
  <c r="J966" i="3"/>
  <c r="K966" i="3"/>
  <c r="B967" i="3"/>
  <c r="C967" i="3"/>
  <c r="D967" i="3"/>
  <c r="E967" i="3"/>
  <c r="F967" i="3"/>
  <c r="G967" i="3"/>
  <c r="H967" i="3"/>
  <c r="I967" i="3"/>
  <c r="J967" i="3"/>
  <c r="K967" i="3"/>
  <c r="B968" i="3"/>
  <c r="C968" i="3"/>
  <c r="D968" i="3"/>
  <c r="E968" i="3"/>
  <c r="F968" i="3"/>
  <c r="G968" i="3"/>
  <c r="H968" i="3"/>
  <c r="I968" i="3"/>
  <c r="J968" i="3"/>
  <c r="K968" i="3"/>
  <c r="B969" i="3"/>
  <c r="C969" i="3"/>
  <c r="D969" i="3"/>
  <c r="E969" i="3"/>
  <c r="F969" i="3"/>
  <c r="G969" i="3"/>
  <c r="H969" i="3"/>
  <c r="I969" i="3"/>
  <c r="J969" i="3"/>
  <c r="K969" i="3"/>
  <c r="B970" i="3"/>
  <c r="C970" i="3"/>
  <c r="D970" i="3"/>
  <c r="E970" i="3"/>
  <c r="F970" i="3"/>
  <c r="G970" i="3"/>
  <c r="H970" i="3"/>
  <c r="I970" i="3"/>
  <c r="J970" i="3"/>
  <c r="K970" i="3"/>
  <c r="B971" i="3"/>
  <c r="C971" i="3"/>
  <c r="D971" i="3"/>
  <c r="E971" i="3"/>
  <c r="F971" i="3"/>
  <c r="G971" i="3"/>
  <c r="H971" i="3"/>
  <c r="I971" i="3"/>
  <c r="J971" i="3"/>
  <c r="K971" i="3"/>
  <c r="B972" i="3"/>
  <c r="C972" i="3"/>
  <c r="D972" i="3"/>
  <c r="E972" i="3"/>
  <c r="F972" i="3"/>
  <c r="G972" i="3"/>
  <c r="H972" i="3"/>
  <c r="I972" i="3"/>
  <c r="J972" i="3"/>
  <c r="K972" i="3"/>
  <c r="B973" i="3"/>
  <c r="C973" i="3"/>
  <c r="D973" i="3"/>
  <c r="E973" i="3"/>
  <c r="F973" i="3"/>
  <c r="G973" i="3"/>
  <c r="H973" i="3"/>
  <c r="I973" i="3"/>
  <c r="J973" i="3"/>
  <c r="K973" i="3"/>
  <c r="B974" i="3"/>
  <c r="C974" i="3"/>
  <c r="D974" i="3"/>
  <c r="E974" i="3"/>
  <c r="F974" i="3"/>
  <c r="G974" i="3"/>
  <c r="H974" i="3"/>
  <c r="I974" i="3"/>
  <c r="J974" i="3"/>
  <c r="K974" i="3"/>
  <c r="B975" i="3"/>
  <c r="C975" i="3"/>
  <c r="D975" i="3"/>
  <c r="E975" i="3"/>
  <c r="F975" i="3"/>
  <c r="G975" i="3"/>
  <c r="H975" i="3"/>
  <c r="I975" i="3"/>
  <c r="J975" i="3"/>
  <c r="K975" i="3"/>
  <c r="B976" i="3"/>
  <c r="C976" i="3"/>
  <c r="D976" i="3"/>
  <c r="E976" i="3"/>
  <c r="F976" i="3"/>
  <c r="G976" i="3"/>
  <c r="H976" i="3"/>
  <c r="I976" i="3"/>
  <c r="J976" i="3"/>
  <c r="K976" i="3"/>
  <c r="B977" i="3"/>
  <c r="C977" i="3"/>
  <c r="D977" i="3"/>
  <c r="E977" i="3"/>
  <c r="F977" i="3"/>
  <c r="G977" i="3"/>
  <c r="H977" i="3"/>
  <c r="I977" i="3"/>
  <c r="J977" i="3"/>
  <c r="K977" i="3"/>
  <c r="B978" i="3"/>
  <c r="C978" i="3"/>
  <c r="D978" i="3"/>
  <c r="E978" i="3"/>
  <c r="F978" i="3"/>
  <c r="G978" i="3"/>
  <c r="H978" i="3"/>
  <c r="I978" i="3"/>
  <c r="J978" i="3"/>
  <c r="K978" i="3"/>
  <c r="B979" i="3"/>
  <c r="C979" i="3"/>
  <c r="D979" i="3"/>
  <c r="E979" i="3"/>
  <c r="F979" i="3"/>
  <c r="G979" i="3"/>
  <c r="H979" i="3"/>
  <c r="I979" i="3"/>
  <c r="J979" i="3"/>
  <c r="K979" i="3"/>
  <c r="B980" i="3"/>
  <c r="C980" i="3"/>
  <c r="D980" i="3"/>
  <c r="E980" i="3"/>
  <c r="F980" i="3"/>
  <c r="G980" i="3"/>
  <c r="H980" i="3"/>
  <c r="I980" i="3"/>
  <c r="J980" i="3"/>
  <c r="K980" i="3"/>
  <c r="B981" i="3"/>
  <c r="C981" i="3"/>
  <c r="D981" i="3"/>
  <c r="E981" i="3"/>
  <c r="F981" i="3"/>
  <c r="G981" i="3"/>
  <c r="H981" i="3"/>
  <c r="I981" i="3"/>
  <c r="J981" i="3"/>
  <c r="K981" i="3"/>
  <c r="B982" i="3"/>
  <c r="C982" i="3"/>
  <c r="D982" i="3"/>
  <c r="E982" i="3"/>
  <c r="F982" i="3"/>
  <c r="G982" i="3"/>
  <c r="H982" i="3"/>
  <c r="I982" i="3"/>
  <c r="J982" i="3"/>
  <c r="K982" i="3"/>
  <c r="B983" i="3"/>
  <c r="C983" i="3"/>
  <c r="D983" i="3"/>
  <c r="E983" i="3"/>
  <c r="F983" i="3"/>
  <c r="G983" i="3"/>
  <c r="H983" i="3"/>
  <c r="I983" i="3"/>
  <c r="J983" i="3"/>
  <c r="K983" i="3"/>
  <c r="B984" i="3"/>
  <c r="C984" i="3"/>
  <c r="D984" i="3"/>
  <c r="E984" i="3"/>
  <c r="F984" i="3"/>
  <c r="G984" i="3"/>
  <c r="H984" i="3"/>
  <c r="I984" i="3"/>
  <c r="J984" i="3"/>
  <c r="K984" i="3"/>
  <c r="B985" i="3"/>
  <c r="C985" i="3"/>
  <c r="D985" i="3"/>
  <c r="E985" i="3"/>
  <c r="F985" i="3"/>
  <c r="G985" i="3"/>
  <c r="H985" i="3"/>
  <c r="I985" i="3"/>
  <c r="J985" i="3"/>
  <c r="K985" i="3"/>
  <c r="B986" i="3"/>
  <c r="C986" i="3"/>
  <c r="D986" i="3"/>
  <c r="E986" i="3"/>
  <c r="F986" i="3"/>
  <c r="G986" i="3"/>
  <c r="H986" i="3"/>
  <c r="I986" i="3"/>
  <c r="J986" i="3"/>
  <c r="K986" i="3"/>
  <c r="B987" i="3"/>
  <c r="C987" i="3"/>
  <c r="D987" i="3"/>
  <c r="E987" i="3"/>
  <c r="F987" i="3"/>
  <c r="G987" i="3"/>
  <c r="H987" i="3"/>
  <c r="I987" i="3"/>
  <c r="J987" i="3"/>
  <c r="K987" i="3"/>
  <c r="B988" i="3"/>
  <c r="C988" i="3"/>
  <c r="D988" i="3"/>
  <c r="E988" i="3"/>
  <c r="F988" i="3"/>
  <c r="G988" i="3"/>
  <c r="H988" i="3"/>
  <c r="I988" i="3"/>
  <c r="J988" i="3"/>
  <c r="K988" i="3"/>
  <c r="B989" i="3"/>
  <c r="C989" i="3"/>
  <c r="D989" i="3"/>
  <c r="E989" i="3"/>
  <c r="F989" i="3"/>
  <c r="G989" i="3"/>
  <c r="H989" i="3"/>
  <c r="I989" i="3"/>
  <c r="J989" i="3"/>
  <c r="K989" i="3"/>
  <c r="B990" i="3"/>
  <c r="C990" i="3"/>
  <c r="D990" i="3"/>
  <c r="E990" i="3"/>
  <c r="F990" i="3"/>
  <c r="G990" i="3"/>
  <c r="H990" i="3"/>
  <c r="I990" i="3"/>
  <c r="J990" i="3"/>
  <c r="K990" i="3"/>
  <c r="B991" i="3"/>
  <c r="C991" i="3"/>
  <c r="D991" i="3"/>
  <c r="E991" i="3"/>
  <c r="F991" i="3"/>
  <c r="G991" i="3"/>
  <c r="H991" i="3"/>
  <c r="I991" i="3"/>
  <c r="J991" i="3"/>
  <c r="K991" i="3"/>
  <c r="B992" i="3"/>
  <c r="C992" i="3"/>
  <c r="D992" i="3"/>
  <c r="E992" i="3"/>
  <c r="F992" i="3"/>
  <c r="G992" i="3"/>
  <c r="H992" i="3"/>
  <c r="I992" i="3"/>
  <c r="J992" i="3"/>
  <c r="K992" i="3"/>
  <c r="B993" i="3"/>
  <c r="C993" i="3"/>
  <c r="D993" i="3"/>
  <c r="E993" i="3"/>
  <c r="F993" i="3"/>
  <c r="G993" i="3"/>
  <c r="H993" i="3"/>
  <c r="I993" i="3"/>
  <c r="J993" i="3"/>
  <c r="K993" i="3"/>
  <c r="B994" i="3"/>
  <c r="C994" i="3"/>
  <c r="D994" i="3"/>
  <c r="E994" i="3"/>
  <c r="F994" i="3"/>
  <c r="G994" i="3"/>
  <c r="H994" i="3"/>
  <c r="I994" i="3"/>
  <c r="J994" i="3"/>
  <c r="K994" i="3"/>
  <c r="B995" i="3"/>
  <c r="C995" i="3"/>
  <c r="D995" i="3"/>
  <c r="E995" i="3"/>
  <c r="F995" i="3"/>
  <c r="G995" i="3"/>
  <c r="H995" i="3"/>
  <c r="I995" i="3"/>
  <c r="J995" i="3"/>
  <c r="K995" i="3"/>
  <c r="B996" i="3"/>
  <c r="C996" i="3"/>
  <c r="D996" i="3"/>
  <c r="E996" i="3"/>
  <c r="F996" i="3"/>
  <c r="G996" i="3"/>
  <c r="H996" i="3"/>
  <c r="I996" i="3"/>
  <c r="J996" i="3"/>
  <c r="K996" i="3"/>
  <c r="B997" i="3"/>
  <c r="C997" i="3"/>
  <c r="D997" i="3"/>
  <c r="E997" i="3"/>
  <c r="F997" i="3"/>
  <c r="G997" i="3"/>
  <c r="H997" i="3"/>
  <c r="I997" i="3"/>
  <c r="J997" i="3"/>
  <c r="K997" i="3"/>
  <c r="B998" i="3"/>
  <c r="C998" i="3"/>
  <c r="D998" i="3"/>
  <c r="E998" i="3"/>
  <c r="F998" i="3"/>
  <c r="G998" i="3"/>
  <c r="H998" i="3"/>
  <c r="I998" i="3"/>
  <c r="J998" i="3"/>
  <c r="K998" i="3"/>
  <c r="B999" i="3"/>
  <c r="C999" i="3"/>
  <c r="D999" i="3"/>
  <c r="E999" i="3"/>
  <c r="F999" i="3"/>
  <c r="G999" i="3"/>
  <c r="H999" i="3"/>
  <c r="I999" i="3"/>
  <c r="J999" i="3"/>
  <c r="K999" i="3"/>
  <c r="B1000" i="3"/>
  <c r="C1000" i="3"/>
  <c r="D1000" i="3"/>
  <c r="E1000" i="3"/>
  <c r="F1000" i="3"/>
  <c r="G1000" i="3"/>
  <c r="H1000" i="3"/>
  <c r="I1000" i="3"/>
  <c r="J1000" i="3"/>
  <c r="K1000" i="3"/>
  <c r="B1001" i="3"/>
  <c r="C1001" i="3"/>
  <c r="D1001" i="3"/>
  <c r="E1001" i="3"/>
  <c r="F1001" i="3"/>
  <c r="G1001" i="3"/>
  <c r="H1001" i="3"/>
  <c r="I1001" i="3"/>
  <c r="J1001" i="3"/>
  <c r="K1001" i="3"/>
  <c r="B1002" i="3"/>
  <c r="C1002" i="3"/>
  <c r="D1002" i="3"/>
  <c r="E1002" i="3"/>
  <c r="F1002" i="3"/>
  <c r="G1002" i="3"/>
  <c r="H1002" i="3"/>
  <c r="I1002" i="3"/>
  <c r="J1002" i="3"/>
  <c r="K1002" i="3"/>
  <c r="B1003" i="3"/>
  <c r="C1003" i="3"/>
  <c r="D1003" i="3"/>
  <c r="E1003" i="3"/>
  <c r="F1003" i="3"/>
  <c r="G1003" i="3"/>
  <c r="H1003" i="3"/>
  <c r="I1003" i="3"/>
  <c r="J1003" i="3"/>
  <c r="K1003" i="3"/>
  <c r="B1004" i="3"/>
  <c r="C1004" i="3"/>
  <c r="D1004" i="3"/>
  <c r="E1004" i="3"/>
  <c r="F1004" i="3"/>
  <c r="G1004" i="3"/>
  <c r="H1004" i="3"/>
  <c r="I1004" i="3"/>
  <c r="J1004" i="3"/>
  <c r="K1004" i="3"/>
  <c r="B1005" i="3"/>
  <c r="C1005" i="3"/>
  <c r="D1005" i="3"/>
  <c r="E1005" i="3"/>
  <c r="F1005" i="3"/>
  <c r="G1005" i="3"/>
  <c r="H1005" i="3"/>
  <c r="I1005" i="3"/>
  <c r="J1005" i="3"/>
  <c r="K1005" i="3"/>
  <c r="B1006" i="3"/>
  <c r="C1006" i="3"/>
  <c r="D1006" i="3"/>
  <c r="E1006" i="3"/>
  <c r="F1006" i="3"/>
  <c r="G1006" i="3"/>
  <c r="H1006" i="3"/>
  <c r="I1006" i="3"/>
  <c r="J1006" i="3"/>
  <c r="K1006" i="3"/>
  <c r="B1007" i="3"/>
  <c r="C1007" i="3"/>
  <c r="D1007" i="3"/>
  <c r="E1007" i="3"/>
  <c r="F1007" i="3"/>
  <c r="G1007" i="3"/>
  <c r="H1007" i="3"/>
  <c r="I1007" i="3"/>
  <c r="J1007" i="3"/>
  <c r="K1007" i="3"/>
  <c r="B1008" i="3"/>
  <c r="C1008" i="3"/>
  <c r="D1008" i="3"/>
  <c r="E1008" i="3"/>
  <c r="F1008" i="3"/>
  <c r="G1008" i="3"/>
  <c r="H1008" i="3"/>
  <c r="I1008" i="3"/>
  <c r="J1008" i="3"/>
  <c r="K1008" i="3"/>
  <c r="B1009" i="3"/>
  <c r="C1009" i="3"/>
  <c r="D1009" i="3"/>
  <c r="E1009" i="3"/>
  <c r="F1009" i="3"/>
  <c r="G1009" i="3"/>
  <c r="H1009" i="3"/>
  <c r="I1009" i="3"/>
  <c r="J1009" i="3"/>
  <c r="K1009" i="3"/>
  <c r="B1010" i="3"/>
  <c r="C1010" i="3"/>
  <c r="D1010" i="3"/>
  <c r="E1010" i="3"/>
  <c r="F1010" i="3"/>
  <c r="G1010" i="3"/>
  <c r="H1010" i="3"/>
  <c r="I1010" i="3"/>
  <c r="J1010" i="3"/>
  <c r="K1010" i="3"/>
  <c r="B1011" i="3"/>
  <c r="C1011" i="3"/>
  <c r="D1011" i="3"/>
  <c r="E1011" i="3"/>
  <c r="F1011" i="3"/>
  <c r="G1011" i="3"/>
  <c r="H1011" i="3"/>
  <c r="I1011" i="3"/>
  <c r="J1011" i="3"/>
  <c r="K1011" i="3"/>
  <c r="B1012" i="3"/>
  <c r="C1012" i="3"/>
  <c r="D1012" i="3"/>
  <c r="E1012" i="3"/>
  <c r="F1012" i="3"/>
  <c r="G1012" i="3"/>
  <c r="H1012" i="3"/>
  <c r="I1012" i="3"/>
  <c r="J1012" i="3"/>
  <c r="K1012" i="3"/>
  <c r="B1013" i="3"/>
  <c r="C1013" i="3"/>
  <c r="D1013" i="3"/>
  <c r="E1013" i="3"/>
  <c r="F1013" i="3"/>
  <c r="G1013" i="3"/>
  <c r="H1013" i="3"/>
  <c r="I1013" i="3"/>
  <c r="J1013" i="3"/>
  <c r="K1013" i="3"/>
  <c r="B1014" i="3"/>
  <c r="C1014" i="3"/>
  <c r="D1014" i="3"/>
  <c r="E1014" i="3"/>
  <c r="F1014" i="3"/>
  <c r="G1014" i="3"/>
  <c r="H1014" i="3"/>
  <c r="I1014" i="3"/>
  <c r="J1014" i="3"/>
  <c r="K1014" i="3"/>
  <c r="B1015" i="3"/>
  <c r="C1015" i="3"/>
  <c r="D1015" i="3"/>
  <c r="E1015" i="3"/>
  <c r="F1015" i="3"/>
  <c r="G1015" i="3"/>
  <c r="H1015" i="3"/>
  <c r="I1015" i="3"/>
  <c r="J1015" i="3"/>
  <c r="K1015" i="3"/>
  <c r="B1016" i="3"/>
  <c r="C1016" i="3"/>
  <c r="D1016" i="3"/>
  <c r="E1016" i="3"/>
  <c r="F1016" i="3"/>
  <c r="G1016" i="3"/>
  <c r="H1016" i="3"/>
  <c r="I1016" i="3"/>
  <c r="J1016" i="3"/>
  <c r="K1016" i="3"/>
  <c r="B1017" i="3"/>
  <c r="C1017" i="3"/>
  <c r="D1017" i="3"/>
  <c r="E1017" i="3"/>
  <c r="F1017" i="3"/>
  <c r="G1017" i="3"/>
  <c r="H1017" i="3"/>
  <c r="I1017" i="3"/>
  <c r="J1017" i="3"/>
  <c r="K1017" i="3"/>
  <c r="B1018" i="3"/>
  <c r="C1018" i="3"/>
  <c r="D1018" i="3"/>
  <c r="E1018" i="3"/>
  <c r="F1018" i="3"/>
  <c r="G1018" i="3"/>
  <c r="H1018" i="3"/>
  <c r="I1018" i="3"/>
  <c r="J1018" i="3"/>
  <c r="K1018" i="3"/>
  <c r="B1019" i="3"/>
  <c r="C1019" i="3"/>
  <c r="D1019" i="3"/>
  <c r="E1019" i="3"/>
  <c r="F1019" i="3"/>
  <c r="G1019" i="3"/>
  <c r="H1019" i="3"/>
  <c r="I1019" i="3"/>
  <c r="J1019" i="3"/>
  <c r="K1019" i="3"/>
  <c r="B1020" i="3"/>
  <c r="C1020" i="3"/>
  <c r="D1020" i="3"/>
  <c r="E1020" i="3"/>
  <c r="F1020" i="3"/>
  <c r="G1020" i="3"/>
  <c r="H1020" i="3"/>
  <c r="I1020" i="3"/>
  <c r="J1020" i="3"/>
  <c r="K1020" i="3"/>
  <c r="B1021" i="3"/>
  <c r="C1021" i="3"/>
  <c r="D1021" i="3"/>
  <c r="E1021" i="3"/>
  <c r="F1021" i="3"/>
  <c r="G1021" i="3"/>
  <c r="H1021" i="3"/>
  <c r="I1021" i="3"/>
  <c r="J1021" i="3"/>
  <c r="K1021" i="3"/>
  <c r="B1022" i="3"/>
  <c r="C1022" i="3"/>
  <c r="D1022" i="3"/>
  <c r="E1022" i="3"/>
  <c r="F1022" i="3"/>
  <c r="G1022" i="3"/>
  <c r="H1022" i="3"/>
  <c r="I1022" i="3"/>
  <c r="J1022" i="3"/>
  <c r="K1022" i="3"/>
  <c r="B1023" i="3"/>
  <c r="C1023" i="3"/>
  <c r="D1023" i="3"/>
  <c r="E1023" i="3"/>
  <c r="F1023" i="3"/>
  <c r="G1023" i="3"/>
  <c r="H1023" i="3"/>
  <c r="I1023" i="3"/>
  <c r="J1023" i="3"/>
  <c r="K1023" i="3"/>
  <c r="B1024" i="3"/>
  <c r="C1024" i="3"/>
  <c r="D1024" i="3"/>
  <c r="E1024" i="3"/>
  <c r="F1024" i="3"/>
  <c r="G1024" i="3"/>
  <c r="H1024" i="3"/>
  <c r="I1024" i="3"/>
  <c r="J1024" i="3"/>
  <c r="K1024" i="3"/>
  <c r="B1025" i="3"/>
  <c r="C1025" i="3"/>
  <c r="D1025" i="3"/>
  <c r="E1025" i="3"/>
  <c r="F1025" i="3"/>
  <c r="G1025" i="3"/>
  <c r="H1025" i="3"/>
  <c r="I1025" i="3"/>
  <c r="J1025" i="3"/>
  <c r="K1025" i="3"/>
  <c r="B1026" i="3"/>
  <c r="C1026" i="3"/>
  <c r="D1026" i="3"/>
  <c r="E1026" i="3"/>
  <c r="F1026" i="3"/>
  <c r="G1026" i="3"/>
  <c r="H1026" i="3"/>
  <c r="I1026" i="3"/>
  <c r="J1026" i="3"/>
  <c r="K1026" i="3"/>
  <c r="B1027" i="3"/>
  <c r="C1027" i="3"/>
  <c r="D1027" i="3"/>
  <c r="E1027" i="3"/>
  <c r="F1027" i="3"/>
  <c r="G1027" i="3"/>
  <c r="H1027" i="3"/>
  <c r="I1027" i="3"/>
  <c r="J1027" i="3"/>
  <c r="K1027" i="3"/>
  <c r="B1028" i="3"/>
  <c r="C1028" i="3"/>
  <c r="D1028" i="3"/>
  <c r="E1028" i="3"/>
  <c r="F1028" i="3"/>
  <c r="G1028" i="3"/>
  <c r="H1028" i="3"/>
  <c r="I1028" i="3"/>
  <c r="J1028" i="3"/>
  <c r="K1028" i="3"/>
  <c r="B1029" i="3"/>
  <c r="C1029" i="3"/>
  <c r="D1029" i="3"/>
  <c r="E1029" i="3"/>
  <c r="F1029" i="3"/>
  <c r="G1029" i="3"/>
  <c r="H1029" i="3"/>
  <c r="I1029" i="3"/>
  <c r="J1029" i="3"/>
  <c r="K1029" i="3"/>
  <c r="B1030" i="3"/>
  <c r="C1030" i="3"/>
  <c r="D1030" i="3"/>
  <c r="E1030" i="3"/>
  <c r="F1030" i="3"/>
  <c r="G1030" i="3"/>
  <c r="H1030" i="3"/>
  <c r="I1030" i="3"/>
  <c r="J1030" i="3"/>
  <c r="K1030" i="3"/>
  <c r="B1031" i="3"/>
  <c r="C1031" i="3"/>
  <c r="D1031" i="3"/>
  <c r="E1031" i="3"/>
  <c r="F1031" i="3"/>
  <c r="G1031" i="3"/>
  <c r="H1031" i="3"/>
  <c r="I1031" i="3"/>
  <c r="J1031" i="3"/>
  <c r="K1031" i="3"/>
  <c r="B1032" i="3"/>
  <c r="C1032" i="3"/>
  <c r="D1032" i="3"/>
  <c r="E1032" i="3"/>
  <c r="F1032" i="3"/>
  <c r="G1032" i="3"/>
  <c r="H1032" i="3"/>
  <c r="I1032" i="3"/>
  <c r="J1032" i="3"/>
  <c r="K1032" i="3"/>
  <c r="B1033" i="3"/>
  <c r="C1033" i="3"/>
  <c r="D1033" i="3"/>
  <c r="E1033" i="3"/>
  <c r="F1033" i="3"/>
  <c r="G1033" i="3"/>
  <c r="H1033" i="3"/>
  <c r="I1033" i="3"/>
  <c r="J1033" i="3"/>
  <c r="K1033" i="3"/>
  <c r="B1034" i="3"/>
  <c r="C1034" i="3"/>
  <c r="D1034" i="3"/>
  <c r="E1034" i="3"/>
  <c r="F1034" i="3"/>
  <c r="G1034" i="3"/>
  <c r="H1034" i="3"/>
  <c r="I1034" i="3"/>
  <c r="J1034" i="3"/>
  <c r="K1034" i="3"/>
  <c r="B1035" i="3"/>
  <c r="C1035" i="3"/>
  <c r="D1035" i="3"/>
  <c r="E1035" i="3"/>
  <c r="F1035" i="3"/>
  <c r="G1035" i="3"/>
  <c r="H1035" i="3"/>
  <c r="I1035" i="3"/>
  <c r="J1035" i="3"/>
  <c r="K1035" i="3"/>
  <c r="B1036" i="3"/>
  <c r="C1036" i="3"/>
  <c r="D1036" i="3"/>
  <c r="E1036" i="3"/>
  <c r="F1036" i="3"/>
  <c r="G1036" i="3"/>
  <c r="H1036" i="3"/>
  <c r="I1036" i="3"/>
  <c r="J1036" i="3"/>
  <c r="K1036" i="3"/>
  <c r="B1037" i="3"/>
  <c r="C1037" i="3"/>
  <c r="D1037" i="3"/>
  <c r="E1037" i="3"/>
  <c r="F1037" i="3"/>
  <c r="G1037" i="3"/>
  <c r="H1037" i="3"/>
  <c r="I1037" i="3"/>
  <c r="J1037" i="3"/>
  <c r="K1037" i="3"/>
  <c r="B1038" i="3"/>
  <c r="C1038" i="3"/>
  <c r="D1038" i="3"/>
  <c r="E1038" i="3"/>
  <c r="F1038" i="3"/>
  <c r="G1038" i="3"/>
  <c r="H1038" i="3"/>
  <c r="I1038" i="3"/>
  <c r="J1038" i="3"/>
  <c r="K1038" i="3"/>
  <c r="B1039" i="3"/>
  <c r="C1039" i="3"/>
  <c r="D1039" i="3"/>
  <c r="E1039" i="3"/>
  <c r="F1039" i="3"/>
  <c r="G1039" i="3"/>
  <c r="H1039" i="3"/>
  <c r="I1039" i="3"/>
  <c r="J1039" i="3"/>
  <c r="K1039" i="3"/>
  <c r="B1040" i="3"/>
  <c r="C1040" i="3"/>
  <c r="D1040" i="3"/>
  <c r="E1040" i="3"/>
  <c r="F1040" i="3"/>
  <c r="G1040" i="3"/>
  <c r="H1040" i="3"/>
  <c r="I1040" i="3"/>
  <c r="J1040" i="3"/>
  <c r="K1040" i="3"/>
  <c r="B1041" i="3"/>
  <c r="C1041" i="3"/>
  <c r="D1041" i="3"/>
  <c r="E1041" i="3"/>
  <c r="F1041" i="3"/>
  <c r="G1041" i="3"/>
  <c r="H1041" i="3"/>
  <c r="I1041" i="3"/>
  <c r="J1041" i="3"/>
  <c r="K1041" i="3"/>
  <c r="B1042" i="3"/>
  <c r="C1042" i="3"/>
  <c r="D1042" i="3"/>
  <c r="E1042" i="3"/>
  <c r="F1042" i="3"/>
  <c r="G1042" i="3"/>
  <c r="H1042" i="3"/>
  <c r="I1042" i="3"/>
  <c r="J1042" i="3"/>
  <c r="K1042" i="3"/>
  <c r="B1043" i="3"/>
  <c r="C1043" i="3"/>
  <c r="D1043" i="3"/>
  <c r="E1043" i="3"/>
  <c r="F1043" i="3"/>
  <c r="G1043" i="3"/>
  <c r="H1043" i="3"/>
  <c r="I1043" i="3"/>
  <c r="J1043" i="3"/>
  <c r="K1043" i="3"/>
  <c r="B1044" i="3"/>
  <c r="C1044" i="3"/>
  <c r="D1044" i="3"/>
  <c r="E1044" i="3"/>
  <c r="F1044" i="3"/>
  <c r="G1044" i="3"/>
  <c r="H1044" i="3"/>
  <c r="I1044" i="3"/>
  <c r="J1044" i="3"/>
  <c r="K1044" i="3"/>
  <c r="B1045" i="3"/>
  <c r="C1045" i="3"/>
  <c r="D1045" i="3"/>
  <c r="E1045" i="3"/>
  <c r="F1045" i="3"/>
  <c r="G1045" i="3"/>
  <c r="H1045" i="3"/>
  <c r="I1045" i="3"/>
  <c r="J1045" i="3"/>
  <c r="K1045" i="3"/>
  <c r="B1046" i="3"/>
  <c r="C1046" i="3"/>
  <c r="D1046" i="3"/>
  <c r="E1046" i="3"/>
  <c r="F1046" i="3"/>
  <c r="G1046" i="3"/>
  <c r="H1046" i="3"/>
  <c r="I1046" i="3"/>
  <c r="J1046" i="3"/>
  <c r="K1046" i="3"/>
  <c r="B1047" i="3"/>
  <c r="C1047" i="3"/>
  <c r="D1047" i="3"/>
  <c r="E1047" i="3"/>
  <c r="F1047" i="3"/>
  <c r="G1047" i="3"/>
  <c r="H1047" i="3"/>
  <c r="I1047" i="3"/>
  <c r="J1047" i="3"/>
  <c r="K1047" i="3"/>
  <c r="B1048" i="3"/>
  <c r="C1048" i="3"/>
  <c r="D1048" i="3"/>
  <c r="E1048" i="3"/>
  <c r="F1048" i="3"/>
  <c r="G1048" i="3"/>
  <c r="H1048" i="3"/>
  <c r="I1048" i="3"/>
  <c r="J1048" i="3"/>
  <c r="K1048" i="3"/>
  <c r="B1049" i="3"/>
  <c r="C1049" i="3"/>
  <c r="D1049" i="3"/>
  <c r="E1049" i="3"/>
  <c r="F1049" i="3"/>
  <c r="G1049" i="3"/>
  <c r="H1049" i="3"/>
  <c r="I1049" i="3"/>
  <c r="J1049" i="3"/>
  <c r="K1049" i="3"/>
  <c r="B1050" i="3"/>
  <c r="C1050" i="3"/>
  <c r="D1050" i="3"/>
  <c r="E1050" i="3"/>
  <c r="F1050" i="3"/>
  <c r="G1050" i="3"/>
  <c r="H1050" i="3"/>
  <c r="I1050" i="3"/>
  <c r="J1050" i="3"/>
  <c r="K1050" i="3"/>
  <c r="B1051" i="3"/>
  <c r="C1051" i="3"/>
  <c r="D1051" i="3"/>
  <c r="E1051" i="3"/>
  <c r="F1051" i="3"/>
  <c r="G1051" i="3"/>
  <c r="H1051" i="3"/>
  <c r="I1051" i="3"/>
  <c r="J1051" i="3"/>
  <c r="K1051" i="3"/>
  <c r="B1052" i="3"/>
  <c r="C1052" i="3"/>
  <c r="D1052" i="3"/>
  <c r="E1052" i="3"/>
  <c r="F1052" i="3"/>
  <c r="G1052" i="3"/>
  <c r="H1052" i="3"/>
  <c r="I1052" i="3"/>
  <c r="J1052" i="3"/>
  <c r="K1052" i="3"/>
  <c r="B1053" i="3"/>
  <c r="C1053" i="3"/>
  <c r="D1053" i="3"/>
  <c r="E1053" i="3"/>
  <c r="F1053" i="3"/>
  <c r="G1053" i="3"/>
  <c r="H1053" i="3"/>
  <c r="I1053" i="3"/>
  <c r="J1053" i="3"/>
  <c r="K1053" i="3"/>
  <c r="B1054" i="3"/>
  <c r="C1054" i="3"/>
  <c r="D1054" i="3"/>
  <c r="E1054" i="3"/>
  <c r="F1054" i="3"/>
  <c r="G1054" i="3"/>
  <c r="H1054" i="3"/>
  <c r="I1054" i="3"/>
  <c r="J1054" i="3"/>
  <c r="K1054" i="3"/>
  <c r="B1055" i="3"/>
  <c r="C1055" i="3"/>
  <c r="D1055" i="3"/>
  <c r="E1055" i="3"/>
  <c r="F1055" i="3"/>
  <c r="G1055" i="3"/>
  <c r="H1055" i="3"/>
  <c r="I1055" i="3"/>
  <c r="J1055" i="3"/>
  <c r="K1055" i="3"/>
  <c r="B1056" i="3"/>
  <c r="C1056" i="3"/>
  <c r="D1056" i="3"/>
  <c r="E1056" i="3"/>
  <c r="F1056" i="3"/>
  <c r="G1056" i="3"/>
  <c r="H1056" i="3"/>
  <c r="I1056" i="3"/>
  <c r="J1056" i="3"/>
  <c r="K1056" i="3"/>
  <c r="B1057" i="3"/>
  <c r="C1057" i="3"/>
  <c r="D1057" i="3"/>
  <c r="E1057" i="3"/>
  <c r="F1057" i="3"/>
  <c r="G1057" i="3"/>
  <c r="H1057" i="3"/>
  <c r="I1057" i="3"/>
  <c r="J1057" i="3"/>
  <c r="K1057" i="3"/>
  <c r="B1058" i="3"/>
  <c r="C1058" i="3"/>
  <c r="D1058" i="3"/>
  <c r="E1058" i="3"/>
  <c r="F1058" i="3"/>
  <c r="G1058" i="3"/>
  <c r="H1058" i="3"/>
  <c r="I1058" i="3"/>
  <c r="J1058" i="3"/>
  <c r="K1058" i="3"/>
  <c r="B1059" i="3"/>
  <c r="C1059" i="3"/>
  <c r="D1059" i="3"/>
  <c r="E1059" i="3"/>
  <c r="F1059" i="3"/>
  <c r="G1059" i="3"/>
  <c r="H1059" i="3"/>
  <c r="I1059" i="3"/>
  <c r="J1059" i="3"/>
  <c r="K1059" i="3"/>
  <c r="B1060" i="3"/>
  <c r="C1060" i="3"/>
  <c r="D1060" i="3"/>
  <c r="E1060" i="3"/>
  <c r="F1060" i="3"/>
  <c r="G1060" i="3"/>
  <c r="H1060" i="3"/>
  <c r="I1060" i="3"/>
  <c r="J1060" i="3"/>
  <c r="K1060" i="3"/>
  <c r="B1061" i="3"/>
  <c r="C1061" i="3"/>
  <c r="D1061" i="3"/>
  <c r="E1061" i="3"/>
  <c r="F1061" i="3"/>
  <c r="G1061" i="3"/>
  <c r="H1061" i="3"/>
  <c r="I1061" i="3"/>
  <c r="J1061" i="3"/>
  <c r="K1061" i="3"/>
  <c r="B1062" i="3"/>
  <c r="C1062" i="3"/>
  <c r="D1062" i="3"/>
  <c r="E1062" i="3"/>
  <c r="F1062" i="3"/>
  <c r="G1062" i="3"/>
  <c r="H1062" i="3"/>
  <c r="I1062" i="3"/>
  <c r="J1062" i="3"/>
  <c r="K1062" i="3"/>
  <c r="B1063" i="3"/>
  <c r="C1063" i="3"/>
  <c r="D1063" i="3"/>
  <c r="E1063" i="3"/>
  <c r="F1063" i="3"/>
  <c r="G1063" i="3"/>
  <c r="H1063" i="3"/>
  <c r="I1063" i="3"/>
  <c r="J1063" i="3"/>
  <c r="K1063" i="3"/>
  <c r="B1064" i="3"/>
  <c r="C1064" i="3"/>
  <c r="D1064" i="3"/>
  <c r="E1064" i="3"/>
  <c r="F1064" i="3"/>
  <c r="G1064" i="3"/>
  <c r="H1064" i="3"/>
  <c r="I1064" i="3"/>
  <c r="J1064" i="3"/>
  <c r="K1064" i="3"/>
  <c r="B1065" i="3"/>
  <c r="C1065" i="3"/>
  <c r="D1065" i="3"/>
  <c r="E1065" i="3"/>
  <c r="F1065" i="3"/>
  <c r="G1065" i="3"/>
  <c r="H1065" i="3"/>
  <c r="I1065" i="3"/>
  <c r="J1065" i="3"/>
  <c r="K1065" i="3"/>
  <c r="B1066" i="3"/>
  <c r="C1066" i="3"/>
  <c r="D1066" i="3"/>
  <c r="E1066" i="3"/>
  <c r="F1066" i="3"/>
  <c r="G1066" i="3"/>
  <c r="H1066" i="3"/>
  <c r="I1066" i="3"/>
  <c r="J1066" i="3"/>
  <c r="K1066" i="3"/>
  <c r="B1067" i="3"/>
  <c r="C1067" i="3"/>
  <c r="D1067" i="3"/>
  <c r="E1067" i="3"/>
  <c r="F1067" i="3"/>
  <c r="G1067" i="3"/>
  <c r="H1067" i="3"/>
  <c r="I1067" i="3"/>
  <c r="J1067" i="3"/>
  <c r="K1067" i="3"/>
  <c r="C1069" i="3"/>
  <c r="E1069" i="3"/>
  <c r="F1069" i="3"/>
  <c r="G1069" i="3"/>
  <c r="B1070" i="3"/>
  <c r="C1070" i="3"/>
  <c r="E1070" i="3"/>
  <c r="F1070" i="3"/>
  <c r="K1070" i="3"/>
  <c r="C1071" i="3"/>
  <c r="E1071" i="3"/>
  <c r="J1071" i="3"/>
  <c r="K1071" i="3"/>
  <c r="B1072" i="3"/>
  <c r="C1072" i="3"/>
  <c r="I1072" i="3"/>
  <c r="K1072" i="3"/>
  <c r="H1073" i="3"/>
  <c r="I1073" i="3"/>
  <c r="J1073" i="3"/>
  <c r="K1073" i="3"/>
  <c r="G1074" i="3"/>
  <c r="I1074" i="3"/>
  <c r="F1075" i="3"/>
  <c r="G1075" i="3"/>
  <c r="H1075" i="3"/>
  <c r="I1075" i="3"/>
  <c r="E1076" i="3"/>
  <c r="G1076" i="3"/>
  <c r="C1077" i="3"/>
  <c r="E1077" i="3"/>
  <c r="F1077" i="3"/>
  <c r="G1077" i="3"/>
  <c r="C1078" i="3"/>
  <c r="E1078" i="3"/>
  <c r="K1078" i="3"/>
  <c r="B1079" i="3"/>
  <c r="C1079" i="3"/>
  <c r="E1079" i="3"/>
  <c r="K1079" i="3"/>
  <c r="C1080" i="3"/>
  <c r="I1080" i="3"/>
  <c r="J1080" i="3"/>
  <c r="K1080" i="3"/>
  <c r="B1081" i="3"/>
  <c r="I1081" i="3"/>
  <c r="K1081" i="3"/>
  <c r="G1082" i="3"/>
  <c r="H1082" i="3"/>
  <c r="I1082" i="3"/>
  <c r="J1082" i="3"/>
  <c r="G1083" i="3"/>
  <c r="I1083" i="3"/>
  <c r="E1084" i="3"/>
  <c r="F1084" i="3"/>
  <c r="G1084" i="3"/>
  <c r="H1084" i="3"/>
  <c r="C1085" i="3"/>
  <c r="E1085" i="3"/>
  <c r="G1085" i="3"/>
  <c r="B1086" i="3"/>
  <c r="C1086" i="3"/>
  <c r="E1086" i="3"/>
  <c r="F1086" i="3"/>
  <c r="K1086" i="3"/>
  <c r="C1087" i="3"/>
  <c r="E1087" i="3"/>
  <c r="J1087" i="3"/>
  <c r="K1087" i="3"/>
  <c r="B1088" i="3"/>
  <c r="C1088" i="3"/>
  <c r="I1088" i="3"/>
  <c r="K1088" i="3"/>
  <c r="H1089" i="3"/>
  <c r="I1089" i="3"/>
  <c r="J1089" i="3"/>
  <c r="K1089" i="3"/>
  <c r="G1090" i="3"/>
  <c r="I1090" i="3"/>
  <c r="F1091" i="3"/>
  <c r="G1091" i="3"/>
  <c r="H1091" i="3"/>
  <c r="I1091" i="3"/>
  <c r="G1092" i="3"/>
  <c r="C1093" i="3"/>
  <c r="E1093" i="3"/>
  <c r="F1093" i="3"/>
  <c r="G1093" i="3"/>
  <c r="A1094" i="3"/>
  <c r="C1094" i="3"/>
  <c r="E1094" i="3"/>
  <c r="J1094" i="3"/>
  <c r="K1094" i="3"/>
  <c r="A1095" i="3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B1095" i="3"/>
  <c r="I1095" i="3"/>
  <c r="K1095" i="3"/>
  <c r="F1096" i="3"/>
  <c r="G1096" i="3"/>
  <c r="H1096" i="3"/>
  <c r="I1096" i="3"/>
  <c r="E1097" i="3"/>
  <c r="G1097" i="3"/>
  <c r="B1098" i="3"/>
  <c r="C1098" i="3"/>
  <c r="E1098" i="3"/>
  <c r="K1098" i="3"/>
  <c r="H1099" i="3"/>
  <c r="I1099" i="3"/>
  <c r="J1099" i="3"/>
  <c r="K1099" i="3"/>
  <c r="G1100" i="3"/>
  <c r="I1100" i="3"/>
  <c r="C1101" i="3"/>
  <c r="E1101" i="3"/>
  <c r="F1101" i="3"/>
  <c r="G1101" i="3"/>
  <c r="C1102" i="3"/>
  <c r="E1102" i="3"/>
  <c r="J1102" i="3"/>
  <c r="K1102" i="3"/>
  <c r="B1103" i="3"/>
  <c r="I1103" i="3"/>
  <c r="K1103" i="3"/>
  <c r="F1104" i="3"/>
  <c r="G1104" i="3"/>
  <c r="H1104" i="3"/>
  <c r="I1104" i="3"/>
  <c r="E1105" i="3"/>
  <c r="G1105" i="3"/>
  <c r="B1106" i="3"/>
  <c r="C1106" i="3"/>
  <c r="E1106" i="3"/>
  <c r="K1106" i="3"/>
  <c r="H1107" i="3"/>
  <c r="I1107" i="3"/>
  <c r="J1107" i="3"/>
  <c r="K1107" i="3"/>
  <c r="G1108" i="3"/>
  <c r="I1108" i="3"/>
  <c r="C1109" i="3"/>
  <c r="E1109" i="3"/>
  <c r="F1109" i="3"/>
  <c r="G1109" i="3"/>
  <c r="C1110" i="3"/>
  <c r="E1110" i="3"/>
  <c r="J1110" i="3"/>
  <c r="K1110" i="3"/>
  <c r="B1111" i="3"/>
  <c r="I1111" i="3"/>
  <c r="K1111" i="3"/>
  <c r="F1112" i="3"/>
  <c r="G1112" i="3"/>
  <c r="H1112" i="3"/>
  <c r="I1112" i="3"/>
  <c r="E1113" i="3"/>
  <c r="G1113" i="3"/>
  <c r="B1114" i="3"/>
  <c r="C1114" i="3"/>
  <c r="E1114" i="3"/>
  <c r="K1114" i="3"/>
  <c r="H1115" i="3"/>
  <c r="I1115" i="3"/>
  <c r="J1115" i="3"/>
  <c r="K1115" i="3"/>
  <c r="G1116" i="3"/>
  <c r="I1116" i="3"/>
  <c r="C1117" i="3"/>
  <c r="E1117" i="3"/>
  <c r="F1117" i="3"/>
  <c r="G1117" i="3"/>
  <c r="C9" i="2"/>
  <c r="E9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B1058" i="2"/>
  <c r="B1158" i="2" s="1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B1071" i="2"/>
  <c r="C1071" i="2"/>
  <c r="L1071" i="2"/>
  <c r="M1071" i="2"/>
  <c r="H1072" i="2"/>
  <c r="I1072" i="2"/>
  <c r="F1073" i="2"/>
  <c r="G1073" i="2"/>
  <c r="B1074" i="2"/>
  <c r="C1074" i="2"/>
  <c r="L1074" i="2"/>
  <c r="M1074" i="2"/>
  <c r="J1075" i="2"/>
  <c r="K1075" i="2"/>
  <c r="F1076" i="2"/>
  <c r="G1076" i="2"/>
  <c r="B1077" i="2"/>
  <c r="C1077" i="2"/>
  <c r="N1077" i="2"/>
  <c r="O1077" i="2"/>
  <c r="J1078" i="2"/>
  <c r="K1078" i="2"/>
  <c r="F1079" i="2"/>
  <c r="G1079" i="2"/>
  <c r="D1080" i="2"/>
  <c r="E1080" i="2"/>
  <c r="N1080" i="2"/>
  <c r="O1080" i="2"/>
  <c r="J1081" i="2"/>
  <c r="K1081" i="2"/>
  <c r="H1082" i="2"/>
  <c r="I1082" i="2"/>
  <c r="D1083" i="2"/>
  <c r="E1083" i="2"/>
  <c r="N1083" i="2"/>
  <c r="O1083" i="2"/>
  <c r="L1084" i="2"/>
  <c r="M1084" i="2"/>
  <c r="H1085" i="2"/>
  <c r="I1085" i="2"/>
  <c r="D1086" i="2"/>
  <c r="E1086" i="2"/>
  <c r="B1087" i="2"/>
  <c r="C1087" i="2"/>
  <c r="L1087" i="2"/>
  <c r="M1087" i="2"/>
  <c r="H1088" i="2"/>
  <c r="I1088" i="2"/>
  <c r="F1089" i="2"/>
  <c r="G1089" i="2"/>
  <c r="B1090" i="2"/>
  <c r="C1090" i="2"/>
  <c r="L1090" i="2"/>
  <c r="M1090" i="2"/>
  <c r="J1091" i="2"/>
  <c r="K1091" i="2"/>
  <c r="F1092" i="2"/>
  <c r="G1092" i="2"/>
  <c r="B1093" i="2"/>
  <c r="C1093" i="2"/>
  <c r="N1093" i="2"/>
  <c r="O1093" i="2"/>
  <c r="J1094" i="2"/>
  <c r="K1094" i="2"/>
  <c r="F1095" i="2"/>
  <c r="G1095" i="2"/>
  <c r="D1096" i="2"/>
  <c r="E1096" i="2"/>
  <c r="N1096" i="2"/>
  <c r="O1096" i="2"/>
  <c r="J1097" i="2"/>
  <c r="K1097" i="2"/>
  <c r="H1098" i="2"/>
  <c r="I1098" i="2"/>
  <c r="D1099" i="2"/>
  <c r="E1099" i="2"/>
  <c r="N1099" i="2"/>
  <c r="O1099" i="2"/>
  <c r="L1100" i="2"/>
  <c r="M1100" i="2"/>
  <c r="H1101" i="2"/>
  <c r="I1101" i="2"/>
  <c r="D1102" i="2"/>
  <c r="E1102" i="2"/>
  <c r="B1103" i="2"/>
  <c r="C1103" i="2"/>
  <c r="L1103" i="2"/>
  <c r="M1103" i="2"/>
  <c r="H1104" i="2"/>
  <c r="I1104" i="2"/>
  <c r="F1105" i="2"/>
  <c r="G1105" i="2"/>
  <c r="B1106" i="2"/>
  <c r="C1106" i="2"/>
  <c r="J1106" i="2"/>
  <c r="K1106" i="2"/>
  <c r="D1107" i="2"/>
  <c r="E1107" i="2"/>
  <c r="L1107" i="2"/>
  <c r="M1107" i="2"/>
  <c r="F1108" i="2"/>
  <c r="G1108" i="2"/>
  <c r="N1108" i="2"/>
  <c r="O1108" i="2"/>
  <c r="H1109" i="2"/>
  <c r="I1109" i="2"/>
  <c r="B1110" i="2"/>
  <c r="C1110" i="2"/>
  <c r="J1110" i="2"/>
  <c r="K1110" i="2"/>
  <c r="D1111" i="2"/>
  <c r="E1111" i="2"/>
  <c r="L1111" i="2"/>
  <c r="M1111" i="2"/>
  <c r="F1112" i="2"/>
  <c r="G1112" i="2"/>
  <c r="N1112" i="2"/>
  <c r="O1112" i="2"/>
  <c r="H1113" i="2"/>
  <c r="I1113" i="2"/>
  <c r="B1114" i="2"/>
  <c r="C1114" i="2"/>
  <c r="J1114" i="2"/>
  <c r="K1114" i="2"/>
  <c r="D1115" i="2"/>
  <c r="E1115" i="2"/>
  <c r="L1115" i="2"/>
  <c r="M1115" i="2"/>
  <c r="F1116" i="2"/>
  <c r="G1116" i="2"/>
  <c r="N1116" i="2"/>
  <c r="O1116" i="2"/>
  <c r="H1117" i="2"/>
  <c r="I1117" i="2"/>
  <c r="B1118" i="2"/>
  <c r="C1118" i="2"/>
  <c r="J1118" i="2"/>
  <c r="K1118" i="2"/>
  <c r="D1119" i="2"/>
  <c r="E1119" i="2"/>
  <c r="L1119" i="2"/>
  <c r="M1119" i="2"/>
  <c r="F1120" i="2"/>
  <c r="G1120" i="2"/>
  <c r="N1120" i="2"/>
  <c r="O1120" i="2"/>
  <c r="H1121" i="2"/>
  <c r="I1121" i="2"/>
  <c r="B1122" i="2"/>
  <c r="C1122" i="2"/>
  <c r="J1122" i="2"/>
  <c r="K1122" i="2"/>
  <c r="D1123" i="2"/>
  <c r="E1123" i="2"/>
  <c r="L1123" i="2"/>
  <c r="M1123" i="2"/>
  <c r="F1124" i="2"/>
  <c r="G1124" i="2"/>
  <c r="N1124" i="2"/>
  <c r="O1124" i="2"/>
  <c r="H1125" i="2"/>
  <c r="I1125" i="2"/>
  <c r="B1126" i="2"/>
  <c r="C1126" i="2"/>
  <c r="J1126" i="2"/>
  <c r="K1126" i="2"/>
  <c r="D1127" i="2"/>
  <c r="E1127" i="2"/>
  <c r="L1127" i="2"/>
  <c r="M1127" i="2"/>
  <c r="F1128" i="2"/>
  <c r="G1128" i="2"/>
  <c r="N1128" i="2"/>
  <c r="O1128" i="2"/>
  <c r="H1129" i="2"/>
  <c r="I1129" i="2"/>
  <c r="B1130" i="2"/>
  <c r="C1130" i="2"/>
  <c r="J1130" i="2"/>
  <c r="K1130" i="2"/>
  <c r="D1131" i="2"/>
  <c r="E1131" i="2"/>
  <c r="L1131" i="2"/>
  <c r="M1131" i="2"/>
  <c r="F1132" i="2"/>
  <c r="G1132" i="2"/>
  <c r="N1132" i="2"/>
  <c r="O1132" i="2"/>
  <c r="H1133" i="2"/>
  <c r="I1133" i="2"/>
  <c r="B1134" i="2"/>
  <c r="C1134" i="2"/>
  <c r="J1134" i="2"/>
  <c r="K1134" i="2"/>
  <c r="D1135" i="2"/>
  <c r="E1135" i="2"/>
  <c r="L1135" i="2"/>
  <c r="M1135" i="2"/>
  <c r="F1136" i="2"/>
  <c r="G1136" i="2"/>
  <c r="N1136" i="2"/>
  <c r="O1136" i="2"/>
  <c r="H1137" i="2"/>
  <c r="I1137" i="2"/>
  <c r="B1138" i="2"/>
  <c r="C1138" i="2"/>
  <c r="J1138" i="2"/>
  <c r="K1138" i="2"/>
  <c r="D1139" i="2"/>
  <c r="E1139" i="2"/>
  <c r="L1139" i="2"/>
  <c r="M1139" i="2"/>
  <c r="F1140" i="2"/>
  <c r="G1140" i="2"/>
  <c r="N1140" i="2"/>
  <c r="O1140" i="2"/>
  <c r="H1141" i="2"/>
  <c r="I1141" i="2"/>
  <c r="B1142" i="2"/>
  <c r="C1142" i="2"/>
  <c r="J1142" i="2"/>
  <c r="K1142" i="2"/>
  <c r="D1143" i="2"/>
  <c r="E1143" i="2"/>
  <c r="L1143" i="2"/>
  <c r="M1143" i="2"/>
  <c r="F1144" i="2"/>
  <c r="G1144" i="2"/>
  <c r="N1144" i="2"/>
  <c r="O1144" i="2"/>
  <c r="H1145" i="2"/>
  <c r="I1145" i="2"/>
  <c r="B1146" i="2"/>
  <c r="C1146" i="2"/>
  <c r="J1146" i="2"/>
  <c r="K1146" i="2"/>
  <c r="D1147" i="2"/>
  <c r="E1147" i="2"/>
  <c r="L1147" i="2"/>
  <c r="M1147" i="2"/>
  <c r="F1148" i="2"/>
  <c r="G1148" i="2"/>
  <c r="N1148" i="2"/>
  <c r="O1148" i="2"/>
  <c r="H1149" i="2"/>
  <c r="I1149" i="2"/>
  <c r="B1150" i="2"/>
  <c r="C1150" i="2"/>
  <c r="J1150" i="2"/>
  <c r="K1150" i="2"/>
  <c r="D1151" i="2"/>
  <c r="E1151" i="2"/>
  <c r="L1151" i="2"/>
  <c r="M1151" i="2"/>
  <c r="F1152" i="2"/>
  <c r="G1152" i="2"/>
  <c r="N1152" i="2"/>
  <c r="O1152" i="2"/>
  <c r="H1153" i="2"/>
  <c r="I1153" i="2"/>
  <c r="B1154" i="2"/>
  <c r="C1154" i="2"/>
  <c r="J1154" i="2"/>
  <c r="K1154" i="2"/>
  <c r="D1155" i="2"/>
  <c r="E1155" i="2"/>
  <c r="L1155" i="2"/>
  <c r="M1155" i="2"/>
  <c r="F1156" i="2"/>
  <c r="G1156" i="2"/>
  <c r="N1156" i="2"/>
  <c r="O1156" i="2"/>
  <c r="H1157" i="2"/>
  <c r="I1157" i="2"/>
  <c r="C1158" i="2"/>
  <c r="J1158" i="2"/>
  <c r="K1158" i="2"/>
  <c r="I1158" i="2" l="1"/>
  <c r="O1158" i="2"/>
  <c r="G1158" i="2"/>
  <c r="M1158" i="2"/>
  <c r="E1158" i="2"/>
  <c r="O1157" i="2"/>
  <c r="G1157" i="2"/>
  <c r="M1157" i="2"/>
  <c r="E1157" i="2"/>
  <c r="K1157" i="2"/>
  <c r="H1158" i="2"/>
  <c r="N1158" i="2"/>
  <c r="F1158" i="2"/>
  <c r="L1158" i="2"/>
  <c r="D1158" i="2"/>
  <c r="C1157" i="2"/>
  <c r="I1156" i="2"/>
  <c r="M1156" i="2"/>
  <c r="E1156" i="2"/>
  <c r="K1156" i="2"/>
  <c r="C1156" i="2"/>
  <c r="I1155" i="2"/>
  <c r="O1155" i="2"/>
  <c r="G1155" i="2"/>
  <c r="K1155" i="2"/>
  <c r="C1155" i="2"/>
  <c r="I1154" i="2"/>
  <c r="O1154" i="2"/>
  <c r="G1154" i="2"/>
  <c r="M1154" i="2"/>
  <c r="E1154" i="2"/>
  <c r="O1153" i="2"/>
  <c r="G1153" i="2"/>
  <c r="M1153" i="2"/>
  <c r="E1153" i="2"/>
  <c r="K1153" i="2"/>
  <c r="C1153" i="2"/>
  <c r="I1152" i="2"/>
  <c r="M1152" i="2"/>
  <c r="E1152" i="2"/>
  <c r="K1152" i="2"/>
  <c r="C1152" i="2"/>
  <c r="I1151" i="2"/>
  <c r="O1151" i="2"/>
  <c r="G1151" i="2"/>
  <c r="K1151" i="2"/>
  <c r="C1151" i="2"/>
  <c r="I1150" i="2"/>
  <c r="O1150" i="2"/>
  <c r="G1150" i="2"/>
  <c r="M1150" i="2"/>
  <c r="E1150" i="2"/>
  <c r="O1149" i="2"/>
  <c r="G1149" i="2"/>
  <c r="M1149" i="2"/>
  <c r="E1149" i="2"/>
  <c r="K1149" i="2"/>
  <c r="C1149" i="2"/>
  <c r="I1148" i="2"/>
  <c r="M1148" i="2"/>
  <c r="E1148" i="2"/>
  <c r="K1148" i="2"/>
  <c r="C1148" i="2"/>
  <c r="I1147" i="2"/>
  <c r="O1147" i="2"/>
  <c r="G1147" i="2"/>
  <c r="K1147" i="2"/>
  <c r="C1147" i="2"/>
  <c r="I1146" i="2"/>
  <c r="O1146" i="2"/>
  <c r="G1146" i="2"/>
  <c r="M1146" i="2"/>
  <c r="E1146" i="2"/>
  <c r="O1145" i="2"/>
  <c r="G1145" i="2"/>
  <c r="M1145" i="2"/>
  <c r="E1145" i="2"/>
  <c r="K1145" i="2"/>
  <c r="C1145" i="2"/>
  <c r="I1144" i="2"/>
  <c r="M1144" i="2"/>
  <c r="E1144" i="2"/>
  <c r="K1144" i="2"/>
  <c r="C1144" i="2"/>
  <c r="I1143" i="2"/>
  <c r="O1143" i="2"/>
  <c r="G1143" i="2"/>
  <c r="K1143" i="2"/>
  <c r="C1143" i="2"/>
  <c r="I1142" i="2"/>
  <c r="O1142" i="2"/>
  <c r="G1142" i="2"/>
  <c r="M1142" i="2"/>
  <c r="E1142" i="2"/>
  <c r="O1141" i="2"/>
  <c r="G1141" i="2"/>
  <c r="M1141" i="2"/>
  <c r="E1141" i="2"/>
  <c r="K1141" i="2"/>
  <c r="C1141" i="2"/>
  <c r="I1140" i="2"/>
  <c r="M1140" i="2"/>
  <c r="E1140" i="2"/>
  <c r="K1140" i="2"/>
  <c r="C1140" i="2"/>
  <c r="I1139" i="2"/>
  <c r="O1139" i="2"/>
  <c r="G1139" i="2"/>
  <c r="K1139" i="2"/>
  <c r="C1139" i="2"/>
  <c r="I1138" i="2"/>
  <c r="O1138" i="2"/>
  <c r="G1138" i="2"/>
  <c r="M1138" i="2"/>
  <c r="E1138" i="2"/>
  <c r="O1137" i="2"/>
  <c r="G1137" i="2"/>
  <c r="M1137" i="2"/>
  <c r="E1137" i="2"/>
  <c r="K1137" i="2"/>
  <c r="C1137" i="2"/>
  <c r="I1136" i="2"/>
  <c r="M1136" i="2"/>
  <c r="E1136" i="2"/>
  <c r="K1136" i="2"/>
  <c r="C1136" i="2"/>
  <c r="I1135" i="2"/>
  <c r="O1135" i="2"/>
  <c r="G1135" i="2"/>
  <c r="K1135" i="2"/>
  <c r="C1135" i="2"/>
  <c r="I1134" i="2"/>
  <c r="O1134" i="2"/>
  <c r="G1134" i="2"/>
  <c r="M1134" i="2"/>
  <c r="E1134" i="2"/>
  <c r="O1133" i="2"/>
  <c r="G1133" i="2"/>
  <c r="M1133" i="2"/>
  <c r="E1133" i="2"/>
  <c r="K1133" i="2"/>
  <c r="C1133" i="2"/>
  <c r="I1132" i="2"/>
  <c r="M1132" i="2"/>
  <c r="E1132" i="2"/>
  <c r="K1132" i="2"/>
  <c r="C1132" i="2"/>
  <c r="I1131" i="2"/>
  <c r="O1131" i="2"/>
  <c r="G1131" i="2"/>
  <c r="K1131" i="2"/>
  <c r="C1131" i="2"/>
  <c r="I1130" i="2"/>
  <c r="O1130" i="2"/>
  <c r="G1130" i="2"/>
  <c r="M1130" i="2"/>
  <c r="E1130" i="2"/>
  <c r="O1129" i="2"/>
  <c r="G1129" i="2"/>
  <c r="M1129" i="2"/>
  <c r="E1129" i="2"/>
  <c r="K1129" i="2"/>
  <c r="C1129" i="2"/>
  <c r="I1128" i="2"/>
  <c r="M1128" i="2"/>
  <c r="E1128" i="2"/>
  <c r="K1128" i="2"/>
  <c r="C1128" i="2"/>
  <c r="I1127" i="2"/>
  <c r="O1127" i="2"/>
  <c r="G1127" i="2"/>
  <c r="K1127" i="2"/>
  <c r="C1127" i="2"/>
  <c r="I1126" i="2"/>
  <c r="O1126" i="2"/>
  <c r="G1126" i="2"/>
  <c r="M1126" i="2"/>
  <c r="E1126" i="2"/>
  <c r="O1125" i="2"/>
  <c r="G1125" i="2"/>
  <c r="M1125" i="2"/>
  <c r="E1125" i="2"/>
  <c r="K1125" i="2"/>
  <c r="C1125" i="2"/>
  <c r="I1124" i="2"/>
  <c r="N1157" i="2"/>
  <c r="F1157" i="2"/>
  <c r="L1157" i="2"/>
  <c r="D1157" i="2"/>
  <c r="J1157" i="2"/>
  <c r="B1157" i="2"/>
  <c r="L1156" i="2"/>
  <c r="H1156" i="2"/>
  <c r="D1156" i="2"/>
  <c r="J1156" i="2"/>
  <c r="B1156" i="2"/>
  <c r="H1155" i="2"/>
  <c r="N1155" i="2"/>
  <c r="J1155" i="2"/>
  <c r="F1155" i="2"/>
  <c r="B1155" i="2"/>
  <c r="H1154" i="2"/>
  <c r="N1154" i="2"/>
  <c r="F1154" i="2"/>
  <c r="L1154" i="2"/>
  <c r="D1154" i="2"/>
  <c r="N1153" i="2"/>
  <c r="F1153" i="2"/>
  <c r="L1153" i="2"/>
  <c r="D1153" i="2"/>
  <c r="J1153" i="2"/>
  <c r="B1153" i="2"/>
  <c r="L1152" i="2"/>
  <c r="H1152" i="2"/>
  <c r="D1152" i="2"/>
  <c r="J1152" i="2"/>
  <c r="B1152" i="2"/>
  <c r="H1151" i="2"/>
  <c r="N1151" i="2"/>
  <c r="J1151" i="2"/>
  <c r="F1151" i="2"/>
  <c r="B1151" i="2"/>
  <c r="H1150" i="2"/>
  <c r="N1150" i="2"/>
  <c r="F1150" i="2"/>
  <c r="L1150" i="2"/>
  <c r="D1150" i="2"/>
  <c r="N1149" i="2"/>
  <c r="F1149" i="2"/>
  <c r="L1149" i="2"/>
  <c r="D1149" i="2"/>
  <c r="J1149" i="2"/>
  <c r="B1149" i="2"/>
  <c r="L1148" i="2"/>
  <c r="H1148" i="2"/>
  <c r="D1148" i="2"/>
  <c r="J1148" i="2"/>
  <c r="B1148" i="2"/>
  <c r="H1147" i="2"/>
  <c r="N1147" i="2"/>
  <c r="J1147" i="2"/>
  <c r="F1147" i="2"/>
  <c r="B1147" i="2"/>
  <c r="H1146" i="2"/>
  <c r="N1146" i="2"/>
  <c r="F1146" i="2"/>
  <c r="L1146" i="2"/>
  <c r="D1146" i="2"/>
  <c r="N1145" i="2"/>
  <c r="F1145" i="2"/>
  <c r="L1145" i="2"/>
  <c r="D1145" i="2"/>
  <c r="J1145" i="2"/>
  <c r="B1145" i="2"/>
  <c r="L1144" i="2"/>
  <c r="H1144" i="2"/>
  <c r="D1144" i="2"/>
  <c r="J1144" i="2"/>
  <c r="B1144" i="2"/>
  <c r="H1143" i="2"/>
  <c r="N1143" i="2"/>
  <c r="J1143" i="2"/>
  <c r="F1143" i="2"/>
  <c r="B1143" i="2"/>
  <c r="H1142" i="2"/>
  <c r="N1142" i="2"/>
  <c r="F1142" i="2"/>
  <c r="L1142" i="2"/>
  <c r="D1142" i="2"/>
  <c r="N1141" i="2"/>
  <c r="F1141" i="2"/>
  <c r="L1141" i="2"/>
  <c r="D1141" i="2"/>
  <c r="J1141" i="2"/>
  <c r="B1141" i="2"/>
  <c r="L1140" i="2"/>
  <c r="H1140" i="2"/>
  <c r="D1140" i="2"/>
  <c r="J1140" i="2"/>
  <c r="B1140" i="2"/>
  <c r="H1139" i="2"/>
  <c r="N1139" i="2"/>
  <c r="J1139" i="2"/>
  <c r="F1139" i="2"/>
  <c r="B1139" i="2"/>
  <c r="H1138" i="2"/>
  <c r="N1138" i="2"/>
  <c r="F1138" i="2"/>
  <c r="L1138" i="2"/>
  <c r="D1138" i="2"/>
  <c r="N1137" i="2"/>
  <c r="F1137" i="2"/>
  <c r="L1137" i="2"/>
  <c r="D1137" i="2"/>
  <c r="J1137" i="2"/>
  <c r="B1137" i="2"/>
  <c r="L1136" i="2"/>
  <c r="H1136" i="2"/>
  <c r="D1136" i="2"/>
  <c r="J1136" i="2"/>
  <c r="B1136" i="2"/>
  <c r="H1135" i="2"/>
  <c r="N1135" i="2"/>
  <c r="J1135" i="2"/>
  <c r="F1135" i="2"/>
  <c r="B1135" i="2"/>
  <c r="H1134" i="2"/>
  <c r="N1134" i="2"/>
  <c r="F1134" i="2"/>
  <c r="L1134" i="2"/>
  <c r="D1134" i="2"/>
  <c r="N1133" i="2"/>
  <c r="F1133" i="2"/>
  <c r="L1133" i="2"/>
  <c r="D1133" i="2"/>
  <c r="J1133" i="2"/>
  <c r="B1133" i="2"/>
  <c r="L1132" i="2"/>
  <c r="H1132" i="2"/>
  <c r="D1132" i="2"/>
  <c r="J1132" i="2"/>
  <c r="B1132" i="2"/>
  <c r="H1131" i="2"/>
  <c r="N1131" i="2"/>
  <c r="J1131" i="2"/>
  <c r="F1131" i="2"/>
  <c r="B1131" i="2"/>
  <c r="H1130" i="2"/>
  <c r="N1130" i="2"/>
  <c r="F1130" i="2"/>
  <c r="L1130" i="2"/>
  <c r="D1130" i="2"/>
  <c r="N1129" i="2"/>
  <c r="F1129" i="2"/>
  <c r="L1129" i="2"/>
  <c r="D1129" i="2"/>
  <c r="J1129" i="2"/>
  <c r="B1129" i="2"/>
  <c r="L1128" i="2"/>
  <c r="H1128" i="2"/>
  <c r="D1128" i="2"/>
  <c r="J1128" i="2"/>
  <c r="B1128" i="2"/>
  <c r="H1127" i="2"/>
  <c r="N1127" i="2"/>
  <c r="J1127" i="2"/>
  <c r="F1127" i="2"/>
  <c r="B1127" i="2"/>
  <c r="H1126" i="2"/>
  <c r="N1126" i="2"/>
  <c r="F1126" i="2"/>
  <c r="L1126" i="2"/>
  <c r="D1126" i="2"/>
  <c r="N1125" i="2"/>
  <c r="F1125" i="2"/>
  <c r="L1125" i="2"/>
  <c r="D1125" i="2"/>
  <c r="J1125" i="2"/>
  <c r="B1125" i="2"/>
  <c r="M1124" i="2"/>
  <c r="E1124" i="2"/>
  <c r="K1124" i="2"/>
  <c r="C1124" i="2"/>
  <c r="I1123" i="2"/>
  <c r="O1123" i="2"/>
  <c r="G1123" i="2"/>
  <c r="K1123" i="2"/>
  <c r="C1123" i="2"/>
  <c r="I1122" i="2"/>
  <c r="O1122" i="2"/>
  <c r="G1122" i="2"/>
  <c r="M1122" i="2"/>
  <c r="E1122" i="2"/>
  <c r="O1121" i="2"/>
  <c r="G1121" i="2"/>
  <c r="M1121" i="2"/>
  <c r="E1121" i="2"/>
  <c r="K1121" i="2"/>
  <c r="C1121" i="2"/>
  <c r="I1120" i="2"/>
  <c r="M1120" i="2"/>
  <c r="E1120" i="2"/>
  <c r="K1120" i="2"/>
  <c r="C1120" i="2"/>
  <c r="I1119" i="2"/>
  <c r="O1119" i="2"/>
  <c r="G1119" i="2"/>
  <c r="K1119" i="2"/>
  <c r="C1119" i="2"/>
  <c r="I1118" i="2"/>
  <c r="O1118" i="2"/>
  <c r="G1118" i="2"/>
  <c r="M1118" i="2"/>
  <c r="E1118" i="2"/>
  <c r="O1117" i="2"/>
  <c r="G1117" i="2"/>
  <c r="M1117" i="2"/>
  <c r="E1117" i="2"/>
  <c r="K1117" i="2"/>
  <c r="C1117" i="2"/>
  <c r="I1116" i="2"/>
  <c r="M1116" i="2"/>
  <c r="E1116" i="2"/>
  <c r="K1116" i="2"/>
  <c r="C1116" i="2"/>
  <c r="I1115" i="2"/>
  <c r="O1115" i="2"/>
  <c r="G1115" i="2"/>
  <c r="K1115" i="2"/>
  <c r="C1115" i="2"/>
  <c r="I1114" i="2"/>
  <c r="O1114" i="2"/>
  <c r="G1114" i="2"/>
  <c r="M1114" i="2"/>
  <c r="E1114" i="2"/>
  <c r="I1112" i="2"/>
  <c r="M1112" i="2"/>
  <c r="E1112" i="2"/>
  <c r="K1112" i="2"/>
  <c r="C1112" i="2"/>
  <c r="I1111" i="2"/>
  <c r="O1111" i="2"/>
  <c r="G1111" i="2"/>
  <c r="K1111" i="2"/>
  <c r="C1111" i="2"/>
  <c r="I1110" i="2"/>
  <c r="O1110" i="2"/>
  <c r="G1110" i="2"/>
  <c r="M1110" i="2"/>
  <c r="E1110" i="2"/>
  <c r="O1109" i="2"/>
  <c r="G1109" i="2"/>
  <c r="M1109" i="2"/>
  <c r="E1109" i="2"/>
  <c r="K1109" i="2"/>
  <c r="C1109" i="2"/>
  <c r="I1108" i="2"/>
  <c r="M1108" i="2"/>
  <c r="E1108" i="2"/>
  <c r="K1108" i="2"/>
  <c r="C1108" i="2"/>
  <c r="I1107" i="2"/>
  <c r="O1107" i="2"/>
  <c r="G1107" i="2"/>
  <c r="L1124" i="2"/>
  <c r="H1124" i="2"/>
  <c r="D1124" i="2"/>
  <c r="J1124" i="2"/>
  <c r="B1124" i="2"/>
  <c r="H1123" i="2"/>
  <c r="N1123" i="2"/>
  <c r="J1123" i="2"/>
  <c r="F1123" i="2"/>
  <c r="B1123" i="2"/>
  <c r="H1122" i="2"/>
  <c r="N1122" i="2"/>
  <c r="F1122" i="2"/>
  <c r="L1122" i="2"/>
  <c r="D1122" i="2"/>
  <c r="N1121" i="2"/>
  <c r="F1121" i="2"/>
  <c r="L1121" i="2"/>
  <c r="D1121" i="2"/>
  <c r="J1121" i="2"/>
  <c r="B1121" i="2"/>
  <c r="L1120" i="2"/>
  <c r="H1120" i="2"/>
  <c r="D1120" i="2"/>
  <c r="J1120" i="2"/>
  <c r="B1120" i="2"/>
  <c r="H1119" i="2"/>
  <c r="N1119" i="2"/>
  <c r="J1119" i="2"/>
  <c r="F1119" i="2"/>
  <c r="B1119" i="2"/>
  <c r="H1118" i="2"/>
  <c r="N1118" i="2"/>
  <c r="F1118" i="2"/>
  <c r="L1118" i="2"/>
  <c r="D1118" i="2"/>
  <c r="N1117" i="2"/>
  <c r="F1117" i="2"/>
  <c r="L1117" i="2"/>
  <c r="D1117" i="2"/>
  <c r="J1117" i="2"/>
  <c r="B1117" i="2"/>
  <c r="L1116" i="2"/>
  <c r="H1116" i="2"/>
  <c r="D1116" i="2"/>
  <c r="J1116" i="2"/>
  <c r="B1116" i="2"/>
  <c r="H1115" i="2"/>
  <c r="N1115" i="2"/>
  <c r="J1115" i="2"/>
  <c r="F1115" i="2"/>
  <c r="B1115" i="2"/>
  <c r="H1114" i="2"/>
  <c r="N1114" i="2"/>
  <c r="F1114" i="2"/>
  <c r="L1114" i="2"/>
  <c r="D1114" i="2"/>
  <c r="L1112" i="2"/>
  <c r="H1112" i="2"/>
  <c r="D1112" i="2"/>
  <c r="J1112" i="2"/>
  <c r="B1112" i="2"/>
  <c r="H1111" i="2"/>
  <c r="N1111" i="2"/>
  <c r="J1111" i="2"/>
  <c r="F1111" i="2"/>
  <c r="B1111" i="2"/>
  <c r="H1110" i="2"/>
  <c r="N1110" i="2"/>
  <c r="F1110" i="2"/>
  <c r="L1110" i="2"/>
  <c r="D1110" i="2"/>
  <c r="N1109" i="2"/>
  <c r="F1109" i="2"/>
  <c r="L1109" i="2"/>
  <c r="D1109" i="2"/>
  <c r="J1109" i="2"/>
  <c r="B1109" i="2"/>
  <c r="L1108" i="2"/>
  <c r="H1108" i="2"/>
  <c r="D1108" i="2"/>
  <c r="J1108" i="2"/>
  <c r="B1108" i="2"/>
  <c r="H1107" i="2"/>
  <c r="N1107" i="2"/>
  <c r="H1116" i="3"/>
  <c r="F1116" i="3"/>
  <c r="B1115" i="3"/>
  <c r="F1113" i="3"/>
  <c r="J1111" i="3"/>
  <c r="B1110" i="3"/>
  <c r="H1108" i="3"/>
  <c r="F1108" i="3"/>
  <c r="B1107" i="3"/>
  <c r="F1105" i="3"/>
  <c r="J1103" i="3"/>
  <c r="B1102" i="3"/>
  <c r="H1100" i="3"/>
  <c r="F1100" i="3"/>
  <c r="B1099" i="3"/>
  <c r="F1097" i="3"/>
  <c r="J1095" i="3"/>
  <c r="B1094" i="3"/>
  <c r="H1092" i="3"/>
  <c r="F1092" i="3"/>
  <c r="H1090" i="3"/>
  <c r="J1090" i="3"/>
  <c r="B1089" i="3"/>
  <c r="J1088" i="3"/>
  <c r="B1087" i="3"/>
  <c r="F1085" i="3"/>
  <c r="H1083" i="3"/>
  <c r="F1083" i="3"/>
  <c r="H1081" i="3"/>
  <c r="J1081" i="3"/>
  <c r="B1080" i="3"/>
  <c r="J1079" i="3"/>
  <c r="B1078" i="3"/>
  <c r="F1078" i="3"/>
  <c r="H1076" i="3"/>
  <c r="F1076" i="3"/>
  <c r="H1074" i="3"/>
  <c r="J1074" i="3"/>
  <c r="B1073" i="3"/>
  <c r="J1072" i="3"/>
  <c r="B1071" i="3"/>
  <c r="E1117" i="4"/>
  <c r="D1117" i="4"/>
  <c r="D1113" i="4"/>
  <c r="E1112" i="4"/>
  <c r="H1109" i="4"/>
  <c r="B1107" i="4"/>
  <c r="G1104" i="4"/>
  <c r="D1103" i="4"/>
  <c r="B1102" i="4"/>
  <c r="H1100" i="4"/>
  <c r="G1099" i="4"/>
  <c r="D1099" i="4"/>
  <c r="H1096" i="4"/>
  <c r="D1095" i="4"/>
  <c r="F1094" i="4"/>
  <c r="D1093" i="4"/>
  <c r="G1092" i="4"/>
  <c r="I1089" i="4"/>
  <c r="H1088" i="4"/>
  <c r="D1086" i="4"/>
  <c r="D1085" i="4"/>
  <c r="H1082" i="4"/>
  <c r="C1079" i="4"/>
  <c r="G1075" i="4"/>
  <c r="B1072" i="4"/>
  <c r="H1072" i="4"/>
  <c r="C1069" i="4"/>
  <c r="AC1064" i="5"/>
  <c r="AC1057" i="5"/>
  <c r="AC1048" i="5"/>
  <c r="AB1048" i="5"/>
  <c r="K1069" i="3"/>
  <c r="C1117" i="4"/>
  <c r="B1116" i="4"/>
  <c r="E1116" i="4"/>
  <c r="I1115" i="4"/>
  <c r="I1114" i="4"/>
  <c r="F1114" i="4"/>
  <c r="E1113" i="4"/>
  <c r="F1113" i="4"/>
  <c r="H1113" i="4"/>
  <c r="B1112" i="4"/>
  <c r="B1111" i="4"/>
  <c r="I1110" i="4"/>
  <c r="E1109" i="4"/>
  <c r="F1109" i="4"/>
  <c r="B1108" i="4"/>
  <c r="E1108" i="4"/>
  <c r="F1108" i="4"/>
  <c r="G1108" i="4"/>
  <c r="B1106" i="4"/>
  <c r="F1105" i="4"/>
  <c r="H1105" i="4"/>
  <c r="E1104" i="4"/>
  <c r="F1104" i="4"/>
  <c r="G1103" i="4"/>
  <c r="B1103" i="4"/>
  <c r="H1101" i="4"/>
  <c r="F1100" i="4"/>
  <c r="G1100" i="4"/>
  <c r="B1099" i="4"/>
  <c r="B1098" i="4"/>
  <c r="C1098" i="4"/>
  <c r="D1098" i="4"/>
  <c r="G1096" i="4"/>
  <c r="G1095" i="4"/>
  <c r="H1095" i="4"/>
  <c r="I1095" i="4"/>
  <c r="B1094" i="4"/>
  <c r="C1094" i="4"/>
  <c r="D1094" i="4"/>
  <c r="C1093" i="4"/>
  <c r="E1091" i="4"/>
  <c r="F1091" i="4"/>
  <c r="G1091" i="4"/>
  <c r="H1091" i="4"/>
  <c r="C1090" i="4"/>
  <c r="F1090" i="4"/>
  <c r="I1088" i="4"/>
  <c r="B1088" i="4"/>
  <c r="C1088" i="4"/>
  <c r="B1087" i="4"/>
  <c r="C1085" i="4"/>
  <c r="F1084" i="4"/>
  <c r="G1084" i="4"/>
  <c r="E1083" i="4"/>
  <c r="F1083" i="4"/>
  <c r="G1081" i="4"/>
  <c r="H1081" i="4"/>
  <c r="B1081" i="4"/>
  <c r="I1079" i="4"/>
  <c r="B1078" i="4"/>
  <c r="C1078" i="4"/>
  <c r="E1077" i="4"/>
  <c r="F1077" i="4"/>
  <c r="D1076" i="4"/>
  <c r="E1076" i="4"/>
  <c r="F1074" i="4"/>
  <c r="G1074" i="4"/>
  <c r="I1073" i="4"/>
  <c r="I1072" i="4"/>
  <c r="B1071" i="4"/>
  <c r="D1070" i="4"/>
  <c r="E1070" i="4"/>
  <c r="AC1061" i="5"/>
  <c r="AB1061" i="5"/>
  <c r="AC1054" i="5"/>
  <c r="K1107" i="2"/>
  <c r="C1107" i="2"/>
  <c r="I1106" i="2"/>
  <c r="O1106" i="2"/>
  <c r="G1106" i="2"/>
  <c r="M1106" i="2"/>
  <c r="E1106" i="2"/>
  <c r="I1105" i="2"/>
  <c r="O1105" i="2"/>
  <c r="K1105" i="2"/>
  <c r="C1105" i="2"/>
  <c r="O1104" i="2"/>
  <c r="G1104" i="2"/>
  <c r="M1104" i="2"/>
  <c r="E1104" i="2"/>
  <c r="O1103" i="2"/>
  <c r="G1103" i="2"/>
  <c r="E1103" i="2"/>
  <c r="K1103" i="2"/>
  <c r="I1102" i="2"/>
  <c r="M1102" i="2"/>
  <c r="K1102" i="2"/>
  <c r="C1102" i="2"/>
  <c r="O1101" i="2"/>
  <c r="G1101" i="2"/>
  <c r="K1101" i="2"/>
  <c r="C1101" i="2"/>
  <c r="I1100" i="2"/>
  <c r="O1100" i="2"/>
  <c r="G1100" i="2"/>
  <c r="E1100" i="2"/>
  <c r="G1099" i="2"/>
  <c r="M1099" i="2"/>
  <c r="K1099" i="2"/>
  <c r="C1099" i="2"/>
  <c r="M1098" i="2"/>
  <c r="E1098" i="2"/>
  <c r="K1098" i="2"/>
  <c r="C1098" i="2"/>
  <c r="I1097" i="2"/>
  <c r="O1097" i="2"/>
  <c r="G1097" i="2"/>
  <c r="C1097" i="2"/>
  <c r="I1096" i="2"/>
  <c r="G1096" i="2"/>
  <c r="M1096" i="2"/>
  <c r="O1095" i="2"/>
  <c r="M1095" i="2"/>
  <c r="E1095" i="2"/>
  <c r="K1095" i="2"/>
  <c r="C1095" i="2"/>
  <c r="I1094" i="2"/>
  <c r="M1094" i="2"/>
  <c r="E1094" i="2"/>
  <c r="C1094" i="2"/>
  <c r="I1093" i="2"/>
  <c r="G1093" i="2"/>
  <c r="K1093" i="2"/>
  <c r="I1092" i="2"/>
  <c r="O1092" i="2"/>
  <c r="M1092" i="2"/>
  <c r="E1092" i="2"/>
  <c r="O1091" i="2"/>
  <c r="G1091" i="2"/>
  <c r="M1091" i="2"/>
  <c r="E1091" i="2"/>
  <c r="C1091" i="2"/>
  <c r="I1090" i="2"/>
  <c r="E1090" i="2"/>
  <c r="K1090" i="2"/>
  <c r="I1089" i="2"/>
  <c r="O1089" i="2"/>
  <c r="K1089" i="2"/>
  <c r="C1089" i="2"/>
  <c r="O1088" i="2"/>
  <c r="G1088" i="2"/>
  <c r="M1088" i="2"/>
  <c r="E1088" i="2"/>
  <c r="O1087" i="2"/>
  <c r="G1087" i="2"/>
  <c r="E1087" i="2"/>
  <c r="K1087" i="2"/>
  <c r="I1086" i="2"/>
  <c r="M1086" i="2"/>
  <c r="K1086" i="2"/>
  <c r="C1086" i="2"/>
  <c r="O1085" i="2"/>
  <c r="G1085" i="2"/>
  <c r="K1085" i="2"/>
  <c r="C1085" i="2"/>
  <c r="I1084" i="2"/>
  <c r="O1084" i="2"/>
  <c r="G1084" i="2"/>
  <c r="E1084" i="2"/>
  <c r="G1083" i="2"/>
  <c r="M1083" i="2"/>
  <c r="K1083" i="2"/>
  <c r="C1083" i="2"/>
  <c r="M1082" i="2"/>
  <c r="E1082" i="2"/>
  <c r="K1082" i="2"/>
  <c r="C1082" i="2"/>
  <c r="I1081" i="2"/>
  <c r="O1081" i="2"/>
  <c r="G1081" i="2"/>
  <c r="C1081" i="2"/>
  <c r="I1080" i="2"/>
  <c r="G1080" i="2"/>
  <c r="M1080" i="2"/>
  <c r="O1079" i="2"/>
  <c r="M1079" i="2"/>
  <c r="E1079" i="2"/>
  <c r="K1079" i="2"/>
  <c r="C1079" i="2"/>
  <c r="I1078" i="2"/>
  <c r="M1078" i="2"/>
  <c r="E1078" i="2"/>
  <c r="C1078" i="2"/>
  <c r="I1077" i="2"/>
  <c r="G1077" i="2"/>
  <c r="K1077" i="2"/>
  <c r="I1076" i="2"/>
  <c r="O1076" i="2"/>
  <c r="M1076" i="2"/>
  <c r="E1076" i="2"/>
  <c r="O1075" i="2"/>
  <c r="G1075" i="2"/>
  <c r="M1075" i="2"/>
  <c r="E1075" i="2"/>
  <c r="C1075" i="2"/>
  <c r="I1074" i="2"/>
  <c r="E1074" i="2"/>
  <c r="K1074" i="2"/>
  <c r="I1073" i="2"/>
  <c r="O1073" i="2"/>
  <c r="K1073" i="2"/>
  <c r="C1073" i="2"/>
  <c r="O1072" i="2"/>
  <c r="G1072" i="2"/>
  <c r="M1072" i="2"/>
  <c r="E1072" i="2"/>
  <c r="O1113" i="2"/>
  <c r="G1113" i="2"/>
  <c r="M1113" i="2"/>
  <c r="E1113" i="2"/>
  <c r="K1113" i="2"/>
  <c r="C1113" i="2"/>
  <c r="O1071" i="2"/>
  <c r="G1071" i="2"/>
  <c r="E1071" i="2"/>
  <c r="K1071" i="2"/>
  <c r="J1114" i="3"/>
  <c r="H1114" i="3"/>
  <c r="H1111" i="3"/>
  <c r="H1110" i="3"/>
  <c r="J1106" i="3"/>
  <c r="H1106" i="3"/>
  <c r="H1103" i="3"/>
  <c r="H1102" i="3"/>
  <c r="J1098" i="3"/>
  <c r="H1098" i="3"/>
  <c r="H1095" i="3"/>
  <c r="H1094" i="3"/>
  <c r="AB1067" i="5"/>
  <c r="AB1058" i="5"/>
  <c r="AB1056" i="5"/>
  <c r="AB1055" i="5"/>
  <c r="AC1050" i="5"/>
  <c r="J1107" i="2"/>
  <c r="F1107" i="2"/>
  <c r="B1107" i="2"/>
  <c r="H1106" i="2"/>
  <c r="N1106" i="2"/>
  <c r="F1106" i="2"/>
  <c r="L1106" i="2"/>
  <c r="D1106" i="2"/>
  <c r="N1105" i="2"/>
  <c r="H1105" i="2"/>
  <c r="J1105" i="2"/>
  <c r="B1105" i="2"/>
  <c r="N1104" i="2"/>
  <c r="F1104" i="2"/>
  <c r="L1104" i="2"/>
  <c r="D1104" i="2"/>
  <c r="F1103" i="2"/>
  <c r="D1103" i="2"/>
  <c r="N1103" i="2"/>
  <c r="J1103" i="2"/>
  <c r="L1102" i="2"/>
  <c r="H1102" i="2"/>
  <c r="J1102" i="2"/>
  <c r="B1102" i="2"/>
  <c r="N1101" i="2"/>
  <c r="F1101" i="2"/>
  <c r="J1101" i="2"/>
  <c r="B1101" i="2"/>
  <c r="H1100" i="2"/>
  <c r="N1100" i="2"/>
  <c r="F1100" i="2"/>
  <c r="D1100" i="2"/>
  <c r="F1099" i="2"/>
  <c r="L1099" i="2"/>
  <c r="J1099" i="2"/>
  <c r="B1099" i="2"/>
  <c r="L1098" i="2"/>
  <c r="D1098" i="2"/>
  <c r="J1098" i="2"/>
  <c r="B1098" i="2"/>
  <c r="H1097" i="2"/>
  <c r="N1097" i="2"/>
  <c r="F1097" i="2"/>
  <c r="B1097" i="2"/>
  <c r="H1096" i="2"/>
  <c r="F1096" i="2"/>
  <c r="L1096" i="2"/>
  <c r="N1095" i="2"/>
  <c r="L1095" i="2"/>
  <c r="D1095" i="2"/>
  <c r="J1095" i="2"/>
  <c r="B1095" i="2"/>
  <c r="H1094" i="2"/>
  <c r="L1094" i="2"/>
  <c r="D1094" i="2"/>
  <c r="B1094" i="2"/>
  <c r="H1093" i="2"/>
  <c r="F1093" i="2"/>
  <c r="J1093" i="2"/>
  <c r="H1092" i="2"/>
  <c r="N1092" i="2"/>
  <c r="L1092" i="2"/>
  <c r="D1092" i="2"/>
  <c r="N1091" i="2"/>
  <c r="F1091" i="2"/>
  <c r="L1091" i="2"/>
  <c r="D1091" i="2"/>
  <c r="B1091" i="2"/>
  <c r="H1090" i="2"/>
  <c r="D1090" i="2"/>
  <c r="J1090" i="2"/>
  <c r="H1089" i="2"/>
  <c r="N1089" i="2"/>
  <c r="J1089" i="2"/>
  <c r="B1089" i="2"/>
  <c r="N1088" i="2"/>
  <c r="F1088" i="2"/>
  <c r="L1088" i="2"/>
  <c r="D1088" i="2"/>
  <c r="N1087" i="2"/>
  <c r="F1087" i="2"/>
  <c r="D1087" i="2"/>
  <c r="J1087" i="2"/>
  <c r="H1086" i="2"/>
  <c r="L1086" i="2"/>
  <c r="J1086" i="2"/>
  <c r="B1086" i="2"/>
  <c r="N1085" i="2"/>
  <c r="F1085" i="2"/>
  <c r="J1085" i="2"/>
  <c r="B1085" i="2"/>
  <c r="H1084" i="2"/>
  <c r="N1084" i="2"/>
  <c r="F1084" i="2"/>
  <c r="D1084" i="2"/>
  <c r="F1083" i="2"/>
  <c r="L1083" i="2"/>
  <c r="J1083" i="2"/>
  <c r="B1083" i="2"/>
  <c r="L1082" i="2"/>
  <c r="D1082" i="2"/>
  <c r="J1082" i="2"/>
  <c r="B1082" i="2"/>
  <c r="H1081" i="2"/>
  <c r="N1081" i="2"/>
  <c r="F1081" i="2"/>
  <c r="B1081" i="2"/>
  <c r="H1080" i="2"/>
  <c r="F1080" i="2"/>
  <c r="L1080" i="2"/>
  <c r="N1079" i="2"/>
  <c r="L1079" i="2"/>
  <c r="D1079" i="2"/>
  <c r="J1079" i="2"/>
  <c r="B1079" i="2"/>
  <c r="H1078" i="2"/>
  <c r="L1078" i="2"/>
  <c r="D1078" i="2"/>
  <c r="B1078" i="2"/>
  <c r="H1077" i="2"/>
  <c r="F1077" i="2"/>
  <c r="J1077" i="2"/>
  <c r="H1076" i="2"/>
  <c r="N1076" i="2"/>
  <c r="L1076" i="2"/>
  <c r="D1076" i="2"/>
  <c r="N1075" i="2"/>
  <c r="F1075" i="2"/>
  <c r="L1075" i="2"/>
  <c r="D1075" i="2"/>
  <c r="B1075" i="2"/>
  <c r="H1074" i="2"/>
  <c r="D1074" i="2"/>
  <c r="J1074" i="2"/>
  <c r="H1073" i="2"/>
  <c r="N1073" i="2"/>
  <c r="J1073" i="2"/>
  <c r="B1073" i="2"/>
  <c r="N1072" i="2"/>
  <c r="F1072" i="2"/>
  <c r="L1072" i="2"/>
  <c r="D1072" i="2"/>
  <c r="N1113" i="2"/>
  <c r="F1113" i="2"/>
  <c r="L1113" i="2"/>
  <c r="D1113" i="2"/>
  <c r="J1113" i="2"/>
  <c r="B1113" i="2"/>
  <c r="N1071" i="2"/>
  <c r="F1071" i="2"/>
  <c r="D1071" i="2"/>
  <c r="J1071" i="2"/>
  <c r="G1115" i="3"/>
  <c r="C1113" i="3"/>
  <c r="G1111" i="3"/>
  <c r="G1107" i="3"/>
  <c r="C1105" i="3"/>
  <c r="G1103" i="3"/>
  <c r="G1099" i="3"/>
  <c r="C1097" i="3"/>
  <c r="G1095" i="3"/>
  <c r="E1092" i="3"/>
  <c r="AB1047" i="5"/>
  <c r="AB1045" i="5"/>
  <c r="AB1044" i="5"/>
  <c r="AC1042" i="5"/>
  <c r="AB1038" i="5"/>
  <c r="AC1035" i="5"/>
  <c r="AC1030" i="5"/>
  <c r="AC1022" i="5"/>
  <c r="AC1002" i="5"/>
  <c r="AC988" i="5"/>
  <c r="AB988" i="5"/>
  <c r="AB977" i="5"/>
  <c r="AC963" i="5"/>
  <c r="AC959" i="5"/>
  <c r="AC944" i="5"/>
  <c r="AC938" i="5"/>
  <c r="AB938" i="5"/>
  <c r="AC922" i="5"/>
  <c r="AC919" i="5"/>
  <c r="AC918" i="5"/>
  <c r="AB908" i="5"/>
  <c r="AC898" i="5"/>
  <c r="AB898" i="5"/>
  <c r="AC885" i="5"/>
  <c r="AB885" i="5"/>
  <c r="AB876" i="5"/>
  <c r="AC866" i="5"/>
  <c r="AB866" i="5"/>
  <c r="AB828" i="5"/>
  <c r="AB825" i="5"/>
  <c r="AC805" i="5"/>
  <c r="AB805" i="5"/>
  <c r="AC803" i="5"/>
  <c r="AC796" i="5"/>
  <c r="AB796" i="5"/>
  <c r="AB793" i="5"/>
  <c r="AB786" i="5"/>
  <c r="AC779" i="5"/>
  <c r="AC775" i="5"/>
  <c r="AC774" i="5"/>
  <c r="AC759" i="5"/>
  <c r="AC758" i="5"/>
  <c r="AC748" i="5"/>
  <c r="AB748" i="5"/>
  <c r="AC746" i="5"/>
  <c r="AB746" i="5"/>
  <c r="AC739" i="5"/>
  <c r="AC735" i="5"/>
  <c r="AC724" i="5"/>
  <c r="AB724" i="5"/>
  <c r="AC722" i="5"/>
  <c r="AB722" i="5"/>
  <c r="AC715" i="5"/>
  <c r="AB684" i="5"/>
  <c r="AB1040" i="5"/>
  <c r="AB1033" i="5"/>
  <c r="AB1023" i="5"/>
  <c r="AB1013" i="5"/>
  <c r="AB1005" i="5"/>
  <c r="AB998" i="5"/>
  <c r="AB996" i="5"/>
  <c r="AB981" i="5"/>
  <c r="AB956" i="5"/>
  <c r="AB953" i="5"/>
  <c r="AB880" i="5"/>
  <c r="AB772" i="5"/>
  <c r="AC765" i="5"/>
  <c r="AB765" i="5"/>
  <c r="AC763" i="5"/>
  <c r="AC760" i="5"/>
  <c r="AB758" i="5"/>
  <c r="AC754" i="5"/>
  <c r="AB754" i="5"/>
  <c r="AB730" i="5"/>
  <c r="AC719" i="5"/>
  <c r="AC718" i="5"/>
  <c r="AC708" i="5"/>
  <c r="AB708" i="5"/>
  <c r="AC706" i="5"/>
  <c r="AB706" i="5"/>
  <c r="AC697" i="5"/>
  <c r="AB689" i="5"/>
  <c r="AB1042" i="5"/>
  <c r="AB1039" i="5"/>
  <c r="AC1028" i="5"/>
  <c r="AB1026" i="5"/>
  <c r="AC1023" i="5"/>
  <c r="AC1018" i="5"/>
  <c r="AC1015" i="5"/>
  <c r="AC1014" i="5"/>
  <c r="AC1010" i="5"/>
  <c r="AB1004" i="5"/>
  <c r="AB1001" i="5"/>
  <c r="AC989" i="5"/>
  <c r="AB989" i="5"/>
  <c r="AC983" i="5"/>
  <c r="AC982" i="5"/>
  <c r="AB972" i="5"/>
  <c r="AC962" i="5"/>
  <c r="AB962" i="5"/>
  <c r="AC949" i="5"/>
  <c r="AB949" i="5"/>
  <c r="AC939" i="5"/>
  <c r="AC924" i="5"/>
  <c r="AB924" i="5"/>
  <c r="AB921" i="5"/>
  <c r="AC901" i="5"/>
  <c r="AB901" i="5"/>
  <c r="AC899" i="5"/>
  <c r="AC895" i="5"/>
  <c r="AC888" i="5"/>
  <c r="AB886" i="5"/>
  <c r="AB881" i="5"/>
  <c r="AC867" i="5"/>
  <c r="AC863" i="5"/>
  <c r="AC856" i="5"/>
  <c r="AC848" i="5"/>
  <c r="AB842" i="5"/>
  <c r="AC826" i="5"/>
  <c r="AC823" i="5"/>
  <c r="AC822" i="5"/>
  <c r="AC818" i="5"/>
  <c r="AB812" i="5"/>
  <c r="AC802" i="5"/>
  <c r="AB802" i="5"/>
  <c r="AC791" i="5"/>
  <c r="AC790" i="5"/>
  <c r="AC784" i="5"/>
  <c r="AC778" i="5"/>
  <c r="AB778" i="5"/>
  <c r="AB742" i="5"/>
  <c r="AB718" i="5"/>
  <c r="AB716" i="5"/>
  <c r="AB714" i="5"/>
  <c r="AC702" i="5"/>
  <c r="AB697" i="5"/>
  <c r="AB1041" i="5"/>
  <c r="AC1040" i="5"/>
  <c r="AC1034" i="5"/>
  <c r="AB1034" i="5"/>
  <c r="AC1032" i="5"/>
  <c r="AB1032" i="5"/>
  <c r="AC1025" i="5"/>
  <c r="AB1024" i="5"/>
  <c r="AB1014" i="5"/>
  <c r="AC1008" i="5"/>
  <c r="AC997" i="5"/>
  <c r="AB997" i="5"/>
  <c r="AC984" i="5"/>
  <c r="AC976" i="5"/>
  <c r="AB976" i="5"/>
  <c r="AB970" i="5"/>
  <c r="AC954" i="5"/>
  <c r="AC951" i="5"/>
  <c r="AC950" i="5"/>
  <c r="AC946" i="5"/>
  <c r="AB940" i="5"/>
  <c r="AC930" i="5"/>
  <c r="AB930" i="5"/>
  <c r="AC917" i="5"/>
  <c r="AB917" i="5"/>
  <c r="AC892" i="5"/>
  <c r="AB892" i="5"/>
  <c r="AB889" i="5"/>
  <c r="AC875" i="5"/>
  <c r="AC860" i="5"/>
  <c r="AB860" i="5"/>
  <c r="AB857" i="5"/>
  <c r="AC835" i="5"/>
  <c r="AC831" i="5"/>
  <c r="AC824" i="5"/>
  <c r="AC816" i="5"/>
  <c r="AB816" i="5"/>
  <c r="AC810" i="5"/>
  <c r="AB810" i="5"/>
  <c r="AC799" i="5"/>
  <c r="AC792" i="5"/>
  <c r="AB790" i="5"/>
  <c r="AB785" i="5"/>
  <c r="AC773" i="5"/>
  <c r="AB773" i="5"/>
  <c r="AC768" i="5"/>
  <c r="AC764" i="5"/>
  <c r="AB764" i="5"/>
  <c r="AC762" i="5"/>
  <c r="AB762" i="5"/>
  <c r="AC757" i="5"/>
  <c r="AB757" i="5"/>
  <c r="AC731" i="5"/>
  <c r="AC727" i="5"/>
  <c r="AC704" i="5"/>
  <c r="AB698" i="5"/>
  <c r="AC698" i="5"/>
  <c r="AC685" i="5"/>
  <c r="AB685" i="5"/>
  <c r="AC680" i="5"/>
  <c r="AB678" i="5"/>
  <c r="AC674" i="5"/>
  <c r="AB674" i="5"/>
  <c r="AC669" i="5"/>
  <c r="AB669" i="5"/>
  <c r="AC667" i="5"/>
  <c r="AC663" i="5"/>
  <c r="AC645" i="5"/>
  <c r="AB645" i="5"/>
  <c r="AC640" i="5"/>
  <c r="AC636" i="5"/>
  <c r="AB636" i="5"/>
  <c r="AC634" i="5"/>
  <c r="AB634" i="5"/>
  <c r="AC629" i="5"/>
  <c r="AB629" i="5"/>
  <c r="AC608" i="5"/>
  <c r="AC586" i="5"/>
  <c r="AC577" i="5"/>
  <c r="AC573" i="5"/>
  <c r="AB573" i="5"/>
  <c r="AC564" i="5"/>
  <c r="AB564" i="5"/>
  <c r="AC562" i="5"/>
  <c r="X1114" i="5"/>
  <c r="P1114" i="5"/>
  <c r="H1114" i="5"/>
  <c r="AC544" i="5"/>
  <c r="AB542" i="5"/>
  <c r="AB540" i="5"/>
  <c r="W1111" i="5"/>
  <c r="O1111" i="5"/>
  <c r="G1111" i="5"/>
  <c r="AC513" i="5"/>
  <c r="AC509" i="5"/>
  <c r="AB509" i="5"/>
  <c r="AC498" i="5"/>
  <c r="AC491" i="5"/>
  <c r="AB484" i="5"/>
  <c r="AC482" i="5"/>
  <c r="AC477" i="5"/>
  <c r="AB477" i="5"/>
  <c r="AC468" i="5"/>
  <c r="AC466" i="5"/>
  <c r="AC459" i="5"/>
  <c r="AB452" i="5"/>
  <c r="AC450" i="5"/>
  <c r="AC446" i="5"/>
  <c r="AB434" i="5"/>
  <c r="AC431" i="5"/>
  <c r="AC425" i="5"/>
  <c r="AC414" i="5"/>
  <c r="AC409" i="5"/>
  <c r="AB402" i="5"/>
  <c r="AC399" i="5"/>
  <c r="AC393" i="5"/>
  <c r="AC382" i="5"/>
  <c r="AC377" i="5"/>
  <c r="AC693" i="5"/>
  <c r="AB693" i="5"/>
  <c r="AC671" i="5"/>
  <c r="AC670" i="5"/>
  <c r="AC660" i="5"/>
  <c r="AB660" i="5"/>
  <c r="AC658" i="5"/>
  <c r="AB658" i="5"/>
  <c r="AC651" i="5"/>
  <c r="AC647" i="5"/>
  <c r="AC646" i="5"/>
  <c r="AC631" i="5"/>
  <c r="AC630" i="5"/>
  <c r="AC620" i="5"/>
  <c r="AB620" i="5"/>
  <c r="AB618" i="5"/>
  <c r="AC611" i="5"/>
  <c r="AC599" i="5"/>
  <c r="AC593" i="5"/>
  <c r="AB586" i="5"/>
  <c r="AC584" i="5"/>
  <c r="T1117" i="5"/>
  <c r="L1117" i="5"/>
  <c r="AC578" i="5"/>
  <c r="AC575" i="5"/>
  <c r="AC574" i="5"/>
  <c r="AC569" i="5"/>
  <c r="AB562" i="5"/>
  <c r="AC559" i="5"/>
  <c r="AC553" i="5"/>
  <c r="AC547" i="5"/>
  <c r="AC535" i="5"/>
  <c r="AC534" i="5"/>
  <c r="AB522" i="5"/>
  <c r="AB518" i="5"/>
  <c r="AB498" i="5"/>
  <c r="AB466" i="5"/>
  <c r="AB444" i="5"/>
  <c r="AB437" i="5"/>
  <c r="AB412" i="5"/>
  <c r="AB405" i="5"/>
  <c r="AB380" i="5"/>
  <c r="AB373" i="5"/>
  <c r="AB670" i="5"/>
  <c r="AB644" i="5"/>
  <c r="AB637" i="5"/>
  <c r="AB605" i="5"/>
  <c r="AB596" i="5"/>
  <c r="V1115" i="5"/>
  <c r="AB541" i="5"/>
  <c r="AC530" i="5"/>
  <c r="AC523" i="5"/>
  <c r="AB510" i="5"/>
  <c r="AB508" i="5"/>
  <c r="AC506" i="5"/>
  <c r="AC501" i="5"/>
  <c r="AB501" i="5"/>
  <c r="AC492" i="5"/>
  <c r="AC490" i="5"/>
  <c r="AC483" i="5"/>
  <c r="AB476" i="5"/>
  <c r="AC474" i="5"/>
  <c r="AC469" i="5"/>
  <c r="AB469" i="5"/>
  <c r="AC460" i="5"/>
  <c r="AC458" i="5"/>
  <c r="AC451" i="5"/>
  <c r="AC439" i="5"/>
  <c r="AC438" i="5"/>
  <c r="AB426" i="5"/>
  <c r="AC417" i="5"/>
  <c r="AC406" i="5"/>
  <c r="AC401" i="5"/>
  <c r="AB394" i="5"/>
  <c r="AC385" i="5"/>
  <c r="AC374" i="5"/>
  <c r="AB369" i="5"/>
  <c r="AC701" i="5"/>
  <c r="AB701" i="5"/>
  <c r="AC696" i="5"/>
  <c r="AC690" i="5"/>
  <c r="AB690" i="5"/>
  <c r="AC659" i="5"/>
  <c r="AC656" i="5"/>
  <c r="AC652" i="5"/>
  <c r="AB652" i="5"/>
  <c r="AC650" i="5"/>
  <c r="AB650" i="5"/>
  <c r="AC638" i="5"/>
  <c r="AC616" i="5"/>
  <c r="AB614" i="5"/>
  <c r="AC610" i="5"/>
  <c r="AC606" i="5"/>
  <c r="AC601" i="5"/>
  <c r="AB594" i="5"/>
  <c r="AC591" i="5"/>
  <c r="AC585" i="5"/>
  <c r="AC567" i="5"/>
  <c r="AC566" i="5"/>
  <c r="Q1115" i="5"/>
  <c r="AC561" i="5"/>
  <c r="I1115" i="5"/>
  <c r="AB554" i="5"/>
  <c r="AC552" i="5"/>
  <c r="AB550" i="5"/>
  <c r="AC546" i="5"/>
  <c r="AC542" i="5"/>
  <c r="AC537" i="5"/>
  <c r="AB530" i="5"/>
  <c r="AC527" i="5"/>
  <c r="AC521" i="5"/>
  <c r="AC497" i="5"/>
  <c r="AB490" i="5"/>
  <c r="AC481" i="5"/>
  <c r="AC465" i="5"/>
  <c r="AB458" i="5"/>
  <c r="AC449" i="5"/>
  <c r="AC445" i="5"/>
  <c r="AB445" i="5"/>
  <c r="AC436" i="5"/>
  <c r="W1104" i="5"/>
  <c r="G1104" i="5"/>
  <c r="AB420" i="5"/>
  <c r="X1103" i="5"/>
  <c r="P1103" i="5"/>
  <c r="H1103" i="5"/>
  <c r="W1103" i="5"/>
  <c r="O1103" i="5"/>
  <c r="G1103" i="5"/>
  <c r="AC413" i="5"/>
  <c r="AB413" i="5"/>
  <c r="AC404" i="5"/>
  <c r="AC402" i="5"/>
  <c r="AC395" i="5"/>
  <c r="AB388" i="5"/>
  <c r="AC386" i="5"/>
  <c r="W1100" i="5"/>
  <c r="O1100" i="5"/>
  <c r="G1100" i="5"/>
  <c r="U1100" i="5"/>
  <c r="AC370" i="5"/>
  <c r="AC369" i="5"/>
  <c r="AB362" i="5"/>
  <c r="AC353" i="5"/>
  <c r="AC342" i="5"/>
  <c r="AC337" i="5"/>
  <c r="AC328" i="5"/>
  <c r="AC320" i="5"/>
  <c r="AC316" i="5"/>
  <c r="X1094" i="5"/>
  <c r="P1094" i="5"/>
  <c r="H1094" i="5"/>
  <c r="AC308" i="5"/>
  <c r="AB308" i="5"/>
  <c r="AC298" i="5"/>
  <c r="AC293" i="5"/>
  <c r="AB293" i="5"/>
  <c r="AC291" i="5"/>
  <c r="AC279" i="5"/>
  <c r="AC274" i="5"/>
  <c r="AC267" i="5"/>
  <c r="AC262" i="5"/>
  <c r="AB260" i="5"/>
  <c r="AC239" i="5"/>
  <c r="AB233" i="5"/>
  <c r="AB226" i="5"/>
  <c r="AC220" i="5"/>
  <c r="AB217" i="5"/>
  <c r="AC197" i="5"/>
  <c r="AB197" i="5"/>
  <c r="AC195" i="5"/>
  <c r="AB177" i="5"/>
  <c r="W1081" i="5"/>
  <c r="G1081" i="5"/>
  <c r="AB137" i="5"/>
  <c r="Q1078" i="5"/>
  <c r="I1078" i="5"/>
  <c r="AC101" i="5"/>
  <c r="AB101" i="5"/>
  <c r="AC99" i="5"/>
  <c r="AB73" i="5"/>
  <c r="AB58" i="5"/>
  <c r="AC56" i="5"/>
  <c r="AB56" i="5"/>
  <c r="AC50" i="5"/>
  <c r="AC48" i="5"/>
  <c r="AC45" i="5"/>
  <c r="Z1071" i="5"/>
  <c r="AC31" i="5"/>
  <c r="AB31" i="5"/>
  <c r="W1099" i="5"/>
  <c r="G1099" i="5"/>
  <c r="AB356" i="5"/>
  <c r="X1098" i="5"/>
  <c r="H1098" i="5"/>
  <c r="AB349" i="5"/>
  <c r="AB338" i="5"/>
  <c r="W1096" i="5"/>
  <c r="G1096" i="5"/>
  <c r="U1096" i="5"/>
  <c r="E1096" i="5"/>
  <c r="AB325" i="5"/>
  <c r="AB321" i="5"/>
  <c r="O1094" i="5"/>
  <c r="G1094" i="5"/>
  <c r="AB265" i="5"/>
  <c r="J1089" i="5"/>
  <c r="X1088" i="5"/>
  <c r="P1088" i="5"/>
  <c r="H1088" i="5"/>
  <c r="V1088" i="5"/>
  <c r="AC203" i="5"/>
  <c r="AC202" i="5"/>
  <c r="AC198" i="5"/>
  <c r="AB196" i="5"/>
  <c r="AC180" i="5"/>
  <c r="AB180" i="5"/>
  <c r="W1082" i="5"/>
  <c r="O1082" i="5"/>
  <c r="G1082" i="5"/>
  <c r="U1082" i="5"/>
  <c r="AC163" i="5"/>
  <c r="AC151" i="5"/>
  <c r="AC140" i="5"/>
  <c r="AB140" i="5"/>
  <c r="AC123" i="5"/>
  <c r="AC115" i="5"/>
  <c r="U1077" i="5"/>
  <c r="E1077" i="5"/>
  <c r="AB100" i="5"/>
  <c r="AC87" i="5"/>
  <c r="AB84" i="5"/>
  <c r="AB59" i="5"/>
  <c r="Q1072" i="5"/>
  <c r="H1072" i="5"/>
  <c r="R1072" i="5"/>
  <c r="I1072" i="5"/>
  <c r="AB30" i="5"/>
  <c r="AB370" i="5"/>
  <c r="AC367" i="5"/>
  <c r="AC361" i="5"/>
  <c r="AC350" i="5"/>
  <c r="AC345" i="5"/>
  <c r="AC335" i="5"/>
  <c r="AC326" i="5"/>
  <c r="AB324" i="5"/>
  <c r="AC307" i="5"/>
  <c r="AB297" i="5"/>
  <c r="AC290" i="5"/>
  <c r="AB290" i="5"/>
  <c r="AC284" i="5"/>
  <c r="AC282" i="5"/>
  <c r="AB282" i="5"/>
  <c r="AC276" i="5"/>
  <c r="X1091" i="5"/>
  <c r="P1091" i="5"/>
  <c r="V1091" i="5"/>
  <c r="W1088" i="5"/>
  <c r="O1088" i="5"/>
  <c r="G1088" i="5"/>
  <c r="AC229" i="5"/>
  <c r="AB229" i="5"/>
  <c r="AC227" i="5"/>
  <c r="AC211" i="5"/>
  <c r="AB201" i="5"/>
  <c r="AC188" i="5"/>
  <c r="AB186" i="5"/>
  <c r="AC173" i="5"/>
  <c r="AB173" i="5"/>
  <c r="AC171" i="5"/>
  <c r="AC166" i="5"/>
  <c r="AB164" i="5"/>
  <c r="Q1081" i="5"/>
  <c r="AC133" i="5"/>
  <c r="AB133" i="5"/>
  <c r="AC131" i="5"/>
  <c r="AC119" i="5"/>
  <c r="AC111" i="5"/>
  <c r="AC106" i="5"/>
  <c r="AB105" i="5"/>
  <c r="AC92" i="5"/>
  <c r="AB89" i="5"/>
  <c r="AB82" i="5"/>
  <c r="W1074" i="5"/>
  <c r="O1074" i="5"/>
  <c r="AC67" i="5"/>
  <c r="X1074" i="5"/>
  <c r="P1074" i="5"/>
  <c r="H1074" i="5"/>
  <c r="AC55" i="5"/>
  <c r="AB55" i="5"/>
  <c r="AC52" i="5"/>
  <c r="AB47" i="5"/>
  <c r="AB44" i="5"/>
  <c r="AC39" i="5"/>
  <c r="AB32" i="5"/>
  <c r="AB29" i="5"/>
  <c r="AC364" i="5"/>
  <c r="AC362" i="5"/>
  <c r="AC355" i="5"/>
  <c r="AB348" i="5"/>
  <c r="AC346" i="5"/>
  <c r="AC341" i="5"/>
  <c r="AB341" i="5"/>
  <c r="AC332" i="5"/>
  <c r="AB332" i="5"/>
  <c r="AB330" i="5"/>
  <c r="AC322" i="5"/>
  <c r="AB322" i="5"/>
  <c r="AC311" i="5"/>
  <c r="AB305" i="5"/>
  <c r="AC283" i="5"/>
  <c r="I1091" i="5"/>
  <c r="AC266" i="5"/>
  <c r="AC261" i="5"/>
  <c r="AB261" i="5"/>
  <c r="AC259" i="5"/>
  <c r="AC247" i="5"/>
  <c r="AC234" i="5"/>
  <c r="AC231" i="5"/>
  <c r="AC230" i="5"/>
  <c r="AB228" i="5"/>
  <c r="AC215" i="5"/>
  <c r="AB212" i="5"/>
  <c r="AC187" i="5"/>
  <c r="AC179" i="5"/>
  <c r="G1083" i="5"/>
  <c r="V1083" i="5"/>
  <c r="F1083" i="5"/>
  <c r="U1083" i="5"/>
  <c r="E1083" i="5"/>
  <c r="AC170" i="5"/>
  <c r="AB169" i="5"/>
  <c r="AB162" i="5"/>
  <c r="AB154" i="5"/>
  <c r="U1080" i="5"/>
  <c r="AC139" i="5"/>
  <c r="AC134" i="5"/>
  <c r="AB132" i="5"/>
  <c r="W1075" i="5"/>
  <c r="G1075" i="5"/>
  <c r="V1074" i="5"/>
  <c r="F1074" i="5"/>
  <c r="AC70" i="5"/>
  <c r="AB68" i="5"/>
  <c r="AB54" i="5"/>
  <c r="AC40" i="5"/>
  <c r="AB36" i="5"/>
  <c r="R1071" i="5"/>
  <c r="AB27" i="5"/>
  <c r="F1119" i="5"/>
  <c r="N1119" i="5"/>
  <c r="V1119" i="5"/>
  <c r="G1119" i="5"/>
  <c r="O1119" i="5"/>
  <c r="W1119" i="5"/>
  <c r="H1119" i="5"/>
  <c r="P1119" i="5"/>
  <c r="X1119" i="5"/>
  <c r="I1119" i="5"/>
  <c r="Q1119" i="5"/>
  <c r="C1119" i="5"/>
  <c r="S1119" i="5"/>
  <c r="D1119" i="5"/>
  <c r="T1119" i="5"/>
  <c r="E1119" i="5"/>
  <c r="U1119" i="5"/>
  <c r="J1119" i="5"/>
  <c r="L1119" i="5"/>
  <c r="M1119" i="5"/>
  <c r="K1119" i="5"/>
  <c r="R1119" i="5"/>
  <c r="B1119" i="5"/>
  <c r="A1120" i="5"/>
  <c r="F1118" i="3"/>
  <c r="G1118" i="3"/>
  <c r="H1118" i="3"/>
  <c r="I1118" i="3"/>
  <c r="K1118" i="3"/>
  <c r="A1119" i="3"/>
  <c r="B1118" i="3"/>
  <c r="C1118" i="3"/>
  <c r="J1118" i="3"/>
  <c r="E1118" i="3"/>
  <c r="E1118" i="4"/>
  <c r="G1118" i="4"/>
  <c r="H1118" i="4"/>
  <c r="A1119" i="4"/>
  <c r="B1118" i="4"/>
  <c r="C1118" i="4"/>
  <c r="D1118" i="4"/>
  <c r="F1118" i="4"/>
  <c r="I1118" i="4"/>
  <c r="J1118" i="4"/>
  <c r="K1104" i="2"/>
  <c r="K1100" i="2"/>
  <c r="C1092" i="2"/>
  <c r="C1088" i="2"/>
  <c r="C1084" i="2"/>
  <c r="C1076" i="2"/>
  <c r="C1072" i="2"/>
  <c r="H1112" i="4"/>
  <c r="D1111" i="4"/>
  <c r="H1102" i="4"/>
  <c r="D1101" i="4"/>
  <c r="H1090" i="4"/>
  <c r="D1089" i="4"/>
  <c r="H1086" i="4"/>
  <c r="H1078" i="4"/>
  <c r="D1073" i="4"/>
  <c r="H1070" i="4"/>
  <c r="H1103" i="6"/>
  <c r="L121" i="6"/>
  <c r="C1078" i="6"/>
  <c r="Q117" i="6"/>
  <c r="R1077" i="6"/>
  <c r="J1104" i="2"/>
  <c r="B1100" i="2"/>
  <c r="B1092" i="2"/>
  <c r="B1076" i="2"/>
  <c r="B1117" i="4"/>
  <c r="C1116" i="4"/>
  <c r="G1116" i="4"/>
  <c r="B1115" i="4"/>
  <c r="E1114" i="4"/>
  <c r="G1113" i="4"/>
  <c r="C1113" i="4"/>
  <c r="G1112" i="4"/>
  <c r="I1111" i="4"/>
  <c r="B1110" i="4"/>
  <c r="F1110" i="4"/>
  <c r="G1109" i="4"/>
  <c r="B1109" i="4"/>
  <c r="C1108" i="4"/>
  <c r="H1107" i="4"/>
  <c r="C1107" i="4"/>
  <c r="F1106" i="4"/>
  <c r="I1105" i="4"/>
  <c r="D1104" i="4"/>
  <c r="I1103" i="4"/>
  <c r="F1102" i="4"/>
  <c r="J1101" i="4"/>
  <c r="C1099" i="4"/>
  <c r="I1098" i="4"/>
  <c r="E1098" i="4"/>
  <c r="H1097" i="4"/>
  <c r="B1096" i="4"/>
  <c r="F1096" i="4"/>
  <c r="B1095" i="4"/>
  <c r="J1094" i="4"/>
  <c r="F1093" i="4"/>
  <c r="J1093" i="4"/>
  <c r="E1092" i="4"/>
  <c r="B1091" i="4"/>
  <c r="G1090" i="4"/>
  <c r="B1089" i="4"/>
  <c r="D1088" i="4"/>
  <c r="H1087" i="4"/>
  <c r="C1086" i="4"/>
  <c r="H1085" i="4"/>
  <c r="D1084" i="4"/>
  <c r="H1083" i="4"/>
  <c r="J1083" i="4"/>
  <c r="C1082" i="4"/>
  <c r="G1082" i="4"/>
  <c r="D1080" i="4"/>
  <c r="E1078" i="4"/>
  <c r="B1077" i="4"/>
  <c r="B1075" i="4"/>
  <c r="D1074" i="4"/>
  <c r="G1073" i="4"/>
  <c r="C1073" i="4"/>
  <c r="F1072" i="4"/>
  <c r="G1071" i="4"/>
  <c r="C1071" i="4"/>
  <c r="C1070" i="4"/>
  <c r="G1070" i="4"/>
  <c r="J1069" i="4"/>
  <c r="AB1035" i="5"/>
  <c r="AC1029" i="5"/>
  <c r="AC1019" i="5"/>
  <c r="L325" i="6"/>
  <c r="C1095" i="6"/>
  <c r="L322" i="6"/>
  <c r="C1094" i="6"/>
  <c r="S318" i="6"/>
  <c r="S1094" i="6" s="1"/>
  <c r="Q1094" i="6"/>
  <c r="S301" i="6"/>
  <c r="S1093" i="6" s="1"/>
  <c r="Q1093" i="6"/>
  <c r="Q234" i="6"/>
  <c r="R1087" i="6"/>
  <c r="L196" i="6"/>
  <c r="H1084" i="6"/>
  <c r="L135" i="6"/>
  <c r="C1079" i="6"/>
  <c r="L119" i="6"/>
  <c r="F1077" i="6"/>
  <c r="AC1051" i="5"/>
  <c r="AB1028" i="5"/>
  <c r="F1106" i="3"/>
  <c r="F1102" i="3"/>
  <c r="F1099" i="3"/>
  <c r="F1095" i="3"/>
  <c r="F1090" i="3"/>
  <c r="F1089" i="3"/>
  <c r="F1088" i="3"/>
  <c r="F1087" i="3"/>
  <c r="F1081" i="3"/>
  <c r="F1080" i="3"/>
  <c r="F1074" i="3"/>
  <c r="AB1051" i="5"/>
  <c r="AB1037" i="5"/>
  <c r="S1090" i="6"/>
  <c r="Q250" i="6"/>
  <c r="R1088" i="6"/>
  <c r="L236" i="6"/>
  <c r="D1087" i="6"/>
  <c r="L86" i="6"/>
  <c r="C1075" i="6"/>
  <c r="L81" i="6"/>
  <c r="C1074" i="6"/>
  <c r="L77" i="6"/>
  <c r="D1074" i="6"/>
  <c r="I1103" i="2"/>
  <c r="O1102" i="2"/>
  <c r="G1102" i="2"/>
  <c r="I1099" i="2"/>
  <c r="O1098" i="2"/>
  <c r="G1098" i="2"/>
  <c r="I1095" i="2"/>
  <c r="O1094" i="2"/>
  <c r="G1094" i="2"/>
  <c r="I1091" i="2"/>
  <c r="O1090" i="2"/>
  <c r="G1090" i="2"/>
  <c r="I1087" i="2"/>
  <c r="O1086" i="2"/>
  <c r="G1086" i="2"/>
  <c r="E1116" i="3"/>
  <c r="E1115" i="3"/>
  <c r="E1112" i="3"/>
  <c r="E1111" i="3"/>
  <c r="E1108" i="3"/>
  <c r="E1107" i="3"/>
  <c r="E1104" i="3"/>
  <c r="E1103" i="3"/>
  <c r="E1100" i="3"/>
  <c r="E1099" i="3"/>
  <c r="E1096" i="3"/>
  <c r="E1095" i="3"/>
  <c r="E1091" i="3"/>
  <c r="E1090" i="3"/>
  <c r="E1089" i="3"/>
  <c r="E1088" i="3"/>
  <c r="E1083" i="3"/>
  <c r="E1082" i="3"/>
  <c r="E1081" i="3"/>
  <c r="E1080" i="3"/>
  <c r="E1075" i="3"/>
  <c r="E1074" i="3"/>
  <c r="E1073" i="3"/>
  <c r="E1072" i="3"/>
  <c r="AC1053" i="5"/>
  <c r="AC1046" i="5"/>
  <c r="AC175" i="5"/>
  <c r="N1083" i="5"/>
  <c r="AC174" i="5"/>
  <c r="M1083" i="5"/>
  <c r="K1096" i="2"/>
  <c r="K1092" i="2"/>
  <c r="D1115" i="4"/>
  <c r="D1109" i="4"/>
  <c r="H1106" i="4"/>
  <c r="H1098" i="4"/>
  <c r="H1092" i="4"/>
  <c r="D1087" i="4"/>
  <c r="D1081" i="4"/>
  <c r="H1074" i="4"/>
  <c r="D1071" i="4"/>
  <c r="E1103" i="6"/>
  <c r="L293" i="6"/>
  <c r="D1092" i="6"/>
  <c r="J1096" i="2"/>
  <c r="B1084" i="2"/>
  <c r="J1080" i="2"/>
  <c r="J1076" i="2"/>
  <c r="B1072" i="2"/>
  <c r="G1117" i="4"/>
  <c r="J1117" i="4"/>
  <c r="F1116" i="4"/>
  <c r="G1115" i="4"/>
  <c r="C1115" i="4"/>
  <c r="C1114" i="4"/>
  <c r="J1113" i="4"/>
  <c r="C1112" i="4"/>
  <c r="G1111" i="4"/>
  <c r="E1110" i="4"/>
  <c r="C1109" i="4"/>
  <c r="J1108" i="4"/>
  <c r="I1107" i="4"/>
  <c r="D1106" i="4"/>
  <c r="G1105" i="4"/>
  <c r="B1105" i="4"/>
  <c r="J1103" i="4"/>
  <c r="D1102" i="4"/>
  <c r="G1101" i="4"/>
  <c r="C1101" i="4"/>
  <c r="C1100" i="4"/>
  <c r="F1098" i="4"/>
  <c r="B1097" i="4"/>
  <c r="D1096" i="4"/>
  <c r="J1095" i="4"/>
  <c r="E1093" i="4"/>
  <c r="H1093" i="4"/>
  <c r="C1092" i="4"/>
  <c r="C1091" i="4"/>
  <c r="G1089" i="4"/>
  <c r="C1089" i="4"/>
  <c r="F1088" i="4"/>
  <c r="G1087" i="4"/>
  <c r="J1087" i="4"/>
  <c r="G1086" i="4"/>
  <c r="E1085" i="4"/>
  <c r="I1085" i="4"/>
  <c r="E1084" i="4"/>
  <c r="G1083" i="4"/>
  <c r="C1083" i="4"/>
  <c r="F1082" i="4"/>
  <c r="C1081" i="4"/>
  <c r="C1080" i="4"/>
  <c r="G1080" i="4"/>
  <c r="H1079" i="4"/>
  <c r="D1078" i="4"/>
  <c r="G1077" i="4"/>
  <c r="J1077" i="4"/>
  <c r="C1076" i="4"/>
  <c r="J1075" i="4"/>
  <c r="E1074" i="4"/>
  <c r="B1073" i="4"/>
  <c r="G1072" i="4"/>
  <c r="J1071" i="4"/>
  <c r="B1070" i="4"/>
  <c r="I1069" i="4"/>
  <c r="AC1062" i="5"/>
  <c r="Q440" i="6"/>
  <c r="S440" i="6" s="1"/>
  <c r="R1104" i="6"/>
  <c r="L199" i="6"/>
  <c r="C1084" i="6"/>
  <c r="S121" i="6"/>
  <c r="S1078" i="6" s="1"/>
  <c r="Q1078" i="6"/>
  <c r="S21" i="6"/>
  <c r="S1069" i="6" s="1"/>
  <c r="P1069" i="6"/>
  <c r="AC1063" i="5"/>
  <c r="AB1036" i="5"/>
  <c r="AC1020" i="5"/>
  <c r="AC837" i="5"/>
  <c r="F1115" i="3"/>
  <c r="F1094" i="3"/>
  <c r="F1072" i="3"/>
  <c r="L886" i="6"/>
  <c r="S833" i="6"/>
  <c r="AC834" i="5"/>
  <c r="L363" i="6"/>
  <c r="I1098" i="6"/>
  <c r="L26" i="6"/>
  <c r="D1070" i="6"/>
  <c r="H1103" i="2"/>
  <c r="N1102" i="2"/>
  <c r="F1102" i="2"/>
  <c r="H1099" i="2"/>
  <c r="N1098" i="2"/>
  <c r="F1098" i="2"/>
  <c r="H1095" i="2"/>
  <c r="N1094" i="2"/>
  <c r="F1094" i="2"/>
  <c r="H1091" i="2"/>
  <c r="N1090" i="2"/>
  <c r="F1090" i="2"/>
  <c r="H1117" i="3"/>
  <c r="J1117" i="3"/>
  <c r="B1117" i="3"/>
  <c r="J1116" i="3"/>
  <c r="B1116" i="3"/>
  <c r="H1113" i="3"/>
  <c r="J1113" i="3"/>
  <c r="B1113" i="3"/>
  <c r="J1112" i="3"/>
  <c r="B1112" i="3"/>
  <c r="H1109" i="3"/>
  <c r="J1109" i="3"/>
  <c r="B1109" i="3"/>
  <c r="J1108" i="3"/>
  <c r="B1108" i="3"/>
  <c r="H1105" i="3"/>
  <c r="J1105" i="3"/>
  <c r="B1105" i="3"/>
  <c r="J1104" i="3"/>
  <c r="B1104" i="3"/>
  <c r="H1101" i="3"/>
  <c r="J1101" i="3"/>
  <c r="B1101" i="3"/>
  <c r="J1100" i="3"/>
  <c r="B1100" i="3"/>
  <c r="H1097" i="3"/>
  <c r="J1097" i="3"/>
  <c r="B1097" i="3"/>
  <c r="J1096" i="3"/>
  <c r="B1096" i="3"/>
  <c r="H1093" i="3"/>
  <c r="J1093" i="3"/>
  <c r="B1093" i="3"/>
  <c r="J1092" i="3"/>
  <c r="B1092" i="3"/>
  <c r="J1091" i="3"/>
  <c r="B1091" i="3"/>
  <c r="B1090" i="3"/>
  <c r="H1088" i="3"/>
  <c r="H1087" i="3"/>
  <c r="H1086" i="3"/>
  <c r="J1086" i="3"/>
  <c r="H1085" i="3"/>
  <c r="J1085" i="3"/>
  <c r="B1085" i="3"/>
  <c r="J1084" i="3"/>
  <c r="B1084" i="3"/>
  <c r="J1083" i="3"/>
  <c r="B1083" i="3"/>
  <c r="B1082" i="3"/>
  <c r="H1080" i="3"/>
  <c r="H1079" i="3"/>
  <c r="H1078" i="3"/>
  <c r="J1078" i="3"/>
  <c r="H1077" i="3"/>
  <c r="J1077" i="3"/>
  <c r="B1077" i="3"/>
  <c r="J1076" i="3"/>
  <c r="B1076" i="3"/>
  <c r="J1075" i="3"/>
  <c r="B1075" i="3"/>
  <c r="B1074" i="3"/>
  <c r="H1072" i="3"/>
  <c r="H1071" i="3"/>
  <c r="H1070" i="3"/>
  <c r="J1070" i="3"/>
  <c r="H1069" i="3"/>
  <c r="J1069" i="3"/>
  <c r="B1069" i="3"/>
  <c r="AB1059" i="5"/>
  <c r="C1104" i="2"/>
  <c r="K1084" i="2"/>
  <c r="C1080" i="2"/>
  <c r="K1076" i="2"/>
  <c r="K1072" i="2"/>
  <c r="H1116" i="4"/>
  <c r="D1091" i="4"/>
  <c r="H1084" i="4"/>
  <c r="D1083" i="4"/>
  <c r="D1077" i="4"/>
  <c r="H1076" i="4"/>
  <c r="AB141" i="5"/>
  <c r="E1080" i="5"/>
  <c r="AC75" i="5"/>
  <c r="O1075" i="5"/>
  <c r="Q33" i="6"/>
  <c r="Q1070" i="6" s="1"/>
  <c r="R1070" i="6"/>
  <c r="J1100" i="2"/>
  <c r="B1088" i="2"/>
  <c r="J1084" i="2"/>
  <c r="B1080" i="2"/>
  <c r="I1117" i="4"/>
  <c r="B1114" i="4"/>
  <c r="G1114" i="4"/>
  <c r="I1113" i="4"/>
  <c r="H1111" i="4"/>
  <c r="C1110" i="4"/>
  <c r="G1110" i="4"/>
  <c r="I1109" i="4"/>
  <c r="D1108" i="4"/>
  <c r="J1107" i="4"/>
  <c r="C1106" i="4"/>
  <c r="G1106" i="4"/>
  <c r="C1105" i="4"/>
  <c r="J1104" i="4"/>
  <c r="H1103" i="4"/>
  <c r="E1102" i="4"/>
  <c r="I1101" i="4"/>
  <c r="D1100" i="4"/>
  <c r="I1099" i="4"/>
  <c r="G1098" i="4"/>
  <c r="G1097" i="4"/>
  <c r="J1097" i="4"/>
  <c r="C1096" i="4"/>
  <c r="C1095" i="4"/>
  <c r="I1094" i="4"/>
  <c r="E1094" i="4"/>
  <c r="I1093" i="4"/>
  <c r="D1092" i="4"/>
  <c r="I1091" i="4"/>
  <c r="D1090" i="4"/>
  <c r="H1089" i="4"/>
  <c r="J1088" i="4"/>
  <c r="E1088" i="4"/>
  <c r="C1087" i="4"/>
  <c r="F1086" i="4"/>
  <c r="F1085" i="4"/>
  <c r="B1085" i="4"/>
  <c r="C1084" i="4"/>
  <c r="B1083" i="4"/>
  <c r="E1082" i="4"/>
  <c r="I1081" i="4"/>
  <c r="B1080" i="4"/>
  <c r="F1080" i="4"/>
  <c r="G1079" i="4"/>
  <c r="G1078" i="4"/>
  <c r="H1077" i="4"/>
  <c r="C1077" i="4"/>
  <c r="G1076" i="4"/>
  <c r="I1075" i="4"/>
  <c r="C1074" i="4"/>
  <c r="J1072" i="4"/>
  <c r="E1072" i="4"/>
  <c r="I1071" i="4"/>
  <c r="F1070" i="4"/>
  <c r="B1069" i="4"/>
  <c r="AB1018" i="5"/>
  <c r="AB982" i="5"/>
  <c r="AC907" i="5"/>
  <c r="AC143" i="5"/>
  <c r="S432" i="6"/>
  <c r="S1104" i="6" s="1"/>
  <c r="Q1104" i="6"/>
  <c r="L304" i="6"/>
  <c r="D1093" i="6"/>
  <c r="S155" i="6"/>
  <c r="S1080" i="6" s="1"/>
  <c r="Q1080" i="6"/>
  <c r="AC881" i="5"/>
  <c r="AB837" i="5"/>
  <c r="AB301" i="5"/>
  <c r="E1094" i="5"/>
  <c r="F1110" i="3"/>
  <c r="F1107" i="3"/>
  <c r="F1103" i="3"/>
  <c r="F1098" i="3"/>
  <c r="F1082" i="3"/>
  <c r="F1079" i="3"/>
  <c r="AC1058" i="5"/>
  <c r="AB1043" i="5"/>
  <c r="S841" i="6"/>
  <c r="AC842" i="5"/>
  <c r="M1105" i="2"/>
  <c r="E1105" i="2"/>
  <c r="M1101" i="2"/>
  <c r="E1101" i="2"/>
  <c r="M1097" i="2"/>
  <c r="E1097" i="2"/>
  <c r="M1093" i="2"/>
  <c r="E1093" i="2"/>
  <c r="M1089" i="2"/>
  <c r="E1089" i="2"/>
  <c r="M1085" i="2"/>
  <c r="E1085" i="2"/>
  <c r="I1083" i="2"/>
  <c r="O1082" i="2"/>
  <c r="G1082" i="2"/>
  <c r="M1081" i="2"/>
  <c r="E1081" i="2"/>
  <c r="I1079" i="2"/>
  <c r="O1078" i="2"/>
  <c r="G1078" i="2"/>
  <c r="M1077" i="2"/>
  <c r="E1077" i="2"/>
  <c r="I1075" i="2"/>
  <c r="O1074" i="2"/>
  <c r="G1074" i="2"/>
  <c r="M1073" i="2"/>
  <c r="E1073" i="2"/>
  <c r="I1071" i="2"/>
  <c r="I1117" i="3"/>
  <c r="K1117" i="3"/>
  <c r="K1116" i="3"/>
  <c r="C1116" i="3"/>
  <c r="C1115" i="3"/>
  <c r="G1114" i="3"/>
  <c r="I1114" i="3"/>
  <c r="I1113" i="3"/>
  <c r="K1113" i="3"/>
  <c r="K1112" i="3"/>
  <c r="C1112" i="3"/>
  <c r="C1111" i="3"/>
  <c r="G1110" i="3"/>
  <c r="I1110" i="3"/>
  <c r="I1109" i="3"/>
  <c r="K1109" i="3"/>
  <c r="K1108" i="3"/>
  <c r="C1108" i="3"/>
  <c r="C1107" i="3"/>
  <c r="G1106" i="3"/>
  <c r="I1106" i="3"/>
  <c r="I1105" i="3"/>
  <c r="K1105" i="3"/>
  <c r="K1104" i="3"/>
  <c r="C1104" i="3"/>
  <c r="C1103" i="3"/>
  <c r="G1102" i="3"/>
  <c r="I1102" i="3"/>
  <c r="I1101" i="3"/>
  <c r="K1101" i="3"/>
  <c r="K1100" i="3"/>
  <c r="C1100" i="3"/>
  <c r="C1099" i="3"/>
  <c r="G1098" i="3"/>
  <c r="I1098" i="3"/>
  <c r="I1097" i="3"/>
  <c r="K1097" i="3"/>
  <c r="K1096" i="3"/>
  <c r="C1096" i="3"/>
  <c r="C1095" i="3"/>
  <c r="G1094" i="3"/>
  <c r="I1094" i="3"/>
  <c r="I1093" i="3"/>
  <c r="K1093" i="3"/>
  <c r="I1092" i="3"/>
  <c r="K1092" i="3"/>
  <c r="C1092" i="3"/>
  <c r="K1091" i="3"/>
  <c r="C1091" i="3"/>
  <c r="K1090" i="3"/>
  <c r="C1090" i="3"/>
  <c r="G1089" i="3"/>
  <c r="C1089" i="3"/>
  <c r="G1088" i="3"/>
  <c r="G1087" i="3"/>
  <c r="I1087" i="3"/>
  <c r="G1086" i="3"/>
  <c r="I1086" i="3"/>
  <c r="I1085" i="3"/>
  <c r="K1085" i="3"/>
  <c r="I1084" i="3"/>
  <c r="K1084" i="3"/>
  <c r="C1084" i="3"/>
  <c r="K1083" i="3"/>
  <c r="C1083" i="3"/>
  <c r="K1082" i="3"/>
  <c r="C1082" i="3"/>
  <c r="G1081" i="3"/>
  <c r="C1081" i="3"/>
  <c r="G1080" i="3"/>
  <c r="G1079" i="3"/>
  <c r="I1079" i="3"/>
  <c r="G1078" i="3"/>
  <c r="I1078" i="3"/>
  <c r="I1077" i="3"/>
  <c r="K1077" i="3"/>
  <c r="I1076" i="3"/>
  <c r="K1076" i="3"/>
  <c r="C1076" i="3"/>
  <c r="K1075" i="3"/>
  <c r="C1075" i="3"/>
  <c r="K1074" i="3"/>
  <c r="C1074" i="3"/>
  <c r="G1073" i="3"/>
  <c r="C1073" i="3"/>
  <c r="G1072" i="3"/>
  <c r="G1071" i="3"/>
  <c r="I1071" i="3"/>
  <c r="G1070" i="3"/>
  <c r="I1070" i="3"/>
  <c r="I1069" i="3"/>
  <c r="J1116" i="4"/>
  <c r="J1112" i="4"/>
  <c r="B1104" i="4"/>
  <c r="J1102" i="4"/>
  <c r="F1101" i="4"/>
  <c r="B1100" i="4"/>
  <c r="J1098" i="4"/>
  <c r="F1097" i="4"/>
  <c r="B1086" i="4"/>
  <c r="J1078" i="4"/>
  <c r="F1075" i="4"/>
  <c r="AC1060" i="5"/>
  <c r="B1089" i="5"/>
  <c r="AB241" i="5"/>
  <c r="AB240" i="5"/>
  <c r="B1088" i="5"/>
  <c r="AC236" i="5"/>
  <c r="N1088" i="5"/>
  <c r="AB236" i="5"/>
  <c r="F1088" i="5"/>
  <c r="C1100" i="2"/>
  <c r="C1096" i="2"/>
  <c r="K1088" i="2"/>
  <c r="K1080" i="2"/>
  <c r="H1114" i="4"/>
  <c r="H1110" i="4"/>
  <c r="H1108" i="4"/>
  <c r="D1105" i="4"/>
  <c r="D1097" i="4"/>
  <c r="H1094" i="4"/>
  <c r="H1080" i="4"/>
  <c r="D1075" i="4"/>
  <c r="Q1091" i="5"/>
  <c r="AC141" i="5"/>
  <c r="M1080" i="5"/>
  <c r="AC71" i="5"/>
  <c r="N1074" i="5"/>
  <c r="S421" i="6"/>
  <c r="S1103" i="6" s="1"/>
  <c r="Q1103" i="6"/>
  <c r="S326" i="6"/>
  <c r="S1095" i="6" s="1"/>
  <c r="Q1095" i="6"/>
  <c r="S59" i="6"/>
  <c r="S1072" i="6" s="1"/>
  <c r="Q1072" i="6"/>
  <c r="S36" i="6"/>
  <c r="B1104" i="2"/>
  <c r="B1096" i="2"/>
  <c r="J1092" i="2"/>
  <c r="J1088" i="2"/>
  <c r="J1072" i="2"/>
  <c r="H1117" i="4"/>
  <c r="D1116" i="4"/>
  <c r="H1115" i="4"/>
  <c r="D1114" i="4"/>
  <c r="B1113" i="4"/>
  <c r="D1112" i="4"/>
  <c r="C1111" i="4"/>
  <c r="D1110" i="4"/>
  <c r="J1109" i="4"/>
  <c r="G1107" i="4"/>
  <c r="E1106" i="4"/>
  <c r="J1105" i="4"/>
  <c r="C1104" i="4"/>
  <c r="C1103" i="4"/>
  <c r="G1102" i="4"/>
  <c r="B1101" i="4"/>
  <c r="E1100" i="4"/>
  <c r="J1099" i="4"/>
  <c r="E1097" i="4"/>
  <c r="I1097" i="4"/>
  <c r="E1096" i="4"/>
  <c r="G1094" i="4"/>
  <c r="G1093" i="4"/>
  <c r="B1093" i="4"/>
  <c r="F1092" i="4"/>
  <c r="J1091" i="4"/>
  <c r="E1090" i="4"/>
  <c r="G1088" i="4"/>
  <c r="I1087" i="4"/>
  <c r="G1085" i="4"/>
  <c r="J1085" i="4"/>
  <c r="I1083" i="4"/>
  <c r="D1082" i="4"/>
  <c r="J1081" i="4"/>
  <c r="E1080" i="4"/>
  <c r="B1079" i="4"/>
  <c r="F1078" i="4"/>
  <c r="I1077" i="4"/>
  <c r="F1076" i="4"/>
  <c r="C1075" i="4"/>
  <c r="I1074" i="4"/>
  <c r="H1073" i="4"/>
  <c r="D1072" i="4"/>
  <c r="H1071" i="4"/>
  <c r="AC147" i="5"/>
  <c r="O1081" i="5"/>
  <c r="L431" i="6"/>
  <c r="C1103" i="6"/>
  <c r="L313" i="6"/>
  <c r="F1094" i="6"/>
  <c r="L167" i="6"/>
  <c r="C1081" i="6"/>
  <c r="L25" i="6"/>
  <c r="F1070" i="6"/>
  <c r="AB1050" i="5"/>
  <c r="AB822" i="5"/>
  <c r="F1114" i="3"/>
  <c r="F1111" i="3"/>
  <c r="F1073" i="3"/>
  <c r="F1071" i="3"/>
  <c r="AC1052" i="5"/>
  <c r="E1116" i="6"/>
  <c r="E1112" i="6"/>
  <c r="E1114" i="6"/>
  <c r="Q504" i="6"/>
  <c r="AC505" i="5" s="1"/>
  <c r="R1110" i="6"/>
  <c r="L456" i="6"/>
  <c r="L1106" i="6" s="1"/>
  <c r="D1106" i="6"/>
  <c r="S358" i="6"/>
  <c r="S1097" i="6" s="1"/>
  <c r="Q1097" i="6"/>
  <c r="L285" i="6"/>
  <c r="F1091" i="6"/>
  <c r="L85" i="6"/>
  <c r="D1075" i="6"/>
  <c r="S65" i="6"/>
  <c r="S1073" i="6" s="1"/>
  <c r="Q1073" i="6"/>
  <c r="L1105" i="2"/>
  <c r="D1105" i="2"/>
  <c r="L1101" i="2"/>
  <c r="D1101" i="2"/>
  <c r="L1097" i="2"/>
  <c r="D1097" i="2"/>
  <c r="L1093" i="2"/>
  <c r="D1093" i="2"/>
  <c r="L1089" i="2"/>
  <c r="D1089" i="2"/>
  <c r="H1087" i="2"/>
  <c r="N1086" i="2"/>
  <c r="F1086" i="2"/>
  <c r="L1085" i="2"/>
  <c r="D1085" i="2"/>
  <c r="H1083" i="2"/>
  <c r="N1082" i="2"/>
  <c r="F1082" i="2"/>
  <c r="L1081" i="2"/>
  <c r="D1081" i="2"/>
  <c r="H1079" i="2"/>
  <c r="N1078" i="2"/>
  <c r="F1078" i="2"/>
  <c r="L1077" i="2"/>
  <c r="D1077" i="2"/>
  <c r="H1075" i="2"/>
  <c r="N1074" i="2"/>
  <c r="F1074" i="2"/>
  <c r="L1073" i="2"/>
  <c r="D1073" i="2"/>
  <c r="H1071" i="2"/>
  <c r="I1106" i="4"/>
  <c r="E1105" i="4"/>
  <c r="I1102" i="4"/>
  <c r="E1101" i="4"/>
  <c r="I1090" i="4"/>
  <c r="I1080" i="4"/>
  <c r="E1075" i="4"/>
  <c r="M1094" i="5"/>
  <c r="AB1065" i="5"/>
  <c r="AC1005" i="5"/>
  <c r="AB945" i="5"/>
  <c r="AC886" i="5"/>
  <c r="AB784" i="5"/>
  <c r="AB273" i="5"/>
  <c r="AB272" i="5"/>
  <c r="B1091" i="5"/>
  <c r="AC268" i="5"/>
  <c r="N1091" i="5"/>
  <c r="AB268" i="5"/>
  <c r="F1091" i="5"/>
  <c r="X1081" i="5"/>
  <c r="P1081" i="5"/>
  <c r="AB146" i="5"/>
  <c r="H1081" i="5"/>
  <c r="W1080" i="5"/>
  <c r="O1080" i="5"/>
  <c r="G1080" i="5"/>
  <c r="V1080" i="5"/>
  <c r="N1080" i="5"/>
  <c r="F1080" i="5"/>
  <c r="U1074" i="5"/>
  <c r="AC69" i="5"/>
  <c r="M1074" i="5"/>
  <c r="AB69" i="5"/>
  <c r="E1074" i="5"/>
  <c r="V1073" i="5"/>
  <c r="AC49" i="5"/>
  <c r="N1073" i="5"/>
  <c r="AB49" i="5"/>
  <c r="E1073" i="5"/>
  <c r="AB1063" i="5"/>
  <c r="AB1053" i="5"/>
  <c r="AC1047" i="5"/>
  <c r="AB1030" i="5"/>
  <c r="AB1020" i="5"/>
  <c r="AC933" i="5"/>
  <c r="AB933" i="5"/>
  <c r="AB918" i="5"/>
  <c r="AB912" i="5"/>
  <c r="AC843" i="5"/>
  <c r="AC828" i="5"/>
  <c r="AB817" i="5"/>
  <c r="W1115" i="5"/>
  <c r="AC555" i="5"/>
  <c r="O1115" i="5"/>
  <c r="G1115" i="5"/>
  <c r="U1113" i="5"/>
  <c r="AC533" i="5"/>
  <c r="M1113" i="5"/>
  <c r="AB533" i="5"/>
  <c r="E1113" i="5"/>
  <c r="V1112" i="5"/>
  <c r="AC524" i="5"/>
  <c r="N1112" i="5"/>
  <c r="F1112" i="5"/>
  <c r="AC303" i="5"/>
  <c r="AC302" i="5"/>
  <c r="X1089" i="5"/>
  <c r="P1089" i="5"/>
  <c r="H1089" i="5"/>
  <c r="AB152" i="5"/>
  <c r="V1081" i="5"/>
  <c r="AC148" i="5"/>
  <c r="N1081" i="5"/>
  <c r="AB148" i="5"/>
  <c r="F1081" i="5"/>
  <c r="AB1062" i="5"/>
  <c r="AB913" i="5"/>
  <c r="AB582" i="5"/>
  <c r="D1117" i="5"/>
  <c r="W1116" i="5"/>
  <c r="O1116" i="5"/>
  <c r="G1116" i="5"/>
  <c r="V1116" i="5"/>
  <c r="N1116" i="5"/>
  <c r="F1116" i="5"/>
  <c r="R1092" i="5"/>
  <c r="J1092" i="5"/>
  <c r="AB280" i="5"/>
  <c r="B1092" i="5"/>
  <c r="U1091" i="5"/>
  <c r="AC269" i="5"/>
  <c r="M1091" i="5"/>
  <c r="AB269" i="5"/>
  <c r="E1091" i="5"/>
  <c r="R1084" i="5"/>
  <c r="J1084" i="5"/>
  <c r="AB184" i="5"/>
  <c r="B1084" i="5"/>
  <c r="AC165" i="5"/>
  <c r="M1082" i="5"/>
  <c r="AB165" i="5"/>
  <c r="E1082" i="5"/>
  <c r="AB33" i="5"/>
  <c r="I1071" i="5"/>
  <c r="F1115" i="4"/>
  <c r="F1111" i="4"/>
  <c r="F1107" i="4"/>
  <c r="F1103" i="4"/>
  <c r="F1099" i="4"/>
  <c r="F1095" i="4"/>
  <c r="J1092" i="4"/>
  <c r="B1092" i="4"/>
  <c r="J1090" i="4"/>
  <c r="B1090" i="4"/>
  <c r="F1089" i="4"/>
  <c r="F1087" i="4"/>
  <c r="J1084" i="4"/>
  <c r="B1084" i="4"/>
  <c r="J1082" i="4"/>
  <c r="B1082" i="4"/>
  <c r="F1081" i="4"/>
  <c r="F1079" i="4"/>
  <c r="J1076" i="4"/>
  <c r="B1076" i="4"/>
  <c r="J1074" i="4"/>
  <c r="B1074" i="4"/>
  <c r="F1073" i="4"/>
  <c r="F1071" i="4"/>
  <c r="AB1064" i="5"/>
  <c r="AB1054" i="5"/>
  <c r="AB1022" i="5"/>
  <c r="AB1008" i="5"/>
  <c r="AC869" i="5"/>
  <c r="AB869" i="5"/>
  <c r="AB854" i="5"/>
  <c r="AB848" i="5"/>
  <c r="AC694" i="5"/>
  <c r="AB574" i="5"/>
  <c r="D1116" i="5"/>
  <c r="U1116" i="5"/>
  <c r="AC565" i="5"/>
  <c r="M1116" i="5"/>
  <c r="AB565" i="5"/>
  <c r="E1116" i="5"/>
  <c r="AC556" i="5"/>
  <c r="N1115" i="5"/>
  <c r="AB556" i="5"/>
  <c r="F1115" i="5"/>
  <c r="AB313" i="5"/>
  <c r="AB312" i="5"/>
  <c r="B1094" i="5"/>
  <c r="AC270" i="5"/>
  <c r="X1078" i="5"/>
  <c r="P1078" i="5"/>
  <c r="AB114" i="5"/>
  <c r="H1078" i="5"/>
  <c r="AB48" i="5"/>
  <c r="G1072" i="5"/>
  <c r="AB38" i="5"/>
  <c r="S1072" i="5"/>
  <c r="J1072" i="5"/>
  <c r="AB37" i="5"/>
  <c r="B1072" i="5"/>
  <c r="I1116" i="4"/>
  <c r="E1115" i="4"/>
  <c r="I1112" i="4"/>
  <c r="E1111" i="4"/>
  <c r="I1108" i="4"/>
  <c r="E1107" i="4"/>
  <c r="I1104" i="4"/>
  <c r="E1103" i="4"/>
  <c r="I1100" i="4"/>
  <c r="E1099" i="4"/>
  <c r="I1096" i="4"/>
  <c r="E1095" i="4"/>
  <c r="E1089" i="4"/>
  <c r="E1087" i="4"/>
  <c r="I1086" i="4"/>
  <c r="I1084" i="4"/>
  <c r="E1081" i="4"/>
  <c r="E1079" i="4"/>
  <c r="I1078" i="4"/>
  <c r="I1076" i="4"/>
  <c r="E1073" i="4"/>
  <c r="E1071" i="4"/>
  <c r="I1070" i="4"/>
  <c r="AB1068" i="5"/>
  <c r="AC1049" i="5"/>
  <c r="AC1016" i="5"/>
  <c r="AB1009" i="5"/>
  <c r="AC965" i="5"/>
  <c r="AB965" i="5"/>
  <c r="AC952" i="5"/>
  <c r="AB950" i="5"/>
  <c r="AB944" i="5"/>
  <c r="AB849" i="5"/>
  <c r="AC699" i="5"/>
  <c r="AB694" i="5"/>
  <c r="AC607" i="5"/>
  <c r="AC579" i="5"/>
  <c r="AC427" i="5"/>
  <c r="O1104" i="5"/>
  <c r="AC381" i="5"/>
  <c r="M1100" i="5"/>
  <c r="AB381" i="5"/>
  <c r="E1100" i="5"/>
  <c r="AC372" i="5"/>
  <c r="N1099" i="5"/>
  <c r="AC363" i="5"/>
  <c r="O1099" i="5"/>
  <c r="AC354" i="5"/>
  <c r="P1098" i="5"/>
  <c r="AC331" i="5"/>
  <c r="O1096" i="5"/>
  <c r="AC329" i="5"/>
  <c r="M1096" i="5"/>
  <c r="Q1095" i="5"/>
  <c r="I1095" i="5"/>
  <c r="Q1073" i="5"/>
  <c r="H1073" i="5"/>
  <c r="AC1059" i="5"/>
  <c r="AB1016" i="5"/>
  <c r="AC995" i="5"/>
  <c r="AC991" i="5"/>
  <c r="AC990" i="5"/>
  <c r="AC957" i="5"/>
  <c r="AB957" i="5"/>
  <c r="AC925" i="5"/>
  <c r="AB925" i="5"/>
  <c r="AC893" i="5"/>
  <c r="AB893" i="5"/>
  <c r="AC861" i="5"/>
  <c r="AB861" i="5"/>
  <c r="AC829" i="5"/>
  <c r="AB829" i="5"/>
  <c r="AC797" i="5"/>
  <c r="AB797" i="5"/>
  <c r="AC733" i="5"/>
  <c r="AB733" i="5"/>
  <c r="AC709" i="5"/>
  <c r="AB709" i="5"/>
  <c r="AC700" i="5"/>
  <c r="AB700" i="5"/>
  <c r="AB606" i="5"/>
  <c r="AC597" i="5"/>
  <c r="AB597" i="5"/>
  <c r="AC588" i="5"/>
  <c r="AB588" i="5"/>
  <c r="AC447" i="5"/>
  <c r="AC415" i="5"/>
  <c r="AC383" i="5"/>
  <c r="AC351" i="5"/>
  <c r="AC199" i="5"/>
  <c r="AB1052" i="5"/>
  <c r="AB1049" i="5"/>
  <c r="AB1031" i="5"/>
  <c r="AB1029" i="5"/>
  <c r="AB1021" i="5"/>
  <c r="AB1017" i="5"/>
  <c r="AB990" i="5"/>
  <c r="AB984" i="5"/>
  <c r="AC958" i="5"/>
  <c r="AC926" i="5"/>
  <c r="AC894" i="5"/>
  <c r="AC862" i="5"/>
  <c r="AC830" i="5"/>
  <c r="AC798" i="5"/>
  <c r="AC734" i="5"/>
  <c r="AC710" i="5"/>
  <c r="AC598" i="5"/>
  <c r="AB516" i="5"/>
  <c r="AC428" i="5"/>
  <c r="AC419" i="5"/>
  <c r="AC387" i="5"/>
  <c r="AC102" i="5"/>
  <c r="M1077" i="5"/>
  <c r="AC1067" i="5"/>
  <c r="AC1038" i="5"/>
  <c r="AB1000" i="5"/>
  <c r="AB985" i="5"/>
  <c r="AB958" i="5"/>
  <c r="AB926" i="5"/>
  <c r="AB894" i="5"/>
  <c r="AB862" i="5"/>
  <c r="AB830" i="5"/>
  <c r="AB798" i="5"/>
  <c r="AB734" i="5"/>
  <c r="AC635" i="5"/>
  <c r="AB630" i="5"/>
  <c r="AC407" i="5"/>
  <c r="AC375" i="5"/>
  <c r="AC343" i="5"/>
  <c r="AB329" i="5"/>
  <c r="AB1060" i="5"/>
  <c r="AC1026" i="5"/>
  <c r="AB968" i="5"/>
  <c r="AC964" i="5"/>
  <c r="AB964" i="5"/>
  <c r="AB936" i="5"/>
  <c r="AC932" i="5"/>
  <c r="AB932" i="5"/>
  <c r="AB904" i="5"/>
  <c r="AC900" i="5"/>
  <c r="AB900" i="5"/>
  <c r="AB872" i="5"/>
  <c r="AC868" i="5"/>
  <c r="AB868" i="5"/>
  <c r="AB840" i="5"/>
  <c r="AC836" i="5"/>
  <c r="AB836" i="5"/>
  <c r="AB808" i="5"/>
  <c r="AC804" i="5"/>
  <c r="AB804" i="5"/>
  <c r="AC749" i="5"/>
  <c r="AB749" i="5"/>
  <c r="AB654" i="5"/>
  <c r="AC621" i="5"/>
  <c r="AB621" i="5"/>
  <c r="AB548" i="5"/>
  <c r="AC543" i="5"/>
  <c r="AC515" i="5"/>
  <c r="AC503" i="5"/>
  <c r="AC502" i="5"/>
  <c r="AC471" i="5"/>
  <c r="AC470" i="5"/>
  <c r="AB144" i="5"/>
  <c r="AB112" i="5"/>
  <c r="AC108" i="5"/>
  <c r="AB108" i="5"/>
  <c r="AB1019" i="5"/>
  <c r="AC1004" i="5"/>
  <c r="AC999" i="5"/>
  <c r="AC998" i="5"/>
  <c r="AC972" i="5"/>
  <c r="AC967" i="5"/>
  <c r="AC966" i="5"/>
  <c r="AC940" i="5"/>
  <c r="AC935" i="5"/>
  <c r="AC934" i="5"/>
  <c r="AC908" i="5"/>
  <c r="AC903" i="5"/>
  <c r="AC902" i="5"/>
  <c r="AC876" i="5"/>
  <c r="AC871" i="5"/>
  <c r="AC870" i="5"/>
  <c r="AC844" i="5"/>
  <c r="AC839" i="5"/>
  <c r="AC838" i="5"/>
  <c r="AC812" i="5"/>
  <c r="AC807" i="5"/>
  <c r="AC806" i="5"/>
  <c r="AC780" i="5"/>
  <c r="AB774" i="5"/>
  <c r="AC755" i="5"/>
  <c r="AC751" i="5"/>
  <c r="AC750" i="5"/>
  <c r="AC740" i="5"/>
  <c r="AB740" i="5"/>
  <c r="AC725" i="5"/>
  <c r="AB725" i="5"/>
  <c r="AB710" i="5"/>
  <c r="AC691" i="5"/>
  <c r="AC687" i="5"/>
  <c r="AC686" i="5"/>
  <c r="AC676" i="5"/>
  <c r="AB676" i="5"/>
  <c r="AC661" i="5"/>
  <c r="AB661" i="5"/>
  <c r="AB646" i="5"/>
  <c r="AC627" i="5"/>
  <c r="AC623" i="5"/>
  <c r="AC622" i="5"/>
  <c r="AC612" i="5"/>
  <c r="AB612" i="5"/>
  <c r="AC603" i="5"/>
  <c r="AB598" i="5"/>
  <c r="AC589" i="5"/>
  <c r="AB589" i="5"/>
  <c r="AC580" i="5"/>
  <c r="AB580" i="5"/>
  <c r="AC571" i="5"/>
  <c r="AB566" i="5"/>
  <c r="AC557" i="5"/>
  <c r="AB557" i="5"/>
  <c r="AC548" i="5"/>
  <c r="AC539" i="5"/>
  <c r="AB534" i="5"/>
  <c r="AB532" i="5"/>
  <c r="AC525" i="5"/>
  <c r="AB525" i="5"/>
  <c r="AC516" i="5"/>
  <c r="AC507" i="5"/>
  <c r="AB502" i="5"/>
  <c r="AB500" i="5"/>
  <c r="AC493" i="5"/>
  <c r="AB493" i="5"/>
  <c r="AC475" i="5"/>
  <c r="AB468" i="5"/>
  <c r="AC461" i="5"/>
  <c r="AB461" i="5"/>
  <c r="AC452" i="5"/>
  <c r="AC443" i="5"/>
  <c r="AB436" i="5"/>
  <c r="AC429" i="5"/>
  <c r="AB429" i="5"/>
  <c r="AC420" i="5"/>
  <c r="AC411" i="5"/>
  <c r="AB404" i="5"/>
  <c r="AC397" i="5"/>
  <c r="AB397" i="5"/>
  <c r="AC388" i="5"/>
  <c r="AC379" i="5"/>
  <c r="AB372" i="5"/>
  <c r="AC365" i="5"/>
  <c r="AB365" i="5"/>
  <c r="AC356" i="5"/>
  <c r="AB340" i="5"/>
  <c r="AC333" i="5"/>
  <c r="AB333" i="5"/>
  <c r="AC295" i="5"/>
  <c r="AB248" i="5"/>
  <c r="AC242" i="5"/>
  <c r="AC237" i="5"/>
  <c r="AB237" i="5"/>
  <c r="AB208" i="5"/>
  <c r="AC204" i="5"/>
  <c r="AB204" i="5"/>
  <c r="AC167" i="5"/>
  <c r="AB120" i="5"/>
  <c r="AC109" i="5"/>
  <c r="AB109" i="5"/>
  <c r="AB80" i="5"/>
  <c r="AC76" i="5"/>
  <c r="AB76" i="5"/>
  <c r="AC973" i="5"/>
  <c r="AB973" i="5"/>
  <c r="AC970" i="5"/>
  <c r="AB966" i="5"/>
  <c r="AB952" i="5"/>
  <c r="AC941" i="5"/>
  <c r="AB941" i="5"/>
  <c r="AB934" i="5"/>
  <c r="AB920" i="5"/>
  <c r="AC909" i="5"/>
  <c r="AB909" i="5"/>
  <c r="AB902" i="5"/>
  <c r="AB888" i="5"/>
  <c r="AC877" i="5"/>
  <c r="AB877" i="5"/>
  <c r="AB870" i="5"/>
  <c r="AB856" i="5"/>
  <c r="AC845" i="5"/>
  <c r="AB845" i="5"/>
  <c r="AB838" i="5"/>
  <c r="AB824" i="5"/>
  <c r="AC813" i="5"/>
  <c r="AB813" i="5"/>
  <c r="AB806" i="5"/>
  <c r="AB792" i="5"/>
  <c r="AC781" i="5"/>
  <c r="AB781" i="5"/>
  <c r="AB750" i="5"/>
  <c r="AC726" i="5"/>
  <c r="AB686" i="5"/>
  <c r="AC662" i="5"/>
  <c r="AB622" i="5"/>
  <c r="AB610" i="5"/>
  <c r="AC590" i="5"/>
  <c r="AB578" i="5"/>
  <c r="AC558" i="5"/>
  <c r="AB546" i="5"/>
  <c r="AC526" i="5"/>
  <c r="AB514" i="5"/>
  <c r="AC494" i="5"/>
  <c r="AB482" i="5"/>
  <c r="AC473" i="5"/>
  <c r="AC462" i="5"/>
  <c r="AB450" i="5"/>
  <c r="AC430" i="5"/>
  <c r="AB418" i="5"/>
  <c r="AC398" i="5"/>
  <c r="AB386" i="5"/>
  <c r="AC366" i="5"/>
  <c r="AB354" i="5"/>
  <c r="AC334" i="5"/>
  <c r="AC327" i="5"/>
  <c r="AC238" i="5"/>
  <c r="AC114" i="5"/>
  <c r="AC110" i="5"/>
  <c r="AB1027" i="5"/>
  <c r="AC1012" i="5"/>
  <c r="AC1007" i="5"/>
  <c r="AC1006" i="5"/>
  <c r="AC980" i="5"/>
  <c r="AC975" i="5"/>
  <c r="AC974" i="5"/>
  <c r="AC948" i="5"/>
  <c r="AC943" i="5"/>
  <c r="AC942" i="5"/>
  <c r="AC916" i="5"/>
  <c r="AC911" i="5"/>
  <c r="AC910" i="5"/>
  <c r="AC884" i="5"/>
  <c r="AC879" i="5"/>
  <c r="AC878" i="5"/>
  <c r="AC852" i="5"/>
  <c r="AC847" i="5"/>
  <c r="AC846" i="5"/>
  <c r="AC820" i="5"/>
  <c r="AC815" i="5"/>
  <c r="AC814" i="5"/>
  <c r="AC788" i="5"/>
  <c r="AC783" i="5"/>
  <c r="AC782" i="5"/>
  <c r="AC771" i="5"/>
  <c r="AC767" i="5"/>
  <c r="AC756" i="5"/>
  <c r="AB756" i="5"/>
  <c r="AC741" i="5"/>
  <c r="AB741" i="5"/>
  <c r="AB726" i="5"/>
  <c r="AC707" i="5"/>
  <c r="AC703" i="5"/>
  <c r="AC692" i="5"/>
  <c r="AB692" i="5"/>
  <c r="AC677" i="5"/>
  <c r="AB677" i="5"/>
  <c r="AB662" i="5"/>
  <c r="AC643" i="5"/>
  <c r="AC639" i="5"/>
  <c r="AC628" i="5"/>
  <c r="AB628" i="5"/>
  <c r="AC613" i="5"/>
  <c r="AB613" i="5"/>
  <c r="AC604" i="5"/>
  <c r="AB604" i="5"/>
  <c r="AC595" i="5"/>
  <c r="AB590" i="5"/>
  <c r="AC581" i="5"/>
  <c r="AB581" i="5"/>
  <c r="AC572" i="5"/>
  <c r="AB572" i="5"/>
  <c r="AC563" i="5"/>
  <c r="AB558" i="5"/>
  <c r="AC549" i="5"/>
  <c r="AB549" i="5"/>
  <c r="AC540" i="5"/>
  <c r="AC531" i="5"/>
  <c r="AB526" i="5"/>
  <c r="AB524" i="5"/>
  <c r="AC517" i="5"/>
  <c r="AB517" i="5"/>
  <c r="AC508" i="5"/>
  <c r="AC499" i="5"/>
  <c r="AB492" i="5"/>
  <c r="AC485" i="5"/>
  <c r="AB485" i="5"/>
  <c r="AC476" i="5"/>
  <c r="AC467" i="5"/>
  <c r="AB460" i="5"/>
  <c r="AC453" i="5"/>
  <c r="AB453" i="5"/>
  <c r="AC444" i="5"/>
  <c r="AC435" i="5"/>
  <c r="AB428" i="5"/>
  <c r="AC421" i="5"/>
  <c r="AB421" i="5"/>
  <c r="AC412" i="5"/>
  <c r="AC403" i="5"/>
  <c r="AB396" i="5"/>
  <c r="AC389" i="5"/>
  <c r="AB389" i="5"/>
  <c r="AC380" i="5"/>
  <c r="AC371" i="5"/>
  <c r="AB364" i="5"/>
  <c r="AC357" i="5"/>
  <c r="AB357" i="5"/>
  <c r="AC348" i="5"/>
  <c r="AC339" i="5"/>
  <c r="AB304" i="5"/>
  <c r="AC300" i="5"/>
  <c r="AB300" i="5"/>
  <c r="AC263" i="5"/>
  <c r="AB216" i="5"/>
  <c r="AC210" i="5"/>
  <c r="AC205" i="5"/>
  <c r="AB205" i="5"/>
  <c r="AB176" i="5"/>
  <c r="AC172" i="5"/>
  <c r="AC1083" i="5" s="1"/>
  <c r="AB172" i="5"/>
  <c r="AC135" i="5"/>
  <c r="AC1080" i="5" s="1"/>
  <c r="AB88" i="5"/>
  <c r="AC77" i="5"/>
  <c r="AB77" i="5"/>
  <c r="AC1013" i="5"/>
  <c r="AB1006" i="5"/>
  <c r="AB992" i="5"/>
  <c r="AB974" i="5"/>
  <c r="AB960" i="5"/>
  <c r="AB942" i="5"/>
  <c r="AB928" i="5"/>
  <c r="AB910" i="5"/>
  <c r="AB896" i="5"/>
  <c r="AB878" i="5"/>
  <c r="AB864" i="5"/>
  <c r="AC853" i="5"/>
  <c r="AB853" i="5"/>
  <c r="AB846" i="5"/>
  <c r="AB832" i="5"/>
  <c r="AC821" i="5"/>
  <c r="AB821" i="5"/>
  <c r="AB814" i="5"/>
  <c r="AB800" i="5"/>
  <c r="AC789" i="5"/>
  <c r="AB789" i="5"/>
  <c r="AB782" i="5"/>
  <c r="AB766" i="5"/>
  <c r="AC747" i="5"/>
  <c r="AC743" i="5"/>
  <c r="AC742" i="5"/>
  <c r="AC732" i="5"/>
  <c r="AB732" i="5"/>
  <c r="AC717" i="5"/>
  <c r="AB717" i="5"/>
  <c r="AB702" i="5"/>
  <c r="AC683" i="5"/>
  <c r="AC679" i="5"/>
  <c r="AC678" i="5"/>
  <c r="AC668" i="5"/>
  <c r="AB668" i="5"/>
  <c r="AC653" i="5"/>
  <c r="AB653" i="5"/>
  <c r="AB638" i="5"/>
  <c r="AC619" i="5"/>
  <c r="AC615" i="5"/>
  <c r="AC614" i="5"/>
  <c r="AB602" i="5"/>
  <c r="AC583" i="5"/>
  <c r="AC582" i="5"/>
  <c r="AB570" i="5"/>
  <c r="AC551" i="5"/>
  <c r="AC550" i="5"/>
  <c r="AB538" i="5"/>
  <c r="AC519" i="5"/>
  <c r="AC518" i="5"/>
  <c r="AB506" i="5"/>
  <c r="AC487" i="5"/>
  <c r="AC486" i="5"/>
  <c r="AB474" i="5"/>
  <c r="AC455" i="5"/>
  <c r="AC454" i="5"/>
  <c r="AB442" i="5"/>
  <c r="AC433" i="5"/>
  <c r="AC423" i="5"/>
  <c r="AC422" i="5"/>
  <c r="AB410" i="5"/>
  <c r="AC391" i="5"/>
  <c r="AC390" i="5"/>
  <c r="AB378" i="5"/>
  <c r="AC359" i="5"/>
  <c r="AC358" i="5"/>
  <c r="AB346" i="5"/>
  <c r="AC212" i="5"/>
  <c r="AC207" i="5"/>
  <c r="AC206" i="5"/>
  <c r="AC84" i="5"/>
  <c r="AC82" i="5"/>
  <c r="AC79" i="5"/>
  <c r="AC78" i="5"/>
  <c r="AC57" i="5"/>
  <c r="AB57" i="5"/>
  <c r="AB320" i="5"/>
  <c r="AC309" i="5"/>
  <c r="AB309" i="5"/>
  <c r="AB288" i="5"/>
  <c r="AC277" i="5"/>
  <c r="AB277" i="5"/>
  <c r="AB256" i="5"/>
  <c r="AC250" i="5"/>
  <c r="AC245" i="5"/>
  <c r="AB245" i="5"/>
  <c r="AB224" i="5"/>
  <c r="AC218" i="5"/>
  <c r="AC213" i="5"/>
  <c r="AB213" i="5"/>
  <c r="AB192" i="5"/>
  <c r="AC186" i="5"/>
  <c r="AC181" i="5"/>
  <c r="AB181" i="5"/>
  <c r="AB160" i="5"/>
  <c r="AC149" i="5"/>
  <c r="AB149" i="5"/>
  <c r="AB128" i="5"/>
  <c r="AC117" i="5"/>
  <c r="AB117" i="5"/>
  <c r="AB96" i="5"/>
  <c r="AC85" i="5"/>
  <c r="AB85" i="5"/>
  <c r="AB64" i="5"/>
  <c r="AC59" i="5"/>
  <c r="AC51" i="5"/>
  <c r="AB26" i="5"/>
  <c r="S913" i="6"/>
  <c r="AC914" i="5"/>
  <c r="S601" i="6"/>
  <c r="AC602" i="5"/>
  <c r="AC1119" i="5" s="1"/>
  <c r="S537" i="6"/>
  <c r="AC538" i="5"/>
  <c r="N1115" i="6"/>
  <c r="N1117" i="6"/>
  <c r="N1116" i="6"/>
  <c r="T1117" i="6"/>
  <c r="T1116" i="6"/>
  <c r="T1115" i="6"/>
  <c r="T1114" i="6"/>
  <c r="AB1015" i="5"/>
  <c r="AB1007" i="5"/>
  <c r="AB999" i="5"/>
  <c r="AB991" i="5"/>
  <c r="AB983" i="5"/>
  <c r="AB975" i="5"/>
  <c r="AB967" i="5"/>
  <c r="AB959" i="5"/>
  <c r="AB951" i="5"/>
  <c r="AB943" i="5"/>
  <c r="AB935" i="5"/>
  <c r="AB927" i="5"/>
  <c r="AB919" i="5"/>
  <c r="AB911" i="5"/>
  <c r="AB903" i="5"/>
  <c r="AB895" i="5"/>
  <c r="AB887" i="5"/>
  <c r="AB879" i="5"/>
  <c r="AB871" i="5"/>
  <c r="AB863" i="5"/>
  <c r="AB855" i="5"/>
  <c r="AB847" i="5"/>
  <c r="AB839" i="5"/>
  <c r="AB831" i="5"/>
  <c r="AB823" i="5"/>
  <c r="AB815" i="5"/>
  <c r="AB807" i="5"/>
  <c r="AB799" i="5"/>
  <c r="AB791" i="5"/>
  <c r="AB783" i="5"/>
  <c r="AB775" i="5"/>
  <c r="AB767" i="5"/>
  <c r="AB759" i="5"/>
  <c r="AB751" i="5"/>
  <c r="AB743" i="5"/>
  <c r="AB735" i="5"/>
  <c r="AB727" i="5"/>
  <c r="AB719" i="5"/>
  <c r="AB711" i="5"/>
  <c r="AB703" i="5"/>
  <c r="AB695" i="5"/>
  <c r="AB687" i="5"/>
  <c r="AB679" i="5"/>
  <c r="AB671" i="5"/>
  <c r="AB663" i="5"/>
  <c r="AB655" i="5"/>
  <c r="AB647" i="5"/>
  <c r="AB639" i="5"/>
  <c r="AB631" i="5"/>
  <c r="AB623" i="5"/>
  <c r="AB615" i="5"/>
  <c r="AB607" i="5"/>
  <c r="AB599" i="5"/>
  <c r="AB591" i="5"/>
  <c r="AB583" i="5"/>
  <c r="AB575" i="5"/>
  <c r="AB567" i="5"/>
  <c r="AB559" i="5"/>
  <c r="AB551" i="5"/>
  <c r="AB543" i="5"/>
  <c r="AB535" i="5"/>
  <c r="AB527" i="5"/>
  <c r="AB519" i="5"/>
  <c r="AB511" i="5"/>
  <c r="AB503" i="5"/>
  <c r="AB495" i="5"/>
  <c r="AB487" i="5"/>
  <c r="AB479" i="5"/>
  <c r="AB471" i="5"/>
  <c r="AB463" i="5"/>
  <c r="AB455" i="5"/>
  <c r="AB447" i="5"/>
  <c r="AB439" i="5"/>
  <c r="AB431" i="5"/>
  <c r="AB423" i="5"/>
  <c r="AB415" i="5"/>
  <c r="AB407" i="5"/>
  <c r="AB399" i="5"/>
  <c r="AB391" i="5"/>
  <c r="AB383" i="5"/>
  <c r="AB375" i="5"/>
  <c r="AB367" i="5"/>
  <c r="AB359" i="5"/>
  <c r="AB351" i="5"/>
  <c r="AB343" i="5"/>
  <c r="AC310" i="5"/>
  <c r="AC278" i="5"/>
  <c r="AC246" i="5"/>
  <c r="AC214" i="5"/>
  <c r="AC182" i="5"/>
  <c r="AC156" i="5"/>
  <c r="AC154" i="5"/>
  <c r="AC150" i="5"/>
  <c r="AC122" i="5"/>
  <c r="AC118" i="5"/>
  <c r="AC90" i="5"/>
  <c r="AC86" i="5"/>
  <c r="AC60" i="5"/>
  <c r="S617" i="6"/>
  <c r="AC618" i="5"/>
  <c r="AB1011" i="5"/>
  <c r="AB1003" i="5"/>
  <c r="AB995" i="5"/>
  <c r="AB987" i="5"/>
  <c r="AB979" i="5"/>
  <c r="AB971" i="5"/>
  <c r="AB963" i="5"/>
  <c r="AB955" i="5"/>
  <c r="AB947" i="5"/>
  <c r="AB939" i="5"/>
  <c r="AB931" i="5"/>
  <c r="AB923" i="5"/>
  <c r="AB915" i="5"/>
  <c r="AB907" i="5"/>
  <c r="AB899" i="5"/>
  <c r="AB891" i="5"/>
  <c r="AB883" i="5"/>
  <c r="AB875" i="5"/>
  <c r="AB867" i="5"/>
  <c r="AB859" i="5"/>
  <c r="AB851" i="5"/>
  <c r="AB843" i="5"/>
  <c r="AB835" i="5"/>
  <c r="AB827" i="5"/>
  <c r="AB819" i="5"/>
  <c r="AB811" i="5"/>
  <c r="AB803" i="5"/>
  <c r="AB795" i="5"/>
  <c r="AB787" i="5"/>
  <c r="AB779" i="5"/>
  <c r="AB771" i="5"/>
  <c r="AB763" i="5"/>
  <c r="AB755" i="5"/>
  <c r="AB747" i="5"/>
  <c r="AB739" i="5"/>
  <c r="AB731" i="5"/>
  <c r="AB723" i="5"/>
  <c r="AB715" i="5"/>
  <c r="AB707" i="5"/>
  <c r="AB699" i="5"/>
  <c r="AB691" i="5"/>
  <c r="AB683" i="5"/>
  <c r="AB675" i="5"/>
  <c r="AB667" i="5"/>
  <c r="AB659" i="5"/>
  <c r="AB651" i="5"/>
  <c r="AB643" i="5"/>
  <c r="AB635" i="5"/>
  <c r="AB627" i="5"/>
  <c r="AB619" i="5"/>
  <c r="AB611" i="5"/>
  <c r="AB603" i="5"/>
  <c r="AB595" i="5"/>
  <c r="AB587" i="5"/>
  <c r="AB579" i="5"/>
  <c r="AB571" i="5"/>
  <c r="AB563" i="5"/>
  <c r="AB555" i="5"/>
  <c r="AB547" i="5"/>
  <c r="AB539" i="5"/>
  <c r="AB531" i="5"/>
  <c r="AB523" i="5"/>
  <c r="AB515" i="5"/>
  <c r="AB507" i="5"/>
  <c r="AB499" i="5"/>
  <c r="AB491" i="5"/>
  <c r="AB483" i="5"/>
  <c r="AB475" i="5"/>
  <c r="AB467" i="5"/>
  <c r="AB459" i="5"/>
  <c r="AB451" i="5"/>
  <c r="AB443" i="5"/>
  <c r="AB435" i="5"/>
  <c r="AB427" i="5"/>
  <c r="AB419" i="5"/>
  <c r="AB411" i="5"/>
  <c r="AB403" i="5"/>
  <c r="AB395" i="5"/>
  <c r="AB387" i="5"/>
  <c r="AB379" i="5"/>
  <c r="AB371" i="5"/>
  <c r="AB363" i="5"/>
  <c r="AB355" i="5"/>
  <c r="AB347" i="5"/>
  <c r="AB339" i="5"/>
  <c r="AB328" i="5"/>
  <c r="AC317" i="5"/>
  <c r="AB317" i="5"/>
  <c r="AB296" i="5"/>
  <c r="AC285" i="5"/>
  <c r="AB285" i="5"/>
  <c r="AB264" i="5"/>
  <c r="AC253" i="5"/>
  <c r="AB253" i="5"/>
  <c r="AB232" i="5"/>
  <c r="AC226" i="5"/>
  <c r="AC221" i="5"/>
  <c r="AB221" i="5"/>
  <c r="AB200" i="5"/>
  <c r="AC194" i="5"/>
  <c r="AC189" i="5"/>
  <c r="AB189" i="5"/>
  <c r="AB168" i="5"/>
  <c r="AC157" i="5"/>
  <c r="AB157" i="5"/>
  <c r="AB136" i="5"/>
  <c r="AC125" i="5"/>
  <c r="AB125" i="5"/>
  <c r="AB104" i="5"/>
  <c r="AC93" i="5"/>
  <c r="AB93" i="5"/>
  <c r="AB72" i="5"/>
  <c r="AC61" i="5"/>
  <c r="AB61" i="5"/>
  <c r="AC53" i="5"/>
  <c r="L960" i="6"/>
  <c r="L931" i="6"/>
  <c r="L659" i="6"/>
  <c r="L643" i="6"/>
  <c r="L616" i="6"/>
  <c r="AB776" i="5"/>
  <c r="AB768" i="5"/>
  <c r="AB760" i="5"/>
  <c r="AB752" i="5"/>
  <c r="AB744" i="5"/>
  <c r="AB736" i="5"/>
  <c r="AB728" i="5"/>
  <c r="AB720" i="5"/>
  <c r="AB712" i="5"/>
  <c r="AB704" i="5"/>
  <c r="AB696" i="5"/>
  <c r="AB688" i="5"/>
  <c r="AB680" i="5"/>
  <c r="AB672" i="5"/>
  <c r="AB664" i="5"/>
  <c r="AB656" i="5"/>
  <c r="AB648" i="5"/>
  <c r="AB640" i="5"/>
  <c r="AB632" i="5"/>
  <c r="AB624" i="5"/>
  <c r="AB616" i="5"/>
  <c r="AB608" i="5"/>
  <c r="AB600" i="5"/>
  <c r="AB592" i="5"/>
  <c r="AB584" i="5"/>
  <c r="AB576" i="5"/>
  <c r="AB568" i="5"/>
  <c r="AB560" i="5"/>
  <c r="AB552" i="5"/>
  <c r="AB544" i="5"/>
  <c r="AB536" i="5"/>
  <c r="AB528" i="5"/>
  <c r="AB520" i="5"/>
  <c r="AB512" i="5"/>
  <c r="AB504" i="5"/>
  <c r="AB496" i="5"/>
  <c r="AB488" i="5"/>
  <c r="AB480" i="5"/>
  <c r="AB472" i="5"/>
  <c r="AB464" i="5"/>
  <c r="AB456" i="5"/>
  <c r="AB448" i="5"/>
  <c r="AB440" i="5"/>
  <c r="AB432" i="5"/>
  <c r="AB424" i="5"/>
  <c r="AB416" i="5"/>
  <c r="AB408" i="5"/>
  <c r="AB400" i="5"/>
  <c r="AB392" i="5"/>
  <c r="AB384" i="5"/>
  <c r="AB376" i="5"/>
  <c r="AB368" i="5"/>
  <c r="AB360" i="5"/>
  <c r="AB352" i="5"/>
  <c r="AB344" i="5"/>
  <c r="AB336" i="5"/>
  <c r="AC324" i="5"/>
  <c r="AC319" i="5"/>
  <c r="AC318" i="5"/>
  <c r="AC292" i="5"/>
  <c r="AC287" i="5"/>
  <c r="AC286" i="5"/>
  <c r="AC260" i="5"/>
  <c r="AC255" i="5"/>
  <c r="AC254" i="5"/>
  <c r="AC228" i="5"/>
  <c r="AC223" i="5"/>
  <c r="AC222" i="5"/>
  <c r="AC196" i="5"/>
  <c r="AC191" i="5"/>
  <c r="AC190" i="5"/>
  <c r="AC164" i="5"/>
  <c r="AC162" i="5"/>
  <c r="AC159" i="5"/>
  <c r="AC158" i="5"/>
  <c r="AC132" i="5"/>
  <c r="AC130" i="5"/>
  <c r="AC127" i="5"/>
  <c r="AC126" i="5"/>
  <c r="AC100" i="5"/>
  <c r="AC98" i="5"/>
  <c r="AC95" i="5"/>
  <c r="AC94" i="5"/>
  <c r="AC68" i="5"/>
  <c r="AC66" i="5"/>
  <c r="AC63" i="5"/>
  <c r="AC62" i="5"/>
  <c r="AC54" i="5"/>
  <c r="AB46" i="5"/>
  <c r="AB45" i="5"/>
  <c r="AC43" i="5"/>
  <c r="AB43" i="5"/>
  <c r="AC42" i="5"/>
  <c r="AB494" i="5"/>
  <c r="AB486" i="5"/>
  <c r="AB478" i="5"/>
  <c r="AB470" i="5"/>
  <c r="AB462" i="5"/>
  <c r="AB454" i="5"/>
  <c r="AB446" i="5"/>
  <c r="AC442" i="5"/>
  <c r="AB438" i="5"/>
  <c r="AC434" i="5"/>
  <c r="AB430" i="5"/>
  <c r="AC426" i="5"/>
  <c r="AB422" i="5"/>
  <c r="AC418" i="5"/>
  <c r="AB414" i="5"/>
  <c r="AB406" i="5"/>
  <c r="AB398" i="5"/>
  <c r="AB390" i="5"/>
  <c r="AB382" i="5"/>
  <c r="AB374" i="5"/>
  <c r="AB366" i="5"/>
  <c r="AB358" i="5"/>
  <c r="AB350" i="5"/>
  <c r="AB342" i="5"/>
  <c r="AB334" i="5"/>
  <c r="AC330" i="5"/>
  <c r="AB326" i="5"/>
  <c r="AB318" i="5"/>
  <c r="AC314" i="5"/>
  <c r="AB310" i="5"/>
  <c r="AC306" i="5"/>
  <c r="AB302" i="5"/>
  <c r="AB294" i="5"/>
  <c r="AB286" i="5"/>
  <c r="AB278" i="5"/>
  <c r="AB270" i="5"/>
  <c r="AB262" i="5"/>
  <c r="AC41" i="5"/>
  <c r="AC27" i="5"/>
  <c r="AC24" i="5"/>
  <c r="L995" i="6"/>
  <c r="S793" i="6"/>
  <c r="AC794" i="5"/>
  <c r="S729" i="6"/>
  <c r="AC730" i="5"/>
  <c r="Q447" i="6"/>
  <c r="R1105" i="6"/>
  <c r="L434" i="6"/>
  <c r="C1104" i="6"/>
  <c r="I1099" i="6"/>
  <c r="S374" i="6"/>
  <c r="L365" i="6"/>
  <c r="C1098" i="6"/>
  <c r="Q346" i="6"/>
  <c r="R1096" i="6"/>
  <c r="S249" i="6"/>
  <c r="L215" i="6"/>
  <c r="C1085" i="6"/>
  <c r="S171" i="6"/>
  <c r="S1082" i="6" s="1"/>
  <c r="Q1082" i="6"/>
  <c r="L136" i="6"/>
  <c r="H1079" i="6"/>
  <c r="S86" i="6"/>
  <c r="S1075" i="6" s="1"/>
  <c r="Q1075" i="6"/>
  <c r="AB254" i="5"/>
  <c r="AB246" i="5"/>
  <c r="AB238" i="5"/>
  <c r="AB230" i="5"/>
  <c r="AB222" i="5"/>
  <c r="AB214" i="5"/>
  <c r="AB206" i="5"/>
  <c r="AB198" i="5"/>
  <c r="AB190" i="5"/>
  <c r="AB42" i="5"/>
  <c r="AB41" i="5"/>
  <c r="AC35" i="5"/>
  <c r="AC34" i="5"/>
  <c r="AB34" i="5"/>
  <c r="AC25" i="5"/>
  <c r="L1063" i="6"/>
  <c r="L1062" i="6"/>
  <c r="L883" i="6"/>
  <c r="S737" i="6"/>
  <c r="AC738" i="5"/>
  <c r="L702" i="6"/>
  <c r="I1105" i="6"/>
  <c r="L448" i="6"/>
  <c r="AB335" i="5"/>
  <c r="AB327" i="5"/>
  <c r="AB319" i="5"/>
  <c r="AB311" i="5"/>
  <c r="AB303" i="5"/>
  <c r="AB295" i="5"/>
  <c r="AB287" i="5"/>
  <c r="AB279" i="5"/>
  <c r="AB271" i="5"/>
  <c r="AB263" i="5"/>
  <c r="AB182" i="5"/>
  <c r="AB174" i="5"/>
  <c r="AB166" i="5"/>
  <c r="AB158" i="5"/>
  <c r="AB150" i="5"/>
  <c r="AB142" i="5"/>
  <c r="AB134" i="5"/>
  <c r="AB126" i="5"/>
  <c r="AB118" i="5"/>
  <c r="AB110" i="5"/>
  <c r="AB102" i="5"/>
  <c r="AB94" i="5"/>
  <c r="AB86" i="5"/>
  <c r="AB78" i="5"/>
  <c r="AB70" i="5"/>
  <c r="AB62" i="5"/>
  <c r="AC36" i="5"/>
  <c r="AC33" i="5"/>
  <c r="AB25" i="5"/>
  <c r="AB24" i="5"/>
  <c r="L1022" i="6"/>
  <c r="L897" i="6"/>
  <c r="L493" i="6"/>
  <c r="D1109" i="6"/>
  <c r="I1106" i="6"/>
  <c r="L457" i="6"/>
  <c r="L449" i="6"/>
  <c r="E1105" i="6"/>
  <c r="AB331" i="5"/>
  <c r="AB323" i="5"/>
  <c r="AB315" i="5"/>
  <c r="AB307" i="5"/>
  <c r="AB299" i="5"/>
  <c r="AB291" i="5"/>
  <c r="AB283" i="5"/>
  <c r="AB275" i="5"/>
  <c r="AB267" i="5"/>
  <c r="AB259" i="5"/>
  <c r="AB255" i="5"/>
  <c r="AB251" i="5"/>
  <c r="AB247" i="5"/>
  <c r="AB243" i="5"/>
  <c r="AB239" i="5"/>
  <c r="AB235" i="5"/>
  <c r="AB231" i="5"/>
  <c r="AB227" i="5"/>
  <c r="AB223" i="5"/>
  <c r="AB219" i="5"/>
  <c r="AB1087" i="5" s="1"/>
  <c r="AB215" i="5"/>
  <c r="AB211" i="5"/>
  <c r="AB207" i="5"/>
  <c r="AB203" i="5"/>
  <c r="AB199" i="5"/>
  <c r="AB195" i="5"/>
  <c r="AB191" i="5"/>
  <c r="AB187" i="5"/>
  <c r="AB183" i="5"/>
  <c r="AB179" i="5"/>
  <c r="AB175" i="5"/>
  <c r="AB171" i="5"/>
  <c r="AB1083" i="5" s="1"/>
  <c r="AB167" i="5"/>
  <c r="AB163" i="5"/>
  <c r="AB159" i="5"/>
  <c r="AB155" i="5"/>
  <c r="AB151" i="5"/>
  <c r="AB147" i="5"/>
  <c r="AB143" i="5"/>
  <c r="AB139" i="5"/>
  <c r="AB135" i="5"/>
  <c r="AB131" i="5"/>
  <c r="AB127" i="5"/>
  <c r="AB123" i="5"/>
  <c r="AB119" i="5"/>
  <c r="AB115" i="5"/>
  <c r="AB111" i="5"/>
  <c r="AB107" i="5"/>
  <c r="AB103" i="5"/>
  <c r="AB99" i="5"/>
  <c r="AB95" i="5"/>
  <c r="AB91" i="5"/>
  <c r="AB87" i="5"/>
  <c r="AB83" i="5"/>
  <c r="AB79" i="5"/>
  <c r="AB75" i="5"/>
  <c r="AB1075" i="5" s="1"/>
  <c r="AB71" i="5"/>
  <c r="AB67" i="5"/>
  <c r="AB63" i="5"/>
  <c r="AC47" i="5"/>
  <c r="L1036" i="6"/>
  <c r="L986" i="6"/>
  <c r="S665" i="6"/>
  <c r="AC666" i="5"/>
  <c r="L605" i="6"/>
  <c r="S521" i="6"/>
  <c r="AC522" i="5"/>
  <c r="F1108" i="6"/>
  <c r="L474" i="6"/>
  <c r="L1107" i="6" s="1"/>
  <c r="E1107" i="6"/>
  <c r="AC26" i="5"/>
  <c r="L1061" i="6"/>
  <c r="L1057" i="6"/>
  <c r="L1053" i="6"/>
  <c r="L1015" i="6"/>
  <c r="L1007" i="6"/>
  <c r="L992" i="6"/>
  <c r="L977" i="6"/>
  <c r="L974" i="6"/>
  <c r="L900" i="6"/>
  <c r="L895" i="6"/>
  <c r="L880" i="6"/>
  <c r="Q472" i="6"/>
  <c r="R1107" i="6"/>
  <c r="Q456" i="6"/>
  <c r="AC457" i="5" s="1"/>
  <c r="AC1107" i="5" s="1"/>
  <c r="R1106" i="6"/>
  <c r="L440" i="6"/>
  <c r="I1104" i="6"/>
  <c r="L433" i="6"/>
  <c r="F1104" i="6"/>
  <c r="R1103" i="6"/>
  <c r="AB35" i="5"/>
  <c r="L1060" i="6"/>
  <c r="L1019" i="6"/>
  <c r="L991" i="6"/>
  <c r="L899" i="6"/>
  <c r="L879" i="6"/>
  <c r="L842" i="6"/>
  <c r="L839" i="6"/>
  <c r="L834" i="6"/>
  <c r="L766" i="6"/>
  <c r="L723" i="6"/>
  <c r="L638" i="6"/>
  <c r="L545" i="6"/>
  <c r="Q483" i="6"/>
  <c r="AC484" i="5" s="1"/>
  <c r="AC1109" i="5" s="1"/>
  <c r="R1108" i="6"/>
  <c r="L481" i="6"/>
  <c r="L1108" i="6" s="1"/>
  <c r="I1108" i="6"/>
  <c r="Q418" i="6"/>
  <c r="R1102" i="6"/>
  <c r="L393" i="6"/>
  <c r="F1100" i="6"/>
  <c r="Q386" i="6"/>
  <c r="R1100" i="6"/>
  <c r="Q382" i="6"/>
  <c r="S382" i="6" s="1"/>
  <c r="R1099" i="6"/>
  <c r="I1096" i="6"/>
  <c r="L347" i="6"/>
  <c r="L1033" i="6"/>
  <c r="L1030" i="6"/>
  <c r="L990" i="6"/>
  <c r="L979" i="6"/>
  <c r="L959" i="6"/>
  <c r="L932" i="6"/>
  <c r="L878" i="6"/>
  <c r="L869" i="6"/>
  <c r="F1111" i="6"/>
  <c r="F1113" i="6"/>
  <c r="F1115" i="6"/>
  <c r="F1117" i="6"/>
  <c r="F1110" i="6"/>
  <c r="F1112" i="6"/>
  <c r="F1114" i="6"/>
  <c r="F1116" i="6"/>
  <c r="L506" i="6"/>
  <c r="E1111" i="6"/>
  <c r="L504" i="6"/>
  <c r="I1110" i="6"/>
  <c r="Q499" i="6"/>
  <c r="R1109" i="6"/>
  <c r="L419" i="6"/>
  <c r="I1102" i="6"/>
  <c r="L394" i="6"/>
  <c r="C1100" i="6"/>
  <c r="E1097" i="6"/>
  <c r="AB23" i="5"/>
  <c r="AC22" i="5"/>
  <c r="A1096" i="6"/>
  <c r="B1095" i="6"/>
  <c r="L1016" i="6"/>
  <c r="L1008" i="6"/>
  <c r="L947" i="6"/>
  <c r="L939" i="6"/>
  <c r="L896" i="6"/>
  <c r="L680" i="6"/>
  <c r="L645" i="6"/>
  <c r="L525" i="6"/>
  <c r="L513" i="6"/>
  <c r="E1113" i="6"/>
  <c r="E1115" i="6"/>
  <c r="E1117" i="6"/>
  <c r="I1112" i="6"/>
  <c r="I1114" i="6"/>
  <c r="I1116" i="6"/>
  <c r="Q511" i="6"/>
  <c r="R1112" i="6"/>
  <c r="R1114" i="6"/>
  <c r="R1116" i="6"/>
  <c r="R1111" i="6"/>
  <c r="R1113" i="6"/>
  <c r="R1115" i="6"/>
  <c r="R1117" i="6"/>
  <c r="L429" i="6"/>
  <c r="L1045" i="6"/>
  <c r="L1040" i="6"/>
  <c r="L1027" i="6"/>
  <c r="L1021" i="6"/>
  <c r="L1003" i="6"/>
  <c r="L997" i="6"/>
  <c r="L984" i="6"/>
  <c r="L971" i="6"/>
  <c r="L965" i="6"/>
  <c r="L952" i="6"/>
  <c r="L941" i="6"/>
  <c r="L936" i="6"/>
  <c r="L925" i="6"/>
  <c r="L920" i="6"/>
  <c r="L909" i="6"/>
  <c r="L904" i="6"/>
  <c r="L891" i="6"/>
  <c r="L885" i="6"/>
  <c r="L872" i="6"/>
  <c r="L864" i="6"/>
  <c r="L814" i="6"/>
  <c r="L750" i="6"/>
  <c r="L686" i="6"/>
  <c r="L622" i="6"/>
  <c r="L590" i="6"/>
  <c r="L582" i="6"/>
  <c r="L557" i="6"/>
  <c r="L495" i="6"/>
  <c r="L463" i="6"/>
  <c r="L1044" i="6"/>
  <c r="L1020" i="6"/>
  <c r="L996" i="6"/>
  <c r="L964" i="6"/>
  <c r="L940" i="6"/>
  <c r="L924" i="6"/>
  <c r="L908" i="6"/>
  <c r="L884" i="6"/>
  <c r="L866" i="6"/>
  <c r="L861" i="6"/>
  <c r="L831" i="6"/>
  <c r="L813" i="6"/>
  <c r="L805" i="6"/>
  <c r="L749" i="6"/>
  <c r="L741" i="6"/>
  <c r="L685" i="6"/>
  <c r="L677" i="6"/>
  <c r="L621" i="6"/>
  <c r="L606" i="6"/>
  <c r="L588" i="6"/>
  <c r="L359" i="6"/>
  <c r="L1048" i="6"/>
  <c r="L1037" i="6"/>
  <c r="L1024" i="6"/>
  <c r="L1011" i="6"/>
  <c r="L1000" i="6"/>
  <c r="L987" i="6"/>
  <c r="L981" i="6"/>
  <c r="L968" i="6"/>
  <c r="L955" i="6"/>
  <c r="L949" i="6"/>
  <c r="L944" i="6"/>
  <c r="L933" i="6"/>
  <c r="L928" i="6"/>
  <c r="L917" i="6"/>
  <c r="L912" i="6"/>
  <c r="L901" i="6"/>
  <c r="L888" i="6"/>
  <c r="L875" i="6"/>
  <c r="L868" i="6"/>
  <c r="L782" i="6"/>
  <c r="L718" i="6"/>
  <c r="L654" i="6"/>
  <c r="L613" i="6"/>
  <c r="L572" i="6"/>
  <c r="L547" i="6"/>
  <c r="L414" i="6"/>
  <c r="L399" i="6"/>
  <c r="L375" i="6"/>
  <c r="L367" i="6"/>
  <c r="L1056" i="6"/>
  <c r="L1052" i="6"/>
  <c r="L1028" i="6"/>
  <c r="L1004" i="6"/>
  <c r="L972" i="6"/>
  <c r="L892" i="6"/>
  <c r="L859" i="6"/>
  <c r="L838" i="6"/>
  <c r="L835" i="6"/>
  <c r="L833" i="6"/>
  <c r="L797" i="6"/>
  <c r="L789" i="6"/>
  <c r="L733" i="6"/>
  <c r="L725" i="6"/>
  <c r="L669" i="6"/>
  <c r="L661" i="6"/>
  <c r="L589" i="6"/>
  <c r="L550" i="6"/>
  <c r="L387" i="6"/>
  <c r="L850" i="6"/>
  <c r="L846" i="6"/>
  <c r="L823" i="6"/>
  <c r="L818" i="6"/>
  <c r="L807" i="6"/>
  <c r="L802" i="6"/>
  <c r="L791" i="6"/>
  <c r="L786" i="6"/>
  <c r="L775" i="6"/>
  <c r="L770" i="6"/>
  <c r="L759" i="6"/>
  <c r="L754" i="6"/>
  <c r="L743" i="6"/>
  <c r="L738" i="6"/>
  <c r="L727" i="6"/>
  <c r="L722" i="6"/>
  <c r="L711" i="6"/>
  <c r="L706" i="6"/>
  <c r="L695" i="6"/>
  <c r="L690" i="6"/>
  <c r="L679" i="6"/>
  <c r="L674" i="6"/>
  <c r="L663" i="6"/>
  <c r="L658" i="6"/>
  <c r="L647" i="6"/>
  <c r="L642" i="6"/>
  <c r="L631" i="6"/>
  <c r="L626" i="6"/>
  <c r="L615" i="6"/>
  <c r="L610" i="6"/>
  <c r="L599" i="6"/>
  <c r="L583" i="6"/>
  <c r="L567" i="6"/>
  <c r="L551" i="6"/>
  <c r="L537" i="6"/>
  <c r="L401" i="6"/>
  <c r="L379" i="6"/>
  <c r="L377" i="6"/>
  <c r="L369" i="6"/>
  <c r="L870" i="6"/>
  <c r="L837" i="6"/>
  <c r="L822" i="6"/>
  <c r="L806" i="6"/>
  <c r="L790" i="6"/>
  <c r="L774" i="6"/>
  <c r="L758" i="6"/>
  <c r="L742" i="6"/>
  <c r="L726" i="6"/>
  <c r="L710" i="6"/>
  <c r="L694" i="6"/>
  <c r="L678" i="6"/>
  <c r="L662" i="6"/>
  <c r="L646" i="6"/>
  <c r="L630" i="6"/>
  <c r="L614" i="6"/>
  <c r="L585" i="6"/>
  <c r="L569" i="6"/>
  <c r="L553" i="6"/>
  <c r="L523" i="6"/>
  <c r="L522" i="6"/>
  <c r="L516" i="6"/>
  <c r="L487" i="6"/>
  <c r="L484" i="6"/>
  <c r="L455" i="6"/>
  <c r="L452" i="6"/>
  <c r="L354" i="6"/>
  <c r="L351" i="6"/>
  <c r="L327" i="6"/>
  <c r="L845" i="6"/>
  <c r="L826" i="6"/>
  <c r="L815" i="6"/>
  <c r="L810" i="6"/>
  <c r="L799" i="6"/>
  <c r="L794" i="6"/>
  <c r="L783" i="6"/>
  <c r="L778" i="6"/>
  <c r="L767" i="6"/>
  <c r="L762" i="6"/>
  <c r="L751" i="6"/>
  <c r="L746" i="6"/>
  <c r="L735" i="6"/>
  <c r="L730" i="6"/>
  <c r="L719" i="6"/>
  <c r="L714" i="6"/>
  <c r="L703" i="6"/>
  <c r="L698" i="6"/>
  <c r="L687" i="6"/>
  <c r="L682" i="6"/>
  <c r="L671" i="6"/>
  <c r="L666" i="6"/>
  <c r="L655" i="6"/>
  <c r="L650" i="6"/>
  <c r="L639" i="6"/>
  <c r="L634" i="6"/>
  <c r="L623" i="6"/>
  <c r="L618" i="6"/>
  <c r="L607" i="6"/>
  <c r="L602" i="6"/>
  <c r="L591" i="6"/>
  <c r="L575" i="6"/>
  <c r="L559" i="6"/>
  <c r="L546" i="6"/>
  <c r="L519" i="6"/>
  <c r="L515" i="6"/>
  <c r="L422" i="6"/>
  <c r="L330" i="6"/>
  <c r="L306" i="6"/>
  <c r="L853" i="6"/>
  <c r="L597" i="6"/>
  <c r="L581" i="6"/>
  <c r="L565" i="6"/>
  <c r="L539" i="6"/>
  <c r="L538" i="6"/>
  <c r="L532" i="6"/>
  <c r="L529" i="6"/>
  <c r="L511" i="6"/>
  <c r="L508" i="6"/>
  <c r="L479" i="6"/>
  <c r="L476" i="6"/>
  <c r="L475" i="6"/>
  <c r="L447" i="6"/>
  <c r="L444" i="6"/>
  <c r="L443" i="6"/>
  <c r="L343" i="6"/>
  <c r="L309" i="6"/>
  <c r="L233" i="6"/>
  <c r="L415" i="6"/>
  <c r="L398" i="6"/>
  <c r="L378" i="6"/>
  <c r="L277" i="6"/>
  <c r="L200" i="6"/>
  <c r="L438" i="6"/>
  <c r="L407" i="6"/>
  <c r="L390" i="6"/>
  <c r="L370" i="6"/>
  <c r="L301" i="6"/>
  <c r="L294" i="6"/>
  <c r="L280" i="6"/>
  <c r="L279" i="6"/>
  <c r="L413" i="6"/>
  <c r="L410" i="6"/>
  <c r="L383" i="6"/>
  <c r="L366" i="6"/>
  <c r="L350" i="6"/>
  <c r="L334" i="6"/>
  <c r="L318" i="6"/>
  <c r="L209" i="6"/>
  <c r="L426" i="6"/>
  <c r="L423" i="6"/>
  <c r="L406" i="6"/>
  <c r="L389" i="6"/>
  <c r="L386" i="6"/>
  <c r="L432" i="6"/>
  <c r="L424" i="6"/>
  <c r="L416" i="6"/>
  <c r="L408" i="6"/>
  <c r="L400" i="6"/>
  <c r="L392" i="6"/>
  <c r="L384" i="6"/>
  <c r="L1100" i="6" s="1"/>
  <c r="L376" i="6"/>
  <c r="L368" i="6"/>
  <c r="L360" i="6"/>
  <c r="L352" i="6"/>
  <c r="L344" i="6"/>
  <c r="L336" i="6"/>
  <c r="L328" i="6"/>
  <c r="L320" i="6"/>
  <c r="L312" i="6"/>
  <c r="L295" i="6"/>
  <c r="L292" i="6"/>
  <c r="L264" i="6"/>
  <c r="L261" i="6"/>
  <c r="L231" i="6"/>
  <c r="L151" i="6"/>
  <c r="L297" i="6"/>
  <c r="L271" i="6"/>
  <c r="L267" i="6"/>
  <c r="L224" i="6"/>
  <c r="L436" i="6"/>
  <c r="L428" i="6"/>
  <c r="L420" i="6"/>
  <c r="L412" i="6"/>
  <c r="L404" i="6"/>
  <c r="L396" i="6"/>
  <c r="L388" i="6"/>
  <c r="L380" i="6"/>
  <c r="L372" i="6"/>
  <c r="L364" i="6"/>
  <c r="L356" i="6"/>
  <c r="L348" i="6"/>
  <c r="L1097" i="6" s="1"/>
  <c r="L340" i="6"/>
  <c r="L332" i="6"/>
  <c r="L324" i="6"/>
  <c r="L316" i="6"/>
  <c r="L308" i="6"/>
  <c r="L278" i="6"/>
  <c r="L274" i="6"/>
  <c r="L270" i="6"/>
  <c r="L255" i="6"/>
  <c r="L251" i="6"/>
  <c r="L239" i="6"/>
  <c r="L225" i="6"/>
  <c r="L211" i="6"/>
  <c r="L183" i="6"/>
  <c r="L87" i="6"/>
  <c r="L290" i="6"/>
  <c r="L262" i="6"/>
  <c r="L254" i="6"/>
  <c r="L201" i="6"/>
  <c r="L188" i="6"/>
  <c r="L185" i="6"/>
  <c r="L172" i="6"/>
  <c r="L169" i="6"/>
  <c r="L1082" i="6" s="1"/>
  <c r="L156" i="6"/>
  <c r="L1081" i="6" s="1"/>
  <c r="L153" i="6"/>
  <c r="L140" i="6"/>
  <c r="L123" i="6"/>
  <c r="L120" i="6"/>
  <c r="L276" i="6"/>
  <c r="L260" i="6"/>
  <c r="L244" i="6"/>
  <c r="L1088" i="6" s="1"/>
  <c r="L238" i="6"/>
  <c r="L213" i="6"/>
  <c r="L206" i="6"/>
  <c r="L88" i="6"/>
  <c r="L282" i="6"/>
  <c r="L266" i="6"/>
  <c r="L250" i="6"/>
  <c r="L218" i="6"/>
  <c r="L1086" i="6" s="1"/>
  <c r="L193" i="6"/>
  <c r="L1084" i="6" s="1"/>
  <c r="L177" i="6"/>
  <c r="L161" i="6"/>
  <c r="L145" i="6"/>
  <c r="L129" i="6"/>
  <c r="L43" i="6"/>
  <c r="L39" i="6"/>
  <c r="L272" i="6"/>
  <c r="L256" i="6"/>
  <c r="L229" i="6"/>
  <c r="L189" i="6"/>
  <c r="L173" i="6"/>
  <c r="L157" i="6"/>
  <c r="L141" i="6"/>
  <c r="L109" i="6"/>
  <c r="L195" i="6"/>
  <c r="L179" i="6"/>
  <c r="L163" i="6"/>
  <c r="L147" i="6"/>
  <c r="L131" i="6"/>
  <c r="L101" i="6"/>
  <c r="L67" i="6"/>
  <c r="L50" i="6"/>
  <c r="L1072" i="6" s="1"/>
  <c r="S28" i="6"/>
  <c r="S1070" i="6" s="1"/>
  <c r="L27" i="6"/>
  <c r="L137" i="6"/>
  <c r="L125" i="6"/>
  <c r="L112" i="6"/>
  <c r="L80" i="6"/>
  <c r="L64" i="6"/>
  <c r="S33" i="6"/>
  <c r="L191" i="6"/>
  <c r="L175" i="6"/>
  <c r="L159" i="6"/>
  <c r="L143" i="6"/>
  <c r="L127" i="6"/>
  <c r="L93" i="6"/>
  <c r="L38" i="6"/>
  <c r="S31" i="6"/>
  <c r="L30" i="6"/>
  <c r="L197" i="6"/>
  <c r="L181" i="6"/>
  <c r="L165" i="6"/>
  <c r="L149" i="6"/>
  <c r="L133" i="6"/>
  <c r="L104" i="6"/>
  <c r="Q40" i="6"/>
  <c r="S40" i="6" s="1"/>
  <c r="L45" i="6"/>
  <c r="S42" i="6"/>
  <c r="L23" i="6"/>
  <c r="L1069" i="6" s="1"/>
  <c r="L122" i="6"/>
  <c r="L114" i="6"/>
  <c r="L106" i="6"/>
  <c r="L98" i="6"/>
  <c r="L90" i="6"/>
  <c r="L82" i="6"/>
  <c r="L74" i="6"/>
  <c r="L1074" i="6" s="1"/>
  <c r="L66" i="6"/>
  <c r="L58" i="6"/>
  <c r="L41" i="6"/>
  <c r="L35" i="6"/>
  <c r="L116" i="6"/>
  <c r="L108" i="6"/>
  <c r="L1077" i="6" s="1"/>
  <c r="L100" i="6"/>
  <c r="L92" i="6"/>
  <c r="L84" i="6"/>
  <c r="L76" i="6"/>
  <c r="L68" i="6"/>
  <c r="L60" i="6"/>
  <c r="L52" i="6"/>
  <c r="L47" i="6"/>
  <c r="S44" i="6"/>
  <c r="AB1098" i="5" l="1"/>
  <c r="AB1106" i="5"/>
  <c r="AB1079" i="5"/>
  <c r="AB1114" i="5"/>
  <c r="AB1078" i="5"/>
  <c r="AB1115" i="5"/>
  <c r="AB1091" i="5"/>
  <c r="AB1081" i="5"/>
  <c r="AC1078" i="5"/>
  <c r="AC1101" i="5"/>
  <c r="AC1094" i="5"/>
  <c r="AB1073" i="5"/>
  <c r="AB1090" i="5"/>
  <c r="AB1107" i="5"/>
  <c r="AB1119" i="5"/>
  <c r="AC1118" i="5"/>
  <c r="AB1095" i="5"/>
  <c r="AC1081" i="5"/>
  <c r="AC1072" i="5"/>
  <c r="AC1090" i="5"/>
  <c r="AC1098" i="5"/>
  <c r="AC1117" i="5"/>
  <c r="AC1091" i="5"/>
  <c r="L1092" i="6"/>
  <c r="Q1112" i="6"/>
  <c r="Q1114" i="6"/>
  <c r="Q1116" i="6"/>
  <c r="S511" i="6"/>
  <c r="Q1111" i="6"/>
  <c r="Q1115" i="6"/>
  <c r="Q1117" i="6"/>
  <c r="Q1113" i="6"/>
  <c r="Q1096" i="6"/>
  <c r="S346" i="6"/>
  <c r="S1096" i="6" s="1"/>
  <c r="AB1097" i="5"/>
  <c r="AB1113" i="5"/>
  <c r="AC1092" i="5"/>
  <c r="AC1113" i="5"/>
  <c r="AC1103" i="5"/>
  <c r="AC1114" i="5"/>
  <c r="AC512" i="5"/>
  <c r="AC1111" i="5" s="1"/>
  <c r="S234" i="6"/>
  <c r="S1087" i="6" s="1"/>
  <c r="Q1087" i="6"/>
  <c r="C1119" i="3"/>
  <c r="A1120" i="3"/>
  <c r="E1119" i="3"/>
  <c r="F1119" i="3"/>
  <c r="G1119" i="3"/>
  <c r="H1119" i="3"/>
  <c r="I1119" i="3"/>
  <c r="J1119" i="3"/>
  <c r="K1119" i="3"/>
  <c r="B1119" i="3"/>
  <c r="L1103" i="6"/>
  <c r="AB1088" i="5"/>
  <c r="AC1093" i="5"/>
  <c r="L1117" i="6"/>
  <c r="L1116" i="6"/>
  <c r="L1115" i="6"/>
  <c r="S499" i="6"/>
  <c r="S1109" i="6" s="1"/>
  <c r="Q1109" i="6"/>
  <c r="S418" i="6"/>
  <c r="S1102" i="6" s="1"/>
  <c r="Q1102" i="6"/>
  <c r="AC1086" i="5"/>
  <c r="AB1101" i="5"/>
  <c r="AC1073" i="5"/>
  <c r="L1073" i="6"/>
  <c r="L1079" i="6"/>
  <c r="L1091" i="6"/>
  <c r="L1099" i="6"/>
  <c r="L1090" i="6"/>
  <c r="AB1070" i="5"/>
  <c r="Q1099" i="6"/>
  <c r="AC1095" i="5"/>
  <c r="AB1074" i="5"/>
  <c r="AB1099" i="5"/>
  <c r="AC1079" i="5"/>
  <c r="AC1076" i="5"/>
  <c r="AB1084" i="5"/>
  <c r="AC1108" i="5"/>
  <c r="AC235" i="5"/>
  <c r="AC1088" i="5" s="1"/>
  <c r="AC500" i="5"/>
  <c r="S1071" i="6"/>
  <c r="AB1092" i="5"/>
  <c r="L1096" i="6"/>
  <c r="B1096" i="6"/>
  <c r="A1097" i="6"/>
  <c r="AB1071" i="5"/>
  <c r="AC1085" i="5"/>
  <c r="AC1087" i="5"/>
  <c r="AB1086" i="5"/>
  <c r="AB1117" i="5"/>
  <c r="L1102" i="6"/>
  <c r="Q1106" i="6"/>
  <c r="S456" i="6"/>
  <c r="S1106" i="6" s="1"/>
  <c r="AB1109" i="5"/>
  <c r="Q1071" i="6"/>
  <c r="L1080" i="6"/>
  <c r="L1078" i="6"/>
  <c r="L1098" i="6"/>
  <c r="L1105" i="6"/>
  <c r="L1110" i="6"/>
  <c r="S472" i="6"/>
  <c r="S1107" i="6" s="1"/>
  <c r="Q1107" i="6"/>
  <c r="S1099" i="6"/>
  <c r="AB1100" i="5"/>
  <c r="AB1108" i="5"/>
  <c r="AC1077" i="5"/>
  <c r="AC1074" i="5"/>
  <c r="AB1082" i="5"/>
  <c r="AB1105" i="5"/>
  <c r="AC1084" i="5"/>
  <c r="AB1103" i="5"/>
  <c r="AB1112" i="5"/>
  <c r="AB1110" i="5"/>
  <c r="S117" i="6"/>
  <c r="S1077" i="6" s="1"/>
  <c r="Q1077" i="6"/>
  <c r="S250" i="6"/>
  <c r="AC251" i="5"/>
  <c r="AC1089" i="5" s="1"/>
  <c r="AB1072" i="5"/>
  <c r="AC1115" i="5"/>
  <c r="AB1089" i="5"/>
  <c r="L1071" i="6"/>
  <c r="S504" i="6"/>
  <c r="S1110" i="6" s="1"/>
  <c r="Q1110" i="6"/>
  <c r="L1095" i="6"/>
  <c r="L1104" i="6"/>
  <c r="L1109" i="6"/>
  <c r="AB1080" i="5"/>
  <c r="Q1088" i="6"/>
  <c r="AB1096" i="5"/>
  <c r="AC1082" i="5"/>
  <c r="AB1104" i="5"/>
  <c r="AC1112" i="5"/>
  <c r="AB1102" i="5"/>
  <c r="AC1110" i="5"/>
  <c r="AB1116" i="5"/>
  <c r="AC1075" i="5"/>
  <c r="D1120" i="5"/>
  <c r="L1120" i="5"/>
  <c r="T1120" i="5"/>
  <c r="E1120" i="5"/>
  <c r="M1120" i="5"/>
  <c r="U1120" i="5"/>
  <c r="F1120" i="5"/>
  <c r="N1120" i="5"/>
  <c r="V1120" i="5"/>
  <c r="G1120" i="5"/>
  <c r="O1120" i="5"/>
  <c r="W1120" i="5"/>
  <c r="I1120" i="5"/>
  <c r="AB1120" i="5"/>
  <c r="J1120" i="5"/>
  <c r="AC1120" i="5"/>
  <c r="K1120" i="5"/>
  <c r="A1121" i="5"/>
  <c r="P1120" i="5"/>
  <c r="R1120" i="5"/>
  <c r="S1120" i="5"/>
  <c r="H1120" i="5"/>
  <c r="X1120" i="5"/>
  <c r="B1120" i="5"/>
  <c r="C1120" i="5"/>
  <c r="Q1120" i="5"/>
  <c r="AC1116" i="5"/>
  <c r="L1070" i="6"/>
  <c r="C1119" i="4"/>
  <c r="A1120" i="4"/>
  <c r="E1119" i="4"/>
  <c r="F1119" i="4"/>
  <c r="B1119" i="4"/>
  <c r="D1119" i="4"/>
  <c r="G1119" i="4"/>
  <c r="H1119" i="4"/>
  <c r="I1119" i="4"/>
  <c r="J1119" i="4"/>
  <c r="L1114" i="6"/>
  <c r="L1113" i="6"/>
  <c r="Q1105" i="6"/>
  <c r="S447" i="6"/>
  <c r="S1105" i="6" s="1"/>
  <c r="AC448" i="5"/>
  <c r="AC1106" i="5" s="1"/>
  <c r="AB1094" i="5"/>
  <c r="L1076" i="6"/>
  <c r="AC1070" i="5"/>
  <c r="AB1093" i="5"/>
  <c r="AB1076" i="5"/>
  <c r="L1075" i="6"/>
  <c r="L1083" i="6"/>
  <c r="L1087" i="6"/>
  <c r="L1085" i="6"/>
  <c r="L1089" i="6"/>
  <c r="L1101" i="6"/>
  <c r="L1094" i="6"/>
  <c r="L1093" i="6"/>
  <c r="L1111" i="6"/>
  <c r="L1112" i="6"/>
  <c r="S386" i="6"/>
  <c r="S1100" i="6" s="1"/>
  <c r="Q1100" i="6"/>
  <c r="S483" i="6"/>
  <c r="S1108" i="6" s="1"/>
  <c r="Q1108" i="6"/>
  <c r="AB1077" i="5"/>
  <c r="AB1085" i="5"/>
  <c r="AC1071" i="5"/>
  <c r="S1088" i="6"/>
  <c r="AB1111" i="5"/>
  <c r="AC1104" i="5"/>
  <c r="AC1096" i="5"/>
  <c r="AC441" i="5"/>
  <c r="AC1105" i="5" s="1"/>
  <c r="AC347" i="5"/>
  <c r="AC1097" i="5" s="1"/>
  <c r="AC1102" i="5"/>
  <c r="AB1118" i="5"/>
  <c r="AC1100" i="5"/>
  <c r="AC1099" i="5"/>
  <c r="S1116" i="6" l="1"/>
  <c r="S1113" i="6"/>
  <c r="S1115" i="6"/>
  <c r="S1117" i="6"/>
  <c r="S1111" i="6"/>
  <c r="S1114" i="6"/>
  <c r="S1112" i="6"/>
  <c r="I1120" i="4"/>
  <c r="C1120" i="4"/>
  <c r="A1121" i="4"/>
  <c r="D1120" i="4"/>
  <c r="E1120" i="4"/>
  <c r="F1120" i="4"/>
  <c r="G1120" i="4"/>
  <c r="H1120" i="4"/>
  <c r="J1120" i="4"/>
  <c r="B1120" i="4"/>
  <c r="A1098" i="6"/>
  <c r="B1097" i="6"/>
  <c r="B1121" i="5"/>
  <c r="J1121" i="5"/>
  <c r="R1121" i="5"/>
  <c r="AC1121" i="5"/>
  <c r="C1121" i="5"/>
  <c r="K1121" i="5"/>
  <c r="S1121" i="5"/>
  <c r="A1122" i="5"/>
  <c r="D1121" i="5"/>
  <c r="L1121" i="5"/>
  <c r="T1121" i="5"/>
  <c r="E1121" i="5"/>
  <c r="M1121" i="5"/>
  <c r="U1121" i="5"/>
  <c r="O1121" i="5"/>
  <c r="P1121" i="5"/>
  <c r="Q1121" i="5"/>
  <c r="F1121" i="5"/>
  <c r="V1121" i="5"/>
  <c r="X1121" i="5"/>
  <c r="I1121" i="5"/>
  <c r="N1121" i="5"/>
  <c r="W1121" i="5"/>
  <c r="AB1121" i="5"/>
  <c r="H1121" i="5"/>
  <c r="G1121" i="5"/>
  <c r="J1120" i="3"/>
  <c r="B1120" i="3"/>
  <c r="K1120" i="3"/>
  <c r="C1120" i="3"/>
  <c r="A1121" i="3"/>
  <c r="E1120" i="3"/>
  <c r="F1120" i="3"/>
  <c r="G1120" i="3"/>
  <c r="I1120" i="3"/>
  <c r="H1120" i="3"/>
  <c r="H1122" i="5" l="1"/>
  <c r="P1122" i="5"/>
  <c r="X1122" i="5"/>
  <c r="I1122" i="5"/>
  <c r="Q1122" i="5"/>
  <c r="AB1122" i="5"/>
  <c r="B1122" i="5"/>
  <c r="J1122" i="5"/>
  <c r="R1122" i="5"/>
  <c r="AC1122" i="5"/>
  <c r="C1122" i="5"/>
  <c r="K1122" i="5"/>
  <c r="S1122" i="5"/>
  <c r="A1123" i="5"/>
  <c r="E1122" i="5"/>
  <c r="U1122" i="5"/>
  <c r="F1122" i="5"/>
  <c r="V1122" i="5"/>
  <c r="G1122" i="5"/>
  <c r="W1122" i="5"/>
  <c r="L1122" i="5"/>
  <c r="D1122" i="5"/>
  <c r="N1122" i="5"/>
  <c r="M1122" i="5"/>
  <c r="O1122" i="5"/>
  <c r="T1122" i="5"/>
  <c r="H1121" i="3"/>
  <c r="I1121" i="3"/>
  <c r="J1121" i="3"/>
  <c r="B1121" i="3"/>
  <c r="K1121" i="3"/>
  <c r="C1121" i="3"/>
  <c r="E1121" i="3"/>
  <c r="F1121" i="3"/>
  <c r="A1122" i="3"/>
  <c r="G1121" i="3"/>
  <c r="B1098" i="6"/>
  <c r="A1099" i="6"/>
  <c r="G1121" i="4"/>
  <c r="I1121" i="4"/>
  <c r="B1121" i="4"/>
  <c r="J1121" i="4"/>
  <c r="F1121" i="4"/>
  <c r="H1121" i="4"/>
  <c r="A1122" i="4"/>
  <c r="C1121" i="4"/>
  <c r="D1121" i="4"/>
  <c r="E1121" i="4"/>
  <c r="E1122" i="4" l="1"/>
  <c r="G1122" i="4"/>
  <c r="H1122" i="4"/>
  <c r="J1122" i="4"/>
  <c r="A1123" i="4"/>
  <c r="B1122" i="4"/>
  <c r="I1122" i="4"/>
  <c r="C1122" i="4"/>
  <c r="D1122" i="4"/>
  <c r="F1122" i="4"/>
  <c r="A1100" i="6"/>
  <c r="B1099" i="6"/>
  <c r="F1122" i="3"/>
  <c r="G1122" i="3"/>
  <c r="H1122" i="3"/>
  <c r="I1122" i="3"/>
  <c r="J1122" i="3"/>
  <c r="B1122" i="3"/>
  <c r="K1122" i="3"/>
  <c r="E1122" i="3"/>
  <c r="A1123" i="3"/>
  <c r="C1122" i="3"/>
  <c r="F1123" i="5"/>
  <c r="N1123" i="5"/>
  <c r="V1123" i="5"/>
  <c r="G1123" i="5"/>
  <c r="O1123" i="5"/>
  <c r="W1123" i="5"/>
  <c r="H1123" i="5"/>
  <c r="P1123" i="5"/>
  <c r="X1123" i="5"/>
  <c r="I1123" i="5"/>
  <c r="Q1123" i="5"/>
  <c r="AB1123" i="5"/>
  <c r="K1123" i="5"/>
  <c r="A1124" i="5"/>
  <c r="L1123" i="5"/>
  <c r="M1123" i="5"/>
  <c r="B1123" i="5"/>
  <c r="R1123" i="5"/>
  <c r="D1123" i="5"/>
  <c r="E1123" i="5"/>
  <c r="U1123" i="5"/>
  <c r="J1123" i="5"/>
  <c r="AC1123" i="5"/>
  <c r="C1123" i="5"/>
  <c r="S1123" i="5"/>
  <c r="T1123" i="5"/>
  <c r="C1123" i="4" l="1"/>
  <c r="A1124" i="4"/>
  <c r="E1123" i="4"/>
  <c r="F1123" i="4"/>
  <c r="B1123" i="4"/>
  <c r="D1123" i="4"/>
  <c r="G1123" i="4"/>
  <c r="H1123" i="4"/>
  <c r="I1123" i="4"/>
  <c r="J1123" i="4"/>
  <c r="D1124" i="5"/>
  <c r="L1124" i="5"/>
  <c r="T1124" i="5"/>
  <c r="E1124" i="5"/>
  <c r="M1124" i="5"/>
  <c r="U1124" i="5"/>
  <c r="F1124" i="5"/>
  <c r="N1124" i="5"/>
  <c r="V1124" i="5"/>
  <c r="G1124" i="5"/>
  <c r="O1124" i="5"/>
  <c r="W1124" i="5"/>
  <c r="Q1124" i="5"/>
  <c r="B1124" i="5"/>
  <c r="R1124" i="5"/>
  <c r="C1124" i="5"/>
  <c r="S1124" i="5"/>
  <c r="H1124" i="5"/>
  <c r="X1124" i="5"/>
  <c r="J1124" i="5"/>
  <c r="AC1124" i="5"/>
  <c r="K1124" i="5"/>
  <c r="I1124" i="5"/>
  <c r="P1124" i="5"/>
  <c r="A1125" i="5"/>
  <c r="AB1124" i="5"/>
  <c r="B1100" i="6"/>
  <c r="A1101" i="6"/>
  <c r="C1123" i="3"/>
  <c r="A1124" i="3"/>
  <c r="E1123" i="3"/>
  <c r="F1123" i="3"/>
  <c r="G1123" i="3"/>
  <c r="H1123" i="3"/>
  <c r="J1123" i="3"/>
  <c r="B1123" i="3"/>
  <c r="I1123" i="3"/>
  <c r="K1123" i="3"/>
  <c r="J1124" i="3" l="1"/>
  <c r="B1124" i="3"/>
  <c r="K1124" i="3"/>
  <c r="C1124" i="3"/>
  <c r="A1125" i="3"/>
  <c r="E1124" i="3"/>
  <c r="F1124" i="3"/>
  <c r="G1124" i="3"/>
  <c r="H1124" i="3"/>
  <c r="I1124" i="3"/>
  <c r="B1125" i="5"/>
  <c r="J1125" i="5"/>
  <c r="R1125" i="5"/>
  <c r="AC1125" i="5"/>
  <c r="C1125" i="5"/>
  <c r="K1125" i="5"/>
  <c r="S1125" i="5"/>
  <c r="A1126" i="5"/>
  <c r="D1125" i="5"/>
  <c r="L1125" i="5"/>
  <c r="T1125" i="5"/>
  <c r="E1125" i="5"/>
  <c r="M1125" i="5"/>
  <c r="U1125" i="5"/>
  <c r="G1125" i="5"/>
  <c r="W1125" i="5"/>
  <c r="H1125" i="5"/>
  <c r="X1125" i="5"/>
  <c r="I1125" i="5"/>
  <c r="AB1125" i="5"/>
  <c r="N1125" i="5"/>
  <c r="P1125" i="5"/>
  <c r="Q1125" i="5"/>
  <c r="F1125" i="5"/>
  <c r="V1125" i="5"/>
  <c r="O1125" i="5"/>
  <c r="I1124" i="4"/>
  <c r="C1124" i="4"/>
  <c r="A1125" i="4"/>
  <c r="D1124" i="4"/>
  <c r="B1124" i="4"/>
  <c r="E1124" i="4"/>
  <c r="F1124" i="4"/>
  <c r="G1124" i="4"/>
  <c r="J1124" i="4"/>
  <c r="H1124" i="4"/>
  <c r="A1102" i="6"/>
  <c r="B1101" i="6"/>
  <c r="B1102" i="6" l="1"/>
  <c r="A1103" i="6"/>
  <c r="G1125" i="4"/>
  <c r="I1125" i="4"/>
  <c r="B1125" i="4"/>
  <c r="J1125" i="4"/>
  <c r="E1125" i="4"/>
  <c r="F1125" i="4"/>
  <c r="H1125" i="4"/>
  <c r="A1126" i="4"/>
  <c r="D1125" i="4"/>
  <c r="C1125" i="4"/>
  <c r="H1125" i="3"/>
  <c r="I1125" i="3"/>
  <c r="J1125" i="3"/>
  <c r="B1125" i="3"/>
  <c r="K1125" i="3"/>
  <c r="A1126" i="3"/>
  <c r="F1125" i="3"/>
  <c r="C1125" i="3"/>
  <c r="E1125" i="3"/>
  <c r="G1125" i="3"/>
  <c r="H1126" i="5"/>
  <c r="P1126" i="5"/>
  <c r="X1126" i="5"/>
  <c r="I1126" i="5"/>
  <c r="Q1126" i="5"/>
  <c r="AB1126" i="5"/>
  <c r="B1126" i="5"/>
  <c r="J1126" i="5"/>
  <c r="R1126" i="5"/>
  <c r="AC1126" i="5"/>
  <c r="C1126" i="5"/>
  <c r="K1126" i="5"/>
  <c r="S1126" i="5"/>
  <c r="A1127" i="5"/>
  <c r="M1126" i="5"/>
  <c r="N1126" i="5"/>
  <c r="O1126" i="5"/>
  <c r="D1126" i="5"/>
  <c r="T1126" i="5"/>
  <c r="V1126" i="5"/>
  <c r="G1126" i="5"/>
  <c r="L1126" i="5"/>
  <c r="W1126" i="5"/>
  <c r="U1126" i="5"/>
  <c r="F1126" i="5"/>
  <c r="E1126" i="5"/>
  <c r="F1127" i="5" l="1"/>
  <c r="N1127" i="5"/>
  <c r="V1127" i="5"/>
  <c r="G1127" i="5"/>
  <c r="O1127" i="5"/>
  <c r="W1127" i="5"/>
  <c r="H1127" i="5"/>
  <c r="P1127" i="5"/>
  <c r="X1127" i="5"/>
  <c r="I1127" i="5"/>
  <c r="Q1127" i="5"/>
  <c r="AB1127" i="5"/>
  <c r="C1127" i="5"/>
  <c r="S1127" i="5"/>
  <c r="D1127" i="5"/>
  <c r="T1127" i="5"/>
  <c r="E1127" i="5"/>
  <c r="U1127" i="5"/>
  <c r="J1127" i="5"/>
  <c r="AC1127" i="5"/>
  <c r="A1128" i="5"/>
  <c r="L1127" i="5"/>
  <c r="B1127" i="5"/>
  <c r="K1127" i="5"/>
  <c r="M1127" i="5"/>
  <c r="R1127" i="5"/>
  <c r="E1126" i="4"/>
  <c r="G1126" i="4"/>
  <c r="H1126" i="4"/>
  <c r="I1126" i="4"/>
  <c r="J1126" i="4"/>
  <c r="A1127" i="4"/>
  <c r="B1126" i="4"/>
  <c r="C1126" i="4"/>
  <c r="D1126" i="4"/>
  <c r="F1126" i="4"/>
  <c r="A1104" i="6"/>
  <c r="B1103" i="6"/>
  <c r="F1126" i="3"/>
  <c r="G1126" i="3"/>
  <c r="H1126" i="3"/>
  <c r="I1126" i="3"/>
  <c r="B1126" i="3"/>
  <c r="K1126" i="3"/>
  <c r="C1126" i="3"/>
  <c r="J1126" i="3"/>
  <c r="E1126" i="3"/>
  <c r="A1127" i="3"/>
  <c r="C1127" i="4" l="1"/>
  <c r="A1128" i="4"/>
  <c r="E1127" i="4"/>
  <c r="F1127" i="4"/>
  <c r="J1127" i="4"/>
  <c r="B1127" i="4"/>
  <c r="H1127" i="4"/>
  <c r="D1127" i="4"/>
  <c r="G1127" i="4"/>
  <c r="I1127" i="4"/>
  <c r="B1104" i="6"/>
  <c r="A1105" i="6"/>
  <c r="D1128" i="5"/>
  <c r="L1128" i="5"/>
  <c r="T1128" i="5"/>
  <c r="E1128" i="5"/>
  <c r="M1128" i="5"/>
  <c r="U1128" i="5"/>
  <c r="F1128" i="5"/>
  <c r="N1128" i="5"/>
  <c r="V1128" i="5"/>
  <c r="G1128" i="5"/>
  <c r="O1128" i="5"/>
  <c r="W1128" i="5"/>
  <c r="I1128" i="5"/>
  <c r="AB1128" i="5"/>
  <c r="J1128" i="5"/>
  <c r="AC1128" i="5"/>
  <c r="K1128" i="5"/>
  <c r="A1129" i="5"/>
  <c r="P1128" i="5"/>
  <c r="B1128" i="5"/>
  <c r="C1128" i="5"/>
  <c r="H1128" i="5"/>
  <c r="R1128" i="5"/>
  <c r="S1128" i="5"/>
  <c r="X1128" i="5"/>
  <c r="Q1128" i="5"/>
  <c r="C1127" i="3"/>
  <c r="A1128" i="3"/>
  <c r="E1127" i="3"/>
  <c r="F1127" i="3"/>
  <c r="G1127" i="3"/>
  <c r="H1127" i="3"/>
  <c r="I1127" i="3"/>
  <c r="J1127" i="3"/>
  <c r="K1127" i="3"/>
  <c r="B1127" i="3"/>
  <c r="B1129" i="5" l="1"/>
  <c r="J1129" i="5"/>
  <c r="R1129" i="5"/>
  <c r="AC1129" i="5"/>
  <c r="C1129" i="5"/>
  <c r="K1129" i="5"/>
  <c r="S1129" i="5"/>
  <c r="A1130" i="5"/>
  <c r="D1129" i="5"/>
  <c r="L1129" i="5"/>
  <c r="T1129" i="5"/>
  <c r="E1129" i="5"/>
  <c r="M1129" i="5"/>
  <c r="U1129" i="5"/>
  <c r="O1129" i="5"/>
  <c r="P1129" i="5"/>
  <c r="Q1129" i="5"/>
  <c r="F1129" i="5"/>
  <c r="V1129" i="5"/>
  <c r="H1129" i="5"/>
  <c r="I1129" i="5"/>
  <c r="AB1129" i="5"/>
  <c r="N1129" i="5"/>
  <c r="G1129" i="5"/>
  <c r="W1129" i="5"/>
  <c r="X1129" i="5"/>
  <c r="J1128" i="3"/>
  <c r="B1128" i="3"/>
  <c r="K1128" i="3"/>
  <c r="C1128" i="3"/>
  <c r="A1129" i="3"/>
  <c r="E1128" i="3"/>
  <c r="G1128" i="3"/>
  <c r="I1128" i="3"/>
  <c r="H1128" i="3"/>
  <c r="F1128" i="3"/>
  <c r="A1106" i="6"/>
  <c r="B1105" i="6"/>
  <c r="I1128" i="4"/>
  <c r="C1128" i="4"/>
  <c r="A1129" i="4"/>
  <c r="D1128" i="4"/>
  <c r="B1128" i="4"/>
  <c r="E1128" i="4"/>
  <c r="F1128" i="4"/>
  <c r="G1128" i="4"/>
  <c r="H1128" i="4"/>
  <c r="J1128" i="4"/>
  <c r="H1130" i="5" l="1"/>
  <c r="P1130" i="5"/>
  <c r="X1130" i="5"/>
  <c r="I1130" i="5"/>
  <c r="Q1130" i="5"/>
  <c r="AB1130" i="5"/>
  <c r="B1130" i="5"/>
  <c r="J1130" i="5"/>
  <c r="R1130" i="5"/>
  <c r="AC1130" i="5"/>
  <c r="C1130" i="5"/>
  <c r="K1130" i="5"/>
  <c r="S1130" i="5"/>
  <c r="A1131" i="5"/>
  <c r="E1130" i="5"/>
  <c r="U1130" i="5"/>
  <c r="F1130" i="5"/>
  <c r="V1130" i="5"/>
  <c r="G1130" i="5"/>
  <c r="W1130" i="5"/>
  <c r="L1130" i="5"/>
  <c r="N1130" i="5"/>
  <c r="O1130" i="5"/>
  <c r="D1130" i="5"/>
  <c r="T1130" i="5"/>
  <c r="M1130" i="5"/>
  <c r="B1106" i="6"/>
  <c r="A1107" i="6"/>
  <c r="H1129" i="3"/>
  <c r="I1129" i="3"/>
  <c r="J1129" i="3"/>
  <c r="B1129" i="3"/>
  <c r="K1129" i="3"/>
  <c r="C1129" i="3"/>
  <c r="E1129" i="3"/>
  <c r="A1130" i="3"/>
  <c r="F1129" i="3"/>
  <c r="G1129" i="3"/>
  <c r="G1129" i="4"/>
  <c r="I1129" i="4"/>
  <c r="B1129" i="4"/>
  <c r="J1129" i="4"/>
  <c r="D1129" i="4"/>
  <c r="E1129" i="4"/>
  <c r="F1129" i="4"/>
  <c r="H1129" i="4"/>
  <c r="A1130" i="4"/>
  <c r="C1129" i="4"/>
  <c r="F1131" i="5" l="1"/>
  <c r="N1131" i="5"/>
  <c r="V1131" i="5"/>
  <c r="G1131" i="5"/>
  <c r="O1131" i="5"/>
  <c r="W1131" i="5"/>
  <c r="H1131" i="5"/>
  <c r="P1131" i="5"/>
  <c r="X1131" i="5"/>
  <c r="I1131" i="5"/>
  <c r="Q1131" i="5"/>
  <c r="AB1131" i="5"/>
  <c r="K1131" i="5"/>
  <c r="A1132" i="5"/>
  <c r="L1131" i="5"/>
  <c r="M1131" i="5"/>
  <c r="B1131" i="5"/>
  <c r="R1131" i="5"/>
  <c r="T1131" i="5"/>
  <c r="D1131" i="5"/>
  <c r="E1131" i="5"/>
  <c r="J1131" i="5"/>
  <c r="U1131" i="5"/>
  <c r="S1131" i="5"/>
  <c r="AC1131" i="5"/>
  <c r="C1131" i="5"/>
  <c r="E1130" i="4"/>
  <c r="G1130" i="4"/>
  <c r="H1130" i="4"/>
  <c r="F1130" i="4"/>
  <c r="I1130" i="4"/>
  <c r="J1130" i="4"/>
  <c r="A1131" i="4"/>
  <c r="C1130" i="4"/>
  <c r="D1130" i="4"/>
  <c r="B1130" i="4"/>
  <c r="F1130" i="3"/>
  <c r="G1130" i="3"/>
  <c r="H1130" i="3"/>
  <c r="I1130" i="3"/>
  <c r="J1130" i="3"/>
  <c r="C1130" i="3"/>
  <c r="E1130" i="3"/>
  <c r="K1130" i="3"/>
  <c r="B1130" i="3"/>
  <c r="A1131" i="3"/>
  <c r="A1108" i="6"/>
  <c r="B1107" i="6"/>
  <c r="B1108" i="6" l="1"/>
  <c r="A1109" i="6"/>
  <c r="C1131" i="3"/>
  <c r="A1132" i="3"/>
  <c r="E1131" i="3"/>
  <c r="F1131" i="3"/>
  <c r="G1131" i="3"/>
  <c r="H1131" i="3"/>
  <c r="J1131" i="3"/>
  <c r="K1131" i="3"/>
  <c r="B1131" i="3"/>
  <c r="I1131" i="3"/>
  <c r="D1132" i="5"/>
  <c r="L1132" i="5"/>
  <c r="T1132" i="5"/>
  <c r="E1132" i="5"/>
  <c r="M1132" i="5"/>
  <c r="U1132" i="5"/>
  <c r="F1132" i="5"/>
  <c r="N1132" i="5"/>
  <c r="V1132" i="5"/>
  <c r="G1132" i="5"/>
  <c r="O1132" i="5"/>
  <c r="W1132" i="5"/>
  <c r="Q1132" i="5"/>
  <c r="B1132" i="5"/>
  <c r="R1132" i="5"/>
  <c r="C1132" i="5"/>
  <c r="S1132" i="5"/>
  <c r="H1132" i="5"/>
  <c r="X1132" i="5"/>
  <c r="AC1132" i="5"/>
  <c r="A1133" i="5"/>
  <c r="J1132" i="5"/>
  <c r="P1132" i="5"/>
  <c r="I1132" i="5"/>
  <c r="K1132" i="5"/>
  <c r="AB1132" i="5"/>
  <c r="C1131" i="4"/>
  <c r="A1132" i="4"/>
  <c r="E1131" i="4"/>
  <c r="F1131" i="4"/>
  <c r="I1131" i="4"/>
  <c r="J1131" i="4"/>
  <c r="B1131" i="4"/>
  <c r="D1131" i="4"/>
  <c r="G1131" i="4"/>
  <c r="H1131" i="4"/>
  <c r="J1132" i="3" l="1"/>
  <c r="B1132" i="3"/>
  <c r="K1132" i="3"/>
  <c r="C1132" i="3"/>
  <c r="A1133" i="3"/>
  <c r="E1132" i="3"/>
  <c r="F1132" i="3"/>
  <c r="G1132" i="3"/>
  <c r="H1132" i="3"/>
  <c r="I1132" i="3"/>
  <c r="A1110" i="6"/>
  <c r="B1109" i="6"/>
  <c r="I1132" i="4"/>
  <c r="C1132" i="4"/>
  <c r="A1133" i="4"/>
  <c r="D1132" i="4"/>
  <c r="B1132" i="4"/>
  <c r="E1132" i="4"/>
  <c r="J1132" i="4"/>
  <c r="F1132" i="4"/>
  <c r="G1132" i="4"/>
  <c r="H1132" i="4"/>
  <c r="B1133" i="5"/>
  <c r="J1133" i="5"/>
  <c r="R1133" i="5"/>
  <c r="AC1133" i="5"/>
  <c r="C1133" i="5"/>
  <c r="K1133" i="5"/>
  <c r="S1133" i="5"/>
  <c r="A1134" i="5"/>
  <c r="D1133" i="5"/>
  <c r="L1133" i="5"/>
  <c r="T1133" i="5"/>
  <c r="E1133" i="5"/>
  <c r="M1133" i="5"/>
  <c r="U1133" i="5"/>
  <c r="G1133" i="5"/>
  <c r="W1133" i="5"/>
  <c r="H1133" i="5"/>
  <c r="X1133" i="5"/>
  <c r="I1133" i="5"/>
  <c r="AB1133" i="5"/>
  <c r="N1133" i="5"/>
  <c r="F1133" i="5"/>
  <c r="P1133" i="5"/>
  <c r="Q1133" i="5"/>
  <c r="O1133" i="5"/>
  <c r="V1133" i="5"/>
  <c r="G1133" i="4" l="1"/>
  <c r="I1133" i="4"/>
  <c r="B1133" i="4"/>
  <c r="J1133" i="4"/>
  <c r="C1133" i="4"/>
  <c r="D1133" i="4"/>
  <c r="E1133" i="4"/>
  <c r="F1133" i="4"/>
  <c r="H1133" i="4"/>
  <c r="A1134" i="4"/>
  <c r="H1134" i="5"/>
  <c r="P1134" i="5"/>
  <c r="X1134" i="5"/>
  <c r="I1134" i="5"/>
  <c r="Q1134" i="5"/>
  <c r="AB1134" i="5"/>
  <c r="B1134" i="5"/>
  <c r="J1134" i="5"/>
  <c r="R1134" i="5"/>
  <c r="AC1134" i="5"/>
  <c r="C1134" i="5"/>
  <c r="K1134" i="5"/>
  <c r="S1134" i="5"/>
  <c r="A1135" i="5"/>
  <c r="M1134" i="5"/>
  <c r="N1134" i="5"/>
  <c r="O1134" i="5"/>
  <c r="D1134" i="5"/>
  <c r="T1134" i="5"/>
  <c r="F1134" i="5"/>
  <c r="G1134" i="5"/>
  <c r="L1134" i="5"/>
  <c r="E1134" i="5"/>
  <c r="U1134" i="5"/>
  <c r="V1134" i="5"/>
  <c r="W1134" i="5"/>
  <c r="H1133" i="3"/>
  <c r="I1133" i="3"/>
  <c r="J1133" i="3"/>
  <c r="B1133" i="3"/>
  <c r="K1133" i="3"/>
  <c r="A1134" i="3"/>
  <c r="E1133" i="3"/>
  <c r="C1133" i="3"/>
  <c r="F1133" i="3"/>
  <c r="G1133" i="3"/>
  <c r="B1110" i="6"/>
  <c r="A1111" i="6"/>
  <c r="A1112" i="6" l="1"/>
  <c r="B1111" i="6"/>
  <c r="F1135" i="5"/>
  <c r="N1135" i="5"/>
  <c r="V1135" i="5"/>
  <c r="G1135" i="5"/>
  <c r="O1135" i="5"/>
  <c r="W1135" i="5"/>
  <c r="H1135" i="5"/>
  <c r="P1135" i="5"/>
  <c r="X1135" i="5"/>
  <c r="I1135" i="5"/>
  <c r="Q1135" i="5"/>
  <c r="AB1135" i="5"/>
  <c r="C1135" i="5"/>
  <c r="S1135" i="5"/>
  <c r="D1135" i="5"/>
  <c r="T1135" i="5"/>
  <c r="E1135" i="5"/>
  <c r="U1135" i="5"/>
  <c r="J1135" i="5"/>
  <c r="AC1135" i="5"/>
  <c r="L1135" i="5"/>
  <c r="K1135" i="5"/>
  <c r="M1135" i="5"/>
  <c r="B1135" i="5"/>
  <c r="R1135" i="5"/>
  <c r="A1136" i="5"/>
  <c r="F1134" i="3"/>
  <c r="G1134" i="3"/>
  <c r="H1134" i="3"/>
  <c r="I1134" i="3"/>
  <c r="B1134" i="3"/>
  <c r="J1134" i="3"/>
  <c r="C1134" i="3"/>
  <c r="K1134" i="3"/>
  <c r="E1134" i="3"/>
  <c r="A1135" i="3"/>
  <c r="E1134" i="4"/>
  <c r="G1134" i="4"/>
  <c r="H1134" i="4"/>
  <c r="D1134" i="4"/>
  <c r="F1134" i="4"/>
  <c r="I1134" i="4"/>
  <c r="J1134" i="4"/>
  <c r="B1134" i="4"/>
  <c r="C1134" i="4"/>
  <c r="A1135" i="4"/>
  <c r="C1135" i="3" l="1"/>
  <c r="A1136" i="3"/>
  <c r="E1135" i="3"/>
  <c r="F1135" i="3"/>
  <c r="G1135" i="3"/>
  <c r="H1135" i="3"/>
  <c r="I1135" i="3"/>
  <c r="B1135" i="3"/>
  <c r="J1135" i="3"/>
  <c r="K1135" i="3"/>
  <c r="C1135" i="4"/>
  <c r="A1136" i="4"/>
  <c r="E1135" i="4"/>
  <c r="F1135" i="4"/>
  <c r="H1135" i="4"/>
  <c r="I1135" i="4"/>
  <c r="J1135" i="4"/>
  <c r="B1135" i="4"/>
  <c r="G1135" i="4"/>
  <c r="D1135" i="4"/>
  <c r="D1136" i="5"/>
  <c r="L1136" i="5"/>
  <c r="T1136" i="5"/>
  <c r="E1136" i="5"/>
  <c r="M1136" i="5"/>
  <c r="U1136" i="5"/>
  <c r="F1136" i="5"/>
  <c r="N1136" i="5"/>
  <c r="V1136" i="5"/>
  <c r="G1136" i="5"/>
  <c r="O1136" i="5"/>
  <c r="W1136" i="5"/>
  <c r="I1136" i="5"/>
  <c r="AB1136" i="5"/>
  <c r="J1136" i="5"/>
  <c r="AC1136" i="5"/>
  <c r="K1136" i="5"/>
  <c r="A1137" i="5"/>
  <c r="P1136" i="5"/>
  <c r="R1136" i="5"/>
  <c r="C1136" i="5"/>
  <c r="H1136" i="5"/>
  <c r="S1136" i="5"/>
  <c r="B1136" i="5"/>
  <c r="Q1136" i="5"/>
  <c r="X1136" i="5"/>
  <c r="B1112" i="6"/>
  <c r="A1113" i="6"/>
  <c r="A1114" i="6" l="1"/>
  <c r="B1113" i="6"/>
  <c r="B1137" i="5"/>
  <c r="J1137" i="5"/>
  <c r="R1137" i="5"/>
  <c r="AC1137" i="5"/>
  <c r="C1137" i="5"/>
  <c r="K1137" i="5"/>
  <c r="S1137" i="5"/>
  <c r="A1138" i="5"/>
  <c r="D1137" i="5"/>
  <c r="L1137" i="5"/>
  <c r="T1137" i="5"/>
  <c r="E1137" i="5"/>
  <c r="M1137" i="5"/>
  <c r="U1137" i="5"/>
  <c r="O1137" i="5"/>
  <c r="P1137" i="5"/>
  <c r="Q1137" i="5"/>
  <c r="F1137" i="5"/>
  <c r="V1137" i="5"/>
  <c r="X1137" i="5"/>
  <c r="H1137" i="5"/>
  <c r="AB1137" i="5"/>
  <c r="I1137" i="5"/>
  <c r="N1137" i="5"/>
  <c r="G1137" i="5"/>
  <c r="W1137" i="5"/>
  <c r="I1136" i="4"/>
  <c r="C1136" i="4"/>
  <c r="A1137" i="4"/>
  <c r="D1136" i="4"/>
  <c r="J1136" i="4"/>
  <c r="B1136" i="4"/>
  <c r="E1136" i="4"/>
  <c r="F1136" i="4"/>
  <c r="G1136" i="4"/>
  <c r="H1136" i="4"/>
  <c r="J1136" i="3"/>
  <c r="B1136" i="3"/>
  <c r="K1136" i="3"/>
  <c r="C1136" i="3"/>
  <c r="A1137" i="3"/>
  <c r="E1136" i="3"/>
  <c r="F1136" i="3"/>
  <c r="H1136" i="3"/>
  <c r="G1136" i="3"/>
  <c r="I1136" i="3"/>
  <c r="G1137" i="4" l="1"/>
  <c r="I1137" i="4"/>
  <c r="B1137" i="4"/>
  <c r="J1137" i="4"/>
  <c r="C1137" i="4"/>
  <c r="D1137" i="4"/>
  <c r="E1137" i="4"/>
  <c r="F1137" i="4"/>
  <c r="H1137" i="4"/>
  <c r="A1138" i="4"/>
  <c r="H1137" i="3"/>
  <c r="I1137" i="3"/>
  <c r="J1137" i="3"/>
  <c r="B1137" i="3"/>
  <c r="K1137" i="3"/>
  <c r="C1137" i="3"/>
  <c r="E1137" i="3"/>
  <c r="F1137" i="3"/>
  <c r="G1137" i="3"/>
  <c r="A1138" i="3"/>
  <c r="H1138" i="5"/>
  <c r="P1138" i="5"/>
  <c r="X1138" i="5"/>
  <c r="I1138" i="5"/>
  <c r="Q1138" i="5"/>
  <c r="AB1138" i="5"/>
  <c r="B1138" i="5"/>
  <c r="J1138" i="5"/>
  <c r="R1138" i="5"/>
  <c r="AC1138" i="5"/>
  <c r="C1138" i="5"/>
  <c r="K1138" i="5"/>
  <c r="S1138" i="5"/>
  <c r="A1139" i="5"/>
  <c r="E1138" i="5"/>
  <c r="U1138" i="5"/>
  <c r="F1138" i="5"/>
  <c r="V1138" i="5"/>
  <c r="G1138" i="5"/>
  <c r="W1138" i="5"/>
  <c r="L1138" i="5"/>
  <c r="D1138" i="5"/>
  <c r="N1138" i="5"/>
  <c r="M1138" i="5"/>
  <c r="O1138" i="5"/>
  <c r="T1138" i="5"/>
  <c r="B1114" i="6"/>
  <c r="A1115" i="6"/>
  <c r="A1116" i="6" l="1"/>
  <c r="B1115" i="6"/>
  <c r="F1138" i="3"/>
  <c r="G1138" i="3"/>
  <c r="H1138" i="3"/>
  <c r="I1138" i="3"/>
  <c r="J1138" i="3"/>
  <c r="B1138" i="3"/>
  <c r="K1138" i="3"/>
  <c r="A1139" i="3"/>
  <c r="C1138" i="3"/>
  <c r="E1138" i="3"/>
  <c r="F1139" i="5"/>
  <c r="N1139" i="5"/>
  <c r="V1139" i="5"/>
  <c r="G1139" i="5"/>
  <c r="O1139" i="5"/>
  <c r="W1139" i="5"/>
  <c r="H1139" i="5"/>
  <c r="P1139" i="5"/>
  <c r="X1139" i="5"/>
  <c r="I1139" i="5"/>
  <c r="Q1139" i="5"/>
  <c r="AB1139" i="5"/>
  <c r="K1139" i="5"/>
  <c r="A1140" i="5"/>
  <c r="L1139" i="5"/>
  <c r="M1139" i="5"/>
  <c r="B1139" i="5"/>
  <c r="R1139" i="5"/>
  <c r="D1139" i="5"/>
  <c r="E1139" i="5"/>
  <c r="AC1139" i="5"/>
  <c r="J1139" i="5"/>
  <c r="U1139" i="5"/>
  <c r="C1139" i="5"/>
  <c r="S1139" i="5"/>
  <c r="T1139" i="5"/>
  <c r="E1138" i="4"/>
  <c r="G1138" i="4"/>
  <c r="H1138" i="4"/>
  <c r="C1138" i="4"/>
  <c r="D1138" i="4"/>
  <c r="F1138" i="4"/>
  <c r="I1138" i="4"/>
  <c r="J1138" i="4"/>
  <c r="A1139" i="4"/>
  <c r="B1138" i="4"/>
  <c r="C1139" i="4" l="1"/>
  <c r="A1140" i="4"/>
  <c r="E1139" i="4"/>
  <c r="F1139" i="4"/>
  <c r="G1139" i="4"/>
  <c r="H1139" i="4"/>
  <c r="I1139" i="4"/>
  <c r="J1139" i="4"/>
  <c r="B1139" i="4"/>
  <c r="D1139" i="4"/>
  <c r="D1140" i="5"/>
  <c r="L1140" i="5"/>
  <c r="T1140" i="5"/>
  <c r="E1140" i="5"/>
  <c r="M1140" i="5"/>
  <c r="U1140" i="5"/>
  <c r="F1140" i="5"/>
  <c r="N1140" i="5"/>
  <c r="V1140" i="5"/>
  <c r="G1140" i="5"/>
  <c r="O1140" i="5"/>
  <c r="W1140" i="5"/>
  <c r="Q1140" i="5"/>
  <c r="B1140" i="5"/>
  <c r="R1140" i="5"/>
  <c r="C1140" i="5"/>
  <c r="S1140" i="5"/>
  <c r="H1140" i="5"/>
  <c r="X1140" i="5"/>
  <c r="J1140" i="5"/>
  <c r="A1141" i="5"/>
  <c r="K1140" i="5"/>
  <c r="AC1140" i="5"/>
  <c r="I1140" i="5"/>
  <c r="P1140" i="5"/>
  <c r="AB1140" i="5"/>
  <c r="C1139" i="3"/>
  <c r="A1140" i="3"/>
  <c r="E1139" i="3"/>
  <c r="F1139" i="3"/>
  <c r="G1139" i="3"/>
  <c r="K1139" i="3"/>
  <c r="J1139" i="3"/>
  <c r="H1139" i="3"/>
  <c r="B1139" i="3"/>
  <c r="I1139" i="3"/>
  <c r="B1116" i="6"/>
  <c r="A1117" i="6"/>
  <c r="A1118" i="6" l="1"/>
  <c r="B1117" i="6"/>
  <c r="B1141" i="5"/>
  <c r="J1141" i="5"/>
  <c r="R1141" i="5"/>
  <c r="AC1141" i="5"/>
  <c r="C1141" i="5"/>
  <c r="K1141" i="5"/>
  <c r="S1141" i="5"/>
  <c r="A1142" i="5"/>
  <c r="D1141" i="5"/>
  <c r="L1141" i="5"/>
  <c r="T1141" i="5"/>
  <c r="E1141" i="5"/>
  <c r="M1141" i="5"/>
  <c r="U1141" i="5"/>
  <c r="G1141" i="5"/>
  <c r="W1141" i="5"/>
  <c r="H1141" i="5"/>
  <c r="X1141" i="5"/>
  <c r="I1141" i="5"/>
  <c r="AB1141" i="5"/>
  <c r="N1141" i="5"/>
  <c r="P1141" i="5"/>
  <c r="F1141" i="5"/>
  <c r="O1141" i="5"/>
  <c r="Q1141" i="5"/>
  <c r="V1141" i="5"/>
  <c r="J1140" i="3"/>
  <c r="B1140" i="3"/>
  <c r="K1140" i="3"/>
  <c r="C1140" i="3"/>
  <c r="A1141" i="3"/>
  <c r="E1140" i="3"/>
  <c r="F1140" i="3"/>
  <c r="G1140" i="3"/>
  <c r="H1140" i="3"/>
  <c r="I1140" i="3"/>
  <c r="I1140" i="4"/>
  <c r="C1140" i="4"/>
  <c r="A1141" i="4"/>
  <c r="D1140" i="4"/>
  <c r="H1140" i="4"/>
  <c r="J1140" i="4"/>
  <c r="B1140" i="4"/>
  <c r="F1140" i="4"/>
  <c r="E1140" i="4"/>
  <c r="G1140" i="4"/>
  <c r="H1142" i="5" l="1"/>
  <c r="P1142" i="5"/>
  <c r="X1142" i="5"/>
  <c r="I1142" i="5"/>
  <c r="Q1142" i="5"/>
  <c r="AB1142" i="5"/>
  <c r="B1142" i="5"/>
  <c r="J1142" i="5"/>
  <c r="R1142" i="5"/>
  <c r="AC1142" i="5"/>
  <c r="C1142" i="5"/>
  <c r="K1142" i="5"/>
  <c r="S1142" i="5"/>
  <c r="A1143" i="5"/>
  <c r="M1142" i="5"/>
  <c r="N1142" i="5"/>
  <c r="O1142" i="5"/>
  <c r="D1142" i="5"/>
  <c r="T1142" i="5"/>
  <c r="V1142" i="5"/>
  <c r="W1142" i="5"/>
  <c r="F1142" i="5"/>
  <c r="L1142" i="5"/>
  <c r="E1142" i="5"/>
  <c r="G1142" i="5"/>
  <c r="U1142" i="5"/>
  <c r="G1141" i="4"/>
  <c r="I1141" i="4"/>
  <c r="B1141" i="4"/>
  <c r="J1141" i="4"/>
  <c r="C1141" i="4"/>
  <c r="D1141" i="4"/>
  <c r="E1141" i="4"/>
  <c r="F1141" i="4"/>
  <c r="H1141" i="4"/>
  <c r="A1142" i="4"/>
  <c r="H1141" i="3"/>
  <c r="I1141" i="3"/>
  <c r="J1141" i="3"/>
  <c r="B1141" i="3"/>
  <c r="K1141" i="3"/>
  <c r="A1142" i="3"/>
  <c r="C1141" i="3"/>
  <c r="G1141" i="3"/>
  <c r="E1141" i="3"/>
  <c r="F1141" i="3"/>
  <c r="I1118" i="6"/>
  <c r="Q1118" i="6"/>
  <c r="B1118" i="6"/>
  <c r="J1118" i="6"/>
  <c r="R1118" i="6"/>
  <c r="C1118" i="6"/>
  <c r="K1118" i="6"/>
  <c r="S1118" i="6"/>
  <c r="F1118" i="6"/>
  <c r="N1118" i="6"/>
  <c r="P1118" i="6"/>
  <c r="D1118" i="6"/>
  <c r="T1118" i="6"/>
  <c r="E1118" i="6"/>
  <c r="A1119" i="6"/>
  <c r="L1118" i="6"/>
  <c r="H1118" i="6"/>
  <c r="M1118" i="6"/>
  <c r="O1118" i="6"/>
  <c r="G1118" i="6"/>
  <c r="E1142" i="4" l="1"/>
  <c r="G1142" i="4"/>
  <c r="H1142" i="4"/>
  <c r="B1142" i="4"/>
  <c r="C1142" i="4"/>
  <c r="D1142" i="4"/>
  <c r="F1142" i="4"/>
  <c r="I1142" i="4"/>
  <c r="A1143" i="4"/>
  <c r="J1142" i="4"/>
  <c r="F1143" i="5"/>
  <c r="N1143" i="5"/>
  <c r="V1143" i="5"/>
  <c r="G1143" i="5"/>
  <c r="O1143" i="5"/>
  <c r="W1143" i="5"/>
  <c r="H1143" i="5"/>
  <c r="P1143" i="5"/>
  <c r="X1143" i="5"/>
  <c r="I1143" i="5"/>
  <c r="Q1143" i="5"/>
  <c r="AB1143" i="5"/>
  <c r="C1143" i="5"/>
  <c r="S1143" i="5"/>
  <c r="D1143" i="5"/>
  <c r="T1143" i="5"/>
  <c r="E1143" i="5"/>
  <c r="U1143" i="5"/>
  <c r="J1143" i="5"/>
  <c r="AC1143" i="5"/>
  <c r="L1143" i="5"/>
  <c r="M1143" i="5"/>
  <c r="B1143" i="5"/>
  <c r="A1144" i="5"/>
  <c r="K1143" i="5"/>
  <c r="R1143" i="5"/>
  <c r="F1142" i="3"/>
  <c r="G1142" i="3"/>
  <c r="H1142" i="3"/>
  <c r="I1142" i="3"/>
  <c r="J1142" i="3"/>
  <c r="B1142" i="3"/>
  <c r="K1142" i="3"/>
  <c r="C1142" i="3"/>
  <c r="A1143" i="3"/>
  <c r="E1142" i="3"/>
  <c r="E1119" i="6"/>
  <c r="M1119" i="6"/>
  <c r="A1120" i="6"/>
  <c r="F1119" i="6"/>
  <c r="N1119" i="6"/>
  <c r="G1119" i="6"/>
  <c r="O1119" i="6"/>
  <c r="B1119" i="6"/>
  <c r="J1119" i="6"/>
  <c r="R1119" i="6"/>
  <c r="L1119" i="6"/>
  <c r="P1119" i="6"/>
  <c r="Q1119" i="6"/>
  <c r="H1119" i="6"/>
  <c r="T1119" i="6"/>
  <c r="C1119" i="6"/>
  <c r="D1119" i="6"/>
  <c r="K1119" i="6"/>
  <c r="S1119" i="6"/>
  <c r="I1119" i="6"/>
  <c r="C1143" i="3" l="1"/>
  <c r="A1144" i="3"/>
  <c r="E1143" i="3"/>
  <c r="F1143" i="3"/>
  <c r="G1143" i="3"/>
  <c r="H1143" i="3"/>
  <c r="I1143" i="3"/>
  <c r="J1143" i="3"/>
  <c r="B1143" i="3"/>
  <c r="K1143" i="3"/>
  <c r="D1144" i="5"/>
  <c r="L1144" i="5"/>
  <c r="T1144" i="5"/>
  <c r="E1144" i="5"/>
  <c r="M1144" i="5"/>
  <c r="U1144" i="5"/>
  <c r="F1144" i="5"/>
  <c r="N1144" i="5"/>
  <c r="V1144" i="5"/>
  <c r="G1144" i="5"/>
  <c r="O1144" i="5"/>
  <c r="W1144" i="5"/>
  <c r="I1144" i="5"/>
  <c r="AB1144" i="5"/>
  <c r="J1144" i="5"/>
  <c r="AC1144" i="5"/>
  <c r="K1144" i="5"/>
  <c r="A1145" i="5"/>
  <c r="P1144" i="5"/>
  <c r="B1144" i="5"/>
  <c r="C1144" i="5"/>
  <c r="R1144" i="5"/>
  <c r="X1144" i="5"/>
  <c r="H1144" i="5"/>
  <c r="S1144" i="5"/>
  <c r="Q1144" i="5"/>
  <c r="I1120" i="6"/>
  <c r="Q1120" i="6"/>
  <c r="B1120" i="6"/>
  <c r="J1120" i="6"/>
  <c r="R1120" i="6"/>
  <c r="C1120" i="6"/>
  <c r="K1120" i="6"/>
  <c r="S1120" i="6"/>
  <c r="F1120" i="6"/>
  <c r="N1120" i="6"/>
  <c r="H1120" i="6"/>
  <c r="L1120" i="6"/>
  <c r="M1120" i="6"/>
  <c r="D1120" i="6"/>
  <c r="T1120" i="6"/>
  <c r="E1120" i="6"/>
  <c r="G1120" i="6"/>
  <c r="O1120" i="6"/>
  <c r="A1121" i="6"/>
  <c r="P1120" i="6"/>
  <c r="C1143" i="4"/>
  <c r="E1143" i="4"/>
  <c r="F1143" i="4"/>
  <c r="D1143" i="4"/>
  <c r="G1143" i="4"/>
  <c r="H1143" i="4"/>
  <c r="I1143" i="4"/>
  <c r="J1143" i="4"/>
  <c r="A1144" i="4"/>
  <c r="B1143" i="4"/>
  <c r="E1121" i="6" l="1"/>
  <c r="M1121" i="6"/>
  <c r="A1122" i="6"/>
  <c r="F1121" i="6"/>
  <c r="N1121" i="6"/>
  <c r="G1121" i="6"/>
  <c r="O1121" i="6"/>
  <c r="B1121" i="6"/>
  <c r="J1121" i="6"/>
  <c r="R1121" i="6"/>
  <c r="D1121" i="6"/>
  <c r="T1121" i="6"/>
  <c r="H1121" i="6"/>
  <c r="I1121" i="6"/>
  <c r="P1121" i="6"/>
  <c r="L1121" i="6"/>
  <c r="Q1121" i="6"/>
  <c r="S1121" i="6"/>
  <c r="C1121" i="6"/>
  <c r="K1121" i="6"/>
  <c r="B1145" i="5"/>
  <c r="J1145" i="5"/>
  <c r="R1145" i="5"/>
  <c r="AC1145" i="5"/>
  <c r="C1145" i="5"/>
  <c r="K1145" i="5"/>
  <c r="S1145" i="5"/>
  <c r="A1146" i="5"/>
  <c r="D1145" i="5"/>
  <c r="L1145" i="5"/>
  <c r="T1145" i="5"/>
  <c r="E1145" i="5"/>
  <c r="M1145" i="5"/>
  <c r="U1145" i="5"/>
  <c r="O1145" i="5"/>
  <c r="P1145" i="5"/>
  <c r="Q1145" i="5"/>
  <c r="F1145" i="5"/>
  <c r="V1145" i="5"/>
  <c r="H1145" i="5"/>
  <c r="I1145" i="5"/>
  <c r="G1145" i="5"/>
  <c r="N1145" i="5"/>
  <c r="W1145" i="5"/>
  <c r="X1145" i="5"/>
  <c r="AB1145" i="5"/>
  <c r="J1144" i="3"/>
  <c r="B1144" i="3"/>
  <c r="K1144" i="3"/>
  <c r="C1144" i="3"/>
  <c r="A1145" i="3"/>
  <c r="E1144" i="3"/>
  <c r="G1144" i="3"/>
  <c r="H1144" i="3"/>
  <c r="F1144" i="3"/>
  <c r="I1144" i="3"/>
  <c r="C1144" i="4"/>
  <c r="D1144" i="4"/>
  <c r="F1144" i="4"/>
  <c r="G1144" i="4"/>
  <c r="H1144" i="4"/>
  <c r="I1144" i="4"/>
  <c r="A1145" i="4"/>
  <c r="B1144" i="4"/>
  <c r="E1144" i="4"/>
  <c r="J1144" i="4"/>
  <c r="B1145" i="4" l="1"/>
  <c r="J1145" i="4"/>
  <c r="E1145" i="4"/>
  <c r="F1145" i="4"/>
  <c r="G1145" i="4"/>
  <c r="H1145" i="4"/>
  <c r="I1145" i="4"/>
  <c r="D1145" i="4"/>
  <c r="A1146" i="4"/>
  <c r="C1145" i="4"/>
  <c r="H1146" i="5"/>
  <c r="P1146" i="5"/>
  <c r="X1146" i="5"/>
  <c r="I1146" i="5"/>
  <c r="Q1146" i="5"/>
  <c r="AB1146" i="5"/>
  <c r="B1146" i="5"/>
  <c r="J1146" i="5"/>
  <c r="R1146" i="5"/>
  <c r="AC1146" i="5"/>
  <c r="C1146" i="5"/>
  <c r="K1146" i="5"/>
  <c r="S1146" i="5"/>
  <c r="A1147" i="5"/>
  <c r="E1146" i="5"/>
  <c r="U1146" i="5"/>
  <c r="F1146" i="5"/>
  <c r="V1146" i="5"/>
  <c r="G1146" i="5"/>
  <c r="W1146" i="5"/>
  <c r="L1146" i="5"/>
  <c r="N1146" i="5"/>
  <c r="D1146" i="5"/>
  <c r="M1146" i="5"/>
  <c r="O1146" i="5"/>
  <c r="T1146" i="5"/>
  <c r="H1145" i="3"/>
  <c r="I1145" i="3"/>
  <c r="J1145" i="3"/>
  <c r="B1145" i="3"/>
  <c r="K1145" i="3"/>
  <c r="C1145" i="3"/>
  <c r="E1145" i="3"/>
  <c r="F1145" i="3"/>
  <c r="G1145" i="3"/>
  <c r="A1146" i="3"/>
  <c r="I1122" i="6"/>
  <c r="Q1122" i="6"/>
  <c r="B1122" i="6"/>
  <c r="J1122" i="6"/>
  <c r="R1122" i="6"/>
  <c r="C1122" i="6"/>
  <c r="K1122" i="6"/>
  <c r="S1122" i="6"/>
  <c r="F1122" i="6"/>
  <c r="N1122" i="6"/>
  <c r="P1122" i="6"/>
  <c r="D1122" i="6"/>
  <c r="T1122" i="6"/>
  <c r="E1122" i="6"/>
  <c r="A1123" i="6"/>
  <c r="L1122" i="6"/>
  <c r="G1122" i="6"/>
  <c r="H1122" i="6"/>
  <c r="M1122" i="6"/>
  <c r="O1122" i="6"/>
  <c r="F1147" i="5" l="1"/>
  <c r="N1147" i="5"/>
  <c r="V1147" i="5"/>
  <c r="G1147" i="5"/>
  <c r="O1147" i="5"/>
  <c r="W1147" i="5"/>
  <c r="H1147" i="5"/>
  <c r="P1147" i="5"/>
  <c r="X1147" i="5"/>
  <c r="I1147" i="5"/>
  <c r="Q1147" i="5"/>
  <c r="AB1147" i="5"/>
  <c r="K1147" i="5"/>
  <c r="A1148" i="5"/>
  <c r="L1147" i="5"/>
  <c r="M1147" i="5"/>
  <c r="B1147" i="5"/>
  <c r="R1147" i="5"/>
  <c r="T1147" i="5"/>
  <c r="E1147" i="5"/>
  <c r="U1147" i="5"/>
  <c r="AC1147" i="5"/>
  <c r="D1147" i="5"/>
  <c r="J1147" i="5"/>
  <c r="C1147" i="5"/>
  <c r="S1147" i="5"/>
  <c r="F1146" i="3"/>
  <c r="G1146" i="3"/>
  <c r="H1146" i="3"/>
  <c r="I1146" i="3"/>
  <c r="J1146" i="3"/>
  <c r="E1146" i="3"/>
  <c r="K1146" i="3"/>
  <c r="C1146" i="3"/>
  <c r="A1147" i="3"/>
  <c r="B1146" i="3"/>
  <c r="E1123" i="6"/>
  <c r="M1123" i="6"/>
  <c r="A1124" i="6"/>
  <c r="F1123" i="6"/>
  <c r="N1123" i="6"/>
  <c r="G1123" i="6"/>
  <c r="O1123" i="6"/>
  <c r="B1123" i="6"/>
  <c r="J1123" i="6"/>
  <c r="R1123" i="6"/>
  <c r="L1123" i="6"/>
  <c r="P1123" i="6"/>
  <c r="Q1123" i="6"/>
  <c r="H1123" i="6"/>
  <c r="D1123" i="6"/>
  <c r="I1123" i="6"/>
  <c r="K1123" i="6"/>
  <c r="S1123" i="6"/>
  <c r="C1123" i="6"/>
  <c r="T1123" i="6"/>
  <c r="D1146" i="4"/>
  <c r="E1146" i="4"/>
  <c r="F1146" i="4"/>
  <c r="G1146" i="4"/>
  <c r="I1146" i="4"/>
  <c r="H1146" i="4"/>
  <c r="J1146" i="4"/>
  <c r="B1146" i="4"/>
  <c r="A1147" i="4"/>
  <c r="C1146" i="4"/>
  <c r="I1124" i="6" l="1"/>
  <c r="Q1124" i="6"/>
  <c r="B1124" i="6"/>
  <c r="J1124" i="6"/>
  <c r="R1124" i="6"/>
  <c r="C1124" i="6"/>
  <c r="K1124" i="6"/>
  <c r="S1124" i="6"/>
  <c r="F1124" i="6"/>
  <c r="N1124" i="6"/>
  <c r="H1124" i="6"/>
  <c r="L1124" i="6"/>
  <c r="M1124" i="6"/>
  <c r="D1124" i="6"/>
  <c r="T1124" i="6"/>
  <c r="P1124" i="6"/>
  <c r="A1125" i="6"/>
  <c r="E1124" i="6"/>
  <c r="G1124" i="6"/>
  <c r="O1124" i="6"/>
  <c r="C1147" i="3"/>
  <c r="A1148" i="3"/>
  <c r="E1147" i="3"/>
  <c r="F1147" i="3"/>
  <c r="G1147" i="3"/>
  <c r="H1147" i="3"/>
  <c r="K1147" i="3"/>
  <c r="I1147" i="3"/>
  <c r="B1147" i="3"/>
  <c r="J1147" i="3"/>
  <c r="D1148" i="5"/>
  <c r="L1148" i="5"/>
  <c r="T1148" i="5"/>
  <c r="E1148" i="5"/>
  <c r="M1148" i="5"/>
  <c r="U1148" i="5"/>
  <c r="F1148" i="5"/>
  <c r="N1148" i="5"/>
  <c r="V1148" i="5"/>
  <c r="G1148" i="5"/>
  <c r="O1148" i="5"/>
  <c r="W1148" i="5"/>
  <c r="Q1148" i="5"/>
  <c r="B1148" i="5"/>
  <c r="R1148" i="5"/>
  <c r="C1148" i="5"/>
  <c r="S1148" i="5"/>
  <c r="H1148" i="5"/>
  <c r="X1148" i="5"/>
  <c r="AC1148" i="5"/>
  <c r="A1149" i="5"/>
  <c r="J1148" i="5"/>
  <c r="K1148" i="5"/>
  <c r="AB1148" i="5"/>
  <c r="I1148" i="5"/>
  <c r="P1148" i="5"/>
  <c r="B1147" i="4"/>
  <c r="J1147" i="4"/>
  <c r="C1147" i="4"/>
  <c r="A1148" i="4"/>
  <c r="D1147" i="4"/>
  <c r="E1147" i="4"/>
  <c r="F1147" i="4"/>
  <c r="G1147" i="4"/>
  <c r="H1147" i="4"/>
  <c r="I1147" i="4"/>
  <c r="J1148" i="3" l="1"/>
  <c r="B1148" i="3"/>
  <c r="K1148" i="3"/>
  <c r="C1148" i="3"/>
  <c r="A1149" i="3"/>
  <c r="E1148" i="3"/>
  <c r="F1148" i="3"/>
  <c r="G1148" i="3"/>
  <c r="H1148" i="3"/>
  <c r="I1148" i="3"/>
  <c r="H1148" i="4"/>
  <c r="I1148" i="4"/>
  <c r="B1148" i="4"/>
  <c r="J1148" i="4"/>
  <c r="C1148" i="4"/>
  <c r="A1149" i="4"/>
  <c r="D1148" i="4"/>
  <c r="F1148" i="4"/>
  <c r="E1148" i="4"/>
  <c r="G1148" i="4"/>
  <c r="B1149" i="5"/>
  <c r="J1149" i="5"/>
  <c r="R1149" i="5"/>
  <c r="AC1149" i="5"/>
  <c r="C1149" i="5"/>
  <c r="K1149" i="5"/>
  <c r="S1149" i="5"/>
  <c r="A1150" i="5"/>
  <c r="D1149" i="5"/>
  <c r="L1149" i="5"/>
  <c r="T1149" i="5"/>
  <c r="E1149" i="5"/>
  <c r="M1149" i="5"/>
  <c r="U1149" i="5"/>
  <c r="G1149" i="5"/>
  <c r="W1149" i="5"/>
  <c r="H1149" i="5"/>
  <c r="X1149" i="5"/>
  <c r="I1149" i="5"/>
  <c r="AB1149" i="5"/>
  <c r="N1149" i="5"/>
  <c r="P1149" i="5"/>
  <c r="V1149" i="5"/>
  <c r="F1149" i="5"/>
  <c r="O1149" i="5"/>
  <c r="Q1149" i="5"/>
  <c r="E1125" i="6"/>
  <c r="M1125" i="6"/>
  <c r="A1126" i="6"/>
  <c r="F1125" i="6"/>
  <c r="N1125" i="6"/>
  <c r="G1125" i="6"/>
  <c r="O1125" i="6"/>
  <c r="B1125" i="6"/>
  <c r="J1125" i="6"/>
  <c r="R1125" i="6"/>
  <c r="D1125" i="6"/>
  <c r="T1125" i="6"/>
  <c r="H1125" i="6"/>
  <c r="I1125" i="6"/>
  <c r="P1125" i="6"/>
  <c r="C1125" i="6"/>
  <c r="K1125" i="6"/>
  <c r="L1125" i="6"/>
  <c r="S1125" i="6"/>
  <c r="Q1125" i="6"/>
  <c r="H1149" i="3" l="1"/>
  <c r="I1149" i="3"/>
  <c r="J1149" i="3"/>
  <c r="B1149" i="3"/>
  <c r="K1149" i="3"/>
  <c r="A1150" i="3"/>
  <c r="C1149" i="3"/>
  <c r="E1149" i="3"/>
  <c r="F1149" i="3"/>
  <c r="G1149" i="3"/>
  <c r="H1150" i="5"/>
  <c r="P1150" i="5"/>
  <c r="X1150" i="5"/>
  <c r="I1150" i="5"/>
  <c r="Q1150" i="5"/>
  <c r="AB1150" i="5"/>
  <c r="B1150" i="5"/>
  <c r="J1150" i="5"/>
  <c r="R1150" i="5"/>
  <c r="AC1150" i="5"/>
  <c r="C1150" i="5"/>
  <c r="K1150" i="5"/>
  <c r="S1150" i="5"/>
  <c r="A1151" i="5"/>
  <c r="M1150" i="5"/>
  <c r="N1150" i="5"/>
  <c r="O1150" i="5"/>
  <c r="D1150" i="5"/>
  <c r="T1150" i="5"/>
  <c r="F1150" i="5"/>
  <c r="G1150" i="5"/>
  <c r="E1150" i="5"/>
  <c r="L1150" i="5"/>
  <c r="W1150" i="5"/>
  <c r="U1150" i="5"/>
  <c r="V1150" i="5"/>
  <c r="F1149" i="4"/>
  <c r="G1149" i="4"/>
  <c r="H1149" i="4"/>
  <c r="I1149" i="4"/>
  <c r="B1149" i="4"/>
  <c r="C1149" i="4"/>
  <c r="D1149" i="4"/>
  <c r="J1149" i="4"/>
  <c r="E1149" i="4"/>
  <c r="A1150" i="4"/>
  <c r="I1126" i="6"/>
  <c r="Q1126" i="6"/>
  <c r="B1126" i="6"/>
  <c r="J1126" i="6"/>
  <c r="R1126" i="6"/>
  <c r="C1126" i="6"/>
  <c r="K1126" i="6"/>
  <c r="S1126" i="6"/>
  <c r="F1126" i="6"/>
  <c r="N1126" i="6"/>
  <c r="P1126" i="6"/>
  <c r="D1126" i="6"/>
  <c r="T1126" i="6"/>
  <c r="E1126" i="6"/>
  <c r="A1127" i="6"/>
  <c r="L1126" i="6"/>
  <c r="H1126" i="6"/>
  <c r="M1126" i="6"/>
  <c r="O1126" i="6"/>
  <c r="G1126" i="6"/>
  <c r="D1150" i="4" l="1"/>
  <c r="E1150" i="4"/>
  <c r="F1150" i="4"/>
  <c r="G1150" i="4"/>
  <c r="H1150" i="4"/>
  <c r="I1150" i="4"/>
  <c r="C1150" i="4"/>
  <c r="J1150" i="4"/>
  <c r="B1150" i="4"/>
  <c r="A1151" i="4"/>
  <c r="F1150" i="3"/>
  <c r="G1150" i="3"/>
  <c r="H1150" i="3"/>
  <c r="I1150" i="3"/>
  <c r="A1151" i="3"/>
  <c r="B1150" i="3"/>
  <c r="K1150" i="3"/>
  <c r="C1150" i="3"/>
  <c r="J1150" i="3"/>
  <c r="E1150" i="3"/>
  <c r="F1151" i="5"/>
  <c r="N1151" i="5"/>
  <c r="V1151" i="5"/>
  <c r="G1151" i="5"/>
  <c r="O1151" i="5"/>
  <c r="W1151" i="5"/>
  <c r="H1151" i="5"/>
  <c r="P1151" i="5"/>
  <c r="X1151" i="5"/>
  <c r="I1151" i="5"/>
  <c r="Q1151" i="5"/>
  <c r="AB1151" i="5"/>
  <c r="C1151" i="5"/>
  <c r="S1151" i="5"/>
  <c r="D1151" i="5"/>
  <c r="T1151" i="5"/>
  <c r="E1151" i="5"/>
  <c r="U1151" i="5"/>
  <c r="J1151" i="5"/>
  <c r="AC1151" i="5"/>
  <c r="L1151" i="5"/>
  <c r="B1151" i="5"/>
  <c r="K1151" i="5"/>
  <c r="M1151" i="5"/>
  <c r="R1151" i="5"/>
  <c r="A1152" i="5"/>
  <c r="E1127" i="6"/>
  <c r="M1127" i="6"/>
  <c r="A1128" i="6"/>
  <c r="F1127" i="6"/>
  <c r="N1127" i="6"/>
  <c r="G1127" i="6"/>
  <c r="O1127" i="6"/>
  <c r="B1127" i="6"/>
  <c r="J1127" i="6"/>
  <c r="R1127" i="6"/>
  <c r="L1127" i="6"/>
  <c r="P1127" i="6"/>
  <c r="Q1127" i="6"/>
  <c r="H1127" i="6"/>
  <c r="T1127" i="6"/>
  <c r="C1127" i="6"/>
  <c r="I1127" i="6"/>
  <c r="K1127" i="6"/>
  <c r="S1127" i="6"/>
  <c r="D1127" i="6"/>
  <c r="C1151" i="3" l="1"/>
  <c r="A1152" i="3"/>
  <c r="E1151" i="3"/>
  <c r="F1151" i="3"/>
  <c r="G1151" i="3"/>
  <c r="H1151" i="3"/>
  <c r="I1151" i="3"/>
  <c r="J1151" i="3"/>
  <c r="K1151" i="3"/>
  <c r="B1151" i="3"/>
  <c r="D1152" i="5"/>
  <c r="L1152" i="5"/>
  <c r="T1152" i="5"/>
  <c r="E1152" i="5"/>
  <c r="M1152" i="5"/>
  <c r="U1152" i="5"/>
  <c r="F1152" i="5"/>
  <c r="N1152" i="5"/>
  <c r="V1152" i="5"/>
  <c r="G1152" i="5"/>
  <c r="O1152" i="5"/>
  <c r="W1152" i="5"/>
  <c r="I1152" i="5"/>
  <c r="AB1152" i="5"/>
  <c r="J1152" i="5"/>
  <c r="AC1152" i="5"/>
  <c r="K1152" i="5"/>
  <c r="A1153" i="5"/>
  <c r="P1152" i="5"/>
  <c r="R1152" i="5"/>
  <c r="C1152" i="5"/>
  <c r="S1152" i="5"/>
  <c r="X1152" i="5"/>
  <c r="B1152" i="5"/>
  <c r="H1152" i="5"/>
  <c r="Q1152" i="5"/>
  <c r="B1151" i="4"/>
  <c r="J1151" i="4"/>
  <c r="C1151" i="4"/>
  <c r="A1152" i="4"/>
  <c r="D1151" i="4"/>
  <c r="E1151" i="4"/>
  <c r="I1151" i="4"/>
  <c r="G1151" i="4"/>
  <c r="H1151" i="4"/>
  <c r="F1151" i="4"/>
  <c r="I1128" i="6"/>
  <c r="Q1128" i="6"/>
  <c r="B1128" i="6"/>
  <c r="J1128" i="6"/>
  <c r="R1128" i="6"/>
  <c r="C1128" i="6"/>
  <c r="K1128" i="6"/>
  <c r="S1128" i="6"/>
  <c r="F1128" i="6"/>
  <c r="N1128" i="6"/>
  <c r="H1128" i="6"/>
  <c r="L1128" i="6"/>
  <c r="M1128" i="6"/>
  <c r="D1128" i="6"/>
  <c r="T1128" i="6"/>
  <c r="E1128" i="6"/>
  <c r="G1128" i="6"/>
  <c r="O1128" i="6"/>
  <c r="P1128" i="6"/>
  <c r="A1129" i="6"/>
  <c r="B1153" i="5" l="1"/>
  <c r="J1153" i="5"/>
  <c r="R1153" i="5"/>
  <c r="AC1153" i="5"/>
  <c r="C1153" i="5"/>
  <c r="K1153" i="5"/>
  <c r="S1153" i="5"/>
  <c r="A1154" i="5"/>
  <c r="D1153" i="5"/>
  <c r="L1153" i="5"/>
  <c r="T1153" i="5"/>
  <c r="E1153" i="5"/>
  <c r="M1153" i="5"/>
  <c r="U1153" i="5"/>
  <c r="O1153" i="5"/>
  <c r="P1153" i="5"/>
  <c r="Q1153" i="5"/>
  <c r="F1153" i="5"/>
  <c r="V1153" i="5"/>
  <c r="X1153" i="5"/>
  <c r="AB1153" i="5"/>
  <c r="H1153" i="5"/>
  <c r="I1153" i="5"/>
  <c r="W1153" i="5"/>
  <c r="G1153" i="5"/>
  <c r="N1153" i="5"/>
  <c r="E1129" i="6"/>
  <c r="M1129" i="6"/>
  <c r="A1130" i="6"/>
  <c r="F1129" i="6"/>
  <c r="N1129" i="6"/>
  <c r="G1129" i="6"/>
  <c r="O1129" i="6"/>
  <c r="B1129" i="6"/>
  <c r="J1129" i="6"/>
  <c r="R1129" i="6"/>
  <c r="D1129" i="6"/>
  <c r="T1129" i="6"/>
  <c r="H1129" i="6"/>
  <c r="I1129" i="6"/>
  <c r="P1129" i="6"/>
  <c r="L1129" i="6"/>
  <c r="Q1129" i="6"/>
  <c r="S1129" i="6"/>
  <c r="C1129" i="6"/>
  <c r="K1129" i="6"/>
  <c r="J1152" i="3"/>
  <c r="B1152" i="3"/>
  <c r="K1152" i="3"/>
  <c r="C1152" i="3"/>
  <c r="A1153" i="3"/>
  <c r="E1152" i="3"/>
  <c r="F1152" i="3"/>
  <c r="H1152" i="3"/>
  <c r="I1152" i="3"/>
  <c r="G1152" i="3"/>
  <c r="H1152" i="4"/>
  <c r="I1152" i="4"/>
  <c r="B1152" i="4"/>
  <c r="J1152" i="4"/>
  <c r="C1152" i="4"/>
  <c r="A1153" i="4"/>
  <c r="D1152" i="4"/>
  <c r="E1152" i="4"/>
  <c r="F1152" i="4"/>
  <c r="G1152" i="4"/>
  <c r="I1130" i="6" l="1"/>
  <c r="Q1130" i="6"/>
  <c r="B1130" i="6"/>
  <c r="J1130" i="6"/>
  <c r="R1130" i="6"/>
  <c r="C1130" i="6"/>
  <c r="K1130" i="6"/>
  <c r="S1130" i="6"/>
  <c r="F1130" i="6"/>
  <c r="N1130" i="6"/>
  <c r="P1130" i="6"/>
  <c r="D1130" i="6"/>
  <c r="T1130" i="6"/>
  <c r="E1130" i="6"/>
  <c r="A1131" i="6"/>
  <c r="L1130" i="6"/>
  <c r="G1130" i="6"/>
  <c r="M1130" i="6"/>
  <c r="O1130" i="6"/>
  <c r="H1130" i="6"/>
  <c r="F1153" i="4"/>
  <c r="G1153" i="4"/>
  <c r="H1153" i="4"/>
  <c r="I1153" i="4"/>
  <c r="J1153" i="4"/>
  <c r="B1153" i="4"/>
  <c r="A1154" i="4"/>
  <c r="C1153" i="4"/>
  <c r="E1153" i="4"/>
  <c r="D1153" i="4"/>
  <c r="H1153" i="3"/>
  <c r="I1153" i="3"/>
  <c r="J1153" i="3"/>
  <c r="B1153" i="3"/>
  <c r="K1153" i="3"/>
  <c r="C1153" i="3"/>
  <c r="E1153" i="3"/>
  <c r="F1153" i="3"/>
  <c r="G1153" i="3"/>
  <c r="A1154" i="3"/>
  <c r="H1154" i="5"/>
  <c r="P1154" i="5"/>
  <c r="X1154" i="5"/>
  <c r="I1154" i="5"/>
  <c r="Q1154" i="5"/>
  <c r="AB1154" i="5"/>
  <c r="B1154" i="5"/>
  <c r="J1154" i="5"/>
  <c r="R1154" i="5"/>
  <c r="AC1154" i="5"/>
  <c r="C1154" i="5"/>
  <c r="K1154" i="5"/>
  <c r="S1154" i="5"/>
  <c r="A1155" i="5"/>
  <c r="E1154" i="5"/>
  <c r="U1154" i="5"/>
  <c r="F1154" i="5"/>
  <c r="V1154" i="5"/>
  <c r="G1154" i="5"/>
  <c r="W1154" i="5"/>
  <c r="L1154" i="5"/>
  <c r="N1154" i="5"/>
  <c r="T1154" i="5"/>
  <c r="D1154" i="5"/>
  <c r="M1154" i="5"/>
  <c r="O1154" i="5"/>
  <c r="F1154" i="3" l="1"/>
  <c r="G1154" i="3"/>
  <c r="H1154" i="3"/>
  <c r="I1154" i="3"/>
  <c r="J1154" i="3"/>
  <c r="E1154" i="3"/>
  <c r="K1154" i="3"/>
  <c r="A1155" i="3"/>
  <c r="B1154" i="3"/>
  <c r="C1154" i="3"/>
  <c r="E1131" i="6"/>
  <c r="M1131" i="6"/>
  <c r="A1132" i="6"/>
  <c r="F1131" i="6"/>
  <c r="N1131" i="6"/>
  <c r="G1131" i="6"/>
  <c r="O1131" i="6"/>
  <c r="B1131" i="6"/>
  <c r="J1131" i="6"/>
  <c r="R1131" i="6"/>
  <c r="L1131" i="6"/>
  <c r="P1131" i="6"/>
  <c r="Q1131" i="6"/>
  <c r="H1131" i="6"/>
  <c r="D1131" i="6"/>
  <c r="I1131" i="6"/>
  <c r="K1131" i="6"/>
  <c r="S1131" i="6"/>
  <c r="C1131" i="6"/>
  <c r="T1131" i="6"/>
  <c r="F1155" i="5"/>
  <c r="N1155" i="5"/>
  <c r="V1155" i="5"/>
  <c r="G1155" i="5"/>
  <c r="O1155" i="5"/>
  <c r="W1155" i="5"/>
  <c r="H1155" i="5"/>
  <c r="P1155" i="5"/>
  <c r="X1155" i="5"/>
  <c r="I1155" i="5"/>
  <c r="Q1155" i="5"/>
  <c r="AB1155" i="5"/>
  <c r="K1155" i="5"/>
  <c r="A1156" i="5"/>
  <c r="L1155" i="5"/>
  <c r="M1155" i="5"/>
  <c r="B1155" i="5"/>
  <c r="R1155" i="5"/>
  <c r="D1155" i="5"/>
  <c r="AC1155" i="5"/>
  <c r="E1155" i="5"/>
  <c r="C1155" i="5"/>
  <c r="J1155" i="5"/>
  <c r="U1155" i="5"/>
  <c r="S1155" i="5"/>
  <c r="T1155" i="5"/>
  <c r="D1154" i="4"/>
  <c r="E1154" i="4"/>
  <c r="F1154" i="4"/>
  <c r="G1154" i="4"/>
  <c r="I1154" i="4"/>
  <c r="J1154" i="4"/>
  <c r="H1154" i="4"/>
  <c r="B1154" i="4"/>
  <c r="C1154" i="4"/>
  <c r="A1155" i="4"/>
  <c r="I1132" i="6" l="1"/>
  <c r="Q1132" i="6"/>
  <c r="B1132" i="6"/>
  <c r="J1132" i="6"/>
  <c r="R1132" i="6"/>
  <c r="C1132" i="6"/>
  <c r="K1132" i="6"/>
  <c r="S1132" i="6"/>
  <c r="F1132" i="6"/>
  <c r="N1132" i="6"/>
  <c r="H1132" i="6"/>
  <c r="L1132" i="6"/>
  <c r="M1132" i="6"/>
  <c r="D1132" i="6"/>
  <c r="T1132" i="6"/>
  <c r="P1132" i="6"/>
  <c r="A1133" i="6"/>
  <c r="G1132" i="6"/>
  <c r="O1132" i="6"/>
  <c r="E1132" i="6"/>
  <c r="D1156" i="5"/>
  <c r="L1156" i="5"/>
  <c r="T1156" i="5"/>
  <c r="E1156" i="5"/>
  <c r="M1156" i="5"/>
  <c r="U1156" i="5"/>
  <c r="F1156" i="5"/>
  <c r="N1156" i="5"/>
  <c r="V1156" i="5"/>
  <c r="G1156" i="5"/>
  <c r="O1156" i="5"/>
  <c r="W1156" i="5"/>
  <c r="Q1156" i="5"/>
  <c r="B1156" i="5"/>
  <c r="R1156" i="5"/>
  <c r="C1156" i="5"/>
  <c r="S1156" i="5"/>
  <c r="H1156" i="5"/>
  <c r="X1156" i="5"/>
  <c r="J1156" i="5"/>
  <c r="A1157" i="5"/>
  <c r="I1156" i="5"/>
  <c r="K1156" i="5"/>
  <c r="AC1156" i="5"/>
  <c r="P1156" i="5"/>
  <c r="AB1156" i="5"/>
  <c r="B1155" i="4"/>
  <c r="J1155" i="4"/>
  <c r="C1155" i="4"/>
  <c r="A1156" i="4"/>
  <c r="D1155" i="4"/>
  <c r="E1155" i="4"/>
  <c r="F1155" i="4"/>
  <c r="G1155" i="4"/>
  <c r="H1155" i="4"/>
  <c r="I1155" i="4"/>
  <c r="C1155" i="3"/>
  <c r="A1156" i="3"/>
  <c r="E1155" i="3"/>
  <c r="F1155" i="3"/>
  <c r="G1155" i="3"/>
  <c r="I1155" i="3"/>
  <c r="H1155" i="3"/>
  <c r="J1155" i="3"/>
  <c r="K1155" i="3"/>
  <c r="B1155" i="3"/>
  <c r="J1156" i="3" l="1"/>
  <c r="B1156" i="3"/>
  <c r="K1156" i="3"/>
  <c r="C1156" i="3"/>
  <c r="E1156" i="3"/>
  <c r="F1156" i="3"/>
  <c r="G1156" i="3"/>
  <c r="H1156" i="3"/>
  <c r="I1156" i="3"/>
  <c r="H1156" i="4"/>
  <c r="I1156" i="4"/>
  <c r="B1156" i="4"/>
  <c r="J1156" i="4"/>
  <c r="C1156" i="4"/>
  <c r="G1156" i="4"/>
  <c r="D1156" i="4"/>
  <c r="F1156" i="4"/>
  <c r="E1156" i="4"/>
  <c r="B1157" i="5"/>
  <c r="J1157" i="5"/>
  <c r="R1157" i="5"/>
  <c r="AC1157" i="5"/>
  <c r="C1157" i="5"/>
  <c r="K1157" i="5"/>
  <c r="S1157" i="5"/>
  <c r="D1157" i="5"/>
  <c r="L1157" i="5"/>
  <c r="T1157" i="5"/>
  <c r="E1157" i="5"/>
  <c r="M1157" i="5"/>
  <c r="U1157" i="5"/>
  <c r="G1157" i="5"/>
  <c r="W1157" i="5"/>
  <c r="H1157" i="5"/>
  <c r="X1157" i="5"/>
  <c r="I1157" i="5"/>
  <c r="AB1157" i="5"/>
  <c r="N1157" i="5"/>
  <c r="P1157" i="5"/>
  <c r="Q1157" i="5"/>
  <c r="V1157" i="5"/>
  <c r="F1157" i="5"/>
  <c r="O1157" i="5"/>
  <c r="E1133" i="6"/>
  <c r="M1133" i="6"/>
  <c r="A1134" i="6"/>
  <c r="F1133" i="6"/>
  <c r="N1133" i="6"/>
  <c r="G1133" i="6"/>
  <c r="O1133" i="6"/>
  <c r="B1133" i="6"/>
  <c r="J1133" i="6"/>
  <c r="R1133" i="6"/>
  <c r="D1133" i="6"/>
  <c r="T1133" i="6"/>
  <c r="H1133" i="6"/>
  <c r="I1133" i="6"/>
  <c r="P1133" i="6"/>
  <c r="C1133" i="6"/>
  <c r="K1133" i="6"/>
  <c r="Q1133" i="6"/>
  <c r="S1133" i="6"/>
  <c r="L1133" i="6"/>
  <c r="I1134" i="6" l="1"/>
  <c r="Q1134" i="6"/>
  <c r="B1134" i="6"/>
  <c r="J1134" i="6"/>
  <c r="R1134" i="6"/>
  <c r="C1134" i="6"/>
  <c r="K1134" i="6"/>
  <c r="S1134" i="6"/>
  <c r="F1134" i="6"/>
  <c r="N1134" i="6"/>
  <c r="P1134" i="6"/>
  <c r="D1134" i="6"/>
  <c r="T1134" i="6"/>
  <c r="E1134" i="6"/>
  <c r="A1135" i="6"/>
  <c r="L1134" i="6"/>
  <c r="H1134" i="6"/>
  <c r="M1134" i="6"/>
  <c r="O1134" i="6"/>
  <c r="G1134" i="6"/>
  <c r="E1135" i="6" l="1"/>
  <c r="M1135" i="6"/>
  <c r="A1136" i="6"/>
  <c r="F1135" i="6"/>
  <c r="N1135" i="6"/>
  <c r="G1135" i="6"/>
  <c r="O1135" i="6"/>
  <c r="B1135" i="6"/>
  <c r="J1135" i="6"/>
  <c r="R1135" i="6"/>
  <c r="L1135" i="6"/>
  <c r="P1135" i="6"/>
  <c r="Q1135" i="6"/>
  <c r="H1135" i="6"/>
  <c r="T1135" i="6"/>
  <c r="C1135" i="6"/>
  <c r="D1135" i="6"/>
  <c r="I1135" i="6"/>
  <c r="K1135" i="6"/>
  <c r="S1135" i="6"/>
  <c r="I1136" i="6" l="1"/>
  <c r="Q1136" i="6"/>
  <c r="B1136" i="6"/>
  <c r="J1136" i="6"/>
  <c r="R1136" i="6"/>
  <c r="C1136" i="6"/>
  <c r="K1136" i="6"/>
  <c r="S1136" i="6"/>
  <c r="F1136" i="6"/>
  <c r="N1136" i="6"/>
  <c r="H1136" i="6"/>
  <c r="L1136" i="6"/>
  <c r="M1136" i="6"/>
  <c r="D1136" i="6"/>
  <c r="T1136" i="6"/>
  <c r="E1136" i="6"/>
  <c r="G1136" i="6"/>
  <c r="O1136" i="6"/>
  <c r="A1137" i="6"/>
  <c r="P1136" i="6"/>
  <c r="E1137" i="6" l="1"/>
  <c r="M1137" i="6"/>
  <c r="A1138" i="6"/>
  <c r="F1137" i="6"/>
  <c r="N1137" i="6"/>
  <c r="G1137" i="6"/>
  <c r="O1137" i="6"/>
  <c r="B1137" i="6"/>
  <c r="J1137" i="6"/>
  <c r="R1137" i="6"/>
  <c r="D1137" i="6"/>
  <c r="T1137" i="6"/>
  <c r="H1137" i="6"/>
  <c r="I1137" i="6"/>
  <c r="P1137" i="6"/>
  <c r="L1137" i="6"/>
  <c r="Q1137" i="6"/>
  <c r="S1137" i="6"/>
  <c r="C1137" i="6"/>
  <c r="K1137" i="6"/>
  <c r="I1138" i="6" l="1"/>
  <c r="Q1138" i="6"/>
  <c r="B1138" i="6"/>
  <c r="J1138" i="6"/>
  <c r="R1138" i="6"/>
  <c r="C1138" i="6"/>
  <c r="K1138" i="6"/>
  <c r="S1138" i="6"/>
  <c r="F1138" i="6"/>
  <c r="N1138" i="6"/>
  <c r="P1138" i="6"/>
  <c r="D1138" i="6"/>
  <c r="T1138" i="6"/>
  <c r="E1138" i="6"/>
  <c r="A1139" i="6"/>
  <c r="L1138" i="6"/>
  <c r="G1138" i="6"/>
  <c r="H1138" i="6"/>
  <c r="O1138" i="6"/>
  <c r="M1138" i="6"/>
  <c r="E1139" i="6" l="1"/>
  <c r="M1139" i="6"/>
  <c r="A1140" i="6"/>
  <c r="F1139" i="6"/>
  <c r="N1139" i="6"/>
  <c r="G1139" i="6"/>
  <c r="O1139" i="6"/>
  <c r="B1139" i="6"/>
  <c r="J1139" i="6"/>
  <c r="R1139" i="6"/>
  <c r="L1139" i="6"/>
  <c r="P1139" i="6"/>
  <c r="Q1139" i="6"/>
  <c r="H1139" i="6"/>
  <c r="D1139" i="6"/>
  <c r="I1139" i="6"/>
  <c r="K1139" i="6"/>
  <c r="S1139" i="6"/>
  <c r="C1139" i="6"/>
  <c r="T1139" i="6"/>
  <c r="I1140" i="6" l="1"/>
  <c r="Q1140" i="6"/>
  <c r="B1140" i="6"/>
  <c r="J1140" i="6"/>
  <c r="R1140" i="6"/>
  <c r="C1140" i="6"/>
  <c r="K1140" i="6"/>
  <c r="S1140" i="6"/>
  <c r="F1140" i="6"/>
  <c r="N1140" i="6"/>
  <c r="H1140" i="6"/>
  <c r="L1140" i="6"/>
  <c r="M1140" i="6"/>
  <c r="D1140" i="6"/>
  <c r="T1140" i="6"/>
  <c r="P1140" i="6"/>
  <c r="A1141" i="6"/>
  <c r="E1140" i="6"/>
  <c r="G1140" i="6"/>
  <c r="O1140" i="6"/>
  <c r="E1141" i="6" l="1"/>
  <c r="M1141" i="6"/>
  <c r="A1142" i="6"/>
  <c r="F1141" i="6"/>
  <c r="N1141" i="6"/>
  <c r="G1141" i="6"/>
  <c r="O1141" i="6"/>
  <c r="B1141" i="6"/>
  <c r="J1141" i="6"/>
  <c r="R1141" i="6"/>
  <c r="D1141" i="6"/>
  <c r="T1141" i="6"/>
  <c r="H1141" i="6"/>
  <c r="I1141" i="6"/>
  <c r="P1141" i="6"/>
  <c r="C1141" i="6"/>
  <c r="K1141" i="6"/>
  <c r="L1141" i="6"/>
  <c r="Q1141" i="6"/>
  <c r="S1141" i="6"/>
  <c r="I1142" i="6" l="1"/>
  <c r="Q1142" i="6"/>
  <c r="B1142" i="6"/>
  <c r="J1142" i="6"/>
  <c r="R1142" i="6"/>
  <c r="C1142" i="6"/>
  <c r="K1142" i="6"/>
  <c r="S1142" i="6"/>
  <c r="F1142" i="6"/>
  <c r="N1142" i="6"/>
  <c r="P1142" i="6"/>
  <c r="D1142" i="6"/>
  <c r="T1142" i="6"/>
  <c r="E1142" i="6"/>
  <c r="A1143" i="6"/>
  <c r="L1142" i="6"/>
  <c r="H1142" i="6"/>
  <c r="M1142" i="6"/>
  <c r="O1142" i="6"/>
  <c r="G1142" i="6"/>
  <c r="E1143" i="6" l="1"/>
  <c r="M1143" i="6"/>
  <c r="A1144" i="6"/>
  <c r="F1143" i="6"/>
  <c r="N1143" i="6"/>
  <c r="G1143" i="6"/>
  <c r="O1143" i="6"/>
  <c r="B1143" i="6"/>
  <c r="J1143" i="6"/>
  <c r="R1143" i="6"/>
  <c r="L1143" i="6"/>
  <c r="P1143" i="6"/>
  <c r="Q1143" i="6"/>
  <c r="H1143" i="6"/>
  <c r="T1143" i="6"/>
  <c r="C1143" i="6"/>
  <c r="I1143" i="6"/>
  <c r="K1143" i="6"/>
  <c r="S1143" i="6"/>
  <c r="D1143" i="6"/>
  <c r="I1144" i="6" l="1"/>
  <c r="Q1144" i="6"/>
  <c r="B1144" i="6"/>
  <c r="J1144" i="6"/>
  <c r="R1144" i="6"/>
  <c r="C1144" i="6"/>
  <c r="K1144" i="6"/>
  <c r="S1144" i="6"/>
  <c r="F1144" i="6"/>
  <c r="N1144" i="6"/>
  <c r="H1144" i="6"/>
  <c r="L1144" i="6"/>
  <c r="M1144" i="6"/>
  <c r="D1144" i="6"/>
  <c r="T1144" i="6"/>
  <c r="E1144" i="6"/>
  <c r="G1144" i="6"/>
  <c r="O1144" i="6"/>
  <c r="P1144" i="6"/>
  <c r="A1145" i="6"/>
  <c r="E1145" i="6" l="1"/>
  <c r="M1145" i="6"/>
  <c r="A1146" i="6"/>
  <c r="F1145" i="6"/>
  <c r="N1145" i="6"/>
  <c r="G1145" i="6"/>
  <c r="O1145" i="6"/>
  <c r="B1145" i="6"/>
  <c r="J1145" i="6"/>
  <c r="R1145" i="6"/>
  <c r="D1145" i="6"/>
  <c r="T1145" i="6"/>
  <c r="H1145" i="6"/>
  <c r="I1145" i="6"/>
  <c r="P1145" i="6"/>
  <c r="L1145" i="6"/>
  <c r="Q1145" i="6"/>
  <c r="S1145" i="6"/>
  <c r="C1145" i="6"/>
  <c r="K1145" i="6"/>
  <c r="I1146" i="6" l="1"/>
  <c r="Q1146" i="6"/>
  <c r="B1146" i="6"/>
  <c r="J1146" i="6"/>
  <c r="R1146" i="6"/>
  <c r="C1146" i="6"/>
  <c r="K1146" i="6"/>
  <c r="S1146" i="6"/>
  <c r="F1146" i="6"/>
  <c r="N1146" i="6"/>
  <c r="P1146" i="6"/>
  <c r="D1146" i="6"/>
  <c r="T1146" i="6"/>
  <c r="E1146" i="6"/>
  <c r="A1147" i="6"/>
  <c r="L1146" i="6"/>
  <c r="G1146" i="6"/>
  <c r="M1146" i="6"/>
  <c r="O1146" i="6"/>
  <c r="H1146" i="6"/>
  <c r="E1147" i="6" l="1"/>
  <c r="M1147" i="6"/>
  <c r="A1148" i="6"/>
  <c r="F1147" i="6"/>
  <c r="N1147" i="6"/>
  <c r="G1147" i="6"/>
  <c r="O1147" i="6"/>
  <c r="B1147" i="6"/>
  <c r="J1147" i="6"/>
  <c r="R1147" i="6"/>
  <c r="L1147" i="6"/>
  <c r="P1147" i="6"/>
  <c r="Q1147" i="6"/>
  <c r="H1147" i="6"/>
  <c r="D1147" i="6"/>
  <c r="I1147" i="6"/>
  <c r="K1147" i="6"/>
  <c r="S1147" i="6"/>
  <c r="C1147" i="6"/>
  <c r="T1147" i="6"/>
  <c r="I1148" i="6" l="1"/>
  <c r="Q1148" i="6"/>
  <c r="B1148" i="6"/>
  <c r="J1148" i="6"/>
  <c r="R1148" i="6"/>
  <c r="C1148" i="6"/>
  <c r="K1148" i="6"/>
  <c r="S1148" i="6"/>
  <c r="F1148" i="6"/>
  <c r="N1148" i="6"/>
  <c r="H1148" i="6"/>
  <c r="L1148" i="6"/>
  <c r="M1148" i="6"/>
  <c r="D1148" i="6"/>
  <c r="T1148" i="6"/>
  <c r="P1148" i="6"/>
  <c r="A1149" i="6"/>
  <c r="E1148" i="6"/>
  <c r="G1148" i="6"/>
  <c r="O1148" i="6"/>
  <c r="E1149" i="6" l="1"/>
  <c r="M1149" i="6"/>
  <c r="A1150" i="6"/>
  <c r="F1149" i="6"/>
  <c r="N1149" i="6"/>
  <c r="G1149" i="6"/>
  <c r="O1149" i="6"/>
  <c r="B1149" i="6"/>
  <c r="J1149" i="6"/>
  <c r="R1149" i="6"/>
  <c r="D1149" i="6"/>
  <c r="T1149" i="6"/>
  <c r="H1149" i="6"/>
  <c r="I1149" i="6"/>
  <c r="P1149" i="6"/>
  <c r="C1149" i="6"/>
  <c r="K1149" i="6"/>
  <c r="Q1149" i="6"/>
  <c r="S1149" i="6"/>
  <c r="L1149" i="6"/>
  <c r="I1150" i="6" l="1"/>
  <c r="Q1150" i="6"/>
  <c r="B1150" i="6"/>
  <c r="J1150" i="6"/>
  <c r="R1150" i="6"/>
  <c r="C1150" i="6"/>
  <c r="K1150" i="6"/>
  <c r="S1150" i="6"/>
  <c r="F1150" i="6"/>
  <c r="N1150" i="6"/>
  <c r="P1150" i="6"/>
  <c r="D1150" i="6"/>
  <c r="T1150" i="6"/>
  <c r="E1150" i="6"/>
  <c r="A1151" i="6"/>
  <c r="L1150" i="6"/>
  <c r="H1150" i="6"/>
  <c r="M1150" i="6"/>
  <c r="O1150" i="6"/>
  <c r="G1150" i="6"/>
  <c r="E1151" i="6" l="1"/>
  <c r="M1151" i="6"/>
  <c r="A1152" i="6"/>
  <c r="F1151" i="6"/>
  <c r="N1151" i="6"/>
  <c r="G1151" i="6"/>
  <c r="O1151" i="6"/>
  <c r="B1151" i="6"/>
  <c r="J1151" i="6"/>
  <c r="R1151" i="6"/>
  <c r="L1151" i="6"/>
  <c r="P1151" i="6"/>
  <c r="Q1151" i="6"/>
  <c r="H1151" i="6"/>
  <c r="T1151" i="6"/>
  <c r="C1151" i="6"/>
  <c r="D1151" i="6"/>
  <c r="K1151" i="6"/>
  <c r="S1151" i="6"/>
  <c r="I1151" i="6"/>
  <c r="I1152" i="6" l="1"/>
  <c r="Q1152" i="6"/>
  <c r="B1152" i="6"/>
  <c r="J1152" i="6"/>
  <c r="R1152" i="6"/>
  <c r="C1152" i="6"/>
  <c r="K1152" i="6"/>
  <c r="S1152" i="6"/>
  <c r="F1152" i="6"/>
  <c r="N1152" i="6"/>
  <c r="H1152" i="6"/>
  <c r="L1152" i="6"/>
  <c r="M1152" i="6"/>
  <c r="D1152" i="6"/>
  <c r="T1152" i="6"/>
  <c r="E1152" i="6"/>
  <c r="G1152" i="6"/>
  <c r="O1152" i="6"/>
  <c r="A1153" i="6"/>
  <c r="P1152" i="6"/>
  <c r="E1153" i="6" l="1"/>
  <c r="M1153" i="6"/>
  <c r="A1154" i="6"/>
  <c r="F1153" i="6"/>
  <c r="N1153" i="6"/>
  <c r="G1153" i="6"/>
  <c r="O1153" i="6"/>
  <c r="B1153" i="6"/>
  <c r="J1153" i="6"/>
  <c r="R1153" i="6"/>
  <c r="D1153" i="6"/>
  <c r="T1153" i="6"/>
  <c r="H1153" i="6"/>
  <c r="I1153" i="6"/>
  <c r="P1153" i="6"/>
  <c r="L1153" i="6"/>
  <c r="Q1153" i="6"/>
  <c r="S1153" i="6"/>
  <c r="C1153" i="6"/>
  <c r="K1153" i="6"/>
  <c r="I1154" i="6" l="1"/>
  <c r="Q1154" i="6"/>
  <c r="B1154" i="6"/>
  <c r="J1154" i="6"/>
  <c r="R1154" i="6"/>
  <c r="C1154" i="6"/>
  <c r="K1154" i="6"/>
  <c r="S1154" i="6"/>
  <c r="F1154" i="6"/>
  <c r="N1154" i="6"/>
  <c r="P1154" i="6"/>
  <c r="D1154" i="6"/>
  <c r="T1154" i="6"/>
  <c r="E1154" i="6"/>
  <c r="A1155" i="6"/>
  <c r="L1154" i="6"/>
  <c r="G1154" i="6"/>
  <c r="H1154" i="6"/>
  <c r="M1154" i="6"/>
  <c r="O1154" i="6"/>
  <c r="E1155" i="6" l="1"/>
  <c r="M1155" i="6"/>
  <c r="A1156" i="6"/>
  <c r="F1155" i="6"/>
  <c r="N1155" i="6"/>
  <c r="B1155" i="6"/>
  <c r="J1155" i="6"/>
  <c r="R1155" i="6"/>
  <c r="K1155" i="6"/>
  <c r="L1155" i="6"/>
  <c r="O1155" i="6"/>
  <c r="G1155" i="6"/>
  <c r="S1155" i="6"/>
  <c r="D1155" i="6"/>
  <c r="H1155" i="6"/>
  <c r="I1155" i="6"/>
  <c r="P1155" i="6"/>
  <c r="T1155" i="6"/>
  <c r="C1155" i="6"/>
  <c r="Q1155" i="6"/>
  <c r="I1156" i="6" l="1"/>
  <c r="Q1156" i="6"/>
  <c r="B1156" i="6"/>
  <c r="J1156" i="6"/>
  <c r="R1156" i="6"/>
  <c r="F1156" i="6"/>
  <c r="N1156" i="6"/>
  <c r="D1156" i="6"/>
  <c r="P1156" i="6"/>
  <c r="E1156" i="6"/>
  <c r="S1156" i="6"/>
  <c r="G1156" i="6"/>
  <c r="T1156" i="6"/>
  <c r="L1156" i="6"/>
  <c r="K1156" i="6"/>
  <c r="M1156" i="6"/>
  <c r="O1156" i="6"/>
  <c r="C1156" i="6"/>
  <c r="H1156" i="6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<sst xmlns="http://schemas.openxmlformats.org/spreadsheetml/2006/main" count="254" uniqueCount="102">
  <si>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</si>
  <si>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</si>
  <si>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</si>
  <si>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</si>
  <si>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</si>
  <si>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</si>
  <si>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</si>
  <si>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</si>
  <si>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</si>
  <si>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</si>
  <si>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</si>
  <si>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</si>
  <si>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</si>
  <si>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</si>
  <si>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</si>
  <si>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</si>
  <si>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</si>
  <si>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</si>
  <si>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</si>
  <si>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</si>
  <si>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</si>
  <si>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</si>
  <si>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</si>
  <si>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</si>
  <si>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>HIGH</t>
  </si>
  <si>
    <t>LOW</t>
  </si>
  <si>
    <t xml:space="preserve"> </t>
  </si>
  <si>
    <t>September 03, 2013 - LISA GORMAN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</si>
  <si>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</si>
  <si>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</si>
  <si>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</si>
  <si>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</si>
  <si>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</si>
  <si>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</si>
  <si>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</si>
  <si>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</si>
  <si>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</si>
  <si>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</si>
  <si>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</si>
  <si>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</si>
  <si>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</si>
  <si>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</si>
  <si>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</si>
  <si>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</si>
  <si>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</si>
  <si>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</si>
  <si>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</si>
  <si>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</si>
  <si>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</si>
  <si>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</si>
  <si>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</si>
  <si>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</si>
  <si>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</si>
  <si>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</si>
  <si>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</si>
  <si>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</si>
  <si>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</si>
  <si>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</si>
  <si>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</si>
  <si>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</si>
  <si>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</si>
  <si>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</si>
  <si>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</si>
  <si>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</si>
  <si>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</si>
  <si>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</si>
  <si>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</si>
  <si>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</si>
  <si>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</si>
  <si>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</si>
  <si>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</si>
  <si>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</si>
  <si>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</si>
  <si>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</si>
  <si>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</si>
  <si>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</si>
  <si>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</si>
  <si>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</si>
  <si>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</si>
  <si>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</si>
  <si>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</si>
  <si>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</si>
  <si>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</si>
  <si>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</si>
  <si>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</si>
  <si>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</si>
  <si>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</si>
  <si>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</si>
  <si>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</si>
  <si>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</si>
  <si>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</si>
  <si>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</si>
  <si>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</si>
  <si>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</si>
  <si>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</si>
  <si>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Attachment No. 20</t>
  </si>
  <si>
    <t>Tab 1 of 6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</si>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</sst>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1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u val="singleAccounting"/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25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166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165" fontId="6" fillId="0" borderId="0" xfId="0" applyNumberFormat="1" applyFont="1" applyAlignment="1"/>
    <xf numFmtId="17" fontId="6" fillId="0" borderId="0" xfId="0" applyNumberFormat="1" applyFont="1" applyAlignment="1">
      <alignment horizontal="center"/>
    </xf>
    <xf numFmtId="166" fontId="6" fillId="0" borderId="0" xfId="24" applyNumberFormat="1" applyFont="1" applyAlignment="1">
      <alignment horizontal="center"/>
    </xf>
    <xf numFmtId="44" fontId="7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9" fillId="0" borderId="0" xfId="0" quotePrefix="1" applyNumberFormat="1" applyFont="1" applyFill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5" fontId="9" fillId="2" borderId="0" xfId="0" quotePrefix="1" applyNumberFormat="1" applyFont="1" applyFill="1" applyAlignment="1">
      <alignment horizontal="center"/>
    </xf>
    <xf numFmtId="165" fontId="9" fillId="3" borderId="0" xfId="0" quotePrefix="1" applyNumberFormat="1" applyFont="1" applyFill="1" applyAlignment="1">
      <alignment horizontal="center"/>
    </xf>
    <xf numFmtId="165" fontId="9" fillId="4" borderId="0" xfId="0" quotePrefix="1" applyNumberFormat="1" applyFont="1" applyFill="1" applyAlignment="1">
      <alignment horizontal="center"/>
    </xf>
    <xf numFmtId="0" fontId="5" fillId="0" borderId="0" xfId="24" applyFill="1"/>
    <xf numFmtId="165" fontId="9" fillId="2" borderId="0" xfId="0" quotePrefix="1" applyNumberFormat="1" applyFont="1" applyFill="1" applyAlignment="1">
      <alignment horizontal="center" vertical="center" wrapText="1"/>
    </xf>
    <xf numFmtId="165" fontId="9" fillId="3" borderId="0" xfId="0" quotePrefix="1" applyNumberFormat="1" applyFont="1" applyFill="1" applyAlignment="1">
      <alignment horizontal="center" vertical="center" wrapText="1"/>
    </xf>
    <xf numFmtId="165" fontId="9" fillId="4" borderId="0" xfId="0" quotePrefix="1" applyNumberFormat="1" applyFont="1" applyFill="1" applyAlignment="1">
      <alignment horizontal="center" vertical="center" wrapText="1"/>
    </xf>
    <xf numFmtId="0" fontId="10" fillId="0" borderId="0" xfId="24" applyFont="1"/>
    <xf numFmtId="10" fontId="9" fillId="7" borderId="0" xfId="24" quotePrefix="1" applyNumberFormat="1" applyFont="1" applyFill="1" applyAlignment="1">
      <alignment horizontal="center"/>
    </xf>
    <xf numFmtId="15" fontId="9" fillId="7" borderId="0" xfId="24" applyNumberFormat="1" applyFont="1" applyFill="1" applyAlignment="1">
      <alignment horizontal="left"/>
    </xf>
    <xf numFmtId="15" fontId="9" fillId="0" borderId="0" xfId="24" quotePrefix="1" applyNumberFormat="1" applyFont="1" applyAlignment="1">
      <alignment horizontal="left"/>
    </xf>
    <xf numFmtId="0" fontId="11" fillId="0" borderId="0" xfId="24" applyFont="1"/>
    <xf numFmtId="0" fontId="5" fillId="0" borderId="0" xfId="24" applyAlignment="1">
      <alignment horizontal="center"/>
    </xf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9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9" fillId="0" borderId="0" xfId="24" quotePrefix="1" applyFont="1" applyAlignment="1">
      <alignment horizontal="center" wrapText="1"/>
    </xf>
    <xf numFmtId="10" fontId="12" fillId="7" borderId="0" xfId="24" applyNumberFormat="1" applyFont="1" applyFill="1" applyAlignment="1">
      <alignment horizontal="center"/>
    </xf>
    <xf numFmtId="0" fontId="9" fillId="7" borderId="0" xfId="24" applyFont="1" applyFill="1" applyAlignment="1">
      <alignment horizontal="center"/>
    </xf>
    <xf numFmtId="166" fontId="9" fillId="0" borderId="0" xfId="24" applyNumberFormat="1" applyFont="1" applyFill="1" applyAlignment="1">
      <alignment horizontal="center"/>
    </xf>
    <xf numFmtId="15" fontId="9" fillId="0" borderId="0" xfId="24" applyNumberFormat="1" applyFont="1" applyAlignment="1">
      <alignment horizontal="left"/>
    </xf>
    <xf numFmtId="8" fontId="6" fillId="0" borderId="0" xfId="24" applyNumberFormat="1" applyFont="1" applyAlignment="1">
      <alignment horizontal="center"/>
    </xf>
    <xf numFmtId="166" fontId="6" fillId="6" borderId="0" xfId="24" applyNumberFormat="1" applyFont="1" applyFill="1" applyAlignment="1">
      <alignment horizontal="center"/>
    </xf>
    <xf numFmtId="166" fontId="6" fillId="8" borderId="0" xfId="24" applyNumberFormat="1" applyFont="1" applyFill="1" applyAlignment="1">
      <alignment horizontal="center"/>
    </xf>
    <xf numFmtId="15" fontId="9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8" fontId="6" fillId="0" borderId="0" xfId="24" applyNumberFormat="1" applyFont="1" applyAlignment="1">
      <alignment horizontal="center"/>
    </xf>
    <xf numFmtId="166" fontId="6" fillId="3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6" fontId="9" fillId="5" borderId="0" xfId="24" applyNumberFormat="1" applyFont="1" applyFill="1" applyAlignment="1">
      <alignment horizontal="center"/>
    </xf>
    <xf numFmtId="168" fontId="6" fillId="0" borderId="0" xfId="24" applyNumberFormat="1" applyFont="1"/>
    <xf numFmtId="166" fontId="6" fillId="0" borderId="0" xfId="24" applyNumberFormat="1" applyFont="1"/>
    <xf numFmtId="168" fontId="15" fillId="0" borderId="0" xfId="24" applyNumberFormat="1" applyFont="1" applyAlignment="1">
      <alignment horizontal="center"/>
    </xf>
    <xf numFmtId="169" fontId="6" fillId="0" borderId="0" xfId="24" applyNumberFormat="1" applyFont="1" applyAlignment="1">
      <alignment horizontal="center"/>
    </xf>
    <xf numFmtId="168" fontId="15" fillId="9" borderId="0" xfId="24" applyNumberFormat="1" applyFont="1" applyFill="1" applyAlignment="1">
      <alignment horizontal="center"/>
    </xf>
    <xf numFmtId="169" fontId="6" fillId="5" borderId="0" xfId="24" applyNumberFormat="1" applyFont="1" applyFill="1" applyAlignment="1">
      <alignment horizontal="center"/>
    </xf>
    <xf numFmtId="168" fontId="15" fillId="10" borderId="0" xfId="24" applyNumberFormat="1" applyFont="1" applyFill="1" applyAlignment="1">
      <alignment horizontal="center"/>
    </xf>
    <xf numFmtId="168" fontId="15" fillId="11" borderId="0" xfId="24" applyNumberFormat="1" applyFont="1" applyFill="1" applyAlignment="1">
      <alignment horizontal="center"/>
    </xf>
    <xf numFmtId="166" fontId="6" fillId="5" borderId="0" xfId="24" applyNumberFormat="1" applyFont="1" applyFill="1" applyAlignment="1">
      <alignment horizontal="center"/>
    </xf>
    <xf numFmtId="168" fontId="15" fillId="12" borderId="0" xfId="24" applyNumberFormat="1" applyFont="1" applyFill="1" applyAlignment="1">
      <alignment horizontal="center"/>
    </xf>
    <xf numFmtId="168" fontId="15" fillId="13" borderId="0" xfId="24" applyNumberFormat="1" applyFont="1" applyFill="1" applyAlignment="1">
      <alignment horizontal="center"/>
    </xf>
    <xf numFmtId="168" fontId="15" fillId="14" borderId="0" xfId="24" applyNumberFormat="1" applyFont="1" applyFill="1" applyAlignment="1">
      <alignment horizontal="center"/>
    </xf>
    <xf numFmtId="166" fontId="16" fillId="6" borderId="0" xfId="24" applyNumberFormat="1" applyFont="1" applyFill="1" applyAlignment="1">
      <alignment horizontal="center"/>
    </xf>
    <xf numFmtId="166" fontId="16" fillId="3" borderId="0" xfId="24" applyNumberFormat="1" applyFont="1" applyFill="1" applyAlignment="1">
      <alignment horizontal="center"/>
    </xf>
    <xf numFmtId="168" fontId="16" fillId="0" borderId="0" xfId="24" applyNumberFormat="1" applyFont="1" applyAlignment="1">
      <alignment horizontal="center"/>
    </xf>
    <xf numFmtId="166" fontId="16" fillId="0" borderId="0" xfId="24" applyNumberFormat="1" applyFont="1" applyAlignment="1">
      <alignment horizontal="center"/>
    </xf>
    <xf numFmtId="169" fontId="16" fillId="0" borderId="0" xfId="24" applyNumberFormat="1" applyFont="1" applyAlignment="1">
      <alignment horizontal="center"/>
    </xf>
    <xf numFmtId="166" fontId="17" fillId="5" borderId="0" xfId="24" applyNumberFormat="1" applyFont="1" applyFill="1" applyAlignment="1">
      <alignment horizontal="center"/>
    </xf>
    <xf numFmtId="0" fontId="9" fillId="6" borderId="0" xfId="24" applyFont="1" applyFill="1" applyAlignment="1">
      <alignment horizontal="center" wrapText="1"/>
    </xf>
    <xf numFmtId="0" fontId="9" fillId="3" borderId="0" xfId="24" applyFont="1" applyFill="1" applyAlignment="1">
      <alignment horizontal="center" wrapText="1"/>
    </xf>
    <xf numFmtId="0" fontId="9" fillId="5" borderId="0" xfId="24" applyFont="1" applyFill="1" applyAlignment="1">
      <alignment horizontal="center" wrapText="1"/>
    </xf>
    <xf numFmtId="0" fontId="9" fillId="6" borderId="0" xfId="24" quotePrefix="1" applyFont="1" applyFill="1" applyAlignment="1">
      <alignment horizontal="center" wrapText="1"/>
    </xf>
    <xf numFmtId="0" fontId="9" fillId="2" borderId="0" xfId="24" quotePrefix="1" applyFont="1" applyFill="1" applyAlignment="1">
      <alignment horizontal="center" wrapText="1"/>
    </xf>
    <xf numFmtId="0" fontId="9" fillId="3" borderId="0" xfId="24" quotePrefix="1" applyFont="1" applyFill="1" applyAlignment="1">
      <alignment horizontal="center" wrapText="1"/>
    </xf>
    <xf numFmtId="0" fontId="9" fillId="0" borderId="0" xfId="24" applyFont="1" applyAlignment="1">
      <alignment horizontal="center"/>
    </xf>
    <xf numFmtId="10" fontId="9" fillId="0" borderId="0" xfId="24" applyNumberFormat="1" applyFont="1" applyFill="1" applyAlignment="1">
      <alignment horizontal="center"/>
    </xf>
    <xf numFmtId="0" fontId="9" fillId="0" borderId="0" xfId="24" applyFont="1" applyFill="1" applyAlignment="1">
      <alignment horizontal="center"/>
    </xf>
    <xf numFmtId="10" fontId="9" fillId="7" borderId="0" xfId="24" applyNumberFormat="1" applyFont="1" applyFill="1" applyAlignment="1">
      <alignment horizontal="center"/>
    </xf>
    <xf numFmtId="0" fontId="9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5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5" borderId="0" xfId="24" applyNumberFormat="1" applyFont="1" applyFill="1" applyAlignment="1">
      <alignment horizontal="center"/>
    </xf>
    <xf numFmtId="170" fontId="9" fillId="5" borderId="0" xfId="24" applyNumberFormat="1" applyFont="1" applyFill="1" applyAlignment="1">
      <alignment horizontal="center"/>
    </xf>
    <xf numFmtId="3" fontId="6" fillId="5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9" fillId="5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5" borderId="0" xfId="24" applyNumberFormat="1" applyFont="1" applyFill="1" applyAlignment="1">
      <alignment horizontal="center"/>
    </xf>
    <xf numFmtId="0" fontId="8" fillId="5" borderId="0" xfId="24" applyFont="1" applyFill="1" applyAlignment="1">
      <alignment horizontal="center" wrapText="1"/>
    </xf>
    <xf numFmtId="0" fontId="9" fillId="2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9" fillId="0" borderId="0" xfId="24" quotePrefix="1" applyFont="1" applyFill="1" applyAlignment="1">
      <alignment horizontal="center"/>
    </xf>
    <xf numFmtId="0" fontId="9" fillId="0" borderId="0" xfId="24" applyFont="1" applyFill="1" applyAlignment="1"/>
    <xf numFmtId="0" fontId="9" fillId="4" borderId="0" xfId="24" applyFont="1" applyFill="1" applyAlignment="1">
      <alignment horizontal="center"/>
    </xf>
    <xf numFmtId="0" fontId="9" fillId="6" borderId="0" xfId="24" quotePrefix="1" applyFont="1" applyFill="1" applyAlignment="1">
      <alignment horizontal="center"/>
    </xf>
    <xf numFmtId="0" fontId="9" fillId="0" borderId="0" xfId="24" applyFont="1"/>
    <xf numFmtId="165" fontId="0" fillId="0" borderId="0" xfId="0" applyNumberFormat="1" applyFill="1" applyAlignment="1"/>
    <xf numFmtId="165" fontId="4" fillId="0" borderId="0" xfId="0" applyNumberFormat="1" applyFont="1" applyAlignment="1">
      <alignment horizontal="left"/>
    </xf>
    <xf numFmtId="165" fontId="4" fillId="0" borderId="0" xfId="0" applyNumberFormat="1" applyFont="1" applyFill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9" fillId="6" borderId="0" xfId="0" quotePrefix="1" applyNumberFormat="1" applyFont="1" applyFill="1" applyAlignment="1">
      <alignment horizontal="center"/>
    </xf>
    <xf numFmtId="0" fontId="9" fillId="0" borderId="0" xfId="24" applyFont="1" applyAlignment="1">
      <alignment horizontal="center"/>
    </xf>
    <xf numFmtId="0" fontId="9" fillId="5" borderId="0" xfId="24" quotePrefix="1" applyFont="1" applyFill="1" applyAlignment="1">
      <alignment horizontal="center"/>
    </xf>
    <xf numFmtId="0" fontId="9" fillId="5" borderId="0" xfId="24" applyFont="1" applyFill="1" applyAlignment="1">
      <alignment horizontal="center"/>
    </xf>
    <xf numFmtId="0" fontId="9" fillId="6" borderId="0" xfId="24" applyFont="1" applyFill="1" applyAlignment="1">
      <alignment horizontal="center"/>
    </xf>
    <xf numFmtId="0" fontId="9" fillId="6" borderId="0" xfId="24" quotePrefix="1" applyFont="1" applyFill="1" applyAlignment="1">
      <alignment horizontal="center"/>
    </xf>
    <xf numFmtId="0" fontId="20" fillId="6" borderId="7" xfId="24" quotePrefix="1" applyFont="1" applyFill="1" applyBorder="1" applyAlignment="1">
      <alignment horizontal="center"/>
    </xf>
    <xf numFmtId="0" fontId="20" fillId="6" borderId="6" xfId="24" quotePrefix="1" applyFont="1" applyFill="1" applyBorder="1" applyAlignment="1">
      <alignment horizontal="center"/>
    </xf>
    <xf numFmtId="0" fontId="20" fillId="6" borderId="5" xfId="24" quotePrefix="1" applyFont="1" applyFill="1" applyBorder="1" applyAlignment="1">
      <alignment horizontal="center"/>
    </xf>
    <xf numFmtId="0" fontId="9" fillId="0" borderId="0" xfId="24" quotePrefix="1" applyFont="1" applyFill="1" applyAlignment="1">
      <alignment horizontal="center"/>
    </xf>
    <xf numFmtId="0" fontId="9" fillId="4" borderId="0" xfId="24" quotePrefix="1" applyFont="1" applyFill="1" applyAlignment="1">
      <alignment horizontal="center"/>
    </xf>
    <xf numFmtId="0" fontId="9" fillId="4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2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3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133350</xdr:rowOff>
        </xdr:from>
        <xdr:to>
          <xdr:col>12</xdr:col>
          <xdr:colOff>266700</xdr:colOff>
          <xdr:row>9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9.%20September\130903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workbookViewId="0">
      <selection activeCell="D17" sqref="D17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s="107" customFormat="1" x14ac:dyDescent="0.25">
      <c r="A1" s="108" t="s">
        <v>91</v>
      </c>
    </row>
    <row r="2" spans="1:3" s="107" customFormat="1" x14ac:dyDescent="0.25">
      <c r="A2" s="108" t="s">
        <v>92</v>
      </c>
    </row>
    <row r="3" spans="1:3" s="107" customFormat="1" x14ac:dyDescent="0.25">
      <c r="A3" s="108" t="s">
        <v>93</v>
      </c>
    </row>
    <row r="4" spans="1:3" s="107" customFormat="1" x14ac:dyDescent="0.25">
      <c r="A4" s="108" t="s">
        <v>94</v>
      </c>
    </row>
    <row r="5" spans="1:3" x14ac:dyDescent="0.25">
      <c r="A5" s="108" t="s">
        <v>95</v>
      </c>
    </row>
    <row r="6" spans="1:3" x14ac:dyDescent="0.25">
      <c r="A6" s="108" t="s">
        <v>96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10">
        <v>2</v>
      </c>
    </row>
    <row r="10" spans="1:3" x14ac:dyDescent="0.25">
      <c r="B10" s="6" t="s">
        <v>8</v>
      </c>
      <c r="C10" s="112"/>
    </row>
    <row r="11" spans="1:3" x14ac:dyDescent="0.25">
      <c r="B11" s="5" t="s">
        <v>7</v>
      </c>
      <c r="C11" s="111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10">
        <v>2</v>
      </c>
    </row>
    <row r="16" spans="1:3" x14ac:dyDescent="0.25">
      <c r="B16" s="6" t="s">
        <v>8</v>
      </c>
      <c r="C16" s="112"/>
    </row>
    <row r="17" spans="2:3" x14ac:dyDescent="0.25">
      <c r="B17" s="5" t="s">
        <v>7</v>
      </c>
      <c r="C17" s="111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10">
        <v>2</v>
      </c>
    </row>
    <row r="22" spans="2:3" x14ac:dyDescent="0.25">
      <c r="B22" s="6" t="s">
        <v>8</v>
      </c>
      <c r="C22" s="112"/>
    </row>
    <row r="23" spans="2:3" x14ac:dyDescent="0.25">
      <c r="B23" s="5" t="s">
        <v>7</v>
      </c>
      <c r="C23" s="111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10">
        <v>1</v>
      </c>
    </row>
    <row r="28" spans="2:3" x14ac:dyDescent="0.25">
      <c r="B28" s="2" t="s">
        <v>4</v>
      </c>
      <c r="C28" s="111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10">
        <v>2</v>
      </c>
    </row>
    <row r="33" spans="2:3" x14ac:dyDescent="0.25">
      <c r="B33" s="6" t="s">
        <v>8</v>
      </c>
      <c r="C33" s="112"/>
    </row>
    <row r="34" spans="2:3" x14ac:dyDescent="0.25">
      <c r="B34" s="5" t="s">
        <v>7</v>
      </c>
      <c r="C34" s="111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10">
        <v>1</v>
      </c>
    </row>
    <row r="39" spans="2:3" x14ac:dyDescent="0.25">
      <c r="B39" s="2" t="s">
        <v>4</v>
      </c>
      <c r="C39" s="111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10">
        <v>1</v>
      </c>
    </row>
    <row r="43" spans="2:3" x14ac:dyDescent="0.25">
      <c r="B43" s="2" t="s">
        <v>0</v>
      </c>
      <c r="C43" s="111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horizontalDpi="1200" verticalDpi="1200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0" zoomScaleNormal="70" workbookViewId="0">
      <pane xSplit="1" ySplit="13" topLeftCell="B14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14" sqref="B14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s="22" customFormat="1" ht="15.75" x14ac:dyDescent="0.25">
      <c r="A1" s="108" t="s">
        <v>91</v>
      </c>
    </row>
    <row r="2" spans="1:19" s="22" customFormat="1" ht="15.75" x14ac:dyDescent="0.25">
      <c r="A2" s="109" t="s">
        <v>92</v>
      </c>
    </row>
    <row r="3" spans="1:19" s="22" customFormat="1" ht="15.75" x14ac:dyDescent="0.25">
      <c r="A3" s="109" t="s">
        <v>93</v>
      </c>
    </row>
    <row r="4" spans="1:19" s="22" customFormat="1" ht="15.75" x14ac:dyDescent="0.25">
      <c r="A4" s="109" t="s">
        <v>94</v>
      </c>
    </row>
    <row r="5" spans="1:19" s="22" customFormat="1" ht="15.75" x14ac:dyDescent="0.25">
      <c r="A5" s="108" t="s">
        <v>95</v>
      </c>
    </row>
    <row r="6" spans="1:19" s="22" customFormat="1" ht="15.75" x14ac:dyDescent="0.25">
      <c r="A6" s="108" t="s">
        <v>97</v>
      </c>
    </row>
    <row r="7" spans="1:19" ht="20.25" x14ac:dyDescent="0.3">
      <c r="A7" s="30"/>
    </row>
    <row r="8" spans="1:19" ht="18" x14ac:dyDescent="0.25">
      <c r="A8" s="29" t="s">
        <v>27</v>
      </c>
      <c r="B8" s="29"/>
      <c r="H8" s="26" t="s">
        <v>26</v>
      </c>
    </row>
    <row r="9" spans="1:19" ht="18" x14ac:dyDescent="0.25">
      <c r="A9" s="29"/>
      <c r="B9" s="28" t="s">
        <v>25</v>
      </c>
      <c r="C9" s="27">
        <f>1-0.154</f>
        <v>0.84599999999999997</v>
      </c>
      <c r="D9" s="28" t="s">
        <v>24</v>
      </c>
      <c r="E9" s="27">
        <f>1+0.154</f>
        <v>1.1539999999999999</v>
      </c>
      <c r="H9" s="26"/>
      <c r="P9" s="114"/>
      <c r="Q9" s="114"/>
      <c r="R9" s="114"/>
      <c r="S9" s="114"/>
    </row>
    <row r="10" spans="1:19" ht="15.75" x14ac:dyDescent="0.25">
      <c r="B10" s="113" t="s">
        <v>23</v>
      </c>
      <c r="C10" s="113"/>
      <c r="D10" s="113"/>
      <c r="E10" s="115" t="s">
        <v>22</v>
      </c>
      <c r="F10" s="115"/>
      <c r="G10" s="116"/>
      <c r="H10" s="117" t="s">
        <v>21</v>
      </c>
      <c r="I10" s="117"/>
      <c r="J10" s="117"/>
      <c r="K10" s="117"/>
      <c r="L10" s="116" t="s">
        <v>20</v>
      </c>
      <c r="M10" s="116"/>
      <c r="N10" s="116"/>
      <c r="O10" s="116"/>
      <c r="P10" s="114"/>
      <c r="Q10" s="114"/>
      <c r="R10" s="114"/>
      <c r="S10" s="114"/>
    </row>
    <row r="11" spans="1:19" ht="63" x14ac:dyDescent="0.25">
      <c r="B11" s="25" t="s">
        <v>19</v>
      </c>
      <c r="C11" s="24" t="s">
        <v>17</v>
      </c>
      <c r="D11" s="23" t="s">
        <v>16</v>
      </c>
      <c r="E11" s="25" t="s">
        <v>19</v>
      </c>
      <c r="F11" s="24" t="s">
        <v>17</v>
      </c>
      <c r="G11" s="23" t="s">
        <v>16</v>
      </c>
      <c r="H11" s="25" t="s">
        <v>19</v>
      </c>
      <c r="I11" s="25" t="s">
        <v>18</v>
      </c>
      <c r="J11" s="24" t="s">
        <v>17</v>
      </c>
      <c r="K11" s="23" t="s">
        <v>16</v>
      </c>
      <c r="L11" s="25" t="s">
        <v>19</v>
      </c>
      <c r="M11" s="25" t="s">
        <v>18</v>
      </c>
      <c r="N11" s="24" t="s">
        <v>17</v>
      </c>
      <c r="O11" s="23" t="s">
        <v>16</v>
      </c>
      <c r="P11" s="22"/>
      <c r="Q11" s="18"/>
      <c r="R11" s="18"/>
      <c r="S11" s="18"/>
    </row>
    <row r="12" spans="1:19" ht="13.5" customHeight="1" x14ac:dyDescent="0.25">
      <c r="B12" s="21"/>
      <c r="C12" s="20"/>
      <c r="D12" s="19"/>
      <c r="E12" s="21"/>
      <c r="F12" s="20"/>
      <c r="G12" s="19"/>
      <c r="H12" s="21"/>
      <c r="I12" s="21"/>
      <c r="J12" s="20"/>
      <c r="K12" s="19"/>
      <c r="L12" s="21"/>
      <c r="M12" s="21"/>
      <c r="N12" s="20"/>
      <c r="O12" s="19"/>
      <c r="P12" s="18"/>
      <c r="Q12" s="17"/>
      <c r="R12" s="17"/>
      <c r="S12" s="17"/>
    </row>
    <row r="13" spans="1:19" ht="20.25" x14ac:dyDescent="0.55000000000000004">
      <c r="A13" s="16" t="s">
        <v>15</v>
      </c>
      <c r="B13" s="15" t="s">
        <v>14</v>
      </c>
      <c r="C13" s="15" t="s">
        <v>14</v>
      </c>
      <c r="D13" s="15" t="s">
        <v>14</v>
      </c>
      <c r="E13" s="15" t="s">
        <v>14</v>
      </c>
      <c r="F13" s="15" t="s">
        <v>14</v>
      </c>
      <c r="G13" s="15" t="s">
        <v>14</v>
      </c>
      <c r="H13" s="15" t="s">
        <v>14</v>
      </c>
      <c r="I13" s="15" t="s">
        <v>14</v>
      </c>
      <c r="J13" s="15" t="s">
        <v>14</v>
      </c>
      <c r="K13" s="15" t="s">
        <v>14</v>
      </c>
      <c r="L13" s="15" t="s">
        <v>14</v>
      </c>
      <c r="M13" s="15" t="s">
        <v>14</v>
      </c>
      <c r="N13" s="15" t="s">
        <v>14</v>
      </c>
      <c r="O13" s="15" t="s">
        <v>14</v>
      </c>
      <c r="P13" s="15"/>
      <c r="Q13" s="15"/>
      <c r="R13" s="15"/>
      <c r="S13" s="15"/>
    </row>
    <row r="14" spans="1:19" ht="15" x14ac:dyDescent="0.2">
      <c r="A14" s="13">
        <v>41275</v>
      </c>
      <c r="B14" s="9">
        <f>2.2699 * CHOOSE(CONTROL!$C$32, $C$9, 100%, $E$9)</f>
        <v>2.2698999999999998</v>
      </c>
      <c r="C14" s="9">
        <f>2.2008 * CHOOSE(CONTROL!$C$32, $C$9, 100%, $E$9)</f>
        <v>2.2008000000000001</v>
      </c>
      <c r="D14" s="9">
        <f>2.2397 * CHOOSE(CONTROL!$C$32, $C$9, 100%, $E$9)</f>
        <v>2.2397</v>
      </c>
      <c r="E14" s="11">
        <f>3.5217 * CHOOSE(CONTROL!$C$32, $C$9, 100%, $E$9)</f>
        <v>3.5217000000000001</v>
      </c>
      <c r="F14" s="11">
        <f>3.0912 * CHOOSE(CONTROL!$C$32, $C$9, 100%, $E$9)</f>
        <v>3.0912000000000002</v>
      </c>
      <c r="G14" s="11">
        <f>3.1041 * CHOOSE(CONTROL!$C$32, $C$9, 100%, $E$9)</f>
        <v>3.1040999999999999</v>
      </c>
      <c r="H14" s="11">
        <f>5.79 * CHOOSE(CONTROL!$C$32, $C$9, 100%, $E$9)</f>
        <v>5.79</v>
      </c>
      <c r="I14" s="11">
        <f>5.8029 * CHOOSE(CONTROL!$C$32, $C$9, 100%, $E$9)</f>
        <v>5.8029000000000002</v>
      </c>
      <c r="J14" s="11">
        <f>5.79 * CHOOSE(CONTROL!$C$32, $C$9, 100%, $E$9)</f>
        <v>5.79</v>
      </c>
      <c r="K14" s="11">
        <f>5.8029 * CHOOSE(CONTROL!$C$32, $C$9, 100%, $E$9)</f>
        <v>5.8029000000000002</v>
      </c>
      <c r="L14" s="11">
        <f>3.5217 * CHOOSE(CONTROL!$C$32, $C$9, 100%, $E$9)</f>
        <v>3.5217000000000001</v>
      </c>
      <c r="M14" s="11">
        <f>3.5347 * CHOOSE(CONTROL!$C$32, $C$9, 100%, $E$9)</f>
        <v>3.5347</v>
      </c>
      <c r="N14" s="11">
        <f>3.5217 * CHOOSE(CONTROL!$C$32, $C$9, 100%, $E$9)</f>
        <v>3.5217000000000001</v>
      </c>
      <c r="O14" s="11">
        <f>3.5347 * CHOOSE(CONTROL!$C$32, $C$9, 100%, $E$9)</f>
        <v>3.5347</v>
      </c>
      <c r="P14" s="14"/>
      <c r="Q14" s="11"/>
      <c r="R14" s="11"/>
    </row>
    <row r="15" spans="1:19" ht="15" x14ac:dyDescent="0.2">
      <c r="A15" s="13">
        <v>41306</v>
      </c>
      <c r="B15" s="9">
        <f>2.2758 * CHOOSE(CONTROL!$C$32, $C$9, 100%, $E$9)</f>
        <v>2.2757999999999998</v>
      </c>
      <c r="C15" s="9">
        <f>2.2117 * CHOOSE(CONTROL!$C$32, $C$9, 100%, $E$9)</f>
        <v>2.2117</v>
      </c>
      <c r="D15" s="9">
        <f>2.2506 * CHOOSE(CONTROL!$C$32, $C$9, 100%, $E$9)</f>
        <v>2.2505999999999999</v>
      </c>
      <c r="E15" s="11">
        <f>3.4548 * CHOOSE(CONTROL!$C$32, $C$9, 100%, $E$9)</f>
        <v>3.4548000000000001</v>
      </c>
      <c r="F15" s="11">
        <f>3.0912 * CHOOSE(CONTROL!$C$32, $C$9, 100%, $E$9)</f>
        <v>3.0912000000000002</v>
      </c>
      <c r="G15" s="11">
        <f>3.1041 * CHOOSE(CONTROL!$C$32, $C$9, 100%, $E$9)</f>
        <v>3.1040999999999999</v>
      </c>
      <c r="H15" s="11">
        <f>5.79 * CHOOSE(CONTROL!$C$32, $C$9, 100%, $E$9)</f>
        <v>5.79</v>
      </c>
      <c r="I15" s="11">
        <f>5.8029 * CHOOSE(CONTROL!$C$32, $C$9, 100%, $E$9)</f>
        <v>5.8029000000000002</v>
      </c>
      <c r="J15" s="11">
        <f>5.79 * CHOOSE(CONTROL!$C$32, $C$9, 100%, $E$9)</f>
        <v>5.79</v>
      </c>
      <c r="K15" s="11">
        <f>5.8029 * CHOOSE(CONTROL!$C$32, $C$9, 100%, $E$9)</f>
        <v>5.8029000000000002</v>
      </c>
      <c r="L15" s="11">
        <f>3.4548 * CHOOSE(CONTROL!$C$32, $C$9, 100%, $E$9)</f>
        <v>3.4548000000000001</v>
      </c>
      <c r="M15" s="11">
        <f>3.4678 * CHOOSE(CONTROL!$C$32, $C$9, 100%, $E$9)</f>
        <v>3.4678</v>
      </c>
      <c r="N15" s="11">
        <f>3.4548 * CHOOSE(CONTROL!$C$32, $C$9, 100%, $E$9)</f>
        <v>3.4548000000000001</v>
      </c>
      <c r="O15" s="11">
        <f>3.4678 * CHOOSE(CONTROL!$C$32, $C$9, 100%, $E$9)</f>
        <v>3.4678</v>
      </c>
      <c r="P15" s="14"/>
      <c r="Q15" s="11"/>
      <c r="R15" s="11"/>
    </row>
    <row r="16" spans="1:19" ht="15" x14ac:dyDescent="0.2">
      <c r="A16" s="13">
        <v>41334</v>
      </c>
      <c r="B16" s="9">
        <f>2.2895 * CHOOSE(CONTROL!$C$32, $C$9, 100%, $E$9)</f>
        <v>2.2894999999999999</v>
      </c>
      <c r="C16" s="9">
        <f>2.2178 * CHOOSE(CONTROL!$C$32, $C$9, 100%, $E$9)</f>
        <v>2.2178</v>
      </c>
      <c r="D16" s="9">
        <f>2.2567 * CHOOSE(CONTROL!$C$32, $C$9, 100%, $E$9)</f>
        <v>2.2566999999999999</v>
      </c>
      <c r="E16" s="11">
        <f>3.4548 * CHOOSE(CONTROL!$C$32, $C$9, 100%, $E$9)</f>
        <v>3.4548000000000001</v>
      </c>
      <c r="F16" s="11">
        <f>3.0866 * CHOOSE(CONTROL!$C$32, $C$9, 100%, $E$9)</f>
        <v>3.0865999999999998</v>
      </c>
      <c r="G16" s="11">
        <f>3.0996 * CHOOSE(CONTROL!$C$32, $C$9, 100%, $E$9)</f>
        <v>3.0996000000000001</v>
      </c>
      <c r="H16" s="11">
        <f>5.79 * CHOOSE(CONTROL!$C$32, $C$9, 100%, $E$9)</f>
        <v>5.79</v>
      </c>
      <c r="I16" s="11">
        <f>5.8029 * CHOOSE(CONTROL!$C$32, $C$9, 100%, $E$9)</f>
        <v>5.8029000000000002</v>
      </c>
      <c r="J16" s="11">
        <f>5.79 * CHOOSE(CONTROL!$C$32, $C$9, 100%, $E$9)</f>
        <v>5.79</v>
      </c>
      <c r="K16" s="11">
        <f>5.8029 * CHOOSE(CONTROL!$C$32, $C$9, 100%, $E$9)</f>
        <v>5.8029000000000002</v>
      </c>
      <c r="L16" s="11">
        <f>3.4548 * CHOOSE(CONTROL!$C$32, $C$9, 100%, $E$9)</f>
        <v>3.4548000000000001</v>
      </c>
      <c r="M16" s="11">
        <f>3.4678 * CHOOSE(CONTROL!$C$32, $C$9, 100%, $E$9)</f>
        <v>3.4678</v>
      </c>
      <c r="N16" s="11">
        <f>3.4548 * CHOOSE(CONTROL!$C$32, $C$9, 100%, $E$9)</f>
        <v>3.4548000000000001</v>
      </c>
      <c r="O16" s="11">
        <f>3.4678 * CHOOSE(CONTROL!$C$32, $C$9, 100%, $E$9)</f>
        <v>3.4678</v>
      </c>
      <c r="P16" s="14"/>
      <c r="Q16" s="11"/>
      <c r="R16" s="11"/>
    </row>
    <row r="17" spans="1:18" ht="15" x14ac:dyDescent="0.2">
      <c r="A17" s="13">
        <v>41365</v>
      </c>
      <c r="B17" s="9">
        <f>2.2879 * CHOOSE(CONTROL!$C$32, $C$9, 100%, $E$9)</f>
        <v>2.2879</v>
      </c>
      <c r="C17" s="9">
        <f>2.1959 * CHOOSE(CONTROL!$C$32, $C$9, 100%, $E$9)</f>
        <v>2.1959</v>
      </c>
      <c r="D17" s="9">
        <f>2.2348 * CHOOSE(CONTROL!$C$32, $C$9, 100%, $E$9)</f>
        <v>2.2347999999999999</v>
      </c>
      <c r="E17" s="11">
        <f>3.4508 * CHOOSE(CONTROL!$C$32, $C$9, 100%, $E$9)</f>
        <v>3.4508000000000001</v>
      </c>
      <c r="F17" s="11">
        <f>3.0772 * CHOOSE(CONTROL!$C$32, $C$9, 100%, $E$9)</f>
        <v>3.0771999999999999</v>
      </c>
      <c r="G17" s="11">
        <f>3.0901 * CHOOSE(CONTROL!$C$32, $C$9, 100%, $E$9)</f>
        <v>3.0901000000000001</v>
      </c>
      <c r="H17" s="11">
        <f>5.829 * CHOOSE(CONTROL!$C$32, $C$9, 100%, $E$9)</f>
        <v>5.8289999999999997</v>
      </c>
      <c r="I17" s="11">
        <f>5.8419 * CHOOSE(CONTROL!$C$32, $C$9, 100%, $E$9)</f>
        <v>5.8418999999999999</v>
      </c>
      <c r="J17" s="11">
        <f>5.829 * CHOOSE(CONTROL!$C$32, $C$9, 100%, $E$9)</f>
        <v>5.8289999999999997</v>
      </c>
      <c r="K17" s="11">
        <f>5.8419 * CHOOSE(CONTROL!$C$32, $C$9, 100%, $E$9)</f>
        <v>5.8418999999999999</v>
      </c>
      <c r="L17" s="11">
        <f>3.4508 * CHOOSE(CONTROL!$C$32, $C$9, 100%, $E$9)</f>
        <v>3.4508000000000001</v>
      </c>
      <c r="M17" s="11">
        <f>3.4638 * CHOOSE(CONTROL!$C$32, $C$9, 100%, $E$9)</f>
        <v>3.4638</v>
      </c>
      <c r="N17" s="11">
        <f>3.4508 * CHOOSE(CONTROL!$C$32, $C$9, 100%, $E$9)</f>
        <v>3.4508000000000001</v>
      </c>
      <c r="O17" s="11">
        <f>3.4638 * CHOOSE(CONTROL!$C$32, $C$9, 100%, $E$9)</f>
        <v>3.4638</v>
      </c>
      <c r="P17" s="14"/>
      <c r="Q17" s="11"/>
      <c r="R17" s="11"/>
    </row>
    <row r="18" spans="1:18" ht="15" x14ac:dyDescent="0.2">
      <c r="A18" s="13">
        <v>41395</v>
      </c>
      <c r="B18" s="9">
        <f>2.2947 * CHOOSE(CONTROL!$C$32, $C$9, 100%, $E$9)</f>
        <v>2.2947000000000002</v>
      </c>
      <c r="C18" s="9">
        <f>2.19 * CHOOSE(CONTROL!$C$32, $C$9, 100%, $E$9)</f>
        <v>2.19</v>
      </c>
      <c r="D18" s="9">
        <f>2.2475 * CHOOSE(CONTROL!$C$32, $C$9, 100%, $E$9)</f>
        <v>2.2475000000000001</v>
      </c>
      <c r="E18" s="11">
        <f>3.4702 * CHOOSE(CONTROL!$C$32, $C$9, 100%, $E$9)</f>
        <v>3.4702000000000002</v>
      </c>
      <c r="F18" s="11">
        <f>3.084 * CHOOSE(CONTROL!$C$32, $C$9, 100%, $E$9)</f>
        <v>3.0840000000000001</v>
      </c>
      <c r="G18" s="11">
        <f>3.1031 * CHOOSE(CONTROL!$C$32, $C$9, 100%, $E$9)</f>
        <v>3.1031</v>
      </c>
      <c r="H18" s="11">
        <f>5.829 * CHOOSE(CONTROL!$C$32, $C$9, 100%, $E$9)</f>
        <v>5.8289999999999997</v>
      </c>
      <c r="I18" s="11">
        <f>5.8481 * CHOOSE(CONTROL!$C$32, $C$9, 100%, $E$9)</f>
        <v>5.8480999999999996</v>
      </c>
      <c r="J18" s="11">
        <f>5.829 * CHOOSE(CONTROL!$C$32, $C$9, 100%, $E$9)</f>
        <v>5.8289999999999997</v>
      </c>
      <c r="K18" s="11">
        <f>5.8481 * CHOOSE(CONTROL!$C$32, $C$9, 100%, $E$9)</f>
        <v>5.8480999999999996</v>
      </c>
      <c r="L18" s="11">
        <f>3.4702 * CHOOSE(CONTROL!$C$32, $C$9, 100%, $E$9)</f>
        <v>3.4702000000000002</v>
      </c>
      <c r="M18" s="11">
        <f>3.4892 * CHOOSE(CONTROL!$C$32, $C$9, 100%, $E$9)</f>
        <v>3.4891999999999999</v>
      </c>
      <c r="N18" s="11">
        <f>3.4702 * CHOOSE(CONTROL!$C$32, $C$9, 100%, $E$9)</f>
        <v>3.4702000000000002</v>
      </c>
      <c r="O18" s="11">
        <f>3.4892 * CHOOSE(CONTROL!$C$32, $C$9, 100%, $E$9)</f>
        <v>3.4891999999999999</v>
      </c>
      <c r="P18" s="14"/>
      <c r="Q18" s="11"/>
      <c r="R18" s="11"/>
    </row>
    <row r="19" spans="1:18" ht="15" x14ac:dyDescent="0.2">
      <c r="A19" s="13">
        <v>41426</v>
      </c>
      <c r="B19" s="9">
        <f>2.296 * CHOOSE(CONTROL!$C$32, $C$9, 100%, $E$9)</f>
        <v>2.2959999999999998</v>
      </c>
      <c r="C19" s="9">
        <f>2.1989 * CHOOSE(CONTROL!$C$32, $C$9, 100%, $E$9)</f>
        <v>2.1989000000000001</v>
      </c>
      <c r="D19" s="9">
        <f>2.2564 * CHOOSE(CONTROL!$C$32, $C$9, 100%, $E$9)</f>
        <v>2.2564000000000002</v>
      </c>
      <c r="E19" s="11">
        <f>3.4782 * CHOOSE(CONTROL!$C$32, $C$9, 100%, $E$9)</f>
        <v>3.4782000000000002</v>
      </c>
      <c r="F19" s="11">
        <f>3.109 * CHOOSE(CONTROL!$C$32, $C$9, 100%, $E$9)</f>
        <v>3.109</v>
      </c>
      <c r="G19" s="11">
        <f>3.1281 * CHOOSE(CONTROL!$C$32, $C$9, 100%, $E$9)</f>
        <v>3.1280999999999999</v>
      </c>
      <c r="H19" s="11">
        <f>5.829 * CHOOSE(CONTROL!$C$32, $C$9, 100%, $E$9)</f>
        <v>5.8289999999999997</v>
      </c>
      <c r="I19" s="11">
        <f>5.8481 * CHOOSE(CONTROL!$C$32, $C$9, 100%, $E$9)</f>
        <v>5.8480999999999996</v>
      </c>
      <c r="J19" s="11">
        <f>5.829 * CHOOSE(CONTROL!$C$32, $C$9, 100%, $E$9)</f>
        <v>5.8289999999999997</v>
      </c>
      <c r="K19" s="11">
        <f>5.8481 * CHOOSE(CONTROL!$C$32, $C$9, 100%, $E$9)</f>
        <v>5.8480999999999996</v>
      </c>
      <c r="L19" s="11">
        <f>3.4782 * CHOOSE(CONTROL!$C$32, $C$9, 100%, $E$9)</f>
        <v>3.4782000000000002</v>
      </c>
      <c r="M19" s="11">
        <f>3.4973 * CHOOSE(CONTROL!$C$32, $C$9, 100%, $E$9)</f>
        <v>3.4973000000000001</v>
      </c>
      <c r="N19" s="11">
        <f>3.4782 * CHOOSE(CONTROL!$C$32, $C$9, 100%, $E$9)</f>
        <v>3.4782000000000002</v>
      </c>
      <c r="O19" s="11">
        <f>3.4973 * CHOOSE(CONTROL!$C$32, $C$9, 100%, $E$9)</f>
        <v>3.4973000000000001</v>
      </c>
      <c r="P19" s="14"/>
      <c r="Q19" s="11"/>
      <c r="R19" s="11"/>
    </row>
    <row r="20" spans="1:18" ht="15" x14ac:dyDescent="0.2">
      <c r="A20" s="13">
        <v>41456</v>
      </c>
      <c r="B20" s="9">
        <f>2.3 * CHOOSE(CONTROL!$C$32, $C$9, 100%, $E$9)</f>
        <v>2.2999999999999998</v>
      </c>
      <c r="C20" s="9">
        <f>2.2233 * CHOOSE(CONTROL!$C$32, $C$9, 100%, $E$9)</f>
        <v>2.2233000000000001</v>
      </c>
      <c r="D20" s="9">
        <f>2.2808 * CHOOSE(CONTROL!$C$32, $C$9, 100%, $E$9)</f>
        <v>2.2808000000000002</v>
      </c>
      <c r="E20" s="11">
        <f>3.4973 * CHOOSE(CONTROL!$C$32, $C$9, 100%, $E$9)</f>
        <v>3.4973000000000001</v>
      </c>
      <c r="F20" s="11">
        <f>3.1418 * CHOOSE(CONTROL!$C$32, $C$9, 100%, $E$9)</f>
        <v>3.1417999999999999</v>
      </c>
      <c r="G20" s="11">
        <f>3.1609 * CHOOSE(CONTROL!$C$32, $C$9, 100%, $E$9)</f>
        <v>3.1608999999999998</v>
      </c>
      <c r="H20" s="11">
        <f>5.638 * CHOOSE(CONTROL!$C$32, $C$9, 100%, $E$9)</f>
        <v>5.6379999999999999</v>
      </c>
      <c r="I20" s="11">
        <f>5.6571 * CHOOSE(CONTROL!$C$32, $C$9, 100%, $E$9)</f>
        <v>5.6570999999999998</v>
      </c>
      <c r="J20" s="11">
        <f>5.638 * CHOOSE(CONTROL!$C$32, $C$9, 100%, $E$9)</f>
        <v>5.6379999999999999</v>
      </c>
      <c r="K20" s="11">
        <f>5.6571 * CHOOSE(CONTROL!$C$32, $C$9, 100%, $E$9)</f>
        <v>5.6570999999999998</v>
      </c>
      <c r="L20" s="11">
        <f>3.4973 * CHOOSE(CONTROL!$C$32, $C$9, 100%, $E$9)</f>
        <v>3.4973000000000001</v>
      </c>
      <c r="M20" s="11">
        <f>3.5163 * CHOOSE(CONTROL!$C$32, $C$9, 100%, $E$9)</f>
        <v>3.5163000000000002</v>
      </c>
      <c r="N20" s="11">
        <f>3.4973 * CHOOSE(CONTROL!$C$32, $C$9, 100%, $E$9)</f>
        <v>3.4973000000000001</v>
      </c>
      <c r="O20" s="11">
        <f>3.5163 * CHOOSE(CONTROL!$C$32, $C$9, 100%, $E$9)</f>
        <v>3.5163000000000002</v>
      </c>
      <c r="P20" s="14"/>
      <c r="Q20" s="11"/>
      <c r="R20" s="11"/>
    </row>
    <row r="21" spans="1:18" ht="15" x14ac:dyDescent="0.2">
      <c r="A21" s="13">
        <v>41487</v>
      </c>
      <c r="B21" s="9">
        <f>2.3085 * CHOOSE(CONTROL!$C$32, $C$9, 100%, $E$9)</f>
        <v>2.3085</v>
      </c>
      <c r="C21" s="9">
        <f>2.2521 * CHOOSE(CONTROL!$C$32, $C$9, 100%, $E$9)</f>
        <v>2.2521</v>
      </c>
      <c r="D21" s="9">
        <f>2.3096 * CHOOSE(CONTROL!$C$32, $C$9, 100%, $E$9)</f>
        <v>2.3096000000000001</v>
      </c>
      <c r="E21" s="11">
        <f>3.499 * CHOOSE(CONTROL!$C$32, $C$9, 100%, $E$9)</f>
        <v>3.4990000000000001</v>
      </c>
      <c r="F21" s="11">
        <f>3.1759 * CHOOSE(CONTROL!$C$32, $C$9, 100%, $E$9)</f>
        <v>3.1758999999999999</v>
      </c>
      <c r="G21" s="11">
        <f>3.195 * CHOOSE(CONTROL!$C$32, $C$9, 100%, $E$9)</f>
        <v>3.1949999999999998</v>
      </c>
      <c r="H21" s="11">
        <f>5.638 * CHOOSE(CONTROL!$C$32, $C$9, 100%, $E$9)</f>
        <v>5.6379999999999999</v>
      </c>
      <c r="I21" s="11">
        <f>5.6571 * CHOOSE(CONTROL!$C$32, $C$9, 100%, $E$9)</f>
        <v>5.6570999999999998</v>
      </c>
      <c r="J21" s="11">
        <f>5.638 * CHOOSE(CONTROL!$C$32, $C$9, 100%, $E$9)</f>
        <v>5.6379999999999999</v>
      </c>
      <c r="K21" s="11">
        <f>5.6571 * CHOOSE(CONTROL!$C$32, $C$9, 100%, $E$9)</f>
        <v>5.6570999999999998</v>
      </c>
      <c r="L21" s="11">
        <f>3.499 * CHOOSE(CONTROL!$C$32, $C$9, 100%, $E$9)</f>
        <v>3.4990000000000001</v>
      </c>
      <c r="M21" s="11">
        <f>3.518 * CHOOSE(CONTROL!$C$32, $C$9, 100%, $E$9)</f>
        <v>3.5179999999999998</v>
      </c>
      <c r="N21" s="11">
        <f>3.499 * CHOOSE(CONTROL!$C$32, $C$9, 100%, $E$9)</f>
        <v>3.4990000000000001</v>
      </c>
      <c r="O21" s="11">
        <f>3.518 * CHOOSE(CONTROL!$C$32, $C$9, 100%, $E$9)</f>
        <v>3.5179999999999998</v>
      </c>
      <c r="P21" s="14"/>
      <c r="Q21" s="11"/>
      <c r="R21" s="11"/>
    </row>
    <row r="22" spans="1:18" ht="15" x14ac:dyDescent="0.2">
      <c r="A22" s="13">
        <v>41518</v>
      </c>
      <c r="B22" s="9">
        <f>2.3073 * CHOOSE(CONTROL!$C$32, $C$9, 100%, $E$9)</f>
        <v>2.3073000000000001</v>
      </c>
      <c r="C22" s="9">
        <f>2.2458 * CHOOSE(CONTROL!$C$32, $C$9, 100%, $E$9)</f>
        <v>2.2458</v>
      </c>
      <c r="D22" s="9">
        <f>2.3033 * CHOOSE(CONTROL!$C$32, $C$9, 100%, $E$9)</f>
        <v>2.3033000000000001</v>
      </c>
      <c r="E22" s="11">
        <f>3.4957 * CHOOSE(CONTROL!$C$32, $C$9, 100%, $E$9)</f>
        <v>3.4956999999999998</v>
      </c>
      <c r="F22" s="11">
        <f>3.1918 * CHOOSE(CONTROL!$C$32, $C$9, 100%, $E$9)</f>
        <v>3.1918000000000002</v>
      </c>
      <c r="G22" s="11">
        <f>3.2109 * CHOOSE(CONTROL!$C$32, $C$9, 100%, $E$9)</f>
        <v>3.2109000000000001</v>
      </c>
      <c r="H22" s="11">
        <f>5.638 * CHOOSE(CONTROL!$C$32, $C$9, 100%, $E$9)</f>
        <v>5.6379999999999999</v>
      </c>
      <c r="I22" s="11">
        <f>5.6571 * CHOOSE(CONTROL!$C$32, $C$9, 100%, $E$9)</f>
        <v>5.6570999999999998</v>
      </c>
      <c r="J22" s="11">
        <f>5.638 * CHOOSE(CONTROL!$C$32, $C$9, 100%, $E$9)</f>
        <v>5.6379999999999999</v>
      </c>
      <c r="K22" s="11">
        <f>5.6571 * CHOOSE(CONTROL!$C$32, $C$9, 100%, $E$9)</f>
        <v>5.6570999999999998</v>
      </c>
      <c r="L22" s="11">
        <f>3.4957 * CHOOSE(CONTROL!$C$32, $C$9, 100%, $E$9)</f>
        <v>3.4956999999999998</v>
      </c>
      <c r="M22" s="11">
        <f>3.5147 * CHOOSE(CONTROL!$C$32, $C$9, 100%, $E$9)</f>
        <v>3.5146999999999999</v>
      </c>
      <c r="N22" s="11">
        <f>3.4957 * CHOOSE(CONTROL!$C$32, $C$9, 100%, $E$9)</f>
        <v>3.4956999999999998</v>
      </c>
      <c r="O22" s="11">
        <f>3.5147 * CHOOSE(CONTROL!$C$32, $C$9, 100%, $E$9)</f>
        <v>3.5146999999999999</v>
      </c>
      <c r="P22" s="14"/>
      <c r="Q22" s="11"/>
      <c r="R22" s="11"/>
    </row>
    <row r="23" spans="1:18" ht="15" x14ac:dyDescent="0.2">
      <c r="A23" s="13">
        <v>41548</v>
      </c>
      <c r="B23" s="9">
        <f>2.3058 * CHOOSE(CONTROL!$C$32, $C$9, 100%, $E$9)</f>
        <v>2.3058000000000001</v>
      </c>
      <c r="C23" s="9">
        <f>2.2367 * CHOOSE(CONTROL!$C$32, $C$9, 100%, $E$9)</f>
        <v>2.2366999999999999</v>
      </c>
      <c r="D23" s="9">
        <f>2.2756 * CHOOSE(CONTROL!$C$32, $C$9, 100%, $E$9)</f>
        <v>2.2755999999999998</v>
      </c>
      <c r="E23" s="11">
        <f>3.5106 * CHOOSE(CONTROL!$C$32, $C$9, 100%, $E$9)</f>
        <v>3.5106000000000002</v>
      </c>
      <c r="F23" s="11">
        <f>3.2177 * CHOOSE(CONTROL!$C$32, $C$9, 100%, $E$9)</f>
        <v>3.2176999999999998</v>
      </c>
      <c r="G23" s="11">
        <f>3.2307 * CHOOSE(CONTROL!$C$32, $C$9, 100%, $E$9)</f>
        <v>3.2307000000000001</v>
      </c>
      <c r="H23" s="11">
        <f>5.6497 * CHOOSE(CONTROL!$C$32, $C$9, 100%, $E$9)</f>
        <v>5.6497000000000002</v>
      </c>
      <c r="I23" s="11">
        <f>5.6627 * CHOOSE(CONTROL!$C$32, $C$9, 100%, $E$9)</f>
        <v>5.6627000000000001</v>
      </c>
      <c r="J23" s="11">
        <f>5.6497 * CHOOSE(CONTROL!$C$32, $C$9, 100%, $E$9)</f>
        <v>5.6497000000000002</v>
      </c>
      <c r="K23" s="11">
        <f>5.6627 * CHOOSE(CONTROL!$C$32, $C$9, 100%, $E$9)</f>
        <v>5.6627000000000001</v>
      </c>
      <c r="L23" s="11">
        <f>3.5106 * CHOOSE(CONTROL!$C$32, $C$9, 100%, $E$9)</f>
        <v>3.5106000000000002</v>
      </c>
      <c r="M23" s="11">
        <f>3.5235 * CHOOSE(CONTROL!$C$32, $C$9, 100%, $E$9)</f>
        <v>3.5234999999999999</v>
      </c>
      <c r="N23" s="11">
        <f>3.5106 * CHOOSE(CONTROL!$C$32, $C$9, 100%, $E$9)</f>
        <v>3.5106000000000002</v>
      </c>
      <c r="O23" s="11">
        <f>3.5235 * CHOOSE(CONTROL!$C$32, $C$9, 100%, $E$9)</f>
        <v>3.5234999999999999</v>
      </c>
      <c r="P23" s="14"/>
      <c r="Q23" s="11"/>
      <c r="R23" s="11"/>
    </row>
    <row r="24" spans="1:18" ht="15" x14ac:dyDescent="0.2">
      <c r="A24" s="13">
        <v>41579</v>
      </c>
      <c r="B24" s="9">
        <f>2.3113 * CHOOSE(CONTROL!$C$32, $C$9, 100%, $E$9)</f>
        <v>2.3113000000000001</v>
      </c>
      <c r="C24" s="9">
        <f>2.2472 * CHOOSE(CONTROL!$C$32, $C$9, 100%, $E$9)</f>
        <v>2.2471999999999999</v>
      </c>
      <c r="D24" s="9">
        <f>2.2862 * CHOOSE(CONTROL!$C$32, $C$9, 100%, $E$9)</f>
        <v>2.2862</v>
      </c>
      <c r="E24" s="11">
        <f>3.5106 * CHOOSE(CONTROL!$C$32, $C$9, 100%, $E$9)</f>
        <v>3.5106000000000002</v>
      </c>
      <c r="F24" s="11">
        <f>3.245 * CHOOSE(CONTROL!$C$32, $C$9, 100%, $E$9)</f>
        <v>3.2450000000000001</v>
      </c>
      <c r="G24" s="11">
        <f>3.258 * CHOOSE(CONTROL!$C$32, $C$9, 100%, $E$9)</f>
        <v>3.258</v>
      </c>
      <c r="H24" s="11">
        <f>5.6615 * CHOOSE(CONTROL!$C$32, $C$9, 100%, $E$9)</f>
        <v>5.6615000000000002</v>
      </c>
      <c r="I24" s="11">
        <f>5.6745 * CHOOSE(CONTROL!$C$32, $C$9, 100%, $E$9)</f>
        <v>5.6745000000000001</v>
      </c>
      <c r="J24" s="11">
        <f>5.6615 * CHOOSE(CONTROL!$C$32, $C$9, 100%, $E$9)</f>
        <v>5.6615000000000002</v>
      </c>
      <c r="K24" s="11">
        <f>5.6745 * CHOOSE(CONTROL!$C$32, $C$9, 100%, $E$9)</f>
        <v>5.6745000000000001</v>
      </c>
      <c r="L24" s="11">
        <f>3.5106 * CHOOSE(CONTROL!$C$32, $C$9, 100%, $E$9)</f>
        <v>3.5106000000000002</v>
      </c>
      <c r="M24" s="11">
        <f>3.5235 * CHOOSE(CONTROL!$C$32, $C$9, 100%, $E$9)</f>
        <v>3.5234999999999999</v>
      </c>
      <c r="N24" s="11">
        <f>3.5106 * CHOOSE(CONTROL!$C$32, $C$9, 100%, $E$9)</f>
        <v>3.5106000000000002</v>
      </c>
      <c r="O24" s="11">
        <f>3.5235 * CHOOSE(CONTROL!$C$32, $C$9, 100%, $E$9)</f>
        <v>3.5234999999999999</v>
      </c>
      <c r="P24" s="14"/>
      <c r="Q24" s="11"/>
      <c r="R24" s="11"/>
    </row>
    <row r="25" spans="1:18" ht="15" x14ac:dyDescent="0.2">
      <c r="A25" s="13">
        <v>41609</v>
      </c>
      <c r="B25" s="9">
        <f>2.3131 * CHOOSE(CONTROL!$C$32, $C$9, 100%, $E$9)</f>
        <v>2.3130999999999999</v>
      </c>
      <c r="C25" s="9">
        <f>2.2592 * CHOOSE(CONTROL!$C$32, $C$9, 100%, $E$9)</f>
        <v>2.2591999999999999</v>
      </c>
      <c r="D25" s="9">
        <f>2.2981 * CHOOSE(CONTROL!$C$32, $C$9, 100%, $E$9)</f>
        <v>2.2980999999999998</v>
      </c>
      <c r="E25" s="11">
        <f>3.5079 * CHOOSE(CONTROL!$C$32, $C$9, 100%, $E$9)</f>
        <v>3.5078999999999998</v>
      </c>
      <c r="F25" s="11">
        <f>3.2814 * CHOOSE(CONTROL!$C$32, $C$9, 100%, $E$9)</f>
        <v>3.2814000000000001</v>
      </c>
      <c r="G25" s="11">
        <f>3.2943 * CHOOSE(CONTROL!$C$32, $C$9, 100%, $E$9)</f>
        <v>3.2942999999999998</v>
      </c>
      <c r="H25" s="11">
        <f>5.6733 * CHOOSE(CONTROL!$C$32, $C$9, 100%, $E$9)</f>
        <v>5.6733000000000002</v>
      </c>
      <c r="I25" s="11">
        <f>5.6863 * CHOOSE(CONTROL!$C$32, $C$9, 100%, $E$9)</f>
        <v>5.6863000000000001</v>
      </c>
      <c r="J25" s="11">
        <f>5.6733 * CHOOSE(CONTROL!$C$32, $C$9, 100%, $E$9)</f>
        <v>5.6733000000000002</v>
      </c>
      <c r="K25" s="11">
        <f>5.6863 * CHOOSE(CONTROL!$C$32, $C$9, 100%, $E$9)</f>
        <v>5.6863000000000001</v>
      </c>
      <c r="L25" s="11">
        <f>3.5079 * CHOOSE(CONTROL!$C$32, $C$9, 100%, $E$9)</f>
        <v>3.5078999999999998</v>
      </c>
      <c r="M25" s="11">
        <f>3.5208 * CHOOSE(CONTROL!$C$32, $C$9, 100%, $E$9)</f>
        <v>3.5207999999999999</v>
      </c>
      <c r="N25" s="11">
        <f>3.5079 * CHOOSE(CONTROL!$C$32, $C$9, 100%, $E$9)</f>
        <v>3.5078999999999998</v>
      </c>
      <c r="O25" s="11">
        <f>3.5208 * CHOOSE(CONTROL!$C$32, $C$9, 100%, $E$9)</f>
        <v>3.5207999999999999</v>
      </c>
      <c r="P25" s="14"/>
      <c r="Q25" s="11"/>
      <c r="R25" s="11"/>
    </row>
    <row r="26" spans="1:18" ht="15" x14ac:dyDescent="0.2">
      <c r="A26" s="13">
        <v>41640</v>
      </c>
      <c r="B26" s="9">
        <f>2.326 * CHOOSE(CONTROL!$C$32, $C$9, 100%, $E$9)</f>
        <v>2.3260000000000001</v>
      </c>
      <c r="C26" s="9">
        <f>2.2882 * CHOOSE(CONTROL!$C$32, $C$9, 100%, $E$9)</f>
        <v>2.2881999999999998</v>
      </c>
      <c r="D26" s="9">
        <f>2.3271 * CHOOSE(CONTROL!$C$32, $C$9, 100%, $E$9)</f>
        <v>2.3271000000000002</v>
      </c>
      <c r="E26" s="11">
        <f>3.4998 * CHOOSE(CONTROL!$C$32, $C$9, 100%, $E$9)</f>
        <v>3.4998</v>
      </c>
      <c r="F26" s="11">
        <f>3.2737 * CHOOSE(CONTROL!$C$32, $C$9, 100%, $E$9)</f>
        <v>3.2736999999999998</v>
      </c>
      <c r="G26" s="11">
        <f>3.2867 * CHOOSE(CONTROL!$C$32, $C$9, 100%, $E$9)</f>
        <v>3.2867000000000002</v>
      </c>
      <c r="H26" s="11">
        <f>5.6851 * CHOOSE(CONTROL!$C$32, $C$9, 100%, $E$9)</f>
        <v>5.6851000000000003</v>
      </c>
      <c r="I26" s="11">
        <f>5.6981 * CHOOSE(CONTROL!$C$32, $C$9, 100%, $E$9)</f>
        <v>5.6981000000000002</v>
      </c>
      <c r="J26" s="11">
        <f>5.6851 * CHOOSE(CONTROL!$C$32, $C$9, 100%, $E$9)</f>
        <v>5.6851000000000003</v>
      </c>
      <c r="K26" s="11">
        <f>5.6981 * CHOOSE(CONTROL!$C$32, $C$9, 100%, $E$9)</f>
        <v>5.6981000000000002</v>
      </c>
      <c r="L26" s="11">
        <f>3.4998 * CHOOSE(CONTROL!$C$32, $C$9, 100%, $E$9)</f>
        <v>3.4998</v>
      </c>
      <c r="M26" s="11">
        <f>3.5127 * CHOOSE(CONTROL!$C$32, $C$9, 100%, $E$9)</f>
        <v>3.5127000000000002</v>
      </c>
      <c r="N26" s="11">
        <f>3.4998 * CHOOSE(CONTROL!$C$32, $C$9, 100%, $E$9)</f>
        <v>3.4998</v>
      </c>
      <c r="O26" s="11">
        <f>3.5127 * CHOOSE(CONTROL!$C$32, $C$9, 100%, $E$9)</f>
        <v>3.5127000000000002</v>
      </c>
      <c r="P26" s="14"/>
      <c r="Q26" s="11"/>
      <c r="R26" s="11"/>
    </row>
    <row r="27" spans="1:18" ht="15" x14ac:dyDescent="0.2">
      <c r="A27" s="13">
        <v>41671</v>
      </c>
      <c r="B27" s="9">
        <f>2.338 * CHOOSE(CONTROL!$C$32, $C$9, 100%, $E$9)</f>
        <v>2.3380000000000001</v>
      </c>
      <c r="C27" s="9">
        <f>2.3077 * CHOOSE(CONTROL!$C$32, $C$9, 100%, $E$9)</f>
        <v>2.3077000000000001</v>
      </c>
      <c r="D27" s="9">
        <f>2.3467 * CHOOSE(CONTROL!$C$32, $C$9, 100%, $E$9)</f>
        <v>2.3466999999999998</v>
      </c>
      <c r="E27" s="11">
        <f>3.5012 * CHOOSE(CONTROL!$C$32, $C$9, 100%, $E$9)</f>
        <v>3.5011999999999999</v>
      </c>
      <c r="F27" s="11">
        <f>3.2886 * CHOOSE(CONTROL!$C$32, $C$9, 100%, $E$9)</f>
        <v>3.2886000000000002</v>
      </c>
      <c r="G27" s="11">
        <f>3.3015 * CHOOSE(CONTROL!$C$32, $C$9, 100%, $E$9)</f>
        <v>3.3014999999999999</v>
      </c>
      <c r="H27" s="11">
        <f>5.697 * CHOOSE(CONTROL!$C$32, $C$9, 100%, $E$9)</f>
        <v>5.6970000000000001</v>
      </c>
      <c r="I27" s="11">
        <f>5.7099 * CHOOSE(CONTROL!$C$32, $C$9, 100%, $E$9)</f>
        <v>5.7099000000000002</v>
      </c>
      <c r="J27" s="11">
        <f>5.697 * CHOOSE(CONTROL!$C$32, $C$9, 100%, $E$9)</f>
        <v>5.6970000000000001</v>
      </c>
      <c r="K27" s="11">
        <f>5.7099 * CHOOSE(CONTROL!$C$32, $C$9, 100%, $E$9)</f>
        <v>5.7099000000000002</v>
      </c>
      <c r="L27" s="11">
        <f>3.5012 * CHOOSE(CONTROL!$C$32, $C$9, 100%, $E$9)</f>
        <v>3.5011999999999999</v>
      </c>
      <c r="M27" s="11">
        <f>3.5142 * CHOOSE(CONTROL!$C$32, $C$9, 100%, $E$9)</f>
        <v>3.5142000000000002</v>
      </c>
      <c r="N27" s="11">
        <f>3.5012 * CHOOSE(CONTROL!$C$32, $C$9, 100%, $E$9)</f>
        <v>3.5011999999999999</v>
      </c>
      <c r="O27" s="11">
        <f>3.5142 * CHOOSE(CONTROL!$C$32, $C$9, 100%, $E$9)</f>
        <v>3.5142000000000002</v>
      </c>
      <c r="P27" s="14"/>
      <c r="Q27" s="11"/>
      <c r="R27" s="11"/>
    </row>
    <row r="28" spans="1:18" ht="15" x14ac:dyDescent="0.2">
      <c r="A28" s="13">
        <v>41699</v>
      </c>
      <c r="B28" s="9">
        <f>2.3423 * CHOOSE(CONTROL!$C$32, $C$9, 100%, $E$9)</f>
        <v>2.3422999999999998</v>
      </c>
      <c r="C28" s="9">
        <f>2.3166 * CHOOSE(CONTROL!$C$32, $C$9, 100%, $E$9)</f>
        <v>2.3166000000000002</v>
      </c>
      <c r="D28" s="9">
        <f>2.3555 * CHOOSE(CONTROL!$C$32, $C$9, 100%, $E$9)</f>
        <v>2.3555000000000001</v>
      </c>
      <c r="E28" s="11">
        <f>3.4055 * CHOOSE(CONTROL!$C$32, $C$9, 100%, $E$9)</f>
        <v>3.4055</v>
      </c>
      <c r="F28" s="11">
        <f>3.2949 * CHOOSE(CONTROL!$C$32, $C$9, 100%, $E$9)</f>
        <v>3.2949000000000002</v>
      </c>
      <c r="G28" s="11">
        <f>3.3079 * CHOOSE(CONTROL!$C$32, $C$9, 100%, $E$9)</f>
        <v>3.3079000000000001</v>
      </c>
      <c r="H28" s="11">
        <f>5.7088 * CHOOSE(CONTROL!$C$32, $C$9, 100%, $E$9)</f>
        <v>5.7088000000000001</v>
      </c>
      <c r="I28" s="11">
        <f>5.7218 * CHOOSE(CONTROL!$C$32, $C$9, 100%, $E$9)</f>
        <v>5.7218</v>
      </c>
      <c r="J28" s="11">
        <f>5.7088 * CHOOSE(CONTROL!$C$32, $C$9, 100%, $E$9)</f>
        <v>5.7088000000000001</v>
      </c>
      <c r="K28" s="11">
        <f>5.7218 * CHOOSE(CONTROL!$C$32, $C$9, 100%, $E$9)</f>
        <v>5.7218</v>
      </c>
      <c r="L28" s="11">
        <f>3.4055 * CHOOSE(CONTROL!$C$32, $C$9, 100%, $E$9)</f>
        <v>3.4055</v>
      </c>
      <c r="M28" s="11">
        <f>3.4184 * CHOOSE(CONTROL!$C$32, $C$9, 100%, $E$9)</f>
        <v>3.4184000000000001</v>
      </c>
      <c r="N28" s="11">
        <f>3.4055 * CHOOSE(CONTROL!$C$32, $C$9, 100%, $E$9)</f>
        <v>3.4055</v>
      </c>
      <c r="O28" s="11">
        <f>3.4184 * CHOOSE(CONTROL!$C$32, $C$9, 100%, $E$9)</f>
        <v>3.4184000000000001</v>
      </c>
      <c r="P28" s="14"/>
      <c r="Q28" s="11"/>
      <c r="R28" s="11"/>
    </row>
    <row r="29" spans="1:18" ht="15" x14ac:dyDescent="0.2">
      <c r="A29" s="13">
        <v>41730</v>
      </c>
      <c r="B29" s="9">
        <f>2.3408 * CHOOSE(CONTROL!$C$32, $C$9, 100%, $E$9)</f>
        <v>2.3408000000000002</v>
      </c>
      <c r="C29" s="9">
        <f>2.3136 * CHOOSE(CONTROL!$C$32, $C$9, 100%, $E$9)</f>
        <v>2.3136000000000001</v>
      </c>
      <c r="D29" s="9">
        <f>2.3525 * CHOOSE(CONTROL!$C$32, $C$9, 100%, $E$9)</f>
        <v>2.3525</v>
      </c>
      <c r="E29" s="11">
        <f>3.4026 * CHOOSE(CONTROL!$C$32, $C$9, 100%, $E$9)</f>
        <v>3.4026000000000001</v>
      </c>
      <c r="F29" s="11">
        <f>3.3055 * CHOOSE(CONTROL!$C$32, $C$9, 100%, $E$9)</f>
        <v>3.3054999999999999</v>
      </c>
      <c r="G29" s="11">
        <f>3.3185 * CHOOSE(CONTROL!$C$32, $C$9, 100%, $E$9)</f>
        <v>3.3184999999999998</v>
      </c>
      <c r="H29" s="11">
        <f>5.7207 * CHOOSE(CONTROL!$C$32, $C$9, 100%, $E$9)</f>
        <v>5.7206999999999999</v>
      </c>
      <c r="I29" s="11">
        <f>5.7337 * CHOOSE(CONTROL!$C$32, $C$9, 100%, $E$9)</f>
        <v>5.7336999999999998</v>
      </c>
      <c r="J29" s="11">
        <f>5.7207 * CHOOSE(CONTROL!$C$32, $C$9, 100%, $E$9)</f>
        <v>5.7206999999999999</v>
      </c>
      <c r="K29" s="11">
        <f>5.7337 * CHOOSE(CONTROL!$C$32, $C$9, 100%, $E$9)</f>
        <v>5.7336999999999998</v>
      </c>
      <c r="L29" s="11">
        <f>3.4026 * CHOOSE(CONTROL!$C$32, $C$9, 100%, $E$9)</f>
        <v>3.4026000000000001</v>
      </c>
      <c r="M29" s="11">
        <f>3.4156 * CHOOSE(CONTROL!$C$32, $C$9, 100%, $E$9)</f>
        <v>3.4156</v>
      </c>
      <c r="N29" s="11">
        <f>3.4026 * CHOOSE(CONTROL!$C$32, $C$9, 100%, $E$9)</f>
        <v>3.4026000000000001</v>
      </c>
      <c r="O29" s="11">
        <f>3.4156 * CHOOSE(CONTROL!$C$32, $C$9, 100%, $E$9)</f>
        <v>3.4156</v>
      </c>
      <c r="P29" s="14"/>
      <c r="Q29" s="11"/>
      <c r="R29" s="11"/>
    </row>
    <row r="30" spans="1:18" ht="15" x14ac:dyDescent="0.2">
      <c r="A30" s="13">
        <v>41760</v>
      </c>
      <c r="B30" s="9">
        <f>2.3438 * CHOOSE(CONTROL!$C$32, $C$9, 100%, $E$9)</f>
        <v>2.3437999999999999</v>
      </c>
      <c r="C30" s="9">
        <f>2.3151 * CHOOSE(CONTROL!$C$32, $C$9, 100%, $E$9)</f>
        <v>2.3151000000000002</v>
      </c>
      <c r="D30" s="9">
        <f>2.3726 * CHOOSE(CONTROL!$C$32, $C$9, 100%, $E$9)</f>
        <v>2.3725999999999998</v>
      </c>
      <c r="E30" s="11">
        <f>3.4085 * CHOOSE(CONTROL!$C$32, $C$9, 100%, $E$9)</f>
        <v>3.4085000000000001</v>
      </c>
      <c r="F30" s="11">
        <f>3.3161 * CHOOSE(CONTROL!$C$32, $C$9, 100%, $E$9)</f>
        <v>3.3161</v>
      </c>
      <c r="G30" s="11">
        <f>3.3352 * CHOOSE(CONTROL!$C$32, $C$9, 100%, $E$9)</f>
        <v>3.3351999999999999</v>
      </c>
      <c r="H30" s="11">
        <f>5.7327 * CHOOSE(CONTROL!$C$32, $C$9, 100%, $E$9)</f>
        <v>5.7327000000000004</v>
      </c>
      <c r="I30" s="11">
        <f>5.7517 * CHOOSE(CONTROL!$C$32, $C$9, 100%, $E$9)</f>
        <v>5.7516999999999996</v>
      </c>
      <c r="J30" s="11">
        <f>5.7327 * CHOOSE(CONTROL!$C$32, $C$9, 100%, $E$9)</f>
        <v>5.7327000000000004</v>
      </c>
      <c r="K30" s="11">
        <f>5.7517 * CHOOSE(CONTROL!$C$32, $C$9, 100%, $E$9)</f>
        <v>5.7516999999999996</v>
      </c>
      <c r="L30" s="11">
        <f>3.4085 * CHOOSE(CONTROL!$C$32, $C$9, 100%, $E$9)</f>
        <v>3.4085000000000001</v>
      </c>
      <c r="M30" s="11">
        <f>3.4276 * CHOOSE(CONTROL!$C$32, $C$9, 100%, $E$9)</f>
        <v>3.4276</v>
      </c>
      <c r="N30" s="11">
        <f>3.4085 * CHOOSE(CONTROL!$C$32, $C$9, 100%, $E$9)</f>
        <v>3.4085000000000001</v>
      </c>
      <c r="O30" s="11">
        <f>3.4276 * CHOOSE(CONTROL!$C$32, $C$9, 100%, $E$9)</f>
        <v>3.4276</v>
      </c>
      <c r="P30" s="14"/>
      <c r="Q30" s="11"/>
      <c r="R30" s="11"/>
    </row>
    <row r="31" spans="1:18" ht="15" x14ac:dyDescent="0.2">
      <c r="A31" s="13">
        <v>41791</v>
      </c>
      <c r="B31" s="9">
        <f>2.3496 * CHOOSE(CONTROL!$C$32, $C$9, 100%, $E$9)</f>
        <v>2.3496000000000001</v>
      </c>
      <c r="C31" s="9">
        <f>2.327 * CHOOSE(CONTROL!$C$32, $C$9, 100%, $E$9)</f>
        <v>2.327</v>
      </c>
      <c r="D31" s="9">
        <f>2.3845 * CHOOSE(CONTROL!$C$32, $C$9, 100%, $E$9)</f>
        <v>2.3845000000000001</v>
      </c>
      <c r="E31" s="11">
        <f>3.4321 * CHOOSE(CONTROL!$C$32, $C$9, 100%, $E$9)</f>
        <v>3.4321000000000002</v>
      </c>
      <c r="F31" s="11">
        <f>3.3585 * CHOOSE(CONTROL!$C$32, $C$9, 100%, $E$9)</f>
        <v>3.3584999999999998</v>
      </c>
      <c r="G31" s="11">
        <f>3.3775 * CHOOSE(CONTROL!$C$32, $C$9, 100%, $E$9)</f>
        <v>3.3774999999999999</v>
      </c>
      <c r="H31" s="11">
        <f>5.7446 * CHOOSE(CONTROL!$C$32, $C$9, 100%, $E$9)</f>
        <v>5.7446000000000002</v>
      </c>
      <c r="I31" s="11">
        <f>5.7636 * CHOOSE(CONTROL!$C$32, $C$9, 100%, $E$9)</f>
        <v>5.7636000000000003</v>
      </c>
      <c r="J31" s="11">
        <f>5.7446 * CHOOSE(CONTROL!$C$32, $C$9, 100%, $E$9)</f>
        <v>5.7446000000000002</v>
      </c>
      <c r="K31" s="11">
        <f>5.7636 * CHOOSE(CONTROL!$C$32, $C$9, 100%, $E$9)</f>
        <v>5.7636000000000003</v>
      </c>
      <c r="L31" s="11">
        <f>3.4321 * CHOOSE(CONTROL!$C$32, $C$9, 100%, $E$9)</f>
        <v>3.4321000000000002</v>
      </c>
      <c r="M31" s="11">
        <f>3.4511 * CHOOSE(CONTROL!$C$32, $C$9, 100%, $E$9)</f>
        <v>3.4510999999999998</v>
      </c>
      <c r="N31" s="11">
        <f>3.4321 * CHOOSE(CONTROL!$C$32, $C$9, 100%, $E$9)</f>
        <v>3.4321000000000002</v>
      </c>
      <c r="O31" s="11">
        <f>3.4511 * CHOOSE(CONTROL!$C$32, $C$9, 100%, $E$9)</f>
        <v>3.4510999999999998</v>
      </c>
      <c r="P31" s="14"/>
      <c r="Q31" s="11"/>
      <c r="R31" s="11"/>
    </row>
    <row r="32" spans="1:18" ht="15" x14ac:dyDescent="0.2">
      <c r="A32" s="13">
        <v>41821</v>
      </c>
      <c r="B32" s="9">
        <f>2.3649 * CHOOSE(CONTROL!$C$32, $C$9, 100%, $E$9)</f>
        <v>2.3649</v>
      </c>
      <c r="C32" s="9">
        <f>2.3574 * CHOOSE(CONTROL!$C$32, $C$9, 100%, $E$9)</f>
        <v>2.3574000000000002</v>
      </c>
      <c r="D32" s="9">
        <f>2.4149 * CHOOSE(CONTROL!$C$32, $C$9, 100%, $E$9)</f>
        <v>2.4148999999999998</v>
      </c>
      <c r="E32" s="11">
        <f>3.4478 * CHOOSE(CONTROL!$C$32, $C$9, 100%, $E$9)</f>
        <v>3.4478</v>
      </c>
      <c r="F32" s="11">
        <f>3.4008 * CHOOSE(CONTROL!$C$32, $C$9, 100%, $E$9)</f>
        <v>3.4007999999999998</v>
      </c>
      <c r="G32" s="11">
        <f>3.4199 * CHOOSE(CONTROL!$C$32, $C$9, 100%, $E$9)</f>
        <v>3.4199000000000002</v>
      </c>
      <c r="H32" s="11">
        <f>5.7566 * CHOOSE(CONTROL!$C$32, $C$9, 100%, $E$9)</f>
        <v>5.7565999999999997</v>
      </c>
      <c r="I32" s="11">
        <f>5.7756 * CHOOSE(CONTROL!$C$32, $C$9, 100%, $E$9)</f>
        <v>5.7755999999999998</v>
      </c>
      <c r="J32" s="11">
        <f>5.7566 * CHOOSE(CONTROL!$C$32, $C$9, 100%, $E$9)</f>
        <v>5.7565999999999997</v>
      </c>
      <c r="K32" s="11">
        <f>5.7756 * CHOOSE(CONTROL!$C$32, $C$9, 100%, $E$9)</f>
        <v>5.7755999999999998</v>
      </c>
      <c r="L32" s="11">
        <f>3.4478 * CHOOSE(CONTROL!$C$32, $C$9, 100%, $E$9)</f>
        <v>3.4478</v>
      </c>
      <c r="M32" s="11">
        <f>3.4668 * CHOOSE(CONTROL!$C$32, $C$9, 100%, $E$9)</f>
        <v>3.4668000000000001</v>
      </c>
      <c r="N32" s="11">
        <f>3.4478 * CHOOSE(CONTROL!$C$32, $C$9, 100%, $E$9)</f>
        <v>3.4478</v>
      </c>
      <c r="O32" s="11">
        <f>3.4668 * CHOOSE(CONTROL!$C$32, $C$9, 100%, $E$9)</f>
        <v>3.4668000000000001</v>
      </c>
      <c r="P32" s="14"/>
      <c r="Q32" s="11"/>
      <c r="R32" s="11"/>
    </row>
    <row r="33" spans="1:18" ht="15" x14ac:dyDescent="0.2">
      <c r="A33" s="13">
        <v>41852</v>
      </c>
      <c r="B33" s="9">
        <f>2.3848 * CHOOSE(CONTROL!$C$32, $C$9, 100%, $E$9)</f>
        <v>2.3847999999999998</v>
      </c>
      <c r="C33" s="9">
        <f>2.3923 * CHOOSE(CONTROL!$C$32, $C$9, 100%, $E$9)</f>
        <v>2.3923000000000001</v>
      </c>
      <c r="D33" s="9">
        <f>2.4498 * CHOOSE(CONTROL!$C$32, $C$9, 100%, $E$9)</f>
        <v>2.4498000000000002</v>
      </c>
      <c r="E33" s="11">
        <f>3.4793 * CHOOSE(CONTROL!$C$32, $C$9, 100%, $E$9)</f>
        <v>3.4792999999999998</v>
      </c>
      <c r="F33" s="11">
        <f>3.4517 * CHOOSE(CONTROL!$C$32, $C$9, 100%, $E$9)</f>
        <v>3.4517000000000002</v>
      </c>
      <c r="G33" s="11">
        <f>3.4707 * CHOOSE(CONTROL!$C$32, $C$9, 100%, $E$9)</f>
        <v>3.4706999999999999</v>
      </c>
      <c r="H33" s="11">
        <f>5.7686 * CHOOSE(CONTROL!$C$32, $C$9, 100%, $E$9)</f>
        <v>5.7686000000000002</v>
      </c>
      <c r="I33" s="11">
        <f>5.7876 * CHOOSE(CONTROL!$C$32, $C$9, 100%, $E$9)</f>
        <v>5.7876000000000003</v>
      </c>
      <c r="J33" s="11">
        <f>5.7686 * CHOOSE(CONTROL!$C$32, $C$9, 100%, $E$9)</f>
        <v>5.7686000000000002</v>
      </c>
      <c r="K33" s="11">
        <f>5.7876 * CHOOSE(CONTROL!$C$32, $C$9, 100%, $E$9)</f>
        <v>5.7876000000000003</v>
      </c>
      <c r="L33" s="11">
        <f>3.4793 * CHOOSE(CONTROL!$C$32, $C$9, 100%, $E$9)</f>
        <v>3.4792999999999998</v>
      </c>
      <c r="M33" s="11">
        <f>3.4983 * CHOOSE(CONTROL!$C$32, $C$9, 100%, $E$9)</f>
        <v>3.4983</v>
      </c>
      <c r="N33" s="11">
        <f>3.4793 * CHOOSE(CONTROL!$C$32, $C$9, 100%, $E$9)</f>
        <v>3.4792999999999998</v>
      </c>
      <c r="O33" s="11">
        <f>3.4983 * CHOOSE(CONTROL!$C$32, $C$9, 100%, $E$9)</f>
        <v>3.4983</v>
      </c>
      <c r="P33" s="14"/>
      <c r="Q33" s="11"/>
      <c r="R33" s="11"/>
    </row>
    <row r="34" spans="1:18" ht="15" x14ac:dyDescent="0.2">
      <c r="A34" s="13">
        <v>41883</v>
      </c>
      <c r="B34" s="9">
        <f>2.3937 * CHOOSE(CONTROL!$C$32, $C$9, 100%, $E$9)</f>
        <v>2.3936999999999999</v>
      </c>
      <c r="C34" s="9">
        <f>2.4103 * CHOOSE(CONTROL!$C$32, $C$9, 100%, $E$9)</f>
        <v>2.4102999999999999</v>
      </c>
      <c r="D34" s="9">
        <f>2.4678 * CHOOSE(CONTROL!$C$32, $C$9, 100%, $E$9)</f>
        <v>2.4678</v>
      </c>
      <c r="E34" s="11">
        <f>3.4806 * CHOOSE(CONTROL!$C$32, $C$9, 100%, $E$9)</f>
        <v>3.4805999999999999</v>
      </c>
      <c r="F34" s="11">
        <f>3.4538 * CHOOSE(CONTROL!$C$32, $C$9, 100%, $E$9)</f>
        <v>3.4538000000000002</v>
      </c>
      <c r="G34" s="11">
        <f>3.4729 * CHOOSE(CONTROL!$C$32, $C$9, 100%, $E$9)</f>
        <v>3.4729000000000001</v>
      </c>
      <c r="H34" s="11">
        <f>5.7806 * CHOOSE(CONTROL!$C$32, $C$9, 100%, $E$9)</f>
        <v>5.7805999999999997</v>
      </c>
      <c r="I34" s="11">
        <f>5.7996 * CHOOSE(CONTROL!$C$32, $C$9, 100%, $E$9)</f>
        <v>5.7995999999999999</v>
      </c>
      <c r="J34" s="11">
        <f>5.7806 * CHOOSE(CONTROL!$C$32, $C$9, 100%, $E$9)</f>
        <v>5.7805999999999997</v>
      </c>
      <c r="K34" s="11">
        <f>5.7996 * CHOOSE(CONTROL!$C$32, $C$9, 100%, $E$9)</f>
        <v>5.7995999999999999</v>
      </c>
      <c r="L34" s="11">
        <f>3.4806 * CHOOSE(CONTROL!$C$32, $C$9, 100%, $E$9)</f>
        <v>3.4805999999999999</v>
      </c>
      <c r="M34" s="11">
        <f>3.4996 * CHOOSE(CONTROL!$C$32, $C$9, 100%, $E$9)</f>
        <v>3.4996</v>
      </c>
      <c r="N34" s="11">
        <f>3.4806 * CHOOSE(CONTROL!$C$32, $C$9, 100%, $E$9)</f>
        <v>3.4805999999999999</v>
      </c>
      <c r="O34" s="11">
        <f>3.4996 * CHOOSE(CONTROL!$C$32, $C$9, 100%, $E$9)</f>
        <v>3.4996</v>
      </c>
      <c r="P34" s="14"/>
      <c r="Q34" s="11"/>
      <c r="R34" s="11"/>
    </row>
    <row r="35" spans="1:18" ht="15" x14ac:dyDescent="0.2">
      <c r="A35" s="13">
        <v>41913</v>
      </c>
      <c r="B35" s="9">
        <f>2.3937 * CHOOSE(CONTROL!$C$32, $C$9, 100%, $E$9)</f>
        <v>2.3936999999999999</v>
      </c>
      <c r="C35" s="9">
        <f>2.4103 * CHOOSE(CONTROL!$C$32, $C$9, 100%, $E$9)</f>
        <v>2.4102999999999999</v>
      </c>
      <c r="D35" s="9">
        <f>2.4492 * CHOOSE(CONTROL!$C$32, $C$9, 100%, $E$9)</f>
        <v>2.4491999999999998</v>
      </c>
      <c r="E35" s="11">
        <f>3.4819 * CHOOSE(CONTROL!$C$32, $C$9, 100%, $E$9)</f>
        <v>3.4819</v>
      </c>
      <c r="F35" s="11">
        <f>3.4559 * CHOOSE(CONTROL!$C$32, $C$9, 100%, $E$9)</f>
        <v>3.4559000000000002</v>
      </c>
      <c r="G35" s="11">
        <f>3.4689 * CHOOSE(CONTROL!$C$32, $C$9, 100%, $E$9)</f>
        <v>3.4689000000000001</v>
      </c>
      <c r="H35" s="11">
        <f>5.7926 * CHOOSE(CONTROL!$C$32, $C$9, 100%, $E$9)</f>
        <v>5.7926000000000002</v>
      </c>
      <c r="I35" s="11">
        <f>5.8056 * CHOOSE(CONTROL!$C$32, $C$9, 100%, $E$9)</f>
        <v>5.8056000000000001</v>
      </c>
      <c r="J35" s="11">
        <f>5.7926 * CHOOSE(CONTROL!$C$32, $C$9, 100%, $E$9)</f>
        <v>5.7926000000000002</v>
      </c>
      <c r="K35" s="11">
        <f>5.8056 * CHOOSE(CONTROL!$C$32, $C$9, 100%, $E$9)</f>
        <v>5.8056000000000001</v>
      </c>
      <c r="L35" s="11">
        <f>3.4819 * CHOOSE(CONTROL!$C$32, $C$9, 100%, $E$9)</f>
        <v>3.4819</v>
      </c>
      <c r="M35" s="11">
        <f>3.4948 * CHOOSE(CONTROL!$C$32, $C$9, 100%, $E$9)</f>
        <v>3.4948000000000001</v>
      </c>
      <c r="N35" s="11">
        <f>3.4819 * CHOOSE(CONTROL!$C$32, $C$9, 100%, $E$9)</f>
        <v>3.4819</v>
      </c>
      <c r="O35" s="11">
        <f>3.4948 * CHOOSE(CONTROL!$C$32, $C$9, 100%, $E$9)</f>
        <v>3.4948000000000001</v>
      </c>
      <c r="P35" s="14"/>
      <c r="Q35" s="11"/>
      <c r="R35" s="11"/>
    </row>
    <row r="36" spans="1:18" ht="15" x14ac:dyDescent="0.2">
      <c r="A36" s="13">
        <v>41944</v>
      </c>
      <c r="B36" s="9">
        <f>2.4013 * CHOOSE(CONTROL!$C$32, $C$9, 100%, $E$9)</f>
        <v>2.4013</v>
      </c>
      <c r="C36" s="9">
        <f>2.421 * CHOOSE(CONTROL!$C$32, $C$9, 100%, $E$9)</f>
        <v>2.4209999999999998</v>
      </c>
      <c r="D36" s="9">
        <f>2.4599 * CHOOSE(CONTROL!$C$32, $C$9, 100%, $E$9)</f>
        <v>2.4599000000000002</v>
      </c>
      <c r="E36" s="11">
        <f>3.4897 * CHOOSE(CONTROL!$C$32, $C$9, 100%, $E$9)</f>
        <v>3.4897</v>
      </c>
      <c r="F36" s="11">
        <f>3.4623 * CHOOSE(CONTROL!$C$32, $C$9, 100%, $E$9)</f>
        <v>3.4622999999999999</v>
      </c>
      <c r="G36" s="11">
        <f>3.4752 * CHOOSE(CONTROL!$C$32, $C$9, 100%, $E$9)</f>
        <v>3.4752000000000001</v>
      </c>
      <c r="H36" s="11">
        <f>5.8047 * CHOOSE(CONTROL!$C$32, $C$9, 100%, $E$9)</f>
        <v>5.8047000000000004</v>
      </c>
      <c r="I36" s="11">
        <f>5.8176 * CHOOSE(CONTROL!$C$32, $C$9, 100%, $E$9)</f>
        <v>5.8175999999999997</v>
      </c>
      <c r="J36" s="11">
        <f>5.8047 * CHOOSE(CONTROL!$C$32, $C$9, 100%, $E$9)</f>
        <v>5.8047000000000004</v>
      </c>
      <c r="K36" s="11">
        <f>5.8176 * CHOOSE(CONTROL!$C$32, $C$9, 100%, $E$9)</f>
        <v>5.8175999999999997</v>
      </c>
      <c r="L36" s="11">
        <f>3.4897 * CHOOSE(CONTROL!$C$32, $C$9, 100%, $E$9)</f>
        <v>3.4897</v>
      </c>
      <c r="M36" s="11">
        <f>3.5027 * CHOOSE(CONTROL!$C$32, $C$9, 100%, $E$9)</f>
        <v>3.5026999999999999</v>
      </c>
      <c r="N36" s="11">
        <f>3.4897 * CHOOSE(CONTROL!$C$32, $C$9, 100%, $E$9)</f>
        <v>3.4897</v>
      </c>
      <c r="O36" s="11">
        <f>3.5027 * CHOOSE(CONTROL!$C$32, $C$9, 100%, $E$9)</f>
        <v>3.5026999999999999</v>
      </c>
      <c r="P36" s="14"/>
      <c r="Q36" s="11"/>
      <c r="R36" s="11"/>
    </row>
    <row r="37" spans="1:18" ht="15" x14ac:dyDescent="0.2">
      <c r="A37" s="13">
        <v>41974</v>
      </c>
      <c r="B37" s="9">
        <f>2.4071 * CHOOSE(CONTROL!$C$32, $C$9, 100%, $E$9)</f>
        <v>2.4070999999999998</v>
      </c>
      <c r="C37" s="9">
        <f>2.4328 * CHOOSE(CONTROL!$C$32, $C$9, 100%, $E$9)</f>
        <v>2.4327999999999999</v>
      </c>
      <c r="D37" s="9">
        <f>2.4717 * CHOOSE(CONTROL!$C$32, $C$9, 100%, $E$9)</f>
        <v>2.4716999999999998</v>
      </c>
      <c r="E37" s="11">
        <f>3.4979 * CHOOSE(CONTROL!$C$32, $C$9, 100%, $E$9)</f>
        <v>3.4979</v>
      </c>
      <c r="F37" s="11">
        <f>3.475 * CHOOSE(CONTROL!$C$32, $C$9, 100%, $E$9)</f>
        <v>3.4750000000000001</v>
      </c>
      <c r="G37" s="11">
        <f>3.4879 * CHOOSE(CONTROL!$C$32, $C$9, 100%, $E$9)</f>
        <v>3.4878999999999998</v>
      </c>
      <c r="H37" s="11">
        <f>5.8168 * CHOOSE(CONTROL!$C$32, $C$9, 100%, $E$9)</f>
        <v>5.8167999999999997</v>
      </c>
      <c r="I37" s="11">
        <f>5.8297 * CHOOSE(CONTROL!$C$32, $C$9, 100%, $E$9)</f>
        <v>5.8296999999999999</v>
      </c>
      <c r="J37" s="11">
        <f>5.8168 * CHOOSE(CONTROL!$C$32, $C$9, 100%, $E$9)</f>
        <v>5.8167999999999997</v>
      </c>
      <c r="K37" s="11">
        <f>5.8297 * CHOOSE(CONTROL!$C$32, $C$9, 100%, $E$9)</f>
        <v>5.8296999999999999</v>
      </c>
      <c r="L37" s="11">
        <f>3.4979 * CHOOSE(CONTROL!$C$32, $C$9, 100%, $E$9)</f>
        <v>3.4979</v>
      </c>
      <c r="M37" s="11">
        <f>3.5108 * CHOOSE(CONTROL!$C$32, $C$9, 100%, $E$9)</f>
        <v>3.5108000000000001</v>
      </c>
      <c r="N37" s="11">
        <f>3.4979 * CHOOSE(CONTROL!$C$32, $C$9, 100%, $E$9)</f>
        <v>3.4979</v>
      </c>
      <c r="O37" s="11">
        <f>3.5108 * CHOOSE(CONTROL!$C$32, $C$9, 100%, $E$9)</f>
        <v>3.5108000000000001</v>
      </c>
      <c r="P37" s="14"/>
      <c r="Q37" s="11"/>
      <c r="R37" s="11"/>
    </row>
    <row r="38" spans="1:18" ht="15" x14ac:dyDescent="0.2">
      <c r="A38" s="13">
        <v>42005</v>
      </c>
      <c r="B38" s="9">
        <f>2.4532 * CHOOSE(CONTROL!$C$32, $C$9, 100%, $E$9)</f>
        <v>2.4531999999999998</v>
      </c>
      <c r="C38" s="9">
        <f>2.4532 * CHOOSE(CONTROL!$C$32, $C$9, 100%, $E$9)</f>
        <v>2.4531999999999998</v>
      </c>
      <c r="D38" s="9">
        <f>2.4542 * CHOOSE(CONTROL!$C$32, $C$9, 100%, $E$9)</f>
        <v>2.4542000000000002</v>
      </c>
      <c r="E38" s="11">
        <f>3.8055 * CHOOSE(CONTROL!$C$32, $C$9, 100%, $E$9)</f>
        <v>3.8054999999999999</v>
      </c>
      <c r="F38" s="11">
        <f>3.5836 * CHOOSE(CONTROL!$C$32, $C$9, 100%, $E$9)</f>
        <v>3.5836000000000001</v>
      </c>
      <c r="G38" s="11">
        <f>3.5872 * CHOOSE(CONTROL!$C$32, $C$9, 100%, $E$9)</f>
        <v>3.5872000000000002</v>
      </c>
      <c r="H38" s="11">
        <f>5.8289 * CHOOSE(CONTROL!$C$32, $C$9, 100%, $E$9)</f>
        <v>5.8289</v>
      </c>
      <c r="I38" s="11">
        <f>5.8325 * CHOOSE(CONTROL!$C$32, $C$9, 100%, $E$9)</f>
        <v>5.8324999999999996</v>
      </c>
      <c r="J38" s="11">
        <f>5.8289 * CHOOSE(CONTROL!$C$32, $C$9, 100%, $E$9)</f>
        <v>5.8289</v>
      </c>
      <c r="K38" s="11">
        <f>5.8325 * CHOOSE(CONTROL!$C$32, $C$9, 100%, $E$9)</f>
        <v>5.8324999999999996</v>
      </c>
      <c r="L38" s="11">
        <f>3.8055 * CHOOSE(CONTROL!$C$32, $C$9, 100%, $E$9)</f>
        <v>3.8054999999999999</v>
      </c>
      <c r="M38" s="11">
        <f>3.8091 * CHOOSE(CONTROL!$C$32, $C$9, 100%, $E$9)</f>
        <v>3.8090999999999999</v>
      </c>
      <c r="N38" s="11">
        <f>3.8055 * CHOOSE(CONTROL!$C$32, $C$9, 100%, $E$9)</f>
        <v>3.8054999999999999</v>
      </c>
      <c r="O38" s="11">
        <f>3.8091 * CHOOSE(CONTROL!$C$32, $C$9, 100%, $E$9)</f>
        <v>3.8090999999999999</v>
      </c>
      <c r="P38" s="14"/>
      <c r="Q38" s="11"/>
      <c r="R38" s="11"/>
    </row>
    <row r="39" spans="1:18" ht="15" x14ac:dyDescent="0.2">
      <c r="A39" s="13">
        <v>42036</v>
      </c>
      <c r="B39" s="9">
        <f>2.4638 * CHOOSE(CONTROL!$C$32, $C$9, 100%, $E$9)</f>
        <v>2.4638</v>
      </c>
      <c r="C39" s="9">
        <f>2.4638 * CHOOSE(CONTROL!$C$32, $C$9, 100%, $E$9)</f>
        <v>2.4638</v>
      </c>
      <c r="D39" s="9">
        <f>2.4648 * CHOOSE(CONTROL!$C$32, $C$9, 100%, $E$9)</f>
        <v>2.4647999999999999</v>
      </c>
      <c r="E39" s="11">
        <f>3.7577 * CHOOSE(CONTROL!$C$32, $C$9, 100%, $E$9)</f>
        <v>3.7576999999999998</v>
      </c>
      <c r="F39" s="11">
        <f>3.5836 * CHOOSE(CONTROL!$C$32, $C$9, 100%, $E$9)</f>
        <v>3.5836000000000001</v>
      </c>
      <c r="G39" s="11">
        <f>3.5872 * CHOOSE(CONTROL!$C$32, $C$9, 100%, $E$9)</f>
        <v>3.5872000000000002</v>
      </c>
      <c r="H39" s="11">
        <f>5.841 * CHOOSE(CONTROL!$C$32, $C$9, 100%, $E$9)</f>
        <v>5.8410000000000002</v>
      </c>
      <c r="I39" s="11">
        <f>5.8447 * CHOOSE(CONTROL!$C$32, $C$9, 100%, $E$9)</f>
        <v>5.8446999999999996</v>
      </c>
      <c r="J39" s="11">
        <f>5.841 * CHOOSE(CONTROL!$C$32, $C$9, 100%, $E$9)</f>
        <v>5.8410000000000002</v>
      </c>
      <c r="K39" s="11">
        <f>5.8447 * CHOOSE(CONTROL!$C$32, $C$9, 100%, $E$9)</f>
        <v>5.8446999999999996</v>
      </c>
      <c r="L39" s="11">
        <f>3.7577 * CHOOSE(CONTROL!$C$32, $C$9, 100%, $E$9)</f>
        <v>3.7576999999999998</v>
      </c>
      <c r="M39" s="11">
        <f>3.7613 * CHOOSE(CONTROL!$C$32, $C$9, 100%, $E$9)</f>
        <v>3.7612999999999999</v>
      </c>
      <c r="N39" s="11">
        <f>3.7577 * CHOOSE(CONTROL!$C$32, $C$9, 100%, $E$9)</f>
        <v>3.7576999999999998</v>
      </c>
      <c r="O39" s="11">
        <f>3.7613 * CHOOSE(CONTROL!$C$32, $C$9, 100%, $E$9)</f>
        <v>3.7612999999999999</v>
      </c>
      <c r="P39" s="14"/>
      <c r="Q39" s="11"/>
      <c r="R39" s="11"/>
    </row>
    <row r="40" spans="1:18" ht="15" x14ac:dyDescent="0.2">
      <c r="A40" s="13">
        <v>42064</v>
      </c>
      <c r="B40" s="9">
        <f>2.4574 * CHOOSE(CONTROL!$C$32, $C$9, 100%, $E$9)</f>
        <v>2.4573999999999998</v>
      </c>
      <c r="C40" s="9">
        <f>2.4574 * CHOOSE(CONTROL!$C$32, $C$9, 100%, $E$9)</f>
        <v>2.4573999999999998</v>
      </c>
      <c r="D40" s="9">
        <f>2.4584 * CHOOSE(CONTROL!$C$32, $C$9, 100%, $E$9)</f>
        <v>2.4584000000000001</v>
      </c>
      <c r="E40" s="11">
        <f>3.686 * CHOOSE(CONTROL!$C$32, $C$9, 100%, $E$9)</f>
        <v>3.6859999999999999</v>
      </c>
      <c r="F40" s="11">
        <f>3.5836 * CHOOSE(CONTROL!$C$32, $C$9, 100%, $E$9)</f>
        <v>3.5836000000000001</v>
      </c>
      <c r="G40" s="11">
        <f>3.5872 * CHOOSE(CONTROL!$C$32, $C$9, 100%, $E$9)</f>
        <v>3.5872000000000002</v>
      </c>
      <c r="H40" s="11">
        <f>5.8532 * CHOOSE(CONTROL!$C$32, $C$9, 100%, $E$9)</f>
        <v>5.8532000000000002</v>
      </c>
      <c r="I40" s="11">
        <f>5.8568 * CHOOSE(CONTROL!$C$32, $C$9, 100%, $E$9)</f>
        <v>5.8567999999999998</v>
      </c>
      <c r="J40" s="11">
        <f>5.8532 * CHOOSE(CONTROL!$C$32, $C$9, 100%, $E$9)</f>
        <v>5.8532000000000002</v>
      </c>
      <c r="K40" s="11">
        <f>5.8568 * CHOOSE(CONTROL!$C$32, $C$9, 100%, $E$9)</f>
        <v>5.8567999999999998</v>
      </c>
      <c r="L40" s="11">
        <f>3.686 * CHOOSE(CONTROL!$C$32, $C$9, 100%, $E$9)</f>
        <v>3.6859999999999999</v>
      </c>
      <c r="M40" s="11">
        <f>3.6896 * CHOOSE(CONTROL!$C$32, $C$9, 100%, $E$9)</f>
        <v>3.6896</v>
      </c>
      <c r="N40" s="11">
        <f>3.686 * CHOOSE(CONTROL!$C$32, $C$9, 100%, $E$9)</f>
        <v>3.6859999999999999</v>
      </c>
      <c r="O40" s="11">
        <f>3.6896 * CHOOSE(CONTROL!$C$32, $C$9, 100%, $E$9)</f>
        <v>3.6896</v>
      </c>
      <c r="P40" s="14"/>
      <c r="Q40" s="11"/>
      <c r="R40" s="11"/>
    </row>
    <row r="41" spans="1:18" ht="15" x14ac:dyDescent="0.2">
      <c r="A41" s="13">
        <v>42095</v>
      </c>
      <c r="B41" s="9">
        <f>2.4574 * CHOOSE(CONTROL!$C$32, $C$9, 100%, $E$9)</f>
        <v>2.4573999999999998</v>
      </c>
      <c r="C41" s="9">
        <f>2.4574 * CHOOSE(CONTROL!$C$32, $C$9, 100%, $E$9)</f>
        <v>2.4573999999999998</v>
      </c>
      <c r="D41" s="9">
        <f>2.4584 * CHOOSE(CONTROL!$C$32, $C$9, 100%, $E$9)</f>
        <v>2.4584000000000001</v>
      </c>
      <c r="E41" s="11">
        <f>3.6986 * CHOOSE(CONTROL!$C$32, $C$9, 100%, $E$9)</f>
        <v>3.6985999999999999</v>
      </c>
      <c r="F41" s="11">
        <f>3.5836 * CHOOSE(CONTROL!$C$32, $C$9, 100%, $E$9)</f>
        <v>3.5836000000000001</v>
      </c>
      <c r="G41" s="11">
        <f>3.5872 * CHOOSE(CONTROL!$C$32, $C$9, 100%, $E$9)</f>
        <v>3.5872000000000002</v>
      </c>
      <c r="H41" s="11">
        <f>5.8654 * CHOOSE(CONTROL!$C$32, $C$9, 100%, $E$9)</f>
        <v>5.8654000000000002</v>
      </c>
      <c r="I41" s="11">
        <f>5.869 * CHOOSE(CONTROL!$C$32, $C$9, 100%, $E$9)</f>
        <v>5.8689999999999998</v>
      </c>
      <c r="J41" s="11">
        <f>5.8654 * CHOOSE(CONTROL!$C$32, $C$9, 100%, $E$9)</f>
        <v>5.8654000000000002</v>
      </c>
      <c r="K41" s="11">
        <f>5.869 * CHOOSE(CONTROL!$C$32, $C$9, 100%, $E$9)</f>
        <v>5.8689999999999998</v>
      </c>
      <c r="L41" s="11">
        <f>3.6986 * CHOOSE(CONTROL!$C$32, $C$9, 100%, $E$9)</f>
        <v>3.6985999999999999</v>
      </c>
      <c r="M41" s="11">
        <f>3.7022 * CHOOSE(CONTROL!$C$32, $C$9, 100%, $E$9)</f>
        <v>3.7021999999999999</v>
      </c>
      <c r="N41" s="11">
        <f>3.6986 * CHOOSE(CONTROL!$C$32, $C$9, 100%, $E$9)</f>
        <v>3.6985999999999999</v>
      </c>
      <c r="O41" s="11">
        <f>3.7022 * CHOOSE(CONTROL!$C$32, $C$9, 100%, $E$9)</f>
        <v>3.7021999999999999</v>
      </c>
      <c r="P41" s="14"/>
      <c r="Q41" s="11"/>
      <c r="R41" s="11"/>
    </row>
    <row r="42" spans="1:18" ht="15" x14ac:dyDescent="0.2">
      <c r="A42" s="13">
        <v>42125</v>
      </c>
      <c r="B42" s="9">
        <f>2.4559 * CHOOSE(CONTROL!$C$32, $C$9, 100%, $E$9)</f>
        <v>2.4559000000000002</v>
      </c>
      <c r="C42" s="9">
        <f>2.4559 * CHOOSE(CONTROL!$C$32, $C$9, 100%, $E$9)</f>
        <v>2.4559000000000002</v>
      </c>
      <c r="D42" s="9">
        <f>2.4575 * CHOOSE(CONTROL!$C$32, $C$9, 100%, $E$9)</f>
        <v>2.4575</v>
      </c>
      <c r="E42" s="11">
        <f>3.7718 * CHOOSE(CONTROL!$C$32, $C$9, 100%, $E$9)</f>
        <v>3.7717999999999998</v>
      </c>
      <c r="F42" s="11">
        <f>3.5836 * CHOOSE(CONTROL!$C$32, $C$9, 100%, $E$9)</f>
        <v>3.5836000000000001</v>
      </c>
      <c r="G42" s="11">
        <f>3.5889 * CHOOSE(CONTROL!$C$32, $C$9, 100%, $E$9)</f>
        <v>3.5889000000000002</v>
      </c>
      <c r="H42" s="11">
        <f>5.8776 * CHOOSE(CONTROL!$C$32, $C$9, 100%, $E$9)</f>
        <v>5.8776000000000002</v>
      </c>
      <c r="I42" s="11">
        <f>5.8829 * CHOOSE(CONTROL!$C$32, $C$9, 100%, $E$9)</f>
        <v>5.8829000000000002</v>
      </c>
      <c r="J42" s="11">
        <f>5.8776 * CHOOSE(CONTROL!$C$32, $C$9, 100%, $E$9)</f>
        <v>5.8776000000000002</v>
      </c>
      <c r="K42" s="11">
        <f>5.8829 * CHOOSE(CONTROL!$C$32, $C$9, 100%, $E$9)</f>
        <v>5.8829000000000002</v>
      </c>
      <c r="L42" s="11">
        <f>3.7718 * CHOOSE(CONTROL!$C$32, $C$9, 100%, $E$9)</f>
        <v>3.7717999999999998</v>
      </c>
      <c r="M42" s="11">
        <f>3.7771 * CHOOSE(CONTROL!$C$32, $C$9, 100%, $E$9)</f>
        <v>3.7770999999999999</v>
      </c>
      <c r="N42" s="11">
        <f>3.7718 * CHOOSE(CONTROL!$C$32, $C$9, 100%, $E$9)</f>
        <v>3.7717999999999998</v>
      </c>
      <c r="O42" s="11">
        <f>3.7771 * CHOOSE(CONTROL!$C$32, $C$9, 100%, $E$9)</f>
        <v>3.7770999999999999</v>
      </c>
      <c r="P42" s="14"/>
      <c r="Q42" s="11"/>
      <c r="R42" s="11"/>
    </row>
    <row r="43" spans="1:18" ht="15" x14ac:dyDescent="0.2">
      <c r="A43" s="13">
        <v>42156</v>
      </c>
      <c r="B43" s="9">
        <f>2.4775 * CHOOSE(CONTROL!$C$32, $C$9, 100%, $E$9)</f>
        <v>2.4775</v>
      </c>
      <c r="C43" s="9">
        <f>2.4775 * CHOOSE(CONTROL!$C$32, $C$9, 100%, $E$9)</f>
        <v>2.4775</v>
      </c>
      <c r="D43" s="9">
        <f>2.4791 * CHOOSE(CONTROL!$C$32, $C$9, 100%, $E$9)</f>
        <v>2.4790999999999999</v>
      </c>
      <c r="E43" s="11">
        <f>3.8167 * CHOOSE(CONTROL!$C$32, $C$9, 100%, $E$9)</f>
        <v>3.8167</v>
      </c>
      <c r="F43" s="11">
        <f>3.5836 * CHOOSE(CONTROL!$C$32, $C$9, 100%, $E$9)</f>
        <v>3.5836000000000001</v>
      </c>
      <c r="G43" s="11">
        <f>3.5889 * CHOOSE(CONTROL!$C$32, $C$9, 100%, $E$9)</f>
        <v>3.5889000000000002</v>
      </c>
      <c r="H43" s="11">
        <f>5.8899 * CHOOSE(CONTROL!$C$32, $C$9, 100%, $E$9)</f>
        <v>5.8898999999999999</v>
      </c>
      <c r="I43" s="11">
        <f>5.8952 * CHOOSE(CONTROL!$C$32, $C$9, 100%, $E$9)</f>
        <v>5.8952</v>
      </c>
      <c r="J43" s="11">
        <f>5.8899 * CHOOSE(CONTROL!$C$32, $C$9, 100%, $E$9)</f>
        <v>5.8898999999999999</v>
      </c>
      <c r="K43" s="11">
        <f>5.8952 * CHOOSE(CONTROL!$C$32, $C$9, 100%, $E$9)</f>
        <v>5.8952</v>
      </c>
      <c r="L43" s="11">
        <f>3.8167 * CHOOSE(CONTROL!$C$32, $C$9, 100%, $E$9)</f>
        <v>3.8167</v>
      </c>
      <c r="M43" s="11">
        <f>3.822 * CHOOSE(CONTROL!$C$32, $C$9, 100%, $E$9)</f>
        <v>3.8220000000000001</v>
      </c>
      <c r="N43" s="11">
        <f>3.8167 * CHOOSE(CONTROL!$C$32, $C$9, 100%, $E$9)</f>
        <v>3.8167</v>
      </c>
      <c r="O43" s="11">
        <f>3.822 * CHOOSE(CONTROL!$C$32, $C$9, 100%, $E$9)</f>
        <v>3.8220000000000001</v>
      </c>
      <c r="P43" s="14"/>
      <c r="Q43" s="11"/>
      <c r="R43" s="11"/>
    </row>
    <row r="44" spans="1:18" ht="15" x14ac:dyDescent="0.2">
      <c r="A44" s="13">
        <v>42186</v>
      </c>
      <c r="B44" s="9">
        <f>2.5019 * CHOOSE(CONTROL!$C$32, $C$9, 100%, $E$9)</f>
        <v>2.5019</v>
      </c>
      <c r="C44" s="9">
        <f>2.5019 * CHOOSE(CONTROL!$C$32, $C$9, 100%, $E$9)</f>
        <v>2.5019</v>
      </c>
      <c r="D44" s="9">
        <f>2.5034 * CHOOSE(CONTROL!$C$32, $C$9, 100%, $E$9)</f>
        <v>2.5034000000000001</v>
      </c>
      <c r="E44" s="11">
        <f>3.8864 * CHOOSE(CONTROL!$C$32, $C$9, 100%, $E$9)</f>
        <v>3.8864000000000001</v>
      </c>
      <c r="F44" s="11">
        <f>3.5836 * CHOOSE(CONTROL!$C$32, $C$9, 100%, $E$9)</f>
        <v>3.5836000000000001</v>
      </c>
      <c r="G44" s="11">
        <f>3.5889 * CHOOSE(CONTROL!$C$32, $C$9, 100%, $E$9)</f>
        <v>3.5889000000000002</v>
      </c>
      <c r="H44" s="11">
        <f>5.9021 * CHOOSE(CONTROL!$C$32, $C$9, 100%, $E$9)</f>
        <v>5.9020999999999999</v>
      </c>
      <c r="I44" s="11">
        <f>5.9074 * CHOOSE(CONTROL!$C$32, $C$9, 100%, $E$9)</f>
        <v>5.9074</v>
      </c>
      <c r="J44" s="11">
        <f>5.9021 * CHOOSE(CONTROL!$C$32, $C$9, 100%, $E$9)</f>
        <v>5.9020999999999999</v>
      </c>
      <c r="K44" s="11">
        <f>5.9074 * CHOOSE(CONTROL!$C$32, $C$9, 100%, $E$9)</f>
        <v>5.9074</v>
      </c>
      <c r="L44" s="11">
        <f>3.8864 * CHOOSE(CONTROL!$C$32, $C$9, 100%, $E$9)</f>
        <v>3.8864000000000001</v>
      </c>
      <c r="M44" s="11">
        <f>3.8917 * CHOOSE(CONTROL!$C$32, $C$9, 100%, $E$9)</f>
        <v>3.8917000000000002</v>
      </c>
      <c r="N44" s="11">
        <f>3.8864 * CHOOSE(CONTROL!$C$32, $C$9, 100%, $E$9)</f>
        <v>3.8864000000000001</v>
      </c>
      <c r="O44" s="11">
        <f>3.8917 * CHOOSE(CONTROL!$C$32, $C$9, 100%, $E$9)</f>
        <v>3.8917000000000002</v>
      </c>
      <c r="P44" s="14"/>
      <c r="Q44" s="11"/>
      <c r="R44" s="11"/>
    </row>
    <row r="45" spans="1:18" ht="15" x14ac:dyDescent="0.2">
      <c r="A45" s="13">
        <v>42217</v>
      </c>
      <c r="B45" s="9">
        <f>2.5126 * CHOOSE(CONTROL!$C$32, $C$9, 100%, $E$9)</f>
        <v>2.5125999999999999</v>
      </c>
      <c r="C45" s="9">
        <f>2.5126 * CHOOSE(CONTROL!$C$32, $C$9, 100%, $E$9)</f>
        <v>2.5125999999999999</v>
      </c>
      <c r="D45" s="9">
        <f>2.5142 * CHOOSE(CONTROL!$C$32, $C$9, 100%, $E$9)</f>
        <v>2.5142000000000002</v>
      </c>
      <c r="E45" s="11">
        <f>3.8864 * CHOOSE(CONTROL!$C$32, $C$9, 100%, $E$9)</f>
        <v>3.8864000000000001</v>
      </c>
      <c r="F45" s="11">
        <f>3.5836 * CHOOSE(CONTROL!$C$32, $C$9, 100%, $E$9)</f>
        <v>3.5836000000000001</v>
      </c>
      <c r="G45" s="11">
        <f>3.5889 * CHOOSE(CONTROL!$C$32, $C$9, 100%, $E$9)</f>
        <v>3.5889000000000002</v>
      </c>
      <c r="H45" s="11">
        <f>5.9144 * CHOOSE(CONTROL!$C$32, $C$9, 100%, $E$9)</f>
        <v>5.9143999999999997</v>
      </c>
      <c r="I45" s="11">
        <f>5.9197 * CHOOSE(CONTROL!$C$32, $C$9, 100%, $E$9)</f>
        <v>5.9196999999999997</v>
      </c>
      <c r="J45" s="11">
        <f>5.9144 * CHOOSE(CONTROL!$C$32, $C$9, 100%, $E$9)</f>
        <v>5.9143999999999997</v>
      </c>
      <c r="K45" s="11">
        <f>5.9197 * CHOOSE(CONTROL!$C$32, $C$9, 100%, $E$9)</f>
        <v>5.9196999999999997</v>
      </c>
      <c r="L45" s="11">
        <f>3.8864 * CHOOSE(CONTROL!$C$32, $C$9, 100%, $E$9)</f>
        <v>3.8864000000000001</v>
      </c>
      <c r="M45" s="11">
        <f>3.8917 * CHOOSE(CONTROL!$C$32, $C$9, 100%, $E$9)</f>
        <v>3.8917000000000002</v>
      </c>
      <c r="N45" s="11">
        <f>3.8864 * CHOOSE(CONTROL!$C$32, $C$9, 100%, $E$9)</f>
        <v>3.8864000000000001</v>
      </c>
      <c r="O45" s="11">
        <f>3.8917 * CHOOSE(CONTROL!$C$32, $C$9, 100%, $E$9)</f>
        <v>3.8917000000000002</v>
      </c>
      <c r="P45" s="14"/>
      <c r="Q45" s="11"/>
      <c r="R45" s="11"/>
    </row>
    <row r="46" spans="1:18" ht="15" x14ac:dyDescent="0.2">
      <c r="A46" s="13">
        <v>42248</v>
      </c>
      <c r="B46" s="9">
        <f>2.5129 * CHOOSE(CONTROL!$C$32, $C$9, 100%, $E$9)</f>
        <v>2.5129000000000001</v>
      </c>
      <c r="C46" s="9">
        <f>2.5129 * CHOOSE(CONTROL!$C$32, $C$9, 100%, $E$9)</f>
        <v>2.5129000000000001</v>
      </c>
      <c r="D46" s="9">
        <f>2.5145 * CHOOSE(CONTROL!$C$32, $C$9, 100%, $E$9)</f>
        <v>2.5145</v>
      </c>
      <c r="E46" s="11">
        <f>3.7811 * CHOOSE(CONTROL!$C$32, $C$9, 100%, $E$9)</f>
        <v>3.7810999999999999</v>
      </c>
      <c r="F46" s="11">
        <f>3.5836 * CHOOSE(CONTROL!$C$32, $C$9, 100%, $E$9)</f>
        <v>3.5836000000000001</v>
      </c>
      <c r="G46" s="11">
        <f>3.5889 * CHOOSE(CONTROL!$C$32, $C$9, 100%, $E$9)</f>
        <v>3.5889000000000002</v>
      </c>
      <c r="H46" s="11">
        <f>5.9268 * CHOOSE(CONTROL!$C$32, $C$9, 100%, $E$9)</f>
        <v>5.9268000000000001</v>
      </c>
      <c r="I46" s="11">
        <f>5.9321 * CHOOSE(CONTROL!$C$32, $C$9, 100%, $E$9)</f>
        <v>5.9321000000000002</v>
      </c>
      <c r="J46" s="11">
        <f>5.9268 * CHOOSE(CONTROL!$C$32, $C$9, 100%, $E$9)</f>
        <v>5.9268000000000001</v>
      </c>
      <c r="K46" s="11">
        <f>5.9321 * CHOOSE(CONTROL!$C$32, $C$9, 100%, $E$9)</f>
        <v>5.9321000000000002</v>
      </c>
      <c r="L46" s="11">
        <f>3.7811 * CHOOSE(CONTROL!$C$32, $C$9, 100%, $E$9)</f>
        <v>3.7810999999999999</v>
      </c>
      <c r="M46" s="11">
        <f>3.7864 * CHOOSE(CONTROL!$C$32, $C$9, 100%, $E$9)</f>
        <v>3.7864</v>
      </c>
      <c r="N46" s="11">
        <f>3.7811 * CHOOSE(CONTROL!$C$32, $C$9, 100%, $E$9)</f>
        <v>3.7810999999999999</v>
      </c>
      <c r="O46" s="11">
        <f>3.7864 * CHOOSE(CONTROL!$C$32, $C$9, 100%, $E$9)</f>
        <v>3.7864</v>
      </c>
      <c r="P46" s="14"/>
      <c r="Q46" s="11"/>
      <c r="R46" s="11"/>
    </row>
    <row r="47" spans="1:18" ht="15" x14ac:dyDescent="0.2">
      <c r="A47" s="13">
        <v>42278</v>
      </c>
      <c r="B47" s="9">
        <f>2.5008 * CHOOSE(CONTROL!$C$32, $C$9, 100%, $E$9)</f>
        <v>2.5007999999999999</v>
      </c>
      <c r="C47" s="9">
        <f>2.5008 * CHOOSE(CONTROL!$C$32, $C$9, 100%, $E$9)</f>
        <v>2.5007999999999999</v>
      </c>
      <c r="D47" s="9">
        <f>2.5019 * CHOOSE(CONTROL!$C$32, $C$9, 100%, $E$9)</f>
        <v>2.5019</v>
      </c>
      <c r="E47" s="11">
        <f>3.865 * CHOOSE(CONTROL!$C$32, $C$9, 100%, $E$9)</f>
        <v>3.8650000000000002</v>
      </c>
      <c r="F47" s="11">
        <f>3.5836 * CHOOSE(CONTROL!$C$32, $C$9, 100%, $E$9)</f>
        <v>3.5836000000000001</v>
      </c>
      <c r="G47" s="11">
        <f>3.5872 * CHOOSE(CONTROL!$C$32, $C$9, 100%, $E$9)</f>
        <v>3.5872000000000002</v>
      </c>
      <c r="H47" s="11">
        <f>5.9391 * CHOOSE(CONTROL!$C$32, $C$9, 100%, $E$9)</f>
        <v>5.9390999999999998</v>
      </c>
      <c r="I47" s="11">
        <f>5.9427 * CHOOSE(CONTROL!$C$32, $C$9, 100%, $E$9)</f>
        <v>5.9427000000000003</v>
      </c>
      <c r="J47" s="11">
        <f>5.9391 * CHOOSE(CONTROL!$C$32, $C$9, 100%, $E$9)</f>
        <v>5.9390999999999998</v>
      </c>
      <c r="K47" s="11">
        <f>5.9427 * CHOOSE(CONTROL!$C$32, $C$9, 100%, $E$9)</f>
        <v>5.9427000000000003</v>
      </c>
      <c r="L47" s="11">
        <f>3.865 * CHOOSE(CONTROL!$C$32, $C$9, 100%, $E$9)</f>
        <v>3.8650000000000002</v>
      </c>
      <c r="M47" s="11">
        <f>3.8686 * CHOOSE(CONTROL!$C$32, $C$9, 100%, $E$9)</f>
        <v>3.8685999999999998</v>
      </c>
      <c r="N47" s="11">
        <f>3.865 * CHOOSE(CONTROL!$C$32, $C$9, 100%, $E$9)</f>
        <v>3.8650000000000002</v>
      </c>
      <c r="O47" s="11">
        <f>3.8686 * CHOOSE(CONTROL!$C$32, $C$9, 100%, $E$9)</f>
        <v>3.8685999999999998</v>
      </c>
      <c r="P47" s="14"/>
      <c r="Q47" s="11"/>
      <c r="R47" s="11"/>
    </row>
    <row r="48" spans="1:18" ht="15" x14ac:dyDescent="0.2">
      <c r="A48" s="13">
        <v>42309</v>
      </c>
      <c r="B48" s="9">
        <f>2.5055 * CHOOSE(CONTROL!$C$32, $C$9, 100%, $E$9)</f>
        <v>2.5055000000000001</v>
      </c>
      <c r="C48" s="9">
        <f>2.5055 * CHOOSE(CONTROL!$C$32, $C$9, 100%, $E$9)</f>
        <v>2.5055000000000001</v>
      </c>
      <c r="D48" s="9">
        <f>2.5065 * CHOOSE(CONTROL!$C$32, $C$9, 100%, $E$9)</f>
        <v>2.5065</v>
      </c>
      <c r="E48" s="11">
        <f>3.865 * CHOOSE(CONTROL!$C$32, $C$9, 100%, $E$9)</f>
        <v>3.8650000000000002</v>
      </c>
      <c r="F48" s="11">
        <f>3.5836 * CHOOSE(CONTROL!$C$32, $C$9, 100%, $E$9)</f>
        <v>3.5836000000000001</v>
      </c>
      <c r="G48" s="11">
        <f>3.5872 * CHOOSE(CONTROL!$C$32, $C$9, 100%, $E$9)</f>
        <v>3.5872000000000002</v>
      </c>
      <c r="H48" s="11">
        <f>5.9515 * CHOOSE(CONTROL!$C$32, $C$9, 100%, $E$9)</f>
        <v>5.9515000000000002</v>
      </c>
      <c r="I48" s="11">
        <f>5.9551 * CHOOSE(CONTROL!$C$32, $C$9, 100%, $E$9)</f>
        <v>5.9550999999999998</v>
      </c>
      <c r="J48" s="11">
        <f>5.9515 * CHOOSE(CONTROL!$C$32, $C$9, 100%, $E$9)</f>
        <v>5.9515000000000002</v>
      </c>
      <c r="K48" s="11">
        <f>5.9551 * CHOOSE(CONTROL!$C$32, $C$9, 100%, $E$9)</f>
        <v>5.9550999999999998</v>
      </c>
      <c r="L48" s="11">
        <f>3.865 * CHOOSE(CONTROL!$C$32, $C$9, 100%, $E$9)</f>
        <v>3.8650000000000002</v>
      </c>
      <c r="M48" s="11">
        <f>3.8686 * CHOOSE(CONTROL!$C$32, $C$9, 100%, $E$9)</f>
        <v>3.8685999999999998</v>
      </c>
      <c r="N48" s="11">
        <f>3.865 * CHOOSE(CONTROL!$C$32, $C$9, 100%, $E$9)</f>
        <v>3.8650000000000002</v>
      </c>
      <c r="O48" s="11">
        <f>3.8686 * CHOOSE(CONTROL!$C$32, $C$9, 100%, $E$9)</f>
        <v>3.8685999999999998</v>
      </c>
      <c r="P48" s="14"/>
      <c r="Q48" s="11"/>
      <c r="R48" s="11"/>
    </row>
    <row r="49" spans="1:18" ht="15" x14ac:dyDescent="0.2">
      <c r="A49" s="13">
        <v>42339</v>
      </c>
      <c r="B49" s="9">
        <f>2.5088 * CHOOSE(CONTROL!$C$32, $C$9, 100%, $E$9)</f>
        <v>2.5087999999999999</v>
      </c>
      <c r="C49" s="9">
        <f>2.5088 * CHOOSE(CONTROL!$C$32, $C$9, 100%, $E$9)</f>
        <v>2.5087999999999999</v>
      </c>
      <c r="D49" s="9">
        <f>2.5099 * CHOOSE(CONTROL!$C$32, $C$9, 100%, $E$9)</f>
        <v>2.5099</v>
      </c>
      <c r="E49" s="11">
        <f>3.8041 * CHOOSE(CONTROL!$C$32, $C$9, 100%, $E$9)</f>
        <v>3.8041</v>
      </c>
      <c r="F49" s="11">
        <f>3.5836 * CHOOSE(CONTROL!$C$32, $C$9, 100%, $E$9)</f>
        <v>3.5836000000000001</v>
      </c>
      <c r="G49" s="11">
        <f>3.5872 * CHOOSE(CONTROL!$C$32, $C$9, 100%, $E$9)</f>
        <v>3.5872000000000002</v>
      </c>
      <c r="H49" s="11">
        <f>5.9639 * CHOOSE(CONTROL!$C$32, $C$9, 100%, $E$9)</f>
        <v>5.9638999999999998</v>
      </c>
      <c r="I49" s="11">
        <f>5.9675 * CHOOSE(CONTROL!$C$32, $C$9, 100%, $E$9)</f>
        <v>5.9675000000000002</v>
      </c>
      <c r="J49" s="11">
        <f>5.9639 * CHOOSE(CONTROL!$C$32, $C$9, 100%, $E$9)</f>
        <v>5.9638999999999998</v>
      </c>
      <c r="K49" s="11">
        <f>5.9675 * CHOOSE(CONTROL!$C$32, $C$9, 100%, $E$9)</f>
        <v>5.9675000000000002</v>
      </c>
      <c r="L49" s="11">
        <f>3.8041 * CHOOSE(CONTROL!$C$32, $C$9, 100%, $E$9)</f>
        <v>3.8041</v>
      </c>
      <c r="M49" s="11">
        <f>3.8077 * CHOOSE(CONTROL!$C$32, $C$9, 100%, $E$9)</f>
        <v>3.8077000000000001</v>
      </c>
      <c r="N49" s="11">
        <f>3.8041 * CHOOSE(CONTROL!$C$32, $C$9, 100%, $E$9)</f>
        <v>3.8041</v>
      </c>
      <c r="O49" s="11">
        <f>3.8077 * CHOOSE(CONTROL!$C$32, $C$9, 100%, $E$9)</f>
        <v>3.8077000000000001</v>
      </c>
      <c r="P49" s="14"/>
      <c r="Q49" s="11"/>
      <c r="R49" s="11"/>
    </row>
    <row r="50" spans="1:18" ht="15" x14ac:dyDescent="0.2">
      <c r="A50" s="13">
        <v>42370</v>
      </c>
      <c r="B50" s="9">
        <f>3.2679 * CHOOSE(CONTROL!$C$32, $C$9, 100%, $E$9)</f>
        <v>3.2679</v>
      </c>
      <c r="C50" s="9">
        <f>3.2679 * CHOOSE(CONTROL!$C$32, $C$9, 100%, $E$9)</f>
        <v>3.2679</v>
      </c>
      <c r="D50" s="9">
        <f>3.269 * CHOOSE(CONTROL!$C$32, $C$9, 100%, $E$9)</f>
        <v>3.2690000000000001</v>
      </c>
      <c r="E50" s="11">
        <f>3.9546 * CHOOSE(CONTROL!$C$32, $C$9, 100%, $E$9)</f>
        <v>3.9546000000000001</v>
      </c>
      <c r="F50" s="11">
        <f>3.6856 * CHOOSE(CONTROL!$C$32, $C$9, 100%, $E$9)</f>
        <v>3.6856</v>
      </c>
      <c r="G50" s="11">
        <f>3.6892 * CHOOSE(CONTROL!$C$32, $C$9, 100%, $E$9)</f>
        <v>3.6892</v>
      </c>
      <c r="H50" s="11">
        <f>5.9763 * CHOOSE(CONTROL!$C$32, $C$9, 100%, $E$9)</f>
        <v>5.9763000000000002</v>
      </c>
      <c r="I50" s="11">
        <f>5.9799 * CHOOSE(CONTROL!$C$32, $C$9, 100%, $E$9)</f>
        <v>5.9798999999999998</v>
      </c>
      <c r="J50" s="11">
        <f>5.9763 * CHOOSE(CONTROL!$C$32, $C$9, 100%, $E$9)</f>
        <v>5.9763000000000002</v>
      </c>
      <c r="K50" s="11">
        <f>5.9799 * CHOOSE(CONTROL!$C$32, $C$9, 100%, $E$9)</f>
        <v>5.9798999999999998</v>
      </c>
      <c r="L50" s="11">
        <f>3.9546 * CHOOSE(CONTROL!$C$32, $C$9, 100%, $E$9)</f>
        <v>3.9546000000000001</v>
      </c>
      <c r="M50" s="11">
        <f>3.9582 * CHOOSE(CONTROL!$C$32, $C$9, 100%, $E$9)</f>
        <v>3.9582000000000002</v>
      </c>
      <c r="N50" s="11">
        <f>3.9546 * CHOOSE(CONTROL!$C$32, $C$9, 100%, $E$9)</f>
        <v>3.9546000000000001</v>
      </c>
      <c r="O50" s="11">
        <f>3.9582 * CHOOSE(CONTROL!$C$32, $C$9, 100%, $E$9)</f>
        <v>3.9582000000000002</v>
      </c>
      <c r="P50" s="14"/>
      <c r="Q50" s="11"/>
      <c r="R50" s="11"/>
    </row>
    <row r="51" spans="1:18" ht="15" x14ac:dyDescent="0.2">
      <c r="A51" s="13">
        <v>42401</v>
      </c>
      <c r="B51" s="9">
        <f>3.2731 * CHOOSE(CONTROL!$C$32, $C$9, 100%, $E$9)</f>
        <v>3.2730999999999999</v>
      </c>
      <c r="C51" s="9">
        <f>3.2731 * CHOOSE(CONTROL!$C$32, $C$9, 100%, $E$9)</f>
        <v>3.2730999999999999</v>
      </c>
      <c r="D51" s="9">
        <f>3.2741 * CHOOSE(CONTROL!$C$32, $C$9, 100%, $E$9)</f>
        <v>3.2740999999999998</v>
      </c>
      <c r="E51" s="11">
        <f>3.8942 * CHOOSE(CONTROL!$C$32, $C$9, 100%, $E$9)</f>
        <v>3.8942000000000001</v>
      </c>
      <c r="F51" s="11">
        <f>3.6856 * CHOOSE(CONTROL!$C$32, $C$9, 100%, $E$9)</f>
        <v>3.6856</v>
      </c>
      <c r="G51" s="11">
        <f>3.6892 * CHOOSE(CONTROL!$C$32, $C$9, 100%, $E$9)</f>
        <v>3.6892</v>
      </c>
      <c r="H51" s="11">
        <f>5.9888 * CHOOSE(CONTROL!$C$32, $C$9, 100%, $E$9)</f>
        <v>5.9888000000000003</v>
      </c>
      <c r="I51" s="11">
        <f>5.9924 * CHOOSE(CONTROL!$C$32, $C$9, 100%, $E$9)</f>
        <v>5.9923999999999999</v>
      </c>
      <c r="J51" s="11">
        <f>5.9888 * CHOOSE(CONTROL!$C$32, $C$9, 100%, $E$9)</f>
        <v>5.9888000000000003</v>
      </c>
      <c r="K51" s="11">
        <f>5.9924 * CHOOSE(CONTROL!$C$32, $C$9, 100%, $E$9)</f>
        <v>5.9923999999999999</v>
      </c>
      <c r="L51" s="11">
        <f>3.8942 * CHOOSE(CONTROL!$C$32, $C$9, 100%, $E$9)</f>
        <v>3.8942000000000001</v>
      </c>
      <c r="M51" s="11">
        <f>3.8978 * CHOOSE(CONTROL!$C$32, $C$9, 100%, $E$9)</f>
        <v>3.8978000000000002</v>
      </c>
      <c r="N51" s="11">
        <f>3.8942 * CHOOSE(CONTROL!$C$32, $C$9, 100%, $E$9)</f>
        <v>3.8942000000000001</v>
      </c>
      <c r="O51" s="11">
        <f>3.8978 * CHOOSE(CONTROL!$C$32, $C$9, 100%, $E$9)</f>
        <v>3.8978000000000002</v>
      </c>
      <c r="P51" s="14"/>
      <c r="Q51" s="11"/>
      <c r="R51" s="11"/>
    </row>
    <row r="52" spans="1:18" ht="15" x14ac:dyDescent="0.2">
      <c r="A52" s="13">
        <v>42430</v>
      </c>
      <c r="B52" s="9">
        <f>3.2698 * CHOOSE(CONTROL!$C$32, $C$9, 100%, $E$9)</f>
        <v>3.2698</v>
      </c>
      <c r="C52" s="9">
        <f>3.2698 * CHOOSE(CONTROL!$C$32, $C$9, 100%, $E$9)</f>
        <v>3.2698</v>
      </c>
      <c r="D52" s="9">
        <f>3.2709 * CHOOSE(CONTROL!$C$32, $C$9, 100%, $E$9)</f>
        <v>3.2709000000000001</v>
      </c>
      <c r="E52" s="11">
        <f>3.8028 * CHOOSE(CONTROL!$C$32, $C$9, 100%, $E$9)</f>
        <v>3.8028</v>
      </c>
      <c r="F52" s="11">
        <f>3.6856 * CHOOSE(CONTROL!$C$32, $C$9, 100%, $E$9)</f>
        <v>3.6856</v>
      </c>
      <c r="G52" s="11">
        <f>3.6892 * CHOOSE(CONTROL!$C$32, $C$9, 100%, $E$9)</f>
        <v>3.6892</v>
      </c>
      <c r="H52" s="11">
        <f>6.0012 * CHOOSE(CONTROL!$C$32, $C$9, 100%, $E$9)</f>
        <v>6.0011999999999999</v>
      </c>
      <c r="I52" s="11">
        <f>6.0048 * CHOOSE(CONTROL!$C$32, $C$9, 100%, $E$9)</f>
        <v>6.0048000000000004</v>
      </c>
      <c r="J52" s="11">
        <f>6.0012 * CHOOSE(CONTROL!$C$32, $C$9, 100%, $E$9)</f>
        <v>6.0011999999999999</v>
      </c>
      <c r="K52" s="11">
        <f>6.0048 * CHOOSE(CONTROL!$C$32, $C$9, 100%, $E$9)</f>
        <v>6.0048000000000004</v>
      </c>
      <c r="L52" s="11">
        <f>3.8028 * CHOOSE(CONTROL!$C$32, $C$9, 100%, $E$9)</f>
        <v>3.8028</v>
      </c>
      <c r="M52" s="11">
        <f>3.8064 * CHOOSE(CONTROL!$C$32, $C$9, 100%, $E$9)</f>
        <v>3.8064</v>
      </c>
      <c r="N52" s="11">
        <f>3.8028 * CHOOSE(CONTROL!$C$32, $C$9, 100%, $E$9)</f>
        <v>3.8028</v>
      </c>
      <c r="O52" s="11">
        <f>3.8064 * CHOOSE(CONTROL!$C$32, $C$9, 100%, $E$9)</f>
        <v>3.8064</v>
      </c>
      <c r="P52" s="14"/>
      <c r="Q52" s="11"/>
      <c r="R52" s="11"/>
    </row>
    <row r="53" spans="1:18" ht="15" x14ac:dyDescent="0.2">
      <c r="A53" s="13">
        <v>42461</v>
      </c>
      <c r="B53" s="9">
        <f>3.2637 * CHOOSE(CONTROL!$C$32, $C$9, 100%, $E$9)</f>
        <v>3.2637</v>
      </c>
      <c r="C53" s="9">
        <f>3.2637 * CHOOSE(CONTROL!$C$32, $C$9, 100%, $E$9)</f>
        <v>3.2637</v>
      </c>
      <c r="D53" s="9">
        <f>3.2648 * CHOOSE(CONTROL!$C$32, $C$9, 100%, $E$9)</f>
        <v>3.2648000000000001</v>
      </c>
      <c r="E53" s="11">
        <f>3.8942 * CHOOSE(CONTROL!$C$32, $C$9, 100%, $E$9)</f>
        <v>3.8942000000000001</v>
      </c>
      <c r="F53" s="11">
        <f>3.6856 * CHOOSE(CONTROL!$C$32, $C$9, 100%, $E$9)</f>
        <v>3.6856</v>
      </c>
      <c r="G53" s="11">
        <f>3.6892 * CHOOSE(CONTROL!$C$32, $C$9, 100%, $E$9)</f>
        <v>3.6892</v>
      </c>
      <c r="H53" s="11">
        <f>6.0137 * CHOOSE(CONTROL!$C$32, $C$9, 100%, $E$9)</f>
        <v>6.0137</v>
      </c>
      <c r="I53" s="11">
        <f>6.0173 * CHOOSE(CONTROL!$C$32, $C$9, 100%, $E$9)</f>
        <v>6.0172999999999996</v>
      </c>
      <c r="J53" s="11">
        <f>6.0137 * CHOOSE(CONTROL!$C$32, $C$9, 100%, $E$9)</f>
        <v>6.0137</v>
      </c>
      <c r="K53" s="11">
        <f>6.0173 * CHOOSE(CONTROL!$C$32, $C$9, 100%, $E$9)</f>
        <v>6.0172999999999996</v>
      </c>
      <c r="L53" s="11">
        <f>3.8942 * CHOOSE(CONTROL!$C$32, $C$9, 100%, $E$9)</f>
        <v>3.8942000000000001</v>
      </c>
      <c r="M53" s="11">
        <f>3.8978 * CHOOSE(CONTROL!$C$32, $C$9, 100%, $E$9)</f>
        <v>3.8978000000000002</v>
      </c>
      <c r="N53" s="11">
        <f>3.8942 * CHOOSE(CONTROL!$C$32, $C$9, 100%, $E$9)</f>
        <v>3.8942000000000001</v>
      </c>
      <c r="O53" s="11">
        <f>3.8978 * CHOOSE(CONTROL!$C$32, $C$9, 100%, $E$9)</f>
        <v>3.8978000000000002</v>
      </c>
      <c r="P53" s="14"/>
      <c r="Q53" s="11"/>
      <c r="R53" s="11"/>
    </row>
    <row r="54" spans="1:18" ht="15" x14ac:dyDescent="0.2">
      <c r="A54" s="13">
        <v>42491</v>
      </c>
      <c r="B54" s="9">
        <f>3.2722 * CHOOSE(CONTROL!$C$32, $C$9, 100%, $E$9)</f>
        <v>3.2722000000000002</v>
      </c>
      <c r="C54" s="9">
        <f>3.2722 * CHOOSE(CONTROL!$C$32, $C$9, 100%, $E$9)</f>
        <v>3.2722000000000002</v>
      </c>
      <c r="D54" s="9">
        <f>3.2738 * CHOOSE(CONTROL!$C$32, $C$9, 100%, $E$9)</f>
        <v>3.2738</v>
      </c>
      <c r="E54" s="11">
        <f>3.9546 * CHOOSE(CONTROL!$C$32, $C$9, 100%, $E$9)</f>
        <v>3.9546000000000001</v>
      </c>
      <c r="F54" s="11">
        <f>3.6856 * CHOOSE(CONTROL!$C$32, $C$9, 100%, $E$9)</f>
        <v>3.6856</v>
      </c>
      <c r="G54" s="11">
        <f>3.6909 * CHOOSE(CONTROL!$C$32, $C$9, 100%, $E$9)</f>
        <v>3.6909000000000001</v>
      </c>
      <c r="H54" s="11">
        <f>6.0263 * CHOOSE(CONTROL!$C$32, $C$9, 100%, $E$9)</f>
        <v>6.0263</v>
      </c>
      <c r="I54" s="11">
        <f>6.0316 * CHOOSE(CONTROL!$C$32, $C$9, 100%, $E$9)</f>
        <v>6.0316000000000001</v>
      </c>
      <c r="J54" s="11">
        <f>6.0263 * CHOOSE(CONTROL!$C$32, $C$9, 100%, $E$9)</f>
        <v>6.0263</v>
      </c>
      <c r="K54" s="11">
        <f>6.0316 * CHOOSE(CONTROL!$C$32, $C$9, 100%, $E$9)</f>
        <v>6.0316000000000001</v>
      </c>
      <c r="L54" s="11">
        <f>3.9546 * CHOOSE(CONTROL!$C$32, $C$9, 100%, $E$9)</f>
        <v>3.9546000000000001</v>
      </c>
      <c r="M54" s="11">
        <f>3.9599 * CHOOSE(CONTROL!$C$32, $C$9, 100%, $E$9)</f>
        <v>3.9599000000000002</v>
      </c>
      <c r="N54" s="11">
        <f>3.9546 * CHOOSE(CONTROL!$C$32, $C$9, 100%, $E$9)</f>
        <v>3.9546000000000001</v>
      </c>
      <c r="O54" s="11">
        <f>3.9599 * CHOOSE(CONTROL!$C$32, $C$9, 100%, $E$9)</f>
        <v>3.9599000000000002</v>
      </c>
      <c r="P54" s="14"/>
      <c r="Q54" s="11"/>
      <c r="R54" s="11"/>
    </row>
    <row r="55" spans="1:18" ht="15" x14ac:dyDescent="0.2">
      <c r="A55" s="13">
        <v>42522</v>
      </c>
      <c r="B55" s="9">
        <f>3.2786 * CHOOSE(CONTROL!$C$32, $C$9, 100%, $E$9)</f>
        <v>3.2786</v>
      </c>
      <c r="C55" s="9">
        <f>3.2786 * CHOOSE(CONTROL!$C$32, $C$9, 100%, $E$9)</f>
        <v>3.2786</v>
      </c>
      <c r="D55" s="9">
        <f>3.2801 * CHOOSE(CONTROL!$C$32, $C$9, 100%, $E$9)</f>
        <v>3.2801</v>
      </c>
      <c r="E55" s="11">
        <f>3.9458 * CHOOSE(CONTROL!$C$32, $C$9, 100%, $E$9)</f>
        <v>3.9458000000000002</v>
      </c>
      <c r="F55" s="11">
        <f>3.6856 * CHOOSE(CONTROL!$C$32, $C$9, 100%, $E$9)</f>
        <v>3.6856</v>
      </c>
      <c r="G55" s="11">
        <f>3.6909 * CHOOSE(CONTROL!$C$32, $C$9, 100%, $E$9)</f>
        <v>3.6909000000000001</v>
      </c>
      <c r="H55" s="11">
        <f>6.0388 * CHOOSE(CONTROL!$C$32, $C$9, 100%, $E$9)</f>
        <v>6.0388000000000002</v>
      </c>
      <c r="I55" s="11">
        <f>6.0441 * CHOOSE(CONTROL!$C$32, $C$9, 100%, $E$9)</f>
        <v>6.0441000000000003</v>
      </c>
      <c r="J55" s="11">
        <f>6.0388 * CHOOSE(CONTROL!$C$32, $C$9, 100%, $E$9)</f>
        <v>6.0388000000000002</v>
      </c>
      <c r="K55" s="11">
        <f>6.0441 * CHOOSE(CONTROL!$C$32, $C$9, 100%, $E$9)</f>
        <v>6.0441000000000003</v>
      </c>
      <c r="L55" s="11">
        <f>3.9458 * CHOOSE(CONTROL!$C$32, $C$9, 100%, $E$9)</f>
        <v>3.9458000000000002</v>
      </c>
      <c r="M55" s="11">
        <f>3.9511 * CHOOSE(CONTROL!$C$32, $C$9, 100%, $E$9)</f>
        <v>3.9510999999999998</v>
      </c>
      <c r="N55" s="11">
        <f>3.9458 * CHOOSE(CONTROL!$C$32, $C$9, 100%, $E$9)</f>
        <v>3.9458000000000002</v>
      </c>
      <c r="O55" s="11">
        <f>3.9511 * CHOOSE(CONTROL!$C$32, $C$9, 100%, $E$9)</f>
        <v>3.9510999999999998</v>
      </c>
      <c r="P55" s="14"/>
      <c r="Q55" s="11"/>
      <c r="R55" s="11"/>
    </row>
    <row r="56" spans="1:18" ht="15" x14ac:dyDescent="0.2">
      <c r="A56" s="13">
        <v>42552</v>
      </c>
      <c r="B56" s="9">
        <f>3.2759 * CHOOSE(CONTROL!$C$32, $C$9, 100%, $E$9)</f>
        <v>3.2759</v>
      </c>
      <c r="C56" s="9">
        <f>3.2759 * CHOOSE(CONTROL!$C$32, $C$9, 100%, $E$9)</f>
        <v>3.2759</v>
      </c>
      <c r="D56" s="9">
        <f>3.2774 * CHOOSE(CONTROL!$C$32, $C$9, 100%, $E$9)</f>
        <v>3.2774000000000001</v>
      </c>
      <c r="E56" s="11">
        <f>3.9546 * CHOOSE(CONTROL!$C$32, $C$9, 100%, $E$9)</f>
        <v>3.9546000000000001</v>
      </c>
      <c r="F56" s="11">
        <f>3.6856 * CHOOSE(CONTROL!$C$32, $C$9, 100%, $E$9)</f>
        <v>3.6856</v>
      </c>
      <c r="G56" s="11">
        <f>3.6909 * CHOOSE(CONTROL!$C$32, $C$9, 100%, $E$9)</f>
        <v>3.6909000000000001</v>
      </c>
      <c r="H56" s="11">
        <f>6.0514 * CHOOSE(CONTROL!$C$32, $C$9, 100%, $E$9)</f>
        <v>6.0514000000000001</v>
      </c>
      <c r="I56" s="11">
        <f>6.0567 * CHOOSE(CONTROL!$C$32, $C$9, 100%, $E$9)</f>
        <v>6.0567000000000002</v>
      </c>
      <c r="J56" s="11">
        <f>6.0514 * CHOOSE(CONTROL!$C$32, $C$9, 100%, $E$9)</f>
        <v>6.0514000000000001</v>
      </c>
      <c r="K56" s="11">
        <f>6.0567 * CHOOSE(CONTROL!$C$32, $C$9, 100%, $E$9)</f>
        <v>6.0567000000000002</v>
      </c>
      <c r="L56" s="11">
        <f>3.9546 * CHOOSE(CONTROL!$C$32, $C$9, 100%, $E$9)</f>
        <v>3.9546000000000001</v>
      </c>
      <c r="M56" s="11">
        <f>3.9599 * CHOOSE(CONTROL!$C$32, $C$9, 100%, $E$9)</f>
        <v>3.9599000000000002</v>
      </c>
      <c r="N56" s="11">
        <f>3.9546 * CHOOSE(CONTROL!$C$32, $C$9, 100%, $E$9)</f>
        <v>3.9546000000000001</v>
      </c>
      <c r="O56" s="11">
        <f>3.9599 * CHOOSE(CONTROL!$C$32, $C$9, 100%, $E$9)</f>
        <v>3.9599000000000002</v>
      </c>
      <c r="P56" s="14"/>
      <c r="Q56" s="14"/>
      <c r="R56" s="14"/>
    </row>
    <row r="57" spans="1:18" ht="15" x14ac:dyDescent="0.2">
      <c r="A57" s="13">
        <v>42583</v>
      </c>
      <c r="B57" s="9">
        <f>3.2911 * CHOOSE(CONTROL!$C$32, $C$9, 100%, $E$9)</f>
        <v>3.2911000000000001</v>
      </c>
      <c r="C57" s="9">
        <f>3.2911 * CHOOSE(CONTROL!$C$32, $C$9, 100%, $E$9)</f>
        <v>3.2911000000000001</v>
      </c>
      <c r="D57" s="9">
        <f>3.2926 * CHOOSE(CONTROL!$C$32, $C$9, 100%, $E$9)</f>
        <v>3.2926000000000002</v>
      </c>
      <c r="E57" s="11">
        <f>3.9996 * CHOOSE(CONTROL!$C$32, $C$9, 100%, $E$9)</f>
        <v>3.9996</v>
      </c>
      <c r="F57" s="11">
        <f>3.6856 * CHOOSE(CONTROL!$C$32, $C$9, 100%, $E$9)</f>
        <v>3.6856</v>
      </c>
      <c r="G57" s="11">
        <f>3.6909 * CHOOSE(CONTROL!$C$32, $C$9, 100%, $E$9)</f>
        <v>3.6909000000000001</v>
      </c>
      <c r="H57" s="11">
        <f>6.064 * CHOOSE(CONTROL!$C$32, $C$9, 100%, $E$9)</f>
        <v>6.0640000000000001</v>
      </c>
      <c r="I57" s="11">
        <f>6.0693 * CHOOSE(CONTROL!$C$32, $C$9, 100%, $E$9)</f>
        <v>6.0693000000000001</v>
      </c>
      <c r="J57" s="11">
        <f>6.064 * CHOOSE(CONTROL!$C$32, $C$9, 100%, $E$9)</f>
        <v>6.0640000000000001</v>
      </c>
      <c r="K57" s="11">
        <f>6.0693 * CHOOSE(CONTROL!$C$32, $C$9, 100%, $E$9)</f>
        <v>6.0693000000000001</v>
      </c>
      <c r="L57" s="11">
        <f>3.9996 * CHOOSE(CONTROL!$C$32, $C$9, 100%, $E$9)</f>
        <v>3.9996</v>
      </c>
      <c r="M57" s="11">
        <f>4.0049 * CHOOSE(CONTROL!$C$32, $C$9, 100%, $E$9)</f>
        <v>4.0049000000000001</v>
      </c>
      <c r="N57" s="11">
        <f>3.9996 * CHOOSE(CONTROL!$C$32, $C$9, 100%, $E$9)</f>
        <v>3.9996</v>
      </c>
      <c r="O57" s="11">
        <f>4.0049 * CHOOSE(CONTROL!$C$32, $C$9, 100%, $E$9)</f>
        <v>4.0049000000000001</v>
      </c>
      <c r="P57" s="14"/>
      <c r="Q57" s="14"/>
      <c r="R57" s="14"/>
    </row>
    <row r="58" spans="1:18" ht="15" x14ac:dyDescent="0.2">
      <c r="A58" s="13">
        <v>42614</v>
      </c>
      <c r="B58" s="9">
        <f>3.2883 * CHOOSE(CONTROL!$C$32, $C$9, 100%, $E$9)</f>
        <v>3.2883</v>
      </c>
      <c r="C58" s="9">
        <f>3.2883 * CHOOSE(CONTROL!$C$32, $C$9, 100%, $E$9)</f>
        <v>3.2883</v>
      </c>
      <c r="D58" s="9">
        <f>3.2898 * CHOOSE(CONTROL!$C$32, $C$9, 100%, $E$9)</f>
        <v>3.2898000000000001</v>
      </c>
      <c r="E58" s="11">
        <f>3.9458 * CHOOSE(CONTROL!$C$32, $C$9, 100%, $E$9)</f>
        <v>3.9458000000000002</v>
      </c>
      <c r="F58" s="11">
        <f>3.6856 * CHOOSE(CONTROL!$C$32, $C$9, 100%, $E$9)</f>
        <v>3.6856</v>
      </c>
      <c r="G58" s="11">
        <f>3.6909 * CHOOSE(CONTROL!$C$32, $C$9, 100%, $E$9)</f>
        <v>3.6909000000000001</v>
      </c>
      <c r="H58" s="11">
        <f>6.0766 * CHOOSE(CONTROL!$C$32, $C$9, 100%, $E$9)</f>
        <v>6.0766</v>
      </c>
      <c r="I58" s="11">
        <f>6.0819 * CHOOSE(CONTROL!$C$32, $C$9, 100%, $E$9)</f>
        <v>6.0819000000000001</v>
      </c>
      <c r="J58" s="11">
        <f>6.0766 * CHOOSE(CONTROL!$C$32, $C$9, 100%, $E$9)</f>
        <v>6.0766</v>
      </c>
      <c r="K58" s="11">
        <f>6.0819 * CHOOSE(CONTROL!$C$32, $C$9, 100%, $E$9)</f>
        <v>6.0819000000000001</v>
      </c>
      <c r="L58" s="11">
        <f>3.9458 * CHOOSE(CONTROL!$C$32, $C$9, 100%, $E$9)</f>
        <v>3.9458000000000002</v>
      </c>
      <c r="M58" s="11">
        <f>3.9511 * CHOOSE(CONTROL!$C$32, $C$9, 100%, $E$9)</f>
        <v>3.9510999999999998</v>
      </c>
      <c r="N58" s="11">
        <f>3.9458 * CHOOSE(CONTROL!$C$32, $C$9, 100%, $E$9)</f>
        <v>3.9458000000000002</v>
      </c>
      <c r="O58" s="11">
        <f>3.9511 * CHOOSE(CONTROL!$C$32, $C$9, 100%, $E$9)</f>
        <v>3.9510999999999998</v>
      </c>
      <c r="P58" s="14"/>
      <c r="Q58" s="14"/>
      <c r="R58" s="14"/>
    </row>
    <row r="59" spans="1:18" ht="15" x14ac:dyDescent="0.2">
      <c r="A59" s="13">
        <v>42644</v>
      </c>
      <c r="B59" s="9">
        <f>3.269 * CHOOSE(CONTROL!$C$32, $C$9, 100%, $E$9)</f>
        <v>3.2690000000000001</v>
      </c>
      <c r="C59" s="9">
        <f>3.269 * CHOOSE(CONTROL!$C$32, $C$9, 100%, $E$9)</f>
        <v>3.2690000000000001</v>
      </c>
      <c r="D59" s="9">
        <f>3.2701 * CHOOSE(CONTROL!$C$32, $C$9, 100%, $E$9)</f>
        <v>3.2700999999999998</v>
      </c>
      <c r="E59" s="11">
        <f>4.0035 * CHOOSE(CONTROL!$C$32, $C$9, 100%, $E$9)</f>
        <v>4.0034999999999998</v>
      </c>
      <c r="F59" s="11">
        <f>3.6856 * CHOOSE(CONTROL!$C$32, $C$9, 100%, $E$9)</f>
        <v>3.6856</v>
      </c>
      <c r="G59" s="11">
        <f>3.6892 * CHOOSE(CONTROL!$C$32, $C$9, 100%, $E$9)</f>
        <v>3.6892</v>
      </c>
      <c r="H59" s="11">
        <f>6.0893 * CHOOSE(CONTROL!$C$32, $C$9, 100%, $E$9)</f>
        <v>6.0892999999999997</v>
      </c>
      <c r="I59" s="11">
        <f>6.0929 * CHOOSE(CONTROL!$C$32, $C$9, 100%, $E$9)</f>
        <v>6.0929000000000002</v>
      </c>
      <c r="J59" s="11">
        <f>6.0893 * CHOOSE(CONTROL!$C$32, $C$9, 100%, $E$9)</f>
        <v>6.0892999999999997</v>
      </c>
      <c r="K59" s="11">
        <f>6.0929 * CHOOSE(CONTROL!$C$32, $C$9, 100%, $E$9)</f>
        <v>6.0929000000000002</v>
      </c>
      <c r="L59" s="11">
        <f>4.0035 * CHOOSE(CONTROL!$C$32, $C$9, 100%, $E$9)</f>
        <v>4.0034999999999998</v>
      </c>
      <c r="M59" s="11">
        <f>4.0071 * CHOOSE(CONTROL!$C$32, $C$9, 100%, $E$9)</f>
        <v>4.0071000000000003</v>
      </c>
      <c r="N59" s="11">
        <f>4.0035 * CHOOSE(CONTROL!$C$32, $C$9, 100%, $E$9)</f>
        <v>4.0034999999999998</v>
      </c>
      <c r="O59" s="11">
        <f>4.0071 * CHOOSE(CONTROL!$C$32, $C$9, 100%, $E$9)</f>
        <v>4.0071000000000003</v>
      </c>
      <c r="P59" s="14"/>
      <c r="Q59" s="14"/>
      <c r="R59" s="14"/>
    </row>
    <row r="60" spans="1:18" ht="15" x14ac:dyDescent="0.2">
      <c r="A60" s="13">
        <v>42675</v>
      </c>
      <c r="B60" s="9">
        <f>3.2806 * CHOOSE(CONTROL!$C$32, $C$9, 100%, $E$9)</f>
        <v>3.2806000000000002</v>
      </c>
      <c r="C60" s="9">
        <f>3.2806 * CHOOSE(CONTROL!$C$32, $C$9, 100%, $E$9)</f>
        <v>3.2806000000000002</v>
      </c>
      <c r="D60" s="9">
        <f>3.2817 * CHOOSE(CONTROL!$C$32, $C$9, 100%, $E$9)</f>
        <v>3.2816999999999998</v>
      </c>
      <c r="E60" s="11">
        <f>3.9579 * CHOOSE(CONTROL!$C$32, $C$9, 100%, $E$9)</f>
        <v>3.9579</v>
      </c>
      <c r="F60" s="11">
        <f>3.6856 * CHOOSE(CONTROL!$C$32, $C$9, 100%, $E$9)</f>
        <v>3.6856</v>
      </c>
      <c r="G60" s="11">
        <f>3.6892 * CHOOSE(CONTROL!$C$32, $C$9, 100%, $E$9)</f>
        <v>3.6892</v>
      </c>
      <c r="H60" s="11">
        <f>6.102 * CHOOSE(CONTROL!$C$32, $C$9, 100%, $E$9)</f>
        <v>6.1020000000000003</v>
      </c>
      <c r="I60" s="11">
        <f>6.1056 * CHOOSE(CONTROL!$C$32, $C$9, 100%, $E$9)</f>
        <v>6.1055999999999999</v>
      </c>
      <c r="J60" s="11">
        <f>6.102 * CHOOSE(CONTROL!$C$32, $C$9, 100%, $E$9)</f>
        <v>6.1020000000000003</v>
      </c>
      <c r="K60" s="11">
        <f>6.1056 * CHOOSE(CONTROL!$C$32, $C$9, 100%, $E$9)</f>
        <v>6.1055999999999999</v>
      </c>
      <c r="L60" s="11">
        <f>3.9579 * CHOOSE(CONTROL!$C$32, $C$9, 100%, $E$9)</f>
        <v>3.9579</v>
      </c>
      <c r="M60" s="11">
        <f>3.9615 * CHOOSE(CONTROL!$C$32, $C$9, 100%, $E$9)</f>
        <v>3.9615</v>
      </c>
      <c r="N60" s="11">
        <f>3.9579 * CHOOSE(CONTROL!$C$32, $C$9, 100%, $E$9)</f>
        <v>3.9579</v>
      </c>
      <c r="O60" s="11">
        <f>3.9615 * CHOOSE(CONTROL!$C$32, $C$9, 100%, $E$9)</f>
        <v>3.9615</v>
      </c>
      <c r="P60" s="14"/>
      <c r="Q60" s="14"/>
      <c r="R60" s="14"/>
    </row>
    <row r="61" spans="1:18" ht="15" x14ac:dyDescent="0.2">
      <c r="A61" s="13">
        <v>42705</v>
      </c>
      <c r="B61" s="9">
        <f>3.2808 * CHOOSE(CONTROL!$C$32, $C$9, 100%, $E$9)</f>
        <v>3.2808000000000002</v>
      </c>
      <c r="C61" s="9">
        <f>3.2808 * CHOOSE(CONTROL!$C$32, $C$9, 100%, $E$9)</f>
        <v>3.2808000000000002</v>
      </c>
      <c r="D61" s="9">
        <f>3.2819 * CHOOSE(CONTROL!$C$32, $C$9, 100%, $E$9)</f>
        <v>3.2818999999999998</v>
      </c>
      <c r="E61" s="11">
        <f>3.8968 * CHOOSE(CONTROL!$C$32, $C$9, 100%, $E$9)</f>
        <v>3.8967999999999998</v>
      </c>
      <c r="F61" s="11">
        <f>3.6856 * CHOOSE(CONTROL!$C$32, $C$9, 100%, $E$9)</f>
        <v>3.6856</v>
      </c>
      <c r="G61" s="11">
        <f>3.6892 * CHOOSE(CONTROL!$C$32, $C$9, 100%, $E$9)</f>
        <v>3.6892</v>
      </c>
      <c r="H61" s="11">
        <f>6.1147 * CHOOSE(CONTROL!$C$32, $C$9, 100%, $E$9)</f>
        <v>6.1147</v>
      </c>
      <c r="I61" s="11">
        <f>6.1183 * CHOOSE(CONTROL!$C$32, $C$9, 100%, $E$9)</f>
        <v>6.1182999999999996</v>
      </c>
      <c r="J61" s="11">
        <f>6.1147 * CHOOSE(CONTROL!$C$32, $C$9, 100%, $E$9)</f>
        <v>6.1147</v>
      </c>
      <c r="K61" s="11">
        <f>6.1183 * CHOOSE(CONTROL!$C$32, $C$9, 100%, $E$9)</f>
        <v>6.1182999999999996</v>
      </c>
      <c r="L61" s="11">
        <f>3.8968 * CHOOSE(CONTROL!$C$32, $C$9, 100%, $E$9)</f>
        <v>3.8967999999999998</v>
      </c>
      <c r="M61" s="11">
        <f>3.9004 * CHOOSE(CONTROL!$C$32, $C$9, 100%, $E$9)</f>
        <v>3.9003999999999999</v>
      </c>
      <c r="N61" s="11">
        <f>3.8968 * CHOOSE(CONTROL!$C$32, $C$9, 100%, $E$9)</f>
        <v>3.8967999999999998</v>
      </c>
      <c r="O61" s="11">
        <f>3.9004 * CHOOSE(CONTROL!$C$32, $C$9, 100%, $E$9)</f>
        <v>3.9003999999999999</v>
      </c>
      <c r="P61" s="14"/>
      <c r="Q61" s="14"/>
      <c r="R61" s="14"/>
    </row>
    <row r="62" spans="1:18" ht="15" x14ac:dyDescent="0.2">
      <c r="A62" s="13">
        <v>42736</v>
      </c>
      <c r="B62" s="9">
        <f>3.2762 * CHOOSE(CONTROL!$C$32, $C$9, 100%, $E$9)</f>
        <v>3.2761999999999998</v>
      </c>
      <c r="C62" s="9">
        <f>3.2762 * CHOOSE(CONTROL!$C$32, $C$9, 100%, $E$9)</f>
        <v>3.2761999999999998</v>
      </c>
      <c r="D62" s="9">
        <f>3.2773 * CHOOSE(CONTROL!$C$32, $C$9, 100%, $E$9)</f>
        <v>3.2772999999999999</v>
      </c>
      <c r="E62" s="11">
        <f>3.8371 * CHOOSE(CONTROL!$C$32, $C$9, 100%, $E$9)</f>
        <v>3.8371</v>
      </c>
      <c r="F62" s="11">
        <f>3.8371 * CHOOSE(CONTROL!$C$32, $C$9, 100%, $E$9)</f>
        <v>3.8371</v>
      </c>
      <c r="G62" s="11">
        <f>3.8407 * CHOOSE(CONTROL!$C$32, $C$9, 100%, $E$9)</f>
        <v>3.8407</v>
      </c>
      <c r="H62" s="11">
        <f>6.1274 * CHOOSE(CONTROL!$C$32, $C$9, 100%, $E$9)</f>
        <v>6.1273999999999997</v>
      </c>
      <c r="I62" s="11">
        <f>6.1311 * CHOOSE(CONTROL!$C$32, $C$9, 100%, $E$9)</f>
        <v>6.1311</v>
      </c>
      <c r="J62" s="11">
        <f>6.1274 * CHOOSE(CONTROL!$C$32, $C$9, 100%, $E$9)</f>
        <v>6.1273999999999997</v>
      </c>
      <c r="K62" s="11">
        <f>6.1311 * CHOOSE(CONTROL!$C$32, $C$9, 100%, $E$9)</f>
        <v>6.1311</v>
      </c>
      <c r="L62" s="11">
        <f>3.8371 * CHOOSE(CONTROL!$C$32, $C$9, 100%, $E$9)</f>
        <v>3.8371</v>
      </c>
      <c r="M62" s="11">
        <f>3.8407 * CHOOSE(CONTROL!$C$32, $C$9, 100%, $E$9)</f>
        <v>3.8407</v>
      </c>
      <c r="N62" s="11">
        <f>3.8371 * CHOOSE(CONTROL!$C$32, $C$9, 100%, $E$9)</f>
        <v>3.8371</v>
      </c>
      <c r="O62" s="11">
        <f>3.8407 * CHOOSE(CONTROL!$C$32, $C$9, 100%, $E$9)</f>
        <v>3.8407</v>
      </c>
      <c r="P62" s="14"/>
      <c r="Q62" s="14"/>
      <c r="R62" s="14"/>
    </row>
    <row r="63" spans="1:18" ht="15" x14ac:dyDescent="0.2">
      <c r="A63" s="13">
        <v>42767</v>
      </c>
      <c r="B63" s="9">
        <f>3.2814 * CHOOSE(CONTROL!$C$32, $C$9, 100%, $E$9)</f>
        <v>3.2814000000000001</v>
      </c>
      <c r="C63" s="9">
        <f>3.2814 * CHOOSE(CONTROL!$C$32, $C$9, 100%, $E$9)</f>
        <v>3.2814000000000001</v>
      </c>
      <c r="D63" s="9">
        <f>3.2825 * CHOOSE(CONTROL!$C$32, $C$9, 100%, $E$9)</f>
        <v>3.2825000000000002</v>
      </c>
      <c r="E63" s="11">
        <f>3.8351 * CHOOSE(CONTROL!$C$32, $C$9, 100%, $E$9)</f>
        <v>3.8351000000000002</v>
      </c>
      <c r="F63" s="11">
        <f>3.8351 * CHOOSE(CONTROL!$C$32, $C$9, 100%, $E$9)</f>
        <v>3.8351000000000002</v>
      </c>
      <c r="G63" s="11">
        <f>3.8387 * CHOOSE(CONTROL!$C$32, $C$9, 100%, $E$9)</f>
        <v>3.8386999999999998</v>
      </c>
      <c r="H63" s="11">
        <f>6.1402 * CHOOSE(CONTROL!$C$32, $C$9, 100%, $E$9)</f>
        <v>6.1402000000000001</v>
      </c>
      <c r="I63" s="11">
        <f>6.1438 * CHOOSE(CONTROL!$C$32, $C$9, 100%, $E$9)</f>
        <v>6.1437999999999997</v>
      </c>
      <c r="J63" s="11">
        <f>6.1402 * CHOOSE(CONTROL!$C$32, $C$9, 100%, $E$9)</f>
        <v>6.1402000000000001</v>
      </c>
      <c r="K63" s="11">
        <f>6.1438 * CHOOSE(CONTROL!$C$32, $C$9, 100%, $E$9)</f>
        <v>6.1437999999999997</v>
      </c>
      <c r="L63" s="11">
        <f>3.8351 * CHOOSE(CONTROL!$C$32, $C$9, 100%, $E$9)</f>
        <v>3.8351000000000002</v>
      </c>
      <c r="M63" s="11">
        <f>3.8387 * CHOOSE(CONTROL!$C$32, $C$9, 100%, $E$9)</f>
        <v>3.8386999999999998</v>
      </c>
      <c r="N63" s="11">
        <f>3.8351 * CHOOSE(CONTROL!$C$32, $C$9, 100%, $E$9)</f>
        <v>3.8351000000000002</v>
      </c>
      <c r="O63" s="11">
        <f>3.8387 * CHOOSE(CONTROL!$C$32, $C$9, 100%, $E$9)</f>
        <v>3.8386999999999998</v>
      </c>
      <c r="P63" s="14"/>
      <c r="Q63" s="14"/>
      <c r="R63" s="14"/>
    </row>
    <row r="64" spans="1:18" ht="15" x14ac:dyDescent="0.2">
      <c r="A64" s="13">
        <v>42795</v>
      </c>
      <c r="B64" s="9">
        <f>3.2785 * CHOOSE(CONTROL!$C$32, $C$9, 100%, $E$9)</f>
        <v>3.2785000000000002</v>
      </c>
      <c r="C64" s="9">
        <f>3.2785 * CHOOSE(CONTROL!$C$32, $C$9, 100%, $E$9)</f>
        <v>3.2785000000000002</v>
      </c>
      <c r="D64" s="9">
        <f>3.2796 * CHOOSE(CONTROL!$C$32, $C$9, 100%, $E$9)</f>
        <v>3.2795999999999998</v>
      </c>
      <c r="E64" s="11">
        <f>3.8331 * CHOOSE(CONTROL!$C$32, $C$9, 100%, $E$9)</f>
        <v>3.8331</v>
      </c>
      <c r="F64" s="11">
        <f>3.8331 * CHOOSE(CONTROL!$C$32, $C$9, 100%, $E$9)</f>
        <v>3.8331</v>
      </c>
      <c r="G64" s="11">
        <f>3.8367 * CHOOSE(CONTROL!$C$32, $C$9, 100%, $E$9)</f>
        <v>3.8367</v>
      </c>
      <c r="H64" s="11">
        <f>6.153 * CHOOSE(CONTROL!$C$32, $C$9, 100%, $E$9)</f>
        <v>6.1529999999999996</v>
      </c>
      <c r="I64" s="11">
        <f>6.1566 * CHOOSE(CONTROL!$C$32, $C$9, 100%, $E$9)</f>
        <v>6.1566000000000001</v>
      </c>
      <c r="J64" s="11">
        <f>6.153 * CHOOSE(CONTROL!$C$32, $C$9, 100%, $E$9)</f>
        <v>6.1529999999999996</v>
      </c>
      <c r="K64" s="11">
        <f>6.1566 * CHOOSE(CONTROL!$C$32, $C$9, 100%, $E$9)</f>
        <v>6.1566000000000001</v>
      </c>
      <c r="L64" s="11">
        <f>3.8331 * CHOOSE(CONTROL!$C$32, $C$9, 100%, $E$9)</f>
        <v>3.8331</v>
      </c>
      <c r="M64" s="11">
        <f>3.8367 * CHOOSE(CONTROL!$C$32, $C$9, 100%, $E$9)</f>
        <v>3.8367</v>
      </c>
      <c r="N64" s="11">
        <f>3.8331 * CHOOSE(CONTROL!$C$32, $C$9, 100%, $E$9)</f>
        <v>3.8331</v>
      </c>
      <c r="O64" s="11">
        <f>3.8367 * CHOOSE(CONTROL!$C$32, $C$9, 100%, $E$9)</f>
        <v>3.8367</v>
      </c>
      <c r="P64" s="14"/>
      <c r="Q64" s="14"/>
      <c r="R64" s="14"/>
    </row>
    <row r="65" spans="1:18" ht="15" x14ac:dyDescent="0.2">
      <c r="A65" s="13">
        <v>42826</v>
      </c>
      <c r="B65" s="9">
        <f>3.2725 * CHOOSE(CONTROL!$C$32, $C$9, 100%, $E$9)</f>
        <v>3.2725</v>
      </c>
      <c r="C65" s="9">
        <f>3.2725 * CHOOSE(CONTROL!$C$32, $C$9, 100%, $E$9)</f>
        <v>3.2725</v>
      </c>
      <c r="D65" s="9">
        <f>3.2735 * CHOOSE(CONTROL!$C$32, $C$9, 100%, $E$9)</f>
        <v>3.2734999999999999</v>
      </c>
      <c r="E65" s="11">
        <f>3.8305 * CHOOSE(CONTROL!$C$32, $C$9, 100%, $E$9)</f>
        <v>3.8304999999999998</v>
      </c>
      <c r="F65" s="11">
        <f>3.8305 * CHOOSE(CONTROL!$C$32, $C$9, 100%, $E$9)</f>
        <v>3.8304999999999998</v>
      </c>
      <c r="G65" s="11">
        <f>3.8342 * CHOOSE(CONTROL!$C$32, $C$9, 100%, $E$9)</f>
        <v>3.8342000000000001</v>
      </c>
      <c r="H65" s="11">
        <f>6.1658 * CHOOSE(CONTROL!$C$32, $C$9, 100%, $E$9)</f>
        <v>6.1657999999999999</v>
      </c>
      <c r="I65" s="11">
        <f>6.1694 * CHOOSE(CONTROL!$C$32, $C$9, 100%, $E$9)</f>
        <v>6.1694000000000004</v>
      </c>
      <c r="J65" s="11">
        <f>6.1658 * CHOOSE(CONTROL!$C$32, $C$9, 100%, $E$9)</f>
        <v>6.1657999999999999</v>
      </c>
      <c r="K65" s="11">
        <f>6.1694 * CHOOSE(CONTROL!$C$32, $C$9, 100%, $E$9)</f>
        <v>6.1694000000000004</v>
      </c>
      <c r="L65" s="11">
        <f>3.8305 * CHOOSE(CONTROL!$C$32, $C$9, 100%, $E$9)</f>
        <v>3.8304999999999998</v>
      </c>
      <c r="M65" s="11">
        <f>3.8342 * CHOOSE(CONTROL!$C$32, $C$9, 100%, $E$9)</f>
        <v>3.8342000000000001</v>
      </c>
      <c r="N65" s="11">
        <f>3.8305 * CHOOSE(CONTROL!$C$32, $C$9, 100%, $E$9)</f>
        <v>3.8304999999999998</v>
      </c>
      <c r="O65" s="11">
        <f>3.8342 * CHOOSE(CONTROL!$C$32, $C$9, 100%, $E$9)</f>
        <v>3.8342000000000001</v>
      </c>
      <c r="P65" s="14"/>
      <c r="Q65" s="14"/>
      <c r="R65" s="14"/>
    </row>
    <row r="66" spans="1:18" ht="15" x14ac:dyDescent="0.2">
      <c r="A66" s="13">
        <v>42856</v>
      </c>
      <c r="B66" s="9">
        <f>3.2809 * CHOOSE(CONTROL!$C$32, $C$9, 100%, $E$9)</f>
        <v>3.2808999999999999</v>
      </c>
      <c r="C66" s="9">
        <f>3.2809 * CHOOSE(CONTROL!$C$32, $C$9, 100%, $E$9)</f>
        <v>3.2808999999999999</v>
      </c>
      <c r="D66" s="9">
        <f>3.2825 * CHOOSE(CONTROL!$C$32, $C$9, 100%, $E$9)</f>
        <v>3.2825000000000002</v>
      </c>
      <c r="E66" s="11">
        <f>3.8305 * CHOOSE(CONTROL!$C$32, $C$9, 100%, $E$9)</f>
        <v>3.8304999999999998</v>
      </c>
      <c r="F66" s="11">
        <f>3.8305 * CHOOSE(CONTROL!$C$32, $C$9, 100%, $E$9)</f>
        <v>3.8304999999999998</v>
      </c>
      <c r="G66" s="11">
        <f>3.8358 * CHOOSE(CONTROL!$C$32, $C$9, 100%, $E$9)</f>
        <v>3.8357999999999999</v>
      </c>
      <c r="H66" s="11">
        <f>6.1787 * CHOOSE(CONTROL!$C$32, $C$9, 100%, $E$9)</f>
        <v>6.1787000000000001</v>
      </c>
      <c r="I66" s="11">
        <f>6.1839 * CHOOSE(CONTROL!$C$32, $C$9, 100%, $E$9)</f>
        <v>6.1839000000000004</v>
      </c>
      <c r="J66" s="11">
        <f>6.1787 * CHOOSE(CONTROL!$C$32, $C$9, 100%, $E$9)</f>
        <v>6.1787000000000001</v>
      </c>
      <c r="K66" s="11">
        <f>6.1839 * CHOOSE(CONTROL!$C$32, $C$9, 100%, $E$9)</f>
        <v>6.1839000000000004</v>
      </c>
      <c r="L66" s="11">
        <f>3.8305 * CHOOSE(CONTROL!$C$32, $C$9, 100%, $E$9)</f>
        <v>3.8304999999999998</v>
      </c>
      <c r="M66" s="11">
        <f>3.8358 * CHOOSE(CONTROL!$C$32, $C$9, 100%, $E$9)</f>
        <v>3.8357999999999999</v>
      </c>
      <c r="N66" s="11">
        <f>3.8305 * CHOOSE(CONTROL!$C$32, $C$9, 100%, $E$9)</f>
        <v>3.8304999999999998</v>
      </c>
      <c r="O66" s="11">
        <f>3.8358 * CHOOSE(CONTROL!$C$32, $C$9, 100%, $E$9)</f>
        <v>3.8357999999999999</v>
      </c>
      <c r="P66" s="14"/>
      <c r="Q66" s="14"/>
      <c r="R66" s="14"/>
    </row>
    <row r="67" spans="1:18" ht="15" x14ac:dyDescent="0.2">
      <c r="A67" s="13">
        <v>42887</v>
      </c>
      <c r="B67" s="9">
        <f>3.2871 * CHOOSE(CONTROL!$C$32, $C$9, 100%, $E$9)</f>
        <v>3.2871000000000001</v>
      </c>
      <c r="C67" s="9">
        <f>3.2871 * CHOOSE(CONTROL!$C$32, $C$9, 100%, $E$9)</f>
        <v>3.2871000000000001</v>
      </c>
      <c r="D67" s="9">
        <f>3.2887 * CHOOSE(CONTROL!$C$32, $C$9, 100%, $E$9)</f>
        <v>3.2887</v>
      </c>
      <c r="E67" s="11">
        <f>3.8345 * CHOOSE(CONTROL!$C$32, $C$9, 100%, $E$9)</f>
        <v>3.8344999999999998</v>
      </c>
      <c r="F67" s="11">
        <f>3.8345 * CHOOSE(CONTROL!$C$32, $C$9, 100%, $E$9)</f>
        <v>3.8344999999999998</v>
      </c>
      <c r="G67" s="11">
        <f>3.8398 * CHOOSE(CONTROL!$C$32, $C$9, 100%, $E$9)</f>
        <v>3.8397999999999999</v>
      </c>
      <c r="H67" s="11">
        <f>6.1915 * CHOOSE(CONTROL!$C$32, $C$9, 100%, $E$9)</f>
        <v>6.1914999999999996</v>
      </c>
      <c r="I67" s="11">
        <f>6.1968 * CHOOSE(CONTROL!$C$32, $C$9, 100%, $E$9)</f>
        <v>6.1967999999999996</v>
      </c>
      <c r="J67" s="11">
        <f>6.1915 * CHOOSE(CONTROL!$C$32, $C$9, 100%, $E$9)</f>
        <v>6.1914999999999996</v>
      </c>
      <c r="K67" s="11">
        <f>6.1968 * CHOOSE(CONTROL!$C$32, $C$9, 100%, $E$9)</f>
        <v>6.1967999999999996</v>
      </c>
      <c r="L67" s="11">
        <f>3.8345 * CHOOSE(CONTROL!$C$32, $C$9, 100%, $E$9)</f>
        <v>3.8344999999999998</v>
      </c>
      <c r="M67" s="11">
        <f>3.8398 * CHOOSE(CONTROL!$C$32, $C$9, 100%, $E$9)</f>
        <v>3.8397999999999999</v>
      </c>
      <c r="N67" s="11">
        <f>3.8345 * CHOOSE(CONTROL!$C$32, $C$9, 100%, $E$9)</f>
        <v>3.8344999999999998</v>
      </c>
      <c r="O67" s="11">
        <f>3.8398 * CHOOSE(CONTROL!$C$32, $C$9, 100%, $E$9)</f>
        <v>3.8397999999999999</v>
      </c>
      <c r="P67" s="14"/>
      <c r="Q67" s="14"/>
      <c r="R67" s="14"/>
    </row>
    <row r="68" spans="1:18" ht="15" x14ac:dyDescent="0.2">
      <c r="A68" s="13">
        <v>42917</v>
      </c>
      <c r="B68" s="9">
        <f>3.3418 * CHOOSE(CONTROL!$C$32, $C$9, 100%, $E$9)</f>
        <v>3.3418000000000001</v>
      </c>
      <c r="C68" s="9">
        <f>3.3418 * CHOOSE(CONTROL!$C$32, $C$9, 100%, $E$9)</f>
        <v>3.3418000000000001</v>
      </c>
      <c r="D68" s="9">
        <f>3.3434 * CHOOSE(CONTROL!$C$32, $C$9, 100%, $E$9)</f>
        <v>3.3433999999999999</v>
      </c>
      <c r="E68" s="11">
        <f>3.9255 * CHOOSE(CONTROL!$C$32, $C$9, 100%, $E$9)</f>
        <v>3.9255</v>
      </c>
      <c r="F68" s="11">
        <f>3.9255 * CHOOSE(CONTROL!$C$32, $C$9, 100%, $E$9)</f>
        <v>3.9255</v>
      </c>
      <c r="G68" s="11">
        <f>3.9308 * CHOOSE(CONTROL!$C$32, $C$9, 100%, $E$9)</f>
        <v>3.9308000000000001</v>
      </c>
      <c r="H68" s="11">
        <f>6.2044 * CHOOSE(CONTROL!$C$32, $C$9, 100%, $E$9)</f>
        <v>6.2043999999999997</v>
      </c>
      <c r="I68" s="11">
        <f>6.2097 * CHOOSE(CONTROL!$C$32, $C$9, 100%, $E$9)</f>
        <v>6.2096999999999998</v>
      </c>
      <c r="J68" s="11">
        <f>6.2044 * CHOOSE(CONTROL!$C$32, $C$9, 100%, $E$9)</f>
        <v>6.2043999999999997</v>
      </c>
      <c r="K68" s="11">
        <f>6.2097 * CHOOSE(CONTROL!$C$32, $C$9, 100%, $E$9)</f>
        <v>6.2096999999999998</v>
      </c>
      <c r="L68" s="11">
        <f>3.9255 * CHOOSE(CONTROL!$C$32, $C$9, 100%, $E$9)</f>
        <v>3.9255</v>
      </c>
      <c r="M68" s="11">
        <f>3.9308 * CHOOSE(CONTROL!$C$32, $C$9, 100%, $E$9)</f>
        <v>3.9308000000000001</v>
      </c>
      <c r="N68" s="11">
        <f>3.9255 * CHOOSE(CONTROL!$C$32, $C$9, 100%, $E$9)</f>
        <v>3.9255</v>
      </c>
      <c r="O68" s="11">
        <f>3.9308 * CHOOSE(CONTROL!$C$32, $C$9, 100%, $E$9)</f>
        <v>3.9308000000000001</v>
      </c>
      <c r="P68" s="14"/>
      <c r="Q68" s="14"/>
      <c r="R68" s="14"/>
    </row>
    <row r="69" spans="1:18" ht="15" x14ac:dyDescent="0.2">
      <c r="A69" s="13">
        <v>42948</v>
      </c>
      <c r="B69" s="9">
        <f>3.357 * CHOOSE(CONTROL!$C$32, $C$9, 100%, $E$9)</f>
        <v>3.3570000000000002</v>
      </c>
      <c r="C69" s="9">
        <f>3.357 * CHOOSE(CONTROL!$C$32, $C$9, 100%, $E$9)</f>
        <v>3.3570000000000002</v>
      </c>
      <c r="D69" s="9">
        <f>3.3586 * CHOOSE(CONTROL!$C$32, $C$9, 100%, $E$9)</f>
        <v>3.3586</v>
      </c>
      <c r="E69" s="11">
        <f>3.9299 * CHOOSE(CONTROL!$C$32, $C$9, 100%, $E$9)</f>
        <v>3.9298999999999999</v>
      </c>
      <c r="F69" s="11">
        <f>3.9299 * CHOOSE(CONTROL!$C$32, $C$9, 100%, $E$9)</f>
        <v>3.9298999999999999</v>
      </c>
      <c r="G69" s="11">
        <f>3.9352 * CHOOSE(CONTROL!$C$32, $C$9, 100%, $E$9)</f>
        <v>3.9352</v>
      </c>
      <c r="H69" s="11">
        <f>6.2174 * CHOOSE(CONTROL!$C$32, $C$9, 100%, $E$9)</f>
        <v>6.2173999999999996</v>
      </c>
      <c r="I69" s="11">
        <f>6.2226 * CHOOSE(CONTROL!$C$32, $C$9, 100%, $E$9)</f>
        <v>6.2225999999999999</v>
      </c>
      <c r="J69" s="11">
        <f>6.2174 * CHOOSE(CONTROL!$C$32, $C$9, 100%, $E$9)</f>
        <v>6.2173999999999996</v>
      </c>
      <c r="K69" s="11">
        <f>6.2226 * CHOOSE(CONTROL!$C$32, $C$9, 100%, $E$9)</f>
        <v>6.2225999999999999</v>
      </c>
      <c r="L69" s="11">
        <f>3.9299 * CHOOSE(CONTROL!$C$32, $C$9, 100%, $E$9)</f>
        <v>3.9298999999999999</v>
      </c>
      <c r="M69" s="11">
        <f>3.9352 * CHOOSE(CONTROL!$C$32, $C$9, 100%, $E$9)</f>
        <v>3.9352</v>
      </c>
      <c r="N69" s="11">
        <f>3.9299 * CHOOSE(CONTROL!$C$32, $C$9, 100%, $E$9)</f>
        <v>3.9298999999999999</v>
      </c>
      <c r="O69" s="11">
        <f>3.9352 * CHOOSE(CONTROL!$C$32, $C$9, 100%, $E$9)</f>
        <v>3.9352</v>
      </c>
      <c r="P69" s="14"/>
      <c r="Q69" s="14"/>
      <c r="R69" s="14"/>
    </row>
    <row r="70" spans="1:18" ht="15" x14ac:dyDescent="0.2">
      <c r="A70" s="13">
        <v>42979</v>
      </c>
      <c r="B70" s="9">
        <f>3.354 * CHOOSE(CONTROL!$C$32, $C$9, 100%, $E$9)</f>
        <v>3.3540000000000001</v>
      </c>
      <c r="C70" s="9">
        <f>3.354 * CHOOSE(CONTROL!$C$32, $C$9, 100%, $E$9)</f>
        <v>3.3540000000000001</v>
      </c>
      <c r="D70" s="9">
        <f>3.3556 * CHOOSE(CONTROL!$C$32, $C$9, 100%, $E$9)</f>
        <v>3.3555999999999999</v>
      </c>
      <c r="E70" s="11">
        <f>3.9279 * CHOOSE(CONTROL!$C$32, $C$9, 100%, $E$9)</f>
        <v>3.9279000000000002</v>
      </c>
      <c r="F70" s="11">
        <f>3.9279 * CHOOSE(CONTROL!$C$32, $C$9, 100%, $E$9)</f>
        <v>3.9279000000000002</v>
      </c>
      <c r="G70" s="11">
        <f>3.9332 * CHOOSE(CONTROL!$C$32, $C$9, 100%, $E$9)</f>
        <v>3.9331999999999998</v>
      </c>
      <c r="H70" s="11">
        <f>6.2303 * CHOOSE(CONTROL!$C$32, $C$9, 100%, $E$9)</f>
        <v>6.2302999999999997</v>
      </c>
      <c r="I70" s="11">
        <f>6.2356 * CHOOSE(CONTROL!$C$32, $C$9, 100%, $E$9)</f>
        <v>6.2355999999999998</v>
      </c>
      <c r="J70" s="11">
        <f>6.2303 * CHOOSE(CONTROL!$C$32, $C$9, 100%, $E$9)</f>
        <v>6.2302999999999997</v>
      </c>
      <c r="K70" s="11">
        <f>6.2356 * CHOOSE(CONTROL!$C$32, $C$9, 100%, $E$9)</f>
        <v>6.2355999999999998</v>
      </c>
      <c r="L70" s="11">
        <f>3.9279 * CHOOSE(CONTROL!$C$32, $C$9, 100%, $E$9)</f>
        <v>3.9279000000000002</v>
      </c>
      <c r="M70" s="11">
        <f>3.9332 * CHOOSE(CONTROL!$C$32, $C$9, 100%, $E$9)</f>
        <v>3.9331999999999998</v>
      </c>
      <c r="N70" s="11">
        <f>3.9279 * CHOOSE(CONTROL!$C$32, $C$9, 100%, $E$9)</f>
        <v>3.9279000000000002</v>
      </c>
      <c r="O70" s="11">
        <f>3.9332 * CHOOSE(CONTROL!$C$32, $C$9, 100%, $E$9)</f>
        <v>3.9331999999999998</v>
      </c>
      <c r="P70" s="14"/>
      <c r="Q70" s="14"/>
      <c r="R70" s="14"/>
    </row>
    <row r="71" spans="1:18" ht="15" x14ac:dyDescent="0.2">
      <c r="A71" s="13">
        <v>43009</v>
      </c>
      <c r="B71" s="9">
        <f>3.3348 * CHOOSE(CONTROL!$C$32, $C$9, 100%, $E$9)</f>
        <v>3.3348</v>
      </c>
      <c r="C71" s="9">
        <f>3.3348 * CHOOSE(CONTROL!$C$32, $C$9, 100%, $E$9)</f>
        <v>3.3348</v>
      </c>
      <c r="D71" s="9">
        <f>3.3358 * CHOOSE(CONTROL!$C$32, $C$9, 100%, $E$9)</f>
        <v>3.3357999999999999</v>
      </c>
      <c r="E71" s="11">
        <f>3.9209 * CHOOSE(CONTROL!$C$32, $C$9, 100%, $E$9)</f>
        <v>3.9209000000000001</v>
      </c>
      <c r="F71" s="11">
        <f>3.9209 * CHOOSE(CONTROL!$C$32, $C$9, 100%, $E$9)</f>
        <v>3.9209000000000001</v>
      </c>
      <c r="G71" s="11">
        <f>3.9245 * CHOOSE(CONTROL!$C$32, $C$9, 100%, $E$9)</f>
        <v>3.9245000000000001</v>
      </c>
      <c r="H71" s="11">
        <f>6.2433 * CHOOSE(CONTROL!$C$32, $C$9, 100%, $E$9)</f>
        <v>6.2432999999999996</v>
      </c>
      <c r="I71" s="11">
        <f>6.2469 * CHOOSE(CONTROL!$C$32, $C$9, 100%, $E$9)</f>
        <v>6.2469000000000001</v>
      </c>
      <c r="J71" s="11">
        <f>6.2433 * CHOOSE(CONTROL!$C$32, $C$9, 100%, $E$9)</f>
        <v>6.2432999999999996</v>
      </c>
      <c r="K71" s="11">
        <f>6.2469 * CHOOSE(CONTROL!$C$32, $C$9, 100%, $E$9)</f>
        <v>6.2469000000000001</v>
      </c>
      <c r="L71" s="11">
        <f>3.9209 * CHOOSE(CONTROL!$C$32, $C$9, 100%, $E$9)</f>
        <v>3.9209000000000001</v>
      </c>
      <c r="M71" s="11">
        <f>3.9245 * CHOOSE(CONTROL!$C$32, $C$9, 100%, $E$9)</f>
        <v>3.9245000000000001</v>
      </c>
      <c r="N71" s="11">
        <f>3.9209 * CHOOSE(CONTROL!$C$32, $C$9, 100%, $E$9)</f>
        <v>3.9209000000000001</v>
      </c>
      <c r="O71" s="11">
        <f>3.9245 * CHOOSE(CONTROL!$C$32, $C$9, 100%, $E$9)</f>
        <v>3.9245000000000001</v>
      </c>
      <c r="P71" s="14"/>
      <c r="Q71" s="14"/>
      <c r="R71" s="14"/>
    </row>
    <row r="72" spans="1:18" ht="15" x14ac:dyDescent="0.2">
      <c r="A72" s="13">
        <v>43040</v>
      </c>
      <c r="B72" s="9">
        <f>3.3463 * CHOOSE(CONTROL!$C$32, $C$9, 100%, $E$9)</f>
        <v>3.3462999999999998</v>
      </c>
      <c r="C72" s="9">
        <f>3.3463 * CHOOSE(CONTROL!$C$32, $C$9, 100%, $E$9)</f>
        <v>3.3462999999999998</v>
      </c>
      <c r="D72" s="9">
        <f>3.3474 * CHOOSE(CONTROL!$C$32, $C$9, 100%, $E$9)</f>
        <v>3.3473999999999999</v>
      </c>
      <c r="E72" s="11">
        <f>3.9229 * CHOOSE(CONTROL!$C$32, $C$9, 100%, $E$9)</f>
        <v>3.9228999999999998</v>
      </c>
      <c r="F72" s="11">
        <f>3.9229 * CHOOSE(CONTROL!$C$32, $C$9, 100%, $E$9)</f>
        <v>3.9228999999999998</v>
      </c>
      <c r="G72" s="11">
        <f>3.9265 * CHOOSE(CONTROL!$C$32, $C$9, 100%, $E$9)</f>
        <v>3.9264999999999999</v>
      </c>
      <c r="H72" s="11">
        <f>6.2563 * CHOOSE(CONTROL!$C$32, $C$9, 100%, $E$9)</f>
        <v>6.2563000000000004</v>
      </c>
      <c r="I72" s="11">
        <f>6.2599 * CHOOSE(CONTROL!$C$32, $C$9, 100%, $E$9)</f>
        <v>6.2599</v>
      </c>
      <c r="J72" s="11">
        <f>6.2563 * CHOOSE(CONTROL!$C$32, $C$9, 100%, $E$9)</f>
        <v>6.2563000000000004</v>
      </c>
      <c r="K72" s="11">
        <f>6.2599 * CHOOSE(CONTROL!$C$32, $C$9, 100%, $E$9)</f>
        <v>6.2599</v>
      </c>
      <c r="L72" s="11">
        <f>3.9229 * CHOOSE(CONTROL!$C$32, $C$9, 100%, $E$9)</f>
        <v>3.9228999999999998</v>
      </c>
      <c r="M72" s="11">
        <f>3.9265 * CHOOSE(CONTROL!$C$32, $C$9, 100%, $E$9)</f>
        <v>3.9264999999999999</v>
      </c>
      <c r="N72" s="11">
        <f>3.9229 * CHOOSE(CONTROL!$C$32, $C$9, 100%, $E$9)</f>
        <v>3.9228999999999998</v>
      </c>
      <c r="O72" s="11">
        <f>3.9265 * CHOOSE(CONTROL!$C$32, $C$9, 100%, $E$9)</f>
        <v>3.9264999999999999</v>
      </c>
      <c r="P72" s="14"/>
      <c r="Q72" s="14"/>
      <c r="R72" s="14"/>
    </row>
    <row r="73" spans="1:18" ht="15" x14ac:dyDescent="0.2">
      <c r="A73" s="13">
        <v>43070</v>
      </c>
      <c r="B73" s="9">
        <f>3.3463 * CHOOSE(CONTROL!$C$32, $C$9, 100%, $E$9)</f>
        <v>3.3462999999999998</v>
      </c>
      <c r="C73" s="9">
        <f>3.3463 * CHOOSE(CONTROL!$C$32, $C$9, 100%, $E$9)</f>
        <v>3.3462999999999998</v>
      </c>
      <c r="D73" s="9">
        <f>3.3474 * CHOOSE(CONTROL!$C$32, $C$9, 100%, $E$9)</f>
        <v>3.3473999999999999</v>
      </c>
      <c r="E73" s="11">
        <f>3.9229 * CHOOSE(CONTROL!$C$32, $C$9, 100%, $E$9)</f>
        <v>3.9228999999999998</v>
      </c>
      <c r="F73" s="11">
        <f>3.9229 * CHOOSE(CONTROL!$C$32, $C$9, 100%, $E$9)</f>
        <v>3.9228999999999998</v>
      </c>
      <c r="G73" s="11">
        <f>3.9265 * CHOOSE(CONTROL!$C$32, $C$9, 100%, $E$9)</f>
        <v>3.9264999999999999</v>
      </c>
      <c r="H73" s="11">
        <f>6.2693 * CHOOSE(CONTROL!$C$32, $C$9, 100%, $E$9)</f>
        <v>6.2693000000000003</v>
      </c>
      <c r="I73" s="11">
        <f>6.2729 * CHOOSE(CONTROL!$C$32, $C$9, 100%, $E$9)</f>
        <v>6.2728999999999999</v>
      </c>
      <c r="J73" s="11">
        <f>6.2693 * CHOOSE(CONTROL!$C$32, $C$9, 100%, $E$9)</f>
        <v>6.2693000000000003</v>
      </c>
      <c r="K73" s="11">
        <f>6.2729 * CHOOSE(CONTROL!$C$32, $C$9, 100%, $E$9)</f>
        <v>6.2728999999999999</v>
      </c>
      <c r="L73" s="11">
        <f>3.9229 * CHOOSE(CONTROL!$C$32, $C$9, 100%, $E$9)</f>
        <v>3.9228999999999998</v>
      </c>
      <c r="M73" s="11">
        <f>3.9265 * CHOOSE(CONTROL!$C$32, $C$9, 100%, $E$9)</f>
        <v>3.9264999999999999</v>
      </c>
      <c r="N73" s="11">
        <f>3.9229 * CHOOSE(CONTROL!$C$32, $C$9, 100%, $E$9)</f>
        <v>3.9228999999999998</v>
      </c>
      <c r="O73" s="11">
        <f>3.9265 * CHOOSE(CONTROL!$C$32, $C$9, 100%, $E$9)</f>
        <v>3.9264999999999999</v>
      </c>
      <c r="P73" s="14"/>
      <c r="Q73" s="14"/>
      <c r="R73" s="14"/>
    </row>
    <row r="74" spans="1:18" ht="15" x14ac:dyDescent="0.2">
      <c r="A74" s="13">
        <v>43101</v>
      </c>
      <c r="B74" s="9">
        <f>3.3747 * CHOOSE(CONTROL!$C$32, $C$9, 100%, $E$9)</f>
        <v>3.3746999999999998</v>
      </c>
      <c r="C74" s="9">
        <f>3.3747 * CHOOSE(CONTROL!$C$32, $C$9, 100%, $E$9)</f>
        <v>3.3746999999999998</v>
      </c>
      <c r="D74" s="9">
        <f>3.3758 * CHOOSE(CONTROL!$C$32, $C$9, 100%, $E$9)</f>
        <v>3.3757999999999999</v>
      </c>
      <c r="E74" s="11">
        <f>3.9606 * CHOOSE(CONTROL!$C$32, $C$9, 100%, $E$9)</f>
        <v>3.9605999999999999</v>
      </c>
      <c r="F74" s="11">
        <f>3.9606 * CHOOSE(CONTROL!$C$32, $C$9, 100%, $E$9)</f>
        <v>3.9605999999999999</v>
      </c>
      <c r="G74" s="11">
        <f>3.9642 * CHOOSE(CONTROL!$C$32, $C$9, 100%, $E$9)</f>
        <v>3.9641999999999999</v>
      </c>
      <c r="H74" s="11">
        <f>6.2824 * CHOOSE(CONTROL!$C$32, $C$9, 100%, $E$9)</f>
        <v>6.2824</v>
      </c>
      <c r="I74" s="11">
        <f>6.286 * CHOOSE(CONTROL!$C$32, $C$9, 100%, $E$9)</f>
        <v>6.2859999999999996</v>
      </c>
      <c r="J74" s="11">
        <f>6.2824 * CHOOSE(CONTROL!$C$32, $C$9, 100%, $E$9)</f>
        <v>6.2824</v>
      </c>
      <c r="K74" s="11">
        <f>6.286 * CHOOSE(CONTROL!$C$32, $C$9, 100%, $E$9)</f>
        <v>6.2859999999999996</v>
      </c>
      <c r="L74" s="11">
        <f>3.9606 * CHOOSE(CONTROL!$C$32, $C$9, 100%, $E$9)</f>
        <v>3.9605999999999999</v>
      </c>
      <c r="M74" s="11">
        <f>3.9642 * CHOOSE(CONTROL!$C$32, $C$9, 100%, $E$9)</f>
        <v>3.9641999999999999</v>
      </c>
      <c r="N74" s="11">
        <f>3.9606 * CHOOSE(CONTROL!$C$32, $C$9, 100%, $E$9)</f>
        <v>3.9605999999999999</v>
      </c>
      <c r="O74" s="11">
        <f>3.9642 * CHOOSE(CONTROL!$C$32, $C$9, 100%, $E$9)</f>
        <v>3.9641999999999999</v>
      </c>
      <c r="P74" s="14"/>
      <c r="Q74" s="14"/>
      <c r="R74" s="14"/>
    </row>
    <row r="75" spans="1:18" ht="15" x14ac:dyDescent="0.2">
      <c r="A75" s="13">
        <v>43132</v>
      </c>
      <c r="B75" s="9">
        <f>3.3805 * CHOOSE(CONTROL!$C$32, $C$9, 100%, $E$9)</f>
        <v>3.3805000000000001</v>
      </c>
      <c r="C75" s="9">
        <f>3.3805 * CHOOSE(CONTROL!$C$32, $C$9, 100%, $E$9)</f>
        <v>3.3805000000000001</v>
      </c>
      <c r="D75" s="9">
        <f>3.3816 * CHOOSE(CONTROL!$C$32, $C$9, 100%, $E$9)</f>
        <v>3.3816000000000002</v>
      </c>
      <c r="E75" s="11">
        <f>3.9586 * CHOOSE(CONTROL!$C$32, $C$9, 100%, $E$9)</f>
        <v>3.9586000000000001</v>
      </c>
      <c r="F75" s="11">
        <f>3.9586 * CHOOSE(CONTROL!$C$32, $C$9, 100%, $E$9)</f>
        <v>3.9586000000000001</v>
      </c>
      <c r="G75" s="11">
        <f>3.9622 * CHOOSE(CONTROL!$C$32, $C$9, 100%, $E$9)</f>
        <v>3.9622000000000002</v>
      </c>
      <c r="H75" s="11">
        <f>6.2955 * CHOOSE(CONTROL!$C$32, $C$9, 100%, $E$9)</f>
        <v>6.2954999999999997</v>
      </c>
      <c r="I75" s="11">
        <f>6.2991 * CHOOSE(CONTROL!$C$32, $C$9, 100%, $E$9)</f>
        <v>6.2991000000000001</v>
      </c>
      <c r="J75" s="11">
        <f>6.2955 * CHOOSE(CONTROL!$C$32, $C$9, 100%, $E$9)</f>
        <v>6.2954999999999997</v>
      </c>
      <c r="K75" s="11">
        <f>6.2991 * CHOOSE(CONTROL!$C$32, $C$9, 100%, $E$9)</f>
        <v>6.2991000000000001</v>
      </c>
      <c r="L75" s="11">
        <f>3.9586 * CHOOSE(CONTROL!$C$32, $C$9, 100%, $E$9)</f>
        <v>3.9586000000000001</v>
      </c>
      <c r="M75" s="11">
        <f>3.9622 * CHOOSE(CONTROL!$C$32, $C$9, 100%, $E$9)</f>
        <v>3.9622000000000002</v>
      </c>
      <c r="N75" s="11">
        <f>3.9586 * CHOOSE(CONTROL!$C$32, $C$9, 100%, $E$9)</f>
        <v>3.9586000000000001</v>
      </c>
      <c r="O75" s="11">
        <f>3.9622 * CHOOSE(CONTROL!$C$32, $C$9, 100%, $E$9)</f>
        <v>3.9622000000000002</v>
      </c>
      <c r="P75" s="14"/>
      <c r="Q75" s="14"/>
      <c r="R75" s="14"/>
    </row>
    <row r="76" spans="1:18" ht="15" x14ac:dyDescent="0.2">
      <c r="A76" s="13">
        <v>43160</v>
      </c>
      <c r="B76" s="9">
        <f>3.3774 * CHOOSE(CONTROL!$C$32, $C$9, 100%, $E$9)</f>
        <v>3.3774000000000002</v>
      </c>
      <c r="C76" s="9">
        <f>3.3774 * CHOOSE(CONTROL!$C$32, $C$9, 100%, $E$9)</f>
        <v>3.3774000000000002</v>
      </c>
      <c r="D76" s="9">
        <f>3.3785 * CHOOSE(CONTROL!$C$32, $C$9, 100%, $E$9)</f>
        <v>3.3784999999999998</v>
      </c>
      <c r="E76" s="11">
        <f>3.9566 * CHOOSE(CONTROL!$C$32, $C$9, 100%, $E$9)</f>
        <v>3.9565999999999999</v>
      </c>
      <c r="F76" s="11">
        <f>3.9566 * CHOOSE(CONTROL!$C$32, $C$9, 100%, $E$9)</f>
        <v>3.9565999999999999</v>
      </c>
      <c r="G76" s="11">
        <f>3.9602 * CHOOSE(CONTROL!$C$32, $C$9, 100%, $E$9)</f>
        <v>3.9601999999999999</v>
      </c>
      <c r="H76" s="11">
        <f>6.3086 * CHOOSE(CONTROL!$C$32, $C$9, 100%, $E$9)</f>
        <v>6.3086000000000002</v>
      </c>
      <c r="I76" s="11">
        <f>6.3122 * CHOOSE(CONTROL!$C$32, $C$9, 100%, $E$9)</f>
        <v>6.3121999999999998</v>
      </c>
      <c r="J76" s="11">
        <f>6.3086 * CHOOSE(CONTROL!$C$32, $C$9, 100%, $E$9)</f>
        <v>6.3086000000000002</v>
      </c>
      <c r="K76" s="11">
        <f>6.3122 * CHOOSE(CONTROL!$C$32, $C$9, 100%, $E$9)</f>
        <v>6.3121999999999998</v>
      </c>
      <c r="L76" s="11">
        <f>3.9566 * CHOOSE(CONTROL!$C$32, $C$9, 100%, $E$9)</f>
        <v>3.9565999999999999</v>
      </c>
      <c r="M76" s="11">
        <f>3.9602 * CHOOSE(CONTROL!$C$32, $C$9, 100%, $E$9)</f>
        <v>3.9601999999999999</v>
      </c>
      <c r="N76" s="11">
        <f>3.9566 * CHOOSE(CONTROL!$C$32, $C$9, 100%, $E$9)</f>
        <v>3.9565999999999999</v>
      </c>
      <c r="O76" s="11">
        <f>3.9602 * CHOOSE(CONTROL!$C$32, $C$9, 100%, $E$9)</f>
        <v>3.9601999999999999</v>
      </c>
      <c r="P76" s="14"/>
      <c r="Q76" s="14"/>
      <c r="R76" s="14"/>
    </row>
    <row r="77" spans="1:18" ht="15" x14ac:dyDescent="0.2">
      <c r="A77" s="13">
        <v>43191</v>
      </c>
      <c r="B77" s="9">
        <f>3.3713 * CHOOSE(CONTROL!$C$32, $C$9, 100%, $E$9)</f>
        <v>3.3713000000000002</v>
      </c>
      <c r="C77" s="9">
        <f>3.3713 * CHOOSE(CONTROL!$C$32, $C$9, 100%, $E$9)</f>
        <v>3.3713000000000002</v>
      </c>
      <c r="D77" s="9">
        <f>3.3724 * CHOOSE(CONTROL!$C$32, $C$9, 100%, $E$9)</f>
        <v>3.3723999999999998</v>
      </c>
      <c r="E77" s="11">
        <f>3.9541 * CHOOSE(CONTROL!$C$32, $C$9, 100%, $E$9)</f>
        <v>3.9540999999999999</v>
      </c>
      <c r="F77" s="11">
        <f>3.9541 * CHOOSE(CONTROL!$C$32, $C$9, 100%, $E$9)</f>
        <v>3.9540999999999999</v>
      </c>
      <c r="G77" s="11">
        <f>3.9577 * CHOOSE(CONTROL!$C$32, $C$9, 100%, $E$9)</f>
        <v>3.9577</v>
      </c>
      <c r="H77" s="11">
        <f>6.3217 * CHOOSE(CONTROL!$C$32, $C$9, 100%, $E$9)</f>
        <v>6.3216999999999999</v>
      </c>
      <c r="I77" s="11">
        <f>6.3254 * CHOOSE(CONTROL!$C$32, $C$9, 100%, $E$9)</f>
        <v>6.3254000000000001</v>
      </c>
      <c r="J77" s="11">
        <f>6.3217 * CHOOSE(CONTROL!$C$32, $C$9, 100%, $E$9)</f>
        <v>6.3216999999999999</v>
      </c>
      <c r="K77" s="11">
        <f>6.3254 * CHOOSE(CONTROL!$C$32, $C$9, 100%, $E$9)</f>
        <v>6.3254000000000001</v>
      </c>
      <c r="L77" s="11">
        <f>3.9541 * CHOOSE(CONTROL!$C$32, $C$9, 100%, $E$9)</f>
        <v>3.9540999999999999</v>
      </c>
      <c r="M77" s="11">
        <f>3.9577 * CHOOSE(CONTROL!$C$32, $C$9, 100%, $E$9)</f>
        <v>3.9577</v>
      </c>
      <c r="N77" s="11">
        <f>3.9541 * CHOOSE(CONTROL!$C$32, $C$9, 100%, $E$9)</f>
        <v>3.9540999999999999</v>
      </c>
      <c r="O77" s="11">
        <f>3.9577 * CHOOSE(CONTROL!$C$32, $C$9, 100%, $E$9)</f>
        <v>3.9577</v>
      </c>
      <c r="P77" s="14"/>
      <c r="Q77" s="14"/>
      <c r="R77" s="14"/>
    </row>
    <row r="78" spans="1:18" ht="15" x14ac:dyDescent="0.2">
      <c r="A78" s="13">
        <v>43221</v>
      </c>
      <c r="B78" s="9">
        <f>3.38 * CHOOSE(CONTROL!$C$32, $C$9, 100%, $E$9)</f>
        <v>3.38</v>
      </c>
      <c r="C78" s="9">
        <f>3.38 * CHOOSE(CONTROL!$C$32, $C$9, 100%, $E$9)</f>
        <v>3.38</v>
      </c>
      <c r="D78" s="9">
        <f>3.3815 * CHOOSE(CONTROL!$C$32, $C$9, 100%, $E$9)</f>
        <v>3.3815</v>
      </c>
      <c r="E78" s="11">
        <f>3.9541 * CHOOSE(CONTROL!$C$32, $C$9, 100%, $E$9)</f>
        <v>3.9540999999999999</v>
      </c>
      <c r="F78" s="11">
        <f>3.9541 * CHOOSE(CONTROL!$C$32, $C$9, 100%, $E$9)</f>
        <v>3.9540999999999999</v>
      </c>
      <c r="G78" s="11">
        <f>3.9594 * CHOOSE(CONTROL!$C$32, $C$9, 100%, $E$9)</f>
        <v>3.9594</v>
      </c>
      <c r="H78" s="11">
        <f>6.3349 * CHOOSE(CONTROL!$C$32, $C$9, 100%, $E$9)</f>
        <v>6.3349000000000002</v>
      </c>
      <c r="I78" s="11">
        <f>6.3402 * CHOOSE(CONTROL!$C$32, $C$9, 100%, $E$9)</f>
        <v>6.3402000000000003</v>
      </c>
      <c r="J78" s="11">
        <f>6.3349 * CHOOSE(CONTROL!$C$32, $C$9, 100%, $E$9)</f>
        <v>6.3349000000000002</v>
      </c>
      <c r="K78" s="11">
        <f>6.3402 * CHOOSE(CONTROL!$C$32, $C$9, 100%, $E$9)</f>
        <v>6.3402000000000003</v>
      </c>
      <c r="L78" s="11">
        <f>3.9541 * CHOOSE(CONTROL!$C$32, $C$9, 100%, $E$9)</f>
        <v>3.9540999999999999</v>
      </c>
      <c r="M78" s="11">
        <f>3.9594 * CHOOSE(CONTROL!$C$32, $C$9, 100%, $E$9)</f>
        <v>3.9594</v>
      </c>
      <c r="N78" s="11">
        <f>3.9541 * CHOOSE(CONTROL!$C$32, $C$9, 100%, $E$9)</f>
        <v>3.9540999999999999</v>
      </c>
      <c r="O78" s="11">
        <f>3.9594 * CHOOSE(CONTROL!$C$32, $C$9, 100%, $E$9)</f>
        <v>3.9594</v>
      </c>
      <c r="P78" s="14"/>
      <c r="Q78" s="14"/>
      <c r="R78" s="14"/>
    </row>
    <row r="79" spans="1:18" ht="15" x14ac:dyDescent="0.2">
      <c r="A79" s="13">
        <v>43252</v>
      </c>
      <c r="B79" s="9">
        <f>3.386 * CHOOSE(CONTROL!$C$32, $C$9, 100%, $E$9)</f>
        <v>3.3860000000000001</v>
      </c>
      <c r="C79" s="9">
        <f>3.386 * CHOOSE(CONTROL!$C$32, $C$9, 100%, $E$9)</f>
        <v>3.3860000000000001</v>
      </c>
      <c r="D79" s="9">
        <f>3.3876 * CHOOSE(CONTROL!$C$32, $C$9, 100%, $E$9)</f>
        <v>3.3875999999999999</v>
      </c>
      <c r="E79" s="11">
        <f>3.9581 * CHOOSE(CONTROL!$C$32, $C$9, 100%, $E$9)</f>
        <v>3.9581</v>
      </c>
      <c r="F79" s="11">
        <f>3.9581 * CHOOSE(CONTROL!$C$32, $C$9, 100%, $E$9)</f>
        <v>3.9581</v>
      </c>
      <c r="G79" s="11">
        <f>3.9634 * CHOOSE(CONTROL!$C$32, $C$9, 100%, $E$9)</f>
        <v>3.9634</v>
      </c>
      <c r="H79" s="11">
        <f>6.3481 * CHOOSE(CONTROL!$C$32, $C$9, 100%, $E$9)</f>
        <v>6.3480999999999996</v>
      </c>
      <c r="I79" s="11">
        <f>6.3534 * CHOOSE(CONTROL!$C$32, $C$9, 100%, $E$9)</f>
        <v>6.3533999999999997</v>
      </c>
      <c r="J79" s="11">
        <f>6.3481 * CHOOSE(CONTROL!$C$32, $C$9, 100%, $E$9)</f>
        <v>6.3480999999999996</v>
      </c>
      <c r="K79" s="11">
        <f>6.3534 * CHOOSE(CONTROL!$C$32, $C$9, 100%, $E$9)</f>
        <v>6.3533999999999997</v>
      </c>
      <c r="L79" s="11">
        <f>3.9581 * CHOOSE(CONTROL!$C$32, $C$9, 100%, $E$9)</f>
        <v>3.9581</v>
      </c>
      <c r="M79" s="11">
        <f>3.9634 * CHOOSE(CONTROL!$C$32, $C$9, 100%, $E$9)</f>
        <v>3.9634</v>
      </c>
      <c r="N79" s="11">
        <f>3.9581 * CHOOSE(CONTROL!$C$32, $C$9, 100%, $E$9)</f>
        <v>3.9581</v>
      </c>
      <c r="O79" s="11">
        <f>3.9634 * CHOOSE(CONTROL!$C$32, $C$9, 100%, $E$9)</f>
        <v>3.9634</v>
      </c>
      <c r="P79" s="14"/>
      <c r="Q79" s="14"/>
      <c r="R79" s="14"/>
    </row>
    <row r="80" spans="1:18" ht="15" x14ac:dyDescent="0.2">
      <c r="A80" s="13">
        <v>43282</v>
      </c>
      <c r="B80" s="9">
        <f>3.4206 * CHOOSE(CONTROL!$C$32, $C$9, 100%, $E$9)</f>
        <v>3.4205999999999999</v>
      </c>
      <c r="C80" s="9">
        <f>3.4206 * CHOOSE(CONTROL!$C$32, $C$9, 100%, $E$9)</f>
        <v>3.4205999999999999</v>
      </c>
      <c r="D80" s="9">
        <f>3.4222 * CHOOSE(CONTROL!$C$32, $C$9, 100%, $E$9)</f>
        <v>3.4222000000000001</v>
      </c>
      <c r="E80" s="11">
        <f>4.0414 * CHOOSE(CONTROL!$C$32, $C$9, 100%, $E$9)</f>
        <v>4.0414000000000003</v>
      </c>
      <c r="F80" s="11">
        <f>4.0414 * CHOOSE(CONTROL!$C$32, $C$9, 100%, $E$9)</f>
        <v>4.0414000000000003</v>
      </c>
      <c r="G80" s="11">
        <f>4.0467 * CHOOSE(CONTROL!$C$32, $C$9, 100%, $E$9)</f>
        <v>4.0467000000000004</v>
      </c>
      <c r="H80" s="11">
        <f>6.3613 * CHOOSE(CONTROL!$C$32, $C$9, 100%, $E$9)</f>
        <v>6.3613</v>
      </c>
      <c r="I80" s="11">
        <f>6.3666 * CHOOSE(CONTROL!$C$32, $C$9, 100%, $E$9)</f>
        <v>6.3666</v>
      </c>
      <c r="J80" s="11">
        <f>6.3613 * CHOOSE(CONTROL!$C$32, $C$9, 100%, $E$9)</f>
        <v>6.3613</v>
      </c>
      <c r="K80" s="11">
        <f>6.3666 * CHOOSE(CONTROL!$C$32, $C$9, 100%, $E$9)</f>
        <v>6.3666</v>
      </c>
      <c r="L80" s="11">
        <f>4.0414 * CHOOSE(CONTROL!$C$32, $C$9, 100%, $E$9)</f>
        <v>4.0414000000000003</v>
      </c>
      <c r="M80" s="11">
        <f>4.0467 * CHOOSE(CONTROL!$C$32, $C$9, 100%, $E$9)</f>
        <v>4.0467000000000004</v>
      </c>
      <c r="N80" s="11">
        <f>4.0414 * CHOOSE(CONTROL!$C$32, $C$9, 100%, $E$9)</f>
        <v>4.0414000000000003</v>
      </c>
      <c r="O80" s="11">
        <f>4.0467 * CHOOSE(CONTROL!$C$32, $C$9, 100%, $E$9)</f>
        <v>4.0467000000000004</v>
      </c>
      <c r="P80" s="14"/>
      <c r="Q80" s="14"/>
      <c r="R80" s="14"/>
    </row>
    <row r="81" spans="1:18" ht="15" x14ac:dyDescent="0.2">
      <c r="A81" s="13">
        <v>43313</v>
      </c>
      <c r="B81" s="9">
        <f>3.4359 * CHOOSE(CONTROL!$C$32, $C$9, 100%, $E$9)</f>
        <v>3.4359000000000002</v>
      </c>
      <c r="C81" s="9">
        <f>3.4359 * CHOOSE(CONTROL!$C$32, $C$9, 100%, $E$9)</f>
        <v>3.4359000000000002</v>
      </c>
      <c r="D81" s="9">
        <f>3.4375 * CHOOSE(CONTROL!$C$32, $C$9, 100%, $E$9)</f>
        <v>3.4375</v>
      </c>
      <c r="E81" s="11">
        <f>4.0458 * CHOOSE(CONTROL!$C$32, $C$9, 100%, $E$9)</f>
        <v>4.0457999999999998</v>
      </c>
      <c r="F81" s="11">
        <f>4.0458 * CHOOSE(CONTROL!$C$32, $C$9, 100%, $E$9)</f>
        <v>4.0457999999999998</v>
      </c>
      <c r="G81" s="11">
        <f>4.0511 * CHOOSE(CONTROL!$C$32, $C$9, 100%, $E$9)</f>
        <v>4.0510999999999999</v>
      </c>
      <c r="H81" s="11">
        <f>6.3746 * CHOOSE(CONTROL!$C$32, $C$9, 100%, $E$9)</f>
        <v>6.3746</v>
      </c>
      <c r="I81" s="11">
        <f>6.3799 * CHOOSE(CONTROL!$C$32, $C$9, 100%, $E$9)</f>
        <v>6.3799000000000001</v>
      </c>
      <c r="J81" s="11">
        <f>6.3746 * CHOOSE(CONTROL!$C$32, $C$9, 100%, $E$9)</f>
        <v>6.3746</v>
      </c>
      <c r="K81" s="11">
        <f>6.3799 * CHOOSE(CONTROL!$C$32, $C$9, 100%, $E$9)</f>
        <v>6.3799000000000001</v>
      </c>
      <c r="L81" s="11">
        <f>4.0458 * CHOOSE(CONTROL!$C$32, $C$9, 100%, $E$9)</f>
        <v>4.0457999999999998</v>
      </c>
      <c r="M81" s="11">
        <f>4.0511 * CHOOSE(CONTROL!$C$32, $C$9, 100%, $E$9)</f>
        <v>4.0510999999999999</v>
      </c>
      <c r="N81" s="11">
        <f>4.0458 * CHOOSE(CONTROL!$C$32, $C$9, 100%, $E$9)</f>
        <v>4.0457999999999998</v>
      </c>
      <c r="O81" s="11">
        <f>4.0511 * CHOOSE(CONTROL!$C$32, $C$9, 100%, $E$9)</f>
        <v>4.0510999999999999</v>
      </c>
      <c r="P81" s="14"/>
      <c r="Q81" s="14"/>
      <c r="R81" s="14"/>
    </row>
    <row r="82" spans="1:18" ht="15" x14ac:dyDescent="0.2">
      <c r="A82" s="13">
        <v>43344</v>
      </c>
      <c r="B82" s="9">
        <f>3.4328 * CHOOSE(CONTROL!$C$32, $C$9, 100%, $E$9)</f>
        <v>3.4327999999999999</v>
      </c>
      <c r="C82" s="9">
        <f>3.4328 * CHOOSE(CONTROL!$C$32, $C$9, 100%, $E$9)</f>
        <v>3.4327999999999999</v>
      </c>
      <c r="D82" s="9">
        <f>3.4344 * CHOOSE(CONTROL!$C$32, $C$9, 100%, $E$9)</f>
        <v>3.4344000000000001</v>
      </c>
      <c r="E82" s="11">
        <f>4.0438 * CHOOSE(CONTROL!$C$32, $C$9, 100%, $E$9)</f>
        <v>4.0438000000000001</v>
      </c>
      <c r="F82" s="11">
        <f>4.0438 * CHOOSE(CONTROL!$C$32, $C$9, 100%, $E$9)</f>
        <v>4.0438000000000001</v>
      </c>
      <c r="G82" s="11">
        <f>4.0491 * CHOOSE(CONTROL!$C$32, $C$9, 100%, $E$9)</f>
        <v>4.0491000000000001</v>
      </c>
      <c r="H82" s="11">
        <f>6.3879 * CHOOSE(CONTROL!$C$32, $C$9, 100%, $E$9)</f>
        <v>6.3879000000000001</v>
      </c>
      <c r="I82" s="11">
        <f>6.3932 * CHOOSE(CONTROL!$C$32, $C$9, 100%, $E$9)</f>
        <v>6.3932000000000002</v>
      </c>
      <c r="J82" s="11">
        <f>6.3879 * CHOOSE(CONTROL!$C$32, $C$9, 100%, $E$9)</f>
        <v>6.3879000000000001</v>
      </c>
      <c r="K82" s="11">
        <f>6.3932 * CHOOSE(CONTROL!$C$32, $C$9, 100%, $E$9)</f>
        <v>6.3932000000000002</v>
      </c>
      <c r="L82" s="11">
        <f>4.0438 * CHOOSE(CONTROL!$C$32, $C$9, 100%, $E$9)</f>
        <v>4.0438000000000001</v>
      </c>
      <c r="M82" s="11">
        <f>4.0491 * CHOOSE(CONTROL!$C$32, $C$9, 100%, $E$9)</f>
        <v>4.0491000000000001</v>
      </c>
      <c r="N82" s="11">
        <f>4.0438 * CHOOSE(CONTROL!$C$32, $C$9, 100%, $E$9)</f>
        <v>4.0438000000000001</v>
      </c>
      <c r="O82" s="11">
        <f>4.0491 * CHOOSE(CONTROL!$C$32, $C$9, 100%, $E$9)</f>
        <v>4.0491000000000001</v>
      </c>
      <c r="P82" s="14"/>
      <c r="Q82" s="14"/>
      <c r="R82" s="14"/>
    </row>
    <row r="83" spans="1:18" ht="15" x14ac:dyDescent="0.2">
      <c r="A83" s="13">
        <v>43374</v>
      </c>
      <c r="B83" s="9">
        <f>3.4135 * CHOOSE(CONTROL!$C$32, $C$9, 100%, $E$9)</f>
        <v>3.4135</v>
      </c>
      <c r="C83" s="9">
        <f>3.4135 * CHOOSE(CONTROL!$C$32, $C$9, 100%, $E$9)</f>
        <v>3.4135</v>
      </c>
      <c r="D83" s="9">
        <f>3.4146 * CHOOSE(CONTROL!$C$32, $C$9, 100%, $E$9)</f>
        <v>3.4146000000000001</v>
      </c>
      <c r="E83" s="11">
        <f>4.0369 * CHOOSE(CONTROL!$C$32, $C$9, 100%, $E$9)</f>
        <v>4.0369000000000002</v>
      </c>
      <c r="F83" s="11">
        <f>4.0369 * CHOOSE(CONTROL!$C$32, $C$9, 100%, $E$9)</f>
        <v>4.0369000000000002</v>
      </c>
      <c r="G83" s="11">
        <f>4.0406 * CHOOSE(CONTROL!$C$32, $C$9, 100%, $E$9)</f>
        <v>4.0406000000000004</v>
      </c>
      <c r="H83" s="11">
        <f>6.4012 * CHOOSE(CONTROL!$C$32, $C$9, 100%, $E$9)</f>
        <v>6.4012000000000002</v>
      </c>
      <c r="I83" s="11">
        <f>6.4048 * CHOOSE(CONTROL!$C$32, $C$9, 100%, $E$9)</f>
        <v>6.4047999999999998</v>
      </c>
      <c r="J83" s="11">
        <f>6.4012 * CHOOSE(CONTROL!$C$32, $C$9, 100%, $E$9)</f>
        <v>6.4012000000000002</v>
      </c>
      <c r="K83" s="11">
        <f>6.4048 * CHOOSE(CONTROL!$C$32, $C$9, 100%, $E$9)</f>
        <v>6.4047999999999998</v>
      </c>
      <c r="L83" s="11">
        <f>4.0369 * CHOOSE(CONTROL!$C$32, $C$9, 100%, $E$9)</f>
        <v>4.0369000000000002</v>
      </c>
      <c r="M83" s="11">
        <f>4.0406 * CHOOSE(CONTROL!$C$32, $C$9, 100%, $E$9)</f>
        <v>4.0406000000000004</v>
      </c>
      <c r="N83" s="11">
        <f>4.0369 * CHOOSE(CONTROL!$C$32, $C$9, 100%, $E$9)</f>
        <v>4.0369000000000002</v>
      </c>
      <c r="O83" s="11">
        <f>4.0406 * CHOOSE(CONTROL!$C$32, $C$9, 100%, $E$9)</f>
        <v>4.0406000000000004</v>
      </c>
      <c r="P83" s="14"/>
      <c r="Q83" s="14"/>
      <c r="R83" s="14"/>
    </row>
    <row r="84" spans="1:18" ht="15" x14ac:dyDescent="0.2">
      <c r="A84" s="13">
        <v>43405</v>
      </c>
      <c r="B84" s="9">
        <f>3.4253 * CHOOSE(CONTROL!$C$32, $C$9, 100%, $E$9)</f>
        <v>3.4253</v>
      </c>
      <c r="C84" s="9">
        <f>3.4253 * CHOOSE(CONTROL!$C$32, $C$9, 100%, $E$9)</f>
        <v>3.4253</v>
      </c>
      <c r="D84" s="9">
        <f>3.4263 * CHOOSE(CONTROL!$C$32, $C$9, 100%, $E$9)</f>
        <v>3.4262999999999999</v>
      </c>
      <c r="E84" s="11">
        <f>4.0389 * CHOOSE(CONTROL!$C$32, $C$9, 100%, $E$9)</f>
        <v>4.0388999999999999</v>
      </c>
      <c r="F84" s="11">
        <f>4.0389 * CHOOSE(CONTROL!$C$32, $C$9, 100%, $E$9)</f>
        <v>4.0388999999999999</v>
      </c>
      <c r="G84" s="11">
        <f>4.0426 * CHOOSE(CONTROL!$C$32, $C$9, 100%, $E$9)</f>
        <v>4.0426000000000002</v>
      </c>
      <c r="H84" s="11">
        <f>6.4145 * CHOOSE(CONTROL!$C$32, $C$9, 100%, $E$9)</f>
        <v>6.4145000000000003</v>
      </c>
      <c r="I84" s="11">
        <f>6.4181 * CHOOSE(CONTROL!$C$32, $C$9, 100%, $E$9)</f>
        <v>6.4180999999999999</v>
      </c>
      <c r="J84" s="11">
        <f>6.4145 * CHOOSE(CONTROL!$C$32, $C$9, 100%, $E$9)</f>
        <v>6.4145000000000003</v>
      </c>
      <c r="K84" s="11">
        <f>6.4181 * CHOOSE(CONTROL!$C$32, $C$9, 100%, $E$9)</f>
        <v>6.4180999999999999</v>
      </c>
      <c r="L84" s="11">
        <f>4.0389 * CHOOSE(CONTROL!$C$32, $C$9, 100%, $E$9)</f>
        <v>4.0388999999999999</v>
      </c>
      <c r="M84" s="11">
        <f>4.0426 * CHOOSE(CONTROL!$C$32, $C$9, 100%, $E$9)</f>
        <v>4.0426000000000002</v>
      </c>
      <c r="N84" s="11">
        <f>4.0389 * CHOOSE(CONTROL!$C$32, $C$9, 100%, $E$9)</f>
        <v>4.0388999999999999</v>
      </c>
      <c r="O84" s="11">
        <f>4.0426 * CHOOSE(CONTROL!$C$32, $C$9, 100%, $E$9)</f>
        <v>4.0426000000000002</v>
      </c>
      <c r="P84" s="14"/>
      <c r="Q84" s="14"/>
      <c r="R84" s="14"/>
    </row>
    <row r="85" spans="1:18" ht="15" x14ac:dyDescent="0.2">
      <c r="A85" s="13">
        <v>43435</v>
      </c>
      <c r="B85" s="9">
        <f>3.4251 * CHOOSE(CONTROL!$C$32, $C$9, 100%, $E$9)</f>
        <v>3.4251</v>
      </c>
      <c r="C85" s="9">
        <f>3.4251 * CHOOSE(CONTROL!$C$32, $C$9, 100%, $E$9)</f>
        <v>3.4251</v>
      </c>
      <c r="D85" s="9">
        <f>3.4262 * CHOOSE(CONTROL!$C$32, $C$9, 100%, $E$9)</f>
        <v>3.4262000000000001</v>
      </c>
      <c r="E85" s="11">
        <f>4.0389 * CHOOSE(CONTROL!$C$32, $C$9, 100%, $E$9)</f>
        <v>4.0388999999999999</v>
      </c>
      <c r="F85" s="11">
        <f>4.0389 * CHOOSE(CONTROL!$C$32, $C$9, 100%, $E$9)</f>
        <v>4.0388999999999999</v>
      </c>
      <c r="G85" s="11">
        <f>4.0426 * CHOOSE(CONTROL!$C$32, $C$9, 100%, $E$9)</f>
        <v>4.0426000000000002</v>
      </c>
      <c r="H85" s="11">
        <f>6.4279 * CHOOSE(CONTROL!$C$32, $C$9, 100%, $E$9)</f>
        <v>6.4279000000000002</v>
      </c>
      <c r="I85" s="11">
        <f>6.4315 * CHOOSE(CONTROL!$C$32, $C$9, 100%, $E$9)</f>
        <v>6.4314999999999998</v>
      </c>
      <c r="J85" s="11">
        <f>6.4279 * CHOOSE(CONTROL!$C$32, $C$9, 100%, $E$9)</f>
        <v>6.4279000000000002</v>
      </c>
      <c r="K85" s="11">
        <f>6.4315 * CHOOSE(CONTROL!$C$32, $C$9, 100%, $E$9)</f>
        <v>6.4314999999999998</v>
      </c>
      <c r="L85" s="11">
        <f>4.0389 * CHOOSE(CONTROL!$C$32, $C$9, 100%, $E$9)</f>
        <v>4.0388999999999999</v>
      </c>
      <c r="M85" s="11">
        <f>4.0426 * CHOOSE(CONTROL!$C$32, $C$9, 100%, $E$9)</f>
        <v>4.0426000000000002</v>
      </c>
      <c r="N85" s="11">
        <f>4.0389 * CHOOSE(CONTROL!$C$32, $C$9, 100%, $E$9)</f>
        <v>4.0388999999999999</v>
      </c>
      <c r="O85" s="11">
        <f>4.0426 * CHOOSE(CONTROL!$C$32, $C$9, 100%, $E$9)</f>
        <v>4.0426000000000002</v>
      </c>
      <c r="P85" s="14"/>
      <c r="Q85" s="14"/>
      <c r="R85" s="14"/>
    </row>
    <row r="86" spans="1:18" ht="15" x14ac:dyDescent="0.2">
      <c r="A86" s="13">
        <v>43466</v>
      </c>
      <c r="B86" s="9">
        <f>3.206 * CHOOSE(CONTROL!$C$32, $C$9, 100%, $E$9)</f>
        <v>3.206</v>
      </c>
      <c r="C86" s="9">
        <f>3.206 * CHOOSE(CONTROL!$C$32, $C$9, 100%, $E$9)</f>
        <v>3.206</v>
      </c>
      <c r="D86" s="9">
        <f>3.2071 * CHOOSE(CONTROL!$C$32, $C$9, 100%, $E$9)</f>
        <v>3.2071000000000001</v>
      </c>
      <c r="E86" s="11">
        <f>4.0646 * CHOOSE(CONTROL!$C$32, $C$9, 100%, $E$9)</f>
        <v>4.0646000000000004</v>
      </c>
      <c r="F86" s="11">
        <f>4.0646 * CHOOSE(CONTROL!$C$32, $C$9, 100%, $E$9)</f>
        <v>4.0646000000000004</v>
      </c>
      <c r="G86" s="11">
        <f>4.0682 * CHOOSE(CONTROL!$C$32, $C$9, 100%, $E$9)</f>
        <v>4.0682</v>
      </c>
      <c r="H86" s="11">
        <f>6.4413 * CHOOSE(CONTROL!$C$32, $C$9, 100%, $E$9)</f>
        <v>6.4413</v>
      </c>
      <c r="I86" s="11">
        <f>6.4449 * CHOOSE(CONTROL!$C$32, $C$9, 100%, $E$9)</f>
        <v>6.4448999999999996</v>
      </c>
      <c r="J86" s="11">
        <f>6.4413 * CHOOSE(CONTROL!$C$32, $C$9, 100%, $E$9)</f>
        <v>6.4413</v>
      </c>
      <c r="K86" s="11">
        <f>6.4449 * CHOOSE(CONTROL!$C$32, $C$9, 100%, $E$9)</f>
        <v>6.4448999999999996</v>
      </c>
      <c r="L86" s="11">
        <f>4.0646 * CHOOSE(CONTROL!$C$32, $C$9, 100%, $E$9)</f>
        <v>4.0646000000000004</v>
      </c>
      <c r="M86" s="11">
        <f>4.0682 * CHOOSE(CONTROL!$C$32, $C$9, 100%, $E$9)</f>
        <v>4.0682</v>
      </c>
      <c r="N86" s="11">
        <f>4.0646 * CHOOSE(CONTROL!$C$32, $C$9, 100%, $E$9)</f>
        <v>4.0646000000000004</v>
      </c>
      <c r="O86" s="11">
        <f>4.0682 * CHOOSE(CONTROL!$C$32, $C$9, 100%, $E$9)</f>
        <v>4.0682</v>
      </c>
      <c r="P86" s="14"/>
      <c r="Q86" s="14"/>
      <c r="R86" s="14"/>
    </row>
    <row r="87" spans="1:18" ht="15" x14ac:dyDescent="0.2">
      <c r="A87" s="13">
        <v>43497</v>
      </c>
      <c r="B87" s="9">
        <f>3.2029 * CHOOSE(CONTROL!$C$32, $C$9, 100%, $E$9)</f>
        <v>3.2029000000000001</v>
      </c>
      <c r="C87" s="9">
        <f>3.2029 * CHOOSE(CONTROL!$C$32, $C$9, 100%, $E$9)</f>
        <v>3.2029000000000001</v>
      </c>
      <c r="D87" s="9">
        <f>3.204 * CHOOSE(CONTROL!$C$32, $C$9, 100%, $E$9)</f>
        <v>3.2040000000000002</v>
      </c>
      <c r="E87" s="11">
        <f>4.0626 * CHOOSE(CONTROL!$C$32, $C$9, 100%, $E$9)</f>
        <v>4.0625999999999998</v>
      </c>
      <c r="F87" s="11">
        <f>4.0626 * CHOOSE(CONTROL!$C$32, $C$9, 100%, $E$9)</f>
        <v>4.0625999999999998</v>
      </c>
      <c r="G87" s="11">
        <f>4.0662 * CHOOSE(CONTROL!$C$32, $C$9, 100%, $E$9)</f>
        <v>4.0662000000000003</v>
      </c>
      <c r="H87" s="11">
        <f>6.4547 * CHOOSE(CONTROL!$C$32, $C$9, 100%, $E$9)</f>
        <v>6.4546999999999999</v>
      </c>
      <c r="I87" s="11">
        <f>6.4583 * CHOOSE(CONTROL!$C$32, $C$9, 100%, $E$9)</f>
        <v>6.4583000000000004</v>
      </c>
      <c r="J87" s="11">
        <f>6.4547 * CHOOSE(CONTROL!$C$32, $C$9, 100%, $E$9)</f>
        <v>6.4546999999999999</v>
      </c>
      <c r="K87" s="11">
        <f>6.4583 * CHOOSE(CONTROL!$C$32, $C$9, 100%, $E$9)</f>
        <v>6.4583000000000004</v>
      </c>
      <c r="L87" s="11">
        <f>4.0626 * CHOOSE(CONTROL!$C$32, $C$9, 100%, $E$9)</f>
        <v>4.0625999999999998</v>
      </c>
      <c r="M87" s="11">
        <f>4.0662 * CHOOSE(CONTROL!$C$32, $C$9, 100%, $E$9)</f>
        <v>4.0662000000000003</v>
      </c>
      <c r="N87" s="11">
        <f>4.0626 * CHOOSE(CONTROL!$C$32, $C$9, 100%, $E$9)</f>
        <v>4.0625999999999998</v>
      </c>
      <c r="O87" s="11">
        <f>4.0662 * CHOOSE(CONTROL!$C$32, $C$9, 100%, $E$9)</f>
        <v>4.0662000000000003</v>
      </c>
      <c r="P87" s="14"/>
      <c r="Q87" s="14"/>
      <c r="R87" s="14"/>
    </row>
    <row r="88" spans="1:18" ht="15" x14ac:dyDescent="0.2">
      <c r="A88" s="13">
        <v>43525</v>
      </c>
      <c r="B88" s="9">
        <f>3.1999 * CHOOSE(CONTROL!$C$32, $C$9, 100%, $E$9)</f>
        <v>3.1999</v>
      </c>
      <c r="C88" s="9">
        <f>3.1999 * CHOOSE(CONTROL!$C$32, $C$9, 100%, $E$9)</f>
        <v>3.1999</v>
      </c>
      <c r="D88" s="9">
        <f>3.201 * CHOOSE(CONTROL!$C$32, $C$9, 100%, $E$9)</f>
        <v>3.2010000000000001</v>
      </c>
      <c r="E88" s="11">
        <f>4.0606 * CHOOSE(CONTROL!$C$32, $C$9, 100%, $E$9)</f>
        <v>4.0606</v>
      </c>
      <c r="F88" s="11">
        <f>4.0606 * CHOOSE(CONTROL!$C$32, $C$9, 100%, $E$9)</f>
        <v>4.0606</v>
      </c>
      <c r="G88" s="11">
        <f>4.0642 * CHOOSE(CONTROL!$C$32, $C$9, 100%, $E$9)</f>
        <v>4.0641999999999996</v>
      </c>
      <c r="H88" s="11">
        <f>6.4681 * CHOOSE(CONTROL!$C$32, $C$9, 100%, $E$9)</f>
        <v>6.4680999999999997</v>
      </c>
      <c r="I88" s="11">
        <f>6.4717 * CHOOSE(CONTROL!$C$32, $C$9, 100%, $E$9)</f>
        <v>6.4717000000000002</v>
      </c>
      <c r="J88" s="11">
        <f>6.4681 * CHOOSE(CONTROL!$C$32, $C$9, 100%, $E$9)</f>
        <v>6.4680999999999997</v>
      </c>
      <c r="K88" s="11">
        <f>6.4717 * CHOOSE(CONTROL!$C$32, $C$9, 100%, $E$9)</f>
        <v>6.4717000000000002</v>
      </c>
      <c r="L88" s="11">
        <f>4.0606 * CHOOSE(CONTROL!$C$32, $C$9, 100%, $E$9)</f>
        <v>4.0606</v>
      </c>
      <c r="M88" s="11">
        <f>4.0642 * CHOOSE(CONTROL!$C$32, $C$9, 100%, $E$9)</f>
        <v>4.0641999999999996</v>
      </c>
      <c r="N88" s="11">
        <f>4.0606 * CHOOSE(CONTROL!$C$32, $C$9, 100%, $E$9)</f>
        <v>4.0606</v>
      </c>
      <c r="O88" s="11">
        <f>4.0642 * CHOOSE(CONTROL!$C$32, $C$9, 100%, $E$9)</f>
        <v>4.0641999999999996</v>
      </c>
      <c r="P88" s="14"/>
      <c r="Q88" s="14"/>
      <c r="R88" s="14"/>
    </row>
    <row r="89" spans="1:18" ht="15" x14ac:dyDescent="0.2">
      <c r="A89" s="13">
        <v>43556</v>
      </c>
      <c r="B89" s="9">
        <f>3.1968 * CHOOSE(CONTROL!$C$32, $C$9, 100%, $E$9)</f>
        <v>3.1968000000000001</v>
      </c>
      <c r="C89" s="9">
        <f>3.1968 * CHOOSE(CONTROL!$C$32, $C$9, 100%, $E$9)</f>
        <v>3.1968000000000001</v>
      </c>
      <c r="D89" s="9">
        <f>3.1979 * CHOOSE(CONTROL!$C$32, $C$9, 100%, $E$9)</f>
        <v>3.1979000000000002</v>
      </c>
      <c r="E89" s="11">
        <f>4.0581 * CHOOSE(CONTROL!$C$32, $C$9, 100%, $E$9)</f>
        <v>4.0580999999999996</v>
      </c>
      <c r="F89" s="11">
        <f>4.0581 * CHOOSE(CONTROL!$C$32, $C$9, 100%, $E$9)</f>
        <v>4.0580999999999996</v>
      </c>
      <c r="G89" s="11">
        <f>4.0617 * CHOOSE(CONTROL!$C$32, $C$9, 100%, $E$9)</f>
        <v>4.0617000000000001</v>
      </c>
      <c r="H89" s="11">
        <f>6.4816 * CHOOSE(CONTROL!$C$32, $C$9, 100%, $E$9)</f>
        <v>6.4816000000000003</v>
      </c>
      <c r="I89" s="11">
        <f>6.4852 * CHOOSE(CONTROL!$C$32, $C$9, 100%, $E$9)</f>
        <v>6.4851999999999999</v>
      </c>
      <c r="J89" s="11">
        <f>6.4816 * CHOOSE(CONTROL!$C$32, $C$9, 100%, $E$9)</f>
        <v>6.4816000000000003</v>
      </c>
      <c r="K89" s="11">
        <f>6.4852 * CHOOSE(CONTROL!$C$32, $C$9, 100%, $E$9)</f>
        <v>6.4851999999999999</v>
      </c>
      <c r="L89" s="11">
        <f>4.0581 * CHOOSE(CONTROL!$C$32, $C$9, 100%, $E$9)</f>
        <v>4.0580999999999996</v>
      </c>
      <c r="M89" s="11">
        <f>4.0617 * CHOOSE(CONTROL!$C$32, $C$9, 100%, $E$9)</f>
        <v>4.0617000000000001</v>
      </c>
      <c r="N89" s="11">
        <f>4.0581 * CHOOSE(CONTROL!$C$32, $C$9, 100%, $E$9)</f>
        <v>4.0580999999999996</v>
      </c>
      <c r="O89" s="11">
        <f>4.0617 * CHOOSE(CONTROL!$C$32, $C$9, 100%, $E$9)</f>
        <v>4.0617000000000001</v>
      </c>
      <c r="P89" s="14"/>
      <c r="Q89" s="14"/>
      <c r="R89" s="14"/>
    </row>
    <row r="90" spans="1:18" ht="15" x14ac:dyDescent="0.2">
      <c r="A90" s="13">
        <v>43586</v>
      </c>
      <c r="B90" s="9">
        <f>3.1968 * CHOOSE(CONTROL!$C$32, $C$9, 100%, $E$9)</f>
        <v>3.1968000000000001</v>
      </c>
      <c r="C90" s="9">
        <f>3.1968 * CHOOSE(CONTROL!$C$32, $C$9, 100%, $E$9)</f>
        <v>3.1968000000000001</v>
      </c>
      <c r="D90" s="9">
        <f>3.1984 * CHOOSE(CONTROL!$C$32, $C$9, 100%, $E$9)</f>
        <v>3.1983999999999999</v>
      </c>
      <c r="E90" s="11">
        <f>4.0581 * CHOOSE(CONTROL!$C$32, $C$9, 100%, $E$9)</f>
        <v>4.0580999999999996</v>
      </c>
      <c r="F90" s="11">
        <f>4.0581 * CHOOSE(CONTROL!$C$32, $C$9, 100%, $E$9)</f>
        <v>4.0580999999999996</v>
      </c>
      <c r="G90" s="11">
        <f>4.0634 * CHOOSE(CONTROL!$C$32, $C$9, 100%, $E$9)</f>
        <v>4.0633999999999997</v>
      </c>
      <c r="H90" s="11">
        <f>6.4951 * CHOOSE(CONTROL!$C$32, $C$9, 100%, $E$9)</f>
        <v>6.4950999999999999</v>
      </c>
      <c r="I90" s="11">
        <f>6.5004 * CHOOSE(CONTROL!$C$32, $C$9, 100%, $E$9)</f>
        <v>6.5004</v>
      </c>
      <c r="J90" s="11">
        <f>6.4951 * CHOOSE(CONTROL!$C$32, $C$9, 100%, $E$9)</f>
        <v>6.4950999999999999</v>
      </c>
      <c r="K90" s="11">
        <f>6.5004 * CHOOSE(CONTROL!$C$32, $C$9, 100%, $E$9)</f>
        <v>6.5004</v>
      </c>
      <c r="L90" s="11">
        <f>4.0581 * CHOOSE(CONTROL!$C$32, $C$9, 100%, $E$9)</f>
        <v>4.0580999999999996</v>
      </c>
      <c r="M90" s="11">
        <f>4.0634 * CHOOSE(CONTROL!$C$32, $C$9, 100%, $E$9)</f>
        <v>4.0633999999999997</v>
      </c>
      <c r="N90" s="11">
        <f>4.0581 * CHOOSE(CONTROL!$C$32, $C$9, 100%, $E$9)</f>
        <v>4.0580999999999996</v>
      </c>
      <c r="O90" s="11">
        <f>4.0634 * CHOOSE(CONTROL!$C$32, $C$9, 100%, $E$9)</f>
        <v>4.0633999999999997</v>
      </c>
      <c r="P90" s="14"/>
      <c r="Q90" s="14"/>
      <c r="R90" s="14"/>
    </row>
    <row r="91" spans="1:18" ht="15" x14ac:dyDescent="0.2">
      <c r="A91" s="13">
        <v>43617</v>
      </c>
      <c r="B91" s="9">
        <f>3.2029 * CHOOSE(CONTROL!$C$32, $C$9, 100%, $E$9)</f>
        <v>3.2029000000000001</v>
      </c>
      <c r="C91" s="9">
        <f>3.2029 * CHOOSE(CONTROL!$C$32, $C$9, 100%, $E$9)</f>
        <v>3.2029000000000001</v>
      </c>
      <c r="D91" s="9">
        <f>3.2045 * CHOOSE(CONTROL!$C$32, $C$9, 100%, $E$9)</f>
        <v>3.2044999999999999</v>
      </c>
      <c r="E91" s="11">
        <f>4.0621 * CHOOSE(CONTROL!$C$32, $C$9, 100%, $E$9)</f>
        <v>4.0621</v>
      </c>
      <c r="F91" s="11">
        <f>4.0621 * CHOOSE(CONTROL!$C$32, $C$9, 100%, $E$9)</f>
        <v>4.0621</v>
      </c>
      <c r="G91" s="11">
        <f>4.0674 * CHOOSE(CONTROL!$C$32, $C$9, 100%, $E$9)</f>
        <v>4.0674000000000001</v>
      </c>
      <c r="H91" s="11">
        <f>6.5086 * CHOOSE(CONTROL!$C$32, $C$9, 100%, $E$9)</f>
        <v>6.5086000000000004</v>
      </c>
      <c r="I91" s="11">
        <f>6.5139 * CHOOSE(CONTROL!$C$32, $C$9, 100%, $E$9)</f>
        <v>6.5138999999999996</v>
      </c>
      <c r="J91" s="11">
        <f>6.5086 * CHOOSE(CONTROL!$C$32, $C$9, 100%, $E$9)</f>
        <v>6.5086000000000004</v>
      </c>
      <c r="K91" s="11">
        <f>6.5139 * CHOOSE(CONTROL!$C$32, $C$9, 100%, $E$9)</f>
        <v>6.5138999999999996</v>
      </c>
      <c r="L91" s="11">
        <f>4.0621 * CHOOSE(CONTROL!$C$32, $C$9, 100%, $E$9)</f>
        <v>4.0621</v>
      </c>
      <c r="M91" s="11">
        <f>4.0674 * CHOOSE(CONTROL!$C$32, $C$9, 100%, $E$9)</f>
        <v>4.0674000000000001</v>
      </c>
      <c r="N91" s="11">
        <f>4.0621 * CHOOSE(CONTROL!$C$32, $C$9, 100%, $E$9)</f>
        <v>4.0621</v>
      </c>
      <c r="O91" s="11">
        <f>4.0674 * CHOOSE(CONTROL!$C$32, $C$9, 100%, $E$9)</f>
        <v>4.0674000000000001</v>
      </c>
      <c r="P91" s="14"/>
      <c r="Q91" s="14"/>
      <c r="R91" s="14"/>
    </row>
    <row r="92" spans="1:18" ht="15" x14ac:dyDescent="0.2">
      <c r="A92" s="13">
        <v>43647</v>
      </c>
      <c r="B92" s="9">
        <f>3.243 * CHOOSE(CONTROL!$C$32, $C$9, 100%, $E$9)</f>
        <v>3.2429999999999999</v>
      </c>
      <c r="C92" s="9">
        <f>3.243 * CHOOSE(CONTROL!$C$32, $C$9, 100%, $E$9)</f>
        <v>3.2429999999999999</v>
      </c>
      <c r="D92" s="9">
        <f>3.2446 * CHOOSE(CONTROL!$C$32, $C$9, 100%, $E$9)</f>
        <v>3.2446000000000002</v>
      </c>
      <c r="E92" s="11">
        <f>4.1173 * CHOOSE(CONTROL!$C$32, $C$9, 100%, $E$9)</f>
        <v>4.1173000000000002</v>
      </c>
      <c r="F92" s="11">
        <f>4.1173 * CHOOSE(CONTROL!$C$32, $C$9, 100%, $E$9)</f>
        <v>4.1173000000000002</v>
      </c>
      <c r="G92" s="11">
        <f>4.1226 * CHOOSE(CONTROL!$C$32, $C$9, 100%, $E$9)</f>
        <v>4.1226000000000003</v>
      </c>
      <c r="H92" s="11">
        <f>6.5222 * CHOOSE(CONTROL!$C$32, $C$9, 100%, $E$9)</f>
        <v>6.5221999999999998</v>
      </c>
      <c r="I92" s="11">
        <f>6.5275 * CHOOSE(CONTROL!$C$32, $C$9, 100%, $E$9)</f>
        <v>6.5274999999999999</v>
      </c>
      <c r="J92" s="11">
        <f>6.5222 * CHOOSE(CONTROL!$C$32, $C$9, 100%, $E$9)</f>
        <v>6.5221999999999998</v>
      </c>
      <c r="K92" s="11">
        <f>6.5275 * CHOOSE(CONTROL!$C$32, $C$9, 100%, $E$9)</f>
        <v>6.5274999999999999</v>
      </c>
      <c r="L92" s="11">
        <f>4.1173 * CHOOSE(CONTROL!$C$32, $C$9, 100%, $E$9)</f>
        <v>4.1173000000000002</v>
      </c>
      <c r="M92" s="11">
        <f>4.1226 * CHOOSE(CONTROL!$C$32, $C$9, 100%, $E$9)</f>
        <v>4.1226000000000003</v>
      </c>
      <c r="N92" s="11">
        <f>4.1173 * CHOOSE(CONTROL!$C$32, $C$9, 100%, $E$9)</f>
        <v>4.1173000000000002</v>
      </c>
      <c r="O92" s="11">
        <f>4.1226 * CHOOSE(CONTROL!$C$32, $C$9, 100%, $E$9)</f>
        <v>4.1226000000000003</v>
      </c>
      <c r="P92" s="14"/>
      <c r="Q92" s="14"/>
      <c r="R92" s="14"/>
    </row>
    <row r="93" spans="1:18" ht="15" x14ac:dyDescent="0.2">
      <c r="A93" s="13">
        <v>43678</v>
      </c>
      <c r="B93" s="9">
        <f>3.2497 * CHOOSE(CONTROL!$C$32, $C$9, 100%, $E$9)</f>
        <v>3.2496999999999998</v>
      </c>
      <c r="C93" s="9">
        <f>3.2497 * CHOOSE(CONTROL!$C$32, $C$9, 100%, $E$9)</f>
        <v>3.2496999999999998</v>
      </c>
      <c r="D93" s="9">
        <f>3.2512 * CHOOSE(CONTROL!$C$32, $C$9, 100%, $E$9)</f>
        <v>3.2511999999999999</v>
      </c>
      <c r="E93" s="11">
        <f>4.1217 * CHOOSE(CONTROL!$C$32, $C$9, 100%, $E$9)</f>
        <v>4.1216999999999997</v>
      </c>
      <c r="F93" s="11">
        <f>4.1217 * CHOOSE(CONTROL!$C$32, $C$9, 100%, $E$9)</f>
        <v>4.1216999999999997</v>
      </c>
      <c r="G93" s="11">
        <f>4.127 * CHOOSE(CONTROL!$C$32, $C$9, 100%, $E$9)</f>
        <v>4.1269999999999998</v>
      </c>
      <c r="H93" s="11">
        <f>6.5358 * CHOOSE(CONTROL!$C$32, $C$9, 100%, $E$9)</f>
        <v>6.5358000000000001</v>
      </c>
      <c r="I93" s="11">
        <f>6.5411 * CHOOSE(CONTROL!$C$32, $C$9, 100%, $E$9)</f>
        <v>6.5411000000000001</v>
      </c>
      <c r="J93" s="11">
        <f>6.5358 * CHOOSE(CONTROL!$C$32, $C$9, 100%, $E$9)</f>
        <v>6.5358000000000001</v>
      </c>
      <c r="K93" s="11">
        <f>6.5411 * CHOOSE(CONTROL!$C$32, $C$9, 100%, $E$9)</f>
        <v>6.5411000000000001</v>
      </c>
      <c r="L93" s="11">
        <f>4.1217 * CHOOSE(CONTROL!$C$32, $C$9, 100%, $E$9)</f>
        <v>4.1216999999999997</v>
      </c>
      <c r="M93" s="11">
        <f>4.127 * CHOOSE(CONTROL!$C$32, $C$9, 100%, $E$9)</f>
        <v>4.1269999999999998</v>
      </c>
      <c r="N93" s="11">
        <f>4.1217 * CHOOSE(CONTROL!$C$32, $C$9, 100%, $E$9)</f>
        <v>4.1216999999999997</v>
      </c>
      <c r="O93" s="11">
        <f>4.127 * CHOOSE(CONTROL!$C$32, $C$9, 100%, $E$9)</f>
        <v>4.1269999999999998</v>
      </c>
      <c r="P93" s="14"/>
      <c r="Q93" s="14"/>
      <c r="R93" s="14"/>
    </row>
    <row r="94" spans="1:18" ht="15" x14ac:dyDescent="0.2">
      <c r="A94" s="13">
        <v>43709</v>
      </c>
      <c r="B94" s="9">
        <f>3.2466 * CHOOSE(CONTROL!$C$32, $C$9, 100%, $E$9)</f>
        <v>3.2465999999999999</v>
      </c>
      <c r="C94" s="9">
        <f>3.2466 * CHOOSE(CONTROL!$C$32, $C$9, 100%, $E$9)</f>
        <v>3.2465999999999999</v>
      </c>
      <c r="D94" s="9">
        <f>3.2482 * CHOOSE(CONTROL!$C$32, $C$9, 100%, $E$9)</f>
        <v>3.2482000000000002</v>
      </c>
      <c r="E94" s="11">
        <f>4.1197 * CHOOSE(CONTROL!$C$32, $C$9, 100%, $E$9)</f>
        <v>4.1196999999999999</v>
      </c>
      <c r="F94" s="11">
        <f>4.1197 * CHOOSE(CONTROL!$C$32, $C$9, 100%, $E$9)</f>
        <v>4.1196999999999999</v>
      </c>
      <c r="G94" s="11">
        <f>4.125 * CHOOSE(CONTROL!$C$32, $C$9, 100%, $E$9)</f>
        <v>4.125</v>
      </c>
      <c r="H94" s="11">
        <f>6.5494 * CHOOSE(CONTROL!$C$32, $C$9, 100%, $E$9)</f>
        <v>6.5494000000000003</v>
      </c>
      <c r="I94" s="11">
        <f>6.5547 * CHOOSE(CONTROL!$C$32, $C$9, 100%, $E$9)</f>
        <v>6.5547000000000004</v>
      </c>
      <c r="J94" s="11">
        <f>6.5494 * CHOOSE(CONTROL!$C$32, $C$9, 100%, $E$9)</f>
        <v>6.5494000000000003</v>
      </c>
      <c r="K94" s="11">
        <f>6.5547 * CHOOSE(CONTROL!$C$32, $C$9, 100%, $E$9)</f>
        <v>6.5547000000000004</v>
      </c>
      <c r="L94" s="11">
        <f>4.1197 * CHOOSE(CONTROL!$C$32, $C$9, 100%, $E$9)</f>
        <v>4.1196999999999999</v>
      </c>
      <c r="M94" s="11">
        <f>4.125 * CHOOSE(CONTROL!$C$32, $C$9, 100%, $E$9)</f>
        <v>4.125</v>
      </c>
      <c r="N94" s="11">
        <f>4.1197 * CHOOSE(CONTROL!$C$32, $C$9, 100%, $E$9)</f>
        <v>4.1196999999999999</v>
      </c>
      <c r="O94" s="11">
        <f>4.125 * CHOOSE(CONTROL!$C$32, $C$9, 100%, $E$9)</f>
        <v>4.125</v>
      </c>
      <c r="P94" s="14"/>
      <c r="Q94" s="14"/>
      <c r="R94" s="14"/>
    </row>
    <row r="95" spans="1:18" ht="15" x14ac:dyDescent="0.2">
      <c r="A95" s="13">
        <v>43739</v>
      </c>
      <c r="B95" s="9">
        <f>3.239 * CHOOSE(CONTROL!$C$32, $C$9, 100%, $E$9)</f>
        <v>3.2389999999999999</v>
      </c>
      <c r="C95" s="9">
        <f>3.239 * CHOOSE(CONTROL!$C$32, $C$9, 100%, $E$9)</f>
        <v>3.2389999999999999</v>
      </c>
      <c r="D95" s="9">
        <f>3.24 * CHOOSE(CONTROL!$C$32, $C$9, 100%, $E$9)</f>
        <v>3.24</v>
      </c>
      <c r="E95" s="11">
        <f>4.113 * CHOOSE(CONTROL!$C$32, $C$9, 100%, $E$9)</f>
        <v>4.1130000000000004</v>
      </c>
      <c r="F95" s="11">
        <f>4.113 * CHOOSE(CONTROL!$C$32, $C$9, 100%, $E$9)</f>
        <v>4.1130000000000004</v>
      </c>
      <c r="G95" s="11">
        <f>4.1166 * CHOOSE(CONTROL!$C$32, $C$9, 100%, $E$9)</f>
        <v>4.1166</v>
      </c>
      <c r="H95" s="11">
        <f>6.563 * CHOOSE(CONTROL!$C$32, $C$9, 100%, $E$9)</f>
        <v>6.5629999999999997</v>
      </c>
      <c r="I95" s="11">
        <f>6.5667 * CHOOSE(CONTROL!$C$32, $C$9, 100%, $E$9)</f>
        <v>6.5667</v>
      </c>
      <c r="J95" s="11">
        <f>6.563 * CHOOSE(CONTROL!$C$32, $C$9, 100%, $E$9)</f>
        <v>6.5629999999999997</v>
      </c>
      <c r="K95" s="11">
        <f>6.5667 * CHOOSE(CONTROL!$C$32, $C$9, 100%, $E$9)</f>
        <v>6.5667</v>
      </c>
      <c r="L95" s="11">
        <f>4.113 * CHOOSE(CONTROL!$C$32, $C$9, 100%, $E$9)</f>
        <v>4.1130000000000004</v>
      </c>
      <c r="M95" s="11">
        <f>4.1166 * CHOOSE(CONTROL!$C$32, $C$9, 100%, $E$9)</f>
        <v>4.1166</v>
      </c>
      <c r="N95" s="11">
        <f>4.113 * CHOOSE(CONTROL!$C$32, $C$9, 100%, $E$9)</f>
        <v>4.1130000000000004</v>
      </c>
      <c r="O95" s="11">
        <f>4.1166 * CHOOSE(CONTROL!$C$32, $C$9, 100%, $E$9)</f>
        <v>4.1166</v>
      </c>
      <c r="P95" s="14"/>
      <c r="Q95" s="14"/>
      <c r="R95" s="14"/>
    </row>
    <row r="96" spans="1:18" ht="15" x14ac:dyDescent="0.2">
      <c r="A96" s="13">
        <v>43770</v>
      </c>
      <c r="B96" s="9">
        <f>3.242 * CHOOSE(CONTROL!$C$32, $C$9, 100%, $E$9)</f>
        <v>3.242</v>
      </c>
      <c r="C96" s="9">
        <f>3.242 * CHOOSE(CONTROL!$C$32, $C$9, 100%, $E$9)</f>
        <v>3.242</v>
      </c>
      <c r="D96" s="9">
        <f>3.2431 * CHOOSE(CONTROL!$C$32, $C$9, 100%, $E$9)</f>
        <v>3.2431000000000001</v>
      </c>
      <c r="E96" s="11">
        <f>4.115 * CHOOSE(CONTROL!$C$32, $C$9, 100%, $E$9)</f>
        <v>4.1150000000000002</v>
      </c>
      <c r="F96" s="11">
        <f>4.115 * CHOOSE(CONTROL!$C$32, $C$9, 100%, $E$9)</f>
        <v>4.1150000000000002</v>
      </c>
      <c r="G96" s="11">
        <f>4.1186 * CHOOSE(CONTROL!$C$32, $C$9, 100%, $E$9)</f>
        <v>4.1185999999999998</v>
      </c>
      <c r="H96" s="11">
        <f>6.5767 * CHOOSE(CONTROL!$C$32, $C$9, 100%, $E$9)</f>
        <v>6.5766999999999998</v>
      </c>
      <c r="I96" s="11">
        <f>6.5803 * CHOOSE(CONTROL!$C$32, $C$9, 100%, $E$9)</f>
        <v>6.5803000000000003</v>
      </c>
      <c r="J96" s="11">
        <f>6.5767 * CHOOSE(CONTROL!$C$32, $C$9, 100%, $E$9)</f>
        <v>6.5766999999999998</v>
      </c>
      <c r="K96" s="11">
        <f>6.5803 * CHOOSE(CONTROL!$C$32, $C$9, 100%, $E$9)</f>
        <v>6.5803000000000003</v>
      </c>
      <c r="L96" s="11">
        <f>4.115 * CHOOSE(CONTROL!$C$32, $C$9, 100%, $E$9)</f>
        <v>4.1150000000000002</v>
      </c>
      <c r="M96" s="11">
        <f>4.1186 * CHOOSE(CONTROL!$C$32, $C$9, 100%, $E$9)</f>
        <v>4.1185999999999998</v>
      </c>
      <c r="N96" s="11">
        <f>4.115 * CHOOSE(CONTROL!$C$32, $C$9, 100%, $E$9)</f>
        <v>4.1150000000000002</v>
      </c>
      <c r="O96" s="11">
        <f>4.1186 * CHOOSE(CONTROL!$C$32, $C$9, 100%, $E$9)</f>
        <v>4.1185999999999998</v>
      </c>
      <c r="P96" s="14"/>
      <c r="Q96" s="14"/>
      <c r="R96" s="14"/>
    </row>
    <row r="97" spans="1:18" ht="15" x14ac:dyDescent="0.2">
      <c r="A97" s="13">
        <v>43800</v>
      </c>
      <c r="B97" s="9">
        <f>3.242 * CHOOSE(CONTROL!$C$32, $C$9, 100%, $E$9)</f>
        <v>3.242</v>
      </c>
      <c r="C97" s="9">
        <f>3.242 * CHOOSE(CONTROL!$C$32, $C$9, 100%, $E$9)</f>
        <v>3.242</v>
      </c>
      <c r="D97" s="9">
        <f>3.2431 * CHOOSE(CONTROL!$C$32, $C$9, 100%, $E$9)</f>
        <v>3.2431000000000001</v>
      </c>
      <c r="E97" s="11">
        <f>4.115 * CHOOSE(CONTROL!$C$32, $C$9, 100%, $E$9)</f>
        <v>4.1150000000000002</v>
      </c>
      <c r="F97" s="11">
        <f>4.115 * CHOOSE(CONTROL!$C$32, $C$9, 100%, $E$9)</f>
        <v>4.1150000000000002</v>
      </c>
      <c r="G97" s="11">
        <f>4.1186 * CHOOSE(CONTROL!$C$32, $C$9, 100%, $E$9)</f>
        <v>4.1185999999999998</v>
      </c>
      <c r="H97" s="11">
        <f>6.5904 * CHOOSE(CONTROL!$C$32, $C$9, 100%, $E$9)</f>
        <v>6.5903999999999998</v>
      </c>
      <c r="I97" s="11">
        <f>6.594 * CHOOSE(CONTROL!$C$32, $C$9, 100%, $E$9)</f>
        <v>6.5940000000000003</v>
      </c>
      <c r="J97" s="11">
        <f>6.5904 * CHOOSE(CONTROL!$C$32, $C$9, 100%, $E$9)</f>
        <v>6.5903999999999998</v>
      </c>
      <c r="K97" s="11">
        <f>6.594 * CHOOSE(CONTROL!$C$32, $C$9, 100%, $E$9)</f>
        <v>6.5940000000000003</v>
      </c>
      <c r="L97" s="11">
        <f>4.115 * CHOOSE(CONTROL!$C$32, $C$9, 100%, $E$9)</f>
        <v>4.1150000000000002</v>
      </c>
      <c r="M97" s="11">
        <f>4.1186 * CHOOSE(CONTROL!$C$32, $C$9, 100%, $E$9)</f>
        <v>4.1185999999999998</v>
      </c>
      <c r="N97" s="11">
        <f>4.115 * CHOOSE(CONTROL!$C$32, $C$9, 100%, $E$9)</f>
        <v>4.1150000000000002</v>
      </c>
      <c r="O97" s="11">
        <f>4.1186 * CHOOSE(CONTROL!$C$32, $C$9, 100%, $E$9)</f>
        <v>4.1185999999999998</v>
      </c>
      <c r="P97" s="14"/>
      <c r="Q97" s="14"/>
      <c r="R97" s="14"/>
    </row>
    <row r="98" spans="1:18" ht="15" x14ac:dyDescent="0.2">
      <c r="A98" s="13">
        <v>43831</v>
      </c>
      <c r="B98" s="9">
        <f>3.2675 * CHOOSE(CONTROL!$C$32, $C$9, 100%, $E$9)</f>
        <v>3.2675000000000001</v>
      </c>
      <c r="C98" s="9">
        <f>3.2675 * CHOOSE(CONTROL!$C$32, $C$9, 100%, $E$9)</f>
        <v>3.2675000000000001</v>
      </c>
      <c r="D98" s="9">
        <f>3.2686 * CHOOSE(CONTROL!$C$32, $C$9, 100%, $E$9)</f>
        <v>3.2686000000000002</v>
      </c>
      <c r="E98" s="11">
        <f>4.148 * CHOOSE(CONTROL!$C$32, $C$9, 100%, $E$9)</f>
        <v>4.1479999999999997</v>
      </c>
      <c r="F98" s="11">
        <f>4.148 * CHOOSE(CONTROL!$C$32, $C$9, 100%, $E$9)</f>
        <v>4.1479999999999997</v>
      </c>
      <c r="G98" s="11">
        <f>4.1516 * CHOOSE(CONTROL!$C$32, $C$9, 100%, $E$9)</f>
        <v>4.1516000000000002</v>
      </c>
      <c r="H98" s="11">
        <f>6.6041 * CHOOSE(CONTROL!$C$32, $C$9, 100%, $E$9)</f>
        <v>6.6040999999999999</v>
      </c>
      <c r="I98" s="11">
        <f>6.6078 * CHOOSE(CONTROL!$C$32, $C$9, 100%, $E$9)</f>
        <v>6.6078000000000001</v>
      </c>
      <c r="J98" s="11">
        <f>6.6041 * CHOOSE(CONTROL!$C$32, $C$9, 100%, $E$9)</f>
        <v>6.6040999999999999</v>
      </c>
      <c r="K98" s="11">
        <f>6.6078 * CHOOSE(CONTROL!$C$32, $C$9, 100%, $E$9)</f>
        <v>6.6078000000000001</v>
      </c>
      <c r="L98" s="11">
        <f>4.148 * CHOOSE(CONTROL!$C$32, $C$9, 100%, $E$9)</f>
        <v>4.1479999999999997</v>
      </c>
      <c r="M98" s="11">
        <f>4.1516 * CHOOSE(CONTROL!$C$32, $C$9, 100%, $E$9)</f>
        <v>4.1516000000000002</v>
      </c>
      <c r="N98" s="11">
        <f>4.148 * CHOOSE(CONTROL!$C$32, $C$9, 100%, $E$9)</f>
        <v>4.1479999999999997</v>
      </c>
      <c r="O98" s="11">
        <f>4.1516 * CHOOSE(CONTROL!$C$32, $C$9, 100%, $E$9)</f>
        <v>4.1516000000000002</v>
      </c>
      <c r="P98" s="14"/>
      <c r="Q98" s="14"/>
      <c r="R98" s="14"/>
    </row>
    <row r="99" spans="1:18" ht="15" x14ac:dyDescent="0.2">
      <c r="A99" s="13">
        <v>43862</v>
      </c>
      <c r="B99" s="9">
        <f>3.2644 * CHOOSE(CONTROL!$C$32, $C$9, 100%, $E$9)</f>
        <v>3.2644000000000002</v>
      </c>
      <c r="C99" s="9">
        <f>3.2644 * CHOOSE(CONTROL!$C$32, $C$9, 100%, $E$9)</f>
        <v>3.2644000000000002</v>
      </c>
      <c r="D99" s="9">
        <f>3.2655 * CHOOSE(CONTROL!$C$32, $C$9, 100%, $E$9)</f>
        <v>3.2654999999999998</v>
      </c>
      <c r="E99" s="11">
        <f>4.146 * CHOOSE(CONTROL!$C$32, $C$9, 100%, $E$9)</f>
        <v>4.1459999999999999</v>
      </c>
      <c r="F99" s="11">
        <f>4.146 * CHOOSE(CONTROL!$C$32, $C$9, 100%, $E$9)</f>
        <v>4.1459999999999999</v>
      </c>
      <c r="G99" s="11">
        <f>4.1496 * CHOOSE(CONTROL!$C$32, $C$9, 100%, $E$9)</f>
        <v>4.1496000000000004</v>
      </c>
      <c r="H99" s="11">
        <f>6.6179 * CHOOSE(CONTROL!$C$32, $C$9, 100%, $E$9)</f>
        <v>6.6178999999999997</v>
      </c>
      <c r="I99" s="11">
        <f>6.6215 * CHOOSE(CONTROL!$C$32, $C$9, 100%, $E$9)</f>
        <v>6.6215000000000002</v>
      </c>
      <c r="J99" s="11">
        <f>6.6179 * CHOOSE(CONTROL!$C$32, $C$9, 100%, $E$9)</f>
        <v>6.6178999999999997</v>
      </c>
      <c r="K99" s="11">
        <f>6.6215 * CHOOSE(CONTROL!$C$32, $C$9, 100%, $E$9)</f>
        <v>6.6215000000000002</v>
      </c>
      <c r="L99" s="11">
        <f>4.146 * CHOOSE(CONTROL!$C$32, $C$9, 100%, $E$9)</f>
        <v>4.1459999999999999</v>
      </c>
      <c r="M99" s="11">
        <f>4.1496 * CHOOSE(CONTROL!$C$32, $C$9, 100%, $E$9)</f>
        <v>4.1496000000000004</v>
      </c>
      <c r="N99" s="11">
        <f>4.146 * CHOOSE(CONTROL!$C$32, $C$9, 100%, $E$9)</f>
        <v>4.1459999999999999</v>
      </c>
      <c r="O99" s="11">
        <f>4.1496 * CHOOSE(CONTROL!$C$32, $C$9, 100%, $E$9)</f>
        <v>4.1496000000000004</v>
      </c>
      <c r="P99" s="14"/>
      <c r="Q99" s="14"/>
      <c r="R99" s="14"/>
    </row>
    <row r="100" spans="1:18" ht="15" x14ac:dyDescent="0.2">
      <c r="A100" s="13">
        <v>43891</v>
      </c>
      <c r="B100" s="9">
        <f>3.2614 * CHOOSE(CONTROL!$C$32, $C$9, 100%, $E$9)</f>
        <v>3.2614000000000001</v>
      </c>
      <c r="C100" s="9">
        <f>3.2614 * CHOOSE(CONTROL!$C$32, $C$9, 100%, $E$9)</f>
        <v>3.2614000000000001</v>
      </c>
      <c r="D100" s="9">
        <f>3.2625 * CHOOSE(CONTROL!$C$32, $C$9, 100%, $E$9)</f>
        <v>3.2625000000000002</v>
      </c>
      <c r="E100" s="11">
        <f>4.144 * CHOOSE(CONTROL!$C$32, $C$9, 100%, $E$9)</f>
        <v>4.1440000000000001</v>
      </c>
      <c r="F100" s="11">
        <f>4.144 * CHOOSE(CONTROL!$C$32, $C$9, 100%, $E$9)</f>
        <v>4.1440000000000001</v>
      </c>
      <c r="G100" s="11">
        <f>4.1476 * CHOOSE(CONTROL!$C$32, $C$9, 100%, $E$9)</f>
        <v>4.1475999999999997</v>
      </c>
      <c r="H100" s="11">
        <f>6.6317 * CHOOSE(CONTROL!$C$32, $C$9, 100%, $E$9)</f>
        <v>6.6317000000000004</v>
      </c>
      <c r="I100" s="11">
        <f>6.6353 * CHOOSE(CONTROL!$C$32, $C$9, 100%, $E$9)</f>
        <v>6.6353</v>
      </c>
      <c r="J100" s="11">
        <f>6.6317 * CHOOSE(CONTROL!$C$32, $C$9, 100%, $E$9)</f>
        <v>6.6317000000000004</v>
      </c>
      <c r="K100" s="11">
        <f>6.6353 * CHOOSE(CONTROL!$C$32, $C$9, 100%, $E$9)</f>
        <v>6.6353</v>
      </c>
      <c r="L100" s="11">
        <f>4.144 * CHOOSE(CONTROL!$C$32, $C$9, 100%, $E$9)</f>
        <v>4.1440000000000001</v>
      </c>
      <c r="M100" s="11">
        <f>4.1476 * CHOOSE(CONTROL!$C$32, $C$9, 100%, $E$9)</f>
        <v>4.1475999999999997</v>
      </c>
      <c r="N100" s="11">
        <f>4.144 * CHOOSE(CONTROL!$C$32, $C$9, 100%, $E$9)</f>
        <v>4.1440000000000001</v>
      </c>
      <c r="O100" s="11">
        <f>4.1476 * CHOOSE(CONTROL!$C$32, $C$9, 100%, $E$9)</f>
        <v>4.1475999999999997</v>
      </c>
      <c r="P100" s="14"/>
      <c r="Q100" s="14"/>
      <c r="R100" s="14"/>
    </row>
    <row r="101" spans="1:18" ht="15" x14ac:dyDescent="0.2">
      <c r="A101" s="13">
        <v>43922</v>
      </c>
      <c r="B101" s="9">
        <f>3.2584 * CHOOSE(CONTROL!$C$32, $C$9, 100%, $E$9)</f>
        <v>3.2584</v>
      </c>
      <c r="C101" s="9">
        <f>3.2584 * CHOOSE(CONTROL!$C$32, $C$9, 100%, $E$9)</f>
        <v>3.2584</v>
      </c>
      <c r="D101" s="9">
        <f>3.2594 * CHOOSE(CONTROL!$C$32, $C$9, 100%, $E$9)</f>
        <v>3.2593999999999999</v>
      </c>
      <c r="E101" s="11">
        <f>4.1415 * CHOOSE(CONTROL!$C$32, $C$9, 100%, $E$9)</f>
        <v>4.1414999999999997</v>
      </c>
      <c r="F101" s="11">
        <f>4.1415 * CHOOSE(CONTROL!$C$32, $C$9, 100%, $E$9)</f>
        <v>4.1414999999999997</v>
      </c>
      <c r="G101" s="11">
        <f>4.1451 * CHOOSE(CONTROL!$C$32, $C$9, 100%, $E$9)</f>
        <v>4.1451000000000002</v>
      </c>
      <c r="H101" s="11">
        <f>6.6455 * CHOOSE(CONTROL!$C$32, $C$9, 100%, $E$9)</f>
        <v>6.6455000000000002</v>
      </c>
      <c r="I101" s="11">
        <f>6.6491 * CHOOSE(CONTROL!$C$32, $C$9, 100%, $E$9)</f>
        <v>6.6490999999999998</v>
      </c>
      <c r="J101" s="11">
        <f>6.6455 * CHOOSE(CONTROL!$C$32, $C$9, 100%, $E$9)</f>
        <v>6.6455000000000002</v>
      </c>
      <c r="K101" s="11">
        <f>6.6491 * CHOOSE(CONTROL!$C$32, $C$9, 100%, $E$9)</f>
        <v>6.6490999999999998</v>
      </c>
      <c r="L101" s="11">
        <f>4.1415 * CHOOSE(CONTROL!$C$32, $C$9, 100%, $E$9)</f>
        <v>4.1414999999999997</v>
      </c>
      <c r="M101" s="11">
        <f>4.1451 * CHOOSE(CONTROL!$C$32, $C$9, 100%, $E$9)</f>
        <v>4.1451000000000002</v>
      </c>
      <c r="N101" s="11">
        <f>4.1415 * CHOOSE(CONTROL!$C$32, $C$9, 100%, $E$9)</f>
        <v>4.1414999999999997</v>
      </c>
      <c r="O101" s="11">
        <f>4.1451 * CHOOSE(CONTROL!$C$32, $C$9, 100%, $E$9)</f>
        <v>4.1451000000000002</v>
      </c>
      <c r="P101" s="14"/>
      <c r="Q101" s="14"/>
      <c r="R101" s="14"/>
    </row>
    <row r="102" spans="1:18" ht="15" x14ac:dyDescent="0.2">
      <c r="A102" s="13">
        <v>43952</v>
      </c>
      <c r="B102" s="9">
        <f>3.2584 * CHOOSE(CONTROL!$C$32, $C$9, 100%, $E$9)</f>
        <v>3.2584</v>
      </c>
      <c r="C102" s="9">
        <f>3.2584 * CHOOSE(CONTROL!$C$32, $C$9, 100%, $E$9)</f>
        <v>3.2584</v>
      </c>
      <c r="D102" s="9">
        <f>3.2599 * CHOOSE(CONTROL!$C$32, $C$9, 100%, $E$9)</f>
        <v>3.2599</v>
      </c>
      <c r="E102" s="11">
        <f>4.1415 * CHOOSE(CONTROL!$C$32, $C$9, 100%, $E$9)</f>
        <v>4.1414999999999997</v>
      </c>
      <c r="F102" s="11">
        <f>4.1415 * CHOOSE(CONTROL!$C$32, $C$9, 100%, $E$9)</f>
        <v>4.1414999999999997</v>
      </c>
      <c r="G102" s="11">
        <f>4.1468 * CHOOSE(CONTROL!$C$32, $C$9, 100%, $E$9)</f>
        <v>4.1467999999999998</v>
      </c>
      <c r="H102" s="11">
        <f>6.6594 * CHOOSE(CONTROL!$C$32, $C$9, 100%, $E$9)</f>
        <v>6.6593999999999998</v>
      </c>
      <c r="I102" s="11">
        <f>6.6646 * CHOOSE(CONTROL!$C$32, $C$9, 100%, $E$9)</f>
        <v>6.6646000000000001</v>
      </c>
      <c r="J102" s="11">
        <f>6.6594 * CHOOSE(CONTROL!$C$32, $C$9, 100%, $E$9)</f>
        <v>6.6593999999999998</v>
      </c>
      <c r="K102" s="11">
        <f>6.6646 * CHOOSE(CONTROL!$C$32, $C$9, 100%, $E$9)</f>
        <v>6.6646000000000001</v>
      </c>
      <c r="L102" s="11">
        <f>4.1415 * CHOOSE(CONTROL!$C$32, $C$9, 100%, $E$9)</f>
        <v>4.1414999999999997</v>
      </c>
      <c r="M102" s="11">
        <f>4.1468 * CHOOSE(CONTROL!$C$32, $C$9, 100%, $E$9)</f>
        <v>4.1467999999999998</v>
      </c>
      <c r="N102" s="11">
        <f>4.1415 * CHOOSE(CONTROL!$C$32, $C$9, 100%, $E$9)</f>
        <v>4.1414999999999997</v>
      </c>
      <c r="O102" s="11">
        <f>4.1468 * CHOOSE(CONTROL!$C$32, $C$9, 100%, $E$9)</f>
        <v>4.1467999999999998</v>
      </c>
      <c r="P102" s="14"/>
      <c r="Q102" s="14"/>
      <c r="R102" s="14"/>
    </row>
    <row r="103" spans="1:18" ht="15" x14ac:dyDescent="0.2">
      <c r="A103" s="13">
        <v>43983</v>
      </c>
      <c r="B103" s="9">
        <f>3.2644 * CHOOSE(CONTROL!$C$32, $C$9, 100%, $E$9)</f>
        <v>3.2644000000000002</v>
      </c>
      <c r="C103" s="9">
        <f>3.2644 * CHOOSE(CONTROL!$C$32, $C$9, 100%, $E$9)</f>
        <v>3.2644000000000002</v>
      </c>
      <c r="D103" s="9">
        <f>3.266 * CHOOSE(CONTROL!$C$32, $C$9, 100%, $E$9)</f>
        <v>3.266</v>
      </c>
      <c r="E103" s="11">
        <f>4.1455 * CHOOSE(CONTROL!$C$32, $C$9, 100%, $E$9)</f>
        <v>4.1455000000000002</v>
      </c>
      <c r="F103" s="11">
        <f>4.1455 * CHOOSE(CONTROL!$C$32, $C$9, 100%, $E$9)</f>
        <v>4.1455000000000002</v>
      </c>
      <c r="G103" s="11">
        <f>4.1508 * CHOOSE(CONTROL!$C$32, $C$9, 100%, $E$9)</f>
        <v>4.1508000000000003</v>
      </c>
      <c r="H103" s="11">
        <f>6.6732 * CHOOSE(CONTROL!$C$32, $C$9, 100%, $E$9)</f>
        <v>6.6731999999999996</v>
      </c>
      <c r="I103" s="11">
        <f>6.6785 * CHOOSE(CONTROL!$C$32, $C$9, 100%, $E$9)</f>
        <v>6.6784999999999997</v>
      </c>
      <c r="J103" s="11">
        <f>6.6732 * CHOOSE(CONTROL!$C$32, $C$9, 100%, $E$9)</f>
        <v>6.6731999999999996</v>
      </c>
      <c r="K103" s="11">
        <f>6.6785 * CHOOSE(CONTROL!$C$32, $C$9, 100%, $E$9)</f>
        <v>6.6784999999999997</v>
      </c>
      <c r="L103" s="11">
        <f>4.1455 * CHOOSE(CONTROL!$C$32, $C$9, 100%, $E$9)</f>
        <v>4.1455000000000002</v>
      </c>
      <c r="M103" s="11">
        <f>4.1508 * CHOOSE(CONTROL!$C$32, $C$9, 100%, $E$9)</f>
        <v>4.1508000000000003</v>
      </c>
      <c r="N103" s="11">
        <f>4.1455 * CHOOSE(CONTROL!$C$32, $C$9, 100%, $E$9)</f>
        <v>4.1455000000000002</v>
      </c>
      <c r="O103" s="11">
        <f>4.1508 * CHOOSE(CONTROL!$C$32, $C$9, 100%, $E$9)</f>
        <v>4.1508000000000003</v>
      </c>
      <c r="P103" s="14"/>
      <c r="Q103" s="14"/>
      <c r="R103" s="14"/>
    </row>
    <row r="104" spans="1:18" ht="15" x14ac:dyDescent="0.2">
      <c r="A104" s="13">
        <v>44013</v>
      </c>
      <c r="B104" s="9">
        <f>3.3098 * CHOOSE(CONTROL!$C$32, $C$9, 100%, $E$9)</f>
        <v>3.3098000000000001</v>
      </c>
      <c r="C104" s="9">
        <f>3.3098 * CHOOSE(CONTROL!$C$32, $C$9, 100%, $E$9)</f>
        <v>3.3098000000000001</v>
      </c>
      <c r="D104" s="9">
        <f>3.3114 * CHOOSE(CONTROL!$C$32, $C$9, 100%, $E$9)</f>
        <v>3.3113999999999999</v>
      </c>
      <c r="E104" s="11">
        <f>4.2176 * CHOOSE(CONTROL!$C$32, $C$9, 100%, $E$9)</f>
        <v>4.2176</v>
      </c>
      <c r="F104" s="11">
        <f>4.2176 * CHOOSE(CONTROL!$C$32, $C$9, 100%, $E$9)</f>
        <v>4.2176</v>
      </c>
      <c r="G104" s="11">
        <f>4.2229 * CHOOSE(CONTROL!$C$32, $C$9, 100%, $E$9)</f>
        <v>4.2229000000000001</v>
      </c>
      <c r="H104" s="11">
        <f>6.6871 * CHOOSE(CONTROL!$C$32, $C$9, 100%, $E$9)</f>
        <v>6.6871</v>
      </c>
      <c r="I104" s="11">
        <f>6.6924 * CHOOSE(CONTROL!$C$32, $C$9, 100%, $E$9)</f>
        <v>6.6924000000000001</v>
      </c>
      <c r="J104" s="11">
        <f>6.6871 * CHOOSE(CONTROL!$C$32, $C$9, 100%, $E$9)</f>
        <v>6.6871</v>
      </c>
      <c r="K104" s="11">
        <f>6.6924 * CHOOSE(CONTROL!$C$32, $C$9, 100%, $E$9)</f>
        <v>6.6924000000000001</v>
      </c>
      <c r="L104" s="11">
        <f>4.2176 * CHOOSE(CONTROL!$C$32, $C$9, 100%, $E$9)</f>
        <v>4.2176</v>
      </c>
      <c r="M104" s="11">
        <f>4.2229 * CHOOSE(CONTROL!$C$32, $C$9, 100%, $E$9)</f>
        <v>4.2229000000000001</v>
      </c>
      <c r="N104" s="11">
        <f>4.2176 * CHOOSE(CONTROL!$C$32, $C$9, 100%, $E$9)</f>
        <v>4.2176</v>
      </c>
      <c r="O104" s="11">
        <f>4.2229 * CHOOSE(CONTROL!$C$32, $C$9, 100%, $E$9)</f>
        <v>4.2229000000000001</v>
      </c>
      <c r="P104" s="14"/>
      <c r="Q104" s="14"/>
      <c r="R104" s="14"/>
    </row>
    <row r="105" spans="1:18" ht="15" x14ac:dyDescent="0.2">
      <c r="A105" s="13">
        <v>44044</v>
      </c>
      <c r="B105" s="9">
        <f>3.3165 * CHOOSE(CONTROL!$C$32, $C$9, 100%, $E$9)</f>
        <v>3.3165</v>
      </c>
      <c r="C105" s="9">
        <f>3.3165 * CHOOSE(CONTROL!$C$32, $C$9, 100%, $E$9)</f>
        <v>3.3165</v>
      </c>
      <c r="D105" s="9">
        <f>3.3181 * CHOOSE(CONTROL!$C$32, $C$9, 100%, $E$9)</f>
        <v>3.3180999999999998</v>
      </c>
      <c r="E105" s="11">
        <f>4.222 * CHOOSE(CONTROL!$C$32, $C$9, 100%, $E$9)</f>
        <v>4.2220000000000004</v>
      </c>
      <c r="F105" s="11">
        <f>4.222 * CHOOSE(CONTROL!$C$32, $C$9, 100%, $E$9)</f>
        <v>4.2220000000000004</v>
      </c>
      <c r="G105" s="11">
        <f>4.2273 * CHOOSE(CONTROL!$C$32, $C$9, 100%, $E$9)</f>
        <v>4.2272999999999996</v>
      </c>
      <c r="H105" s="11">
        <f>6.7011 * CHOOSE(CONTROL!$C$32, $C$9, 100%, $E$9)</f>
        <v>6.7011000000000003</v>
      </c>
      <c r="I105" s="11">
        <f>6.7064 * CHOOSE(CONTROL!$C$32, $C$9, 100%, $E$9)</f>
        <v>6.7064000000000004</v>
      </c>
      <c r="J105" s="11">
        <f>6.7011 * CHOOSE(CONTROL!$C$32, $C$9, 100%, $E$9)</f>
        <v>6.7011000000000003</v>
      </c>
      <c r="K105" s="11">
        <f>6.7064 * CHOOSE(CONTROL!$C$32, $C$9, 100%, $E$9)</f>
        <v>6.7064000000000004</v>
      </c>
      <c r="L105" s="11">
        <f>4.222 * CHOOSE(CONTROL!$C$32, $C$9, 100%, $E$9)</f>
        <v>4.2220000000000004</v>
      </c>
      <c r="M105" s="11">
        <f>4.2273 * CHOOSE(CONTROL!$C$32, $C$9, 100%, $E$9)</f>
        <v>4.2272999999999996</v>
      </c>
      <c r="N105" s="11">
        <f>4.222 * CHOOSE(CONTROL!$C$32, $C$9, 100%, $E$9)</f>
        <v>4.2220000000000004</v>
      </c>
      <c r="O105" s="11">
        <f>4.2273 * CHOOSE(CONTROL!$C$32, $C$9, 100%, $E$9)</f>
        <v>4.2272999999999996</v>
      </c>
      <c r="P105" s="14"/>
      <c r="Q105" s="14"/>
      <c r="R105" s="14"/>
    </row>
    <row r="106" spans="1:18" ht="15" x14ac:dyDescent="0.2">
      <c r="A106" s="13">
        <v>44075</v>
      </c>
      <c r="B106" s="9">
        <f>3.3135 * CHOOSE(CONTROL!$C$32, $C$9, 100%, $E$9)</f>
        <v>3.3134999999999999</v>
      </c>
      <c r="C106" s="9">
        <f>3.3135 * CHOOSE(CONTROL!$C$32, $C$9, 100%, $E$9)</f>
        <v>3.3134999999999999</v>
      </c>
      <c r="D106" s="9">
        <f>3.3151 * CHOOSE(CONTROL!$C$32, $C$9, 100%, $E$9)</f>
        <v>3.3151000000000002</v>
      </c>
      <c r="E106" s="11">
        <f>4.22 * CHOOSE(CONTROL!$C$32, $C$9, 100%, $E$9)</f>
        <v>4.22</v>
      </c>
      <c r="F106" s="11">
        <f>4.22 * CHOOSE(CONTROL!$C$32, $C$9, 100%, $E$9)</f>
        <v>4.22</v>
      </c>
      <c r="G106" s="11">
        <f>4.2253 * CHOOSE(CONTROL!$C$32, $C$9, 100%, $E$9)</f>
        <v>4.2252999999999998</v>
      </c>
      <c r="H106" s="11">
        <f>6.715 * CHOOSE(CONTROL!$C$32, $C$9, 100%, $E$9)</f>
        <v>6.7149999999999999</v>
      </c>
      <c r="I106" s="11">
        <f>6.7203 * CHOOSE(CONTROL!$C$32, $C$9, 100%, $E$9)</f>
        <v>6.7202999999999999</v>
      </c>
      <c r="J106" s="11">
        <f>6.715 * CHOOSE(CONTROL!$C$32, $C$9, 100%, $E$9)</f>
        <v>6.7149999999999999</v>
      </c>
      <c r="K106" s="11">
        <f>6.7203 * CHOOSE(CONTROL!$C$32, $C$9, 100%, $E$9)</f>
        <v>6.7202999999999999</v>
      </c>
      <c r="L106" s="11">
        <f>4.22 * CHOOSE(CONTROL!$C$32, $C$9, 100%, $E$9)</f>
        <v>4.22</v>
      </c>
      <c r="M106" s="11">
        <f>4.2253 * CHOOSE(CONTROL!$C$32, $C$9, 100%, $E$9)</f>
        <v>4.2252999999999998</v>
      </c>
      <c r="N106" s="11">
        <f>4.22 * CHOOSE(CONTROL!$C$32, $C$9, 100%, $E$9)</f>
        <v>4.22</v>
      </c>
      <c r="O106" s="11">
        <f>4.2253 * CHOOSE(CONTROL!$C$32, $C$9, 100%, $E$9)</f>
        <v>4.2252999999999998</v>
      </c>
      <c r="P106" s="14"/>
      <c r="Q106" s="14"/>
      <c r="R106" s="14"/>
    </row>
    <row r="107" spans="1:18" ht="15" x14ac:dyDescent="0.2">
      <c r="A107" s="13">
        <v>44105</v>
      </c>
      <c r="B107" s="9">
        <f>3.3061 * CHOOSE(CONTROL!$C$32, $C$9, 100%, $E$9)</f>
        <v>3.3060999999999998</v>
      </c>
      <c r="C107" s="9">
        <f>3.3061 * CHOOSE(CONTROL!$C$32, $C$9, 100%, $E$9)</f>
        <v>3.3060999999999998</v>
      </c>
      <c r="D107" s="9">
        <f>3.3072 * CHOOSE(CONTROL!$C$32, $C$9, 100%, $E$9)</f>
        <v>3.3071999999999999</v>
      </c>
      <c r="E107" s="11">
        <f>4.2135 * CHOOSE(CONTROL!$C$32, $C$9, 100%, $E$9)</f>
        <v>4.2134999999999998</v>
      </c>
      <c r="F107" s="11">
        <f>4.2135 * CHOOSE(CONTROL!$C$32, $C$9, 100%, $E$9)</f>
        <v>4.2134999999999998</v>
      </c>
      <c r="G107" s="11">
        <f>4.2171 * CHOOSE(CONTROL!$C$32, $C$9, 100%, $E$9)</f>
        <v>4.2171000000000003</v>
      </c>
      <c r="H107" s="11">
        <f>6.729 * CHOOSE(CONTROL!$C$32, $C$9, 100%, $E$9)</f>
        <v>6.7290000000000001</v>
      </c>
      <c r="I107" s="11">
        <f>6.7326 * CHOOSE(CONTROL!$C$32, $C$9, 100%, $E$9)</f>
        <v>6.7325999999999997</v>
      </c>
      <c r="J107" s="11">
        <f>6.729 * CHOOSE(CONTROL!$C$32, $C$9, 100%, $E$9)</f>
        <v>6.7290000000000001</v>
      </c>
      <c r="K107" s="11">
        <f>6.7326 * CHOOSE(CONTROL!$C$32, $C$9, 100%, $E$9)</f>
        <v>6.7325999999999997</v>
      </c>
      <c r="L107" s="11">
        <f>4.2135 * CHOOSE(CONTROL!$C$32, $C$9, 100%, $E$9)</f>
        <v>4.2134999999999998</v>
      </c>
      <c r="M107" s="11">
        <f>4.2171 * CHOOSE(CONTROL!$C$32, $C$9, 100%, $E$9)</f>
        <v>4.2171000000000003</v>
      </c>
      <c r="N107" s="11">
        <f>4.2135 * CHOOSE(CONTROL!$C$32, $C$9, 100%, $E$9)</f>
        <v>4.2134999999999998</v>
      </c>
      <c r="O107" s="11">
        <f>4.2171 * CHOOSE(CONTROL!$C$32, $C$9, 100%, $E$9)</f>
        <v>4.2171000000000003</v>
      </c>
      <c r="P107" s="14"/>
      <c r="Q107" s="14"/>
      <c r="R107" s="14"/>
    </row>
    <row r="108" spans="1:18" ht="15" x14ac:dyDescent="0.2">
      <c r="A108" s="13">
        <v>44136</v>
      </c>
      <c r="B108" s="9">
        <f>3.3092 * CHOOSE(CONTROL!$C$32, $C$9, 100%, $E$9)</f>
        <v>3.3092000000000001</v>
      </c>
      <c r="C108" s="9">
        <f>3.3092 * CHOOSE(CONTROL!$C$32, $C$9, 100%, $E$9)</f>
        <v>3.3092000000000001</v>
      </c>
      <c r="D108" s="9">
        <f>3.3103 * CHOOSE(CONTROL!$C$32, $C$9, 100%, $E$9)</f>
        <v>3.3102999999999998</v>
      </c>
      <c r="E108" s="11">
        <f>4.2155 * CHOOSE(CONTROL!$C$32, $C$9, 100%, $E$9)</f>
        <v>4.2154999999999996</v>
      </c>
      <c r="F108" s="11">
        <f>4.2155 * CHOOSE(CONTROL!$C$32, $C$9, 100%, $E$9)</f>
        <v>4.2154999999999996</v>
      </c>
      <c r="G108" s="11">
        <f>4.2191 * CHOOSE(CONTROL!$C$32, $C$9, 100%, $E$9)</f>
        <v>4.2191000000000001</v>
      </c>
      <c r="H108" s="11">
        <f>6.743 * CHOOSE(CONTROL!$C$32, $C$9, 100%, $E$9)</f>
        <v>6.7430000000000003</v>
      </c>
      <c r="I108" s="11">
        <f>6.7466 * CHOOSE(CONTROL!$C$32, $C$9, 100%, $E$9)</f>
        <v>6.7465999999999999</v>
      </c>
      <c r="J108" s="11">
        <f>6.743 * CHOOSE(CONTROL!$C$32, $C$9, 100%, $E$9)</f>
        <v>6.7430000000000003</v>
      </c>
      <c r="K108" s="11">
        <f>6.7466 * CHOOSE(CONTROL!$C$32, $C$9, 100%, $E$9)</f>
        <v>6.7465999999999999</v>
      </c>
      <c r="L108" s="11">
        <f>4.2155 * CHOOSE(CONTROL!$C$32, $C$9, 100%, $E$9)</f>
        <v>4.2154999999999996</v>
      </c>
      <c r="M108" s="11">
        <f>4.2191 * CHOOSE(CONTROL!$C$32, $C$9, 100%, $E$9)</f>
        <v>4.2191000000000001</v>
      </c>
      <c r="N108" s="11">
        <f>4.2155 * CHOOSE(CONTROL!$C$32, $C$9, 100%, $E$9)</f>
        <v>4.2154999999999996</v>
      </c>
      <c r="O108" s="11">
        <f>4.2191 * CHOOSE(CONTROL!$C$32, $C$9, 100%, $E$9)</f>
        <v>4.2191000000000001</v>
      </c>
      <c r="P108" s="14"/>
      <c r="Q108" s="14"/>
      <c r="R108" s="14"/>
    </row>
    <row r="109" spans="1:18" ht="15" x14ac:dyDescent="0.2">
      <c r="A109" s="13">
        <v>44166</v>
      </c>
      <c r="B109" s="9">
        <f>3.3092 * CHOOSE(CONTROL!$C$32, $C$9, 100%, $E$9)</f>
        <v>3.3092000000000001</v>
      </c>
      <c r="C109" s="9">
        <f>3.3092 * CHOOSE(CONTROL!$C$32, $C$9, 100%, $E$9)</f>
        <v>3.3092000000000001</v>
      </c>
      <c r="D109" s="9">
        <f>3.3103 * CHOOSE(CONTROL!$C$32, $C$9, 100%, $E$9)</f>
        <v>3.3102999999999998</v>
      </c>
      <c r="E109" s="11">
        <f>4.2155 * CHOOSE(CONTROL!$C$32, $C$9, 100%, $E$9)</f>
        <v>4.2154999999999996</v>
      </c>
      <c r="F109" s="11">
        <f>4.2155 * CHOOSE(CONTROL!$C$32, $C$9, 100%, $E$9)</f>
        <v>4.2154999999999996</v>
      </c>
      <c r="G109" s="11">
        <f>4.2191 * CHOOSE(CONTROL!$C$32, $C$9, 100%, $E$9)</f>
        <v>4.2191000000000001</v>
      </c>
      <c r="H109" s="11">
        <f>6.7571 * CHOOSE(CONTROL!$C$32, $C$9, 100%, $E$9)</f>
        <v>6.7571000000000003</v>
      </c>
      <c r="I109" s="11">
        <f>6.7607 * CHOOSE(CONTROL!$C$32, $C$9, 100%, $E$9)</f>
        <v>6.7606999999999999</v>
      </c>
      <c r="J109" s="11">
        <f>6.7571 * CHOOSE(CONTROL!$C$32, $C$9, 100%, $E$9)</f>
        <v>6.7571000000000003</v>
      </c>
      <c r="K109" s="11">
        <f>6.7607 * CHOOSE(CONTROL!$C$32, $C$9, 100%, $E$9)</f>
        <v>6.7606999999999999</v>
      </c>
      <c r="L109" s="11">
        <f>4.2155 * CHOOSE(CONTROL!$C$32, $C$9, 100%, $E$9)</f>
        <v>4.2154999999999996</v>
      </c>
      <c r="M109" s="11">
        <f>4.2191 * CHOOSE(CONTROL!$C$32, $C$9, 100%, $E$9)</f>
        <v>4.2191000000000001</v>
      </c>
      <c r="N109" s="11">
        <f>4.2155 * CHOOSE(CONTROL!$C$32, $C$9, 100%, $E$9)</f>
        <v>4.2154999999999996</v>
      </c>
      <c r="O109" s="11">
        <f>4.2191 * CHOOSE(CONTROL!$C$32, $C$9, 100%, $E$9)</f>
        <v>4.2191000000000001</v>
      </c>
      <c r="P109" s="14"/>
      <c r="Q109" s="14"/>
      <c r="R109" s="14"/>
    </row>
    <row r="110" spans="1:18" ht="15" x14ac:dyDescent="0.2">
      <c r="A110" s="13">
        <v>44197</v>
      </c>
      <c r="B110" s="9">
        <f>3.3407 * CHOOSE(CONTROL!$C$32, $C$9, 100%, $E$9)</f>
        <v>3.3407</v>
      </c>
      <c r="C110" s="9">
        <f>3.3407 * CHOOSE(CONTROL!$C$32, $C$9, 100%, $E$9)</f>
        <v>3.3407</v>
      </c>
      <c r="D110" s="9">
        <f>3.3417 * CHOOSE(CONTROL!$C$32, $C$9, 100%, $E$9)</f>
        <v>3.3416999999999999</v>
      </c>
      <c r="E110" s="11">
        <f>4.2457 * CHOOSE(CONTROL!$C$32, $C$9, 100%, $E$9)</f>
        <v>4.2457000000000003</v>
      </c>
      <c r="F110" s="11">
        <f>4.2457 * CHOOSE(CONTROL!$C$32, $C$9, 100%, $E$9)</f>
        <v>4.2457000000000003</v>
      </c>
      <c r="G110" s="11">
        <f>4.2494 * CHOOSE(CONTROL!$C$32, $C$9, 100%, $E$9)</f>
        <v>4.2493999999999996</v>
      </c>
      <c r="H110" s="11">
        <f>6.7712 * CHOOSE(CONTROL!$C$32, $C$9, 100%, $E$9)</f>
        <v>6.7712000000000003</v>
      </c>
      <c r="I110" s="11">
        <f>6.7748 * CHOOSE(CONTROL!$C$32, $C$9, 100%, $E$9)</f>
        <v>6.7747999999999999</v>
      </c>
      <c r="J110" s="11">
        <f>6.7712 * CHOOSE(CONTROL!$C$32, $C$9, 100%, $E$9)</f>
        <v>6.7712000000000003</v>
      </c>
      <c r="K110" s="11">
        <f>6.7748 * CHOOSE(CONTROL!$C$32, $C$9, 100%, $E$9)</f>
        <v>6.7747999999999999</v>
      </c>
      <c r="L110" s="11">
        <f>4.2457 * CHOOSE(CONTROL!$C$32, $C$9, 100%, $E$9)</f>
        <v>4.2457000000000003</v>
      </c>
      <c r="M110" s="11">
        <f>4.2494 * CHOOSE(CONTROL!$C$32, $C$9, 100%, $E$9)</f>
        <v>4.2493999999999996</v>
      </c>
      <c r="N110" s="11">
        <f>4.2457 * CHOOSE(CONTROL!$C$32, $C$9, 100%, $E$9)</f>
        <v>4.2457000000000003</v>
      </c>
      <c r="O110" s="11">
        <f>4.2494 * CHOOSE(CONTROL!$C$32, $C$9, 100%, $E$9)</f>
        <v>4.2493999999999996</v>
      </c>
      <c r="P110" s="14"/>
      <c r="Q110" s="14"/>
      <c r="R110" s="14"/>
    </row>
    <row r="111" spans="1:18" ht="15" x14ac:dyDescent="0.2">
      <c r="A111" s="13">
        <v>44228</v>
      </c>
      <c r="B111" s="9">
        <f>3.3376 * CHOOSE(CONTROL!$C$32, $C$9, 100%, $E$9)</f>
        <v>3.3376000000000001</v>
      </c>
      <c r="C111" s="9">
        <f>3.3376 * CHOOSE(CONTROL!$C$32, $C$9, 100%, $E$9)</f>
        <v>3.3376000000000001</v>
      </c>
      <c r="D111" s="9">
        <f>3.3387 * CHOOSE(CONTROL!$C$32, $C$9, 100%, $E$9)</f>
        <v>3.3386999999999998</v>
      </c>
      <c r="E111" s="11">
        <f>4.2437 * CHOOSE(CONTROL!$C$32, $C$9, 100%, $E$9)</f>
        <v>4.2436999999999996</v>
      </c>
      <c r="F111" s="11">
        <f>4.2437 * CHOOSE(CONTROL!$C$32, $C$9, 100%, $E$9)</f>
        <v>4.2436999999999996</v>
      </c>
      <c r="G111" s="11">
        <f>4.2474 * CHOOSE(CONTROL!$C$32, $C$9, 100%, $E$9)</f>
        <v>4.2473999999999998</v>
      </c>
      <c r="H111" s="11">
        <f>6.7853 * CHOOSE(CONTROL!$C$32, $C$9, 100%, $E$9)</f>
        <v>6.7853000000000003</v>
      </c>
      <c r="I111" s="11">
        <f>6.7889 * CHOOSE(CONTROL!$C$32, $C$9, 100%, $E$9)</f>
        <v>6.7888999999999999</v>
      </c>
      <c r="J111" s="11">
        <f>6.7853 * CHOOSE(CONTROL!$C$32, $C$9, 100%, $E$9)</f>
        <v>6.7853000000000003</v>
      </c>
      <c r="K111" s="11">
        <f>6.7889 * CHOOSE(CONTROL!$C$32, $C$9, 100%, $E$9)</f>
        <v>6.7888999999999999</v>
      </c>
      <c r="L111" s="11">
        <f>4.2437 * CHOOSE(CONTROL!$C$32, $C$9, 100%, $E$9)</f>
        <v>4.2436999999999996</v>
      </c>
      <c r="M111" s="11">
        <f>4.2474 * CHOOSE(CONTROL!$C$32, $C$9, 100%, $E$9)</f>
        <v>4.2473999999999998</v>
      </c>
      <c r="N111" s="11">
        <f>4.2437 * CHOOSE(CONTROL!$C$32, $C$9, 100%, $E$9)</f>
        <v>4.2436999999999996</v>
      </c>
      <c r="O111" s="11">
        <f>4.2474 * CHOOSE(CONTROL!$C$32, $C$9, 100%, $E$9)</f>
        <v>4.2473999999999998</v>
      </c>
      <c r="P111" s="14"/>
      <c r="Q111" s="14"/>
      <c r="R111" s="14"/>
    </row>
    <row r="112" spans="1:18" ht="15" x14ac:dyDescent="0.2">
      <c r="A112" s="13">
        <v>44256</v>
      </c>
      <c r="B112" s="9">
        <f>3.3346 * CHOOSE(CONTROL!$C$32, $C$9, 100%, $E$9)</f>
        <v>3.3346</v>
      </c>
      <c r="C112" s="9">
        <f>3.3346 * CHOOSE(CONTROL!$C$32, $C$9, 100%, $E$9)</f>
        <v>3.3346</v>
      </c>
      <c r="D112" s="9">
        <f>3.3357 * CHOOSE(CONTROL!$C$32, $C$9, 100%, $E$9)</f>
        <v>3.3357000000000001</v>
      </c>
      <c r="E112" s="11">
        <f>4.2417 * CHOOSE(CONTROL!$C$32, $C$9, 100%, $E$9)</f>
        <v>4.2416999999999998</v>
      </c>
      <c r="F112" s="11">
        <f>4.2417 * CHOOSE(CONTROL!$C$32, $C$9, 100%, $E$9)</f>
        <v>4.2416999999999998</v>
      </c>
      <c r="G112" s="11">
        <f>4.2454 * CHOOSE(CONTROL!$C$32, $C$9, 100%, $E$9)</f>
        <v>4.2454000000000001</v>
      </c>
      <c r="H112" s="11">
        <f>6.7994 * CHOOSE(CONTROL!$C$32, $C$9, 100%, $E$9)</f>
        <v>6.7994000000000003</v>
      </c>
      <c r="I112" s="11">
        <f>6.803 * CHOOSE(CONTROL!$C$32, $C$9, 100%, $E$9)</f>
        <v>6.8029999999999999</v>
      </c>
      <c r="J112" s="11">
        <f>6.7994 * CHOOSE(CONTROL!$C$32, $C$9, 100%, $E$9)</f>
        <v>6.7994000000000003</v>
      </c>
      <c r="K112" s="11">
        <f>6.803 * CHOOSE(CONTROL!$C$32, $C$9, 100%, $E$9)</f>
        <v>6.8029999999999999</v>
      </c>
      <c r="L112" s="11">
        <f>4.2417 * CHOOSE(CONTROL!$C$32, $C$9, 100%, $E$9)</f>
        <v>4.2416999999999998</v>
      </c>
      <c r="M112" s="11">
        <f>4.2454 * CHOOSE(CONTROL!$C$32, $C$9, 100%, $E$9)</f>
        <v>4.2454000000000001</v>
      </c>
      <c r="N112" s="11">
        <f>4.2417 * CHOOSE(CONTROL!$C$32, $C$9, 100%, $E$9)</f>
        <v>4.2416999999999998</v>
      </c>
      <c r="O112" s="11">
        <f>4.2454 * CHOOSE(CONTROL!$C$32, $C$9, 100%, $E$9)</f>
        <v>4.2454000000000001</v>
      </c>
      <c r="P112" s="14"/>
      <c r="Q112" s="14"/>
      <c r="R112" s="14"/>
    </row>
    <row r="113" spans="1:18" ht="15" x14ac:dyDescent="0.2">
      <c r="A113" s="13">
        <v>44287</v>
      </c>
      <c r="B113" s="9">
        <f>3.3316 * CHOOSE(CONTROL!$C$32, $C$9, 100%, $E$9)</f>
        <v>3.3315999999999999</v>
      </c>
      <c r="C113" s="9">
        <f>3.3316 * CHOOSE(CONTROL!$C$32, $C$9, 100%, $E$9)</f>
        <v>3.3315999999999999</v>
      </c>
      <c r="D113" s="9">
        <f>3.3327 * CHOOSE(CONTROL!$C$32, $C$9, 100%, $E$9)</f>
        <v>3.3327</v>
      </c>
      <c r="E113" s="11">
        <f>4.2394 * CHOOSE(CONTROL!$C$32, $C$9, 100%, $E$9)</f>
        <v>4.2393999999999998</v>
      </c>
      <c r="F113" s="11">
        <f>4.2394 * CHOOSE(CONTROL!$C$32, $C$9, 100%, $E$9)</f>
        <v>4.2393999999999998</v>
      </c>
      <c r="G113" s="11">
        <f>4.243 * CHOOSE(CONTROL!$C$32, $C$9, 100%, $E$9)</f>
        <v>4.2430000000000003</v>
      </c>
      <c r="H113" s="11">
        <f>6.8136 * CHOOSE(CONTROL!$C$32, $C$9, 100%, $E$9)</f>
        <v>6.8136000000000001</v>
      </c>
      <c r="I113" s="11">
        <f>6.8172 * CHOOSE(CONTROL!$C$32, $C$9, 100%, $E$9)</f>
        <v>6.8171999999999997</v>
      </c>
      <c r="J113" s="11">
        <f>6.8136 * CHOOSE(CONTROL!$C$32, $C$9, 100%, $E$9)</f>
        <v>6.8136000000000001</v>
      </c>
      <c r="K113" s="11">
        <f>6.8172 * CHOOSE(CONTROL!$C$32, $C$9, 100%, $E$9)</f>
        <v>6.8171999999999997</v>
      </c>
      <c r="L113" s="11">
        <f>4.2394 * CHOOSE(CONTROL!$C$32, $C$9, 100%, $E$9)</f>
        <v>4.2393999999999998</v>
      </c>
      <c r="M113" s="11">
        <f>4.243 * CHOOSE(CONTROL!$C$32, $C$9, 100%, $E$9)</f>
        <v>4.2430000000000003</v>
      </c>
      <c r="N113" s="11">
        <f>4.2394 * CHOOSE(CONTROL!$C$32, $C$9, 100%, $E$9)</f>
        <v>4.2393999999999998</v>
      </c>
      <c r="O113" s="11">
        <f>4.243 * CHOOSE(CONTROL!$C$32, $C$9, 100%, $E$9)</f>
        <v>4.2430000000000003</v>
      </c>
      <c r="P113" s="14"/>
      <c r="Q113" s="14"/>
      <c r="R113" s="14"/>
    </row>
    <row r="114" spans="1:18" ht="15" x14ac:dyDescent="0.2">
      <c r="A114" s="13">
        <v>44317</v>
      </c>
      <c r="B114" s="9">
        <f>3.3316 * CHOOSE(CONTROL!$C$32, $C$9, 100%, $E$9)</f>
        <v>3.3315999999999999</v>
      </c>
      <c r="C114" s="9">
        <f>3.3316 * CHOOSE(CONTROL!$C$32, $C$9, 100%, $E$9)</f>
        <v>3.3315999999999999</v>
      </c>
      <c r="D114" s="9">
        <f>3.3332 * CHOOSE(CONTROL!$C$32, $C$9, 100%, $E$9)</f>
        <v>3.3332000000000002</v>
      </c>
      <c r="E114" s="11">
        <f>4.2394 * CHOOSE(CONTROL!$C$32, $C$9, 100%, $E$9)</f>
        <v>4.2393999999999998</v>
      </c>
      <c r="F114" s="11">
        <f>4.2394 * CHOOSE(CONTROL!$C$32, $C$9, 100%, $E$9)</f>
        <v>4.2393999999999998</v>
      </c>
      <c r="G114" s="11">
        <f>4.2447 * CHOOSE(CONTROL!$C$32, $C$9, 100%, $E$9)</f>
        <v>4.2446999999999999</v>
      </c>
      <c r="H114" s="11">
        <f>6.8278 * CHOOSE(CONTROL!$C$32, $C$9, 100%, $E$9)</f>
        <v>6.8277999999999999</v>
      </c>
      <c r="I114" s="11">
        <f>6.8331 * CHOOSE(CONTROL!$C$32, $C$9, 100%, $E$9)</f>
        <v>6.8331</v>
      </c>
      <c r="J114" s="11">
        <f>6.8278 * CHOOSE(CONTROL!$C$32, $C$9, 100%, $E$9)</f>
        <v>6.8277999999999999</v>
      </c>
      <c r="K114" s="11">
        <f>6.8331 * CHOOSE(CONTROL!$C$32, $C$9, 100%, $E$9)</f>
        <v>6.8331</v>
      </c>
      <c r="L114" s="11">
        <f>4.2394 * CHOOSE(CONTROL!$C$32, $C$9, 100%, $E$9)</f>
        <v>4.2393999999999998</v>
      </c>
      <c r="M114" s="11">
        <f>4.2447 * CHOOSE(CONTROL!$C$32, $C$9, 100%, $E$9)</f>
        <v>4.2446999999999999</v>
      </c>
      <c r="N114" s="11">
        <f>4.2394 * CHOOSE(CONTROL!$C$32, $C$9, 100%, $E$9)</f>
        <v>4.2393999999999998</v>
      </c>
      <c r="O114" s="11">
        <f>4.2447 * CHOOSE(CONTROL!$C$32, $C$9, 100%, $E$9)</f>
        <v>4.2446999999999999</v>
      </c>
      <c r="P114" s="14"/>
      <c r="Q114" s="14"/>
      <c r="R114" s="14"/>
    </row>
    <row r="115" spans="1:18" ht="15" x14ac:dyDescent="0.2">
      <c r="A115" s="13">
        <v>44348</v>
      </c>
      <c r="B115" s="9">
        <f>3.3377 * CHOOSE(CONTROL!$C$32, $C$9, 100%, $E$9)</f>
        <v>3.3376999999999999</v>
      </c>
      <c r="C115" s="9">
        <f>3.3377 * CHOOSE(CONTROL!$C$32, $C$9, 100%, $E$9)</f>
        <v>3.3376999999999999</v>
      </c>
      <c r="D115" s="9">
        <f>3.3393 * CHOOSE(CONTROL!$C$32, $C$9, 100%, $E$9)</f>
        <v>3.3393000000000002</v>
      </c>
      <c r="E115" s="11">
        <f>4.2434 * CHOOSE(CONTROL!$C$32, $C$9, 100%, $E$9)</f>
        <v>4.2434000000000003</v>
      </c>
      <c r="F115" s="11">
        <f>4.2434 * CHOOSE(CONTROL!$C$32, $C$9, 100%, $E$9)</f>
        <v>4.2434000000000003</v>
      </c>
      <c r="G115" s="11">
        <f>4.2487 * CHOOSE(CONTROL!$C$32, $C$9, 100%, $E$9)</f>
        <v>4.2487000000000004</v>
      </c>
      <c r="H115" s="11">
        <f>6.842 * CHOOSE(CONTROL!$C$32, $C$9, 100%, $E$9)</f>
        <v>6.8419999999999996</v>
      </c>
      <c r="I115" s="11">
        <f>6.8473 * CHOOSE(CONTROL!$C$32, $C$9, 100%, $E$9)</f>
        <v>6.8472999999999997</v>
      </c>
      <c r="J115" s="11">
        <f>6.842 * CHOOSE(CONTROL!$C$32, $C$9, 100%, $E$9)</f>
        <v>6.8419999999999996</v>
      </c>
      <c r="K115" s="11">
        <f>6.8473 * CHOOSE(CONTROL!$C$32, $C$9, 100%, $E$9)</f>
        <v>6.8472999999999997</v>
      </c>
      <c r="L115" s="11">
        <f>4.2434 * CHOOSE(CONTROL!$C$32, $C$9, 100%, $E$9)</f>
        <v>4.2434000000000003</v>
      </c>
      <c r="M115" s="11">
        <f>4.2487 * CHOOSE(CONTROL!$C$32, $C$9, 100%, $E$9)</f>
        <v>4.2487000000000004</v>
      </c>
      <c r="N115" s="11">
        <f>4.2434 * CHOOSE(CONTROL!$C$32, $C$9, 100%, $E$9)</f>
        <v>4.2434000000000003</v>
      </c>
      <c r="O115" s="11">
        <f>4.2487 * CHOOSE(CONTROL!$C$32, $C$9, 100%, $E$9)</f>
        <v>4.2487000000000004</v>
      </c>
      <c r="P115" s="14"/>
      <c r="Q115" s="14"/>
      <c r="R115" s="14"/>
    </row>
    <row r="116" spans="1:18" ht="15" x14ac:dyDescent="0.2">
      <c r="A116" s="13">
        <v>44378</v>
      </c>
      <c r="B116" s="9">
        <f>3.3976 * CHOOSE(CONTROL!$C$32, $C$9, 100%, $E$9)</f>
        <v>3.3976000000000002</v>
      </c>
      <c r="C116" s="9">
        <f>3.3976 * CHOOSE(CONTROL!$C$32, $C$9, 100%, $E$9)</f>
        <v>3.3976000000000002</v>
      </c>
      <c r="D116" s="9">
        <f>3.3992 * CHOOSE(CONTROL!$C$32, $C$9, 100%, $E$9)</f>
        <v>3.3992</v>
      </c>
      <c r="E116" s="11">
        <f>4.3089 * CHOOSE(CONTROL!$C$32, $C$9, 100%, $E$9)</f>
        <v>4.3089000000000004</v>
      </c>
      <c r="F116" s="11">
        <f>4.3089 * CHOOSE(CONTROL!$C$32, $C$9, 100%, $E$9)</f>
        <v>4.3089000000000004</v>
      </c>
      <c r="G116" s="11">
        <f>4.3142 * CHOOSE(CONTROL!$C$32, $C$9, 100%, $E$9)</f>
        <v>4.3141999999999996</v>
      </c>
      <c r="H116" s="11">
        <f>6.8562 * CHOOSE(CONTROL!$C$32, $C$9, 100%, $E$9)</f>
        <v>6.8562000000000003</v>
      </c>
      <c r="I116" s="11">
        <f>6.8615 * CHOOSE(CONTROL!$C$32, $C$9, 100%, $E$9)</f>
        <v>6.8615000000000004</v>
      </c>
      <c r="J116" s="11">
        <f>6.8562 * CHOOSE(CONTROL!$C$32, $C$9, 100%, $E$9)</f>
        <v>6.8562000000000003</v>
      </c>
      <c r="K116" s="11">
        <f>6.8615 * CHOOSE(CONTROL!$C$32, $C$9, 100%, $E$9)</f>
        <v>6.8615000000000004</v>
      </c>
      <c r="L116" s="11">
        <f>4.3089 * CHOOSE(CONTROL!$C$32, $C$9, 100%, $E$9)</f>
        <v>4.3089000000000004</v>
      </c>
      <c r="M116" s="11">
        <f>4.3142 * CHOOSE(CONTROL!$C$32, $C$9, 100%, $E$9)</f>
        <v>4.3141999999999996</v>
      </c>
      <c r="N116" s="11">
        <f>4.3089 * CHOOSE(CONTROL!$C$32, $C$9, 100%, $E$9)</f>
        <v>4.3089000000000004</v>
      </c>
      <c r="O116" s="11">
        <f>4.3142 * CHOOSE(CONTROL!$C$32, $C$9, 100%, $E$9)</f>
        <v>4.3141999999999996</v>
      </c>
      <c r="P116" s="14"/>
      <c r="Q116" s="14"/>
      <c r="R116" s="14"/>
    </row>
    <row r="117" spans="1:18" ht="15" x14ac:dyDescent="0.2">
      <c r="A117" s="13">
        <v>44409</v>
      </c>
      <c r="B117" s="9">
        <f>3.4043 * CHOOSE(CONTROL!$C$32, $C$9, 100%, $E$9)</f>
        <v>3.4043000000000001</v>
      </c>
      <c r="C117" s="9">
        <f>3.4043 * CHOOSE(CONTROL!$C$32, $C$9, 100%, $E$9)</f>
        <v>3.4043000000000001</v>
      </c>
      <c r="D117" s="9">
        <f>3.4059 * CHOOSE(CONTROL!$C$32, $C$9, 100%, $E$9)</f>
        <v>3.4058999999999999</v>
      </c>
      <c r="E117" s="11">
        <f>4.3133 * CHOOSE(CONTROL!$C$32, $C$9, 100%, $E$9)</f>
        <v>4.3132999999999999</v>
      </c>
      <c r="F117" s="11">
        <f>4.3133 * CHOOSE(CONTROL!$C$32, $C$9, 100%, $E$9)</f>
        <v>4.3132999999999999</v>
      </c>
      <c r="G117" s="11">
        <f>4.3186 * CHOOSE(CONTROL!$C$32, $C$9, 100%, $E$9)</f>
        <v>4.3186</v>
      </c>
      <c r="H117" s="11">
        <f>6.8705 * CHOOSE(CONTROL!$C$32, $C$9, 100%, $E$9)</f>
        <v>6.8704999999999998</v>
      </c>
      <c r="I117" s="11">
        <f>6.8758 * CHOOSE(CONTROL!$C$32, $C$9, 100%, $E$9)</f>
        <v>6.8757999999999999</v>
      </c>
      <c r="J117" s="11">
        <f>6.8705 * CHOOSE(CONTROL!$C$32, $C$9, 100%, $E$9)</f>
        <v>6.8704999999999998</v>
      </c>
      <c r="K117" s="11">
        <f>6.8758 * CHOOSE(CONTROL!$C$32, $C$9, 100%, $E$9)</f>
        <v>6.8757999999999999</v>
      </c>
      <c r="L117" s="11">
        <f>4.3133 * CHOOSE(CONTROL!$C$32, $C$9, 100%, $E$9)</f>
        <v>4.3132999999999999</v>
      </c>
      <c r="M117" s="11">
        <f>4.3186 * CHOOSE(CONTROL!$C$32, $C$9, 100%, $E$9)</f>
        <v>4.3186</v>
      </c>
      <c r="N117" s="11">
        <f>4.3133 * CHOOSE(CONTROL!$C$32, $C$9, 100%, $E$9)</f>
        <v>4.3132999999999999</v>
      </c>
      <c r="O117" s="11">
        <f>4.3186 * CHOOSE(CONTROL!$C$32, $C$9, 100%, $E$9)</f>
        <v>4.3186</v>
      </c>
      <c r="P117" s="14"/>
      <c r="Q117" s="14"/>
      <c r="R117" s="14"/>
    </row>
    <row r="118" spans="1:18" ht="15" x14ac:dyDescent="0.2">
      <c r="A118" s="13">
        <v>44440</v>
      </c>
      <c r="B118" s="9">
        <f>3.4012 * CHOOSE(CONTROL!$C$32, $C$9, 100%, $E$9)</f>
        <v>3.4011999999999998</v>
      </c>
      <c r="C118" s="9">
        <f>3.4012 * CHOOSE(CONTROL!$C$32, $C$9, 100%, $E$9)</f>
        <v>3.4011999999999998</v>
      </c>
      <c r="D118" s="9">
        <f>3.4028 * CHOOSE(CONTROL!$C$32, $C$9, 100%, $E$9)</f>
        <v>3.4028</v>
      </c>
      <c r="E118" s="11">
        <f>4.3113 * CHOOSE(CONTROL!$C$32, $C$9, 100%, $E$9)</f>
        <v>4.3113000000000001</v>
      </c>
      <c r="F118" s="11">
        <f>4.3113 * CHOOSE(CONTROL!$C$32, $C$9, 100%, $E$9)</f>
        <v>4.3113000000000001</v>
      </c>
      <c r="G118" s="11">
        <f>4.3166 * CHOOSE(CONTROL!$C$32, $C$9, 100%, $E$9)</f>
        <v>4.3166000000000002</v>
      </c>
      <c r="H118" s="11">
        <f>6.8848 * CHOOSE(CONTROL!$C$32, $C$9, 100%, $E$9)</f>
        <v>6.8848000000000003</v>
      </c>
      <c r="I118" s="11">
        <f>6.8901 * CHOOSE(CONTROL!$C$32, $C$9, 100%, $E$9)</f>
        <v>6.8901000000000003</v>
      </c>
      <c r="J118" s="11">
        <f>6.8848 * CHOOSE(CONTROL!$C$32, $C$9, 100%, $E$9)</f>
        <v>6.8848000000000003</v>
      </c>
      <c r="K118" s="11">
        <f>6.8901 * CHOOSE(CONTROL!$C$32, $C$9, 100%, $E$9)</f>
        <v>6.8901000000000003</v>
      </c>
      <c r="L118" s="11">
        <f>4.3113 * CHOOSE(CONTROL!$C$32, $C$9, 100%, $E$9)</f>
        <v>4.3113000000000001</v>
      </c>
      <c r="M118" s="11">
        <f>4.3166 * CHOOSE(CONTROL!$C$32, $C$9, 100%, $E$9)</f>
        <v>4.3166000000000002</v>
      </c>
      <c r="N118" s="11">
        <f>4.3113 * CHOOSE(CONTROL!$C$32, $C$9, 100%, $E$9)</f>
        <v>4.3113000000000001</v>
      </c>
      <c r="O118" s="11">
        <f>4.3166 * CHOOSE(CONTROL!$C$32, $C$9, 100%, $E$9)</f>
        <v>4.3166000000000002</v>
      </c>
      <c r="P118" s="14"/>
      <c r="Q118" s="14"/>
      <c r="R118" s="14"/>
    </row>
    <row r="119" spans="1:18" ht="15" x14ac:dyDescent="0.2">
      <c r="A119" s="13">
        <v>44470</v>
      </c>
      <c r="B119" s="9">
        <f>3.3942 * CHOOSE(CONTROL!$C$32, $C$9, 100%, $E$9)</f>
        <v>3.3942000000000001</v>
      </c>
      <c r="C119" s="9">
        <f>3.3942 * CHOOSE(CONTROL!$C$32, $C$9, 100%, $E$9)</f>
        <v>3.3942000000000001</v>
      </c>
      <c r="D119" s="9">
        <f>3.3953 * CHOOSE(CONTROL!$C$32, $C$9, 100%, $E$9)</f>
        <v>3.3953000000000002</v>
      </c>
      <c r="E119" s="11">
        <f>4.3049 * CHOOSE(CONTROL!$C$32, $C$9, 100%, $E$9)</f>
        <v>4.3048999999999999</v>
      </c>
      <c r="F119" s="11">
        <f>4.3049 * CHOOSE(CONTROL!$C$32, $C$9, 100%, $E$9)</f>
        <v>4.3048999999999999</v>
      </c>
      <c r="G119" s="11">
        <f>4.3085 * CHOOSE(CONTROL!$C$32, $C$9, 100%, $E$9)</f>
        <v>4.3085000000000004</v>
      </c>
      <c r="H119" s="11">
        <f>6.8992 * CHOOSE(CONTROL!$C$32, $C$9, 100%, $E$9)</f>
        <v>6.8992000000000004</v>
      </c>
      <c r="I119" s="11">
        <f>6.9028 * CHOOSE(CONTROL!$C$32, $C$9, 100%, $E$9)</f>
        <v>6.9028</v>
      </c>
      <c r="J119" s="11">
        <f>6.8992 * CHOOSE(CONTROL!$C$32, $C$9, 100%, $E$9)</f>
        <v>6.8992000000000004</v>
      </c>
      <c r="K119" s="11">
        <f>6.9028 * CHOOSE(CONTROL!$C$32, $C$9, 100%, $E$9)</f>
        <v>6.9028</v>
      </c>
      <c r="L119" s="11">
        <f>4.3049 * CHOOSE(CONTROL!$C$32, $C$9, 100%, $E$9)</f>
        <v>4.3048999999999999</v>
      </c>
      <c r="M119" s="11">
        <f>4.3085 * CHOOSE(CONTROL!$C$32, $C$9, 100%, $E$9)</f>
        <v>4.3085000000000004</v>
      </c>
      <c r="N119" s="11">
        <f>4.3049 * CHOOSE(CONTROL!$C$32, $C$9, 100%, $E$9)</f>
        <v>4.3048999999999999</v>
      </c>
      <c r="O119" s="11">
        <f>4.3085 * CHOOSE(CONTROL!$C$32, $C$9, 100%, $E$9)</f>
        <v>4.3085000000000004</v>
      </c>
      <c r="P119" s="14"/>
      <c r="Q119" s="14"/>
      <c r="R119" s="14"/>
    </row>
    <row r="120" spans="1:18" ht="15" x14ac:dyDescent="0.2">
      <c r="A120" s="13">
        <v>44501</v>
      </c>
      <c r="B120" s="9">
        <f>3.3972 * CHOOSE(CONTROL!$C$32, $C$9, 100%, $E$9)</f>
        <v>3.3972000000000002</v>
      </c>
      <c r="C120" s="9">
        <f>3.3972 * CHOOSE(CONTROL!$C$32, $C$9, 100%, $E$9)</f>
        <v>3.3972000000000002</v>
      </c>
      <c r="D120" s="9">
        <f>3.3983 * CHOOSE(CONTROL!$C$32, $C$9, 100%, $E$9)</f>
        <v>3.3982999999999999</v>
      </c>
      <c r="E120" s="11">
        <f>4.3069 * CHOOSE(CONTROL!$C$32, $C$9, 100%, $E$9)</f>
        <v>4.3068999999999997</v>
      </c>
      <c r="F120" s="11">
        <f>4.3069 * CHOOSE(CONTROL!$C$32, $C$9, 100%, $E$9)</f>
        <v>4.3068999999999997</v>
      </c>
      <c r="G120" s="11">
        <f>4.3105 * CHOOSE(CONTROL!$C$32, $C$9, 100%, $E$9)</f>
        <v>4.3105000000000002</v>
      </c>
      <c r="H120" s="11">
        <f>6.9136 * CHOOSE(CONTROL!$C$32, $C$9, 100%, $E$9)</f>
        <v>6.9135999999999997</v>
      </c>
      <c r="I120" s="11">
        <f>6.9172 * CHOOSE(CONTROL!$C$32, $C$9, 100%, $E$9)</f>
        <v>6.9172000000000002</v>
      </c>
      <c r="J120" s="11">
        <f>6.9136 * CHOOSE(CONTROL!$C$32, $C$9, 100%, $E$9)</f>
        <v>6.9135999999999997</v>
      </c>
      <c r="K120" s="11">
        <f>6.9172 * CHOOSE(CONTROL!$C$32, $C$9, 100%, $E$9)</f>
        <v>6.9172000000000002</v>
      </c>
      <c r="L120" s="11">
        <f>4.3069 * CHOOSE(CONTROL!$C$32, $C$9, 100%, $E$9)</f>
        <v>4.3068999999999997</v>
      </c>
      <c r="M120" s="11">
        <f>4.3105 * CHOOSE(CONTROL!$C$32, $C$9, 100%, $E$9)</f>
        <v>4.3105000000000002</v>
      </c>
      <c r="N120" s="11">
        <f>4.3069 * CHOOSE(CONTROL!$C$32, $C$9, 100%, $E$9)</f>
        <v>4.3068999999999997</v>
      </c>
      <c r="O120" s="11">
        <f>4.3105 * CHOOSE(CONTROL!$C$32, $C$9, 100%, $E$9)</f>
        <v>4.3105000000000002</v>
      </c>
      <c r="P120" s="14"/>
      <c r="Q120" s="14"/>
      <c r="R120" s="14"/>
    </row>
    <row r="121" spans="1:18" ht="15" x14ac:dyDescent="0.2">
      <c r="A121" s="13">
        <v>44531</v>
      </c>
      <c r="B121" s="9">
        <f>3.3972 * CHOOSE(CONTROL!$C$32, $C$9, 100%, $E$9)</f>
        <v>3.3972000000000002</v>
      </c>
      <c r="C121" s="9">
        <f>3.3972 * CHOOSE(CONTROL!$C$32, $C$9, 100%, $E$9)</f>
        <v>3.3972000000000002</v>
      </c>
      <c r="D121" s="9">
        <f>3.3983 * CHOOSE(CONTROL!$C$32, $C$9, 100%, $E$9)</f>
        <v>3.3982999999999999</v>
      </c>
      <c r="E121" s="11">
        <f>4.3069 * CHOOSE(CONTROL!$C$32, $C$9, 100%, $E$9)</f>
        <v>4.3068999999999997</v>
      </c>
      <c r="F121" s="11">
        <f>4.3069 * CHOOSE(CONTROL!$C$32, $C$9, 100%, $E$9)</f>
        <v>4.3068999999999997</v>
      </c>
      <c r="G121" s="11">
        <f>4.3105 * CHOOSE(CONTROL!$C$32, $C$9, 100%, $E$9)</f>
        <v>4.3105000000000002</v>
      </c>
      <c r="H121" s="11">
        <f>6.928 * CHOOSE(CONTROL!$C$32, $C$9, 100%, $E$9)</f>
        <v>6.9279999999999999</v>
      </c>
      <c r="I121" s="11">
        <f>6.9316 * CHOOSE(CONTROL!$C$32, $C$9, 100%, $E$9)</f>
        <v>6.9316000000000004</v>
      </c>
      <c r="J121" s="11">
        <f>6.928 * CHOOSE(CONTROL!$C$32, $C$9, 100%, $E$9)</f>
        <v>6.9279999999999999</v>
      </c>
      <c r="K121" s="11">
        <f>6.9316 * CHOOSE(CONTROL!$C$32, $C$9, 100%, $E$9)</f>
        <v>6.9316000000000004</v>
      </c>
      <c r="L121" s="11">
        <f>4.3069 * CHOOSE(CONTROL!$C$32, $C$9, 100%, $E$9)</f>
        <v>4.3068999999999997</v>
      </c>
      <c r="M121" s="11">
        <f>4.3105 * CHOOSE(CONTROL!$C$32, $C$9, 100%, $E$9)</f>
        <v>4.3105000000000002</v>
      </c>
      <c r="N121" s="11">
        <f>4.3069 * CHOOSE(CONTROL!$C$32, $C$9, 100%, $E$9)</f>
        <v>4.3068999999999997</v>
      </c>
      <c r="O121" s="11">
        <f>4.3105 * CHOOSE(CONTROL!$C$32, $C$9, 100%, $E$9)</f>
        <v>4.3105000000000002</v>
      </c>
      <c r="P121" s="14"/>
      <c r="Q121" s="14"/>
      <c r="R121" s="14"/>
    </row>
    <row r="122" spans="1:18" ht="15" x14ac:dyDescent="0.2">
      <c r="A122" s="13">
        <v>44562</v>
      </c>
      <c r="B122" s="9">
        <f>3.4251 * CHOOSE(CONTROL!$C$32, $C$9, 100%, $E$9)</f>
        <v>3.4251</v>
      </c>
      <c r="C122" s="9">
        <f>3.4251 * CHOOSE(CONTROL!$C$32, $C$9, 100%, $E$9)</f>
        <v>3.4251</v>
      </c>
      <c r="D122" s="9">
        <f>3.4261 * CHOOSE(CONTROL!$C$32, $C$9, 100%, $E$9)</f>
        <v>3.4260999999999999</v>
      </c>
      <c r="E122" s="11">
        <f>4.3439 * CHOOSE(CONTROL!$C$32, $C$9, 100%, $E$9)</f>
        <v>4.3438999999999997</v>
      </c>
      <c r="F122" s="11">
        <f>4.3439 * CHOOSE(CONTROL!$C$32, $C$9, 100%, $E$9)</f>
        <v>4.3438999999999997</v>
      </c>
      <c r="G122" s="11">
        <f>4.3475 * CHOOSE(CONTROL!$C$32, $C$9, 100%, $E$9)</f>
        <v>4.3475000000000001</v>
      </c>
      <c r="H122" s="11">
        <f>6.9424 * CHOOSE(CONTROL!$C$32, $C$9, 100%, $E$9)</f>
        <v>6.9424000000000001</v>
      </c>
      <c r="I122" s="11">
        <f>6.946 * CHOOSE(CONTROL!$C$32, $C$9, 100%, $E$9)</f>
        <v>6.9459999999999997</v>
      </c>
      <c r="J122" s="11">
        <f>6.9424 * CHOOSE(CONTROL!$C$32, $C$9, 100%, $E$9)</f>
        <v>6.9424000000000001</v>
      </c>
      <c r="K122" s="11">
        <f>6.946 * CHOOSE(CONTROL!$C$32, $C$9, 100%, $E$9)</f>
        <v>6.9459999999999997</v>
      </c>
      <c r="L122" s="11">
        <f>4.3439 * CHOOSE(CONTROL!$C$32, $C$9, 100%, $E$9)</f>
        <v>4.3438999999999997</v>
      </c>
      <c r="M122" s="11">
        <f>4.3475 * CHOOSE(CONTROL!$C$32, $C$9, 100%, $E$9)</f>
        <v>4.3475000000000001</v>
      </c>
      <c r="N122" s="11">
        <f>4.3439 * CHOOSE(CONTROL!$C$32, $C$9, 100%, $E$9)</f>
        <v>4.3438999999999997</v>
      </c>
      <c r="O122" s="11">
        <f>4.3475 * CHOOSE(CONTROL!$C$32, $C$9, 100%, $E$9)</f>
        <v>4.3475000000000001</v>
      </c>
      <c r="P122" s="14"/>
      <c r="Q122" s="14"/>
      <c r="R122" s="14"/>
    </row>
    <row r="123" spans="1:18" ht="15" x14ac:dyDescent="0.2">
      <c r="A123" s="13">
        <v>44593</v>
      </c>
      <c r="B123" s="9">
        <f>3.422 * CHOOSE(CONTROL!$C$32, $C$9, 100%, $E$9)</f>
        <v>3.4220000000000002</v>
      </c>
      <c r="C123" s="9">
        <f>3.422 * CHOOSE(CONTROL!$C$32, $C$9, 100%, $E$9)</f>
        <v>3.4220000000000002</v>
      </c>
      <c r="D123" s="9">
        <f>3.4231 * CHOOSE(CONTROL!$C$32, $C$9, 100%, $E$9)</f>
        <v>3.4230999999999998</v>
      </c>
      <c r="E123" s="11">
        <f>4.3419 * CHOOSE(CONTROL!$C$32, $C$9, 100%, $E$9)</f>
        <v>4.3418999999999999</v>
      </c>
      <c r="F123" s="11">
        <f>4.3419 * CHOOSE(CONTROL!$C$32, $C$9, 100%, $E$9)</f>
        <v>4.3418999999999999</v>
      </c>
      <c r="G123" s="11">
        <f>4.3455 * CHOOSE(CONTROL!$C$32, $C$9, 100%, $E$9)</f>
        <v>4.3455000000000004</v>
      </c>
      <c r="H123" s="11">
        <f>6.9569 * CHOOSE(CONTROL!$C$32, $C$9, 100%, $E$9)</f>
        <v>6.9569000000000001</v>
      </c>
      <c r="I123" s="11">
        <f>6.9605 * CHOOSE(CONTROL!$C$32, $C$9, 100%, $E$9)</f>
        <v>6.9604999999999997</v>
      </c>
      <c r="J123" s="11">
        <f>6.9569 * CHOOSE(CONTROL!$C$32, $C$9, 100%, $E$9)</f>
        <v>6.9569000000000001</v>
      </c>
      <c r="K123" s="11">
        <f>6.9605 * CHOOSE(CONTROL!$C$32, $C$9, 100%, $E$9)</f>
        <v>6.9604999999999997</v>
      </c>
      <c r="L123" s="11">
        <f>4.3419 * CHOOSE(CONTROL!$C$32, $C$9, 100%, $E$9)</f>
        <v>4.3418999999999999</v>
      </c>
      <c r="M123" s="11">
        <f>4.3455 * CHOOSE(CONTROL!$C$32, $C$9, 100%, $E$9)</f>
        <v>4.3455000000000004</v>
      </c>
      <c r="N123" s="11">
        <f>4.3419 * CHOOSE(CONTROL!$C$32, $C$9, 100%, $E$9)</f>
        <v>4.3418999999999999</v>
      </c>
      <c r="O123" s="11">
        <f>4.3455 * CHOOSE(CONTROL!$C$32, $C$9, 100%, $E$9)</f>
        <v>4.3455000000000004</v>
      </c>
      <c r="P123" s="14"/>
      <c r="Q123" s="14"/>
      <c r="R123" s="14"/>
    </row>
    <row r="124" spans="1:18" ht="15" x14ac:dyDescent="0.2">
      <c r="A124" s="13">
        <v>44621</v>
      </c>
      <c r="B124" s="9">
        <f>3.419 * CHOOSE(CONTROL!$C$32, $C$9, 100%, $E$9)</f>
        <v>3.419</v>
      </c>
      <c r="C124" s="9">
        <f>3.419 * CHOOSE(CONTROL!$C$32, $C$9, 100%, $E$9)</f>
        <v>3.419</v>
      </c>
      <c r="D124" s="9">
        <f>3.4201 * CHOOSE(CONTROL!$C$32, $C$9, 100%, $E$9)</f>
        <v>3.4201000000000001</v>
      </c>
      <c r="E124" s="11">
        <f>4.3399 * CHOOSE(CONTROL!$C$32, $C$9, 100%, $E$9)</f>
        <v>4.3399000000000001</v>
      </c>
      <c r="F124" s="11">
        <f>4.3399 * CHOOSE(CONTROL!$C$32, $C$9, 100%, $E$9)</f>
        <v>4.3399000000000001</v>
      </c>
      <c r="G124" s="11">
        <f>4.3435 * CHOOSE(CONTROL!$C$32, $C$9, 100%, $E$9)</f>
        <v>4.3434999999999997</v>
      </c>
      <c r="H124" s="11">
        <f>6.9713 * CHOOSE(CONTROL!$C$32, $C$9, 100%, $E$9)</f>
        <v>6.9713000000000003</v>
      </c>
      <c r="I124" s="11">
        <f>6.975 * CHOOSE(CONTROL!$C$32, $C$9, 100%, $E$9)</f>
        <v>6.9749999999999996</v>
      </c>
      <c r="J124" s="11">
        <f>6.9713 * CHOOSE(CONTROL!$C$32, $C$9, 100%, $E$9)</f>
        <v>6.9713000000000003</v>
      </c>
      <c r="K124" s="11">
        <f>6.975 * CHOOSE(CONTROL!$C$32, $C$9, 100%, $E$9)</f>
        <v>6.9749999999999996</v>
      </c>
      <c r="L124" s="11">
        <f>4.3399 * CHOOSE(CONTROL!$C$32, $C$9, 100%, $E$9)</f>
        <v>4.3399000000000001</v>
      </c>
      <c r="M124" s="11">
        <f>4.3435 * CHOOSE(CONTROL!$C$32, $C$9, 100%, $E$9)</f>
        <v>4.3434999999999997</v>
      </c>
      <c r="N124" s="11">
        <f>4.3399 * CHOOSE(CONTROL!$C$32, $C$9, 100%, $E$9)</f>
        <v>4.3399000000000001</v>
      </c>
      <c r="O124" s="11">
        <f>4.3435 * CHOOSE(CONTROL!$C$32, $C$9, 100%, $E$9)</f>
        <v>4.3434999999999997</v>
      </c>
      <c r="P124" s="14"/>
      <c r="Q124" s="14"/>
      <c r="R124" s="14"/>
    </row>
    <row r="125" spans="1:18" ht="15" x14ac:dyDescent="0.2">
      <c r="A125" s="13">
        <v>44652</v>
      </c>
      <c r="B125" s="9">
        <f>3.4161 * CHOOSE(CONTROL!$C$32, $C$9, 100%, $E$9)</f>
        <v>3.4161000000000001</v>
      </c>
      <c r="C125" s="9">
        <f>3.4161 * CHOOSE(CONTROL!$C$32, $C$9, 100%, $E$9)</f>
        <v>3.4161000000000001</v>
      </c>
      <c r="D125" s="9">
        <f>3.4172 * CHOOSE(CONTROL!$C$32, $C$9, 100%, $E$9)</f>
        <v>3.4171999999999998</v>
      </c>
      <c r="E125" s="11">
        <f>4.3376 * CHOOSE(CONTROL!$C$32, $C$9, 100%, $E$9)</f>
        <v>4.3376000000000001</v>
      </c>
      <c r="F125" s="11">
        <f>4.3376 * CHOOSE(CONTROL!$C$32, $C$9, 100%, $E$9)</f>
        <v>4.3376000000000001</v>
      </c>
      <c r="G125" s="11">
        <f>4.3412 * CHOOSE(CONTROL!$C$32, $C$9, 100%, $E$9)</f>
        <v>4.3411999999999997</v>
      </c>
      <c r="H125" s="11">
        <f>6.9859 * CHOOSE(CONTROL!$C$32, $C$9, 100%, $E$9)</f>
        <v>6.9859</v>
      </c>
      <c r="I125" s="11">
        <f>6.9895 * CHOOSE(CONTROL!$C$32, $C$9, 100%, $E$9)</f>
        <v>6.9894999999999996</v>
      </c>
      <c r="J125" s="11">
        <f>6.9859 * CHOOSE(CONTROL!$C$32, $C$9, 100%, $E$9)</f>
        <v>6.9859</v>
      </c>
      <c r="K125" s="11">
        <f>6.9895 * CHOOSE(CONTROL!$C$32, $C$9, 100%, $E$9)</f>
        <v>6.9894999999999996</v>
      </c>
      <c r="L125" s="11">
        <f>4.3376 * CHOOSE(CONTROL!$C$32, $C$9, 100%, $E$9)</f>
        <v>4.3376000000000001</v>
      </c>
      <c r="M125" s="11">
        <f>4.3412 * CHOOSE(CONTROL!$C$32, $C$9, 100%, $E$9)</f>
        <v>4.3411999999999997</v>
      </c>
      <c r="N125" s="11">
        <f>4.3376 * CHOOSE(CONTROL!$C$32, $C$9, 100%, $E$9)</f>
        <v>4.3376000000000001</v>
      </c>
      <c r="O125" s="11">
        <f>4.3412 * CHOOSE(CONTROL!$C$32, $C$9, 100%, $E$9)</f>
        <v>4.3411999999999997</v>
      </c>
      <c r="P125" s="14"/>
      <c r="Q125" s="14"/>
      <c r="R125" s="14"/>
    </row>
    <row r="126" spans="1:18" ht="15" x14ac:dyDescent="0.2">
      <c r="A126" s="13">
        <v>44682</v>
      </c>
      <c r="B126" s="9">
        <f>3.4161 * CHOOSE(CONTROL!$C$32, $C$9, 100%, $E$9)</f>
        <v>3.4161000000000001</v>
      </c>
      <c r="C126" s="9">
        <f>3.4161 * CHOOSE(CONTROL!$C$32, $C$9, 100%, $E$9)</f>
        <v>3.4161000000000001</v>
      </c>
      <c r="D126" s="9">
        <f>3.4177 * CHOOSE(CONTROL!$C$32, $C$9, 100%, $E$9)</f>
        <v>3.4177</v>
      </c>
      <c r="E126" s="11">
        <f>4.3376 * CHOOSE(CONTROL!$C$32, $C$9, 100%, $E$9)</f>
        <v>4.3376000000000001</v>
      </c>
      <c r="F126" s="11">
        <f>4.3376 * CHOOSE(CONTROL!$C$32, $C$9, 100%, $E$9)</f>
        <v>4.3376000000000001</v>
      </c>
      <c r="G126" s="11">
        <f>4.3429 * CHOOSE(CONTROL!$C$32, $C$9, 100%, $E$9)</f>
        <v>4.3429000000000002</v>
      </c>
      <c r="H126" s="11">
        <f>7.0004 * CHOOSE(CONTROL!$C$32, $C$9, 100%, $E$9)</f>
        <v>7.0004</v>
      </c>
      <c r="I126" s="11">
        <f>7.0057 * CHOOSE(CONTROL!$C$32, $C$9, 100%, $E$9)</f>
        <v>7.0057</v>
      </c>
      <c r="J126" s="11">
        <f>7.0004 * CHOOSE(CONTROL!$C$32, $C$9, 100%, $E$9)</f>
        <v>7.0004</v>
      </c>
      <c r="K126" s="11">
        <f>7.0057 * CHOOSE(CONTROL!$C$32, $C$9, 100%, $E$9)</f>
        <v>7.0057</v>
      </c>
      <c r="L126" s="11">
        <f>4.3376 * CHOOSE(CONTROL!$C$32, $C$9, 100%, $E$9)</f>
        <v>4.3376000000000001</v>
      </c>
      <c r="M126" s="11">
        <f>4.3429 * CHOOSE(CONTROL!$C$32, $C$9, 100%, $E$9)</f>
        <v>4.3429000000000002</v>
      </c>
      <c r="N126" s="11">
        <f>4.3376 * CHOOSE(CONTROL!$C$32, $C$9, 100%, $E$9)</f>
        <v>4.3376000000000001</v>
      </c>
      <c r="O126" s="11">
        <f>4.3429 * CHOOSE(CONTROL!$C$32, $C$9, 100%, $E$9)</f>
        <v>4.3429000000000002</v>
      </c>
      <c r="P126" s="14"/>
      <c r="Q126" s="14"/>
      <c r="R126" s="14"/>
    </row>
    <row r="127" spans="1:18" ht="15" x14ac:dyDescent="0.2">
      <c r="A127" s="13">
        <v>44713</v>
      </c>
      <c r="B127" s="9">
        <f>3.4222 * CHOOSE(CONTROL!$C$32, $C$9, 100%, $E$9)</f>
        <v>3.4222000000000001</v>
      </c>
      <c r="C127" s="9">
        <f>3.4222 * CHOOSE(CONTROL!$C$32, $C$9, 100%, $E$9)</f>
        <v>3.4222000000000001</v>
      </c>
      <c r="D127" s="9">
        <f>3.4238 * CHOOSE(CONTROL!$C$32, $C$9, 100%, $E$9)</f>
        <v>3.4238</v>
      </c>
      <c r="E127" s="11">
        <f>4.3416 * CHOOSE(CONTROL!$C$32, $C$9, 100%, $E$9)</f>
        <v>4.3415999999999997</v>
      </c>
      <c r="F127" s="11">
        <f>4.3416 * CHOOSE(CONTROL!$C$32, $C$9, 100%, $E$9)</f>
        <v>4.3415999999999997</v>
      </c>
      <c r="G127" s="11">
        <f>4.3469 * CHOOSE(CONTROL!$C$32, $C$9, 100%, $E$9)</f>
        <v>4.3468999999999998</v>
      </c>
      <c r="H127" s="11">
        <f>7.015 * CHOOSE(CONTROL!$C$32, $C$9, 100%, $E$9)</f>
        <v>7.0149999999999997</v>
      </c>
      <c r="I127" s="11">
        <f>7.0203 * CHOOSE(CONTROL!$C$32, $C$9, 100%, $E$9)</f>
        <v>7.0202999999999998</v>
      </c>
      <c r="J127" s="11">
        <f>7.015 * CHOOSE(CONTROL!$C$32, $C$9, 100%, $E$9)</f>
        <v>7.0149999999999997</v>
      </c>
      <c r="K127" s="11">
        <f>7.0203 * CHOOSE(CONTROL!$C$32, $C$9, 100%, $E$9)</f>
        <v>7.0202999999999998</v>
      </c>
      <c r="L127" s="11">
        <f>4.3416 * CHOOSE(CONTROL!$C$32, $C$9, 100%, $E$9)</f>
        <v>4.3415999999999997</v>
      </c>
      <c r="M127" s="11">
        <f>4.3469 * CHOOSE(CONTROL!$C$32, $C$9, 100%, $E$9)</f>
        <v>4.3468999999999998</v>
      </c>
      <c r="N127" s="11">
        <f>4.3416 * CHOOSE(CONTROL!$C$32, $C$9, 100%, $E$9)</f>
        <v>4.3415999999999997</v>
      </c>
      <c r="O127" s="11">
        <f>4.3469 * CHOOSE(CONTROL!$C$32, $C$9, 100%, $E$9)</f>
        <v>4.3468999999999998</v>
      </c>
      <c r="P127" s="14"/>
      <c r="Q127" s="14"/>
      <c r="R127" s="14"/>
    </row>
    <row r="128" spans="1:18" ht="15" x14ac:dyDescent="0.2">
      <c r="A128" s="13">
        <v>44743</v>
      </c>
      <c r="B128" s="9">
        <f>3.4729 * CHOOSE(CONTROL!$C$32, $C$9, 100%, $E$9)</f>
        <v>3.4729000000000001</v>
      </c>
      <c r="C128" s="9">
        <f>3.4729 * CHOOSE(CONTROL!$C$32, $C$9, 100%, $E$9)</f>
        <v>3.4729000000000001</v>
      </c>
      <c r="D128" s="9">
        <f>3.4745 * CHOOSE(CONTROL!$C$32, $C$9, 100%, $E$9)</f>
        <v>3.4744999999999999</v>
      </c>
      <c r="E128" s="11">
        <f>4.4233 * CHOOSE(CONTROL!$C$32, $C$9, 100%, $E$9)</f>
        <v>4.4233000000000002</v>
      </c>
      <c r="F128" s="11">
        <f>4.4233 * CHOOSE(CONTROL!$C$32, $C$9, 100%, $E$9)</f>
        <v>4.4233000000000002</v>
      </c>
      <c r="G128" s="11">
        <f>4.4286 * CHOOSE(CONTROL!$C$32, $C$9, 100%, $E$9)</f>
        <v>4.4286000000000003</v>
      </c>
      <c r="H128" s="11">
        <f>7.0296 * CHOOSE(CONTROL!$C$32, $C$9, 100%, $E$9)</f>
        <v>7.0296000000000003</v>
      </c>
      <c r="I128" s="11">
        <f>7.0349 * CHOOSE(CONTROL!$C$32, $C$9, 100%, $E$9)</f>
        <v>7.0349000000000004</v>
      </c>
      <c r="J128" s="11">
        <f>7.0296 * CHOOSE(CONTROL!$C$32, $C$9, 100%, $E$9)</f>
        <v>7.0296000000000003</v>
      </c>
      <c r="K128" s="11">
        <f>7.0349 * CHOOSE(CONTROL!$C$32, $C$9, 100%, $E$9)</f>
        <v>7.0349000000000004</v>
      </c>
      <c r="L128" s="11">
        <f>4.4233 * CHOOSE(CONTROL!$C$32, $C$9, 100%, $E$9)</f>
        <v>4.4233000000000002</v>
      </c>
      <c r="M128" s="11">
        <f>4.4286 * CHOOSE(CONTROL!$C$32, $C$9, 100%, $E$9)</f>
        <v>4.4286000000000003</v>
      </c>
      <c r="N128" s="11">
        <f>4.4233 * CHOOSE(CONTROL!$C$32, $C$9, 100%, $E$9)</f>
        <v>4.4233000000000002</v>
      </c>
      <c r="O128" s="11">
        <f>4.4286 * CHOOSE(CONTROL!$C$32, $C$9, 100%, $E$9)</f>
        <v>4.4286000000000003</v>
      </c>
      <c r="P128" s="14"/>
      <c r="Q128" s="14"/>
      <c r="R128" s="14"/>
    </row>
    <row r="129" spans="1:18" ht="15" x14ac:dyDescent="0.2">
      <c r="A129" s="13">
        <v>44774</v>
      </c>
      <c r="B129" s="9">
        <f>3.4796 * CHOOSE(CONTROL!$C$32, $C$9, 100%, $E$9)</f>
        <v>3.4796</v>
      </c>
      <c r="C129" s="9">
        <f>3.4796 * CHOOSE(CONTROL!$C$32, $C$9, 100%, $E$9)</f>
        <v>3.4796</v>
      </c>
      <c r="D129" s="9">
        <f>3.4811 * CHOOSE(CONTROL!$C$32, $C$9, 100%, $E$9)</f>
        <v>3.4811000000000001</v>
      </c>
      <c r="E129" s="11">
        <f>4.4277 * CHOOSE(CONTROL!$C$32, $C$9, 100%, $E$9)</f>
        <v>4.4276999999999997</v>
      </c>
      <c r="F129" s="11">
        <f>4.4277 * CHOOSE(CONTROL!$C$32, $C$9, 100%, $E$9)</f>
        <v>4.4276999999999997</v>
      </c>
      <c r="G129" s="11">
        <f>4.433 * CHOOSE(CONTROL!$C$32, $C$9, 100%, $E$9)</f>
        <v>4.4329999999999998</v>
      </c>
      <c r="H129" s="11">
        <f>7.0443 * CHOOSE(CONTROL!$C$32, $C$9, 100%, $E$9)</f>
        <v>7.0442999999999998</v>
      </c>
      <c r="I129" s="11">
        <f>7.0496 * CHOOSE(CONTROL!$C$32, $C$9, 100%, $E$9)</f>
        <v>7.0495999999999999</v>
      </c>
      <c r="J129" s="11">
        <f>7.0443 * CHOOSE(CONTROL!$C$32, $C$9, 100%, $E$9)</f>
        <v>7.0442999999999998</v>
      </c>
      <c r="K129" s="11">
        <f>7.0496 * CHOOSE(CONTROL!$C$32, $C$9, 100%, $E$9)</f>
        <v>7.0495999999999999</v>
      </c>
      <c r="L129" s="11">
        <f>4.4277 * CHOOSE(CONTROL!$C$32, $C$9, 100%, $E$9)</f>
        <v>4.4276999999999997</v>
      </c>
      <c r="M129" s="11">
        <f>4.433 * CHOOSE(CONTROL!$C$32, $C$9, 100%, $E$9)</f>
        <v>4.4329999999999998</v>
      </c>
      <c r="N129" s="11">
        <f>4.4277 * CHOOSE(CONTROL!$C$32, $C$9, 100%, $E$9)</f>
        <v>4.4276999999999997</v>
      </c>
      <c r="O129" s="11">
        <f>4.433 * CHOOSE(CONTROL!$C$32, $C$9, 100%, $E$9)</f>
        <v>4.4329999999999998</v>
      </c>
      <c r="P129" s="14"/>
      <c r="Q129" s="14"/>
      <c r="R129" s="14"/>
    </row>
    <row r="130" spans="1:18" ht="15" x14ac:dyDescent="0.2">
      <c r="A130" s="13">
        <v>44805</v>
      </c>
      <c r="B130" s="9">
        <f>3.4765 * CHOOSE(CONTROL!$C$32, $C$9, 100%, $E$9)</f>
        <v>3.4765000000000001</v>
      </c>
      <c r="C130" s="9">
        <f>3.4765 * CHOOSE(CONTROL!$C$32, $C$9, 100%, $E$9)</f>
        <v>3.4765000000000001</v>
      </c>
      <c r="D130" s="9">
        <f>3.4781 * CHOOSE(CONTROL!$C$32, $C$9, 100%, $E$9)</f>
        <v>3.4781</v>
      </c>
      <c r="E130" s="11">
        <f>4.4257 * CHOOSE(CONTROL!$C$32, $C$9, 100%, $E$9)</f>
        <v>4.4257</v>
      </c>
      <c r="F130" s="11">
        <f>4.4257 * CHOOSE(CONTROL!$C$32, $C$9, 100%, $E$9)</f>
        <v>4.4257</v>
      </c>
      <c r="G130" s="11">
        <f>4.431 * CHOOSE(CONTROL!$C$32, $C$9, 100%, $E$9)</f>
        <v>4.431</v>
      </c>
      <c r="H130" s="11">
        <f>7.0589 * CHOOSE(CONTROL!$C$32, $C$9, 100%, $E$9)</f>
        <v>7.0589000000000004</v>
      </c>
      <c r="I130" s="11">
        <f>7.0642 * CHOOSE(CONTROL!$C$32, $C$9, 100%, $E$9)</f>
        <v>7.0641999999999996</v>
      </c>
      <c r="J130" s="11">
        <f>7.0589 * CHOOSE(CONTROL!$C$32, $C$9, 100%, $E$9)</f>
        <v>7.0589000000000004</v>
      </c>
      <c r="K130" s="11">
        <f>7.0642 * CHOOSE(CONTROL!$C$32, $C$9, 100%, $E$9)</f>
        <v>7.0641999999999996</v>
      </c>
      <c r="L130" s="11">
        <f>4.4257 * CHOOSE(CONTROL!$C$32, $C$9, 100%, $E$9)</f>
        <v>4.4257</v>
      </c>
      <c r="M130" s="11">
        <f>4.431 * CHOOSE(CONTROL!$C$32, $C$9, 100%, $E$9)</f>
        <v>4.431</v>
      </c>
      <c r="N130" s="11">
        <f>4.4257 * CHOOSE(CONTROL!$C$32, $C$9, 100%, $E$9)</f>
        <v>4.4257</v>
      </c>
      <c r="O130" s="11">
        <f>4.431 * CHOOSE(CONTROL!$C$32, $C$9, 100%, $E$9)</f>
        <v>4.431</v>
      </c>
      <c r="P130" s="14"/>
      <c r="Q130" s="14"/>
      <c r="R130" s="14"/>
    </row>
    <row r="131" spans="1:18" ht="15" x14ac:dyDescent="0.2">
      <c r="A131" s="13">
        <v>44835</v>
      </c>
      <c r="B131" s="9">
        <f>3.4698 * CHOOSE(CONTROL!$C$32, $C$9, 100%, $E$9)</f>
        <v>3.4698000000000002</v>
      </c>
      <c r="C131" s="9">
        <f>3.4698 * CHOOSE(CONTROL!$C$32, $C$9, 100%, $E$9)</f>
        <v>3.4698000000000002</v>
      </c>
      <c r="D131" s="9">
        <f>3.4709 * CHOOSE(CONTROL!$C$32, $C$9, 100%, $E$9)</f>
        <v>3.4708999999999999</v>
      </c>
      <c r="E131" s="11">
        <f>4.4195 * CHOOSE(CONTROL!$C$32, $C$9, 100%, $E$9)</f>
        <v>4.4195000000000002</v>
      </c>
      <c r="F131" s="11">
        <f>4.4195 * CHOOSE(CONTROL!$C$32, $C$9, 100%, $E$9)</f>
        <v>4.4195000000000002</v>
      </c>
      <c r="G131" s="11">
        <f>4.4231 * CHOOSE(CONTROL!$C$32, $C$9, 100%, $E$9)</f>
        <v>4.4230999999999998</v>
      </c>
      <c r="H131" s="11">
        <f>7.0736 * CHOOSE(CONTROL!$C$32, $C$9, 100%, $E$9)</f>
        <v>7.0735999999999999</v>
      </c>
      <c r="I131" s="11">
        <f>7.0773 * CHOOSE(CONTROL!$C$32, $C$9, 100%, $E$9)</f>
        <v>7.0773000000000001</v>
      </c>
      <c r="J131" s="11">
        <f>7.0736 * CHOOSE(CONTROL!$C$32, $C$9, 100%, $E$9)</f>
        <v>7.0735999999999999</v>
      </c>
      <c r="K131" s="11">
        <f>7.0773 * CHOOSE(CONTROL!$C$32, $C$9, 100%, $E$9)</f>
        <v>7.0773000000000001</v>
      </c>
      <c r="L131" s="11">
        <f>4.4195 * CHOOSE(CONTROL!$C$32, $C$9, 100%, $E$9)</f>
        <v>4.4195000000000002</v>
      </c>
      <c r="M131" s="11">
        <f>4.4231 * CHOOSE(CONTROL!$C$32, $C$9, 100%, $E$9)</f>
        <v>4.4230999999999998</v>
      </c>
      <c r="N131" s="11">
        <f>4.4195 * CHOOSE(CONTROL!$C$32, $C$9, 100%, $E$9)</f>
        <v>4.4195000000000002</v>
      </c>
      <c r="O131" s="11">
        <f>4.4231 * CHOOSE(CONTROL!$C$32, $C$9, 100%, $E$9)</f>
        <v>4.4230999999999998</v>
      </c>
      <c r="P131" s="14"/>
      <c r="Q131" s="14"/>
      <c r="R131" s="14"/>
    </row>
    <row r="132" spans="1:18" ht="15" x14ac:dyDescent="0.2">
      <c r="A132" s="13">
        <v>44866</v>
      </c>
      <c r="B132" s="9">
        <f>3.4728 * CHOOSE(CONTROL!$C$32, $C$9, 100%, $E$9)</f>
        <v>3.4727999999999999</v>
      </c>
      <c r="C132" s="9">
        <f>3.4728 * CHOOSE(CONTROL!$C$32, $C$9, 100%, $E$9)</f>
        <v>3.4727999999999999</v>
      </c>
      <c r="D132" s="9">
        <f>3.4739 * CHOOSE(CONTROL!$C$32, $C$9, 100%, $E$9)</f>
        <v>3.4739</v>
      </c>
      <c r="E132" s="11">
        <f>4.4215 * CHOOSE(CONTROL!$C$32, $C$9, 100%, $E$9)</f>
        <v>4.4215</v>
      </c>
      <c r="F132" s="11">
        <f>4.4215 * CHOOSE(CONTROL!$C$32, $C$9, 100%, $E$9)</f>
        <v>4.4215</v>
      </c>
      <c r="G132" s="11">
        <f>4.4251 * CHOOSE(CONTROL!$C$32, $C$9, 100%, $E$9)</f>
        <v>4.4250999999999996</v>
      </c>
      <c r="H132" s="11">
        <f>7.0884 * CHOOSE(CONTROL!$C$32, $C$9, 100%, $E$9)</f>
        <v>7.0884</v>
      </c>
      <c r="I132" s="11">
        <f>7.092 * CHOOSE(CONTROL!$C$32, $C$9, 100%, $E$9)</f>
        <v>7.0919999999999996</v>
      </c>
      <c r="J132" s="11">
        <f>7.0884 * CHOOSE(CONTROL!$C$32, $C$9, 100%, $E$9)</f>
        <v>7.0884</v>
      </c>
      <c r="K132" s="11">
        <f>7.092 * CHOOSE(CONTROL!$C$32, $C$9, 100%, $E$9)</f>
        <v>7.0919999999999996</v>
      </c>
      <c r="L132" s="11">
        <f>4.4215 * CHOOSE(CONTROL!$C$32, $C$9, 100%, $E$9)</f>
        <v>4.4215</v>
      </c>
      <c r="M132" s="11">
        <f>4.4251 * CHOOSE(CONTROL!$C$32, $C$9, 100%, $E$9)</f>
        <v>4.4250999999999996</v>
      </c>
      <c r="N132" s="11">
        <f>4.4215 * CHOOSE(CONTROL!$C$32, $C$9, 100%, $E$9)</f>
        <v>4.4215</v>
      </c>
      <c r="O132" s="11">
        <f>4.4251 * CHOOSE(CONTROL!$C$32, $C$9, 100%, $E$9)</f>
        <v>4.4250999999999996</v>
      </c>
      <c r="P132" s="14"/>
      <c r="Q132" s="14"/>
      <c r="R132" s="14"/>
    </row>
    <row r="133" spans="1:18" ht="15" x14ac:dyDescent="0.2">
      <c r="A133" s="13">
        <v>44896</v>
      </c>
      <c r="B133" s="9">
        <f>3.4728 * CHOOSE(CONTROL!$C$32, $C$9, 100%, $E$9)</f>
        <v>3.4727999999999999</v>
      </c>
      <c r="C133" s="9">
        <f>3.4728 * CHOOSE(CONTROL!$C$32, $C$9, 100%, $E$9)</f>
        <v>3.4727999999999999</v>
      </c>
      <c r="D133" s="9">
        <f>3.4739 * CHOOSE(CONTROL!$C$32, $C$9, 100%, $E$9)</f>
        <v>3.4739</v>
      </c>
      <c r="E133" s="11">
        <f>4.4215 * CHOOSE(CONTROL!$C$32, $C$9, 100%, $E$9)</f>
        <v>4.4215</v>
      </c>
      <c r="F133" s="11">
        <f>4.4215 * CHOOSE(CONTROL!$C$32, $C$9, 100%, $E$9)</f>
        <v>4.4215</v>
      </c>
      <c r="G133" s="11">
        <f>4.4251 * CHOOSE(CONTROL!$C$32, $C$9, 100%, $E$9)</f>
        <v>4.4250999999999996</v>
      </c>
      <c r="H133" s="11">
        <f>7.1032 * CHOOSE(CONTROL!$C$32, $C$9, 100%, $E$9)</f>
        <v>7.1032000000000002</v>
      </c>
      <c r="I133" s="11">
        <f>7.1068 * CHOOSE(CONTROL!$C$32, $C$9, 100%, $E$9)</f>
        <v>7.1067999999999998</v>
      </c>
      <c r="J133" s="11">
        <f>7.1032 * CHOOSE(CONTROL!$C$32, $C$9, 100%, $E$9)</f>
        <v>7.1032000000000002</v>
      </c>
      <c r="K133" s="11">
        <f>7.1068 * CHOOSE(CONTROL!$C$32, $C$9, 100%, $E$9)</f>
        <v>7.1067999999999998</v>
      </c>
      <c r="L133" s="11">
        <f>4.4215 * CHOOSE(CONTROL!$C$32, $C$9, 100%, $E$9)</f>
        <v>4.4215</v>
      </c>
      <c r="M133" s="11">
        <f>4.4251 * CHOOSE(CONTROL!$C$32, $C$9, 100%, $E$9)</f>
        <v>4.4250999999999996</v>
      </c>
      <c r="N133" s="11">
        <f>4.4215 * CHOOSE(CONTROL!$C$32, $C$9, 100%, $E$9)</f>
        <v>4.4215</v>
      </c>
      <c r="O133" s="11">
        <f>4.4251 * CHOOSE(CONTROL!$C$32, $C$9, 100%, $E$9)</f>
        <v>4.4250999999999996</v>
      </c>
      <c r="P133" s="14"/>
      <c r="Q133" s="14"/>
      <c r="R133" s="14"/>
    </row>
    <row r="134" spans="1:18" ht="15" x14ac:dyDescent="0.2">
      <c r="A134" s="13">
        <v>44927</v>
      </c>
      <c r="B134" s="9">
        <f>3.5089 * CHOOSE(CONTROL!$C$32, $C$9, 100%, $E$9)</f>
        <v>3.5089000000000001</v>
      </c>
      <c r="C134" s="9">
        <f>3.5089 * CHOOSE(CONTROL!$C$32, $C$9, 100%, $E$9)</f>
        <v>3.5089000000000001</v>
      </c>
      <c r="D134" s="9">
        <f>3.5099 * CHOOSE(CONTROL!$C$32, $C$9, 100%, $E$9)</f>
        <v>3.5099</v>
      </c>
      <c r="E134" s="11">
        <f>4.4558 * CHOOSE(CONTROL!$C$32, $C$9, 100%, $E$9)</f>
        <v>4.4558</v>
      </c>
      <c r="F134" s="11">
        <f>4.4558 * CHOOSE(CONTROL!$C$32, $C$9, 100%, $E$9)</f>
        <v>4.4558</v>
      </c>
      <c r="G134" s="11">
        <f>4.4594 * CHOOSE(CONTROL!$C$32, $C$9, 100%, $E$9)</f>
        <v>4.4593999999999996</v>
      </c>
      <c r="H134" s="11">
        <f>7.118 * CHOOSE(CONTROL!$C$32, $C$9, 100%, $E$9)</f>
        <v>7.1180000000000003</v>
      </c>
      <c r="I134" s="11">
        <f>7.1216 * CHOOSE(CONTROL!$C$32, $C$9, 100%, $E$9)</f>
        <v>7.1215999999999999</v>
      </c>
      <c r="J134" s="11">
        <f>7.118 * CHOOSE(CONTROL!$C$32, $C$9, 100%, $E$9)</f>
        <v>7.1180000000000003</v>
      </c>
      <c r="K134" s="11">
        <f>7.1216 * CHOOSE(CONTROL!$C$32, $C$9, 100%, $E$9)</f>
        <v>7.1215999999999999</v>
      </c>
      <c r="L134" s="11">
        <f>4.4558 * CHOOSE(CONTROL!$C$32, $C$9, 100%, $E$9)</f>
        <v>4.4558</v>
      </c>
      <c r="M134" s="11">
        <f>4.4594 * CHOOSE(CONTROL!$C$32, $C$9, 100%, $E$9)</f>
        <v>4.4593999999999996</v>
      </c>
      <c r="N134" s="11">
        <f>4.4558 * CHOOSE(CONTROL!$C$32, $C$9, 100%, $E$9)</f>
        <v>4.4558</v>
      </c>
      <c r="O134" s="11">
        <f>4.4594 * CHOOSE(CONTROL!$C$32, $C$9, 100%, $E$9)</f>
        <v>4.4593999999999996</v>
      </c>
      <c r="P134" s="14"/>
      <c r="Q134" s="14"/>
      <c r="R134" s="14"/>
    </row>
    <row r="135" spans="1:18" ht="15" x14ac:dyDescent="0.2">
      <c r="A135" s="13">
        <v>44958</v>
      </c>
      <c r="B135" s="9">
        <f>3.5058 * CHOOSE(CONTROL!$C$32, $C$9, 100%, $E$9)</f>
        <v>3.5057999999999998</v>
      </c>
      <c r="C135" s="9">
        <f>3.5058 * CHOOSE(CONTROL!$C$32, $C$9, 100%, $E$9)</f>
        <v>3.5057999999999998</v>
      </c>
      <c r="D135" s="9">
        <f>3.5069 * CHOOSE(CONTROL!$C$32, $C$9, 100%, $E$9)</f>
        <v>3.5068999999999999</v>
      </c>
      <c r="E135" s="11">
        <f>4.4538 * CHOOSE(CONTROL!$C$32, $C$9, 100%, $E$9)</f>
        <v>4.4538000000000002</v>
      </c>
      <c r="F135" s="11">
        <f>4.4538 * CHOOSE(CONTROL!$C$32, $C$9, 100%, $E$9)</f>
        <v>4.4538000000000002</v>
      </c>
      <c r="G135" s="11">
        <f>4.4574 * CHOOSE(CONTROL!$C$32, $C$9, 100%, $E$9)</f>
        <v>4.4573999999999998</v>
      </c>
      <c r="H135" s="11">
        <f>7.1328 * CHOOSE(CONTROL!$C$32, $C$9, 100%, $E$9)</f>
        <v>7.1327999999999996</v>
      </c>
      <c r="I135" s="11">
        <f>7.1364 * CHOOSE(CONTROL!$C$32, $C$9, 100%, $E$9)</f>
        <v>7.1364000000000001</v>
      </c>
      <c r="J135" s="11">
        <f>7.1328 * CHOOSE(CONTROL!$C$32, $C$9, 100%, $E$9)</f>
        <v>7.1327999999999996</v>
      </c>
      <c r="K135" s="11">
        <f>7.1364 * CHOOSE(CONTROL!$C$32, $C$9, 100%, $E$9)</f>
        <v>7.1364000000000001</v>
      </c>
      <c r="L135" s="11">
        <f>4.4538 * CHOOSE(CONTROL!$C$32, $C$9, 100%, $E$9)</f>
        <v>4.4538000000000002</v>
      </c>
      <c r="M135" s="11">
        <f>4.4574 * CHOOSE(CONTROL!$C$32, $C$9, 100%, $E$9)</f>
        <v>4.4573999999999998</v>
      </c>
      <c r="N135" s="11">
        <f>4.4538 * CHOOSE(CONTROL!$C$32, $C$9, 100%, $E$9)</f>
        <v>4.4538000000000002</v>
      </c>
      <c r="O135" s="11">
        <f>4.4574 * CHOOSE(CONTROL!$C$32, $C$9, 100%, $E$9)</f>
        <v>4.4573999999999998</v>
      </c>
      <c r="P135" s="14"/>
      <c r="Q135" s="14"/>
      <c r="R135" s="14"/>
    </row>
    <row r="136" spans="1:18" ht="15" x14ac:dyDescent="0.2">
      <c r="A136" s="13">
        <v>44986</v>
      </c>
      <c r="B136" s="9">
        <f>3.5028 * CHOOSE(CONTROL!$C$32, $C$9, 100%, $E$9)</f>
        <v>3.5028000000000001</v>
      </c>
      <c r="C136" s="9">
        <f>3.5028 * CHOOSE(CONTROL!$C$32, $C$9, 100%, $E$9)</f>
        <v>3.5028000000000001</v>
      </c>
      <c r="D136" s="9">
        <f>3.5039 * CHOOSE(CONTROL!$C$32, $C$9, 100%, $E$9)</f>
        <v>3.5038999999999998</v>
      </c>
      <c r="E136" s="11">
        <f>4.4518 * CHOOSE(CONTROL!$C$32, $C$9, 100%, $E$9)</f>
        <v>4.4518000000000004</v>
      </c>
      <c r="F136" s="11">
        <f>4.4518 * CHOOSE(CONTROL!$C$32, $C$9, 100%, $E$9)</f>
        <v>4.4518000000000004</v>
      </c>
      <c r="G136" s="11">
        <f>4.4554 * CHOOSE(CONTROL!$C$32, $C$9, 100%, $E$9)</f>
        <v>4.4554</v>
      </c>
      <c r="H136" s="11">
        <f>7.1476 * CHOOSE(CONTROL!$C$32, $C$9, 100%, $E$9)</f>
        <v>7.1475999999999997</v>
      </c>
      <c r="I136" s="11">
        <f>7.1513 * CHOOSE(CONTROL!$C$32, $C$9, 100%, $E$9)</f>
        <v>7.1513</v>
      </c>
      <c r="J136" s="11">
        <f>7.1476 * CHOOSE(CONTROL!$C$32, $C$9, 100%, $E$9)</f>
        <v>7.1475999999999997</v>
      </c>
      <c r="K136" s="11">
        <f>7.1513 * CHOOSE(CONTROL!$C$32, $C$9, 100%, $E$9)</f>
        <v>7.1513</v>
      </c>
      <c r="L136" s="11">
        <f>4.4518 * CHOOSE(CONTROL!$C$32, $C$9, 100%, $E$9)</f>
        <v>4.4518000000000004</v>
      </c>
      <c r="M136" s="11">
        <f>4.4554 * CHOOSE(CONTROL!$C$32, $C$9, 100%, $E$9)</f>
        <v>4.4554</v>
      </c>
      <c r="N136" s="11">
        <f>4.4518 * CHOOSE(CONTROL!$C$32, $C$9, 100%, $E$9)</f>
        <v>4.4518000000000004</v>
      </c>
      <c r="O136" s="11">
        <f>4.4554 * CHOOSE(CONTROL!$C$32, $C$9, 100%, $E$9)</f>
        <v>4.4554</v>
      </c>
      <c r="P136" s="14"/>
      <c r="Q136" s="14"/>
      <c r="R136" s="14"/>
    </row>
    <row r="137" spans="1:18" ht="15" x14ac:dyDescent="0.2">
      <c r="A137" s="13">
        <v>45017</v>
      </c>
      <c r="B137" s="9">
        <f>3.5 * CHOOSE(CONTROL!$C$32, $C$9, 100%, $E$9)</f>
        <v>3.5</v>
      </c>
      <c r="C137" s="9">
        <f>3.5 * CHOOSE(CONTROL!$C$32, $C$9, 100%, $E$9)</f>
        <v>3.5</v>
      </c>
      <c r="D137" s="9">
        <f>3.5011 * CHOOSE(CONTROL!$C$32, $C$9, 100%, $E$9)</f>
        <v>3.5011000000000001</v>
      </c>
      <c r="E137" s="11">
        <f>4.4495 * CHOOSE(CONTROL!$C$32, $C$9, 100%, $E$9)</f>
        <v>4.4494999999999996</v>
      </c>
      <c r="F137" s="11">
        <f>4.4495 * CHOOSE(CONTROL!$C$32, $C$9, 100%, $E$9)</f>
        <v>4.4494999999999996</v>
      </c>
      <c r="G137" s="11">
        <f>4.4531 * CHOOSE(CONTROL!$C$32, $C$9, 100%, $E$9)</f>
        <v>4.4531000000000001</v>
      </c>
      <c r="H137" s="11">
        <f>7.1625 * CHOOSE(CONTROL!$C$32, $C$9, 100%, $E$9)</f>
        <v>7.1624999999999996</v>
      </c>
      <c r="I137" s="11">
        <f>7.1661 * CHOOSE(CONTROL!$C$32, $C$9, 100%, $E$9)</f>
        <v>7.1661000000000001</v>
      </c>
      <c r="J137" s="11">
        <f>7.1625 * CHOOSE(CONTROL!$C$32, $C$9, 100%, $E$9)</f>
        <v>7.1624999999999996</v>
      </c>
      <c r="K137" s="11">
        <f>7.1661 * CHOOSE(CONTROL!$C$32, $C$9, 100%, $E$9)</f>
        <v>7.1661000000000001</v>
      </c>
      <c r="L137" s="11">
        <f>4.4495 * CHOOSE(CONTROL!$C$32, $C$9, 100%, $E$9)</f>
        <v>4.4494999999999996</v>
      </c>
      <c r="M137" s="11">
        <f>4.4531 * CHOOSE(CONTROL!$C$32, $C$9, 100%, $E$9)</f>
        <v>4.4531000000000001</v>
      </c>
      <c r="N137" s="11">
        <f>4.4495 * CHOOSE(CONTROL!$C$32, $C$9, 100%, $E$9)</f>
        <v>4.4494999999999996</v>
      </c>
      <c r="O137" s="11">
        <f>4.4531 * CHOOSE(CONTROL!$C$32, $C$9, 100%, $E$9)</f>
        <v>4.4531000000000001</v>
      </c>
      <c r="P137" s="14"/>
      <c r="Q137" s="14"/>
      <c r="R137" s="14"/>
    </row>
    <row r="138" spans="1:18" ht="15" x14ac:dyDescent="0.2">
      <c r="A138" s="13">
        <v>45047</v>
      </c>
      <c r="B138" s="9">
        <f>3.5 * CHOOSE(CONTROL!$C$32, $C$9, 100%, $E$9)</f>
        <v>3.5</v>
      </c>
      <c r="C138" s="9">
        <f>3.5 * CHOOSE(CONTROL!$C$32, $C$9, 100%, $E$9)</f>
        <v>3.5</v>
      </c>
      <c r="D138" s="9">
        <f>3.5016 * CHOOSE(CONTROL!$C$32, $C$9, 100%, $E$9)</f>
        <v>3.5015999999999998</v>
      </c>
      <c r="E138" s="11">
        <f>4.4495 * CHOOSE(CONTROL!$C$32, $C$9, 100%, $E$9)</f>
        <v>4.4494999999999996</v>
      </c>
      <c r="F138" s="11">
        <f>4.4495 * CHOOSE(CONTROL!$C$32, $C$9, 100%, $E$9)</f>
        <v>4.4494999999999996</v>
      </c>
      <c r="G138" s="11">
        <f>4.4548 * CHOOSE(CONTROL!$C$32, $C$9, 100%, $E$9)</f>
        <v>4.4547999999999996</v>
      </c>
      <c r="H138" s="11">
        <f>7.1775 * CHOOSE(CONTROL!$C$32, $C$9, 100%, $E$9)</f>
        <v>7.1775000000000002</v>
      </c>
      <c r="I138" s="11">
        <f>7.1827 * CHOOSE(CONTROL!$C$32, $C$9, 100%, $E$9)</f>
        <v>7.1826999999999996</v>
      </c>
      <c r="J138" s="11">
        <f>7.1775 * CHOOSE(CONTROL!$C$32, $C$9, 100%, $E$9)</f>
        <v>7.1775000000000002</v>
      </c>
      <c r="K138" s="11">
        <f>7.1827 * CHOOSE(CONTROL!$C$32, $C$9, 100%, $E$9)</f>
        <v>7.1826999999999996</v>
      </c>
      <c r="L138" s="11">
        <f>4.4495 * CHOOSE(CONTROL!$C$32, $C$9, 100%, $E$9)</f>
        <v>4.4494999999999996</v>
      </c>
      <c r="M138" s="11">
        <f>4.4548 * CHOOSE(CONTROL!$C$32, $C$9, 100%, $E$9)</f>
        <v>4.4547999999999996</v>
      </c>
      <c r="N138" s="11">
        <f>4.4495 * CHOOSE(CONTROL!$C$32, $C$9, 100%, $E$9)</f>
        <v>4.4494999999999996</v>
      </c>
      <c r="O138" s="11">
        <f>4.4548 * CHOOSE(CONTROL!$C$32, $C$9, 100%, $E$9)</f>
        <v>4.4547999999999996</v>
      </c>
      <c r="P138" s="14"/>
      <c r="Q138" s="14"/>
      <c r="R138" s="14"/>
    </row>
    <row r="139" spans="1:18" ht="15" x14ac:dyDescent="0.2">
      <c r="A139" s="13">
        <v>45078</v>
      </c>
      <c r="B139" s="9">
        <f>3.5061 * CHOOSE(CONTROL!$C$32, $C$9, 100%, $E$9)</f>
        <v>3.5061</v>
      </c>
      <c r="C139" s="9">
        <f>3.5061 * CHOOSE(CONTROL!$C$32, $C$9, 100%, $E$9)</f>
        <v>3.5061</v>
      </c>
      <c r="D139" s="9">
        <f>3.5077 * CHOOSE(CONTROL!$C$32, $C$9, 100%, $E$9)</f>
        <v>3.5076999999999998</v>
      </c>
      <c r="E139" s="11">
        <f>4.4535 * CHOOSE(CONTROL!$C$32, $C$9, 100%, $E$9)</f>
        <v>4.4535</v>
      </c>
      <c r="F139" s="11">
        <f>4.4535 * CHOOSE(CONTROL!$C$32, $C$9, 100%, $E$9)</f>
        <v>4.4535</v>
      </c>
      <c r="G139" s="11">
        <f>4.4588 * CHOOSE(CONTROL!$C$32, $C$9, 100%, $E$9)</f>
        <v>4.4588000000000001</v>
      </c>
      <c r="H139" s="11">
        <f>7.1924 * CHOOSE(CONTROL!$C$32, $C$9, 100%, $E$9)</f>
        <v>7.1924000000000001</v>
      </c>
      <c r="I139" s="11">
        <f>7.1977 * CHOOSE(CONTROL!$C$32, $C$9, 100%, $E$9)</f>
        <v>7.1977000000000002</v>
      </c>
      <c r="J139" s="11">
        <f>7.1924 * CHOOSE(CONTROL!$C$32, $C$9, 100%, $E$9)</f>
        <v>7.1924000000000001</v>
      </c>
      <c r="K139" s="11">
        <f>7.1977 * CHOOSE(CONTROL!$C$32, $C$9, 100%, $E$9)</f>
        <v>7.1977000000000002</v>
      </c>
      <c r="L139" s="11">
        <f>4.4535 * CHOOSE(CONTROL!$C$32, $C$9, 100%, $E$9)</f>
        <v>4.4535</v>
      </c>
      <c r="M139" s="11">
        <f>4.4588 * CHOOSE(CONTROL!$C$32, $C$9, 100%, $E$9)</f>
        <v>4.4588000000000001</v>
      </c>
      <c r="N139" s="11">
        <f>4.4535 * CHOOSE(CONTROL!$C$32, $C$9, 100%, $E$9)</f>
        <v>4.4535</v>
      </c>
      <c r="O139" s="11">
        <f>4.4588 * CHOOSE(CONTROL!$C$32, $C$9, 100%, $E$9)</f>
        <v>4.4588000000000001</v>
      </c>
      <c r="P139" s="14"/>
      <c r="Q139" s="14"/>
      <c r="R139" s="14"/>
    </row>
    <row r="140" spans="1:18" ht="15" x14ac:dyDescent="0.2">
      <c r="A140" s="13">
        <v>45108</v>
      </c>
      <c r="B140" s="9">
        <f>3.5764 * CHOOSE(CONTROL!$C$32, $C$9, 100%, $E$9)</f>
        <v>3.5764</v>
      </c>
      <c r="C140" s="9">
        <f>3.5764 * CHOOSE(CONTROL!$C$32, $C$9, 100%, $E$9)</f>
        <v>3.5764</v>
      </c>
      <c r="D140" s="9">
        <f>3.578 * CHOOSE(CONTROL!$C$32, $C$9, 100%, $E$9)</f>
        <v>3.5779999999999998</v>
      </c>
      <c r="E140" s="11">
        <f>4.5283 * CHOOSE(CONTROL!$C$32, $C$9, 100%, $E$9)</f>
        <v>4.5282999999999998</v>
      </c>
      <c r="F140" s="11">
        <f>4.5283 * CHOOSE(CONTROL!$C$32, $C$9, 100%, $E$9)</f>
        <v>4.5282999999999998</v>
      </c>
      <c r="G140" s="11">
        <f>4.5336 * CHOOSE(CONTROL!$C$32, $C$9, 100%, $E$9)</f>
        <v>4.5335999999999999</v>
      </c>
      <c r="H140" s="11">
        <f>7.2074 * CHOOSE(CONTROL!$C$32, $C$9, 100%, $E$9)</f>
        <v>7.2073999999999998</v>
      </c>
      <c r="I140" s="11">
        <f>7.2127 * CHOOSE(CONTROL!$C$32, $C$9, 100%, $E$9)</f>
        <v>7.2126999999999999</v>
      </c>
      <c r="J140" s="11">
        <f>7.2074 * CHOOSE(CONTROL!$C$32, $C$9, 100%, $E$9)</f>
        <v>7.2073999999999998</v>
      </c>
      <c r="K140" s="11">
        <f>7.2127 * CHOOSE(CONTROL!$C$32, $C$9, 100%, $E$9)</f>
        <v>7.2126999999999999</v>
      </c>
      <c r="L140" s="11">
        <f>4.5283 * CHOOSE(CONTROL!$C$32, $C$9, 100%, $E$9)</f>
        <v>4.5282999999999998</v>
      </c>
      <c r="M140" s="11">
        <f>4.5336 * CHOOSE(CONTROL!$C$32, $C$9, 100%, $E$9)</f>
        <v>4.5335999999999999</v>
      </c>
      <c r="N140" s="11">
        <f>4.5283 * CHOOSE(CONTROL!$C$32, $C$9, 100%, $E$9)</f>
        <v>4.5282999999999998</v>
      </c>
      <c r="O140" s="11">
        <f>4.5336 * CHOOSE(CONTROL!$C$32, $C$9, 100%, $E$9)</f>
        <v>4.5335999999999999</v>
      </c>
      <c r="P140" s="14"/>
      <c r="Q140" s="14"/>
      <c r="R140" s="14"/>
    </row>
    <row r="141" spans="1:18" ht="15" x14ac:dyDescent="0.2">
      <c r="A141" s="13">
        <v>45139</v>
      </c>
      <c r="B141" s="9">
        <f>3.5831 * CHOOSE(CONTROL!$C$32, $C$9, 100%, $E$9)</f>
        <v>3.5831</v>
      </c>
      <c r="C141" s="9">
        <f>3.5831 * CHOOSE(CONTROL!$C$32, $C$9, 100%, $E$9)</f>
        <v>3.5831</v>
      </c>
      <c r="D141" s="9">
        <f>3.5846 * CHOOSE(CONTROL!$C$32, $C$9, 100%, $E$9)</f>
        <v>3.5846</v>
      </c>
      <c r="E141" s="11">
        <f>4.5327 * CHOOSE(CONTROL!$C$32, $C$9, 100%, $E$9)</f>
        <v>4.5327000000000002</v>
      </c>
      <c r="F141" s="11">
        <f>4.5327 * CHOOSE(CONTROL!$C$32, $C$9, 100%, $E$9)</f>
        <v>4.5327000000000002</v>
      </c>
      <c r="G141" s="11">
        <f>4.538 * CHOOSE(CONTROL!$C$32, $C$9, 100%, $E$9)</f>
        <v>4.5380000000000003</v>
      </c>
      <c r="H141" s="11">
        <f>7.2224 * CHOOSE(CONTROL!$C$32, $C$9, 100%, $E$9)</f>
        <v>7.2224000000000004</v>
      </c>
      <c r="I141" s="11">
        <f>7.2277 * CHOOSE(CONTROL!$C$32, $C$9, 100%, $E$9)</f>
        <v>7.2276999999999996</v>
      </c>
      <c r="J141" s="11">
        <f>7.2224 * CHOOSE(CONTROL!$C$32, $C$9, 100%, $E$9)</f>
        <v>7.2224000000000004</v>
      </c>
      <c r="K141" s="11">
        <f>7.2277 * CHOOSE(CONTROL!$C$32, $C$9, 100%, $E$9)</f>
        <v>7.2276999999999996</v>
      </c>
      <c r="L141" s="11">
        <f>4.5327 * CHOOSE(CONTROL!$C$32, $C$9, 100%, $E$9)</f>
        <v>4.5327000000000002</v>
      </c>
      <c r="M141" s="11">
        <f>4.538 * CHOOSE(CONTROL!$C$32, $C$9, 100%, $E$9)</f>
        <v>4.5380000000000003</v>
      </c>
      <c r="N141" s="11">
        <f>4.5327 * CHOOSE(CONTROL!$C$32, $C$9, 100%, $E$9)</f>
        <v>4.5327000000000002</v>
      </c>
      <c r="O141" s="11">
        <f>4.538 * CHOOSE(CONTROL!$C$32, $C$9, 100%, $E$9)</f>
        <v>4.5380000000000003</v>
      </c>
      <c r="P141" s="14"/>
      <c r="Q141" s="14"/>
      <c r="R141" s="14"/>
    </row>
    <row r="142" spans="1:18" ht="15" x14ac:dyDescent="0.2">
      <c r="A142" s="13">
        <v>45170</v>
      </c>
      <c r="B142" s="9">
        <f>3.58 * CHOOSE(CONTROL!$C$32, $C$9, 100%, $E$9)</f>
        <v>3.58</v>
      </c>
      <c r="C142" s="9">
        <f>3.58 * CHOOSE(CONTROL!$C$32, $C$9, 100%, $E$9)</f>
        <v>3.58</v>
      </c>
      <c r="D142" s="9">
        <f>3.5816 * CHOOSE(CONTROL!$C$32, $C$9, 100%, $E$9)</f>
        <v>3.5815999999999999</v>
      </c>
      <c r="E142" s="11">
        <f>4.5307 * CHOOSE(CONTROL!$C$32, $C$9, 100%, $E$9)</f>
        <v>4.5307000000000004</v>
      </c>
      <c r="F142" s="11">
        <f>4.5307 * CHOOSE(CONTROL!$C$32, $C$9, 100%, $E$9)</f>
        <v>4.5307000000000004</v>
      </c>
      <c r="G142" s="11">
        <f>4.536 * CHOOSE(CONTROL!$C$32, $C$9, 100%, $E$9)</f>
        <v>4.5359999999999996</v>
      </c>
      <c r="H142" s="11">
        <f>7.2375 * CHOOSE(CONTROL!$C$32, $C$9, 100%, $E$9)</f>
        <v>7.2374999999999998</v>
      </c>
      <c r="I142" s="11">
        <f>7.2427 * CHOOSE(CONTROL!$C$32, $C$9, 100%, $E$9)</f>
        <v>7.2427000000000001</v>
      </c>
      <c r="J142" s="11">
        <f>7.2375 * CHOOSE(CONTROL!$C$32, $C$9, 100%, $E$9)</f>
        <v>7.2374999999999998</v>
      </c>
      <c r="K142" s="11">
        <f>7.2427 * CHOOSE(CONTROL!$C$32, $C$9, 100%, $E$9)</f>
        <v>7.2427000000000001</v>
      </c>
      <c r="L142" s="11">
        <f>4.5307 * CHOOSE(CONTROL!$C$32, $C$9, 100%, $E$9)</f>
        <v>4.5307000000000004</v>
      </c>
      <c r="M142" s="11">
        <f>4.536 * CHOOSE(CONTROL!$C$32, $C$9, 100%, $E$9)</f>
        <v>4.5359999999999996</v>
      </c>
      <c r="N142" s="11">
        <f>4.5307 * CHOOSE(CONTROL!$C$32, $C$9, 100%, $E$9)</f>
        <v>4.5307000000000004</v>
      </c>
      <c r="O142" s="11">
        <f>4.536 * CHOOSE(CONTROL!$C$32, $C$9, 100%, $E$9)</f>
        <v>4.5359999999999996</v>
      </c>
      <c r="P142" s="14"/>
      <c r="Q142" s="14"/>
      <c r="R142" s="14"/>
    </row>
    <row r="143" spans="1:18" ht="15" x14ac:dyDescent="0.2">
      <c r="A143" s="13">
        <v>45200</v>
      </c>
      <c r="B143" s="9">
        <f>3.5736 * CHOOSE(CONTROL!$C$32, $C$9, 100%, $E$9)</f>
        <v>3.5735999999999999</v>
      </c>
      <c r="C143" s="9">
        <f>3.5736 * CHOOSE(CONTROL!$C$32, $C$9, 100%, $E$9)</f>
        <v>3.5735999999999999</v>
      </c>
      <c r="D143" s="9">
        <f>3.5747 * CHOOSE(CONTROL!$C$32, $C$9, 100%, $E$9)</f>
        <v>3.5747</v>
      </c>
      <c r="E143" s="11">
        <f>4.5247 * CHOOSE(CONTROL!$C$32, $C$9, 100%, $E$9)</f>
        <v>4.5247000000000002</v>
      </c>
      <c r="F143" s="11">
        <f>4.5247 * CHOOSE(CONTROL!$C$32, $C$9, 100%, $E$9)</f>
        <v>4.5247000000000002</v>
      </c>
      <c r="G143" s="11">
        <f>4.5283 * CHOOSE(CONTROL!$C$32, $C$9, 100%, $E$9)</f>
        <v>4.5282999999999998</v>
      </c>
      <c r="H143" s="11">
        <f>7.2525 * CHOOSE(CONTROL!$C$32, $C$9, 100%, $E$9)</f>
        <v>7.2525000000000004</v>
      </c>
      <c r="I143" s="11">
        <f>7.2561 * CHOOSE(CONTROL!$C$32, $C$9, 100%, $E$9)</f>
        <v>7.2561</v>
      </c>
      <c r="J143" s="11">
        <f>7.2525 * CHOOSE(CONTROL!$C$32, $C$9, 100%, $E$9)</f>
        <v>7.2525000000000004</v>
      </c>
      <c r="K143" s="11">
        <f>7.2561 * CHOOSE(CONTROL!$C$32, $C$9, 100%, $E$9)</f>
        <v>7.2561</v>
      </c>
      <c r="L143" s="11">
        <f>4.5247 * CHOOSE(CONTROL!$C$32, $C$9, 100%, $E$9)</f>
        <v>4.5247000000000002</v>
      </c>
      <c r="M143" s="11">
        <f>4.5283 * CHOOSE(CONTROL!$C$32, $C$9, 100%, $E$9)</f>
        <v>4.5282999999999998</v>
      </c>
      <c r="N143" s="11">
        <f>4.5247 * CHOOSE(CONTROL!$C$32, $C$9, 100%, $E$9)</f>
        <v>4.5247000000000002</v>
      </c>
      <c r="O143" s="11">
        <f>4.5283 * CHOOSE(CONTROL!$C$32, $C$9, 100%, $E$9)</f>
        <v>4.5282999999999998</v>
      </c>
      <c r="P143" s="14"/>
      <c r="Q143" s="14"/>
      <c r="R143" s="14"/>
    </row>
    <row r="144" spans="1:18" ht="15" x14ac:dyDescent="0.2">
      <c r="A144" s="13">
        <v>45231</v>
      </c>
      <c r="B144" s="9">
        <f>3.5766 * CHOOSE(CONTROL!$C$32, $C$9, 100%, $E$9)</f>
        <v>3.5766</v>
      </c>
      <c r="C144" s="9">
        <f>3.5766 * CHOOSE(CONTROL!$C$32, $C$9, 100%, $E$9)</f>
        <v>3.5766</v>
      </c>
      <c r="D144" s="9">
        <f>3.5777 * CHOOSE(CONTROL!$C$32, $C$9, 100%, $E$9)</f>
        <v>3.5777000000000001</v>
      </c>
      <c r="E144" s="11">
        <f>4.5267 * CHOOSE(CONTROL!$C$32, $C$9, 100%, $E$9)</f>
        <v>4.5266999999999999</v>
      </c>
      <c r="F144" s="11">
        <f>4.5267 * CHOOSE(CONTROL!$C$32, $C$9, 100%, $E$9)</f>
        <v>4.5266999999999999</v>
      </c>
      <c r="G144" s="11">
        <f>4.5303 * CHOOSE(CONTROL!$C$32, $C$9, 100%, $E$9)</f>
        <v>4.5303000000000004</v>
      </c>
      <c r="H144" s="11">
        <f>7.2676 * CHOOSE(CONTROL!$C$32, $C$9, 100%, $E$9)</f>
        <v>7.2675999999999998</v>
      </c>
      <c r="I144" s="11">
        <f>7.2713 * CHOOSE(CONTROL!$C$32, $C$9, 100%, $E$9)</f>
        <v>7.2713000000000001</v>
      </c>
      <c r="J144" s="11">
        <f>7.2676 * CHOOSE(CONTROL!$C$32, $C$9, 100%, $E$9)</f>
        <v>7.2675999999999998</v>
      </c>
      <c r="K144" s="11">
        <f>7.2713 * CHOOSE(CONTROL!$C$32, $C$9, 100%, $E$9)</f>
        <v>7.2713000000000001</v>
      </c>
      <c r="L144" s="11">
        <f>4.5267 * CHOOSE(CONTROL!$C$32, $C$9, 100%, $E$9)</f>
        <v>4.5266999999999999</v>
      </c>
      <c r="M144" s="11">
        <f>4.5303 * CHOOSE(CONTROL!$C$32, $C$9, 100%, $E$9)</f>
        <v>4.5303000000000004</v>
      </c>
      <c r="N144" s="11">
        <f>4.5267 * CHOOSE(CONTROL!$C$32, $C$9, 100%, $E$9)</f>
        <v>4.5266999999999999</v>
      </c>
      <c r="O144" s="11">
        <f>4.5303 * CHOOSE(CONTROL!$C$32, $C$9, 100%, $E$9)</f>
        <v>4.5303000000000004</v>
      </c>
      <c r="P144" s="14"/>
      <c r="Q144" s="14"/>
      <c r="R144" s="14"/>
    </row>
    <row r="145" spans="1:18" ht="15" x14ac:dyDescent="0.2">
      <c r="A145" s="13">
        <v>45261</v>
      </c>
      <c r="B145" s="9">
        <f>3.5766 * CHOOSE(CONTROL!$C$32, $C$9, 100%, $E$9)</f>
        <v>3.5766</v>
      </c>
      <c r="C145" s="9">
        <f>3.5766 * CHOOSE(CONTROL!$C$32, $C$9, 100%, $E$9)</f>
        <v>3.5766</v>
      </c>
      <c r="D145" s="9">
        <f>3.5777 * CHOOSE(CONTROL!$C$32, $C$9, 100%, $E$9)</f>
        <v>3.5777000000000001</v>
      </c>
      <c r="E145" s="11">
        <f>4.5267 * CHOOSE(CONTROL!$C$32, $C$9, 100%, $E$9)</f>
        <v>4.5266999999999999</v>
      </c>
      <c r="F145" s="11">
        <f>4.5267 * CHOOSE(CONTROL!$C$32, $C$9, 100%, $E$9)</f>
        <v>4.5266999999999999</v>
      </c>
      <c r="G145" s="11">
        <f>4.5303 * CHOOSE(CONTROL!$C$32, $C$9, 100%, $E$9)</f>
        <v>4.5303000000000004</v>
      </c>
      <c r="H145" s="11">
        <f>7.2828 * CHOOSE(CONTROL!$C$32, $C$9, 100%, $E$9)</f>
        <v>7.2827999999999999</v>
      </c>
      <c r="I145" s="11">
        <f>7.2864 * CHOOSE(CONTROL!$C$32, $C$9, 100%, $E$9)</f>
        <v>7.2864000000000004</v>
      </c>
      <c r="J145" s="11">
        <f>7.2828 * CHOOSE(CONTROL!$C$32, $C$9, 100%, $E$9)</f>
        <v>7.2827999999999999</v>
      </c>
      <c r="K145" s="11">
        <f>7.2864 * CHOOSE(CONTROL!$C$32, $C$9, 100%, $E$9)</f>
        <v>7.2864000000000004</v>
      </c>
      <c r="L145" s="11">
        <f>4.5267 * CHOOSE(CONTROL!$C$32, $C$9, 100%, $E$9)</f>
        <v>4.5266999999999999</v>
      </c>
      <c r="M145" s="11">
        <f>4.5303 * CHOOSE(CONTROL!$C$32, $C$9, 100%, $E$9)</f>
        <v>4.5303000000000004</v>
      </c>
      <c r="N145" s="11">
        <f>4.5267 * CHOOSE(CONTROL!$C$32, $C$9, 100%, $E$9)</f>
        <v>4.5266999999999999</v>
      </c>
      <c r="O145" s="11">
        <f>4.5303 * CHOOSE(CONTROL!$C$32, $C$9, 100%, $E$9)</f>
        <v>4.5303000000000004</v>
      </c>
      <c r="P145" s="14"/>
      <c r="Q145" s="14"/>
      <c r="R145" s="14"/>
    </row>
    <row r="146" spans="1:18" ht="15" x14ac:dyDescent="0.2">
      <c r="A146" s="13">
        <v>45292</v>
      </c>
      <c r="B146" s="9">
        <f>3.6058 * CHOOSE(CONTROL!$C$32, $C$9, 100%, $E$9)</f>
        <v>3.6057999999999999</v>
      </c>
      <c r="C146" s="9">
        <f>3.6058 * CHOOSE(CONTROL!$C$32, $C$9, 100%, $E$9)</f>
        <v>3.6057999999999999</v>
      </c>
      <c r="D146" s="9">
        <f>3.6069 * CHOOSE(CONTROL!$C$32, $C$9, 100%, $E$9)</f>
        <v>3.6069</v>
      </c>
      <c r="E146" s="11">
        <f>4.5664 * CHOOSE(CONTROL!$C$32, $C$9, 100%, $E$9)</f>
        <v>4.5663999999999998</v>
      </c>
      <c r="F146" s="11">
        <f>4.5664 * CHOOSE(CONTROL!$C$32, $C$9, 100%, $E$9)</f>
        <v>4.5663999999999998</v>
      </c>
      <c r="G146" s="11">
        <f>4.57 * CHOOSE(CONTROL!$C$32, $C$9, 100%, $E$9)</f>
        <v>4.57</v>
      </c>
      <c r="H146" s="11">
        <f>7.298 * CHOOSE(CONTROL!$C$32, $C$9, 100%, $E$9)</f>
        <v>7.298</v>
      </c>
      <c r="I146" s="11">
        <f>7.3016 * CHOOSE(CONTROL!$C$32, $C$9, 100%, $E$9)</f>
        <v>7.3015999999999996</v>
      </c>
      <c r="J146" s="11">
        <f>7.298 * CHOOSE(CONTROL!$C$32, $C$9, 100%, $E$9)</f>
        <v>7.298</v>
      </c>
      <c r="K146" s="11">
        <f>7.3016 * CHOOSE(CONTROL!$C$32, $C$9, 100%, $E$9)</f>
        <v>7.3015999999999996</v>
      </c>
      <c r="L146" s="11">
        <f>4.5664 * CHOOSE(CONTROL!$C$32, $C$9, 100%, $E$9)</f>
        <v>4.5663999999999998</v>
      </c>
      <c r="M146" s="11">
        <f>4.57 * CHOOSE(CONTROL!$C$32, $C$9, 100%, $E$9)</f>
        <v>4.57</v>
      </c>
      <c r="N146" s="11">
        <f>4.5664 * CHOOSE(CONTROL!$C$32, $C$9, 100%, $E$9)</f>
        <v>4.5663999999999998</v>
      </c>
      <c r="O146" s="11">
        <f>4.57 * CHOOSE(CONTROL!$C$32, $C$9, 100%, $E$9)</f>
        <v>4.57</v>
      </c>
      <c r="P146" s="14"/>
      <c r="Q146" s="14"/>
      <c r="R146" s="14"/>
    </row>
    <row r="147" spans="1:18" ht="15" x14ac:dyDescent="0.2">
      <c r="A147" s="13">
        <v>45323</v>
      </c>
      <c r="B147" s="9">
        <f>3.6028 * CHOOSE(CONTROL!$C$32, $C$9, 100%, $E$9)</f>
        <v>3.6027999999999998</v>
      </c>
      <c r="C147" s="9">
        <f>3.6028 * CHOOSE(CONTROL!$C$32, $C$9, 100%, $E$9)</f>
        <v>3.6027999999999998</v>
      </c>
      <c r="D147" s="9">
        <f>3.6038 * CHOOSE(CONTROL!$C$32, $C$9, 100%, $E$9)</f>
        <v>3.6038000000000001</v>
      </c>
      <c r="E147" s="11">
        <f>4.5644 * CHOOSE(CONTROL!$C$32, $C$9, 100%, $E$9)</f>
        <v>4.5644</v>
      </c>
      <c r="F147" s="11">
        <f>4.5644 * CHOOSE(CONTROL!$C$32, $C$9, 100%, $E$9)</f>
        <v>4.5644</v>
      </c>
      <c r="G147" s="11">
        <f>4.568 * CHOOSE(CONTROL!$C$32, $C$9, 100%, $E$9)</f>
        <v>4.5679999999999996</v>
      </c>
      <c r="H147" s="11">
        <f>7.3132 * CHOOSE(CONTROL!$C$32, $C$9, 100%, $E$9)</f>
        <v>7.3132000000000001</v>
      </c>
      <c r="I147" s="11">
        <f>7.3168 * CHOOSE(CONTROL!$C$32, $C$9, 100%, $E$9)</f>
        <v>7.3167999999999997</v>
      </c>
      <c r="J147" s="11">
        <f>7.3132 * CHOOSE(CONTROL!$C$32, $C$9, 100%, $E$9)</f>
        <v>7.3132000000000001</v>
      </c>
      <c r="K147" s="11">
        <f>7.3168 * CHOOSE(CONTROL!$C$32, $C$9, 100%, $E$9)</f>
        <v>7.3167999999999997</v>
      </c>
      <c r="L147" s="11">
        <f>4.5644 * CHOOSE(CONTROL!$C$32, $C$9, 100%, $E$9)</f>
        <v>4.5644</v>
      </c>
      <c r="M147" s="11">
        <f>4.568 * CHOOSE(CONTROL!$C$32, $C$9, 100%, $E$9)</f>
        <v>4.5679999999999996</v>
      </c>
      <c r="N147" s="11">
        <f>4.5644 * CHOOSE(CONTROL!$C$32, $C$9, 100%, $E$9)</f>
        <v>4.5644</v>
      </c>
      <c r="O147" s="11">
        <f>4.568 * CHOOSE(CONTROL!$C$32, $C$9, 100%, $E$9)</f>
        <v>4.5679999999999996</v>
      </c>
      <c r="P147" s="14"/>
      <c r="Q147" s="14"/>
      <c r="R147" s="14"/>
    </row>
    <row r="148" spans="1:18" ht="15" x14ac:dyDescent="0.2">
      <c r="A148" s="13">
        <v>45352</v>
      </c>
      <c r="B148" s="9">
        <f>3.5997 * CHOOSE(CONTROL!$C$32, $C$9, 100%, $E$9)</f>
        <v>3.5996999999999999</v>
      </c>
      <c r="C148" s="9">
        <f>3.5997 * CHOOSE(CONTROL!$C$32, $C$9, 100%, $E$9)</f>
        <v>3.5996999999999999</v>
      </c>
      <c r="D148" s="9">
        <f>3.6008 * CHOOSE(CONTROL!$C$32, $C$9, 100%, $E$9)</f>
        <v>3.6008</v>
      </c>
      <c r="E148" s="11">
        <f>4.5624 * CHOOSE(CONTROL!$C$32, $C$9, 100%, $E$9)</f>
        <v>4.5624000000000002</v>
      </c>
      <c r="F148" s="11">
        <f>4.5624 * CHOOSE(CONTROL!$C$32, $C$9, 100%, $E$9)</f>
        <v>4.5624000000000002</v>
      </c>
      <c r="G148" s="11">
        <f>4.566 * CHOOSE(CONTROL!$C$32, $C$9, 100%, $E$9)</f>
        <v>4.5659999999999998</v>
      </c>
      <c r="H148" s="11">
        <f>7.3284 * CHOOSE(CONTROL!$C$32, $C$9, 100%, $E$9)</f>
        <v>7.3284000000000002</v>
      </c>
      <c r="I148" s="11">
        <f>7.332 * CHOOSE(CONTROL!$C$32, $C$9, 100%, $E$9)</f>
        <v>7.3319999999999999</v>
      </c>
      <c r="J148" s="11">
        <f>7.3284 * CHOOSE(CONTROL!$C$32, $C$9, 100%, $E$9)</f>
        <v>7.3284000000000002</v>
      </c>
      <c r="K148" s="11">
        <f>7.332 * CHOOSE(CONTROL!$C$32, $C$9, 100%, $E$9)</f>
        <v>7.3319999999999999</v>
      </c>
      <c r="L148" s="11">
        <f>4.5624 * CHOOSE(CONTROL!$C$32, $C$9, 100%, $E$9)</f>
        <v>4.5624000000000002</v>
      </c>
      <c r="M148" s="11">
        <f>4.566 * CHOOSE(CONTROL!$C$32, $C$9, 100%, $E$9)</f>
        <v>4.5659999999999998</v>
      </c>
      <c r="N148" s="11">
        <f>4.5624 * CHOOSE(CONTROL!$C$32, $C$9, 100%, $E$9)</f>
        <v>4.5624000000000002</v>
      </c>
      <c r="O148" s="11">
        <f>4.566 * CHOOSE(CONTROL!$C$32, $C$9, 100%, $E$9)</f>
        <v>4.5659999999999998</v>
      </c>
      <c r="P148" s="14"/>
      <c r="Q148" s="14"/>
      <c r="R148" s="14"/>
    </row>
    <row r="149" spans="1:18" ht="15" x14ac:dyDescent="0.2">
      <c r="A149" s="13">
        <v>45383</v>
      </c>
      <c r="B149" s="9">
        <f>3.597 * CHOOSE(CONTROL!$C$32, $C$9, 100%, $E$9)</f>
        <v>3.597</v>
      </c>
      <c r="C149" s="9">
        <f>3.597 * CHOOSE(CONTROL!$C$32, $C$9, 100%, $E$9)</f>
        <v>3.597</v>
      </c>
      <c r="D149" s="9">
        <f>3.5981 * CHOOSE(CONTROL!$C$32, $C$9, 100%, $E$9)</f>
        <v>3.5981000000000001</v>
      </c>
      <c r="E149" s="11">
        <f>4.5602 * CHOOSE(CONTROL!$C$32, $C$9, 100%, $E$9)</f>
        <v>4.5602</v>
      </c>
      <c r="F149" s="11">
        <f>4.5602 * CHOOSE(CONTROL!$C$32, $C$9, 100%, $E$9)</f>
        <v>4.5602</v>
      </c>
      <c r="G149" s="11">
        <f>4.5638 * CHOOSE(CONTROL!$C$32, $C$9, 100%, $E$9)</f>
        <v>4.5637999999999996</v>
      </c>
      <c r="H149" s="11">
        <f>7.3437 * CHOOSE(CONTROL!$C$32, $C$9, 100%, $E$9)</f>
        <v>7.3437000000000001</v>
      </c>
      <c r="I149" s="11">
        <f>7.3473 * CHOOSE(CONTROL!$C$32, $C$9, 100%, $E$9)</f>
        <v>7.3472999999999997</v>
      </c>
      <c r="J149" s="11">
        <f>7.3437 * CHOOSE(CONTROL!$C$32, $C$9, 100%, $E$9)</f>
        <v>7.3437000000000001</v>
      </c>
      <c r="K149" s="11">
        <f>7.3473 * CHOOSE(CONTROL!$C$32, $C$9, 100%, $E$9)</f>
        <v>7.3472999999999997</v>
      </c>
      <c r="L149" s="11">
        <f>4.5602 * CHOOSE(CONTROL!$C$32, $C$9, 100%, $E$9)</f>
        <v>4.5602</v>
      </c>
      <c r="M149" s="11">
        <f>4.5638 * CHOOSE(CONTROL!$C$32, $C$9, 100%, $E$9)</f>
        <v>4.5637999999999996</v>
      </c>
      <c r="N149" s="11">
        <f>4.5602 * CHOOSE(CONTROL!$C$32, $C$9, 100%, $E$9)</f>
        <v>4.5602</v>
      </c>
      <c r="O149" s="11">
        <f>4.5638 * CHOOSE(CONTROL!$C$32, $C$9, 100%, $E$9)</f>
        <v>4.5637999999999996</v>
      </c>
      <c r="P149" s="14"/>
      <c r="Q149" s="14"/>
      <c r="R149" s="14"/>
    </row>
    <row r="150" spans="1:18" ht="15" x14ac:dyDescent="0.2">
      <c r="A150" s="13">
        <v>45413</v>
      </c>
      <c r="B150" s="9">
        <f>3.597 * CHOOSE(CONTROL!$C$32, $C$9, 100%, $E$9)</f>
        <v>3.597</v>
      </c>
      <c r="C150" s="9">
        <f>3.597 * CHOOSE(CONTROL!$C$32, $C$9, 100%, $E$9)</f>
        <v>3.597</v>
      </c>
      <c r="D150" s="9">
        <f>3.5986 * CHOOSE(CONTROL!$C$32, $C$9, 100%, $E$9)</f>
        <v>3.5985999999999998</v>
      </c>
      <c r="E150" s="11">
        <f>4.5602 * CHOOSE(CONTROL!$C$32, $C$9, 100%, $E$9)</f>
        <v>4.5602</v>
      </c>
      <c r="F150" s="11">
        <f>4.5602 * CHOOSE(CONTROL!$C$32, $C$9, 100%, $E$9)</f>
        <v>4.5602</v>
      </c>
      <c r="G150" s="11">
        <f>4.5654 * CHOOSE(CONTROL!$C$32, $C$9, 100%, $E$9)</f>
        <v>4.5654000000000003</v>
      </c>
      <c r="H150" s="11">
        <f>7.359 * CHOOSE(CONTROL!$C$32, $C$9, 100%, $E$9)</f>
        <v>7.359</v>
      </c>
      <c r="I150" s="11">
        <f>7.3643 * CHOOSE(CONTROL!$C$32, $C$9, 100%, $E$9)</f>
        <v>7.3643000000000001</v>
      </c>
      <c r="J150" s="11">
        <f>7.359 * CHOOSE(CONTROL!$C$32, $C$9, 100%, $E$9)</f>
        <v>7.359</v>
      </c>
      <c r="K150" s="11">
        <f>7.3643 * CHOOSE(CONTROL!$C$32, $C$9, 100%, $E$9)</f>
        <v>7.3643000000000001</v>
      </c>
      <c r="L150" s="11">
        <f>4.5602 * CHOOSE(CONTROL!$C$32, $C$9, 100%, $E$9)</f>
        <v>4.5602</v>
      </c>
      <c r="M150" s="11">
        <f>4.5654 * CHOOSE(CONTROL!$C$32, $C$9, 100%, $E$9)</f>
        <v>4.5654000000000003</v>
      </c>
      <c r="N150" s="11">
        <f>4.5602 * CHOOSE(CONTROL!$C$32, $C$9, 100%, $E$9)</f>
        <v>4.5602</v>
      </c>
      <c r="O150" s="11">
        <f>4.5654 * CHOOSE(CONTROL!$C$32, $C$9, 100%, $E$9)</f>
        <v>4.5654000000000003</v>
      </c>
      <c r="P150" s="14"/>
      <c r="Q150" s="14"/>
      <c r="R150" s="14"/>
    </row>
    <row r="151" spans="1:18" ht="15" x14ac:dyDescent="0.2">
      <c r="A151" s="13">
        <v>45444</v>
      </c>
      <c r="B151" s="9">
        <f>3.6031 * CHOOSE(CONTROL!$C$32, $C$9, 100%, $E$9)</f>
        <v>3.6031</v>
      </c>
      <c r="C151" s="9">
        <f>3.6031 * CHOOSE(CONTROL!$C$32, $C$9, 100%, $E$9)</f>
        <v>3.6031</v>
      </c>
      <c r="D151" s="9">
        <f>3.6047 * CHOOSE(CONTROL!$C$32, $C$9, 100%, $E$9)</f>
        <v>3.6046999999999998</v>
      </c>
      <c r="E151" s="11">
        <f>4.5642 * CHOOSE(CONTROL!$C$32, $C$9, 100%, $E$9)</f>
        <v>4.5641999999999996</v>
      </c>
      <c r="F151" s="11">
        <f>4.5642 * CHOOSE(CONTROL!$C$32, $C$9, 100%, $E$9)</f>
        <v>4.5641999999999996</v>
      </c>
      <c r="G151" s="11">
        <f>4.5694 * CHOOSE(CONTROL!$C$32, $C$9, 100%, $E$9)</f>
        <v>4.5693999999999999</v>
      </c>
      <c r="H151" s="11">
        <f>7.3743 * CHOOSE(CONTROL!$C$32, $C$9, 100%, $E$9)</f>
        <v>7.3742999999999999</v>
      </c>
      <c r="I151" s="11">
        <f>7.3796 * CHOOSE(CONTROL!$C$32, $C$9, 100%, $E$9)</f>
        <v>7.3795999999999999</v>
      </c>
      <c r="J151" s="11">
        <f>7.3743 * CHOOSE(CONTROL!$C$32, $C$9, 100%, $E$9)</f>
        <v>7.3742999999999999</v>
      </c>
      <c r="K151" s="11">
        <f>7.3796 * CHOOSE(CONTROL!$C$32, $C$9, 100%, $E$9)</f>
        <v>7.3795999999999999</v>
      </c>
      <c r="L151" s="11">
        <f>4.5642 * CHOOSE(CONTROL!$C$32, $C$9, 100%, $E$9)</f>
        <v>4.5641999999999996</v>
      </c>
      <c r="M151" s="11">
        <f>4.5694 * CHOOSE(CONTROL!$C$32, $C$9, 100%, $E$9)</f>
        <v>4.5693999999999999</v>
      </c>
      <c r="N151" s="11">
        <f>4.5642 * CHOOSE(CONTROL!$C$32, $C$9, 100%, $E$9)</f>
        <v>4.5641999999999996</v>
      </c>
      <c r="O151" s="11">
        <f>4.5694 * CHOOSE(CONTROL!$C$32, $C$9, 100%, $E$9)</f>
        <v>4.5693999999999999</v>
      </c>
      <c r="P151" s="14"/>
      <c r="Q151" s="14"/>
      <c r="R151" s="14"/>
    </row>
    <row r="152" spans="1:18" ht="15" x14ac:dyDescent="0.2">
      <c r="A152" s="13">
        <v>45474</v>
      </c>
      <c r="B152" s="9">
        <f>3.6559 * CHOOSE(CONTROL!$C$32, $C$9, 100%, $E$9)</f>
        <v>3.6558999999999999</v>
      </c>
      <c r="C152" s="9">
        <f>3.6559 * CHOOSE(CONTROL!$C$32, $C$9, 100%, $E$9)</f>
        <v>3.6558999999999999</v>
      </c>
      <c r="D152" s="9">
        <f>3.6575 * CHOOSE(CONTROL!$C$32, $C$9, 100%, $E$9)</f>
        <v>3.6575000000000002</v>
      </c>
      <c r="E152" s="11">
        <f>4.6521 * CHOOSE(CONTROL!$C$32, $C$9, 100%, $E$9)</f>
        <v>4.6520999999999999</v>
      </c>
      <c r="F152" s="11">
        <f>4.6521 * CHOOSE(CONTROL!$C$32, $C$9, 100%, $E$9)</f>
        <v>4.6520999999999999</v>
      </c>
      <c r="G152" s="11">
        <f>4.6574 * CHOOSE(CONTROL!$C$32, $C$9, 100%, $E$9)</f>
        <v>4.6574</v>
      </c>
      <c r="H152" s="11">
        <f>7.3897 * CHOOSE(CONTROL!$C$32, $C$9, 100%, $E$9)</f>
        <v>7.3897000000000004</v>
      </c>
      <c r="I152" s="11">
        <f>7.3949 * CHOOSE(CONTROL!$C$32, $C$9, 100%, $E$9)</f>
        <v>7.3948999999999998</v>
      </c>
      <c r="J152" s="11">
        <f>7.3897 * CHOOSE(CONTROL!$C$32, $C$9, 100%, $E$9)</f>
        <v>7.3897000000000004</v>
      </c>
      <c r="K152" s="11">
        <f>7.3949 * CHOOSE(CONTROL!$C$32, $C$9, 100%, $E$9)</f>
        <v>7.3948999999999998</v>
      </c>
      <c r="L152" s="11">
        <f>4.6521 * CHOOSE(CONTROL!$C$32, $C$9, 100%, $E$9)</f>
        <v>4.6520999999999999</v>
      </c>
      <c r="M152" s="11">
        <f>4.6574 * CHOOSE(CONTROL!$C$32, $C$9, 100%, $E$9)</f>
        <v>4.6574</v>
      </c>
      <c r="N152" s="11">
        <f>4.6521 * CHOOSE(CONTROL!$C$32, $C$9, 100%, $E$9)</f>
        <v>4.6520999999999999</v>
      </c>
      <c r="O152" s="11">
        <f>4.6574 * CHOOSE(CONTROL!$C$32, $C$9, 100%, $E$9)</f>
        <v>4.6574</v>
      </c>
      <c r="P152" s="14"/>
      <c r="Q152" s="14"/>
      <c r="R152" s="14"/>
    </row>
    <row r="153" spans="1:18" ht="15" x14ac:dyDescent="0.2">
      <c r="A153" s="13">
        <v>45505</v>
      </c>
      <c r="B153" s="9">
        <f>3.6626 * CHOOSE(CONTROL!$C$32, $C$9, 100%, $E$9)</f>
        <v>3.6625999999999999</v>
      </c>
      <c r="C153" s="9">
        <f>3.6626 * CHOOSE(CONTROL!$C$32, $C$9, 100%, $E$9)</f>
        <v>3.6625999999999999</v>
      </c>
      <c r="D153" s="9">
        <f>3.6642 * CHOOSE(CONTROL!$C$32, $C$9, 100%, $E$9)</f>
        <v>3.6642000000000001</v>
      </c>
      <c r="E153" s="11">
        <f>4.6565 * CHOOSE(CONTROL!$C$32, $C$9, 100%, $E$9)</f>
        <v>4.6565000000000003</v>
      </c>
      <c r="F153" s="11">
        <f>4.6565 * CHOOSE(CONTROL!$C$32, $C$9, 100%, $E$9)</f>
        <v>4.6565000000000003</v>
      </c>
      <c r="G153" s="11">
        <f>4.6618 * CHOOSE(CONTROL!$C$32, $C$9, 100%, $E$9)</f>
        <v>4.6618000000000004</v>
      </c>
      <c r="H153" s="11">
        <f>7.405 * CHOOSE(CONTROL!$C$32, $C$9, 100%, $E$9)</f>
        <v>7.4050000000000002</v>
      </c>
      <c r="I153" s="11">
        <f>7.4103 * CHOOSE(CONTROL!$C$32, $C$9, 100%, $E$9)</f>
        <v>7.4103000000000003</v>
      </c>
      <c r="J153" s="11">
        <f>7.405 * CHOOSE(CONTROL!$C$32, $C$9, 100%, $E$9)</f>
        <v>7.4050000000000002</v>
      </c>
      <c r="K153" s="11">
        <f>7.4103 * CHOOSE(CONTROL!$C$32, $C$9, 100%, $E$9)</f>
        <v>7.4103000000000003</v>
      </c>
      <c r="L153" s="11">
        <f>4.6565 * CHOOSE(CONTROL!$C$32, $C$9, 100%, $E$9)</f>
        <v>4.6565000000000003</v>
      </c>
      <c r="M153" s="11">
        <f>4.6618 * CHOOSE(CONTROL!$C$32, $C$9, 100%, $E$9)</f>
        <v>4.6618000000000004</v>
      </c>
      <c r="N153" s="11">
        <f>4.6565 * CHOOSE(CONTROL!$C$32, $C$9, 100%, $E$9)</f>
        <v>4.6565000000000003</v>
      </c>
      <c r="O153" s="11">
        <f>4.6618 * CHOOSE(CONTROL!$C$32, $C$9, 100%, $E$9)</f>
        <v>4.6618000000000004</v>
      </c>
      <c r="P153" s="14"/>
      <c r="Q153" s="14"/>
      <c r="R153" s="14"/>
    </row>
    <row r="154" spans="1:18" ht="15" x14ac:dyDescent="0.2">
      <c r="A154" s="13">
        <v>45536</v>
      </c>
      <c r="B154" s="9">
        <f>3.6595 * CHOOSE(CONTROL!$C$32, $C$9, 100%, $E$9)</f>
        <v>3.6595</v>
      </c>
      <c r="C154" s="9">
        <f>3.6595 * CHOOSE(CONTROL!$C$32, $C$9, 100%, $E$9)</f>
        <v>3.6595</v>
      </c>
      <c r="D154" s="9">
        <f>3.6611 * CHOOSE(CONTROL!$C$32, $C$9, 100%, $E$9)</f>
        <v>3.6610999999999998</v>
      </c>
      <c r="E154" s="11">
        <f>4.6545 * CHOOSE(CONTROL!$C$32, $C$9, 100%, $E$9)</f>
        <v>4.6544999999999996</v>
      </c>
      <c r="F154" s="11">
        <f>4.6545 * CHOOSE(CONTROL!$C$32, $C$9, 100%, $E$9)</f>
        <v>4.6544999999999996</v>
      </c>
      <c r="G154" s="11">
        <f>4.6598 * CHOOSE(CONTROL!$C$32, $C$9, 100%, $E$9)</f>
        <v>4.6597999999999997</v>
      </c>
      <c r="H154" s="11">
        <f>7.4205 * CHOOSE(CONTROL!$C$32, $C$9, 100%, $E$9)</f>
        <v>7.4204999999999997</v>
      </c>
      <c r="I154" s="11">
        <f>7.4258 * CHOOSE(CONTROL!$C$32, $C$9, 100%, $E$9)</f>
        <v>7.4257999999999997</v>
      </c>
      <c r="J154" s="11">
        <f>7.4205 * CHOOSE(CONTROL!$C$32, $C$9, 100%, $E$9)</f>
        <v>7.4204999999999997</v>
      </c>
      <c r="K154" s="11">
        <f>7.4258 * CHOOSE(CONTROL!$C$32, $C$9, 100%, $E$9)</f>
        <v>7.4257999999999997</v>
      </c>
      <c r="L154" s="11">
        <f>4.6545 * CHOOSE(CONTROL!$C$32, $C$9, 100%, $E$9)</f>
        <v>4.6544999999999996</v>
      </c>
      <c r="M154" s="11">
        <f>4.6598 * CHOOSE(CONTROL!$C$32, $C$9, 100%, $E$9)</f>
        <v>4.6597999999999997</v>
      </c>
      <c r="N154" s="11">
        <f>4.6545 * CHOOSE(CONTROL!$C$32, $C$9, 100%, $E$9)</f>
        <v>4.6544999999999996</v>
      </c>
      <c r="O154" s="11">
        <f>4.6598 * CHOOSE(CONTROL!$C$32, $C$9, 100%, $E$9)</f>
        <v>4.6597999999999997</v>
      </c>
      <c r="P154" s="14"/>
      <c r="Q154" s="14"/>
      <c r="R154" s="14"/>
    </row>
    <row r="155" spans="1:18" ht="15" x14ac:dyDescent="0.2">
      <c r="A155" s="13">
        <v>45566</v>
      </c>
      <c r="B155" s="9">
        <f>3.6534 * CHOOSE(CONTROL!$C$32, $C$9, 100%, $E$9)</f>
        <v>3.6534</v>
      </c>
      <c r="C155" s="9">
        <f>3.6534 * CHOOSE(CONTROL!$C$32, $C$9, 100%, $E$9)</f>
        <v>3.6534</v>
      </c>
      <c r="D155" s="9">
        <f>3.6545 * CHOOSE(CONTROL!$C$32, $C$9, 100%, $E$9)</f>
        <v>3.6545000000000001</v>
      </c>
      <c r="E155" s="11">
        <f>4.6486 * CHOOSE(CONTROL!$C$32, $C$9, 100%, $E$9)</f>
        <v>4.6486000000000001</v>
      </c>
      <c r="F155" s="11">
        <f>4.6486 * CHOOSE(CONTROL!$C$32, $C$9, 100%, $E$9)</f>
        <v>4.6486000000000001</v>
      </c>
      <c r="G155" s="11">
        <f>4.6522 * CHOOSE(CONTROL!$C$32, $C$9, 100%, $E$9)</f>
        <v>4.6521999999999997</v>
      </c>
      <c r="H155" s="11">
        <f>7.4359 * CHOOSE(CONTROL!$C$32, $C$9, 100%, $E$9)</f>
        <v>7.4359000000000002</v>
      </c>
      <c r="I155" s="11">
        <f>7.4396 * CHOOSE(CONTROL!$C$32, $C$9, 100%, $E$9)</f>
        <v>7.4396000000000004</v>
      </c>
      <c r="J155" s="11">
        <f>7.4359 * CHOOSE(CONTROL!$C$32, $C$9, 100%, $E$9)</f>
        <v>7.4359000000000002</v>
      </c>
      <c r="K155" s="11">
        <f>7.4396 * CHOOSE(CONTROL!$C$32, $C$9, 100%, $E$9)</f>
        <v>7.4396000000000004</v>
      </c>
      <c r="L155" s="11">
        <f>4.6486 * CHOOSE(CONTROL!$C$32, $C$9, 100%, $E$9)</f>
        <v>4.6486000000000001</v>
      </c>
      <c r="M155" s="11">
        <f>4.6522 * CHOOSE(CONTROL!$C$32, $C$9, 100%, $E$9)</f>
        <v>4.6521999999999997</v>
      </c>
      <c r="N155" s="11">
        <f>4.6486 * CHOOSE(CONTROL!$C$32, $C$9, 100%, $E$9)</f>
        <v>4.6486000000000001</v>
      </c>
      <c r="O155" s="11">
        <f>4.6522 * CHOOSE(CONTROL!$C$32, $C$9, 100%, $E$9)</f>
        <v>4.6521999999999997</v>
      </c>
      <c r="P155" s="14"/>
      <c r="Q155" s="14"/>
      <c r="R155" s="14"/>
    </row>
    <row r="156" spans="1:18" ht="15" x14ac:dyDescent="0.2">
      <c r="A156" s="13">
        <v>45597</v>
      </c>
      <c r="B156" s="9">
        <f>3.6565 * CHOOSE(CONTROL!$C$32, $C$9, 100%, $E$9)</f>
        <v>3.6564999999999999</v>
      </c>
      <c r="C156" s="9">
        <f>3.6565 * CHOOSE(CONTROL!$C$32, $C$9, 100%, $E$9)</f>
        <v>3.6564999999999999</v>
      </c>
      <c r="D156" s="9">
        <f>3.6576 * CHOOSE(CONTROL!$C$32, $C$9, 100%, $E$9)</f>
        <v>3.6576</v>
      </c>
      <c r="E156" s="11">
        <f>4.6506 * CHOOSE(CONTROL!$C$32, $C$9, 100%, $E$9)</f>
        <v>4.6505999999999998</v>
      </c>
      <c r="F156" s="11">
        <f>4.6506 * CHOOSE(CONTROL!$C$32, $C$9, 100%, $E$9)</f>
        <v>4.6505999999999998</v>
      </c>
      <c r="G156" s="11">
        <f>4.6542 * CHOOSE(CONTROL!$C$32, $C$9, 100%, $E$9)</f>
        <v>4.6542000000000003</v>
      </c>
      <c r="H156" s="11">
        <f>7.4514 * CHOOSE(CONTROL!$C$32, $C$9, 100%, $E$9)</f>
        <v>7.4513999999999996</v>
      </c>
      <c r="I156" s="11">
        <f>7.455 * CHOOSE(CONTROL!$C$32, $C$9, 100%, $E$9)</f>
        <v>7.4550000000000001</v>
      </c>
      <c r="J156" s="11">
        <f>7.4514 * CHOOSE(CONTROL!$C$32, $C$9, 100%, $E$9)</f>
        <v>7.4513999999999996</v>
      </c>
      <c r="K156" s="11">
        <f>7.455 * CHOOSE(CONTROL!$C$32, $C$9, 100%, $E$9)</f>
        <v>7.4550000000000001</v>
      </c>
      <c r="L156" s="11">
        <f>4.6506 * CHOOSE(CONTROL!$C$32, $C$9, 100%, $E$9)</f>
        <v>4.6505999999999998</v>
      </c>
      <c r="M156" s="11">
        <f>4.6542 * CHOOSE(CONTROL!$C$32, $C$9, 100%, $E$9)</f>
        <v>4.6542000000000003</v>
      </c>
      <c r="N156" s="11">
        <f>4.6506 * CHOOSE(CONTROL!$C$32, $C$9, 100%, $E$9)</f>
        <v>4.6505999999999998</v>
      </c>
      <c r="O156" s="11">
        <f>4.6542 * CHOOSE(CONTROL!$C$32, $C$9, 100%, $E$9)</f>
        <v>4.6542000000000003</v>
      </c>
      <c r="P156" s="14"/>
      <c r="Q156" s="14"/>
      <c r="R156" s="14"/>
    </row>
    <row r="157" spans="1:18" ht="15" x14ac:dyDescent="0.2">
      <c r="A157" s="13">
        <v>45627</v>
      </c>
      <c r="B157" s="9">
        <f>3.6565 * CHOOSE(CONTROL!$C$32, $C$9, 100%, $E$9)</f>
        <v>3.6564999999999999</v>
      </c>
      <c r="C157" s="9">
        <f>3.6565 * CHOOSE(CONTROL!$C$32, $C$9, 100%, $E$9)</f>
        <v>3.6564999999999999</v>
      </c>
      <c r="D157" s="9">
        <f>3.6576 * CHOOSE(CONTROL!$C$32, $C$9, 100%, $E$9)</f>
        <v>3.6576</v>
      </c>
      <c r="E157" s="11">
        <f>4.6506 * CHOOSE(CONTROL!$C$32, $C$9, 100%, $E$9)</f>
        <v>4.6505999999999998</v>
      </c>
      <c r="F157" s="11">
        <f>4.6506 * CHOOSE(CONTROL!$C$32, $C$9, 100%, $E$9)</f>
        <v>4.6505999999999998</v>
      </c>
      <c r="G157" s="11">
        <f>4.6542 * CHOOSE(CONTROL!$C$32, $C$9, 100%, $E$9)</f>
        <v>4.6542000000000003</v>
      </c>
      <c r="H157" s="11">
        <f>7.467 * CHOOSE(CONTROL!$C$32, $C$9, 100%, $E$9)</f>
        <v>7.4669999999999996</v>
      </c>
      <c r="I157" s="11">
        <f>7.4706 * CHOOSE(CONTROL!$C$32, $C$9, 100%, $E$9)</f>
        <v>7.4706000000000001</v>
      </c>
      <c r="J157" s="11">
        <f>7.467 * CHOOSE(CONTROL!$C$32, $C$9, 100%, $E$9)</f>
        <v>7.4669999999999996</v>
      </c>
      <c r="K157" s="11">
        <f>7.4706 * CHOOSE(CONTROL!$C$32, $C$9, 100%, $E$9)</f>
        <v>7.4706000000000001</v>
      </c>
      <c r="L157" s="11">
        <f>4.6506 * CHOOSE(CONTROL!$C$32, $C$9, 100%, $E$9)</f>
        <v>4.6505999999999998</v>
      </c>
      <c r="M157" s="11">
        <f>4.6542 * CHOOSE(CONTROL!$C$32, $C$9, 100%, $E$9)</f>
        <v>4.6542000000000003</v>
      </c>
      <c r="N157" s="11">
        <f>4.6506 * CHOOSE(CONTROL!$C$32, $C$9, 100%, $E$9)</f>
        <v>4.6505999999999998</v>
      </c>
      <c r="O157" s="11">
        <f>4.6542 * CHOOSE(CONTROL!$C$32, $C$9, 100%, $E$9)</f>
        <v>4.6542000000000003</v>
      </c>
      <c r="P157" s="14"/>
      <c r="Q157" s="14"/>
      <c r="R157" s="14"/>
    </row>
    <row r="158" spans="1:18" ht="15" x14ac:dyDescent="0.2">
      <c r="A158" s="13">
        <v>45658</v>
      </c>
      <c r="B158" s="9">
        <f>3.691 * CHOOSE(CONTROL!$C$32, $C$9, 100%, $E$9)</f>
        <v>3.6909999999999998</v>
      </c>
      <c r="C158" s="9">
        <f>3.691 * CHOOSE(CONTROL!$C$32, $C$9, 100%, $E$9)</f>
        <v>3.6909999999999998</v>
      </c>
      <c r="D158" s="9">
        <f>3.6921 * CHOOSE(CONTROL!$C$32, $C$9, 100%, $E$9)</f>
        <v>3.6920999999999999</v>
      </c>
      <c r="E158" s="11">
        <f>4.6908 * CHOOSE(CONTROL!$C$32, $C$9, 100%, $E$9)</f>
        <v>4.6908000000000003</v>
      </c>
      <c r="F158" s="11">
        <f>4.6908 * CHOOSE(CONTROL!$C$32, $C$9, 100%, $E$9)</f>
        <v>4.6908000000000003</v>
      </c>
      <c r="G158" s="11">
        <f>4.6945 * CHOOSE(CONTROL!$C$32, $C$9, 100%, $E$9)</f>
        <v>4.6944999999999997</v>
      </c>
      <c r="H158" s="11">
        <f>7.4825 * CHOOSE(CONTROL!$C$32, $C$9, 100%, $E$9)</f>
        <v>7.4824999999999999</v>
      </c>
      <c r="I158" s="11">
        <f>7.4861 * CHOOSE(CONTROL!$C$32, $C$9, 100%, $E$9)</f>
        <v>7.4861000000000004</v>
      </c>
      <c r="J158" s="11">
        <f>7.4825 * CHOOSE(CONTROL!$C$32, $C$9, 100%, $E$9)</f>
        <v>7.4824999999999999</v>
      </c>
      <c r="K158" s="11">
        <f>7.4861 * CHOOSE(CONTROL!$C$32, $C$9, 100%, $E$9)</f>
        <v>7.4861000000000004</v>
      </c>
      <c r="L158" s="11">
        <f>4.6908 * CHOOSE(CONTROL!$C$32, $C$9, 100%, $E$9)</f>
        <v>4.6908000000000003</v>
      </c>
      <c r="M158" s="11">
        <f>4.6945 * CHOOSE(CONTROL!$C$32, $C$9, 100%, $E$9)</f>
        <v>4.6944999999999997</v>
      </c>
      <c r="N158" s="11">
        <f>4.6908 * CHOOSE(CONTROL!$C$32, $C$9, 100%, $E$9)</f>
        <v>4.6908000000000003</v>
      </c>
      <c r="O158" s="11">
        <f>4.6945 * CHOOSE(CONTROL!$C$32, $C$9, 100%, $E$9)</f>
        <v>4.6944999999999997</v>
      </c>
      <c r="P158" s="14"/>
      <c r="Q158" s="14"/>
      <c r="R158" s="14"/>
    </row>
    <row r="159" spans="1:18" ht="15" x14ac:dyDescent="0.2">
      <c r="A159" s="13">
        <v>45689</v>
      </c>
      <c r="B159" s="9">
        <f>3.688 * CHOOSE(CONTROL!$C$32, $C$9, 100%, $E$9)</f>
        <v>3.6880000000000002</v>
      </c>
      <c r="C159" s="9">
        <f>3.688 * CHOOSE(CONTROL!$C$32, $C$9, 100%, $E$9)</f>
        <v>3.6880000000000002</v>
      </c>
      <c r="D159" s="9">
        <f>3.6891 * CHOOSE(CONTROL!$C$32, $C$9, 100%, $E$9)</f>
        <v>3.6890999999999998</v>
      </c>
      <c r="E159" s="11">
        <f>4.6888 * CHOOSE(CONTROL!$C$32, $C$9, 100%, $E$9)</f>
        <v>4.6887999999999996</v>
      </c>
      <c r="F159" s="11">
        <f>4.6888 * CHOOSE(CONTROL!$C$32, $C$9, 100%, $E$9)</f>
        <v>4.6887999999999996</v>
      </c>
      <c r="G159" s="11">
        <f>4.6925 * CHOOSE(CONTROL!$C$32, $C$9, 100%, $E$9)</f>
        <v>4.6924999999999999</v>
      </c>
      <c r="H159" s="11">
        <f>7.4981 * CHOOSE(CONTROL!$C$32, $C$9, 100%, $E$9)</f>
        <v>7.4981</v>
      </c>
      <c r="I159" s="11">
        <f>7.5017 * CHOOSE(CONTROL!$C$32, $C$9, 100%, $E$9)</f>
        <v>7.5016999999999996</v>
      </c>
      <c r="J159" s="11">
        <f>7.4981 * CHOOSE(CONTROL!$C$32, $C$9, 100%, $E$9)</f>
        <v>7.4981</v>
      </c>
      <c r="K159" s="11">
        <f>7.5017 * CHOOSE(CONTROL!$C$32, $C$9, 100%, $E$9)</f>
        <v>7.5016999999999996</v>
      </c>
      <c r="L159" s="11">
        <f>4.6888 * CHOOSE(CONTROL!$C$32, $C$9, 100%, $E$9)</f>
        <v>4.6887999999999996</v>
      </c>
      <c r="M159" s="11">
        <f>4.6925 * CHOOSE(CONTROL!$C$32, $C$9, 100%, $E$9)</f>
        <v>4.6924999999999999</v>
      </c>
      <c r="N159" s="11">
        <f>4.6888 * CHOOSE(CONTROL!$C$32, $C$9, 100%, $E$9)</f>
        <v>4.6887999999999996</v>
      </c>
      <c r="O159" s="11">
        <f>4.6925 * CHOOSE(CONTROL!$C$32, $C$9, 100%, $E$9)</f>
        <v>4.6924999999999999</v>
      </c>
      <c r="P159" s="14"/>
      <c r="Q159" s="14"/>
      <c r="R159" s="14"/>
    </row>
    <row r="160" spans="1:18" ht="15" x14ac:dyDescent="0.2">
      <c r="A160" s="13">
        <v>45717</v>
      </c>
      <c r="B160" s="9">
        <f>3.685 * CHOOSE(CONTROL!$C$32, $C$9, 100%, $E$9)</f>
        <v>3.6850000000000001</v>
      </c>
      <c r="C160" s="9">
        <f>3.685 * CHOOSE(CONTROL!$C$32, $C$9, 100%, $E$9)</f>
        <v>3.6850000000000001</v>
      </c>
      <c r="D160" s="9">
        <f>3.686 * CHOOSE(CONTROL!$C$32, $C$9, 100%, $E$9)</f>
        <v>3.6859999999999999</v>
      </c>
      <c r="E160" s="11">
        <f>4.6868 * CHOOSE(CONTROL!$C$32, $C$9, 100%, $E$9)</f>
        <v>4.6867999999999999</v>
      </c>
      <c r="F160" s="11">
        <f>4.6868 * CHOOSE(CONTROL!$C$32, $C$9, 100%, $E$9)</f>
        <v>4.6867999999999999</v>
      </c>
      <c r="G160" s="11">
        <f>4.6905 * CHOOSE(CONTROL!$C$32, $C$9, 100%, $E$9)</f>
        <v>4.6905000000000001</v>
      </c>
      <c r="H160" s="11">
        <f>7.5137 * CHOOSE(CONTROL!$C$32, $C$9, 100%, $E$9)</f>
        <v>7.5137</v>
      </c>
      <c r="I160" s="11">
        <f>7.5173 * CHOOSE(CONTROL!$C$32, $C$9, 100%, $E$9)</f>
        <v>7.5172999999999996</v>
      </c>
      <c r="J160" s="11">
        <f>7.5137 * CHOOSE(CONTROL!$C$32, $C$9, 100%, $E$9)</f>
        <v>7.5137</v>
      </c>
      <c r="K160" s="11">
        <f>7.5173 * CHOOSE(CONTROL!$C$32, $C$9, 100%, $E$9)</f>
        <v>7.5172999999999996</v>
      </c>
      <c r="L160" s="11">
        <f>4.6868 * CHOOSE(CONTROL!$C$32, $C$9, 100%, $E$9)</f>
        <v>4.6867999999999999</v>
      </c>
      <c r="M160" s="11">
        <f>4.6905 * CHOOSE(CONTROL!$C$32, $C$9, 100%, $E$9)</f>
        <v>4.6905000000000001</v>
      </c>
      <c r="N160" s="11">
        <f>4.6868 * CHOOSE(CONTROL!$C$32, $C$9, 100%, $E$9)</f>
        <v>4.6867999999999999</v>
      </c>
      <c r="O160" s="11">
        <f>4.6905 * CHOOSE(CONTROL!$C$32, $C$9, 100%, $E$9)</f>
        <v>4.6905000000000001</v>
      </c>
      <c r="P160" s="14"/>
      <c r="Q160" s="14"/>
      <c r="R160" s="14"/>
    </row>
    <row r="161" spans="1:18" ht="15" x14ac:dyDescent="0.2">
      <c r="A161" s="13">
        <v>45748</v>
      </c>
      <c r="B161" s="9">
        <f>3.6823 * CHOOSE(CONTROL!$C$32, $C$9, 100%, $E$9)</f>
        <v>3.6823000000000001</v>
      </c>
      <c r="C161" s="9">
        <f>3.6823 * CHOOSE(CONTROL!$C$32, $C$9, 100%, $E$9)</f>
        <v>3.6823000000000001</v>
      </c>
      <c r="D161" s="9">
        <f>3.6834 * CHOOSE(CONTROL!$C$32, $C$9, 100%, $E$9)</f>
        <v>3.6833999999999998</v>
      </c>
      <c r="E161" s="11">
        <f>4.6846 * CHOOSE(CONTROL!$C$32, $C$9, 100%, $E$9)</f>
        <v>4.6845999999999997</v>
      </c>
      <c r="F161" s="11">
        <f>4.6846 * CHOOSE(CONTROL!$C$32, $C$9, 100%, $E$9)</f>
        <v>4.6845999999999997</v>
      </c>
      <c r="G161" s="11">
        <f>4.6882 * CHOOSE(CONTROL!$C$32, $C$9, 100%, $E$9)</f>
        <v>4.6882000000000001</v>
      </c>
      <c r="H161" s="11">
        <f>7.5294 * CHOOSE(CONTROL!$C$32, $C$9, 100%, $E$9)</f>
        <v>7.5293999999999999</v>
      </c>
      <c r="I161" s="11">
        <f>7.533 * CHOOSE(CONTROL!$C$32, $C$9, 100%, $E$9)</f>
        <v>7.5330000000000004</v>
      </c>
      <c r="J161" s="11">
        <f>7.5294 * CHOOSE(CONTROL!$C$32, $C$9, 100%, $E$9)</f>
        <v>7.5293999999999999</v>
      </c>
      <c r="K161" s="11">
        <f>7.533 * CHOOSE(CONTROL!$C$32, $C$9, 100%, $E$9)</f>
        <v>7.5330000000000004</v>
      </c>
      <c r="L161" s="11">
        <f>4.6846 * CHOOSE(CONTROL!$C$32, $C$9, 100%, $E$9)</f>
        <v>4.6845999999999997</v>
      </c>
      <c r="M161" s="11">
        <f>4.6882 * CHOOSE(CONTROL!$C$32, $C$9, 100%, $E$9)</f>
        <v>4.6882000000000001</v>
      </c>
      <c r="N161" s="11">
        <f>4.6846 * CHOOSE(CONTROL!$C$32, $C$9, 100%, $E$9)</f>
        <v>4.6845999999999997</v>
      </c>
      <c r="O161" s="11">
        <f>4.6882 * CHOOSE(CONTROL!$C$32, $C$9, 100%, $E$9)</f>
        <v>4.6882000000000001</v>
      </c>
      <c r="P161" s="14"/>
      <c r="Q161" s="14"/>
      <c r="R161" s="14"/>
    </row>
    <row r="162" spans="1:18" ht="15" x14ac:dyDescent="0.2">
      <c r="A162" s="13">
        <v>45778</v>
      </c>
      <c r="B162" s="9">
        <f>3.6823 * CHOOSE(CONTROL!$C$32, $C$9, 100%, $E$9)</f>
        <v>3.6823000000000001</v>
      </c>
      <c r="C162" s="9">
        <f>3.6823 * CHOOSE(CONTROL!$C$32, $C$9, 100%, $E$9)</f>
        <v>3.6823000000000001</v>
      </c>
      <c r="D162" s="9">
        <f>3.6839 * CHOOSE(CONTROL!$C$32, $C$9, 100%, $E$9)</f>
        <v>3.6839</v>
      </c>
      <c r="E162" s="11">
        <f>4.6846 * CHOOSE(CONTROL!$C$32, $C$9, 100%, $E$9)</f>
        <v>4.6845999999999997</v>
      </c>
      <c r="F162" s="11">
        <f>4.6846 * CHOOSE(CONTROL!$C$32, $C$9, 100%, $E$9)</f>
        <v>4.6845999999999997</v>
      </c>
      <c r="G162" s="11">
        <f>4.6899 * CHOOSE(CONTROL!$C$32, $C$9, 100%, $E$9)</f>
        <v>4.6898999999999997</v>
      </c>
      <c r="H162" s="11">
        <f>7.5451 * CHOOSE(CONTROL!$C$32, $C$9, 100%, $E$9)</f>
        <v>7.5450999999999997</v>
      </c>
      <c r="I162" s="11">
        <f>7.5504 * CHOOSE(CONTROL!$C$32, $C$9, 100%, $E$9)</f>
        <v>7.5503999999999998</v>
      </c>
      <c r="J162" s="11">
        <f>7.5451 * CHOOSE(CONTROL!$C$32, $C$9, 100%, $E$9)</f>
        <v>7.5450999999999997</v>
      </c>
      <c r="K162" s="11">
        <f>7.5504 * CHOOSE(CONTROL!$C$32, $C$9, 100%, $E$9)</f>
        <v>7.5503999999999998</v>
      </c>
      <c r="L162" s="11">
        <f>4.6846 * CHOOSE(CONTROL!$C$32, $C$9, 100%, $E$9)</f>
        <v>4.6845999999999997</v>
      </c>
      <c r="M162" s="11">
        <f>4.6899 * CHOOSE(CONTROL!$C$32, $C$9, 100%, $E$9)</f>
        <v>4.6898999999999997</v>
      </c>
      <c r="N162" s="11">
        <f>4.6846 * CHOOSE(CONTROL!$C$32, $C$9, 100%, $E$9)</f>
        <v>4.6845999999999997</v>
      </c>
      <c r="O162" s="11">
        <f>4.6899 * CHOOSE(CONTROL!$C$32, $C$9, 100%, $E$9)</f>
        <v>4.6898999999999997</v>
      </c>
      <c r="P162" s="14"/>
      <c r="Q162" s="14"/>
      <c r="R162" s="14"/>
    </row>
    <row r="163" spans="1:18" ht="15" x14ac:dyDescent="0.2">
      <c r="A163" s="13">
        <v>45809</v>
      </c>
      <c r="B163" s="9">
        <f>3.6884 * CHOOSE(CONTROL!$C$32, $C$9, 100%, $E$9)</f>
        <v>3.6884000000000001</v>
      </c>
      <c r="C163" s="9">
        <f>3.6884 * CHOOSE(CONTROL!$C$32, $C$9, 100%, $E$9)</f>
        <v>3.6884000000000001</v>
      </c>
      <c r="D163" s="9">
        <f>3.69 * CHOOSE(CONTROL!$C$32, $C$9, 100%, $E$9)</f>
        <v>3.69</v>
      </c>
      <c r="E163" s="11">
        <f>4.6886 * CHOOSE(CONTROL!$C$32, $C$9, 100%, $E$9)</f>
        <v>4.6886000000000001</v>
      </c>
      <c r="F163" s="11">
        <f>4.6886 * CHOOSE(CONTROL!$C$32, $C$9, 100%, $E$9)</f>
        <v>4.6886000000000001</v>
      </c>
      <c r="G163" s="11">
        <f>4.6939 * CHOOSE(CONTROL!$C$32, $C$9, 100%, $E$9)</f>
        <v>4.6939000000000002</v>
      </c>
      <c r="H163" s="11">
        <f>7.5608 * CHOOSE(CONTROL!$C$32, $C$9, 100%, $E$9)</f>
        <v>7.5608000000000004</v>
      </c>
      <c r="I163" s="11">
        <f>7.5661 * CHOOSE(CONTROL!$C$32, $C$9, 100%, $E$9)</f>
        <v>7.5660999999999996</v>
      </c>
      <c r="J163" s="11">
        <f>7.5608 * CHOOSE(CONTROL!$C$32, $C$9, 100%, $E$9)</f>
        <v>7.5608000000000004</v>
      </c>
      <c r="K163" s="11">
        <f>7.5661 * CHOOSE(CONTROL!$C$32, $C$9, 100%, $E$9)</f>
        <v>7.5660999999999996</v>
      </c>
      <c r="L163" s="11">
        <f>4.6886 * CHOOSE(CONTROL!$C$32, $C$9, 100%, $E$9)</f>
        <v>4.6886000000000001</v>
      </c>
      <c r="M163" s="11">
        <f>4.6939 * CHOOSE(CONTROL!$C$32, $C$9, 100%, $E$9)</f>
        <v>4.6939000000000002</v>
      </c>
      <c r="N163" s="11">
        <f>4.6886 * CHOOSE(CONTROL!$C$32, $C$9, 100%, $E$9)</f>
        <v>4.6886000000000001</v>
      </c>
      <c r="O163" s="11">
        <f>4.6939 * CHOOSE(CONTROL!$C$32, $C$9, 100%, $E$9)</f>
        <v>4.6939000000000002</v>
      </c>
      <c r="P163" s="14"/>
      <c r="Q163" s="14"/>
      <c r="R163" s="14"/>
    </row>
    <row r="164" spans="1:18" ht="15" x14ac:dyDescent="0.2">
      <c r="A164" s="13">
        <v>45839</v>
      </c>
      <c r="B164" s="9">
        <f>3.7541 * CHOOSE(CONTROL!$C$32, $C$9, 100%, $E$9)</f>
        <v>3.7541000000000002</v>
      </c>
      <c r="C164" s="9">
        <f>3.7541 * CHOOSE(CONTROL!$C$32, $C$9, 100%, $E$9)</f>
        <v>3.7541000000000002</v>
      </c>
      <c r="D164" s="9">
        <f>3.7556 * CHOOSE(CONTROL!$C$32, $C$9, 100%, $E$9)</f>
        <v>3.7555999999999998</v>
      </c>
      <c r="E164" s="11">
        <f>4.7776 * CHOOSE(CONTROL!$C$32, $C$9, 100%, $E$9)</f>
        <v>4.7775999999999996</v>
      </c>
      <c r="F164" s="11">
        <f>4.7776 * CHOOSE(CONTROL!$C$32, $C$9, 100%, $E$9)</f>
        <v>4.7775999999999996</v>
      </c>
      <c r="G164" s="11">
        <f>4.7829 * CHOOSE(CONTROL!$C$32, $C$9, 100%, $E$9)</f>
        <v>4.7828999999999997</v>
      </c>
      <c r="H164" s="11">
        <f>7.5765 * CHOOSE(CONTROL!$C$32, $C$9, 100%, $E$9)</f>
        <v>7.5765000000000002</v>
      </c>
      <c r="I164" s="11">
        <f>7.5818 * CHOOSE(CONTROL!$C$32, $C$9, 100%, $E$9)</f>
        <v>7.5818000000000003</v>
      </c>
      <c r="J164" s="11">
        <f>7.5765 * CHOOSE(CONTROL!$C$32, $C$9, 100%, $E$9)</f>
        <v>7.5765000000000002</v>
      </c>
      <c r="K164" s="11">
        <f>7.5818 * CHOOSE(CONTROL!$C$32, $C$9, 100%, $E$9)</f>
        <v>7.5818000000000003</v>
      </c>
      <c r="L164" s="11">
        <f>4.7776 * CHOOSE(CONTROL!$C$32, $C$9, 100%, $E$9)</f>
        <v>4.7775999999999996</v>
      </c>
      <c r="M164" s="11">
        <f>4.7829 * CHOOSE(CONTROL!$C$32, $C$9, 100%, $E$9)</f>
        <v>4.7828999999999997</v>
      </c>
      <c r="N164" s="11">
        <f>4.7776 * CHOOSE(CONTROL!$C$32, $C$9, 100%, $E$9)</f>
        <v>4.7775999999999996</v>
      </c>
      <c r="O164" s="11">
        <f>4.7829 * CHOOSE(CONTROL!$C$32, $C$9, 100%, $E$9)</f>
        <v>4.7828999999999997</v>
      </c>
      <c r="P164" s="14"/>
      <c r="Q164" s="14"/>
      <c r="R164" s="14"/>
    </row>
    <row r="165" spans="1:18" ht="15" x14ac:dyDescent="0.2">
      <c r="A165" s="13">
        <v>45870</v>
      </c>
      <c r="B165" s="9">
        <f>3.7607 * CHOOSE(CONTROL!$C$32, $C$9, 100%, $E$9)</f>
        <v>3.7606999999999999</v>
      </c>
      <c r="C165" s="9">
        <f>3.7607 * CHOOSE(CONTROL!$C$32, $C$9, 100%, $E$9)</f>
        <v>3.7606999999999999</v>
      </c>
      <c r="D165" s="9">
        <f>3.7623 * CHOOSE(CONTROL!$C$32, $C$9, 100%, $E$9)</f>
        <v>3.7623000000000002</v>
      </c>
      <c r="E165" s="11">
        <f>4.782 * CHOOSE(CONTROL!$C$32, $C$9, 100%, $E$9)</f>
        <v>4.782</v>
      </c>
      <c r="F165" s="11">
        <f>4.782 * CHOOSE(CONTROL!$C$32, $C$9, 100%, $E$9)</f>
        <v>4.782</v>
      </c>
      <c r="G165" s="11">
        <f>4.7873 * CHOOSE(CONTROL!$C$32, $C$9, 100%, $E$9)</f>
        <v>4.7873000000000001</v>
      </c>
      <c r="H165" s="11">
        <f>7.5923 * CHOOSE(CONTROL!$C$32, $C$9, 100%, $E$9)</f>
        <v>7.5922999999999998</v>
      </c>
      <c r="I165" s="11">
        <f>7.5976 * CHOOSE(CONTROL!$C$32, $C$9, 100%, $E$9)</f>
        <v>7.5975999999999999</v>
      </c>
      <c r="J165" s="11">
        <f>7.5923 * CHOOSE(CONTROL!$C$32, $C$9, 100%, $E$9)</f>
        <v>7.5922999999999998</v>
      </c>
      <c r="K165" s="11">
        <f>7.5976 * CHOOSE(CONTROL!$C$32, $C$9, 100%, $E$9)</f>
        <v>7.5975999999999999</v>
      </c>
      <c r="L165" s="11">
        <f>4.782 * CHOOSE(CONTROL!$C$32, $C$9, 100%, $E$9)</f>
        <v>4.782</v>
      </c>
      <c r="M165" s="11">
        <f>4.7873 * CHOOSE(CONTROL!$C$32, $C$9, 100%, $E$9)</f>
        <v>4.7873000000000001</v>
      </c>
      <c r="N165" s="11">
        <f>4.782 * CHOOSE(CONTROL!$C$32, $C$9, 100%, $E$9)</f>
        <v>4.782</v>
      </c>
      <c r="O165" s="11">
        <f>4.7873 * CHOOSE(CONTROL!$C$32, $C$9, 100%, $E$9)</f>
        <v>4.7873000000000001</v>
      </c>
      <c r="P165" s="14"/>
      <c r="Q165" s="14"/>
      <c r="R165" s="14"/>
    </row>
    <row r="166" spans="1:18" ht="15" x14ac:dyDescent="0.2">
      <c r="A166" s="13">
        <v>45901</v>
      </c>
      <c r="B166" s="9">
        <f>3.7577 * CHOOSE(CONTROL!$C$32, $C$9, 100%, $E$9)</f>
        <v>3.7576999999999998</v>
      </c>
      <c r="C166" s="9">
        <f>3.7577 * CHOOSE(CONTROL!$C$32, $C$9, 100%, $E$9)</f>
        <v>3.7576999999999998</v>
      </c>
      <c r="D166" s="9">
        <f>3.7593 * CHOOSE(CONTROL!$C$32, $C$9, 100%, $E$9)</f>
        <v>3.7593000000000001</v>
      </c>
      <c r="E166" s="11">
        <f>4.78 * CHOOSE(CONTROL!$C$32, $C$9, 100%, $E$9)</f>
        <v>4.78</v>
      </c>
      <c r="F166" s="11">
        <f>4.78 * CHOOSE(CONTROL!$C$32, $C$9, 100%, $E$9)</f>
        <v>4.78</v>
      </c>
      <c r="G166" s="11">
        <f>4.7853 * CHOOSE(CONTROL!$C$32, $C$9, 100%, $E$9)</f>
        <v>4.7853000000000003</v>
      </c>
      <c r="H166" s="11">
        <f>7.6081 * CHOOSE(CONTROL!$C$32, $C$9, 100%, $E$9)</f>
        <v>7.6081000000000003</v>
      </c>
      <c r="I166" s="11">
        <f>7.6134 * CHOOSE(CONTROL!$C$32, $C$9, 100%, $E$9)</f>
        <v>7.6134000000000004</v>
      </c>
      <c r="J166" s="11">
        <f>7.6081 * CHOOSE(CONTROL!$C$32, $C$9, 100%, $E$9)</f>
        <v>7.6081000000000003</v>
      </c>
      <c r="K166" s="11">
        <f>7.6134 * CHOOSE(CONTROL!$C$32, $C$9, 100%, $E$9)</f>
        <v>7.6134000000000004</v>
      </c>
      <c r="L166" s="11">
        <f>4.78 * CHOOSE(CONTROL!$C$32, $C$9, 100%, $E$9)</f>
        <v>4.78</v>
      </c>
      <c r="M166" s="11">
        <f>4.7853 * CHOOSE(CONTROL!$C$32, $C$9, 100%, $E$9)</f>
        <v>4.7853000000000003</v>
      </c>
      <c r="N166" s="11">
        <f>4.78 * CHOOSE(CONTROL!$C$32, $C$9, 100%, $E$9)</f>
        <v>4.78</v>
      </c>
      <c r="O166" s="11">
        <f>4.7853 * CHOOSE(CONTROL!$C$32, $C$9, 100%, $E$9)</f>
        <v>4.7853000000000003</v>
      </c>
      <c r="P166" s="14"/>
      <c r="Q166" s="14"/>
      <c r="R166" s="14"/>
    </row>
    <row r="167" spans="1:18" ht="15" x14ac:dyDescent="0.2">
      <c r="A167" s="13">
        <v>45931</v>
      </c>
      <c r="B167" s="9">
        <f>3.7519 * CHOOSE(CONTROL!$C$32, $C$9, 100%, $E$9)</f>
        <v>3.7519</v>
      </c>
      <c r="C167" s="9">
        <f>3.7519 * CHOOSE(CONTROL!$C$32, $C$9, 100%, $E$9)</f>
        <v>3.7519</v>
      </c>
      <c r="D167" s="9">
        <f>3.753 * CHOOSE(CONTROL!$C$32, $C$9, 100%, $E$9)</f>
        <v>3.7530000000000001</v>
      </c>
      <c r="E167" s="11">
        <f>4.7743 * CHOOSE(CONTROL!$C$32, $C$9, 100%, $E$9)</f>
        <v>4.7743000000000002</v>
      </c>
      <c r="F167" s="11">
        <f>4.7743 * CHOOSE(CONTROL!$C$32, $C$9, 100%, $E$9)</f>
        <v>4.7743000000000002</v>
      </c>
      <c r="G167" s="11">
        <f>4.7779 * CHOOSE(CONTROL!$C$32, $C$9, 100%, $E$9)</f>
        <v>4.7778999999999998</v>
      </c>
      <c r="H167" s="11">
        <f>7.624 * CHOOSE(CONTROL!$C$32, $C$9, 100%, $E$9)</f>
        <v>7.6239999999999997</v>
      </c>
      <c r="I167" s="11">
        <f>7.6276 * CHOOSE(CONTROL!$C$32, $C$9, 100%, $E$9)</f>
        <v>7.6276000000000002</v>
      </c>
      <c r="J167" s="11">
        <f>7.624 * CHOOSE(CONTROL!$C$32, $C$9, 100%, $E$9)</f>
        <v>7.6239999999999997</v>
      </c>
      <c r="K167" s="11">
        <f>7.6276 * CHOOSE(CONTROL!$C$32, $C$9, 100%, $E$9)</f>
        <v>7.6276000000000002</v>
      </c>
      <c r="L167" s="11">
        <f>4.7743 * CHOOSE(CONTROL!$C$32, $C$9, 100%, $E$9)</f>
        <v>4.7743000000000002</v>
      </c>
      <c r="M167" s="11">
        <f>4.7779 * CHOOSE(CONTROL!$C$32, $C$9, 100%, $E$9)</f>
        <v>4.7778999999999998</v>
      </c>
      <c r="N167" s="11">
        <f>4.7743 * CHOOSE(CONTROL!$C$32, $C$9, 100%, $E$9)</f>
        <v>4.7743000000000002</v>
      </c>
      <c r="O167" s="11">
        <f>4.7779 * CHOOSE(CONTROL!$C$32, $C$9, 100%, $E$9)</f>
        <v>4.7778999999999998</v>
      </c>
      <c r="P167" s="14"/>
      <c r="Q167" s="14"/>
      <c r="R167" s="14"/>
    </row>
    <row r="168" spans="1:18" ht="15" x14ac:dyDescent="0.2">
      <c r="A168" s="13">
        <v>45962</v>
      </c>
      <c r="B168" s="9">
        <f>3.755 * CHOOSE(CONTROL!$C$32, $C$9, 100%, $E$9)</f>
        <v>3.7549999999999999</v>
      </c>
      <c r="C168" s="9">
        <f>3.755 * CHOOSE(CONTROL!$C$32, $C$9, 100%, $E$9)</f>
        <v>3.7549999999999999</v>
      </c>
      <c r="D168" s="9">
        <f>3.7561 * CHOOSE(CONTROL!$C$32, $C$9, 100%, $E$9)</f>
        <v>3.7561</v>
      </c>
      <c r="E168" s="11">
        <f>4.7763 * CHOOSE(CONTROL!$C$32, $C$9, 100%, $E$9)</f>
        <v>4.7763</v>
      </c>
      <c r="F168" s="11">
        <f>4.7763 * CHOOSE(CONTROL!$C$32, $C$9, 100%, $E$9)</f>
        <v>4.7763</v>
      </c>
      <c r="G168" s="11">
        <f>4.7799 * CHOOSE(CONTROL!$C$32, $C$9, 100%, $E$9)</f>
        <v>4.7798999999999996</v>
      </c>
      <c r="H168" s="11">
        <f>7.6399 * CHOOSE(CONTROL!$C$32, $C$9, 100%, $E$9)</f>
        <v>7.6398999999999999</v>
      </c>
      <c r="I168" s="11">
        <f>7.6435 * CHOOSE(CONTROL!$C$32, $C$9, 100%, $E$9)</f>
        <v>7.6435000000000004</v>
      </c>
      <c r="J168" s="11">
        <f>7.6399 * CHOOSE(CONTROL!$C$32, $C$9, 100%, $E$9)</f>
        <v>7.6398999999999999</v>
      </c>
      <c r="K168" s="11">
        <f>7.6435 * CHOOSE(CONTROL!$C$32, $C$9, 100%, $E$9)</f>
        <v>7.6435000000000004</v>
      </c>
      <c r="L168" s="11">
        <f>4.7763 * CHOOSE(CONTROL!$C$32, $C$9, 100%, $E$9)</f>
        <v>4.7763</v>
      </c>
      <c r="M168" s="11">
        <f>4.7799 * CHOOSE(CONTROL!$C$32, $C$9, 100%, $E$9)</f>
        <v>4.7798999999999996</v>
      </c>
      <c r="N168" s="11">
        <f>4.7763 * CHOOSE(CONTROL!$C$32, $C$9, 100%, $E$9)</f>
        <v>4.7763</v>
      </c>
      <c r="O168" s="11">
        <f>4.7799 * CHOOSE(CONTROL!$C$32, $C$9, 100%, $E$9)</f>
        <v>4.7798999999999996</v>
      </c>
    </row>
    <row r="169" spans="1:18" ht="15" x14ac:dyDescent="0.2">
      <c r="A169" s="13">
        <v>45992</v>
      </c>
      <c r="B169" s="9">
        <f>3.755 * CHOOSE(CONTROL!$C$32, $C$9, 100%, $E$9)</f>
        <v>3.7549999999999999</v>
      </c>
      <c r="C169" s="9">
        <f>3.755 * CHOOSE(CONTROL!$C$32, $C$9, 100%, $E$9)</f>
        <v>3.7549999999999999</v>
      </c>
      <c r="D169" s="9">
        <f>3.7561 * CHOOSE(CONTROL!$C$32, $C$9, 100%, $E$9)</f>
        <v>3.7561</v>
      </c>
      <c r="E169" s="11">
        <f>4.7763 * CHOOSE(CONTROL!$C$32, $C$9, 100%, $E$9)</f>
        <v>4.7763</v>
      </c>
      <c r="F169" s="11">
        <f>4.7763 * CHOOSE(CONTROL!$C$32, $C$9, 100%, $E$9)</f>
        <v>4.7763</v>
      </c>
      <c r="G169" s="11">
        <f>4.7799 * CHOOSE(CONTROL!$C$32, $C$9, 100%, $E$9)</f>
        <v>4.7798999999999996</v>
      </c>
      <c r="H169" s="11">
        <f>7.6558 * CHOOSE(CONTROL!$C$32, $C$9, 100%, $E$9)</f>
        <v>7.6558000000000002</v>
      </c>
      <c r="I169" s="11">
        <f>7.6594 * CHOOSE(CONTROL!$C$32, $C$9, 100%, $E$9)</f>
        <v>7.6593999999999998</v>
      </c>
      <c r="J169" s="11">
        <f>7.6558 * CHOOSE(CONTROL!$C$32, $C$9, 100%, $E$9)</f>
        <v>7.6558000000000002</v>
      </c>
      <c r="K169" s="11">
        <f>7.6594 * CHOOSE(CONTROL!$C$32, $C$9, 100%, $E$9)</f>
        <v>7.6593999999999998</v>
      </c>
      <c r="L169" s="11">
        <f>4.7763 * CHOOSE(CONTROL!$C$32, $C$9, 100%, $E$9)</f>
        <v>4.7763</v>
      </c>
      <c r="M169" s="11">
        <f>4.7799 * CHOOSE(CONTROL!$C$32, $C$9, 100%, $E$9)</f>
        <v>4.7798999999999996</v>
      </c>
      <c r="N169" s="11">
        <f>4.7763 * CHOOSE(CONTROL!$C$32, $C$9, 100%, $E$9)</f>
        <v>4.7763</v>
      </c>
      <c r="O169" s="11">
        <f>4.7799 * CHOOSE(CONTROL!$C$32, $C$9, 100%, $E$9)</f>
        <v>4.7798999999999996</v>
      </c>
    </row>
    <row r="170" spans="1:18" ht="15" x14ac:dyDescent="0.2">
      <c r="A170" s="13">
        <v>46023</v>
      </c>
      <c r="B170" s="9">
        <f>3.7892 * CHOOSE(CONTROL!$C$32, $C$9, 100%, $E$9)</f>
        <v>3.7892000000000001</v>
      </c>
      <c r="C170" s="9">
        <f>3.7892 * CHOOSE(CONTROL!$C$32, $C$9, 100%, $E$9)</f>
        <v>3.7892000000000001</v>
      </c>
      <c r="D170" s="9">
        <f>3.7902 * CHOOSE(CONTROL!$C$32, $C$9, 100%, $E$9)</f>
        <v>3.7902</v>
      </c>
      <c r="E170" s="11">
        <f>4.8185 * CHOOSE(CONTROL!$C$32, $C$9, 100%, $E$9)</f>
        <v>4.8185000000000002</v>
      </c>
      <c r="F170" s="11">
        <f>4.8185 * CHOOSE(CONTROL!$C$32, $C$9, 100%, $E$9)</f>
        <v>4.8185000000000002</v>
      </c>
      <c r="G170" s="11">
        <f>4.8221 * CHOOSE(CONTROL!$C$32, $C$9, 100%, $E$9)</f>
        <v>4.8220999999999998</v>
      </c>
      <c r="H170" s="11">
        <f>7.6717 * CHOOSE(CONTROL!$C$32, $C$9, 100%, $E$9)</f>
        <v>7.6717000000000004</v>
      </c>
      <c r="I170" s="11">
        <f>7.6753 * CHOOSE(CONTROL!$C$32, $C$9, 100%, $E$9)</f>
        <v>7.6753</v>
      </c>
      <c r="J170" s="11">
        <f>7.6717 * CHOOSE(CONTROL!$C$32, $C$9, 100%, $E$9)</f>
        <v>7.6717000000000004</v>
      </c>
      <c r="K170" s="11">
        <f>7.6753 * CHOOSE(CONTROL!$C$32, $C$9, 100%, $E$9)</f>
        <v>7.6753</v>
      </c>
      <c r="L170" s="11">
        <f>4.8185 * CHOOSE(CONTROL!$C$32, $C$9, 100%, $E$9)</f>
        <v>4.8185000000000002</v>
      </c>
      <c r="M170" s="11">
        <f>4.8221 * CHOOSE(CONTROL!$C$32, $C$9, 100%, $E$9)</f>
        <v>4.8220999999999998</v>
      </c>
      <c r="N170" s="11">
        <f>4.8185 * CHOOSE(CONTROL!$C$32, $C$9, 100%, $E$9)</f>
        <v>4.8185000000000002</v>
      </c>
      <c r="O170" s="11">
        <f>4.8221 * CHOOSE(CONTROL!$C$32, $C$9, 100%, $E$9)</f>
        <v>4.8220999999999998</v>
      </c>
    </row>
    <row r="171" spans="1:18" ht="15" x14ac:dyDescent="0.2">
      <c r="A171" s="13">
        <v>46054</v>
      </c>
      <c r="B171" s="9">
        <f>3.7861 * CHOOSE(CONTROL!$C$32, $C$9, 100%, $E$9)</f>
        <v>3.7860999999999998</v>
      </c>
      <c r="C171" s="9">
        <f>3.7861 * CHOOSE(CONTROL!$C$32, $C$9, 100%, $E$9)</f>
        <v>3.7860999999999998</v>
      </c>
      <c r="D171" s="9">
        <f>3.7872 * CHOOSE(CONTROL!$C$32, $C$9, 100%, $E$9)</f>
        <v>3.7871999999999999</v>
      </c>
      <c r="E171" s="11">
        <f>4.8165 * CHOOSE(CONTROL!$C$32, $C$9, 100%, $E$9)</f>
        <v>4.8164999999999996</v>
      </c>
      <c r="F171" s="11">
        <f>4.8165 * CHOOSE(CONTROL!$C$32, $C$9, 100%, $E$9)</f>
        <v>4.8164999999999996</v>
      </c>
      <c r="G171" s="11">
        <f>4.8201 * CHOOSE(CONTROL!$C$32, $C$9, 100%, $E$9)</f>
        <v>4.8201000000000001</v>
      </c>
      <c r="H171" s="11">
        <f>7.6877 * CHOOSE(CONTROL!$C$32, $C$9, 100%, $E$9)</f>
        <v>7.6877000000000004</v>
      </c>
      <c r="I171" s="11">
        <f>7.6913 * CHOOSE(CONTROL!$C$32, $C$9, 100%, $E$9)</f>
        <v>7.6913</v>
      </c>
      <c r="J171" s="11">
        <f>7.6877 * CHOOSE(CONTROL!$C$32, $C$9, 100%, $E$9)</f>
        <v>7.6877000000000004</v>
      </c>
      <c r="K171" s="11">
        <f>7.6913 * CHOOSE(CONTROL!$C$32, $C$9, 100%, $E$9)</f>
        <v>7.6913</v>
      </c>
      <c r="L171" s="11">
        <f>4.8165 * CHOOSE(CONTROL!$C$32, $C$9, 100%, $E$9)</f>
        <v>4.8164999999999996</v>
      </c>
      <c r="M171" s="11">
        <f>4.8201 * CHOOSE(CONTROL!$C$32, $C$9, 100%, $E$9)</f>
        <v>4.8201000000000001</v>
      </c>
      <c r="N171" s="11">
        <f>4.8165 * CHOOSE(CONTROL!$C$32, $C$9, 100%, $E$9)</f>
        <v>4.8164999999999996</v>
      </c>
      <c r="O171" s="11">
        <f>4.8201 * CHOOSE(CONTROL!$C$32, $C$9, 100%, $E$9)</f>
        <v>4.8201000000000001</v>
      </c>
    </row>
    <row r="172" spans="1:18" ht="15" x14ac:dyDescent="0.2">
      <c r="A172" s="13">
        <v>46082</v>
      </c>
      <c r="B172" s="9">
        <f>3.7831 * CHOOSE(CONTROL!$C$32, $C$9, 100%, $E$9)</f>
        <v>3.7831000000000001</v>
      </c>
      <c r="C172" s="9">
        <f>3.7831 * CHOOSE(CONTROL!$C$32, $C$9, 100%, $E$9)</f>
        <v>3.7831000000000001</v>
      </c>
      <c r="D172" s="9">
        <f>3.7842 * CHOOSE(CONTROL!$C$32, $C$9, 100%, $E$9)</f>
        <v>3.7841999999999998</v>
      </c>
      <c r="E172" s="11">
        <f>4.8145 * CHOOSE(CONTROL!$C$32, $C$9, 100%, $E$9)</f>
        <v>4.8144999999999998</v>
      </c>
      <c r="F172" s="11">
        <f>4.8145 * CHOOSE(CONTROL!$C$32, $C$9, 100%, $E$9)</f>
        <v>4.8144999999999998</v>
      </c>
      <c r="G172" s="11">
        <f>4.8181 * CHOOSE(CONTROL!$C$32, $C$9, 100%, $E$9)</f>
        <v>4.8181000000000003</v>
      </c>
      <c r="H172" s="11">
        <f>7.7037 * CHOOSE(CONTROL!$C$32, $C$9, 100%, $E$9)</f>
        <v>7.7037000000000004</v>
      </c>
      <c r="I172" s="11">
        <f>7.7073 * CHOOSE(CONTROL!$C$32, $C$9, 100%, $E$9)</f>
        <v>7.7073</v>
      </c>
      <c r="J172" s="11">
        <f>7.7037 * CHOOSE(CONTROL!$C$32, $C$9, 100%, $E$9)</f>
        <v>7.7037000000000004</v>
      </c>
      <c r="K172" s="11">
        <f>7.7073 * CHOOSE(CONTROL!$C$32, $C$9, 100%, $E$9)</f>
        <v>7.7073</v>
      </c>
      <c r="L172" s="11">
        <f>4.8145 * CHOOSE(CONTROL!$C$32, $C$9, 100%, $E$9)</f>
        <v>4.8144999999999998</v>
      </c>
      <c r="M172" s="11">
        <f>4.8181 * CHOOSE(CONTROL!$C$32, $C$9, 100%, $E$9)</f>
        <v>4.8181000000000003</v>
      </c>
      <c r="N172" s="11">
        <f>4.8145 * CHOOSE(CONTROL!$C$32, $C$9, 100%, $E$9)</f>
        <v>4.8144999999999998</v>
      </c>
      <c r="O172" s="11">
        <f>4.8181 * CHOOSE(CONTROL!$C$32, $C$9, 100%, $E$9)</f>
        <v>4.8181000000000003</v>
      </c>
    </row>
    <row r="173" spans="1:18" ht="15" x14ac:dyDescent="0.2">
      <c r="A173" s="13">
        <v>46113</v>
      </c>
      <c r="B173" s="9">
        <f>3.7805 * CHOOSE(CONTROL!$C$32, $C$9, 100%, $E$9)</f>
        <v>3.7805</v>
      </c>
      <c r="C173" s="9">
        <f>3.7805 * CHOOSE(CONTROL!$C$32, $C$9, 100%, $E$9)</f>
        <v>3.7805</v>
      </c>
      <c r="D173" s="9">
        <f>3.7816 * CHOOSE(CONTROL!$C$32, $C$9, 100%, $E$9)</f>
        <v>3.7816000000000001</v>
      </c>
      <c r="E173" s="11">
        <f>4.8123 * CHOOSE(CONTROL!$C$32, $C$9, 100%, $E$9)</f>
        <v>4.8122999999999996</v>
      </c>
      <c r="F173" s="11">
        <f>4.8123 * CHOOSE(CONTROL!$C$32, $C$9, 100%, $E$9)</f>
        <v>4.8122999999999996</v>
      </c>
      <c r="G173" s="11">
        <f>4.816 * CHOOSE(CONTROL!$C$32, $C$9, 100%, $E$9)</f>
        <v>4.8159999999999998</v>
      </c>
      <c r="H173" s="11">
        <f>7.7198 * CHOOSE(CONTROL!$C$32, $C$9, 100%, $E$9)</f>
        <v>7.7198000000000002</v>
      </c>
      <c r="I173" s="11">
        <f>7.7234 * CHOOSE(CONTROL!$C$32, $C$9, 100%, $E$9)</f>
        <v>7.7233999999999998</v>
      </c>
      <c r="J173" s="11">
        <f>7.7198 * CHOOSE(CONTROL!$C$32, $C$9, 100%, $E$9)</f>
        <v>7.7198000000000002</v>
      </c>
      <c r="K173" s="11">
        <f>7.7234 * CHOOSE(CONTROL!$C$32, $C$9, 100%, $E$9)</f>
        <v>7.7233999999999998</v>
      </c>
      <c r="L173" s="11">
        <f>4.8123 * CHOOSE(CONTROL!$C$32, $C$9, 100%, $E$9)</f>
        <v>4.8122999999999996</v>
      </c>
      <c r="M173" s="11">
        <f>4.816 * CHOOSE(CONTROL!$C$32, $C$9, 100%, $E$9)</f>
        <v>4.8159999999999998</v>
      </c>
      <c r="N173" s="11">
        <f>4.8123 * CHOOSE(CONTROL!$C$32, $C$9, 100%, $E$9)</f>
        <v>4.8122999999999996</v>
      </c>
      <c r="O173" s="11">
        <f>4.816 * CHOOSE(CONTROL!$C$32, $C$9, 100%, $E$9)</f>
        <v>4.8159999999999998</v>
      </c>
    </row>
    <row r="174" spans="1:18" ht="15" x14ac:dyDescent="0.2">
      <c r="A174" s="13">
        <v>46143</v>
      </c>
      <c r="B174" s="9">
        <f>3.7805 * CHOOSE(CONTROL!$C$32, $C$9, 100%, $E$9)</f>
        <v>3.7805</v>
      </c>
      <c r="C174" s="9">
        <f>3.7805 * CHOOSE(CONTROL!$C$32, $C$9, 100%, $E$9)</f>
        <v>3.7805</v>
      </c>
      <c r="D174" s="9">
        <f>3.7821 * CHOOSE(CONTROL!$C$32, $C$9, 100%, $E$9)</f>
        <v>3.7820999999999998</v>
      </c>
      <c r="E174" s="11">
        <f>4.8123 * CHOOSE(CONTROL!$C$32, $C$9, 100%, $E$9)</f>
        <v>4.8122999999999996</v>
      </c>
      <c r="F174" s="11">
        <f>4.8123 * CHOOSE(CONTROL!$C$32, $C$9, 100%, $E$9)</f>
        <v>4.8122999999999996</v>
      </c>
      <c r="G174" s="11">
        <f>4.8176 * CHOOSE(CONTROL!$C$32, $C$9, 100%, $E$9)</f>
        <v>4.8175999999999997</v>
      </c>
      <c r="H174" s="11">
        <f>7.7359 * CHOOSE(CONTROL!$C$32, $C$9, 100%, $E$9)</f>
        <v>7.7359</v>
      </c>
      <c r="I174" s="11">
        <f>7.7412 * CHOOSE(CONTROL!$C$32, $C$9, 100%, $E$9)</f>
        <v>7.7412000000000001</v>
      </c>
      <c r="J174" s="11">
        <f>7.7359 * CHOOSE(CONTROL!$C$32, $C$9, 100%, $E$9)</f>
        <v>7.7359</v>
      </c>
      <c r="K174" s="11">
        <f>7.7412 * CHOOSE(CONTROL!$C$32, $C$9, 100%, $E$9)</f>
        <v>7.7412000000000001</v>
      </c>
      <c r="L174" s="11">
        <f>4.8123 * CHOOSE(CONTROL!$C$32, $C$9, 100%, $E$9)</f>
        <v>4.8122999999999996</v>
      </c>
      <c r="M174" s="11">
        <f>4.8176 * CHOOSE(CONTROL!$C$32, $C$9, 100%, $E$9)</f>
        <v>4.8175999999999997</v>
      </c>
      <c r="N174" s="11">
        <f>4.8123 * CHOOSE(CONTROL!$C$32, $C$9, 100%, $E$9)</f>
        <v>4.8122999999999996</v>
      </c>
      <c r="O174" s="11">
        <f>4.8176 * CHOOSE(CONTROL!$C$32, $C$9, 100%, $E$9)</f>
        <v>4.8175999999999997</v>
      </c>
    </row>
    <row r="175" spans="1:18" ht="15" x14ac:dyDescent="0.2">
      <c r="A175" s="13">
        <v>46174</v>
      </c>
      <c r="B175" s="9">
        <f>3.7866 * CHOOSE(CONTROL!$C$32, $C$9, 100%, $E$9)</f>
        <v>3.7866</v>
      </c>
      <c r="C175" s="9">
        <f>3.7866 * CHOOSE(CONTROL!$C$32, $C$9, 100%, $E$9)</f>
        <v>3.7866</v>
      </c>
      <c r="D175" s="9">
        <f>3.7882 * CHOOSE(CONTROL!$C$32, $C$9, 100%, $E$9)</f>
        <v>3.7881999999999998</v>
      </c>
      <c r="E175" s="11">
        <f>4.8163 * CHOOSE(CONTROL!$C$32, $C$9, 100%, $E$9)</f>
        <v>4.8163</v>
      </c>
      <c r="F175" s="11">
        <f>4.8163 * CHOOSE(CONTROL!$C$32, $C$9, 100%, $E$9)</f>
        <v>4.8163</v>
      </c>
      <c r="G175" s="11">
        <f>4.8216 * CHOOSE(CONTROL!$C$32, $C$9, 100%, $E$9)</f>
        <v>4.8216000000000001</v>
      </c>
      <c r="H175" s="11">
        <f>7.752 * CHOOSE(CONTROL!$C$32, $C$9, 100%, $E$9)</f>
        <v>7.7519999999999998</v>
      </c>
      <c r="I175" s="11">
        <f>7.7573 * CHOOSE(CONTROL!$C$32, $C$9, 100%, $E$9)</f>
        <v>7.7572999999999999</v>
      </c>
      <c r="J175" s="11">
        <f>7.752 * CHOOSE(CONTROL!$C$32, $C$9, 100%, $E$9)</f>
        <v>7.7519999999999998</v>
      </c>
      <c r="K175" s="11">
        <f>7.7573 * CHOOSE(CONTROL!$C$32, $C$9, 100%, $E$9)</f>
        <v>7.7572999999999999</v>
      </c>
      <c r="L175" s="11">
        <f>4.8163 * CHOOSE(CONTROL!$C$32, $C$9, 100%, $E$9)</f>
        <v>4.8163</v>
      </c>
      <c r="M175" s="11">
        <f>4.8216 * CHOOSE(CONTROL!$C$32, $C$9, 100%, $E$9)</f>
        <v>4.8216000000000001</v>
      </c>
      <c r="N175" s="11">
        <f>4.8163 * CHOOSE(CONTROL!$C$32, $C$9, 100%, $E$9)</f>
        <v>4.8163</v>
      </c>
      <c r="O175" s="11">
        <f>4.8216 * CHOOSE(CONTROL!$C$32, $C$9, 100%, $E$9)</f>
        <v>4.8216000000000001</v>
      </c>
    </row>
    <row r="176" spans="1:18" ht="15" x14ac:dyDescent="0.2">
      <c r="A176" s="13">
        <v>46204</v>
      </c>
      <c r="B176" s="9">
        <f>3.8506 * CHOOSE(CONTROL!$C$32, $C$9, 100%, $E$9)</f>
        <v>3.8506</v>
      </c>
      <c r="C176" s="9">
        <f>3.8506 * CHOOSE(CONTROL!$C$32, $C$9, 100%, $E$9)</f>
        <v>3.8506</v>
      </c>
      <c r="D176" s="9">
        <f>3.8522 * CHOOSE(CONTROL!$C$32, $C$9, 100%, $E$9)</f>
        <v>3.8521999999999998</v>
      </c>
      <c r="E176" s="11">
        <f>4.9098 * CHOOSE(CONTROL!$C$32, $C$9, 100%, $E$9)</f>
        <v>4.9097999999999997</v>
      </c>
      <c r="F176" s="11">
        <f>4.9098 * CHOOSE(CONTROL!$C$32, $C$9, 100%, $E$9)</f>
        <v>4.9097999999999997</v>
      </c>
      <c r="G176" s="11">
        <f>4.9151 * CHOOSE(CONTROL!$C$32, $C$9, 100%, $E$9)</f>
        <v>4.9150999999999998</v>
      </c>
      <c r="H176" s="11">
        <f>7.7681 * CHOOSE(CONTROL!$C$32, $C$9, 100%, $E$9)</f>
        <v>7.7680999999999996</v>
      </c>
      <c r="I176" s="11">
        <f>7.7734 * CHOOSE(CONTROL!$C$32, $C$9, 100%, $E$9)</f>
        <v>7.7733999999999996</v>
      </c>
      <c r="J176" s="11">
        <f>7.7681 * CHOOSE(CONTROL!$C$32, $C$9, 100%, $E$9)</f>
        <v>7.7680999999999996</v>
      </c>
      <c r="K176" s="11">
        <f>7.7734 * CHOOSE(CONTROL!$C$32, $C$9, 100%, $E$9)</f>
        <v>7.7733999999999996</v>
      </c>
      <c r="L176" s="11">
        <f>4.9098 * CHOOSE(CONTROL!$C$32, $C$9, 100%, $E$9)</f>
        <v>4.9097999999999997</v>
      </c>
      <c r="M176" s="11">
        <f>4.9151 * CHOOSE(CONTROL!$C$32, $C$9, 100%, $E$9)</f>
        <v>4.9150999999999998</v>
      </c>
      <c r="N176" s="11">
        <f>4.9098 * CHOOSE(CONTROL!$C$32, $C$9, 100%, $E$9)</f>
        <v>4.9097999999999997</v>
      </c>
      <c r="O176" s="11">
        <f>4.9151 * CHOOSE(CONTROL!$C$32, $C$9, 100%, $E$9)</f>
        <v>4.9150999999999998</v>
      </c>
    </row>
    <row r="177" spans="1:15" ht="15" x14ac:dyDescent="0.2">
      <c r="A177" s="13">
        <v>46235</v>
      </c>
      <c r="B177" s="9">
        <f>3.8573 * CHOOSE(CONTROL!$C$32, $C$9, 100%, $E$9)</f>
        <v>3.8573</v>
      </c>
      <c r="C177" s="9">
        <f>3.8573 * CHOOSE(CONTROL!$C$32, $C$9, 100%, $E$9)</f>
        <v>3.8573</v>
      </c>
      <c r="D177" s="9">
        <f>3.8589 * CHOOSE(CONTROL!$C$32, $C$9, 100%, $E$9)</f>
        <v>3.8589000000000002</v>
      </c>
      <c r="E177" s="11">
        <f>4.9142 * CHOOSE(CONTROL!$C$32, $C$9, 100%, $E$9)</f>
        <v>4.9142000000000001</v>
      </c>
      <c r="F177" s="11">
        <f>4.9142 * CHOOSE(CONTROL!$C$32, $C$9, 100%, $E$9)</f>
        <v>4.9142000000000001</v>
      </c>
      <c r="G177" s="11">
        <f>4.9195 * CHOOSE(CONTROL!$C$32, $C$9, 100%, $E$9)</f>
        <v>4.9195000000000002</v>
      </c>
      <c r="H177" s="11">
        <f>7.7843 * CHOOSE(CONTROL!$C$32, $C$9, 100%, $E$9)</f>
        <v>7.7843</v>
      </c>
      <c r="I177" s="11">
        <f>7.7896 * CHOOSE(CONTROL!$C$32, $C$9, 100%, $E$9)</f>
        <v>7.7896000000000001</v>
      </c>
      <c r="J177" s="11">
        <f>7.7843 * CHOOSE(CONTROL!$C$32, $C$9, 100%, $E$9)</f>
        <v>7.7843</v>
      </c>
      <c r="K177" s="11">
        <f>7.7896 * CHOOSE(CONTROL!$C$32, $C$9, 100%, $E$9)</f>
        <v>7.7896000000000001</v>
      </c>
      <c r="L177" s="11">
        <f>4.9142 * CHOOSE(CONTROL!$C$32, $C$9, 100%, $E$9)</f>
        <v>4.9142000000000001</v>
      </c>
      <c r="M177" s="11">
        <f>4.9195 * CHOOSE(CONTROL!$C$32, $C$9, 100%, $E$9)</f>
        <v>4.9195000000000002</v>
      </c>
      <c r="N177" s="11">
        <f>4.9142 * CHOOSE(CONTROL!$C$32, $C$9, 100%, $E$9)</f>
        <v>4.9142000000000001</v>
      </c>
      <c r="O177" s="11">
        <f>4.9195 * CHOOSE(CONTROL!$C$32, $C$9, 100%, $E$9)</f>
        <v>4.9195000000000002</v>
      </c>
    </row>
    <row r="178" spans="1:15" ht="15" x14ac:dyDescent="0.2">
      <c r="A178" s="13">
        <v>46266</v>
      </c>
      <c r="B178" s="9">
        <f>3.8543 * CHOOSE(CONTROL!$C$32, $C$9, 100%, $E$9)</f>
        <v>3.8542999999999998</v>
      </c>
      <c r="C178" s="9">
        <f>3.8543 * CHOOSE(CONTROL!$C$32, $C$9, 100%, $E$9)</f>
        <v>3.8542999999999998</v>
      </c>
      <c r="D178" s="9">
        <f>3.8558 * CHOOSE(CONTROL!$C$32, $C$9, 100%, $E$9)</f>
        <v>3.8557999999999999</v>
      </c>
      <c r="E178" s="11">
        <f>4.9122 * CHOOSE(CONTROL!$C$32, $C$9, 100%, $E$9)</f>
        <v>4.9122000000000003</v>
      </c>
      <c r="F178" s="11">
        <f>4.9122 * CHOOSE(CONTROL!$C$32, $C$9, 100%, $E$9)</f>
        <v>4.9122000000000003</v>
      </c>
      <c r="G178" s="11">
        <f>4.9175 * CHOOSE(CONTROL!$C$32, $C$9, 100%, $E$9)</f>
        <v>4.9175000000000004</v>
      </c>
      <c r="H178" s="11">
        <f>7.8005 * CHOOSE(CONTROL!$C$32, $C$9, 100%, $E$9)</f>
        <v>7.8005000000000004</v>
      </c>
      <c r="I178" s="11">
        <f>7.8058 * CHOOSE(CONTROL!$C$32, $C$9, 100%, $E$9)</f>
        <v>7.8057999999999996</v>
      </c>
      <c r="J178" s="11">
        <f>7.8005 * CHOOSE(CONTROL!$C$32, $C$9, 100%, $E$9)</f>
        <v>7.8005000000000004</v>
      </c>
      <c r="K178" s="11">
        <f>7.8058 * CHOOSE(CONTROL!$C$32, $C$9, 100%, $E$9)</f>
        <v>7.8057999999999996</v>
      </c>
      <c r="L178" s="11">
        <f>4.9122 * CHOOSE(CONTROL!$C$32, $C$9, 100%, $E$9)</f>
        <v>4.9122000000000003</v>
      </c>
      <c r="M178" s="11">
        <f>4.9175 * CHOOSE(CONTROL!$C$32, $C$9, 100%, $E$9)</f>
        <v>4.9175000000000004</v>
      </c>
      <c r="N178" s="11">
        <f>4.9122 * CHOOSE(CONTROL!$C$32, $C$9, 100%, $E$9)</f>
        <v>4.9122000000000003</v>
      </c>
      <c r="O178" s="11">
        <f>4.9175 * CHOOSE(CONTROL!$C$32, $C$9, 100%, $E$9)</f>
        <v>4.9175000000000004</v>
      </c>
    </row>
    <row r="179" spans="1:15" ht="15" x14ac:dyDescent="0.2">
      <c r="A179" s="13">
        <v>46296</v>
      </c>
      <c r="B179" s="9">
        <f>3.8489 * CHOOSE(CONTROL!$C$32, $C$9, 100%, $E$9)</f>
        <v>3.8489</v>
      </c>
      <c r="C179" s="9">
        <f>3.8489 * CHOOSE(CONTROL!$C$32, $C$9, 100%, $E$9)</f>
        <v>3.8489</v>
      </c>
      <c r="D179" s="9">
        <f>3.8499 * CHOOSE(CONTROL!$C$32, $C$9, 100%, $E$9)</f>
        <v>3.8498999999999999</v>
      </c>
      <c r="E179" s="11">
        <f>4.9067 * CHOOSE(CONTROL!$C$32, $C$9, 100%, $E$9)</f>
        <v>4.9066999999999998</v>
      </c>
      <c r="F179" s="11">
        <f>4.9067 * CHOOSE(CONTROL!$C$32, $C$9, 100%, $E$9)</f>
        <v>4.9066999999999998</v>
      </c>
      <c r="G179" s="11">
        <f>4.9103 * CHOOSE(CONTROL!$C$32, $C$9, 100%, $E$9)</f>
        <v>4.9103000000000003</v>
      </c>
      <c r="H179" s="11">
        <f>7.8168 * CHOOSE(CONTROL!$C$32, $C$9, 100%, $E$9)</f>
        <v>7.8167999999999997</v>
      </c>
      <c r="I179" s="11">
        <f>7.8204 * CHOOSE(CONTROL!$C$32, $C$9, 100%, $E$9)</f>
        <v>7.8204000000000002</v>
      </c>
      <c r="J179" s="11">
        <f>7.8168 * CHOOSE(CONTROL!$C$32, $C$9, 100%, $E$9)</f>
        <v>7.8167999999999997</v>
      </c>
      <c r="K179" s="11">
        <f>7.8204 * CHOOSE(CONTROL!$C$32, $C$9, 100%, $E$9)</f>
        <v>7.8204000000000002</v>
      </c>
      <c r="L179" s="11">
        <f>4.9067 * CHOOSE(CONTROL!$C$32, $C$9, 100%, $E$9)</f>
        <v>4.9066999999999998</v>
      </c>
      <c r="M179" s="11">
        <f>4.9103 * CHOOSE(CONTROL!$C$32, $C$9, 100%, $E$9)</f>
        <v>4.9103000000000003</v>
      </c>
      <c r="N179" s="11">
        <f>4.9067 * CHOOSE(CONTROL!$C$32, $C$9, 100%, $E$9)</f>
        <v>4.9066999999999998</v>
      </c>
      <c r="O179" s="11">
        <f>4.9103 * CHOOSE(CONTROL!$C$32, $C$9, 100%, $E$9)</f>
        <v>4.9103000000000003</v>
      </c>
    </row>
    <row r="180" spans="1:15" ht="15" x14ac:dyDescent="0.2">
      <c r="A180" s="13">
        <v>46327</v>
      </c>
      <c r="B180" s="9">
        <f>3.8519 * CHOOSE(CONTROL!$C$32, $C$9, 100%, $E$9)</f>
        <v>3.8519000000000001</v>
      </c>
      <c r="C180" s="9">
        <f>3.8519 * CHOOSE(CONTROL!$C$32, $C$9, 100%, $E$9)</f>
        <v>3.8519000000000001</v>
      </c>
      <c r="D180" s="9">
        <f>3.853 * CHOOSE(CONTROL!$C$32, $C$9, 100%, $E$9)</f>
        <v>3.8530000000000002</v>
      </c>
      <c r="E180" s="11">
        <f>4.9087 * CHOOSE(CONTROL!$C$32, $C$9, 100%, $E$9)</f>
        <v>4.9086999999999996</v>
      </c>
      <c r="F180" s="11">
        <f>4.9087 * CHOOSE(CONTROL!$C$32, $C$9, 100%, $E$9)</f>
        <v>4.9086999999999996</v>
      </c>
      <c r="G180" s="11">
        <f>4.9123 * CHOOSE(CONTROL!$C$32, $C$9, 100%, $E$9)</f>
        <v>4.9123000000000001</v>
      </c>
      <c r="H180" s="11">
        <f>7.8331 * CHOOSE(CONTROL!$C$32, $C$9, 100%, $E$9)</f>
        <v>7.8331</v>
      </c>
      <c r="I180" s="11">
        <f>7.8367 * CHOOSE(CONTROL!$C$32, $C$9, 100%, $E$9)</f>
        <v>7.8367000000000004</v>
      </c>
      <c r="J180" s="11">
        <f>7.8331 * CHOOSE(CONTROL!$C$32, $C$9, 100%, $E$9)</f>
        <v>7.8331</v>
      </c>
      <c r="K180" s="11">
        <f>7.8367 * CHOOSE(CONTROL!$C$32, $C$9, 100%, $E$9)</f>
        <v>7.8367000000000004</v>
      </c>
      <c r="L180" s="11">
        <f>4.9087 * CHOOSE(CONTROL!$C$32, $C$9, 100%, $E$9)</f>
        <v>4.9086999999999996</v>
      </c>
      <c r="M180" s="11">
        <f>4.9123 * CHOOSE(CONTROL!$C$32, $C$9, 100%, $E$9)</f>
        <v>4.9123000000000001</v>
      </c>
      <c r="N180" s="11">
        <f>4.9087 * CHOOSE(CONTROL!$C$32, $C$9, 100%, $E$9)</f>
        <v>4.9086999999999996</v>
      </c>
      <c r="O180" s="11">
        <f>4.9123 * CHOOSE(CONTROL!$C$32, $C$9, 100%, $E$9)</f>
        <v>4.9123000000000001</v>
      </c>
    </row>
    <row r="181" spans="1:15" ht="15" x14ac:dyDescent="0.2">
      <c r="A181" s="13">
        <v>46357</v>
      </c>
      <c r="B181" s="9">
        <f>3.8519 * CHOOSE(CONTROL!$C$32, $C$9, 100%, $E$9)</f>
        <v>3.8519000000000001</v>
      </c>
      <c r="C181" s="9">
        <f>3.8519 * CHOOSE(CONTROL!$C$32, $C$9, 100%, $E$9)</f>
        <v>3.8519000000000001</v>
      </c>
      <c r="D181" s="9">
        <f>3.853 * CHOOSE(CONTROL!$C$32, $C$9, 100%, $E$9)</f>
        <v>3.8530000000000002</v>
      </c>
      <c r="E181" s="11">
        <f>4.9087 * CHOOSE(CONTROL!$C$32, $C$9, 100%, $E$9)</f>
        <v>4.9086999999999996</v>
      </c>
      <c r="F181" s="11">
        <f>4.9087 * CHOOSE(CONTROL!$C$32, $C$9, 100%, $E$9)</f>
        <v>4.9086999999999996</v>
      </c>
      <c r="G181" s="11">
        <f>4.9123 * CHOOSE(CONTROL!$C$32, $C$9, 100%, $E$9)</f>
        <v>4.9123000000000001</v>
      </c>
      <c r="H181" s="11">
        <f>7.8494 * CHOOSE(CONTROL!$C$32, $C$9, 100%, $E$9)</f>
        <v>7.8494000000000002</v>
      </c>
      <c r="I181" s="11">
        <f>7.853 * CHOOSE(CONTROL!$C$32, $C$9, 100%, $E$9)</f>
        <v>7.8529999999999998</v>
      </c>
      <c r="J181" s="11">
        <f>7.8494 * CHOOSE(CONTROL!$C$32, $C$9, 100%, $E$9)</f>
        <v>7.8494000000000002</v>
      </c>
      <c r="K181" s="11">
        <f>7.853 * CHOOSE(CONTROL!$C$32, $C$9, 100%, $E$9)</f>
        <v>7.8529999999999998</v>
      </c>
      <c r="L181" s="11">
        <f>4.9087 * CHOOSE(CONTROL!$C$32, $C$9, 100%, $E$9)</f>
        <v>4.9086999999999996</v>
      </c>
      <c r="M181" s="11">
        <f>4.9123 * CHOOSE(CONTROL!$C$32, $C$9, 100%, $E$9)</f>
        <v>4.9123000000000001</v>
      </c>
      <c r="N181" s="11">
        <f>4.9087 * CHOOSE(CONTROL!$C$32, $C$9, 100%, $E$9)</f>
        <v>4.9086999999999996</v>
      </c>
      <c r="O181" s="11">
        <f>4.9123 * CHOOSE(CONTROL!$C$32, $C$9, 100%, $E$9)</f>
        <v>4.9123000000000001</v>
      </c>
    </row>
    <row r="182" spans="1:15" ht="15" x14ac:dyDescent="0.2">
      <c r="A182" s="13">
        <v>46388</v>
      </c>
      <c r="B182" s="9">
        <f>3.8871 * CHOOSE(CONTROL!$C$32, $C$9, 100%, $E$9)</f>
        <v>3.8871000000000002</v>
      </c>
      <c r="C182" s="9">
        <f>3.8871 * CHOOSE(CONTROL!$C$32, $C$9, 100%, $E$9)</f>
        <v>3.8871000000000002</v>
      </c>
      <c r="D182" s="9">
        <f>3.8882 * CHOOSE(CONTROL!$C$32, $C$9, 100%, $E$9)</f>
        <v>3.8881999999999999</v>
      </c>
      <c r="E182" s="11">
        <f>4.9479 * CHOOSE(CONTROL!$C$32, $C$9, 100%, $E$9)</f>
        <v>4.9478999999999997</v>
      </c>
      <c r="F182" s="11">
        <f>4.9479 * CHOOSE(CONTROL!$C$32, $C$9, 100%, $E$9)</f>
        <v>4.9478999999999997</v>
      </c>
      <c r="G182" s="11">
        <f>4.9515 * CHOOSE(CONTROL!$C$32, $C$9, 100%, $E$9)</f>
        <v>4.9515000000000002</v>
      </c>
      <c r="H182" s="11">
        <f>7.8657 * CHOOSE(CONTROL!$C$32, $C$9, 100%, $E$9)</f>
        <v>7.8657000000000004</v>
      </c>
      <c r="I182" s="11">
        <f>7.8694 * CHOOSE(CONTROL!$C$32, $C$9, 100%, $E$9)</f>
        <v>7.8693999999999997</v>
      </c>
      <c r="J182" s="11">
        <f>7.8657 * CHOOSE(CONTROL!$C$32, $C$9, 100%, $E$9)</f>
        <v>7.8657000000000004</v>
      </c>
      <c r="K182" s="11">
        <f>7.8694 * CHOOSE(CONTROL!$C$32, $C$9, 100%, $E$9)</f>
        <v>7.8693999999999997</v>
      </c>
      <c r="L182" s="11">
        <f>4.9479 * CHOOSE(CONTROL!$C$32, $C$9, 100%, $E$9)</f>
        <v>4.9478999999999997</v>
      </c>
      <c r="M182" s="11">
        <f>4.9515 * CHOOSE(CONTROL!$C$32, $C$9, 100%, $E$9)</f>
        <v>4.9515000000000002</v>
      </c>
      <c r="N182" s="11">
        <f>4.9479 * CHOOSE(CONTROL!$C$32, $C$9, 100%, $E$9)</f>
        <v>4.9478999999999997</v>
      </c>
      <c r="O182" s="11">
        <f>4.9515 * CHOOSE(CONTROL!$C$32, $C$9, 100%, $E$9)</f>
        <v>4.9515000000000002</v>
      </c>
    </row>
    <row r="183" spans="1:15" ht="15" x14ac:dyDescent="0.2">
      <c r="A183" s="13">
        <v>46419</v>
      </c>
      <c r="B183" s="9">
        <f>3.884 * CHOOSE(CONTROL!$C$32, $C$9, 100%, $E$9)</f>
        <v>3.8839999999999999</v>
      </c>
      <c r="C183" s="9">
        <f>3.884 * CHOOSE(CONTROL!$C$32, $C$9, 100%, $E$9)</f>
        <v>3.8839999999999999</v>
      </c>
      <c r="D183" s="9">
        <f>3.8851 * CHOOSE(CONTROL!$C$32, $C$9, 100%, $E$9)</f>
        <v>3.8851</v>
      </c>
      <c r="E183" s="11">
        <f>4.9459 * CHOOSE(CONTROL!$C$32, $C$9, 100%, $E$9)</f>
        <v>4.9459</v>
      </c>
      <c r="F183" s="11">
        <f>4.9459 * CHOOSE(CONTROL!$C$32, $C$9, 100%, $E$9)</f>
        <v>4.9459</v>
      </c>
      <c r="G183" s="11">
        <f>4.9495 * CHOOSE(CONTROL!$C$32, $C$9, 100%, $E$9)</f>
        <v>4.9494999999999996</v>
      </c>
      <c r="H183" s="11">
        <f>7.8821 * CHOOSE(CONTROL!$C$32, $C$9, 100%, $E$9)</f>
        <v>7.8821000000000003</v>
      </c>
      <c r="I183" s="11">
        <f>7.8857 * CHOOSE(CONTROL!$C$32, $C$9, 100%, $E$9)</f>
        <v>7.8856999999999999</v>
      </c>
      <c r="J183" s="11">
        <f>7.8821 * CHOOSE(CONTROL!$C$32, $C$9, 100%, $E$9)</f>
        <v>7.8821000000000003</v>
      </c>
      <c r="K183" s="11">
        <f>7.8857 * CHOOSE(CONTROL!$C$32, $C$9, 100%, $E$9)</f>
        <v>7.8856999999999999</v>
      </c>
      <c r="L183" s="11">
        <f>4.9459 * CHOOSE(CONTROL!$C$32, $C$9, 100%, $E$9)</f>
        <v>4.9459</v>
      </c>
      <c r="M183" s="11">
        <f>4.9495 * CHOOSE(CONTROL!$C$32, $C$9, 100%, $E$9)</f>
        <v>4.9494999999999996</v>
      </c>
      <c r="N183" s="11">
        <f>4.9459 * CHOOSE(CONTROL!$C$32, $C$9, 100%, $E$9)</f>
        <v>4.9459</v>
      </c>
      <c r="O183" s="11">
        <f>4.9495 * CHOOSE(CONTROL!$C$32, $C$9, 100%, $E$9)</f>
        <v>4.9494999999999996</v>
      </c>
    </row>
    <row r="184" spans="1:15" ht="15" x14ac:dyDescent="0.2">
      <c r="A184" s="13">
        <v>46447</v>
      </c>
      <c r="B184" s="9">
        <f>3.881 * CHOOSE(CONTROL!$C$32, $C$9, 100%, $E$9)</f>
        <v>3.8809999999999998</v>
      </c>
      <c r="C184" s="9">
        <f>3.881 * CHOOSE(CONTROL!$C$32, $C$9, 100%, $E$9)</f>
        <v>3.8809999999999998</v>
      </c>
      <c r="D184" s="9">
        <f>3.8821 * CHOOSE(CONTROL!$C$32, $C$9, 100%, $E$9)</f>
        <v>3.8820999999999999</v>
      </c>
      <c r="E184" s="11">
        <f>4.9439 * CHOOSE(CONTROL!$C$32, $C$9, 100%, $E$9)</f>
        <v>4.9439000000000002</v>
      </c>
      <c r="F184" s="11">
        <f>4.9439 * CHOOSE(CONTROL!$C$32, $C$9, 100%, $E$9)</f>
        <v>4.9439000000000002</v>
      </c>
      <c r="G184" s="11">
        <f>4.9475 * CHOOSE(CONTROL!$C$32, $C$9, 100%, $E$9)</f>
        <v>4.9474999999999998</v>
      </c>
      <c r="H184" s="11">
        <f>7.8985 * CHOOSE(CONTROL!$C$32, $C$9, 100%, $E$9)</f>
        <v>7.8985000000000003</v>
      </c>
      <c r="I184" s="11">
        <f>7.9022 * CHOOSE(CONTROL!$C$32, $C$9, 100%, $E$9)</f>
        <v>7.9021999999999997</v>
      </c>
      <c r="J184" s="11">
        <f>7.8985 * CHOOSE(CONTROL!$C$32, $C$9, 100%, $E$9)</f>
        <v>7.8985000000000003</v>
      </c>
      <c r="K184" s="11">
        <f>7.9022 * CHOOSE(CONTROL!$C$32, $C$9, 100%, $E$9)</f>
        <v>7.9021999999999997</v>
      </c>
      <c r="L184" s="11">
        <f>4.9439 * CHOOSE(CONTROL!$C$32, $C$9, 100%, $E$9)</f>
        <v>4.9439000000000002</v>
      </c>
      <c r="M184" s="11">
        <f>4.9475 * CHOOSE(CONTROL!$C$32, $C$9, 100%, $E$9)</f>
        <v>4.9474999999999998</v>
      </c>
      <c r="N184" s="11">
        <f>4.9439 * CHOOSE(CONTROL!$C$32, $C$9, 100%, $E$9)</f>
        <v>4.9439000000000002</v>
      </c>
      <c r="O184" s="11">
        <f>4.9475 * CHOOSE(CONTROL!$C$32, $C$9, 100%, $E$9)</f>
        <v>4.9474999999999998</v>
      </c>
    </row>
    <row r="185" spans="1:15" ht="15" x14ac:dyDescent="0.2">
      <c r="A185" s="13">
        <v>46478</v>
      </c>
      <c r="B185" s="9">
        <f>3.8786 * CHOOSE(CONTROL!$C$32, $C$9, 100%, $E$9)</f>
        <v>3.8786</v>
      </c>
      <c r="C185" s="9">
        <f>3.8786 * CHOOSE(CONTROL!$C$32, $C$9, 100%, $E$9)</f>
        <v>3.8786</v>
      </c>
      <c r="D185" s="9">
        <f>3.8796 * CHOOSE(CONTROL!$C$32, $C$9, 100%, $E$9)</f>
        <v>3.8795999999999999</v>
      </c>
      <c r="E185" s="11">
        <f>4.9418 * CHOOSE(CONTROL!$C$32, $C$9, 100%, $E$9)</f>
        <v>4.9417999999999997</v>
      </c>
      <c r="F185" s="11">
        <f>4.9418 * CHOOSE(CONTROL!$C$32, $C$9, 100%, $E$9)</f>
        <v>4.9417999999999997</v>
      </c>
      <c r="G185" s="11">
        <f>4.9454 * CHOOSE(CONTROL!$C$32, $C$9, 100%, $E$9)</f>
        <v>4.9454000000000002</v>
      </c>
      <c r="H185" s="11">
        <f>7.915 * CHOOSE(CONTROL!$C$32, $C$9, 100%, $E$9)</f>
        <v>7.915</v>
      </c>
      <c r="I185" s="11">
        <f>7.9186 * CHOOSE(CONTROL!$C$32, $C$9, 100%, $E$9)</f>
        <v>7.9185999999999996</v>
      </c>
      <c r="J185" s="11">
        <f>7.915 * CHOOSE(CONTROL!$C$32, $C$9, 100%, $E$9)</f>
        <v>7.915</v>
      </c>
      <c r="K185" s="11">
        <f>7.9186 * CHOOSE(CONTROL!$C$32, $C$9, 100%, $E$9)</f>
        <v>7.9185999999999996</v>
      </c>
      <c r="L185" s="11">
        <f>4.9418 * CHOOSE(CONTROL!$C$32, $C$9, 100%, $E$9)</f>
        <v>4.9417999999999997</v>
      </c>
      <c r="M185" s="11">
        <f>4.9454 * CHOOSE(CONTROL!$C$32, $C$9, 100%, $E$9)</f>
        <v>4.9454000000000002</v>
      </c>
      <c r="N185" s="11">
        <f>4.9418 * CHOOSE(CONTROL!$C$32, $C$9, 100%, $E$9)</f>
        <v>4.9417999999999997</v>
      </c>
      <c r="O185" s="11">
        <f>4.9454 * CHOOSE(CONTROL!$C$32, $C$9, 100%, $E$9)</f>
        <v>4.9454000000000002</v>
      </c>
    </row>
    <row r="186" spans="1:15" ht="15" x14ac:dyDescent="0.2">
      <c r="A186" s="13">
        <v>46508</v>
      </c>
      <c r="B186" s="9">
        <f>3.8786 * CHOOSE(CONTROL!$C$32, $C$9, 100%, $E$9)</f>
        <v>3.8786</v>
      </c>
      <c r="C186" s="9">
        <f>3.8786 * CHOOSE(CONTROL!$C$32, $C$9, 100%, $E$9)</f>
        <v>3.8786</v>
      </c>
      <c r="D186" s="9">
        <f>3.8801 * CHOOSE(CONTROL!$C$32, $C$9, 100%, $E$9)</f>
        <v>3.8801000000000001</v>
      </c>
      <c r="E186" s="11">
        <f>4.9418 * CHOOSE(CONTROL!$C$32, $C$9, 100%, $E$9)</f>
        <v>4.9417999999999997</v>
      </c>
      <c r="F186" s="11">
        <f>4.9418 * CHOOSE(CONTROL!$C$32, $C$9, 100%, $E$9)</f>
        <v>4.9417999999999997</v>
      </c>
      <c r="G186" s="11">
        <f>4.9471 * CHOOSE(CONTROL!$C$32, $C$9, 100%, $E$9)</f>
        <v>4.9470999999999998</v>
      </c>
      <c r="H186" s="11">
        <f>7.9315 * CHOOSE(CONTROL!$C$32, $C$9, 100%, $E$9)</f>
        <v>7.9314999999999998</v>
      </c>
      <c r="I186" s="11">
        <f>7.9368 * CHOOSE(CONTROL!$C$32, $C$9, 100%, $E$9)</f>
        <v>7.9367999999999999</v>
      </c>
      <c r="J186" s="11">
        <f>7.9315 * CHOOSE(CONTROL!$C$32, $C$9, 100%, $E$9)</f>
        <v>7.9314999999999998</v>
      </c>
      <c r="K186" s="11">
        <f>7.9368 * CHOOSE(CONTROL!$C$32, $C$9, 100%, $E$9)</f>
        <v>7.9367999999999999</v>
      </c>
      <c r="L186" s="11">
        <f>4.9418 * CHOOSE(CONTROL!$C$32, $C$9, 100%, $E$9)</f>
        <v>4.9417999999999997</v>
      </c>
      <c r="M186" s="11">
        <f>4.9471 * CHOOSE(CONTROL!$C$32, $C$9, 100%, $E$9)</f>
        <v>4.9470999999999998</v>
      </c>
      <c r="N186" s="11">
        <f>4.9418 * CHOOSE(CONTROL!$C$32, $C$9, 100%, $E$9)</f>
        <v>4.9417999999999997</v>
      </c>
      <c r="O186" s="11">
        <f>4.9471 * CHOOSE(CONTROL!$C$32, $C$9, 100%, $E$9)</f>
        <v>4.9470999999999998</v>
      </c>
    </row>
    <row r="187" spans="1:15" ht="15" x14ac:dyDescent="0.2">
      <c r="A187" s="13">
        <v>46539</v>
      </c>
      <c r="B187" s="9">
        <f>3.8846 * CHOOSE(CONTROL!$C$32, $C$9, 100%, $E$9)</f>
        <v>3.8845999999999998</v>
      </c>
      <c r="C187" s="9">
        <f>3.8846 * CHOOSE(CONTROL!$C$32, $C$9, 100%, $E$9)</f>
        <v>3.8845999999999998</v>
      </c>
      <c r="D187" s="9">
        <f>3.8862 * CHOOSE(CONTROL!$C$32, $C$9, 100%, $E$9)</f>
        <v>3.8862000000000001</v>
      </c>
      <c r="E187" s="11">
        <f>4.9458 * CHOOSE(CONTROL!$C$32, $C$9, 100%, $E$9)</f>
        <v>4.9458000000000002</v>
      </c>
      <c r="F187" s="11">
        <f>4.9458 * CHOOSE(CONTROL!$C$32, $C$9, 100%, $E$9)</f>
        <v>4.9458000000000002</v>
      </c>
      <c r="G187" s="11">
        <f>4.9511 * CHOOSE(CONTROL!$C$32, $C$9, 100%, $E$9)</f>
        <v>4.9511000000000003</v>
      </c>
      <c r="H187" s="11">
        <f>7.948 * CHOOSE(CONTROL!$C$32, $C$9, 100%, $E$9)</f>
        <v>7.9480000000000004</v>
      </c>
      <c r="I187" s="11">
        <f>7.9533 * CHOOSE(CONTROL!$C$32, $C$9, 100%, $E$9)</f>
        <v>7.9532999999999996</v>
      </c>
      <c r="J187" s="11">
        <f>7.948 * CHOOSE(CONTROL!$C$32, $C$9, 100%, $E$9)</f>
        <v>7.9480000000000004</v>
      </c>
      <c r="K187" s="11">
        <f>7.9533 * CHOOSE(CONTROL!$C$32, $C$9, 100%, $E$9)</f>
        <v>7.9532999999999996</v>
      </c>
      <c r="L187" s="11">
        <f>4.9458 * CHOOSE(CONTROL!$C$32, $C$9, 100%, $E$9)</f>
        <v>4.9458000000000002</v>
      </c>
      <c r="M187" s="11">
        <f>4.9511 * CHOOSE(CONTROL!$C$32, $C$9, 100%, $E$9)</f>
        <v>4.9511000000000003</v>
      </c>
      <c r="N187" s="11">
        <f>4.9458 * CHOOSE(CONTROL!$C$32, $C$9, 100%, $E$9)</f>
        <v>4.9458000000000002</v>
      </c>
      <c r="O187" s="11">
        <f>4.9511 * CHOOSE(CONTROL!$C$32, $C$9, 100%, $E$9)</f>
        <v>4.9511000000000003</v>
      </c>
    </row>
    <row r="188" spans="1:15" ht="15" x14ac:dyDescent="0.2">
      <c r="A188" s="13">
        <v>46569</v>
      </c>
      <c r="B188" s="9">
        <f>3.951 * CHOOSE(CONTROL!$C$32, $C$9, 100%, $E$9)</f>
        <v>3.9510000000000001</v>
      </c>
      <c r="C188" s="9">
        <f>3.951 * CHOOSE(CONTROL!$C$32, $C$9, 100%, $E$9)</f>
        <v>3.9510000000000001</v>
      </c>
      <c r="D188" s="9">
        <f>3.9526 * CHOOSE(CONTROL!$C$32, $C$9, 100%, $E$9)</f>
        <v>3.9525999999999999</v>
      </c>
      <c r="E188" s="11">
        <f>5.0318 * CHOOSE(CONTROL!$C$32, $C$9, 100%, $E$9)</f>
        <v>5.0317999999999996</v>
      </c>
      <c r="F188" s="11">
        <f>5.0318 * CHOOSE(CONTROL!$C$32, $C$9, 100%, $E$9)</f>
        <v>5.0317999999999996</v>
      </c>
      <c r="G188" s="11">
        <f>5.0371 * CHOOSE(CONTROL!$C$32, $C$9, 100%, $E$9)</f>
        <v>5.0370999999999997</v>
      </c>
      <c r="H188" s="11">
        <f>7.9646 * CHOOSE(CONTROL!$C$32, $C$9, 100%, $E$9)</f>
        <v>7.9645999999999999</v>
      </c>
      <c r="I188" s="11">
        <f>7.9699 * CHOOSE(CONTROL!$C$32, $C$9, 100%, $E$9)</f>
        <v>7.9699</v>
      </c>
      <c r="J188" s="11">
        <f>7.9646 * CHOOSE(CONTROL!$C$32, $C$9, 100%, $E$9)</f>
        <v>7.9645999999999999</v>
      </c>
      <c r="K188" s="11">
        <f>7.9699 * CHOOSE(CONTROL!$C$32, $C$9, 100%, $E$9)</f>
        <v>7.9699</v>
      </c>
      <c r="L188" s="11">
        <f>5.0318 * CHOOSE(CONTROL!$C$32, $C$9, 100%, $E$9)</f>
        <v>5.0317999999999996</v>
      </c>
      <c r="M188" s="11">
        <f>5.0371 * CHOOSE(CONTROL!$C$32, $C$9, 100%, $E$9)</f>
        <v>5.0370999999999997</v>
      </c>
      <c r="N188" s="11">
        <f>5.0318 * CHOOSE(CONTROL!$C$32, $C$9, 100%, $E$9)</f>
        <v>5.0317999999999996</v>
      </c>
      <c r="O188" s="11">
        <f>5.0371 * CHOOSE(CONTROL!$C$32, $C$9, 100%, $E$9)</f>
        <v>5.0370999999999997</v>
      </c>
    </row>
    <row r="189" spans="1:15" ht="15" x14ac:dyDescent="0.2">
      <c r="A189" s="13">
        <v>46600</v>
      </c>
      <c r="B189" s="9">
        <f>3.9577 * CHOOSE(CONTROL!$C$32, $C$9, 100%, $E$9)</f>
        <v>3.9577</v>
      </c>
      <c r="C189" s="9">
        <f>3.9577 * CHOOSE(CONTROL!$C$32, $C$9, 100%, $E$9)</f>
        <v>3.9577</v>
      </c>
      <c r="D189" s="9">
        <f>3.9592 * CHOOSE(CONTROL!$C$32, $C$9, 100%, $E$9)</f>
        <v>3.9592000000000001</v>
      </c>
      <c r="E189" s="11">
        <f>5.0362 * CHOOSE(CONTROL!$C$32, $C$9, 100%, $E$9)</f>
        <v>5.0362</v>
      </c>
      <c r="F189" s="11">
        <f>5.0362 * CHOOSE(CONTROL!$C$32, $C$9, 100%, $E$9)</f>
        <v>5.0362</v>
      </c>
      <c r="G189" s="11">
        <f>5.0415 * CHOOSE(CONTROL!$C$32, $C$9, 100%, $E$9)</f>
        <v>5.0415000000000001</v>
      </c>
      <c r="H189" s="11">
        <f>7.9812 * CHOOSE(CONTROL!$C$32, $C$9, 100%, $E$9)</f>
        <v>7.9812000000000003</v>
      </c>
      <c r="I189" s="11">
        <f>7.9865 * CHOOSE(CONTROL!$C$32, $C$9, 100%, $E$9)</f>
        <v>7.9865000000000004</v>
      </c>
      <c r="J189" s="11">
        <f>7.9812 * CHOOSE(CONTROL!$C$32, $C$9, 100%, $E$9)</f>
        <v>7.9812000000000003</v>
      </c>
      <c r="K189" s="11">
        <f>7.9865 * CHOOSE(CONTROL!$C$32, $C$9, 100%, $E$9)</f>
        <v>7.9865000000000004</v>
      </c>
      <c r="L189" s="11">
        <f>5.0362 * CHOOSE(CONTROL!$C$32, $C$9, 100%, $E$9)</f>
        <v>5.0362</v>
      </c>
      <c r="M189" s="11">
        <f>5.0415 * CHOOSE(CONTROL!$C$32, $C$9, 100%, $E$9)</f>
        <v>5.0415000000000001</v>
      </c>
      <c r="N189" s="11">
        <f>5.0362 * CHOOSE(CONTROL!$C$32, $C$9, 100%, $E$9)</f>
        <v>5.0362</v>
      </c>
      <c r="O189" s="11">
        <f>5.0415 * CHOOSE(CONTROL!$C$32, $C$9, 100%, $E$9)</f>
        <v>5.0415000000000001</v>
      </c>
    </row>
    <row r="190" spans="1:15" ht="15" x14ac:dyDescent="0.2">
      <c r="A190" s="13">
        <v>46631</v>
      </c>
      <c r="B190" s="9">
        <f>3.9546 * CHOOSE(CONTROL!$C$32, $C$9, 100%, $E$9)</f>
        <v>3.9546000000000001</v>
      </c>
      <c r="C190" s="9">
        <f>3.9546 * CHOOSE(CONTROL!$C$32, $C$9, 100%, $E$9)</f>
        <v>3.9546000000000001</v>
      </c>
      <c r="D190" s="9">
        <f>3.9562 * CHOOSE(CONTROL!$C$32, $C$9, 100%, $E$9)</f>
        <v>3.9561999999999999</v>
      </c>
      <c r="E190" s="11">
        <f>5.0342 * CHOOSE(CONTROL!$C$32, $C$9, 100%, $E$9)</f>
        <v>5.0342000000000002</v>
      </c>
      <c r="F190" s="11">
        <f>5.0342 * CHOOSE(CONTROL!$C$32, $C$9, 100%, $E$9)</f>
        <v>5.0342000000000002</v>
      </c>
      <c r="G190" s="11">
        <f>5.0395 * CHOOSE(CONTROL!$C$32, $C$9, 100%, $E$9)</f>
        <v>5.0395000000000003</v>
      </c>
      <c r="H190" s="11">
        <f>7.9978 * CHOOSE(CONTROL!$C$32, $C$9, 100%, $E$9)</f>
        <v>7.9977999999999998</v>
      </c>
      <c r="I190" s="11">
        <f>8.0031 * CHOOSE(CONTROL!$C$32, $C$9, 100%, $E$9)</f>
        <v>8.0030999999999999</v>
      </c>
      <c r="J190" s="11">
        <f>7.9978 * CHOOSE(CONTROL!$C$32, $C$9, 100%, $E$9)</f>
        <v>7.9977999999999998</v>
      </c>
      <c r="K190" s="11">
        <f>8.0031 * CHOOSE(CONTROL!$C$32, $C$9, 100%, $E$9)</f>
        <v>8.0030999999999999</v>
      </c>
      <c r="L190" s="11">
        <f>5.0342 * CHOOSE(CONTROL!$C$32, $C$9, 100%, $E$9)</f>
        <v>5.0342000000000002</v>
      </c>
      <c r="M190" s="11">
        <f>5.0395 * CHOOSE(CONTROL!$C$32, $C$9, 100%, $E$9)</f>
        <v>5.0395000000000003</v>
      </c>
      <c r="N190" s="11">
        <f>5.0342 * CHOOSE(CONTROL!$C$32, $C$9, 100%, $E$9)</f>
        <v>5.0342000000000002</v>
      </c>
      <c r="O190" s="11">
        <f>5.0395 * CHOOSE(CONTROL!$C$32, $C$9, 100%, $E$9)</f>
        <v>5.0395000000000003</v>
      </c>
    </row>
    <row r="191" spans="1:15" ht="15" x14ac:dyDescent="0.2">
      <c r="A191" s="13">
        <v>46661</v>
      </c>
      <c r="B191" s="9">
        <f>3.9496 * CHOOSE(CONTROL!$C$32, $C$9, 100%, $E$9)</f>
        <v>3.9496000000000002</v>
      </c>
      <c r="C191" s="9">
        <f>3.9496 * CHOOSE(CONTROL!$C$32, $C$9, 100%, $E$9)</f>
        <v>3.9496000000000002</v>
      </c>
      <c r="D191" s="9">
        <f>3.9506 * CHOOSE(CONTROL!$C$32, $C$9, 100%, $E$9)</f>
        <v>3.9506000000000001</v>
      </c>
      <c r="E191" s="11">
        <f>5.0288 * CHOOSE(CONTROL!$C$32, $C$9, 100%, $E$9)</f>
        <v>5.0288000000000004</v>
      </c>
      <c r="F191" s="11">
        <f>5.0288 * CHOOSE(CONTROL!$C$32, $C$9, 100%, $E$9)</f>
        <v>5.0288000000000004</v>
      </c>
      <c r="G191" s="11">
        <f>5.0324 * CHOOSE(CONTROL!$C$32, $C$9, 100%, $E$9)</f>
        <v>5.0324</v>
      </c>
      <c r="H191" s="11">
        <f>8.0145 * CHOOSE(CONTROL!$C$32, $C$9, 100%, $E$9)</f>
        <v>8.0145</v>
      </c>
      <c r="I191" s="11">
        <f>8.0181 * CHOOSE(CONTROL!$C$32, $C$9, 100%, $E$9)</f>
        <v>8.0181000000000004</v>
      </c>
      <c r="J191" s="11">
        <f>8.0145 * CHOOSE(CONTROL!$C$32, $C$9, 100%, $E$9)</f>
        <v>8.0145</v>
      </c>
      <c r="K191" s="11">
        <f>8.0181 * CHOOSE(CONTROL!$C$32, $C$9, 100%, $E$9)</f>
        <v>8.0181000000000004</v>
      </c>
      <c r="L191" s="11">
        <f>5.0288 * CHOOSE(CONTROL!$C$32, $C$9, 100%, $E$9)</f>
        <v>5.0288000000000004</v>
      </c>
      <c r="M191" s="11">
        <f>5.0324 * CHOOSE(CONTROL!$C$32, $C$9, 100%, $E$9)</f>
        <v>5.0324</v>
      </c>
      <c r="N191" s="11">
        <f>5.0288 * CHOOSE(CONTROL!$C$32, $C$9, 100%, $E$9)</f>
        <v>5.0288000000000004</v>
      </c>
      <c r="O191" s="11">
        <f>5.0324 * CHOOSE(CONTROL!$C$32, $C$9, 100%, $E$9)</f>
        <v>5.0324</v>
      </c>
    </row>
    <row r="192" spans="1:15" ht="15" x14ac:dyDescent="0.2">
      <c r="A192" s="13">
        <v>46692</v>
      </c>
      <c r="B192" s="9">
        <f>3.9526 * CHOOSE(CONTROL!$C$32, $C$9, 100%, $E$9)</f>
        <v>3.9525999999999999</v>
      </c>
      <c r="C192" s="9">
        <f>3.9526 * CHOOSE(CONTROL!$C$32, $C$9, 100%, $E$9)</f>
        <v>3.9525999999999999</v>
      </c>
      <c r="D192" s="9">
        <f>3.9537 * CHOOSE(CONTROL!$C$32, $C$9, 100%, $E$9)</f>
        <v>3.9537</v>
      </c>
      <c r="E192" s="11">
        <f>5.0308 * CHOOSE(CONTROL!$C$32, $C$9, 100%, $E$9)</f>
        <v>5.0308000000000002</v>
      </c>
      <c r="F192" s="11">
        <f>5.0308 * CHOOSE(CONTROL!$C$32, $C$9, 100%, $E$9)</f>
        <v>5.0308000000000002</v>
      </c>
      <c r="G192" s="11">
        <f>5.0344 * CHOOSE(CONTROL!$C$32, $C$9, 100%, $E$9)</f>
        <v>5.0343999999999998</v>
      </c>
      <c r="H192" s="11">
        <f>8.0311 * CHOOSE(CONTROL!$C$32, $C$9, 100%, $E$9)</f>
        <v>8.0311000000000003</v>
      </c>
      <c r="I192" s="11">
        <f>8.0348 * CHOOSE(CONTROL!$C$32, $C$9, 100%, $E$9)</f>
        <v>8.0348000000000006</v>
      </c>
      <c r="J192" s="11">
        <f>8.0311 * CHOOSE(CONTROL!$C$32, $C$9, 100%, $E$9)</f>
        <v>8.0311000000000003</v>
      </c>
      <c r="K192" s="11">
        <f>8.0348 * CHOOSE(CONTROL!$C$32, $C$9, 100%, $E$9)</f>
        <v>8.0348000000000006</v>
      </c>
      <c r="L192" s="11">
        <f>5.0308 * CHOOSE(CONTROL!$C$32, $C$9, 100%, $E$9)</f>
        <v>5.0308000000000002</v>
      </c>
      <c r="M192" s="11">
        <f>5.0344 * CHOOSE(CONTROL!$C$32, $C$9, 100%, $E$9)</f>
        <v>5.0343999999999998</v>
      </c>
      <c r="N192" s="11">
        <f>5.0308 * CHOOSE(CONTROL!$C$32, $C$9, 100%, $E$9)</f>
        <v>5.0308000000000002</v>
      </c>
      <c r="O192" s="11">
        <f>5.0344 * CHOOSE(CONTROL!$C$32, $C$9, 100%, $E$9)</f>
        <v>5.0343999999999998</v>
      </c>
    </row>
    <row r="193" spans="1:15" ht="15" x14ac:dyDescent="0.2">
      <c r="A193" s="13">
        <v>46722</v>
      </c>
      <c r="B193" s="9">
        <f>3.9526 * CHOOSE(CONTROL!$C$32, $C$9, 100%, $E$9)</f>
        <v>3.9525999999999999</v>
      </c>
      <c r="C193" s="9">
        <f>3.9526 * CHOOSE(CONTROL!$C$32, $C$9, 100%, $E$9)</f>
        <v>3.9525999999999999</v>
      </c>
      <c r="D193" s="9">
        <f>3.9537 * CHOOSE(CONTROL!$C$32, $C$9, 100%, $E$9)</f>
        <v>3.9537</v>
      </c>
      <c r="E193" s="11">
        <f>5.0308 * CHOOSE(CONTROL!$C$32, $C$9, 100%, $E$9)</f>
        <v>5.0308000000000002</v>
      </c>
      <c r="F193" s="11">
        <f>5.0308 * CHOOSE(CONTROL!$C$32, $C$9, 100%, $E$9)</f>
        <v>5.0308000000000002</v>
      </c>
      <c r="G193" s="11">
        <f>5.0344 * CHOOSE(CONTROL!$C$32, $C$9, 100%, $E$9)</f>
        <v>5.0343999999999998</v>
      </c>
      <c r="H193" s="11">
        <f>8.0479 * CHOOSE(CONTROL!$C$32, $C$9, 100%, $E$9)</f>
        <v>8.0479000000000003</v>
      </c>
      <c r="I193" s="11">
        <f>8.0515 * CHOOSE(CONTROL!$C$32, $C$9, 100%, $E$9)</f>
        <v>8.0515000000000008</v>
      </c>
      <c r="J193" s="11">
        <f>8.0479 * CHOOSE(CONTROL!$C$32, $C$9, 100%, $E$9)</f>
        <v>8.0479000000000003</v>
      </c>
      <c r="K193" s="11">
        <f>8.0515 * CHOOSE(CONTROL!$C$32, $C$9, 100%, $E$9)</f>
        <v>8.0515000000000008</v>
      </c>
      <c r="L193" s="11">
        <f>5.0308 * CHOOSE(CONTROL!$C$32, $C$9, 100%, $E$9)</f>
        <v>5.0308000000000002</v>
      </c>
      <c r="M193" s="11">
        <f>5.0344 * CHOOSE(CONTROL!$C$32, $C$9, 100%, $E$9)</f>
        <v>5.0343999999999998</v>
      </c>
      <c r="N193" s="11">
        <f>5.0308 * CHOOSE(CONTROL!$C$32, $C$9, 100%, $E$9)</f>
        <v>5.0308000000000002</v>
      </c>
      <c r="O193" s="11">
        <f>5.0344 * CHOOSE(CONTROL!$C$32, $C$9, 100%, $E$9)</f>
        <v>5.0343999999999998</v>
      </c>
    </row>
    <row r="194" spans="1:15" ht="15" x14ac:dyDescent="0.2">
      <c r="A194" s="13">
        <v>46753</v>
      </c>
      <c r="B194" s="9">
        <f>3.9901 * CHOOSE(CONTROL!$C$32, $C$9, 100%, $E$9)</f>
        <v>3.9901</v>
      </c>
      <c r="C194" s="9">
        <f>3.9901 * CHOOSE(CONTROL!$C$32, $C$9, 100%, $E$9)</f>
        <v>3.9901</v>
      </c>
      <c r="D194" s="9">
        <f>3.9912 * CHOOSE(CONTROL!$C$32, $C$9, 100%, $E$9)</f>
        <v>3.9912000000000001</v>
      </c>
      <c r="E194" s="11">
        <f>5.0753 * CHOOSE(CONTROL!$C$32, $C$9, 100%, $E$9)</f>
        <v>5.0753000000000004</v>
      </c>
      <c r="F194" s="11">
        <f>5.0753 * CHOOSE(CONTROL!$C$32, $C$9, 100%, $E$9)</f>
        <v>5.0753000000000004</v>
      </c>
      <c r="G194" s="11">
        <f>5.0789 * CHOOSE(CONTROL!$C$32, $C$9, 100%, $E$9)</f>
        <v>5.0789</v>
      </c>
      <c r="H194" s="11">
        <f>8.0646 * CHOOSE(CONTROL!$C$32, $C$9, 100%, $E$9)</f>
        <v>8.0646000000000004</v>
      </c>
      <c r="I194" s="11">
        <f>8.0683 * CHOOSE(CONTROL!$C$32, $C$9, 100%, $E$9)</f>
        <v>8.0683000000000007</v>
      </c>
      <c r="J194" s="11">
        <f>8.0646 * CHOOSE(CONTROL!$C$32, $C$9, 100%, $E$9)</f>
        <v>8.0646000000000004</v>
      </c>
      <c r="K194" s="11">
        <f>8.0683 * CHOOSE(CONTROL!$C$32, $C$9, 100%, $E$9)</f>
        <v>8.0683000000000007</v>
      </c>
      <c r="L194" s="11">
        <f>5.0753 * CHOOSE(CONTROL!$C$32, $C$9, 100%, $E$9)</f>
        <v>5.0753000000000004</v>
      </c>
      <c r="M194" s="11">
        <f>5.0789 * CHOOSE(CONTROL!$C$32, $C$9, 100%, $E$9)</f>
        <v>5.0789</v>
      </c>
      <c r="N194" s="11">
        <f>5.0753 * CHOOSE(CONTROL!$C$32, $C$9, 100%, $E$9)</f>
        <v>5.0753000000000004</v>
      </c>
      <c r="O194" s="11">
        <f>5.0789 * CHOOSE(CONTROL!$C$32, $C$9, 100%, $E$9)</f>
        <v>5.0789</v>
      </c>
    </row>
    <row r="195" spans="1:15" ht="15" x14ac:dyDescent="0.2">
      <c r="A195" s="13">
        <v>46784</v>
      </c>
      <c r="B195" s="9">
        <f>3.9871 * CHOOSE(CONTROL!$C$32, $C$9, 100%, $E$9)</f>
        <v>3.9870999999999999</v>
      </c>
      <c r="C195" s="9">
        <f>3.9871 * CHOOSE(CONTROL!$C$32, $C$9, 100%, $E$9)</f>
        <v>3.9870999999999999</v>
      </c>
      <c r="D195" s="9">
        <f>3.9882 * CHOOSE(CONTROL!$C$32, $C$9, 100%, $E$9)</f>
        <v>3.9882</v>
      </c>
      <c r="E195" s="11">
        <f>5.0733 * CHOOSE(CONTROL!$C$32, $C$9, 100%, $E$9)</f>
        <v>5.0732999999999997</v>
      </c>
      <c r="F195" s="11">
        <f>5.0733 * CHOOSE(CONTROL!$C$32, $C$9, 100%, $E$9)</f>
        <v>5.0732999999999997</v>
      </c>
      <c r="G195" s="11">
        <f>5.0769 * CHOOSE(CONTROL!$C$32, $C$9, 100%, $E$9)</f>
        <v>5.0769000000000002</v>
      </c>
      <c r="H195" s="11">
        <f>8.0814 * CHOOSE(CONTROL!$C$32, $C$9, 100%, $E$9)</f>
        <v>8.0814000000000004</v>
      </c>
      <c r="I195" s="11">
        <f>8.0851 * CHOOSE(CONTROL!$C$32, $C$9, 100%, $E$9)</f>
        <v>8.0851000000000006</v>
      </c>
      <c r="J195" s="11">
        <f>8.0814 * CHOOSE(CONTROL!$C$32, $C$9, 100%, $E$9)</f>
        <v>8.0814000000000004</v>
      </c>
      <c r="K195" s="11">
        <f>8.0851 * CHOOSE(CONTROL!$C$32, $C$9, 100%, $E$9)</f>
        <v>8.0851000000000006</v>
      </c>
      <c r="L195" s="11">
        <f>5.0733 * CHOOSE(CONTROL!$C$32, $C$9, 100%, $E$9)</f>
        <v>5.0732999999999997</v>
      </c>
      <c r="M195" s="11">
        <f>5.0769 * CHOOSE(CONTROL!$C$32, $C$9, 100%, $E$9)</f>
        <v>5.0769000000000002</v>
      </c>
      <c r="N195" s="11">
        <f>5.0733 * CHOOSE(CONTROL!$C$32, $C$9, 100%, $E$9)</f>
        <v>5.0732999999999997</v>
      </c>
      <c r="O195" s="11">
        <f>5.0769 * CHOOSE(CONTROL!$C$32, $C$9, 100%, $E$9)</f>
        <v>5.0769000000000002</v>
      </c>
    </row>
    <row r="196" spans="1:15" ht="15" x14ac:dyDescent="0.2">
      <c r="A196" s="13">
        <v>46813</v>
      </c>
      <c r="B196" s="9">
        <f>3.984 * CHOOSE(CONTROL!$C$32, $C$9, 100%, $E$9)</f>
        <v>3.984</v>
      </c>
      <c r="C196" s="9">
        <f>3.984 * CHOOSE(CONTROL!$C$32, $C$9, 100%, $E$9)</f>
        <v>3.984</v>
      </c>
      <c r="D196" s="9">
        <f>3.9851 * CHOOSE(CONTROL!$C$32, $C$9, 100%, $E$9)</f>
        <v>3.9851000000000001</v>
      </c>
      <c r="E196" s="11">
        <f>5.0713 * CHOOSE(CONTROL!$C$32, $C$9, 100%, $E$9)</f>
        <v>5.0712999999999999</v>
      </c>
      <c r="F196" s="11">
        <f>5.0713 * CHOOSE(CONTROL!$C$32, $C$9, 100%, $E$9)</f>
        <v>5.0712999999999999</v>
      </c>
      <c r="G196" s="11">
        <f>5.0749 * CHOOSE(CONTROL!$C$32, $C$9, 100%, $E$9)</f>
        <v>5.0749000000000004</v>
      </c>
      <c r="H196" s="11">
        <f>8.0983 * CHOOSE(CONTROL!$C$32, $C$9, 100%, $E$9)</f>
        <v>8.0983000000000001</v>
      </c>
      <c r="I196" s="11">
        <f>8.1019 * CHOOSE(CONTROL!$C$32, $C$9, 100%, $E$9)</f>
        <v>8.1019000000000005</v>
      </c>
      <c r="J196" s="11">
        <f>8.0983 * CHOOSE(CONTROL!$C$32, $C$9, 100%, $E$9)</f>
        <v>8.0983000000000001</v>
      </c>
      <c r="K196" s="11">
        <f>8.1019 * CHOOSE(CONTROL!$C$32, $C$9, 100%, $E$9)</f>
        <v>8.1019000000000005</v>
      </c>
      <c r="L196" s="11">
        <f>5.0713 * CHOOSE(CONTROL!$C$32, $C$9, 100%, $E$9)</f>
        <v>5.0712999999999999</v>
      </c>
      <c r="M196" s="11">
        <f>5.0749 * CHOOSE(CONTROL!$C$32, $C$9, 100%, $E$9)</f>
        <v>5.0749000000000004</v>
      </c>
      <c r="N196" s="11">
        <f>5.0713 * CHOOSE(CONTROL!$C$32, $C$9, 100%, $E$9)</f>
        <v>5.0712999999999999</v>
      </c>
      <c r="O196" s="11">
        <f>5.0749 * CHOOSE(CONTROL!$C$32, $C$9, 100%, $E$9)</f>
        <v>5.0749000000000004</v>
      </c>
    </row>
    <row r="197" spans="1:15" ht="15" x14ac:dyDescent="0.2">
      <c r="A197" s="13">
        <v>46844</v>
      </c>
      <c r="B197" s="9">
        <f>3.9817 * CHOOSE(CONTROL!$C$32, $C$9, 100%, $E$9)</f>
        <v>3.9817</v>
      </c>
      <c r="C197" s="9">
        <f>3.9817 * CHOOSE(CONTROL!$C$32, $C$9, 100%, $E$9)</f>
        <v>3.9817</v>
      </c>
      <c r="D197" s="9">
        <f>3.9828 * CHOOSE(CONTROL!$C$32, $C$9, 100%, $E$9)</f>
        <v>3.9828000000000001</v>
      </c>
      <c r="E197" s="11">
        <f>5.0692 * CHOOSE(CONTROL!$C$32, $C$9, 100%, $E$9)</f>
        <v>5.0692000000000004</v>
      </c>
      <c r="F197" s="11">
        <f>5.0692 * CHOOSE(CONTROL!$C$32, $C$9, 100%, $E$9)</f>
        <v>5.0692000000000004</v>
      </c>
      <c r="G197" s="11">
        <f>5.0728 * CHOOSE(CONTROL!$C$32, $C$9, 100%, $E$9)</f>
        <v>5.0728</v>
      </c>
      <c r="H197" s="11">
        <f>8.1152 * CHOOSE(CONTROL!$C$32, $C$9, 100%, $E$9)</f>
        <v>8.1151999999999997</v>
      </c>
      <c r="I197" s="11">
        <f>8.1188 * CHOOSE(CONTROL!$C$32, $C$9, 100%, $E$9)</f>
        <v>8.1188000000000002</v>
      </c>
      <c r="J197" s="11">
        <f>8.1152 * CHOOSE(CONTROL!$C$32, $C$9, 100%, $E$9)</f>
        <v>8.1151999999999997</v>
      </c>
      <c r="K197" s="11">
        <f>8.1188 * CHOOSE(CONTROL!$C$32, $C$9, 100%, $E$9)</f>
        <v>8.1188000000000002</v>
      </c>
      <c r="L197" s="11">
        <f>5.0692 * CHOOSE(CONTROL!$C$32, $C$9, 100%, $E$9)</f>
        <v>5.0692000000000004</v>
      </c>
      <c r="M197" s="11">
        <f>5.0728 * CHOOSE(CONTROL!$C$32, $C$9, 100%, $E$9)</f>
        <v>5.0728</v>
      </c>
      <c r="N197" s="11">
        <f>5.0692 * CHOOSE(CONTROL!$C$32, $C$9, 100%, $E$9)</f>
        <v>5.0692000000000004</v>
      </c>
      <c r="O197" s="11">
        <f>5.0728 * CHOOSE(CONTROL!$C$32, $C$9, 100%, $E$9)</f>
        <v>5.0728</v>
      </c>
    </row>
    <row r="198" spans="1:15" ht="15" x14ac:dyDescent="0.2">
      <c r="A198" s="13">
        <v>46874</v>
      </c>
      <c r="B198" s="9">
        <f>3.9817 * CHOOSE(CONTROL!$C$32, $C$9, 100%, $E$9)</f>
        <v>3.9817</v>
      </c>
      <c r="C198" s="9">
        <f>3.9817 * CHOOSE(CONTROL!$C$32, $C$9, 100%, $E$9)</f>
        <v>3.9817</v>
      </c>
      <c r="D198" s="9">
        <f>3.9833 * CHOOSE(CONTROL!$C$32, $C$9, 100%, $E$9)</f>
        <v>3.9832999999999998</v>
      </c>
      <c r="E198" s="11">
        <f>5.0692 * CHOOSE(CONTROL!$C$32, $C$9, 100%, $E$9)</f>
        <v>5.0692000000000004</v>
      </c>
      <c r="F198" s="11">
        <f>5.0692 * CHOOSE(CONTROL!$C$32, $C$9, 100%, $E$9)</f>
        <v>5.0692000000000004</v>
      </c>
      <c r="G198" s="11">
        <f>5.0745 * CHOOSE(CONTROL!$C$32, $C$9, 100%, $E$9)</f>
        <v>5.0744999999999996</v>
      </c>
      <c r="H198" s="11">
        <f>8.1321 * CHOOSE(CONTROL!$C$32, $C$9, 100%, $E$9)</f>
        <v>8.1320999999999994</v>
      </c>
      <c r="I198" s="11">
        <f>8.1374 * CHOOSE(CONTROL!$C$32, $C$9, 100%, $E$9)</f>
        <v>8.1373999999999995</v>
      </c>
      <c r="J198" s="11">
        <f>8.1321 * CHOOSE(CONTROL!$C$32, $C$9, 100%, $E$9)</f>
        <v>8.1320999999999994</v>
      </c>
      <c r="K198" s="11">
        <f>8.1374 * CHOOSE(CONTROL!$C$32, $C$9, 100%, $E$9)</f>
        <v>8.1373999999999995</v>
      </c>
      <c r="L198" s="11">
        <f>5.0692 * CHOOSE(CONTROL!$C$32, $C$9, 100%, $E$9)</f>
        <v>5.0692000000000004</v>
      </c>
      <c r="M198" s="11">
        <f>5.0745 * CHOOSE(CONTROL!$C$32, $C$9, 100%, $E$9)</f>
        <v>5.0744999999999996</v>
      </c>
      <c r="N198" s="11">
        <f>5.0692 * CHOOSE(CONTROL!$C$32, $C$9, 100%, $E$9)</f>
        <v>5.0692000000000004</v>
      </c>
      <c r="O198" s="11">
        <f>5.0745 * CHOOSE(CONTROL!$C$32, $C$9, 100%, $E$9)</f>
        <v>5.0744999999999996</v>
      </c>
    </row>
    <row r="199" spans="1:15" ht="15" x14ac:dyDescent="0.2">
      <c r="A199" s="13">
        <v>46905</v>
      </c>
      <c r="B199" s="9">
        <f>3.9878 * CHOOSE(CONTROL!$C$32, $C$9, 100%, $E$9)</f>
        <v>3.9878</v>
      </c>
      <c r="C199" s="9">
        <f>3.9878 * CHOOSE(CONTROL!$C$32, $C$9, 100%, $E$9)</f>
        <v>3.9878</v>
      </c>
      <c r="D199" s="9">
        <f>3.9893 * CHOOSE(CONTROL!$C$32, $C$9, 100%, $E$9)</f>
        <v>3.9893000000000001</v>
      </c>
      <c r="E199" s="11">
        <f>5.0732 * CHOOSE(CONTROL!$C$32, $C$9, 100%, $E$9)</f>
        <v>5.0731999999999999</v>
      </c>
      <c r="F199" s="11">
        <f>5.0732 * CHOOSE(CONTROL!$C$32, $C$9, 100%, $E$9)</f>
        <v>5.0731999999999999</v>
      </c>
      <c r="G199" s="11">
        <f>5.0785 * CHOOSE(CONTROL!$C$32, $C$9, 100%, $E$9)</f>
        <v>5.0785</v>
      </c>
      <c r="H199" s="11">
        <f>8.149 * CHOOSE(CONTROL!$C$32, $C$9, 100%, $E$9)</f>
        <v>8.1489999999999991</v>
      </c>
      <c r="I199" s="11">
        <f>8.1543 * CHOOSE(CONTROL!$C$32, $C$9, 100%, $E$9)</f>
        <v>8.1542999999999992</v>
      </c>
      <c r="J199" s="11">
        <f>8.149 * CHOOSE(CONTROL!$C$32, $C$9, 100%, $E$9)</f>
        <v>8.1489999999999991</v>
      </c>
      <c r="K199" s="11">
        <f>8.1543 * CHOOSE(CONTROL!$C$32, $C$9, 100%, $E$9)</f>
        <v>8.1542999999999992</v>
      </c>
      <c r="L199" s="11">
        <f>5.0732 * CHOOSE(CONTROL!$C$32, $C$9, 100%, $E$9)</f>
        <v>5.0731999999999999</v>
      </c>
      <c r="M199" s="11">
        <f>5.0785 * CHOOSE(CONTROL!$C$32, $C$9, 100%, $E$9)</f>
        <v>5.0785</v>
      </c>
      <c r="N199" s="11">
        <f>5.0732 * CHOOSE(CONTROL!$C$32, $C$9, 100%, $E$9)</f>
        <v>5.0731999999999999</v>
      </c>
      <c r="O199" s="11">
        <f>5.0785 * CHOOSE(CONTROL!$C$32, $C$9, 100%, $E$9)</f>
        <v>5.0785</v>
      </c>
    </row>
    <row r="200" spans="1:15" ht="15" x14ac:dyDescent="0.2">
      <c r="A200" s="13">
        <v>46935</v>
      </c>
      <c r="B200" s="9">
        <f>4.0588 * CHOOSE(CONTROL!$C$32, $C$9, 100%, $E$9)</f>
        <v>4.0587999999999997</v>
      </c>
      <c r="C200" s="9">
        <f>4.0588 * CHOOSE(CONTROL!$C$32, $C$9, 100%, $E$9)</f>
        <v>4.0587999999999997</v>
      </c>
      <c r="D200" s="9">
        <f>4.0603 * CHOOSE(CONTROL!$C$32, $C$9, 100%, $E$9)</f>
        <v>4.0602999999999998</v>
      </c>
      <c r="E200" s="11">
        <f>5.1714 * CHOOSE(CONTROL!$C$32, $C$9, 100%, $E$9)</f>
        <v>5.1714000000000002</v>
      </c>
      <c r="F200" s="11">
        <f>5.1714 * CHOOSE(CONTROL!$C$32, $C$9, 100%, $E$9)</f>
        <v>5.1714000000000002</v>
      </c>
      <c r="G200" s="11">
        <f>5.1767 * CHOOSE(CONTROL!$C$32, $C$9, 100%, $E$9)</f>
        <v>5.1767000000000003</v>
      </c>
      <c r="H200" s="11">
        <f>8.166 * CHOOSE(CONTROL!$C$32, $C$9, 100%, $E$9)</f>
        <v>8.1660000000000004</v>
      </c>
      <c r="I200" s="11">
        <f>8.1713 * CHOOSE(CONTROL!$C$32, $C$9, 100%, $E$9)</f>
        <v>8.1713000000000005</v>
      </c>
      <c r="J200" s="11">
        <f>8.166 * CHOOSE(CONTROL!$C$32, $C$9, 100%, $E$9)</f>
        <v>8.1660000000000004</v>
      </c>
      <c r="K200" s="11">
        <f>8.1713 * CHOOSE(CONTROL!$C$32, $C$9, 100%, $E$9)</f>
        <v>8.1713000000000005</v>
      </c>
      <c r="L200" s="11">
        <f>5.1714 * CHOOSE(CONTROL!$C$32, $C$9, 100%, $E$9)</f>
        <v>5.1714000000000002</v>
      </c>
      <c r="M200" s="11">
        <f>5.1767 * CHOOSE(CONTROL!$C$32, $C$9, 100%, $E$9)</f>
        <v>5.1767000000000003</v>
      </c>
      <c r="N200" s="11">
        <f>5.1714 * CHOOSE(CONTROL!$C$32, $C$9, 100%, $E$9)</f>
        <v>5.1714000000000002</v>
      </c>
      <c r="O200" s="11">
        <f>5.1767 * CHOOSE(CONTROL!$C$32, $C$9, 100%, $E$9)</f>
        <v>5.1767000000000003</v>
      </c>
    </row>
    <row r="201" spans="1:15" ht="15" x14ac:dyDescent="0.2">
      <c r="A201" s="13">
        <v>46966</v>
      </c>
      <c r="B201" s="9">
        <f>4.0654 * CHOOSE(CONTROL!$C$32, $C$9, 100%, $E$9)</f>
        <v>4.0654000000000003</v>
      </c>
      <c r="C201" s="9">
        <f>4.0654 * CHOOSE(CONTROL!$C$32, $C$9, 100%, $E$9)</f>
        <v>4.0654000000000003</v>
      </c>
      <c r="D201" s="9">
        <f>4.067 * CHOOSE(CONTROL!$C$32, $C$9, 100%, $E$9)</f>
        <v>4.0670000000000002</v>
      </c>
      <c r="E201" s="11">
        <f>5.1758 * CHOOSE(CONTROL!$C$32, $C$9, 100%, $E$9)</f>
        <v>5.1757999999999997</v>
      </c>
      <c r="F201" s="11">
        <f>5.1758 * CHOOSE(CONTROL!$C$32, $C$9, 100%, $E$9)</f>
        <v>5.1757999999999997</v>
      </c>
      <c r="G201" s="11">
        <f>5.1811 * CHOOSE(CONTROL!$C$32, $C$9, 100%, $E$9)</f>
        <v>5.1810999999999998</v>
      </c>
      <c r="H201" s="11">
        <f>8.183 * CHOOSE(CONTROL!$C$32, $C$9, 100%, $E$9)</f>
        <v>8.1829999999999998</v>
      </c>
      <c r="I201" s="11">
        <f>8.1883 * CHOOSE(CONTROL!$C$32, $C$9, 100%, $E$9)</f>
        <v>8.1882999999999999</v>
      </c>
      <c r="J201" s="11">
        <f>8.183 * CHOOSE(CONTROL!$C$32, $C$9, 100%, $E$9)</f>
        <v>8.1829999999999998</v>
      </c>
      <c r="K201" s="11">
        <f>8.1883 * CHOOSE(CONTROL!$C$32, $C$9, 100%, $E$9)</f>
        <v>8.1882999999999999</v>
      </c>
      <c r="L201" s="11">
        <f>5.1758 * CHOOSE(CONTROL!$C$32, $C$9, 100%, $E$9)</f>
        <v>5.1757999999999997</v>
      </c>
      <c r="M201" s="11">
        <f>5.1811 * CHOOSE(CONTROL!$C$32, $C$9, 100%, $E$9)</f>
        <v>5.1810999999999998</v>
      </c>
      <c r="N201" s="11">
        <f>5.1758 * CHOOSE(CONTROL!$C$32, $C$9, 100%, $E$9)</f>
        <v>5.1757999999999997</v>
      </c>
      <c r="O201" s="11">
        <f>5.1811 * CHOOSE(CONTROL!$C$32, $C$9, 100%, $E$9)</f>
        <v>5.1810999999999998</v>
      </c>
    </row>
    <row r="202" spans="1:15" ht="15" x14ac:dyDescent="0.2">
      <c r="A202" s="13">
        <v>46997</v>
      </c>
      <c r="B202" s="9">
        <f>4.0624 * CHOOSE(CONTROL!$C$32, $C$9, 100%, $E$9)</f>
        <v>4.0624000000000002</v>
      </c>
      <c r="C202" s="9">
        <f>4.0624 * CHOOSE(CONTROL!$C$32, $C$9, 100%, $E$9)</f>
        <v>4.0624000000000002</v>
      </c>
      <c r="D202" s="9">
        <f>4.064 * CHOOSE(CONTROL!$C$32, $C$9, 100%, $E$9)</f>
        <v>4.0640000000000001</v>
      </c>
      <c r="E202" s="11">
        <f>5.1738 * CHOOSE(CONTROL!$C$32, $C$9, 100%, $E$9)</f>
        <v>5.1738</v>
      </c>
      <c r="F202" s="11">
        <f>5.1738 * CHOOSE(CONTROL!$C$32, $C$9, 100%, $E$9)</f>
        <v>5.1738</v>
      </c>
      <c r="G202" s="11">
        <f>5.1791 * CHOOSE(CONTROL!$C$32, $C$9, 100%, $E$9)</f>
        <v>5.1791</v>
      </c>
      <c r="H202" s="11">
        <f>8.2 * CHOOSE(CONTROL!$C$32, $C$9, 100%, $E$9)</f>
        <v>8.1999999999999993</v>
      </c>
      <c r="I202" s="11">
        <f>8.2053 * CHOOSE(CONTROL!$C$32, $C$9, 100%, $E$9)</f>
        <v>8.2052999999999994</v>
      </c>
      <c r="J202" s="11">
        <f>8.2 * CHOOSE(CONTROL!$C$32, $C$9, 100%, $E$9)</f>
        <v>8.1999999999999993</v>
      </c>
      <c r="K202" s="11">
        <f>8.2053 * CHOOSE(CONTROL!$C$32, $C$9, 100%, $E$9)</f>
        <v>8.2052999999999994</v>
      </c>
      <c r="L202" s="11">
        <f>5.1738 * CHOOSE(CONTROL!$C$32, $C$9, 100%, $E$9)</f>
        <v>5.1738</v>
      </c>
      <c r="M202" s="11">
        <f>5.1791 * CHOOSE(CONTROL!$C$32, $C$9, 100%, $E$9)</f>
        <v>5.1791</v>
      </c>
      <c r="N202" s="11">
        <f>5.1738 * CHOOSE(CONTROL!$C$32, $C$9, 100%, $E$9)</f>
        <v>5.1738</v>
      </c>
      <c r="O202" s="11">
        <f>5.1791 * CHOOSE(CONTROL!$C$32, $C$9, 100%, $E$9)</f>
        <v>5.1791</v>
      </c>
    </row>
    <row r="203" spans="1:15" ht="15" x14ac:dyDescent="0.2">
      <c r="A203" s="13">
        <v>47027</v>
      </c>
      <c r="B203" s="9">
        <f>4.0577 * CHOOSE(CONTROL!$C$32, $C$9, 100%, $E$9)</f>
        <v>4.0576999999999996</v>
      </c>
      <c r="C203" s="9">
        <f>4.0577 * CHOOSE(CONTROL!$C$32, $C$9, 100%, $E$9)</f>
        <v>4.0576999999999996</v>
      </c>
      <c r="D203" s="9">
        <f>4.0588 * CHOOSE(CONTROL!$C$32, $C$9, 100%, $E$9)</f>
        <v>4.0587999999999997</v>
      </c>
      <c r="E203" s="11">
        <f>5.1686 * CHOOSE(CONTROL!$C$32, $C$9, 100%, $E$9)</f>
        <v>5.1685999999999996</v>
      </c>
      <c r="F203" s="11">
        <f>5.1686 * CHOOSE(CONTROL!$C$32, $C$9, 100%, $E$9)</f>
        <v>5.1685999999999996</v>
      </c>
      <c r="G203" s="11">
        <f>5.1722 * CHOOSE(CONTROL!$C$32, $C$9, 100%, $E$9)</f>
        <v>5.1722000000000001</v>
      </c>
      <c r="H203" s="11">
        <f>8.2171 * CHOOSE(CONTROL!$C$32, $C$9, 100%, $E$9)</f>
        <v>8.2171000000000003</v>
      </c>
      <c r="I203" s="11">
        <f>8.2207 * CHOOSE(CONTROL!$C$32, $C$9, 100%, $E$9)</f>
        <v>8.2207000000000008</v>
      </c>
      <c r="J203" s="11">
        <f>8.2171 * CHOOSE(CONTROL!$C$32, $C$9, 100%, $E$9)</f>
        <v>8.2171000000000003</v>
      </c>
      <c r="K203" s="11">
        <f>8.2207 * CHOOSE(CONTROL!$C$32, $C$9, 100%, $E$9)</f>
        <v>8.2207000000000008</v>
      </c>
      <c r="L203" s="11">
        <f>5.1686 * CHOOSE(CONTROL!$C$32, $C$9, 100%, $E$9)</f>
        <v>5.1685999999999996</v>
      </c>
      <c r="M203" s="11">
        <f>5.1722 * CHOOSE(CONTROL!$C$32, $C$9, 100%, $E$9)</f>
        <v>5.1722000000000001</v>
      </c>
      <c r="N203" s="11">
        <f>5.1686 * CHOOSE(CONTROL!$C$32, $C$9, 100%, $E$9)</f>
        <v>5.1685999999999996</v>
      </c>
      <c r="O203" s="11">
        <f>5.1722 * CHOOSE(CONTROL!$C$32, $C$9, 100%, $E$9)</f>
        <v>5.1722000000000001</v>
      </c>
    </row>
    <row r="204" spans="1:15" ht="15" x14ac:dyDescent="0.2">
      <c r="A204" s="13">
        <v>47058</v>
      </c>
      <c r="B204" s="9">
        <f>4.0607 * CHOOSE(CONTROL!$C$32, $C$9, 100%, $E$9)</f>
        <v>4.0606999999999998</v>
      </c>
      <c r="C204" s="9">
        <f>4.0607 * CHOOSE(CONTROL!$C$32, $C$9, 100%, $E$9)</f>
        <v>4.0606999999999998</v>
      </c>
      <c r="D204" s="9">
        <f>4.0618 * CHOOSE(CONTROL!$C$32, $C$9, 100%, $E$9)</f>
        <v>4.0617999999999999</v>
      </c>
      <c r="E204" s="11">
        <f>5.1706 * CHOOSE(CONTROL!$C$32, $C$9, 100%, $E$9)</f>
        <v>5.1706000000000003</v>
      </c>
      <c r="F204" s="11">
        <f>5.1706 * CHOOSE(CONTROL!$C$32, $C$9, 100%, $E$9)</f>
        <v>5.1706000000000003</v>
      </c>
      <c r="G204" s="11">
        <f>5.1742 * CHOOSE(CONTROL!$C$32, $C$9, 100%, $E$9)</f>
        <v>5.1741999999999999</v>
      </c>
      <c r="H204" s="11">
        <f>8.2342 * CHOOSE(CONTROL!$C$32, $C$9, 100%, $E$9)</f>
        <v>8.2341999999999995</v>
      </c>
      <c r="I204" s="11">
        <f>8.2379 * CHOOSE(CONTROL!$C$32, $C$9, 100%, $E$9)</f>
        <v>8.2378999999999998</v>
      </c>
      <c r="J204" s="11">
        <f>8.2342 * CHOOSE(CONTROL!$C$32, $C$9, 100%, $E$9)</f>
        <v>8.2341999999999995</v>
      </c>
      <c r="K204" s="11">
        <f>8.2379 * CHOOSE(CONTROL!$C$32, $C$9, 100%, $E$9)</f>
        <v>8.2378999999999998</v>
      </c>
      <c r="L204" s="11">
        <f>5.1706 * CHOOSE(CONTROL!$C$32, $C$9, 100%, $E$9)</f>
        <v>5.1706000000000003</v>
      </c>
      <c r="M204" s="11">
        <f>5.1742 * CHOOSE(CONTROL!$C$32, $C$9, 100%, $E$9)</f>
        <v>5.1741999999999999</v>
      </c>
      <c r="N204" s="11">
        <f>5.1706 * CHOOSE(CONTROL!$C$32, $C$9, 100%, $E$9)</f>
        <v>5.1706000000000003</v>
      </c>
      <c r="O204" s="11">
        <f>5.1742 * CHOOSE(CONTROL!$C$32, $C$9, 100%, $E$9)</f>
        <v>5.1741999999999999</v>
      </c>
    </row>
    <row r="205" spans="1:15" ht="15" x14ac:dyDescent="0.2">
      <c r="A205" s="13">
        <v>47088</v>
      </c>
      <c r="B205" s="9">
        <f>4.0607 * CHOOSE(CONTROL!$C$32, $C$9, 100%, $E$9)</f>
        <v>4.0606999999999998</v>
      </c>
      <c r="C205" s="9">
        <f>4.0607 * CHOOSE(CONTROL!$C$32, $C$9, 100%, $E$9)</f>
        <v>4.0606999999999998</v>
      </c>
      <c r="D205" s="9">
        <f>4.0618 * CHOOSE(CONTROL!$C$32, $C$9, 100%, $E$9)</f>
        <v>4.0617999999999999</v>
      </c>
      <c r="E205" s="11">
        <f>5.1706 * CHOOSE(CONTROL!$C$32, $C$9, 100%, $E$9)</f>
        <v>5.1706000000000003</v>
      </c>
      <c r="F205" s="11">
        <f>5.1706 * CHOOSE(CONTROL!$C$32, $C$9, 100%, $E$9)</f>
        <v>5.1706000000000003</v>
      </c>
      <c r="G205" s="11">
        <f>5.1742 * CHOOSE(CONTROL!$C$32, $C$9, 100%, $E$9)</f>
        <v>5.1741999999999999</v>
      </c>
      <c r="H205" s="11">
        <f>8.2514 * CHOOSE(CONTROL!$C$32, $C$9, 100%, $E$9)</f>
        <v>8.2514000000000003</v>
      </c>
      <c r="I205" s="11">
        <f>8.255 * CHOOSE(CONTROL!$C$32, $C$9, 100%, $E$9)</f>
        <v>8.2550000000000008</v>
      </c>
      <c r="J205" s="11">
        <f>8.2514 * CHOOSE(CONTROL!$C$32, $C$9, 100%, $E$9)</f>
        <v>8.2514000000000003</v>
      </c>
      <c r="K205" s="11">
        <f>8.255 * CHOOSE(CONTROL!$C$32, $C$9, 100%, $E$9)</f>
        <v>8.2550000000000008</v>
      </c>
      <c r="L205" s="11">
        <f>5.1706 * CHOOSE(CONTROL!$C$32, $C$9, 100%, $E$9)</f>
        <v>5.1706000000000003</v>
      </c>
      <c r="M205" s="11">
        <f>5.1742 * CHOOSE(CONTROL!$C$32, $C$9, 100%, $E$9)</f>
        <v>5.1741999999999999</v>
      </c>
      <c r="N205" s="11">
        <f>5.1706 * CHOOSE(CONTROL!$C$32, $C$9, 100%, $E$9)</f>
        <v>5.1706000000000003</v>
      </c>
      <c r="O205" s="11">
        <f>5.1742 * CHOOSE(CONTROL!$C$32, $C$9, 100%, $E$9)</f>
        <v>5.1741999999999999</v>
      </c>
    </row>
    <row r="206" spans="1:15" ht="15" x14ac:dyDescent="0.2">
      <c r="A206" s="13">
        <v>47119</v>
      </c>
      <c r="B206" s="9">
        <f>4.0932 * CHOOSE(CONTROL!$C$32, $C$9, 100%, $E$9)</f>
        <v>4.0932000000000004</v>
      </c>
      <c r="C206" s="9">
        <f>4.0932 * CHOOSE(CONTROL!$C$32, $C$9, 100%, $E$9)</f>
        <v>4.0932000000000004</v>
      </c>
      <c r="D206" s="9">
        <f>4.0943 * CHOOSE(CONTROL!$C$32, $C$9, 100%, $E$9)</f>
        <v>4.0942999999999996</v>
      </c>
      <c r="E206" s="11">
        <f>5.2103 * CHOOSE(CONTROL!$C$32, $C$9, 100%, $E$9)</f>
        <v>5.2103000000000002</v>
      </c>
      <c r="F206" s="11">
        <f>5.2103 * CHOOSE(CONTROL!$C$32, $C$9, 100%, $E$9)</f>
        <v>5.2103000000000002</v>
      </c>
      <c r="G206" s="11">
        <f>5.2139 * CHOOSE(CONTROL!$C$32, $C$9, 100%, $E$9)</f>
        <v>5.2138999999999998</v>
      </c>
      <c r="H206" s="11">
        <f>8.2686 * CHOOSE(CONTROL!$C$32, $C$9, 100%, $E$9)</f>
        <v>8.2685999999999993</v>
      </c>
      <c r="I206" s="11">
        <f>8.2722 * CHOOSE(CONTROL!$C$32, $C$9, 100%, $E$9)</f>
        <v>8.2721999999999998</v>
      </c>
      <c r="J206" s="11">
        <f>8.2686 * CHOOSE(CONTROL!$C$32, $C$9, 100%, $E$9)</f>
        <v>8.2685999999999993</v>
      </c>
      <c r="K206" s="11">
        <f>8.2722 * CHOOSE(CONTROL!$C$32, $C$9, 100%, $E$9)</f>
        <v>8.2721999999999998</v>
      </c>
      <c r="L206" s="11">
        <f>5.2103 * CHOOSE(CONTROL!$C$32, $C$9, 100%, $E$9)</f>
        <v>5.2103000000000002</v>
      </c>
      <c r="M206" s="11">
        <f>5.2139 * CHOOSE(CONTROL!$C$32, $C$9, 100%, $E$9)</f>
        <v>5.2138999999999998</v>
      </c>
      <c r="N206" s="11">
        <f>5.2103 * CHOOSE(CONTROL!$C$32, $C$9, 100%, $E$9)</f>
        <v>5.2103000000000002</v>
      </c>
      <c r="O206" s="11">
        <f>5.2139 * CHOOSE(CONTROL!$C$32, $C$9, 100%, $E$9)</f>
        <v>5.2138999999999998</v>
      </c>
    </row>
    <row r="207" spans="1:15" ht="15" x14ac:dyDescent="0.2">
      <c r="A207" s="13">
        <v>47150</v>
      </c>
      <c r="B207" s="9">
        <f>4.0902 * CHOOSE(CONTROL!$C$32, $C$9, 100%, $E$9)</f>
        <v>4.0902000000000003</v>
      </c>
      <c r="C207" s="9">
        <f>4.0902 * CHOOSE(CONTROL!$C$32, $C$9, 100%, $E$9)</f>
        <v>4.0902000000000003</v>
      </c>
      <c r="D207" s="9">
        <f>4.0913 * CHOOSE(CONTROL!$C$32, $C$9, 100%, $E$9)</f>
        <v>4.0913000000000004</v>
      </c>
      <c r="E207" s="11">
        <f>5.2083 * CHOOSE(CONTROL!$C$32, $C$9, 100%, $E$9)</f>
        <v>5.2083000000000004</v>
      </c>
      <c r="F207" s="11">
        <f>5.2083 * CHOOSE(CONTROL!$C$32, $C$9, 100%, $E$9)</f>
        <v>5.2083000000000004</v>
      </c>
      <c r="G207" s="11">
        <f>5.2119 * CHOOSE(CONTROL!$C$32, $C$9, 100%, $E$9)</f>
        <v>5.2119</v>
      </c>
      <c r="H207" s="11">
        <f>8.2858 * CHOOSE(CONTROL!$C$32, $C$9, 100%, $E$9)</f>
        <v>8.2858000000000001</v>
      </c>
      <c r="I207" s="11">
        <f>8.2894 * CHOOSE(CONTROL!$C$32, $C$9, 100%, $E$9)</f>
        <v>8.2894000000000005</v>
      </c>
      <c r="J207" s="11">
        <f>8.2858 * CHOOSE(CONTROL!$C$32, $C$9, 100%, $E$9)</f>
        <v>8.2858000000000001</v>
      </c>
      <c r="K207" s="11">
        <f>8.2894 * CHOOSE(CONTROL!$C$32, $C$9, 100%, $E$9)</f>
        <v>8.2894000000000005</v>
      </c>
      <c r="L207" s="11">
        <f>5.2083 * CHOOSE(CONTROL!$C$32, $C$9, 100%, $E$9)</f>
        <v>5.2083000000000004</v>
      </c>
      <c r="M207" s="11">
        <f>5.2119 * CHOOSE(CONTROL!$C$32, $C$9, 100%, $E$9)</f>
        <v>5.2119</v>
      </c>
      <c r="N207" s="11">
        <f>5.2083 * CHOOSE(CONTROL!$C$32, $C$9, 100%, $E$9)</f>
        <v>5.2083000000000004</v>
      </c>
      <c r="O207" s="11">
        <f>5.2119 * CHOOSE(CONTROL!$C$32, $C$9, 100%, $E$9)</f>
        <v>5.2119</v>
      </c>
    </row>
    <row r="208" spans="1:15" ht="15" x14ac:dyDescent="0.2">
      <c r="A208" s="13">
        <v>47178</v>
      </c>
      <c r="B208" s="9">
        <f>4.0872 * CHOOSE(CONTROL!$C$32, $C$9, 100%, $E$9)</f>
        <v>4.0872000000000002</v>
      </c>
      <c r="C208" s="9">
        <f>4.0872 * CHOOSE(CONTROL!$C$32, $C$9, 100%, $E$9)</f>
        <v>4.0872000000000002</v>
      </c>
      <c r="D208" s="9">
        <f>4.0882 * CHOOSE(CONTROL!$C$32, $C$9, 100%, $E$9)</f>
        <v>4.0881999999999996</v>
      </c>
      <c r="E208" s="11">
        <f>5.2063 * CHOOSE(CONTROL!$C$32, $C$9, 100%, $E$9)</f>
        <v>5.2062999999999997</v>
      </c>
      <c r="F208" s="11">
        <f>5.2063 * CHOOSE(CONTROL!$C$32, $C$9, 100%, $E$9)</f>
        <v>5.2062999999999997</v>
      </c>
      <c r="G208" s="11">
        <f>5.2099 * CHOOSE(CONTROL!$C$32, $C$9, 100%, $E$9)</f>
        <v>5.2099000000000002</v>
      </c>
      <c r="H208" s="11">
        <f>8.3031 * CHOOSE(CONTROL!$C$32, $C$9, 100%, $E$9)</f>
        <v>8.3031000000000006</v>
      </c>
      <c r="I208" s="11">
        <f>8.3067 * CHOOSE(CONTROL!$C$32, $C$9, 100%, $E$9)</f>
        <v>8.3066999999999993</v>
      </c>
      <c r="J208" s="11">
        <f>8.3031 * CHOOSE(CONTROL!$C$32, $C$9, 100%, $E$9)</f>
        <v>8.3031000000000006</v>
      </c>
      <c r="K208" s="11">
        <f>8.3067 * CHOOSE(CONTROL!$C$32, $C$9, 100%, $E$9)</f>
        <v>8.3066999999999993</v>
      </c>
      <c r="L208" s="11">
        <f>5.2063 * CHOOSE(CONTROL!$C$32, $C$9, 100%, $E$9)</f>
        <v>5.2062999999999997</v>
      </c>
      <c r="M208" s="11">
        <f>5.2099 * CHOOSE(CONTROL!$C$32, $C$9, 100%, $E$9)</f>
        <v>5.2099000000000002</v>
      </c>
      <c r="N208" s="11">
        <f>5.2063 * CHOOSE(CONTROL!$C$32, $C$9, 100%, $E$9)</f>
        <v>5.2062999999999997</v>
      </c>
      <c r="O208" s="11">
        <f>5.2099 * CHOOSE(CONTROL!$C$32, $C$9, 100%, $E$9)</f>
        <v>5.2099000000000002</v>
      </c>
    </row>
    <row r="209" spans="1:15" ht="15" x14ac:dyDescent="0.2">
      <c r="A209" s="13">
        <v>47209</v>
      </c>
      <c r="B209" s="9">
        <f>4.0849 * CHOOSE(CONTROL!$C$32, $C$9, 100%, $E$9)</f>
        <v>4.0849000000000002</v>
      </c>
      <c r="C209" s="9">
        <f>4.0849 * CHOOSE(CONTROL!$C$32, $C$9, 100%, $E$9)</f>
        <v>4.0849000000000002</v>
      </c>
      <c r="D209" s="9">
        <f>4.086 * CHOOSE(CONTROL!$C$32, $C$9, 100%, $E$9)</f>
        <v>4.0860000000000003</v>
      </c>
      <c r="E209" s="11">
        <f>5.2043 * CHOOSE(CONTROL!$C$32, $C$9, 100%, $E$9)</f>
        <v>5.2042999999999999</v>
      </c>
      <c r="F209" s="11">
        <f>5.2043 * CHOOSE(CONTROL!$C$32, $C$9, 100%, $E$9)</f>
        <v>5.2042999999999999</v>
      </c>
      <c r="G209" s="11">
        <f>5.2079 * CHOOSE(CONTROL!$C$32, $C$9, 100%, $E$9)</f>
        <v>5.2079000000000004</v>
      </c>
      <c r="H209" s="11">
        <f>8.3204 * CHOOSE(CONTROL!$C$32, $C$9, 100%, $E$9)</f>
        <v>8.3203999999999994</v>
      </c>
      <c r="I209" s="11">
        <f>8.324 * CHOOSE(CONTROL!$C$32, $C$9, 100%, $E$9)</f>
        <v>8.3239999999999998</v>
      </c>
      <c r="J209" s="11">
        <f>8.3204 * CHOOSE(CONTROL!$C$32, $C$9, 100%, $E$9)</f>
        <v>8.3203999999999994</v>
      </c>
      <c r="K209" s="11">
        <f>8.324 * CHOOSE(CONTROL!$C$32, $C$9, 100%, $E$9)</f>
        <v>8.3239999999999998</v>
      </c>
      <c r="L209" s="11">
        <f>5.2043 * CHOOSE(CONTROL!$C$32, $C$9, 100%, $E$9)</f>
        <v>5.2042999999999999</v>
      </c>
      <c r="M209" s="11">
        <f>5.2079 * CHOOSE(CONTROL!$C$32, $C$9, 100%, $E$9)</f>
        <v>5.2079000000000004</v>
      </c>
      <c r="N209" s="11">
        <f>5.2043 * CHOOSE(CONTROL!$C$32, $C$9, 100%, $E$9)</f>
        <v>5.2042999999999999</v>
      </c>
      <c r="O209" s="11">
        <f>5.2079 * CHOOSE(CONTROL!$C$32, $C$9, 100%, $E$9)</f>
        <v>5.2079000000000004</v>
      </c>
    </row>
    <row r="210" spans="1:15" ht="15" x14ac:dyDescent="0.2">
      <c r="A210" s="13">
        <v>47239</v>
      </c>
      <c r="B210" s="9">
        <f>4.0849 * CHOOSE(CONTROL!$C$32, $C$9, 100%, $E$9)</f>
        <v>4.0849000000000002</v>
      </c>
      <c r="C210" s="9">
        <f>4.0849 * CHOOSE(CONTROL!$C$32, $C$9, 100%, $E$9)</f>
        <v>4.0849000000000002</v>
      </c>
      <c r="D210" s="9">
        <f>4.0865 * CHOOSE(CONTROL!$C$32, $C$9, 100%, $E$9)</f>
        <v>4.0865</v>
      </c>
      <c r="E210" s="11">
        <f>5.2043 * CHOOSE(CONTROL!$C$32, $C$9, 100%, $E$9)</f>
        <v>5.2042999999999999</v>
      </c>
      <c r="F210" s="11">
        <f>5.2043 * CHOOSE(CONTROL!$C$32, $C$9, 100%, $E$9)</f>
        <v>5.2042999999999999</v>
      </c>
      <c r="G210" s="11">
        <f>5.2096 * CHOOSE(CONTROL!$C$32, $C$9, 100%, $E$9)</f>
        <v>5.2096</v>
      </c>
      <c r="H210" s="11">
        <f>8.3377 * CHOOSE(CONTROL!$C$32, $C$9, 100%, $E$9)</f>
        <v>8.3376999999999999</v>
      </c>
      <c r="I210" s="11">
        <f>8.343 * CHOOSE(CONTROL!$C$32, $C$9, 100%, $E$9)</f>
        <v>8.343</v>
      </c>
      <c r="J210" s="11">
        <f>8.3377 * CHOOSE(CONTROL!$C$32, $C$9, 100%, $E$9)</f>
        <v>8.3376999999999999</v>
      </c>
      <c r="K210" s="11">
        <f>8.343 * CHOOSE(CONTROL!$C$32, $C$9, 100%, $E$9)</f>
        <v>8.343</v>
      </c>
      <c r="L210" s="11">
        <f>5.2043 * CHOOSE(CONTROL!$C$32, $C$9, 100%, $E$9)</f>
        <v>5.2042999999999999</v>
      </c>
      <c r="M210" s="11">
        <f>5.2096 * CHOOSE(CONTROL!$C$32, $C$9, 100%, $E$9)</f>
        <v>5.2096</v>
      </c>
      <c r="N210" s="11">
        <f>5.2043 * CHOOSE(CONTROL!$C$32, $C$9, 100%, $E$9)</f>
        <v>5.2042999999999999</v>
      </c>
      <c r="O210" s="11">
        <f>5.2096 * CHOOSE(CONTROL!$C$32, $C$9, 100%, $E$9)</f>
        <v>5.2096</v>
      </c>
    </row>
    <row r="211" spans="1:15" ht="15" x14ac:dyDescent="0.2">
      <c r="A211" s="13">
        <v>47270</v>
      </c>
      <c r="B211" s="9">
        <f>4.091 * CHOOSE(CONTROL!$C$32, $C$9, 100%, $E$9)</f>
        <v>4.0910000000000002</v>
      </c>
      <c r="C211" s="9">
        <f>4.091 * CHOOSE(CONTROL!$C$32, $C$9, 100%, $E$9)</f>
        <v>4.0910000000000002</v>
      </c>
      <c r="D211" s="9">
        <f>4.0925 * CHOOSE(CONTROL!$C$32, $C$9, 100%, $E$9)</f>
        <v>4.0925000000000002</v>
      </c>
      <c r="E211" s="11">
        <f>5.2083 * CHOOSE(CONTROL!$C$32, $C$9, 100%, $E$9)</f>
        <v>5.2083000000000004</v>
      </c>
      <c r="F211" s="11">
        <f>5.2083 * CHOOSE(CONTROL!$C$32, $C$9, 100%, $E$9)</f>
        <v>5.2083000000000004</v>
      </c>
      <c r="G211" s="11">
        <f>5.2136 * CHOOSE(CONTROL!$C$32, $C$9, 100%, $E$9)</f>
        <v>5.2135999999999996</v>
      </c>
      <c r="H211" s="11">
        <f>8.3551 * CHOOSE(CONTROL!$C$32, $C$9, 100%, $E$9)</f>
        <v>8.3551000000000002</v>
      </c>
      <c r="I211" s="11">
        <f>8.3604 * CHOOSE(CONTROL!$C$32, $C$9, 100%, $E$9)</f>
        <v>8.3604000000000003</v>
      </c>
      <c r="J211" s="11">
        <f>8.3551 * CHOOSE(CONTROL!$C$32, $C$9, 100%, $E$9)</f>
        <v>8.3551000000000002</v>
      </c>
      <c r="K211" s="11">
        <f>8.3604 * CHOOSE(CONTROL!$C$32, $C$9, 100%, $E$9)</f>
        <v>8.3604000000000003</v>
      </c>
      <c r="L211" s="11">
        <f>5.2083 * CHOOSE(CONTROL!$C$32, $C$9, 100%, $E$9)</f>
        <v>5.2083000000000004</v>
      </c>
      <c r="M211" s="11">
        <f>5.2136 * CHOOSE(CONTROL!$C$32, $C$9, 100%, $E$9)</f>
        <v>5.2135999999999996</v>
      </c>
      <c r="N211" s="11">
        <f>5.2083 * CHOOSE(CONTROL!$C$32, $C$9, 100%, $E$9)</f>
        <v>5.2083000000000004</v>
      </c>
      <c r="O211" s="11">
        <f>5.2136 * CHOOSE(CONTROL!$C$32, $C$9, 100%, $E$9)</f>
        <v>5.2135999999999996</v>
      </c>
    </row>
    <row r="212" spans="1:15" ht="15" x14ac:dyDescent="0.2">
      <c r="A212" s="13">
        <v>47300</v>
      </c>
      <c r="B212" s="9">
        <f>4.1496 * CHOOSE(CONTROL!$C$32, $C$9, 100%, $E$9)</f>
        <v>4.1496000000000004</v>
      </c>
      <c r="C212" s="9">
        <f>4.1496 * CHOOSE(CONTROL!$C$32, $C$9, 100%, $E$9)</f>
        <v>4.1496000000000004</v>
      </c>
      <c r="D212" s="9">
        <f>4.1512 * CHOOSE(CONTROL!$C$32, $C$9, 100%, $E$9)</f>
        <v>4.1512000000000002</v>
      </c>
      <c r="E212" s="11">
        <f>5.2949 * CHOOSE(CONTROL!$C$32, $C$9, 100%, $E$9)</f>
        <v>5.2949000000000002</v>
      </c>
      <c r="F212" s="11">
        <f>5.2949 * CHOOSE(CONTROL!$C$32, $C$9, 100%, $E$9)</f>
        <v>5.2949000000000002</v>
      </c>
      <c r="G212" s="11">
        <f>5.3002 * CHOOSE(CONTROL!$C$32, $C$9, 100%, $E$9)</f>
        <v>5.3002000000000002</v>
      </c>
      <c r="H212" s="11">
        <f>8.3725 * CHOOSE(CONTROL!$C$32, $C$9, 100%, $E$9)</f>
        <v>8.3725000000000005</v>
      </c>
      <c r="I212" s="11">
        <f>8.3778 * CHOOSE(CONTROL!$C$32, $C$9, 100%, $E$9)</f>
        <v>8.3778000000000006</v>
      </c>
      <c r="J212" s="11">
        <f>8.3725 * CHOOSE(CONTROL!$C$32, $C$9, 100%, $E$9)</f>
        <v>8.3725000000000005</v>
      </c>
      <c r="K212" s="11">
        <f>8.3778 * CHOOSE(CONTROL!$C$32, $C$9, 100%, $E$9)</f>
        <v>8.3778000000000006</v>
      </c>
      <c r="L212" s="11">
        <f>5.2949 * CHOOSE(CONTROL!$C$32, $C$9, 100%, $E$9)</f>
        <v>5.2949000000000002</v>
      </c>
      <c r="M212" s="11">
        <f>5.3002 * CHOOSE(CONTROL!$C$32, $C$9, 100%, $E$9)</f>
        <v>5.3002000000000002</v>
      </c>
      <c r="N212" s="11">
        <f>5.2949 * CHOOSE(CONTROL!$C$32, $C$9, 100%, $E$9)</f>
        <v>5.2949000000000002</v>
      </c>
      <c r="O212" s="11">
        <f>5.3002 * CHOOSE(CONTROL!$C$32, $C$9, 100%, $E$9)</f>
        <v>5.3002000000000002</v>
      </c>
    </row>
    <row r="213" spans="1:15" ht="15" x14ac:dyDescent="0.2">
      <c r="A213" s="13">
        <v>47331</v>
      </c>
      <c r="B213" s="9">
        <f>4.1563 * CHOOSE(CONTROL!$C$32, $C$9, 100%, $E$9)</f>
        <v>4.1562999999999999</v>
      </c>
      <c r="C213" s="9">
        <f>4.1563 * CHOOSE(CONTROL!$C$32, $C$9, 100%, $E$9)</f>
        <v>4.1562999999999999</v>
      </c>
      <c r="D213" s="9">
        <f>4.1579 * CHOOSE(CONTROL!$C$32, $C$9, 100%, $E$9)</f>
        <v>4.1578999999999997</v>
      </c>
      <c r="E213" s="11">
        <f>5.2993 * CHOOSE(CONTROL!$C$32, $C$9, 100%, $E$9)</f>
        <v>5.2992999999999997</v>
      </c>
      <c r="F213" s="11">
        <f>5.2993 * CHOOSE(CONTROL!$C$32, $C$9, 100%, $E$9)</f>
        <v>5.2992999999999997</v>
      </c>
      <c r="G213" s="11">
        <f>5.3046 * CHOOSE(CONTROL!$C$32, $C$9, 100%, $E$9)</f>
        <v>5.3045999999999998</v>
      </c>
      <c r="H213" s="11">
        <f>8.3899 * CHOOSE(CONTROL!$C$32, $C$9, 100%, $E$9)</f>
        <v>8.3899000000000008</v>
      </c>
      <c r="I213" s="11">
        <f>8.3952 * CHOOSE(CONTROL!$C$32, $C$9, 100%, $E$9)</f>
        <v>8.3952000000000009</v>
      </c>
      <c r="J213" s="11">
        <f>8.3899 * CHOOSE(CONTROL!$C$32, $C$9, 100%, $E$9)</f>
        <v>8.3899000000000008</v>
      </c>
      <c r="K213" s="11">
        <f>8.3952 * CHOOSE(CONTROL!$C$32, $C$9, 100%, $E$9)</f>
        <v>8.3952000000000009</v>
      </c>
      <c r="L213" s="11">
        <f>5.2993 * CHOOSE(CONTROL!$C$32, $C$9, 100%, $E$9)</f>
        <v>5.2992999999999997</v>
      </c>
      <c r="M213" s="11">
        <f>5.3046 * CHOOSE(CONTROL!$C$32, $C$9, 100%, $E$9)</f>
        <v>5.3045999999999998</v>
      </c>
      <c r="N213" s="11">
        <f>5.2993 * CHOOSE(CONTROL!$C$32, $C$9, 100%, $E$9)</f>
        <v>5.2992999999999997</v>
      </c>
      <c r="O213" s="11">
        <f>5.3046 * CHOOSE(CONTROL!$C$32, $C$9, 100%, $E$9)</f>
        <v>5.3045999999999998</v>
      </c>
    </row>
    <row r="214" spans="1:15" ht="15" x14ac:dyDescent="0.2">
      <c r="A214" s="13">
        <v>47362</v>
      </c>
      <c r="B214" s="9">
        <f>4.1533 * CHOOSE(CONTROL!$C$32, $C$9, 100%, $E$9)</f>
        <v>4.1532999999999998</v>
      </c>
      <c r="C214" s="9">
        <f>4.1533 * CHOOSE(CONTROL!$C$32, $C$9, 100%, $E$9)</f>
        <v>4.1532999999999998</v>
      </c>
      <c r="D214" s="9">
        <f>4.1548 * CHOOSE(CONTROL!$C$32, $C$9, 100%, $E$9)</f>
        <v>4.1547999999999998</v>
      </c>
      <c r="E214" s="11">
        <f>5.2973 * CHOOSE(CONTROL!$C$32, $C$9, 100%, $E$9)</f>
        <v>5.2972999999999999</v>
      </c>
      <c r="F214" s="11">
        <f>5.2973 * CHOOSE(CONTROL!$C$32, $C$9, 100%, $E$9)</f>
        <v>5.2972999999999999</v>
      </c>
      <c r="G214" s="11">
        <f>5.3026 * CHOOSE(CONTROL!$C$32, $C$9, 100%, $E$9)</f>
        <v>5.3026</v>
      </c>
      <c r="H214" s="11">
        <f>8.4074 * CHOOSE(CONTROL!$C$32, $C$9, 100%, $E$9)</f>
        <v>8.4074000000000009</v>
      </c>
      <c r="I214" s="11">
        <f>8.4127 * CHOOSE(CONTROL!$C$32, $C$9, 100%, $E$9)</f>
        <v>8.4126999999999992</v>
      </c>
      <c r="J214" s="11">
        <f>8.4074 * CHOOSE(CONTROL!$C$32, $C$9, 100%, $E$9)</f>
        <v>8.4074000000000009</v>
      </c>
      <c r="K214" s="11">
        <f>8.4127 * CHOOSE(CONTROL!$C$32, $C$9, 100%, $E$9)</f>
        <v>8.4126999999999992</v>
      </c>
      <c r="L214" s="11">
        <f>5.2973 * CHOOSE(CONTROL!$C$32, $C$9, 100%, $E$9)</f>
        <v>5.2972999999999999</v>
      </c>
      <c r="M214" s="11">
        <f>5.3026 * CHOOSE(CONTROL!$C$32, $C$9, 100%, $E$9)</f>
        <v>5.3026</v>
      </c>
      <c r="N214" s="11">
        <f>5.2973 * CHOOSE(CONTROL!$C$32, $C$9, 100%, $E$9)</f>
        <v>5.2972999999999999</v>
      </c>
      <c r="O214" s="11">
        <f>5.3026 * CHOOSE(CONTROL!$C$32, $C$9, 100%, $E$9)</f>
        <v>5.3026</v>
      </c>
    </row>
    <row r="215" spans="1:15" ht="15" x14ac:dyDescent="0.2">
      <c r="A215" s="13">
        <v>47392</v>
      </c>
      <c r="B215" s="9">
        <f>4.1489 * CHOOSE(CONTROL!$C$32, $C$9, 100%, $E$9)</f>
        <v>4.1489000000000003</v>
      </c>
      <c r="C215" s="9">
        <f>4.1489 * CHOOSE(CONTROL!$C$32, $C$9, 100%, $E$9)</f>
        <v>4.1489000000000003</v>
      </c>
      <c r="D215" s="9">
        <f>4.15 * CHOOSE(CONTROL!$C$32, $C$9, 100%, $E$9)</f>
        <v>4.1500000000000004</v>
      </c>
      <c r="E215" s="11">
        <f>5.2923 * CHOOSE(CONTROL!$C$32, $C$9, 100%, $E$9)</f>
        <v>5.2923</v>
      </c>
      <c r="F215" s="11">
        <f>5.2923 * CHOOSE(CONTROL!$C$32, $C$9, 100%, $E$9)</f>
        <v>5.2923</v>
      </c>
      <c r="G215" s="11">
        <f>5.2959 * CHOOSE(CONTROL!$C$32, $C$9, 100%, $E$9)</f>
        <v>5.2958999999999996</v>
      </c>
      <c r="H215" s="11">
        <f>8.4249 * CHOOSE(CONTROL!$C$32, $C$9, 100%, $E$9)</f>
        <v>8.4248999999999992</v>
      </c>
      <c r="I215" s="11">
        <f>8.4285 * CHOOSE(CONTROL!$C$32, $C$9, 100%, $E$9)</f>
        <v>8.4284999999999997</v>
      </c>
      <c r="J215" s="11">
        <f>8.4249 * CHOOSE(CONTROL!$C$32, $C$9, 100%, $E$9)</f>
        <v>8.4248999999999992</v>
      </c>
      <c r="K215" s="11">
        <f>8.4285 * CHOOSE(CONTROL!$C$32, $C$9, 100%, $E$9)</f>
        <v>8.4284999999999997</v>
      </c>
      <c r="L215" s="11">
        <f>5.2923 * CHOOSE(CONTROL!$C$32, $C$9, 100%, $E$9)</f>
        <v>5.2923</v>
      </c>
      <c r="M215" s="11">
        <f>5.2959 * CHOOSE(CONTROL!$C$32, $C$9, 100%, $E$9)</f>
        <v>5.2958999999999996</v>
      </c>
      <c r="N215" s="11">
        <f>5.2923 * CHOOSE(CONTROL!$C$32, $C$9, 100%, $E$9)</f>
        <v>5.2923</v>
      </c>
      <c r="O215" s="11">
        <f>5.2959 * CHOOSE(CONTROL!$C$32, $C$9, 100%, $E$9)</f>
        <v>5.2958999999999996</v>
      </c>
    </row>
    <row r="216" spans="1:15" ht="15" x14ac:dyDescent="0.2">
      <c r="A216" s="13">
        <v>47423</v>
      </c>
      <c r="B216" s="9">
        <f>4.152 * CHOOSE(CONTROL!$C$32, $C$9, 100%, $E$9)</f>
        <v>4.1520000000000001</v>
      </c>
      <c r="C216" s="9">
        <f>4.152 * CHOOSE(CONTROL!$C$32, $C$9, 100%, $E$9)</f>
        <v>4.1520000000000001</v>
      </c>
      <c r="D216" s="9">
        <f>4.153 * CHOOSE(CONTROL!$C$32, $C$9, 100%, $E$9)</f>
        <v>4.1529999999999996</v>
      </c>
      <c r="E216" s="11">
        <f>5.2943 * CHOOSE(CONTROL!$C$32, $C$9, 100%, $E$9)</f>
        <v>5.2942999999999998</v>
      </c>
      <c r="F216" s="11">
        <f>5.2943 * CHOOSE(CONTROL!$C$32, $C$9, 100%, $E$9)</f>
        <v>5.2942999999999998</v>
      </c>
      <c r="G216" s="11">
        <f>5.2979 * CHOOSE(CONTROL!$C$32, $C$9, 100%, $E$9)</f>
        <v>5.2979000000000003</v>
      </c>
      <c r="H216" s="11">
        <f>8.4425 * CHOOSE(CONTROL!$C$32, $C$9, 100%, $E$9)</f>
        <v>8.4425000000000008</v>
      </c>
      <c r="I216" s="11">
        <f>8.4461 * CHOOSE(CONTROL!$C$32, $C$9, 100%, $E$9)</f>
        <v>8.4460999999999995</v>
      </c>
      <c r="J216" s="11">
        <f>8.4425 * CHOOSE(CONTROL!$C$32, $C$9, 100%, $E$9)</f>
        <v>8.4425000000000008</v>
      </c>
      <c r="K216" s="11">
        <f>8.4461 * CHOOSE(CONTROL!$C$32, $C$9, 100%, $E$9)</f>
        <v>8.4460999999999995</v>
      </c>
      <c r="L216" s="11">
        <f>5.2943 * CHOOSE(CONTROL!$C$32, $C$9, 100%, $E$9)</f>
        <v>5.2942999999999998</v>
      </c>
      <c r="M216" s="11">
        <f>5.2979 * CHOOSE(CONTROL!$C$32, $C$9, 100%, $E$9)</f>
        <v>5.2979000000000003</v>
      </c>
      <c r="N216" s="11">
        <f>5.2943 * CHOOSE(CONTROL!$C$32, $C$9, 100%, $E$9)</f>
        <v>5.2942999999999998</v>
      </c>
      <c r="O216" s="11">
        <f>5.2979 * CHOOSE(CONTROL!$C$32, $C$9, 100%, $E$9)</f>
        <v>5.2979000000000003</v>
      </c>
    </row>
    <row r="217" spans="1:15" ht="15" x14ac:dyDescent="0.2">
      <c r="A217" s="13">
        <v>47453</v>
      </c>
      <c r="B217" s="9">
        <f>4.152 * CHOOSE(CONTROL!$C$32, $C$9, 100%, $E$9)</f>
        <v>4.1520000000000001</v>
      </c>
      <c r="C217" s="9">
        <f>4.152 * CHOOSE(CONTROL!$C$32, $C$9, 100%, $E$9)</f>
        <v>4.1520000000000001</v>
      </c>
      <c r="D217" s="9">
        <f>4.153 * CHOOSE(CONTROL!$C$32, $C$9, 100%, $E$9)</f>
        <v>4.1529999999999996</v>
      </c>
      <c r="E217" s="11">
        <f>5.2943 * CHOOSE(CONTROL!$C$32, $C$9, 100%, $E$9)</f>
        <v>5.2942999999999998</v>
      </c>
      <c r="F217" s="11">
        <f>5.2943 * CHOOSE(CONTROL!$C$32, $C$9, 100%, $E$9)</f>
        <v>5.2942999999999998</v>
      </c>
      <c r="G217" s="11">
        <f>5.2979 * CHOOSE(CONTROL!$C$32, $C$9, 100%, $E$9)</f>
        <v>5.2979000000000003</v>
      </c>
      <c r="H217" s="11">
        <f>8.4601 * CHOOSE(CONTROL!$C$32, $C$9, 100%, $E$9)</f>
        <v>8.4601000000000006</v>
      </c>
      <c r="I217" s="11">
        <f>8.4637 * CHOOSE(CONTROL!$C$32, $C$9, 100%, $E$9)</f>
        <v>8.4636999999999993</v>
      </c>
      <c r="J217" s="11">
        <f>8.4601 * CHOOSE(CONTROL!$C$32, $C$9, 100%, $E$9)</f>
        <v>8.4601000000000006</v>
      </c>
      <c r="K217" s="11">
        <f>8.4637 * CHOOSE(CONTROL!$C$32, $C$9, 100%, $E$9)</f>
        <v>8.4636999999999993</v>
      </c>
      <c r="L217" s="11">
        <f>5.2943 * CHOOSE(CONTROL!$C$32, $C$9, 100%, $E$9)</f>
        <v>5.2942999999999998</v>
      </c>
      <c r="M217" s="11">
        <f>5.2979 * CHOOSE(CONTROL!$C$32, $C$9, 100%, $E$9)</f>
        <v>5.2979000000000003</v>
      </c>
      <c r="N217" s="11">
        <f>5.2943 * CHOOSE(CONTROL!$C$32, $C$9, 100%, $E$9)</f>
        <v>5.2942999999999998</v>
      </c>
      <c r="O217" s="11">
        <f>5.2979 * CHOOSE(CONTROL!$C$32, $C$9, 100%, $E$9)</f>
        <v>5.2979000000000003</v>
      </c>
    </row>
    <row r="218" spans="1:15" ht="15" x14ac:dyDescent="0.2">
      <c r="A218" s="13">
        <v>47484</v>
      </c>
      <c r="B218" s="9">
        <f>4.1883 * CHOOSE(CONTROL!$C$32, $C$9, 100%, $E$9)</f>
        <v>4.1882999999999999</v>
      </c>
      <c r="C218" s="9">
        <f>4.1883 * CHOOSE(CONTROL!$C$32, $C$9, 100%, $E$9)</f>
        <v>4.1882999999999999</v>
      </c>
      <c r="D218" s="9">
        <f>4.1893 * CHOOSE(CONTROL!$C$32, $C$9, 100%, $E$9)</f>
        <v>4.1893000000000002</v>
      </c>
      <c r="E218" s="11">
        <f>5.3388 * CHOOSE(CONTROL!$C$32, $C$9, 100%, $E$9)</f>
        <v>5.3388</v>
      </c>
      <c r="F218" s="11">
        <f>5.3388 * CHOOSE(CONTROL!$C$32, $C$9, 100%, $E$9)</f>
        <v>5.3388</v>
      </c>
      <c r="G218" s="11">
        <f>5.3424 * CHOOSE(CONTROL!$C$32, $C$9, 100%, $E$9)</f>
        <v>5.3423999999999996</v>
      </c>
      <c r="H218" s="11">
        <f>8.4777 * CHOOSE(CONTROL!$C$32, $C$9, 100%, $E$9)</f>
        <v>8.4777000000000005</v>
      </c>
      <c r="I218" s="11">
        <f>8.4813 * CHOOSE(CONTROL!$C$32, $C$9, 100%, $E$9)</f>
        <v>8.4812999999999992</v>
      </c>
      <c r="J218" s="11">
        <f>8.4777 * CHOOSE(CONTROL!$C$32, $C$9, 100%, $E$9)</f>
        <v>8.4777000000000005</v>
      </c>
      <c r="K218" s="11">
        <f>8.4813 * CHOOSE(CONTROL!$C$32, $C$9, 100%, $E$9)</f>
        <v>8.4812999999999992</v>
      </c>
      <c r="L218" s="11">
        <f>5.3388 * CHOOSE(CONTROL!$C$32, $C$9, 100%, $E$9)</f>
        <v>5.3388</v>
      </c>
      <c r="M218" s="11">
        <f>5.3424 * CHOOSE(CONTROL!$C$32, $C$9, 100%, $E$9)</f>
        <v>5.3423999999999996</v>
      </c>
      <c r="N218" s="11">
        <f>5.3388 * CHOOSE(CONTROL!$C$32, $C$9, 100%, $E$9)</f>
        <v>5.3388</v>
      </c>
      <c r="O218" s="11">
        <f>5.3424 * CHOOSE(CONTROL!$C$32, $C$9, 100%, $E$9)</f>
        <v>5.3423999999999996</v>
      </c>
    </row>
    <row r="219" spans="1:15" ht="15" x14ac:dyDescent="0.2">
      <c r="A219" s="13">
        <v>47515</v>
      </c>
      <c r="B219" s="9">
        <f>4.1852 * CHOOSE(CONTROL!$C$32, $C$9, 100%, $E$9)</f>
        <v>4.1852</v>
      </c>
      <c r="C219" s="9">
        <f>4.1852 * CHOOSE(CONTROL!$C$32, $C$9, 100%, $E$9)</f>
        <v>4.1852</v>
      </c>
      <c r="D219" s="9">
        <f>4.1863 * CHOOSE(CONTROL!$C$32, $C$9, 100%, $E$9)</f>
        <v>4.1863000000000001</v>
      </c>
      <c r="E219" s="11">
        <f>5.3368 * CHOOSE(CONTROL!$C$32, $C$9, 100%, $E$9)</f>
        <v>5.3368000000000002</v>
      </c>
      <c r="F219" s="11">
        <f>5.3368 * CHOOSE(CONTROL!$C$32, $C$9, 100%, $E$9)</f>
        <v>5.3368000000000002</v>
      </c>
      <c r="G219" s="11">
        <f>5.3404 * CHOOSE(CONTROL!$C$32, $C$9, 100%, $E$9)</f>
        <v>5.3403999999999998</v>
      </c>
      <c r="H219" s="11">
        <f>8.4954 * CHOOSE(CONTROL!$C$32, $C$9, 100%, $E$9)</f>
        <v>8.4954000000000001</v>
      </c>
      <c r="I219" s="11">
        <f>8.499 * CHOOSE(CONTROL!$C$32, $C$9, 100%, $E$9)</f>
        <v>8.4990000000000006</v>
      </c>
      <c r="J219" s="11">
        <f>8.4954 * CHOOSE(CONTROL!$C$32, $C$9, 100%, $E$9)</f>
        <v>8.4954000000000001</v>
      </c>
      <c r="K219" s="11">
        <f>8.499 * CHOOSE(CONTROL!$C$32, $C$9, 100%, $E$9)</f>
        <v>8.4990000000000006</v>
      </c>
      <c r="L219" s="11">
        <f>5.3368 * CHOOSE(CONTROL!$C$32, $C$9, 100%, $E$9)</f>
        <v>5.3368000000000002</v>
      </c>
      <c r="M219" s="11">
        <f>5.3404 * CHOOSE(CONTROL!$C$32, $C$9, 100%, $E$9)</f>
        <v>5.3403999999999998</v>
      </c>
      <c r="N219" s="11">
        <f>5.3368 * CHOOSE(CONTROL!$C$32, $C$9, 100%, $E$9)</f>
        <v>5.3368000000000002</v>
      </c>
      <c r="O219" s="11">
        <f>5.3404 * CHOOSE(CONTROL!$C$32, $C$9, 100%, $E$9)</f>
        <v>5.3403999999999998</v>
      </c>
    </row>
    <row r="220" spans="1:15" ht="15" x14ac:dyDescent="0.2">
      <c r="A220" s="13">
        <v>47543</v>
      </c>
      <c r="B220" s="9">
        <f>4.1822 * CHOOSE(CONTROL!$C$32, $C$9, 100%, $E$9)</f>
        <v>4.1821999999999999</v>
      </c>
      <c r="C220" s="9">
        <f>4.1822 * CHOOSE(CONTROL!$C$32, $C$9, 100%, $E$9)</f>
        <v>4.1821999999999999</v>
      </c>
      <c r="D220" s="9">
        <f>4.1833 * CHOOSE(CONTROL!$C$32, $C$9, 100%, $E$9)</f>
        <v>4.1833</v>
      </c>
      <c r="E220" s="11">
        <f>5.3348 * CHOOSE(CONTROL!$C$32, $C$9, 100%, $E$9)</f>
        <v>5.3348000000000004</v>
      </c>
      <c r="F220" s="11">
        <f>5.3348 * CHOOSE(CONTROL!$C$32, $C$9, 100%, $E$9)</f>
        <v>5.3348000000000004</v>
      </c>
      <c r="G220" s="11">
        <f>5.3384 * CHOOSE(CONTROL!$C$32, $C$9, 100%, $E$9)</f>
        <v>5.3384</v>
      </c>
      <c r="H220" s="11">
        <f>8.5131 * CHOOSE(CONTROL!$C$32, $C$9, 100%, $E$9)</f>
        <v>8.5130999999999997</v>
      </c>
      <c r="I220" s="11">
        <f>8.5167 * CHOOSE(CONTROL!$C$32, $C$9, 100%, $E$9)</f>
        <v>8.5167000000000002</v>
      </c>
      <c r="J220" s="11">
        <f>8.5131 * CHOOSE(CONTROL!$C$32, $C$9, 100%, $E$9)</f>
        <v>8.5130999999999997</v>
      </c>
      <c r="K220" s="11">
        <f>8.5167 * CHOOSE(CONTROL!$C$32, $C$9, 100%, $E$9)</f>
        <v>8.5167000000000002</v>
      </c>
      <c r="L220" s="11">
        <f>5.3348 * CHOOSE(CONTROL!$C$32, $C$9, 100%, $E$9)</f>
        <v>5.3348000000000004</v>
      </c>
      <c r="M220" s="11">
        <f>5.3384 * CHOOSE(CONTROL!$C$32, $C$9, 100%, $E$9)</f>
        <v>5.3384</v>
      </c>
      <c r="N220" s="11">
        <f>5.3348 * CHOOSE(CONTROL!$C$32, $C$9, 100%, $E$9)</f>
        <v>5.3348000000000004</v>
      </c>
      <c r="O220" s="11">
        <f>5.3384 * CHOOSE(CONTROL!$C$32, $C$9, 100%, $E$9)</f>
        <v>5.3384</v>
      </c>
    </row>
    <row r="221" spans="1:15" ht="15" x14ac:dyDescent="0.2">
      <c r="A221" s="13">
        <v>47574</v>
      </c>
      <c r="B221" s="9">
        <f>4.18 * CHOOSE(CONTROL!$C$32, $C$9, 100%, $E$9)</f>
        <v>4.18</v>
      </c>
      <c r="C221" s="9">
        <f>4.18 * CHOOSE(CONTROL!$C$32, $C$9, 100%, $E$9)</f>
        <v>4.18</v>
      </c>
      <c r="D221" s="9">
        <f>4.1811 * CHOOSE(CONTROL!$C$32, $C$9, 100%, $E$9)</f>
        <v>4.1810999999999998</v>
      </c>
      <c r="E221" s="11">
        <f>5.3328 * CHOOSE(CONTROL!$C$32, $C$9, 100%, $E$9)</f>
        <v>5.3327999999999998</v>
      </c>
      <c r="F221" s="11">
        <f>5.3328 * CHOOSE(CONTROL!$C$32, $C$9, 100%, $E$9)</f>
        <v>5.3327999999999998</v>
      </c>
      <c r="G221" s="11">
        <f>5.3364 * CHOOSE(CONTROL!$C$32, $C$9, 100%, $E$9)</f>
        <v>5.3364000000000003</v>
      </c>
      <c r="H221" s="11">
        <f>8.5308 * CHOOSE(CONTROL!$C$32, $C$9, 100%, $E$9)</f>
        <v>8.5307999999999993</v>
      </c>
      <c r="I221" s="11">
        <f>8.5344 * CHOOSE(CONTROL!$C$32, $C$9, 100%, $E$9)</f>
        <v>8.5343999999999998</v>
      </c>
      <c r="J221" s="11">
        <f>8.5308 * CHOOSE(CONTROL!$C$32, $C$9, 100%, $E$9)</f>
        <v>8.5307999999999993</v>
      </c>
      <c r="K221" s="11">
        <f>8.5344 * CHOOSE(CONTROL!$C$32, $C$9, 100%, $E$9)</f>
        <v>8.5343999999999998</v>
      </c>
      <c r="L221" s="11">
        <f>5.3328 * CHOOSE(CONTROL!$C$32, $C$9, 100%, $E$9)</f>
        <v>5.3327999999999998</v>
      </c>
      <c r="M221" s="11">
        <f>5.3364 * CHOOSE(CONTROL!$C$32, $C$9, 100%, $E$9)</f>
        <v>5.3364000000000003</v>
      </c>
      <c r="N221" s="11">
        <f>5.3328 * CHOOSE(CONTROL!$C$32, $C$9, 100%, $E$9)</f>
        <v>5.3327999999999998</v>
      </c>
      <c r="O221" s="11">
        <f>5.3364 * CHOOSE(CONTROL!$C$32, $C$9, 100%, $E$9)</f>
        <v>5.3364000000000003</v>
      </c>
    </row>
    <row r="222" spans="1:15" ht="15" x14ac:dyDescent="0.2">
      <c r="A222" s="13">
        <v>47604</v>
      </c>
      <c r="B222" s="9">
        <f>4.18 * CHOOSE(CONTROL!$C$32, $C$9, 100%, $E$9)</f>
        <v>4.18</v>
      </c>
      <c r="C222" s="9">
        <f>4.18 * CHOOSE(CONTROL!$C$32, $C$9, 100%, $E$9)</f>
        <v>4.18</v>
      </c>
      <c r="D222" s="9">
        <f>4.1816 * CHOOSE(CONTROL!$C$32, $C$9, 100%, $E$9)</f>
        <v>4.1816000000000004</v>
      </c>
      <c r="E222" s="11">
        <f>5.3328 * CHOOSE(CONTROL!$C$32, $C$9, 100%, $E$9)</f>
        <v>5.3327999999999998</v>
      </c>
      <c r="F222" s="11">
        <f>5.3328 * CHOOSE(CONTROL!$C$32, $C$9, 100%, $E$9)</f>
        <v>5.3327999999999998</v>
      </c>
      <c r="G222" s="11">
        <f>5.3381 * CHOOSE(CONTROL!$C$32, $C$9, 100%, $E$9)</f>
        <v>5.3380999999999998</v>
      </c>
      <c r="H222" s="11">
        <f>8.5486 * CHOOSE(CONTROL!$C$32, $C$9, 100%, $E$9)</f>
        <v>8.5486000000000004</v>
      </c>
      <c r="I222" s="11">
        <f>8.5539 * CHOOSE(CONTROL!$C$32, $C$9, 100%, $E$9)</f>
        <v>8.5539000000000005</v>
      </c>
      <c r="J222" s="11">
        <f>8.5486 * CHOOSE(CONTROL!$C$32, $C$9, 100%, $E$9)</f>
        <v>8.5486000000000004</v>
      </c>
      <c r="K222" s="11">
        <f>8.5539 * CHOOSE(CONTROL!$C$32, $C$9, 100%, $E$9)</f>
        <v>8.5539000000000005</v>
      </c>
      <c r="L222" s="11">
        <f>5.3328 * CHOOSE(CONTROL!$C$32, $C$9, 100%, $E$9)</f>
        <v>5.3327999999999998</v>
      </c>
      <c r="M222" s="11">
        <f>5.3381 * CHOOSE(CONTROL!$C$32, $C$9, 100%, $E$9)</f>
        <v>5.3380999999999998</v>
      </c>
      <c r="N222" s="11">
        <f>5.3328 * CHOOSE(CONTROL!$C$32, $C$9, 100%, $E$9)</f>
        <v>5.3327999999999998</v>
      </c>
      <c r="O222" s="11">
        <f>5.3381 * CHOOSE(CONTROL!$C$32, $C$9, 100%, $E$9)</f>
        <v>5.3380999999999998</v>
      </c>
    </row>
    <row r="223" spans="1:15" ht="15" x14ac:dyDescent="0.2">
      <c r="A223" s="13">
        <v>47635</v>
      </c>
      <c r="B223" s="9">
        <f>4.1861 * CHOOSE(CONTROL!$C$32, $C$9, 100%, $E$9)</f>
        <v>4.1860999999999997</v>
      </c>
      <c r="C223" s="9">
        <f>4.1861 * CHOOSE(CONTROL!$C$32, $C$9, 100%, $E$9)</f>
        <v>4.1860999999999997</v>
      </c>
      <c r="D223" s="9">
        <f>4.1877 * CHOOSE(CONTROL!$C$32, $C$9, 100%, $E$9)</f>
        <v>4.1877000000000004</v>
      </c>
      <c r="E223" s="11">
        <f>5.3368 * CHOOSE(CONTROL!$C$32, $C$9, 100%, $E$9)</f>
        <v>5.3368000000000002</v>
      </c>
      <c r="F223" s="11">
        <f>5.3368 * CHOOSE(CONTROL!$C$32, $C$9, 100%, $E$9)</f>
        <v>5.3368000000000002</v>
      </c>
      <c r="G223" s="11">
        <f>5.3421 * CHOOSE(CONTROL!$C$32, $C$9, 100%, $E$9)</f>
        <v>5.3421000000000003</v>
      </c>
      <c r="H223" s="11">
        <f>8.5664 * CHOOSE(CONTROL!$C$32, $C$9, 100%, $E$9)</f>
        <v>8.5663999999999998</v>
      </c>
      <c r="I223" s="11">
        <f>8.5717 * CHOOSE(CONTROL!$C$32, $C$9, 100%, $E$9)</f>
        <v>8.5716999999999999</v>
      </c>
      <c r="J223" s="11">
        <f>8.5664 * CHOOSE(CONTROL!$C$32, $C$9, 100%, $E$9)</f>
        <v>8.5663999999999998</v>
      </c>
      <c r="K223" s="11">
        <f>8.5717 * CHOOSE(CONTROL!$C$32, $C$9, 100%, $E$9)</f>
        <v>8.5716999999999999</v>
      </c>
      <c r="L223" s="11">
        <f>5.3368 * CHOOSE(CONTROL!$C$32, $C$9, 100%, $E$9)</f>
        <v>5.3368000000000002</v>
      </c>
      <c r="M223" s="11">
        <f>5.3421 * CHOOSE(CONTROL!$C$32, $C$9, 100%, $E$9)</f>
        <v>5.3421000000000003</v>
      </c>
      <c r="N223" s="11">
        <f>5.3368 * CHOOSE(CONTROL!$C$32, $C$9, 100%, $E$9)</f>
        <v>5.3368000000000002</v>
      </c>
      <c r="O223" s="11">
        <f>5.3421 * CHOOSE(CONTROL!$C$32, $C$9, 100%, $E$9)</f>
        <v>5.3421000000000003</v>
      </c>
    </row>
    <row r="224" spans="1:15" ht="15" x14ac:dyDescent="0.2">
      <c r="A224" s="13">
        <v>47665</v>
      </c>
      <c r="B224" s="9">
        <f>4.2533 * CHOOSE(CONTROL!$C$32, $C$9, 100%, $E$9)</f>
        <v>4.2533000000000003</v>
      </c>
      <c r="C224" s="9">
        <f>4.2533 * CHOOSE(CONTROL!$C$32, $C$9, 100%, $E$9)</f>
        <v>4.2533000000000003</v>
      </c>
      <c r="D224" s="9">
        <f>4.2549 * CHOOSE(CONTROL!$C$32, $C$9, 100%, $E$9)</f>
        <v>4.2549000000000001</v>
      </c>
      <c r="E224" s="11">
        <f>5.4347 * CHOOSE(CONTROL!$C$32, $C$9, 100%, $E$9)</f>
        <v>5.4347000000000003</v>
      </c>
      <c r="F224" s="11">
        <f>5.4347 * CHOOSE(CONTROL!$C$32, $C$9, 100%, $E$9)</f>
        <v>5.4347000000000003</v>
      </c>
      <c r="G224" s="11">
        <f>5.44 * CHOOSE(CONTROL!$C$32, $C$9, 100%, $E$9)</f>
        <v>5.44</v>
      </c>
      <c r="H224" s="11">
        <f>8.5842 * CHOOSE(CONTROL!$C$32, $C$9, 100%, $E$9)</f>
        <v>8.5841999999999992</v>
      </c>
      <c r="I224" s="11">
        <f>8.5895 * CHOOSE(CONTROL!$C$32, $C$9, 100%, $E$9)</f>
        <v>8.5894999999999992</v>
      </c>
      <c r="J224" s="11">
        <f>8.5842 * CHOOSE(CONTROL!$C$32, $C$9, 100%, $E$9)</f>
        <v>8.5841999999999992</v>
      </c>
      <c r="K224" s="11">
        <f>8.5895 * CHOOSE(CONTROL!$C$32, $C$9, 100%, $E$9)</f>
        <v>8.5894999999999992</v>
      </c>
      <c r="L224" s="11">
        <f>5.4347 * CHOOSE(CONTROL!$C$32, $C$9, 100%, $E$9)</f>
        <v>5.4347000000000003</v>
      </c>
      <c r="M224" s="11">
        <f>5.44 * CHOOSE(CONTROL!$C$32, $C$9, 100%, $E$9)</f>
        <v>5.44</v>
      </c>
      <c r="N224" s="11">
        <f>5.4347 * CHOOSE(CONTROL!$C$32, $C$9, 100%, $E$9)</f>
        <v>5.4347000000000003</v>
      </c>
      <c r="O224" s="11">
        <f>5.44 * CHOOSE(CONTROL!$C$32, $C$9, 100%, $E$9)</f>
        <v>5.44</v>
      </c>
    </row>
    <row r="225" spans="1:15" ht="15" x14ac:dyDescent="0.2">
      <c r="A225" s="13">
        <v>47696</v>
      </c>
      <c r="B225" s="9">
        <f>4.26 * CHOOSE(CONTROL!$C$32, $C$9, 100%, $E$9)</f>
        <v>4.26</v>
      </c>
      <c r="C225" s="9">
        <f>4.26 * CHOOSE(CONTROL!$C$32, $C$9, 100%, $E$9)</f>
        <v>4.26</v>
      </c>
      <c r="D225" s="9">
        <f>4.2616 * CHOOSE(CONTROL!$C$32, $C$9, 100%, $E$9)</f>
        <v>4.2615999999999996</v>
      </c>
      <c r="E225" s="11">
        <f>5.4391 * CHOOSE(CONTROL!$C$32, $C$9, 100%, $E$9)</f>
        <v>5.4390999999999998</v>
      </c>
      <c r="F225" s="11">
        <f>5.4391 * CHOOSE(CONTROL!$C$32, $C$9, 100%, $E$9)</f>
        <v>5.4390999999999998</v>
      </c>
      <c r="G225" s="11">
        <f>5.4444 * CHOOSE(CONTROL!$C$32, $C$9, 100%, $E$9)</f>
        <v>5.4443999999999999</v>
      </c>
      <c r="H225" s="11">
        <f>8.6021 * CHOOSE(CONTROL!$C$32, $C$9, 100%, $E$9)</f>
        <v>8.6021000000000001</v>
      </c>
      <c r="I225" s="11">
        <f>8.6074 * CHOOSE(CONTROL!$C$32, $C$9, 100%, $E$9)</f>
        <v>8.6074000000000002</v>
      </c>
      <c r="J225" s="11">
        <f>8.6021 * CHOOSE(CONTROL!$C$32, $C$9, 100%, $E$9)</f>
        <v>8.6021000000000001</v>
      </c>
      <c r="K225" s="11">
        <f>8.6074 * CHOOSE(CONTROL!$C$32, $C$9, 100%, $E$9)</f>
        <v>8.6074000000000002</v>
      </c>
      <c r="L225" s="11">
        <f>5.4391 * CHOOSE(CONTROL!$C$32, $C$9, 100%, $E$9)</f>
        <v>5.4390999999999998</v>
      </c>
      <c r="M225" s="11">
        <f>5.4444 * CHOOSE(CONTROL!$C$32, $C$9, 100%, $E$9)</f>
        <v>5.4443999999999999</v>
      </c>
      <c r="N225" s="11">
        <f>5.4391 * CHOOSE(CONTROL!$C$32, $C$9, 100%, $E$9)</f>
        <v>5.4390999999999998</v>
      </c>
      <c r="O225" s="11">
        <f>5.4444 * CHOOSE(CONTROL!$C$32, $C$9, 100%, $E$9)</f>
        <v>5.4443999999999999</v>
      </c>
    </row>
    <row r="226" spans="1:15" ht="15" x14ac:dyDescent="0.2">
      <c r="A226" s="13">
        <v>47727</v>
      </c>
      <c r="B226" s="9">
        <f>4.2569 * CHOOSE(CONTROL!$C$32, $C$9, 100%, $E$9)</f>
        <v>4.2568999999999999</v>
      </c>
      <c r="C226" s="9">
        <f>4.2569 * CHOOSE(CONTROL!$C$32, $C$9, 100%, $E$9)</f>
        <v>4.2568999999999999</v>
      </c>
      <c r="D226" s="9">
        <f>4.2585 * CHOOSE(CONTROL!$C$32, $C$9, 100%, $E$9)</f>
        <v>4.2584999999999997</v>
      </c>
      <c r="E226" s="11">
        <f>5.4371 * CHOOSE(CONTROL!$C$32, $C$9, 100%, $E$9)</f>
        <v>5.4371</v>
      </c>
      <c r="F226" s="11">
        <f>5.4371 * CHOOSE(CONTROL!$C$32, $C$9, 100%, $E$9)</f>
        <v>5.4371</v>
      </c>
      <c r="G226" s="11">
        <f>5.4424 * CHOOSE(CONTROL!$C$32, $C$9, 100%, $E$9)</f>
        <v>5.4424000000000001</v>
      </c>
      <c r="H226" s="11">
        <f>8.62 * CHOOSE(CONTROL!$C$32, $C$9, 100%, $E$9)</f>
        <v>8.6199999999999992</v>
      </c>
      <c r="I226" s="11">
        <f>8.6253 * CHOOSE(CONTROL!$C$32, $C$9, 100%, $E$9)</f>
        <v>8.6252999999999993</v>
      </c>
      <c r="J226" s="11">
        <f>8.62 * CHOOSE(CONTROL!$C$32, $C$9, 100%, $E$9)</f>
        <v>8.6199999999999992</v>
      </c>
      <c r="K226" s="11">
        <f>8.6253 * CHOOSE(CONTROL!$C$32, $C$9, 100%, $E$9)</f>
        <v>8.6252999999999993</v>
      </c>
      <c r="L226" s="11">
        <f>5.4371 * CHOOSE(CONTROL!$C$32, $C$9, 100%, $E$9)</f>
        <v>5.4371</v>
      </c>
      <c r="M226" s="11">
        <f>5.4424 * CHOOSE(CONTROL!$C$32, $C$9, 100%, $E$9)</f>
        <v>5.4424000000000001</v>
      </c>
      <c r="N226" s="11">
        <f>5.4371 * CHOOSE(CONTROL!$C$32, $C$9, 100%, $E$9)</f>
        <v>5.4371</v>
      </c>
      <c r="O226" s="11">
        <f>5.4424 * CHOOSE(CONTROL!$C$32, $C$9, 100%, $E$9)</f>
        <v>5.4424000000000001</v>
      </c>
    </row>
    <row r="227" spans="1:15" ht="15" x14ac:dyDescent="0.2">
      <c r="A227" s="13">
        <v>47757</v>
      </c>
      <c r="B227" s="9">
        <f>4.253 * CHOOSE(CONTROL!$C$32, $C$9, 100%, $E$9)</f>
        <v>4.2530000000000001</v>
      </c>
      <c r="C227" s="9">
        <f>4.253 * CHOOSE(CONTROL!$C$32, $C$9, 100%, $E$9)</f>
        <v>4.2530000000000001</v>
      </c>
      <c r="D227" s="9">
        <f>4.254 * CHOOSE(CONTROL!$C$32, $C$9, 100%, $E$9)</f>
        <v>4.2539999999999996</v>
      </c>
      <c r="E227" s="11">
        <f>5.4323 * CHOOSE(CONTROL!$C$32, $C$9, 100%, $E$9)</f>
        <v>5.4322999999999997</v>
      </c>
      <c r="F227" s="11">
        <f>5.4323 * CHOOSE(CONTROL!$C$32, $C$9, 100%, $E$9)</f>
        <v>5.4322999999999997</v>
      </c>
      <c r="G227" s="11">
        <f>5.436 * CHOOSE(CONTROL!$C$32, $C$9, 100%, $E$9)</f>
        <v>5.4359999999999999</v>
      </c>
      <c r="H227" s="11">
        <f>8.638 * CHOOSE(CONTROL!$C$32, $C$9, 100%, $E$9)</f>
        <v>8.6379999999999999</v>
      </c>
      <c r="I227" s="11">
        <f>8.6416 * CHOOSE(CONTROL!$C$32, $C$9, 100%, $E$9)</f>
        <v>8.6416000000000004</v>
      </c>
      <c r="J227" s="11">
        <f>8.638 * CHOOSE(CONTROL!$C$32, $C$9, 100%, $E$9)</f>
        <v>8.6379999999999999</v>
      </c>
      <c r="K227" s="11">
        <f>8.6416 * CHOOSE(CONTROL!$C$32, $C$9, 100%, $E$9)</f>
        <v>8.6416000000000004</v>
      </c>
      <c r="L227" s="11">
        <f>5.4323 * CHOOSE(CONTROL!$C$32, $C$9, 100%, $E$9)</f>
        <v>5.4322999999999997</v>
      </c>
      <c r="M227" s="11">
        <f>5.436 * CHOOSE(CONTROL!$C$32, $C$9, 100%, $E$9)</f>
        <v>5.4359999999999999</v>
      </c>
      <c r="N227" s="11">
        <f>5.4323 * CHOOSE(CONTROL!$C$32, $C$9, 100%, $E$9)</f>
        <v>5.4322999999999997</v>
      </c>
      <c r="O227" s="11">
        <f>5.436 * CHOOSE(CONTROL!$C$32, $C$9, 100%, $E$9)</f>
        <v>5.4359999999999999</v>
      </c>
    </row>
    <row r="228" spans="1:15" ht="15" x14ac:dyDescent="0.2">
      <c r="A228" s="13">
        <v>47788</v>
      </c>
      <c r="B228" s="9">
        <f>4.256 * CHOOSE(CONTROL!$C$32, $C$9, 100%, $E$9)</f>
        <v>4.2560000000000002</v>
      </c>
      <c r="C228" s="9">
        <f>4.256 * CHOOSE(CONTROL!$C$32, $C$9, 100%, $E$9)</f>
        <v>4.2560000000000002</v>
      </c>
      <c r="D228" s="9">
        <f>4.2571 * CHOOSE(CONTROL!$C$32, $C$9, 100%, $E$9)</f>
        <v>4.2571000000000003</v>
      </c>
      <c r="E228" s="11">
        <f>5.4343 * CHOOSE(CONTROL!$C$32, $C$9, 100%, $E$9)</f>
        <v>5.4343000000000004</v>
      </c>
      <c r="F228" s="11">
        <f>5.4343 * CHOOSE(CONTROL!$C$32, $C$9, 100%, $E$9)</f>
        <v>5.4343000000000004</v>
      </c>
      <c r="G228" s="11">
        <f>5.438 * CHOOSE(CONTROL!$C$32, $C$9, 100%, $E$9)</f>
        <v>5.4379999999999997</v>
      </c>
      <c r="H228" s="11">
        <f>8.656 * CHOOSE(CONTROL!$C$32, $C$9, 100%, $E$9)</f>
        <v>8.6560000000000006</v>
      </c>
      <c r="I228" s="11">
        <f>8.6596 * CHOOSE(CONTROL!$C$32, $C$9, 100%, $E$9)</f>
        <v>8.6595999999999993</v>
      </c>
      <c r="J228" s="11">
        <f>8.656 * CHOOSE(CONTROL!$C$32, $C$9, 100%, $E$9)</f>
        <v>8.6560000000000006</v>
      </c>
      <c r="K228" s="11">
        <f>8.6596 * CHOOSE(CONTROL!$C$32, $C$9, 100%, $E$9)</f>
        <v>8.6595999999999993</v>
      </c>
      <c r="L228" s="11">
        <f>5.4343 * CHOOSE(CONTROL!$C$32, $C$9, 100%, $E$9)</f>
        <v>5.4343000000000004</v>
      </c>
      <c r="M228" s="11">
        <f>5.438 * CHOOSE(CONTROL!$C$32, $C$9, 100%, $E$9)</f>
        <v>5.4379999999999997</v>
      </c>
      <c r="N228" s="11">
        <f>5.4343 * CHOOSE(CONTROL!$C$32, $C$9, 100%, $E$9)</f>
        <v>5.4343000000000004</v>
      </c>
      <c r="O228" s="11">
        <f>5.438 * CHOOSE(CONTROL!$C$32, $C$9, 100%, $E$9)</f>
        <v>5.4379999999999997</v>
      </c>
    </row>
    <row r="229" spans="1:15" ht="15" x14ac:dyDescent="0.2">
      <c r="A229" s="13">
        <v>47818</v>
      </c>
      <c r="B229" s="9">
        <f>4.256 * CHOOSE(CONTROL!$C$32, $C$9, 100%, $E$9)</f>
        <v>4.2560000000000002</v>
      </c>
      <c r="C229" s="9">
        <f>4.256 * CHOOSE(CONTROL!$C$32, $C$9, 100%, $E$9)</f>
        <v>4.2560000000000002</v>
      </c>
      <c r="D229" s="9">
        <f>4.2571 * CHOOSE(CONTROL!$C$32, $C$9, 100%, $E$9)</f>
        <v>4.2571000000000003</v>
      </c>
      <c r="E229" s="11">
        <f>5.4343 * CHOOSE(CONTROL!$C$32, $C$9, 100%, $E$9)</f>
        <v>5.4343000000000004</v>
      </c>
      <c r="F229" s="11">
        <f>5.4343 * CHOOSE(CONTROL!$C$32, $C$9, 100%, $E$9)</f>
        <v>5.4343000000000004</v>
      </c>
      <c r="G229" s="11">
        <f>5.438 * CHOOSE(CONTROL!$C$32, $C$9, 100%, $E$9)</f>
        <v>5.4379999999999997</v>
      </c>
      <c r="H229" s="11">
        <f>8.674 * CHOOSE(CONTROL!$C$32, $C$9, 100%, $E$9)</f>
        <v>8.6739999999999995</v>
      </c>
      <c r="I229" s="11">
        <f>8.6776 * CHOOSE(CONTROL!$C$32, $C$9, 100%, $E$9)</f>
        <v>8.6776</v>
      </c>
      <c r="J229" s="11">
        <f>8.674 * CHOOSE(CONTROL!$C$32, $C$9, 100%, $E$9)</f>
        <v>8.6739999999999995</v>
      </c>
      <c r="K229" s="11">
        <f>8.6776 * CHOOSE(CONTROL!$C$32, $C$9, 100%, $E$9)</f>
        <v>8.6776</v>
      </c>
      <c r="L229" s="11">
        <f>5.4343 * CHOOSE(CONTROL!$C$32, $C$9, 100%, $E$9)</f>
        <v>5.4343000000000004</v>
      </c>
      <c r="M229" s="11">
        <f>5.438 * CHOOSE(CONTROL!$C$32, $C$9, 100%, $E$9)</f>
        <v>5.4379999999999997</v>
      </c>
      <c r="N229" s="11">
        <f>5.4343 * CHOOSE(CONTROL!$C$32, $C$9, 100%, $E$9)</f>
        <v>5.4343000000000004</v>
      </c>
      <c r="O229" s="11">
        <f>5.438 * CHOOSE(CONTROL!$C$32, $C$9, 100%, $E$9)</f>
        <v>5.4379999999999997</v>
      </c>
    </row>
    <row r="230" spans="1:15" ht="15" x14ac:dyDescent="0.2">
      <c r="A230" s="13">
        <v>47849</v>
      </c>
      <c r="B230" s="9">
        <f>4.2906 * CHOOSE(CONTROL!$C$32, $C$9, 100%, $E$9)</f>
        <v>4.2906000000000004</v>
      </c>
      <c r="C230" s="9">
        <f>4.2906 * CHOOSE(CONTROL!$C$32, $C$9, 100%, $E$9)</f>
        <v>4.2906000000000004</v>
      </c>
      <c r="D230" s="9">
        <f>4.2916 * CHOOSE(CONTROL!$C$32, $C$9, 100%, $E$9)</f>
        <v>4.2915999999999999</v>
      </c>
      <c r="E230" s="11">
        <f>5.4769 * CHOOSE(CONTROL!$C$32, $C$9, 100%, $E$9)</f>
        <v>5.4768999999999997</v>
      </c>
      <c r="F230" s="11">
        <f>5.4769 * CHOOSE(CONTROL!$C$32, $C$9, 100%, $E$9)</f>
        <v>5.4768999999999997</v>
      </c>
      <c r="G230" s="11">
        <f>5.4806 * CHOOSE(CONTROL!$C$32, $C$9, 100%, $E$9)</f>
        <v>5.4805999999999999</v>
      </c>
      <c r="H230" s="11">
        <f>8.6921 * CHOOSE(CONTROL!$C$32, $C$9, 100%, $E$9)</f>
        <v>8.6920999999999999</v>
      </c>
      <c r="I230" s="11">
        <f>8.6957 * CHOOSE(CONTROL!$C$32, $C$9, 100%, $E$9)</f>
        <v>8.6957000000000004</v>
      </c>
      <c r="J230" s="11">
        <f>8.6921 * CHOOSE(CONTROL!$C$32, $C$9, 100%, $E$9)</f>
        <v>8.6920999999999999</v>
      </c>
      <c r="K230" s="11">
        <f>8.6957 * CHOOSE(CONTROL!$C$32, $C$9, 100%, $E$9)</f>
        <v>8.6957000000000004</v>
      </c>
      <c r="L230" s="11">
        <f>5.4769 * CHOOSE(CONTROL!$C$32, $C$9, 100%, $E$9)</f>
        <v>5.4768999999999997</v>
      </c>
      <c r="M230" s="11">
        <f>5.4806 * CHOOSE(CONTROL!$C$32, $C$9, 100%, $E$9)</f>
        <v>5.4805999999999999</v>
      </c>
      <c r="N230" s="11">
        <f>5.4769 * CHOOSE(CONTROL!$C$32, $C$9, 100%, $E$9)</f>
        <v>5.4768999999999997</v>
      </c>
      <c r="O230" s="11">
        <f>5.4806 * CHOOSE(CONTROL!$C$32, $C$9, 100%, $E$9)</f>
        <v>5.4805999999999999</v>
      </c>
    </row>
    <row r="231" spans="1:15" ht="15" x14ac:dyDescent="0.2">
      <c r="A231" s="13">
        <v>47880</v>
      </c>
      <c r="B231" s="9">
        <f>4.2875 * CHOOSE(CONTROL!$C$32, $C$9, 100%, $E$9)</f>
        <v>4.2874999999999996</v>
      </c>
      <c r="C231" s="9">
        <f>4.2875 * CHOOSE(CONTROL!$C$32, $C$9, 100%, $E$9)</f>
        <v>4.2874999999999996</v>
      </c>
      <c r="D231" s="9">
        <f>4.2886 * CHOOSE(CONTROL!$C$32, $C$9, 100%, $E$9)</f>
        <v>4.2885999999999997</v>
      </c>
      <c r="E231" s="11">
        <f>5.4749 * CHOOSE(CONTROL!$C$32, $C$9, 100%, $E$9)</f>
        <v>5.4748999999999999</v>
      </c>
      <c r="F231" s="11">
        <f>5.4749 * CHOOSE(CONTROL!$C$32, $C$9, 100%, $E$9)</f>
        <v>5.4748999999999999</v>
      </c>
      <c r="G231" s="11">
        <f>5.4786 * CHOOSE(CONTROL!$C$32, $C$9, 100%, $E$9)</f>
        <v>5.4786000000000001</v>
      </c>
      <c r="H231" s="11">
        <f>8.7102 * CHOOSE(CONTROL!$C$32, $C$9, 100%, $E$9)</f>
        <v>8.7102000000000004</v>
      </c>
      <c r="I231" s="11">
        <f>8.7138 * CHOOSE(CONTROL!$C$32, $C$9, 100%, $E$9)</f>
        <v>8.7138000000000009</v>
      </c>
      <c r="J231" s="11">
        <f>8.7102 * CHOOSE(CONTROL!$C$32, $C$9, 100%, $E$9)</f>
        <v>8.7102000000000004</v>
      </c>
      <c r="K231" s="11">
        <f>8.7138 * CHOOSE(CONTROL!$C$32, $C$9, 100%, $E$9)</f>
        <v>8.7138000000000009</v>
      </c>
      <c r="L231" s="11">
        <f>5.4749 * CHOOSE(CONTROL!$C$32, $C$9, 100%, $E$9)</f>
        <v>5.4748999999999999</v>
      </c>
      <c r="M231" s="11">
        <f>5.4786 * CHOOSE(CONTROL!$C$32, $C$9, 100%, $E$9)</f>
        <v>5.4786000000000001</v>
      </c>
      <c r="N231" s="11">
        <f>5.4749 * CHOOSE(CONTROL!$C$32, $C$9, 100%, $E$9)</f>
        <v>5.4748999999999999</v>
      </c>
      <c r="O231" s="11">
        <f>5.4786 * CHOOSE(CONTROL!$C$32, $C$9, 100%, $E$9)</f>
        <v>5.4786000000000001</v>
      </c>
    </row>
    <row r="232" spans="1:15" ht="15" x14ac:dyDescent="0.2">
      <c r="A232" s="13">
        <v>47908</v>
      </c>
      <c r="B232" s="9">
        <f>4.2845 * CHOOSE(CONTROL!$C$32, $C$9, 100%, $E$9)</f>
        <v>4.2845000000000004</v>
      </c>
      <c r="C232" s="9">
        <f>4.2845 * CHOOSE(CONTROL!$C$32, $C$9, 100%, $E$9)</f>
        <v>4.2845000000000004</v>
      </c>
      <c r="D232" s="9">
        <f>4.2856 * CHOOSE(CONTROL!$C$32, $C$9, 100%, $E$9)</f>
        <v>4.2855999999999996</v>
      </c>
      <c r="E232" s="11">
        <f>5.4729 * CHOOSE(CONTROL!$C$32, $C$9, 100%, $E$9)</f>
        <v>5.4729000000000001</v>
      </c>
      <c r="F232" s="11">
        <f>5.4729 * CHOOSE(CONTROL!$C$32, $C$9, 100%, $E$9)</f>
        <v>5.4729000000000001</v>
      </c>
      <c r="G232" s="11">
        <f>5.4766 * CHOOSE(CONTROL!$C$32, $C$9, 100%, $E$9)</f>
        <v>5.4766000000000004</v>
      </c>
      <c r="H232" s="11">
        <f>8.7283 * CHOOSE(CONTROL!$C$32, $C$9, 100%, $E$9)</f>
        <v>8.7283000000000008</v>
      </c>
      <c r="I232" s="11">
        <f>8.7319 * CHOOSE(CONTROL!$C$32, $C$9, 100%, $E$9)</f>
        <v>8.7318999999999996</v>
      </c>
      <c r="J232" s="11">
        <f>8.7283 * CHOOSE(CONTROL!$C$32, $C$9, 100%, $E$9)</f>
        <v>8.7283000000000008</v>
      </c>
      <c r="K232" s="11">
        <f>8.7319 * CHOOSE(CONTROL!$C$32, $C$9, 100%, $E$9)</f>
        <v>8.7318999999999996</v>
      </c>
      <c r="L232" s="11">
        <f>5.4729 * CHOOSE(CONTROL!$C$32, $C$9, 100%, $E$9)</f>
        <v>5.4729000000000001</v>
      </c>
      <c r="M232" s="11">
        <f>5.4766 * CHOOSE(CONTROL!$C$32, $C$9, 100%, $E$9)</f>
        <v>5.4766000000000004</v>
      </c>
      <c r="N232" s="11">
        <f>5.4729 * CHOOSE(CONTROL!$C$32, $C$9, 100%, $E$9)</f>
        <v>5.4729000000000001</v>
      </c>
      <c r="O232" s="11">
        <f>5.4766 * CHOOSE(CONTROL!$C$32, $C$9, 100%, $E$9)</f>
        <v>5.4766000000000004</v>
      </c>
    </row>
    <row r="233" spans="1:15" ht="15" x14ac:dyDescent="0.2">
      <c r="A233" s="13">
        <v>47939</v>
      </c>
      <c r="B233" s="9">
        <f>4.2824 * CHOOSE(CONTROL!$C$32, $C$9, 100%, $E$9)</f>
        <v>4.2824</v>
      </c>
      <c r="C233" s="9">
        <f>4.2824 * CHOOSE(CONTROL!$C$32, $C$9, 100%, $E$9)</f>
        <v>4.2824</v>
      </c>
      <c r="D233" s="9">
        <f>4.2835 * CHOOSE(CONTROL!$C$32, $C$9, 100%, $E$9)</f>
        <v>4.2835000000000001</v>
      </c>
      <c r="E233" s="11">
        <f>5.471 * CHOOSE(CONTROL!$C$32, $C$9, 100%, $E$9)</f>
        <v>5.4710000000000001</v>
      </c>
      <c r="F233" s="11">
        <f>5.471 * CHOOSE(CONTROL!$C$32, $C$9, 100%, $E$9)</f>
        <v>5.4710000000000001</v>
      </c>
      <c r="G233" s="11">
        <f>5.4746 * CHOOSE(CONTROL!$C$32, $C$9, 100%, $E$9)</f>
        <v>5.4745999999999997</v>
      </c>
      <c r="H233" s="11">
        <f>8.7465 * CHOOSE(CONTROL!$C$32, $C$9, 100%, $E$9)</f>
        <v>8.7464999999999993</v>
      </c>
      <c r="I233" s="11">
        <f>8.7501 * CHOOSE(CONTROL!$C$32, $C$9, 100%, $E$9)</f>
        <v>8.7500999999999998</v>
      </c>
      <c r="J233" s="11">
        <f>8.7465 * CHOOSE(CONTROL!$C$32, $C$9, 100%, $E$9)</f>
        <v>8.7464999999999993</v>
      </c>
      <c r="K233" s="11">
        <f>8.7501 * CHOOSE(CONTROL!$C$32, $C$9, 100%, $E$9)</f>
        <v>8.7500999999999998</v>
      </c>
      <c r="L233" s="11">
        <f>5.471 * CHOOSE(CONTROL!$C$32, $C$9, 100%, $E$9)</f>
        <v>5.4710000000000001</v>
      </c>
      <c r="M233" s="11">
        <f>5.4746 * CHOOSE(CONTROL!$C$32, $C$9, 100%, $E$9)</f>
        <v>5.4745999999999997</v>
      </c>
      <c r="N233" s="11">
        <f>5.471 * CHOOSE(CONTROL!$C$32, $C$9, 100%, $E$9)</f>
        <v>5.4710000000000001</v>
      </c>
      <c r="O233" s="11">
        <f>5.4746 * CHOOSE(CONTROL!$C$32, $C$9, 100%, $E$9)</f>
        <v>5.4745999999999997</v>
      </c>
    </row>
    <row r="234" spans="1:15" ht="15" x14ac:dyDescent="0.2">
      <c r="A234" s="13">
        <v>47969</v>
      </c>
      <c r="B234" s="9">
        <f>4.2824 * CHOOSE(CONTROL!$C$32, $C$9, 100%, $E$9)</f>
        <v>4.2824</v>
      </c>
      <c r="C234" s="9">
        <f>4.2824 * CHOOSE(CONTROL!$C$32, $C$9, 100%, $E$9)</f>
        <v>4.2824</v>
      </c>
      <c r="D234" s="9">
        <f>4.284 * CHOOSE(CONTROL!$C$32, $C$9, 100%, $E$9)</f>
        <v>4.2839999999999998</v>
      </c>
      <c r="E234" s="11">
        <f>5.471 * CHOOSE(CONTROL!$C$32, $C$9, 100%, $E$9)</f>
        <v>5.4710000000000001</v>
      </c>
      <c r="F234" s="11">
        <f>5.471 * CHOOSE(CONTROL!$C$32, $C$9, 100%, $E$9)</f>
        <v>5.4710000000000001</v>
      </c>
      <c r="G234" s="11">
        <f>5.4763 * CHOOSE(CONTROL!$C$32, $C$9, 100%, $E$9)</f>
        <v>5.4763000000000002</v>
      </c>
      <c r="H234" s="11">
        <f>8.7647 * CHOOSE(CONTROL!$C$32, $C$9, 100%, $E$9)</f>
        <v>8.7646999999999995</v>
      </c>
      <c r="I234" s="11">
        <f>8.77 * CHOOSE(CONTROL!$C$32, $C$9, 100%, $E$9)</f>
        <v>8.77</v>
      </c>
      <c r="J234" s="11">
        <f>8.7647 * CHOOSE(CONTROL!$C$32, $C$9, 100%, $E$9)</f>
        <v>8.7646999999999995</v>
      </c>
      <c r="K234" s="11">
        <f>8.77 * CHOOSE(CONTROL!$C$32, $C$9, 100%, $E$9)</f>
        <v>8.77</v>
      </c>
      <c r="L234" s="11">
        <f>5.471 * CHOOSE(CONTROL!$C$32, $C$9, 100%, $E$9)</f>
        <v>5.4710000000000001</v>
      </c>
      <c r="M234" s="11">
        <f>5.4763 * CHOOSE(CONTROL!$C$32, $C$9, 100%, $E$9)</f>
        <v>5.4763000000000002</v>
      </c>
      <c r="N234" s="11">
        <f>5.471 * CHOOSE(CONTROL!$C$32, $C$9, 100%, $E$9)</f>
        <v>5.4710000000000001</v>
      </c>
      <c r="O234" s="11">
        <f>5.4763 * CHOOSE(CONTROL!$C$32, $C$9, 100%, $E$9)</f>
        <v>5.4763000000000002</v>
      </c>
    </row>
    <row r="235" spans="1:15" ht="15" x14ac:dyDescent="0.2">
      <c r="A235" s="13">
        <v>48000</v>
      </c>
      <c r="B235" s="9">
        <f>4.2885 * CHOOSE(CONTROL!$C$32, $C$9, 100%, $E$9)</f>
        <v>4.2885</v>
      </c>
      <c r="C235" s="9">
        <f>4.2885 * CHOOSE(CONTROL!$C$32, $C$9, 100%, $E$9)</f>
        <v>4.2885</v>
      </c>
      <c r="D235" s="9">
        <f>4.2901 * CHOOSE(CONTROL!$C$32, $C$9, 100%, $E$9)</f>
        <v>4.2900999999999998</v>
      </c>
      <c r="E235" s="11">
        <f>5.475 * CHOOSE(CONTROL!$C$32, $C$9, 100%, $E$9)</f>
        <v>5.4749999999999996</v>
      </c>
      <c r="F235" s="11">
        <f>5.475 * CHOOSE(CONTROL!$C$32, $C$9, 100%, $E$9)</f>
        <v>5.4749999999999996</v>
      </c>
      <c r="G235" s="11">
        <f>5.4803 * CHOOSE(CONTROL!$C$32, $C$9, 100%, $E$9)</f>
        <v>5.4802999999999997</v>
      </c>
      <c r="H235" s="11">
        <f>8.783 * CHOOSE(CONTROL!$C$32, $C$9, 100%, $E$9)</f>
        <v>8.7829999999999995</v>
      </c>
      <c r="I235" s="11">
        <f>8.7883 * CHOOSE(CONTROL!$C$32, $C$9, 100%, $E$9)</f>
        <v>8.7882999999999996</v>
      </c>
      <c r="J235" s="11">
        <f>8.783 * CHOOSE(CONTROL!$C$32, $C$9, 100%, $E$9)</f>
        <v>8.7829999999999995</v>
      </c>
      <c r="K235" s="11">
        <f>8.7883 * CHOOSE(CONTROL!$C$32, $C$9, 100%, $E$9)</f>
        <v>8.7882999999999996</v>
      </c>
      <c r="L235" s="11">
        <f>5.475 * CHOOSE(CONTROL!$C$32, $C$9, 100%, $E$9)</f>
        <v>5.4749999999999996</v>
      </c>
      <c r="M235" s="11">
        <f>5.4803 * CHOOSE(CONTROL!$C$32, $C$9, 100%, $E$9)</f>
        <v>5.4802999999999997</v>
      </c>
      <c r="N235" s="11">
        <f>5.475 * CHOOSE(CONTROL!$C$32, $C$9, 100%, $E$9)</f>
        <v>5.4749999999999996</v>
      </c>
      <c r="O235" s="11">
        <f>5.4803 * CHOOSE(CONTROL!$C$32, $C$9, 100%, $E$9)</f>
        <v>5.4802999999999997</v>
      </c>
    </row>
    <row r="236" spans="1:15" ht="15" x14ac:dyDescent="0.2">
      <c r="A236" s="13">
        <v>48030</v>
      </c>
      <c r="B236" s="9">
        <f>4.3512 * CHOOSE(CONTROL!$C$32, $C$9, 100%, $E$9)</f>
        <v>4.3512000000000004</v>
      </c>
      <c r="C236" s="9">
        <f>4.3512 * CHOOSE(CONTROL!$C$32, $C$9, 100%, $E$9)</f>
        <v>4.3512000000000004</v>
      </c>
      <c r="D236" s="9">
        <f>4.3528 * CHOOSE(CONTROL!$C$32, $C$9, 100%, $E$9)</f>
        <v>4.3528000000000002</v>
      </c>
      <c r="E236" s="11">
        <f>5.5682 * CHOOSE(CONTROL!$C$32, $C$9, 100%, $E$9)</f>
        <v>5.5682</v>
      </c>
      <c r="F236" s="11">
        <f>5.5682 * CHOOSE(CONTROL!$C$32, $C$9, 100%, $E$9)</f>
        <v>5.5682</v>
      </c>
      <c r="G236" s="11">
        <f>5.5735 * CHOOSE(CONTROL!$C$32, $C$9, 100%, $E$9)</f>
        <v>5.5735000000000001</v>
      </c>
      <c r="H236" s="11">
        <f>8.8013 * CHOOSE(CONTROL!$C$32, $C$9, 100%, $E$9)</f>
        <v>8.8012999999999995</v>
      </c>
      <c r="I236" s="11">
        <f>8.8066 * CHOOSE(CONTROL!$C$32, $C$9, 100%, $E$9)</f>
        <v>8.8065999999999995</v>
      </c>
      <c r="J236" s="11">
        <f>8.8013 * CHOOSE(CONTROL!$C$32, $C$9, 100%, $E$9)</f>
        <v>8.8012999999999995</v>
      </c>
      <c r="K236" s="11">
        <f>8.8066 * CHOOSE(CONTROL!$C$32, $C$9, 100%, $E$9)</f>
        <v>8.8065999999999995</v>
      </c>
      <c r="L236" s="11">
        <f>5.5682 * CHOOSE(CONTROL!$C$32, $C$9, 100%, $E$9)</f>
        <v>5.5682</v>
      </c>
      <c r="M236" s="11">
        <f>5.5735 * CHOOSE(CONTROL!$C$32, $C$9, 100%, $E$9)</f>
        <v>5.5735000000000001</v>
      </c>
      <c r="N236" s="11">
        <f>5.5682 * CHOOSE(CONTROL!$C$32, $C$9, 100%, $E$9)</f>
        <v>5.5682</v>
      </c>
      <c r="O236" s="11">
        <f>5.5735 * CHOOSE(CONTROL!$C$32, $C$9, 100%, $E$9)</f>
        <v>5.5735000000000001</v>
      </c>
    </row>
    <row r="237" spans="1:15" ht="15" x14ac:dyDescent="0.2">
      <c r="A237" s="13">
        <v>48061</v>
      </c>
      <c r="B237" s="9">
        <f>4.3579 * CHOOSE(CONTROL!$C$32, $C$9, 100%, $E$9)</f>
        <v>4.3578999999999999</v>
      </c>
      <c r="C237" s="9">
        <f>4.3579 * CHOOSE(CONTROL!$C$32, $C$9, 100%, $E$9)</f>
        <v>4.3578999999999999</v>
      </c>
      <c r="D237" s="9">
        <f>4.3595 * CHOOSE(CONTROL!$C$32, $C$9, 100%, $E$9)</f>
        <v>4.3594999999999997</v>
      </c>
      <c r="E237" s="11">
        <f>5.5726 * CHOOSE(CONTROL!$C$32, $C$9, 100%, $E$9)</f>
        <v>5.5726000000000004</v>
      </c>
      <c r="F237" s="11">
        <f>5.5726 * CHOOSE(CONTROL!$C$32, $C$9, 100%, $E$9)</f>
        <v>5.5726000000000004</v>
      </c>
      <c r="G237" s="11">
        <f>5.5779 * CHOOSE(CONTROL!$C$32, $C$9, 100%, $E$9)</f>
        <v>5.5778999999999996</v>
      </c>
      <c r="H237" s="11">
        <f>8.8196 * CHOOSE(CONTROL!$C$32, $C$9, 100%, $E$9)</f>
        <v>8.8195999999999994</v>
      </c>
      <c r="I237" s="11">
        <f>8.8249 * CHOOSE(CONTROL!$C$32, $C$9, 100%, $E$9)</f>
        <v>8.8248999999999995</v>
      </c>
      <c r="J237" s="11">
        <f>8.8196 * CHOOSE(CONTROL!$C$32, $C$9, 100%, $E$9)</f>
        <v>8.8195999999999994</v>
      </c>
      <c r="K237" s="11">
        <f>8.8249 * CHOOSE(CONTROL!$C$32, $C$9, 100%, $E$9)</f>
        <v>8.8248999999999995</v>
      </c>
      <c r="L237" s="11">
        <f>5.5726 * CHOOSE(CONTROL!$C$32, $C$9, 100%, $E$9)</f>
        <v>5.5726000000000004</v>
      </c>
      <c r="M237" s="11">
        <f>5.5779 * CHOOSE(CONTROL!$C$32, $C$9, 100%, $E$9)</f>
        <v>5.5778999999999996</v>
      </c>
      <c r="N237" s="11">
        <f>5.5726 * CHOOSE(CONTROL!$C$32, $C$9, 100%, $E$9)</f>
        <v>5.5726000000000004</v>
      </c>
      <c r="O237" s="11">
        <f>5.5779 * CHOOSE(CONTROL!$C$32, $C$9, 100%, $E$9)</f>
        <v>5.5778999999999996</v>
      </c>
    </row>
    <row r="238" spans="1:15" ht="15" x14ac:dyDescent="0.2">
      <c r="A238" s="13">
        <v>48092</v>
      </c>
      <c r="B238" s="9">
        <f>4.3549 * CHOOSE(CONTROL!$C$32, $C$9, 100%, $E$9)</f>
        <v>4.3548999999999998</v>
      </c>
      <c r="C238" s="9">
        <f>4.3549 * CHOOSE(CONTROL!$C$32, $C$9, 100%, $E$9)</f>
        <v>4.3548999999999998</v>
      </c>
      <c r="D238" s="9">
        <f>4.3565 * CHOOSE(CONTROL!$C$32, $C$9, 100%, $E$9)</f>
        <v>4.3564999999999996</v>
      </c>
      <c r="E238" s="11">
        <f>5.5706 * CHOOSE(CONTROL!$C$32, $C$9, 100%, $E$9)</f>
        <v>5.5705999999999998</v>
      </c>
      <c r="F238" s="11">
        <f>5.5706 * CHOOSE(CONTROL!$C$32, $C$9, 100%, $E$9)</f>
        <v>5.5705999999999998</v>
      </c>
      <c r="G238" s="11">
        <f>5.5759 * CHOOSE(CONTROL!$C$32, $C$9, 100%, $E$9)</f>
        <v>5.5758999999999999</v>
      </c>
      <c r="H238" s="11">
        <f>8.838 * CHOOSE(CONTROL!$C$32, $C$9, 100%, $E$9)</f>
        <v>8.8379999999999992</v>
      </c>
      <c r="I238" s="11">
        <f>8.8433 * CHOOSE(CONTROL!$C$32, $C$9, 100%, $E$9)</f>
        <v>8.8432999999999993</v>
      </c>
      <c r="J238" s="11">
        <f>8.838 * CHOOSE(CONTROL!$C$32, $C$9, 100%, $E$9)</f>
        <v>8.8379999999999992</v>
      </c>
      <c r="K238" s="11">
        <f>8.8433 * CHOOSE(CONTROL!$C$32, $C$9, 100%, $E$9)</f>
        <v>8.8432999999999993</v>
      </c>
      <c r="L238" s="11">
        <f>5.5706 * CHOOSE(CONTROL!$C$32, $C$9, 100%, $E$9)</f>
        <v>5.5705999999999998</v>
      </c>
      <c r="M238" s="11">
        <f>5.5759 * CHOOSE(CONTROL!$C$32, $C$9, 100%, $E$9)</f>
        <v>5.5758999999999999</v>
      </c>
      <c r="N238" s="11">
        <f>5.5706 * CHOOSE(CONTROL!$C$32, $C$9, 100%, $E$9)</f>
        <v>5.5705999999999998</v>
      </c>
      <c r="O238" s="11">
        <f>5.5759 * CHOOSE(CONTROL!$C$32, $C$9, 100%, $E$9)</f>
        <v>5.5758999999999999</v>
      </c>
    </row>
    <row r="239" spans="1:15" ht="15" x14ac:dyDescent="0.2">
      <c r="A239" s="13">
        <v>48122</v>
      </c>
      <c r="B239" s="9">
        <f>4.3513 * CHOOSE(CONTROL!$C$32, $C$9, 100%, $E$9)</f>
        <v>4.3513000000000002</v>
      </c>
      <c r="C239" s="9">
        <f>4.3513 * CHOOSE(CONTROL!$C$32, $C$9, 100%, $E$9)</f>
        <v>4.3513000000000002</v>
      </c>
      <c r="D239" s="9">
        <f>4.3523 * CHOOSE(CONTROL!$C$32, $C$9, 100%, $E$9)</f>
        <v>4.3522999999999996</v>
      </c>
      <c r="E239" s="11">
        <f>5.566 * CHOOSE(CONTROL!$C$32, $C$9, 100%, $E$9)</f>
        <v>5.5659999999999998</v>
      </c>
      <c r="F239" s="11">
        <f>5.566 * CHOOSE(CONTROL!$C$32, $C$9, 100%, $E$9)</f>
        <v>5.5659999999999998</v>
      </c>
      <c r="G239" s="11">
        <f>5.5696 * CHOOSE(CONTROL!$C$32, $C$9, 100%, $E$9)</f>
        <v>5.5696000000000003</v>
      </c>
      <c r="H239" s="11">
        <f>8.8564 * CHOOSE(CONTROL!$C$32, $C$9, 100%, $E$9)</f>
        <v>8.8564000000000007</v>
      </c>
      <c r="I239" s="11">
        <f>8.86 * CHOOSE(CONTROL!$C$32, $C$9, 100%, $E$9)</f>
        <v>8.86</v>
      </c>
      <c r="J239" s="11">
        <f>8.8564 * CHOOSE(CONTROL!$C$32, $C$9, 100%, $E$9)</f>
        <v>8.8564000000000007</v>
      </c>
      <c r="K239" s="11">
        <f>8.86 * CHOOSE(CONTROL!$C$32, $C$9, 100%, $E$9)</f>
        <v>8.86</v>
      </c>
      <c r="L239" s="11">
        <f>5.566 * CHOOSE(CONTROL!$C$32, $C$9, 100%, $E$9)</f>
        <v>5.5659999999999998</v>
      </c>
      <c r="M239" s="11">
        <f>5.5696 * CHOOSE(CONTROL!$C$32, $C$9, 100%, $E$9)</f>
        <v>5.5696000000000003</v>
      </c>
      <c r="N239" s="11">
        <f>5.566 * CHOOSE(CONTROL!$C$32, $C$9, 100%, $E$9)</f>
        <v>5.5659999999999998</v>
      </c>
      <c r="O239" s="11">
        <f>5.5696 * CHOOSE(CONTROL!$C$32, $C$9, 100%, $E$9)</f>
        <v>5.5696000000000003</v>
      </c>
    </row>
    <row r="240" spans="1:15" ht="15" x14ac:dyDescent="0.2">
      <c r="A240" s="13">
        <v>48153</v>
      </c>
      <c r="B240" s="9">
        <f>4.3543 * CHOOSE(CONTROL!$C$32, $C$9, 100%, $E$9)</f>
        <v>4.3543000000000003</v>
      </c>
      <c r="C240" s="9">
        <f>4.3543 * CHOOSE(CONTROL!$C$32, $C$9, 100%, $E$9)</f>
        <v>4.3543000000000003</v>
      </c>
      <c r="D240" s="9">
        <f>4.3554 * CHOOSE(CONTROL!$C$32, $C$9, 100%, $E$9)</f>
        <v>4.3554000000000004</v>
      </c>
      <c r="E240" s="11">
        <f>5.568 * CHOOSE(CONTROL!$C$32, $C$9, 100%, $E$9)</f>
        <v>5.5679999999999996</v>
      </c>
      <c r="F240" s="11">
        <f>5.568 * CHOOSE(CONTROL!$C$32, $C$9, 100%, $E$9)</f>
        <v>5.5679999999999996</v>
      </c>
      <c r="G240" s="11">
        <f>5.5716 * CHOOSE(CONTROL!$C$32, $C$9, 100%, $E$9)</f>
        <v>5.5716000000000001</v>
      </c>
      <c r="H240" s="11">
        <f>8.8749 * CHOOSE(CONTROL!$C$32, $C$9, 100%, $E$9)</f>
        <v>8.8749000000000002</v>
      </c>
      <c r="I240" s="11">
        <f>8.8785 * CHOOSE(CONTROL!$C$32, $C$9, 100%, $E$9)</f>
        <v>8.8785000000000007</v>
      </c>
      <c r="J240" s="11">
        <f>8.8749 * CHOOSE(CONTROL!$C$32, $C$9, 100%, $E$9)</f>
        <v>8.8749000000000002</v>
      </c>
      <c r="K240" s="11">
        <f>8.8785 * CHOOSE(CONTROL!$C$32, $C$9, 100%, $E$9)</f>
        <v>8.8785000000000007</v>
      </c>
      <c r="L240" s="11">
        <f>5.568 * CHOOSE(CONTROL!$C$32, $C$9, 100%, $E$9)</f>
        <v>5.5679999999999996</v>
      </c>
      <c r="M240" s="11">
        <f>5.5716 * CHOOSE(CONTROL!$C$32, $C$9, 100%, $E$9)</f>
        <v>5.5716000000000001</v>
      </c>
      <c r="N240" s="11">
        <f>5.568 * CHOOSE(CONTROL!$C$32, $C$9, 100%, $E$9)</f>
        <v>5.5679999999999996</v>
      </c>
      <c r="O240" s="11">
        <f>5.5716 * CHOOSE(CONTROL!$C$32, $C$9, 100%, $E$9)</f>
        <v>5.5716000000000001</v>
      </c>
    </row>
    <row r="241" spans="1:15" ht="15" x14ac:dyDescent="0.2">
      <c r="A241" s="13">
        <v>48183</v>
      </c>
      <c r="B241" s="9">
        <f>4.3543 * CHOOSE(CONTROL!$C$32, $C$9, 100%, $E$9)</f>
        <v>4.3543000000000003</v>
      </c>
      <c r="C241" s="9">
        <f>4.3543 * CHOOSE(CONTROL!$C$32, $C$9, 100%, $E$9)</f>
        <v>4.3543000000000003</v>
      </c>
      <c r="D241" s="9">
        <f>4.3554 * CHOOSE(CONTROL!$C$32, $C$9, 100%, $E$9)</f>
        <v>4.3554000000000004</v>
      </c>
      <c r="E241" s="11">
        <f>5.568 * CHOOSE(CONTROL!$C$32, $C$9, 100%, $E$9)</f>
        <v>5.5679999999999996</v>
      </c>
      <c r="F241" s="11">
        <f>5.568 * CHOOSE(CONTROL!$C$32, $C$9, 100%, $E$9)</f>
        <v>5.5679999999999996</v>
      </c>
      <c r="G241" s="11">
        <f>5.5716 * CHOOSE(CONTROL!$C$32, $C$9, 100%, $E$9)</f>
        <v>5.5716000000000001</v>
      </c>
      <c r="H241" s="11">
        <f>8.8934 * CHOOSE(CONTROL!$C$32, $C$9, 100%, $E$9)</f>
        <v>8.8933999999999997</v>
      </c>
      <c r="I241" s="11">
        <f>8.897 * CHOOSE(CONTROL!$C$32, $C$9, 100%, $E$9)</f>
        <v>8.8970000000000002</v>
      </c>
      <c r="J241" s="11">
        <f>8.8934 * CHOOSE(CONTROL!$C$32, $C$9, 100%, $E$9)</f>
        <v>8.8933999999999997</v>
      </c>
      <c r="K241" s="11">
        <f>8.897 * CHOOSE(CONTROL!$C$32, $C$9, 100%, $E$9)</f>
        <v>8.8970000000000002</v>
      </c>
      <c r="L241" s="11">
        <f>5.568 * CHOOSE(CONTROL!$C$32, $C$9, 100%, $E$9)</f>
        <v>5.5679999999999996</v>
      </c>
      <c r="M241" s="11">
        <f>5.5716 * CHOOSE(CONTROL!$C$32, $C$9, 100%, $E$9)</f>
        <v>5.5716000000000001</v>
      </c>
      <c r="N241" s="11">
        <f>5.568 * CHOOSE(CONTROL!$C$32, $C$9, 100%, $E$9)</f>
        <v>5.5679999999999996</v>
      </c>
      <c r="O241" s="11">
        <f>5.5716 * CHOOSE(CONTROL!$C$32, $C$9, 100%, $E$9)</f>
        <v>5.5716000000000001</v>
      </c>
    </row>
    <row r="242" spans="1:15" ht="15" x14ac:dyDescent="0.2">
      <c r="A242" s="13">
        <v>48214</v>
      </c>
      <c r="B242" s="9">
        <f>4.3913 * CHOOSE(CONTROL!$C$32, $C$9, 100%, $E$9)</f>
        <v>4.3913000000000002</v>
      </c>
      <c r="C242" s="9">
        <f>4.3913 * CHOOSE(CONTROL!$C$32, $C$9, 100%, $E$9)</f>
        <v>4.3913000000000002</v>
      </c>
      <c r="D242" s="9">
        <f>4.3923 * CHOOSE(CONTROL!$C$32, $C$9, 100%, $E$9)</f>
        <v>4.3922999999999996</v>
      </c>
      <c r="E242" s="11">
        <f>5.6146 * CHOOSE(CONTROL!$C$32, $C$9, 100%, $E$9)</f>
        <v>5.6146000000000003</v>
      </c>
      <c r="F242" s="11">
        <f>5.6146 * CHOOSE(CONTROL!$C$32, $C$9, 100%, $E$9)</f>
        <v>5.6146000000000003</v>
      </c>
      <c r="G242" s="11">
        <f>5.6182 * CHOOSE(CONTROL!$C$32, $C$9, 100%, $E$9)</f>
        <v>5.6181999999999999</v>
      </c>
      <c r="H242" s="11">
        <f>8.9119 * CHOOSE(CONTROL!$C$32, $C$9, 100%, $E$9)</f>
        <v>8.9118999999999993</v>
      </c>
      <c r="I242" s="11">
        <f>8.9155 * CHOOSE(CONTROL!$C$32, $C$9, 100%, $E$9)</f>
        <v>8.9154999999999998</v>
      </c>
      <c r="J242" s="11">
        <f>8.9119 * CHOOSE(CONTROL!$C$32, $C$9, 100%, $E$9)</f>
        <v>8.9118999999999993</v>
      </c>
      <c r="K242" s="11">
        <f>8.9155 * CHOOSE(CONTROL!$C$32, $C$9, 100%, $E$9)</f>
        <v>8.9154999999999998</v>
      </c>
      <c r="L242" s="11">
        <f>5.6146 * CHOOSE(CONTROL!$C$32, $C$9, 100%, $E$9)</f>
        <v>5.6146000000000003</v>
      </c>
      <c r="M242" s="11">
        <f>5.6182 * CHOOSE(CONTROL!$C$32, $C$9, 100%, $E$9)</f>
        <v>5.6181999999999999</v>
      </c>
      <c r="N242" s="11">
        <f>5.6146 * CHOOSE(CONTROL!$C$32, $C$9, 100%, $E$9)</f>
        <v>5.6146000000000003</v>
      </c>
      <c r="O242" s="11">
        <f>5.6182 * CHOOSE(CONTROL!$C$32, $C$9, 100%, $E$9)</f>
        <v>5.6181999999999999</v>
      </c>
    </row>
    <row r="243" spans="1:15" ht="15" x14ac:dyDescent="0.2">
      <c r="A243" s="13">
        <v>48245</v>
      </c>
      <c r="B243" s="9">
        <f>4.3882 * CHOOSE(CONTROL!$C$32, $C$9, 100%, $E$9)</f>
        <v>4.3882000000000003</v>
      </c>
      <c r="C243" s="9">
        <f>4.3882 * CHOOSE(CONTROL!$C$32, $C$9, 100%, $E$9)</f>
        <v>4.3882000000000003</v>
      </c>
      <c r="D243" s="9">
        <f>4.3893 * CHOOSE(CONTROL!$C$32, $C$9, 100%, $E$9)</f>
        <v>4.3893000000000004</v>
      </c>
      <c r="E243" s="11">
        <f>5.6126 * CHOOSE(CONTROL!$C$32, $C$9, 100%, $E$9)</f>
        <v>5.6125999999999996</v>
      </c>
      <c r="F243" s="11">
        <f>5.6126 * CHOOSE(CONTROL!$C$32, $C$9, 100%, $E$9)</f>
        <v>5.6125999999999996</v>
      </c>
      <c r="G243" s="11">
        <f>5.6162 * CHOOSE(CONTROL!$C$32, $C$9, 100%, $E$9)</f>
        <v>5.6162000000000001</v>
      </c>
      <c r="H243" s="11">
        <f>8.9305 * CHOOSE(CONTROL!$C$32, $C$9, 100%, $E$9)</f>
        <v>8.9305000000000003</v>
      </c>
      <c r="I243" s="11">
        <f>8.9341 * CHOOSE(CONTROL!$C$32, $C$9, 100%, $E$9)</f>
        <v>8.9341000000000008</v>
      </c>
      <c r="J243" s="11">
        <f>8.9305 * CHOOSE(CONTROL!$C$32, $C$9, 100%, $E$9)</f>
        <v>8.9305000000000003</v>
      </c>
      <c r="K243" s="11">
        <f>8.9341 * CHOOSE(CONTROL!$C$32, $C$9, 100%, $E$9)</f>
        <v>8.9341000000000008</v>
      </c>
      <c r="L243" s="11">
        <f>5.6126 * CHOOSE(CONTROL!$C$32, $C$9, 100%, $E$9)</f>
        <v>5.6125999999999996</v>
      </c>
      <c r="M243" s="11">
        <f>5.6162 * CHOOSE(CONTROL!$C$32, $C$9, 100%, $E$9)</f>
        <v>5.6162000000000001</v>
      </c>
      <c r="N243" s="11">
        <f>5.6126 * CHOOSE(CONTROL!$C$32, $C$9, 100%, $E$9)</f>
        <v>5.6125999999999996</v>
      </c>
      <c r="O243" s="11">
        <f>5.6162 * CHOOSE(CONTROL!$C$32, $C$9, 100%, $E$9)</f>
        <v>5.6162000000000001</v>
      </c>
    </row>
    <row r="244" spans="1:15" ht="15" x14ac:dyDescent="0.2">
      <c r="A244" s="13">
        <v>48274</v>
      </c>
      <c r="B244" s="9">
        <f>4.3852 * CHOOSE(CONTROL!$C$32, $C$9, 100%, $E$9)</f>
        <v>4.3852000000000002</v>
      </c>
      <c r="C244" s="9">
        <f>4.3852 * CHOOSE(CONTROL!$C$32, $C$9, 100%, $E$9)</f>
        <v>4.3852000000000002</v>
      </c>
      <c r="D244" s="9">
        <f>4.3862 * CHOOSE(CONTROL!$C$32, $C$9, 100%, $E$9)</f>
        <v>4.3861999999999997</v>
      </c>
      <c r="E244" s="11">
        <f>5.6106 * CHOOSE(CONTROL!$C$32, $C$9, 100%, $E$9)</f>
        <v>5.6105999999999998</v>
      </c>
      <c r="F244" s="11">
        <f>5.6106 * CHOOSE(CONTROL!$C$32, $C$9, 100%, $E$9)</f>
        <v>5.6105999999999998</v>
      </c>
      <c r="G244" s="11">
        <f>5.6142 * CHOOSE(CONTROL!$C$32, $C$9, 100%, $E$9)</f>
        <v>5.6142000000000003</v>
      </c>
      <c r="H244" s="11">
        <f>8.9491 * CHOOSE(CONTROL!$C$32, $C$9, 100%, $E$9)</f>
        <v>8.9490999999999996</v>
      </c>
      <c r="I244" s="11">
        <f>8.9527 * CHOOSE(CONTROL!$C$32, $C$9, 100%, $E$9)</f>
        <v>8.9527000000000001</v>
      </c>
      <c r="J244" s="11">
        <f>8.9491 * CHOOSE(CONTROL!$C$32, $C$9, 100%, $E$9)</f>
        <v>8.9490999999999996</v>
      </c>
      <c r="K244" s="11">
        <f>8.9527 * CHOOSE(CONTROL!$C$32, $C$9, 100%, $E$9)</f>
        <v>8.9527000000000001</v>
      </c>
      <c r="L244" s="11">
        <f>5.6106 * CHOOSE(CONTROL!$C$32, $C$9, 100%, $E$9)</f>
        <v>5.6105999999999998</v>
      </c>
      <c r="M244" s="11">
        <f>5.6142 * CHOOSE(CONTROL!$C$32, $C$9, 100%, $E$9)</f>
        <v>5.6142000000000003</v>
      </c>
      <c r="N244" s="11">
        <f>5.6106 * CHOOSE(CONTROL!$C$32, $C$9, 100%, $E$9)</f>
        <v>5.6105999999999998</v>
      </c>
      <c r="O244" s="11">
        <f>5.6142 * CHOOSE(CONTROL!$C$32, $C$9, 100%, $E$9)</f>
        <v>5.6142000000000003</v>
      </c>
    </row>
    <row r="245" spans="1:15" ht="15" x14ac:dyDescent="0.2">
      <c r="A245" s="13">
        <v>48305</v>
      </c>
      <c r="B245" s="9">
        <f>4.3832 * CHOOSE(CONTROL!$C$32, $C$9, 100%, $E$9)</f>
        <v>4.3832000000000004</v>
      </c>
      <c r="C245" s="9">
        <f>4.3832 * CHOOSE(CONTROL!$C$32, $C$9, 100%, $E$9)</f>
        <v>4.3832000000000004</v>
      </c>
      <c r="D245" s="9">
        <f>4.3843 * CHOOSE(CONTROL!$C$32, $C$9, 100%, $E$9)</f>
        <v>4.3842999999999996</v>
      </c>
      <c r="E245" s="11">
        <f>5.6087 * CHOOSE(CONTROL!$C$32, $C$9, 100%, $E$9)</f>
        <v>5.6086999999999998</v>
      </c>
      <c r="F245" s="11">
        <f>5.6087 * CHOOSE(CONTROL!$C$32, $C$9, 100%, $E$9)</f>
        <v>5.6086999999999998</v>
      </c>
      <c r="G245" s="11">
        <f>5.6123 * CHOOSE(CONTROL!$C$32, $C$9, 100%, $E$9)</f>
        <v>5.6123000000000003</v>
      </c>
      <c r="H245" s="11">
        <f>8.9677 * CHOOSE(CONTROL!$C$32, $C$9, 100%, $E$9)</f>
        <v>8.9677000000000007</v>
      </c>
      <c r="I245" s="11">
        <f>8.9713 * CHOOSE(CONTROL!$C$32, $C$9, 100%, $E$9)</f>
        <v>8.9712999999999994</v>
      </c>
      <c r="J245" s="11">
        <f>8.9677 * CHOOSE(CONTROL!$C$32, $C$9, 100%, $E$9)</f>
        <v>8.9677000000000007</v>
      </c>
      <c r="K245" s="11">
        <f>8.9713 * CHOOSE(CONTROL!$C$32, $C$9, 100%, $E$9)</f>
        <v>8.9712999999999994</v>
      </c>
      <c r="L245" s="11">
        <f>5.6087 * CHOOSE(CONTROL!$C$32, $C$9, 100%, $E$9)</f>
        <v>5.6086999999999998</v>
      </c>
      <c r="M245" s="11">
        <f>5.6123 * CHOOSE(CONTROL!$C$32, $C$9, 100%, $E$9)</f>
        <v>5.6123000000000003</v>
      </c>
      <c r="N245" s="11">
        <f>5.6087 * CHOOSE(CONTROL!$C$32, $C$9, 100%, $E$9)</f>
        <v>5.6086999999999998</v>
      </c>
      <c r="O245" s="11">
        <f>5.6123 * CHOOSE(CONTROL!$C$32, $C$9, 100%, $E$9)</f>
        <v>5.6123000000000003</v>
      </c>
    </row>
    <row r="246" spans="1:15" ht="15" x14ac:dyDescent="0.2">
      <c r="A246" s="13">
        <v>48335</v>
      </c>
      <c r="B246" s="9">
        <f>4.3832 * CHOOSE(CONTROL!$C$32, $C$9, 100%, $E$9)</f>
        <v>4.3832000000000004</v>
      </c>
      <c r="C246" s="9">
        <f>4.3832 * CHOOSE(CONTROL!$C$32, $C$9, 100%, $E$9)</f>
        <v>4.3832000000000004</v>
      </c>
      <c r="D246" s="9">
        <f>4.3848 * CHOOSE(CONTROL!$C$32, $C$9, 100%, $E$9)</f>
        <v>4.3848000000000003</v>
      </c>
      <c r="E246" s="11">
        <f>5.6087 * CHOOSE(CONTROL!$C$32, $C$9, 100%, $E$9)</f>
        <v>5.6086999999999998</v>
      </c>
      <c r="F246" s="11">
        <f>5.6087 * CHOOSE(CONTROL!$C$32, $C$9, 100%, $E$9)</f>
        <v>5.6086999999999998</v>
      </c>
      <c r="G246" s="11">
        <f>5.614 * CHOOSE(CONTROL!$C$32, $C$9, 100%, $E$9)</f>
        <v>5.6139999999999999</v>
      </c>
      <c r="H246" s="11">
        <f>8.9864 * CHOOSE(CONTROL!$C$32, $C$9, 100%, $E$9)</f>
        <v>8.9863999999999997</v>
      </c>
      <c r="I246" s="11">
        <f>8.9917 * CHOOSE(CONTROL!$C$32, $C$9, 100%, $E$9)</f>
        <v>8.9916999999999998</v>
      </c>
      <c r="J246" s="11">
        <f>8.9864 * CHOOSE(CONTROL!$C$32, $C$9, 100%, $E$9)</f>
        <v>8.9863999999999997</v>
      </c>
      <c r="K246" s="11">
        <f>8.9917 * CHOOSE(CONTROL!$C$32, $C$9, 100%, $E$9)</f>
        <v>8.9916999999999998</v>
      </c>
      <c r="L246" s="11">
        <f>5.6087 * CHOOSE(CONTROL!$C$32, $C$9, 100%, $E$9)</f>
        <v>5.6086999999999998</v>
      </c>
      <c r="M246" s="11">
        <f>5.614 * CHOOSE(CONTROL!$C$32, $C$9, 100%, $E$9)</f>
        <v>5.6139999999999999</v>
      </c>
      <c r="N246" s="11">
        <f>5.6087 * CHOOSE(CONTROL!$C$32, $C$9, 100%, $E$9)</f>
        <v>5.6086999999999998</v>
      </c>
      <c r="O246" s="11">
        <f>5.614 * CHOOSE(CONTROL!$C$32, $C$9, 100%, $E$9)</f>
        <v>5.6139999999999999</v>
      </c>
    </row>
    <row r="247" spans="1:15" ht="15" x14ac:dyDescent="0.2">
      <c r="A247" s="13">
        <v>48366</v>
      </c>
      <c r="B247" s="9">
        <f>4.3893 * CHOOSE(CONTROL!$C$32, $C$9, 100%, $E$9)</f>
        <v>4.3893000000000004</v>
      </c>
      <c r="C247" s="9">
        <f>4.3893 * CHOOSE(CONTROL!$C$32, $C$9, 100%, $E$9)</f>
        <v>4.3893000000000004</v>
      </c>
      <c r="D247" s="9">
        <f>4.3909 * CHOOSE(CONTROL!$C$32, $C$9, 100%, $E$9)</f>
        <v>4.3909000000000002</v>
      </c>
      <c r="E247" s="11">
        <f>5.6127 * CHOOSE(CONTROL!$C$32, $C$9, 100%, $E$9)</f>
        <v>5.6127000000000002</v>
      </c>
      <c r="F247" s="11">
        <f>5.6127 * CHOOSE(CONTROL!$C$32, $C$9, 100%, $E$9)</f>
        <v>5.6127000000000002</v>
      </c>
      <c r="G247" s="11">
        <f>5.618 * CHOOSE(CONTROL!$C$32, $C$9, 100%, $E$9)</f>
        <v>5.6180000000000003</v>
      </c>
      <c r="H247" s="11">
        <f>9.0051 * CHOOSE(CONTROL!$C$32, $C$9, 100%, $E$9)</f>
        <v>9.0051000000000005</v>
      </c>
      <c r="I247" s="11">
        <f>9.0104 * CHOOSE(CONTROL!$C$32, $C$9, 100%, $E$9)</f>
        <v>9.0104000000000006</v>
      </c>
      <c r="J247" s="11">
        <f>9.0051 * CHOOSE(CONTROL!$C$32, $C$9, 100%, $E$9)</f>
        <v>9.0051000000000005</v>
      </c>
      <c r="K247" s="11">
        <f>9.0104 * CHOOSE(CONTROL!$C$32, $C$9, 100%, $E$9)</f>
        <v>9.0104000000000006</v>
      </c>
      <c r="L247" s="11">
        <f>5.6127 * CHOOSE(CONTROL!$C$32, $C$9, 100%, $E$9)</f>
        <v>5.6127000000000002</v>
      </c>
      <c r="M247" s="11">
        <f>5.618 * CHOOSE(CONTROL!$C$32, $C$9, 100%, $E$9)</f>
        <v>5.6180000000000003</v>
      </c>
      <c r="N247" s="11">
        <f>5.6127 * CHOOSE(CONTROL!$C$32, $C$9, 100%, $E$9)</f>
        <v>5.6127000000000002</v>
      </c>
      <c r="O247" s="11">
        <f>5.618 * CHOOSE(CONTROL!$C$32, $C$9, 100%, $E$9)</f>
        <v>5.6180000000000003</v>
      </c>
    </row>
    <row r="248" spans="1:15" ht="15" x14ac:dyDescent="0.2">
      <c r="A248" s="13">
        <v>48396</v>
      </c>
      <c r="B248" s="9">
        <f>4.4571 * CHOOSE(CONTROL!$C$32, $C$9, 100%, $E$9)</f>
        <v>4.4570999999999996</v>
      </c>
      <c r="C248" s="9">
        <f>4.4571 * CHOOSE(CONTROL!$C$32, $C$9, 100%, $E$9)</f>
        <v>4.4570999999999996</v>
      </c>
      <c r="D248" s="9">
        <f>4.4586 * CHOOSE(CONTROL!$C$32, $C$9, 100%, $E$9)</f>
        <v>4.4585999999999997</v>
      </c>
      <c r="E248" s="11">
        <f>5.7152 * CHOOSE(CONTROL!$C$32, $C$9, 100%, $E$9)</f>
        <v>5.7152000000000003</v>
      </c>
      <c r="F248" s="11">
        <f>5.7152 * CHOOSE(CONTROL!$C$32, $C$9, 100%, $E$9)</f>
        <v>5.7152000000000003</v>
      </c>
      <c r="G248" s="11">
        <f>5.7205 * CHOOSE(CONTROL!$C$32, $C$9, 100%, $E$9)</f>
        <v>5.7205000000000004</v>
      </c>
      <c r="H248" s="11">
        <f>9.0239 * CHOOSE(CONTROL!$C$32, $C$9, 100%, $E$9)</f>
        <v>9.0238999999999994</v>
      </c>
      <c r="I248" s="11">
        <f>9.0292 * CHOOSE(CONTROL!$C$32, $C$9, 100%, $E$9)</f>
        <v>9.0291999999999994</v>
      </c>
      <c r="J248" s="11">
        <f>9.0239 * CHOOSE(CONTROL!$C$32, $C$9, 100%, $E$9)</f>
        <v>9.0238999999999994</v>
      </c>
      <c r="K248" s="11">
        <f>9.0292 * CHOOSE(CONTROL!$C$32, $C$9, 100%, $E$9)</f>
        <v>9.0291999999999994</v>
      </c>
      <c r="L248" s="11">
        <f>5.7152 * CHOOSE(CONTROL!$C$32, $C$9, 100%, $E$9)</f>
        <v>5.7152000000000003</v>
      </c>
      <c r="M248" s="11">
        <f>5.7205 * CHOOSE(CONTROL!$C$32, $C$9, 100%, $E$9)</f>
        <v>5.7205000000000004</v>
      </c>
      <c r="N248" s="11">
        <f>5.7152 * CHOOSE(CONTROL!$C$32, $C$9, 100%, $E$9)</f>
        <v>5.7152000000000003</v>
      </c>
      <c r="O248" s="11">
        <f>5.7205 * CHOOSE(CONTROL!$C$32, $C$9, 100%, $E$9)</f>
        <v>5.7205000000000004</v>
      </c>
    </row>
    <row r="249" spans="1:15" ht="15" x14ac:dyDescent="0.2">
      <c r="A249" s="13">
        <v>48427</v>
      </c>
      <c r="B249" s="9">
        <f>4.4637 * CHOOSE(CONTROL!$C$32, $C$9, 100%, $E$9)</f>
        <v>4.4637000000000002</v>
      </c>
      <c r="C249" s="9">
        <f>4.4637 * CHOOSE(CONTROL!$C$32, $C$9, 100%, $E$9)</f>
        <v>4.4637000000000002</v>
      </c>
      <c r="D249" s="9">
        <f>4.4653 * CHOOSE(CONTROL!$C$32, $C$9, 100%, $E$9)</f>
        <v>4.4653</v>
      </c>
      <c r="E249" s="11">
        <f>5.7196 * CHOOSE(CONTROL!$C$32, $C$9, 100%, $E$9)</f>
        <v>5.7195999999999998</v>
      </c>
      <c r="F249" s="11">
        <f>5.7196 * CHOOSE(CONTROL!$C$32, $C$9, 100%, $E$9)</f>
        <v>5.7195999999999998</v>
      </c>
      <c r="G249" s="11">
        <f>5.7249 * CHOOSE(CONTROL!$C$32, $C$9, 100%, $E$9)</f>
        <v>5.7248999999999999</v>
      </c>
      <c r="H249" s="11">
        <f>9.0427 * CHOOSE(CONTROL!$C$32, $C$9, 100%, $E$9)</f>
        <v>9.0427</v>
      </c>
      <c r="I249" s="11">
        <f>9.048 * CHOOSE(CONTROL!$C$32, $C$9, 100%, $E$9)</f>
        <v>9.048</v>
      </c>
      <c r="J249" s="11">
        <f>9.0427 * CHOOSE(CONTROL!$C$32, $C$9, 100%, $E$9)</f>
        <v>9.0427</v>
      </c>
      <c r="K249" s="11">
        <f>9.048 * CHOOSE(CONTROL!$C$32, $C$9, 100%, $E$9)</f>
        <v>9.048</v>
      </c>
      <c r="L249" s="11">
        <f>5.7196 * CHOOSE(CONTROL!$C$32, $C$9, 100%, $E$9)</f>
        <v>5.7195999999999998</v>
      </c>
      <c r="M249" s="11">
        <f>5.7249 * CHOOSE(CONTROL!$C$32, $C$9, 100%, $E$9)</f>
        <v>5.7248999999999999</v>
      </c>
      <c r="N249" s="11">
        <f>5.7196 * CHOOSE(CONTROL!$C$32, $C$9, 100%, $E$9)</f>
        <v>5.7195999999999998</v>
      </c>
      <c r="O249" s="11">
        <f>5.7249 * CHOOSE(CONTROL!$C$32, $C$9, 100%, $E$9)</f>
        <v>5.7248999999999999</v>
      </c>
    </row>
    <row r="250" spans="1:15" ht="15" x14ac:dyDescent="0.2">
      <c r="A250" s="13">
        <v>48458</v>
      </c>
      <c r="B250" s="9">
        <f>4.4607 * CHOOSE(CONTROL!$C$32, $C$9, 100%, $E$9)</f>
        <v>4.4607000000000001</v>
      </c>
      <c r="C250" s="9">
        <f>4.4607 * CHOOSE(CONTROL!$C$32, $C$9, 100%, $E$9)</f>
        <v>4.4607000000000001</v>
      </c>
      <c r="D250" s="9">
        <f>4.4623 * CHOOSE(CONTROL!$C$32, $C$9, 100%, $E$9)</f>
        <v>4.4622999999999999</v>
      </c>
      <c r="E250" s="11">
        <f>5.7176 * CHOOSE(CONTROL!$C$32, $C$9, 100%, $E$9)</f>
        <v>5.7176</v>
      </c>
      <c r="F250" s="11">
        <f>5.7176 * CHOOSE(CONTROL!$C$32, $C$9, 100%, $E$9)</f>
        <v>5.7176</v>
      </c>
      <c r="G250" s="11">
        <f>5.7229 * CHOOSE(CONTROL!$C$32, $C$9, 100%, $E$9)</f>
        <v>5.7229000000000001</v>
      </c>
      <c r="H250" s="11">
        <f>9.0615 * CHOOSE(CONTROL!$C$32, $C$9, 100%, $E$9)</f>
        <v>9.0615000000000006</v>
      </c>
      <c r="I250" s="11">
        <f>9.0668 * CHOOSE(CONTROL!$C$32, $C$9, 100%, $E$9)</f>
        <v>9.0668000000000006</v>
      </c>
      <c r="J250" s="11">
        <f>9.0615 * CHOOSE(CONTROL!$C$32, $C$9, 100%, $E$9)</f>
        <v>9.0615000000000006</v>
      </c>
      <c r="K250" s="11">
        <f>9.0668 * CHOOSE(CONTROL!$C$32, $C$9, 100%, $E$9)</f>
        <v>9.0668000000000006</v>
      </c>
      <c r="L250" s="11">
        <f>5.7176 * CHOOSE(CONTROL!$C$32, $C$9, 100%, $E$9)</f>
        <v>5.7176</v>
      </c>
      <c r="M250" s="11">
        <f>5.7229 * CHOOSE(CONTROL!$C$32, $C$9, 100%, $E$9)</f>
        <v>5.7229000000000001</v>
      </c>
      <c r="N250" s="11">
        <f>5.7176 * CHOOSE(CONTROL!$C$32, $C$9, 100%, $E$9)</f>
        <v>5.7176</v>
      </c>
      <c r="O250" s="11">
        <f>5.7229 * CHOOSE(CONTROL!$C$32, $C$9, 100%, $E$9)</f>
        <v>5.7229000000000001</v>
      </c>
    </row>
    <row r="251" spans="1:15" ht="15" x14ac:dyDescent="0.2">
      <c r="A251" s="13">
        <v>48488</v>
      </c>
      <c r="B251" s="9">
        <f>4.4575 * CHOOSE(CONTROL!$C$32, $C$9, 100%, $E$9)</f>
        <v>4.4574999999999996</v>
      </c>
      <c r="C251" s="9">
        <f>4.4575 * CHOOSE(CONTROL!$C$32, $C$9, 100%, $E$9)</f>
        <v>4.4574999999999996</v>
      </c>
      <c r="D251" s="9">
        <f>4.4586 * CHOOSE(CONTROL!$C$32, $C$9, 100%, $E$9)</f>
        <v>4.4585999999999997</v>
      </c>
      <c r="E251" s="11">
        <f>5.7132 * CHOOSE(CONTROL!$C$32, $C$9, 100%, $E$9)</f>
        <v>5.7131999999999996</v>
      </c>
      <c r="F251" s="11">
        <f>5.7132 * CHOOSE(CONTROL!$C$32, $C$9, 100%, $E$9)</f>
        <v>5.7131999999999996</v>
      </c>
      <c r="G251" s="11">
        <f>5.7168 * CHOOSE(CONTROL!$C$32, $C$9, 100%, $E$9)</f>
        <v>5.7168000000000001</v>
      </c>
      <c r="H251" s="11">
        <f>9.0804 * CHOOSE(CONTROL!$C$32, $C$9, 100%, $E$9)</f>
        <v>9.0803999999999991</v>
      </c>
      <c r="I251" s="11">
        <f>9.084 * CHOOSE(CONTROL!$C$32, $C$9, 100%, $E$9)</f>
        <v>9.0839999999999996</v>
      </c>
      <c r="J251" s="11">
        <f>9.0804 * CHOOSE(CONTROL!$C$32, $C$9, 100%, $E$9)</f>
        <v>9.0803999999999991</v>
      </c>
      <c r="K251" s="11">
        <f>9.084 * CHOOSE(CONTROL!$C$32, $C$9, 100%, $E$9)</f>
        <v>9.0839999999999996</v>
      </c>
      <c r="L251" s="11">
        <f>5.7132 * CHOOSE(CONTROL!$C$32, $C$9, 100%, $E$9)</f>
        <v>5.7131999999999996</v>
      </c>
      <c r="M251" s="11">
        <f>5.7168 * CHOOSE(CONTROL!$C$32, $C$9, 100%, $E$9)</f>
        <v>5.7168000000000001</v>
      </c>
      <c r="N251" s="11">
        <f>5.7132 * CHOOSE(CONTROL!$C$32, $C$9, 100%, $E$9)</f>
        <v>5.7131999999999996</v>
      </c>
      <c r="O251" s="11">
        <f>5.7168 * CHOOSE(CONTROL!$C$32, $C$9, 100%, $E$9)</f>
        <v>5.7168000000000001</v>
      </c>
    </row>
    <row r="252" spans="1:15" ht="15" x14ac:dyDescent="0.2">
      <c r="A252" s="13">
        <v>48519</v>
      </c>
      <c r="B252" s="9">
        <f>4.4605 * CHOOSE(CONTROL!$C$32, $C$9, 100%, $E$9)</f>
        <v>4.4604999999999997</v>
      </c>
      <c r="C252" s="9">
        <f>4.4605 * CHOOSE(CONTROL!$C$32, $C$9, 100%, $E$9)</f>
        <v>4.4604999999999997</v>
      </c>
      <c r="D252" s="9">
        <f>4.4616 * CHOOSE(CONTROL!$C$32, $C$9, 100%, $E$9)</f>
        <v>4.4615999999999998</v>
      </c>
      <c r="E252" s="11">
        <f>5.7152 * CHOOSE(CONTROL!$C$32, $C$9, 100%, $E$9)</f>
        <v>5.7152000000000003</v>
      </c>
      <c r="F252" s="11">
        <f>5.7152 * CHOOSE(CONTROL!$C$32, $C$9, 100%, $E$9)</f>
        <v>5.7152000000000003</v>
      </c>
      <c r="G252" s="11">
        <f>5.7188 * CHOOSE(CONTROL!$C$32, $C$9, 100%, $E$9)</f>
        <v>5.7187999999999999</v>
      </c>
      <c r="H252" s="11">
        <f>9.0993 * CHOOSE(CONTROL!$C$32, $C$9, 100%, $E$9)</f>
        <v>9.0992999999999995</v>
      </c>
      <c r="I252" s="11">
        <f>9.1029 * CHOOSE(CONTROL!$C$32, $C$9, 100%, $E$9)</f>
        <v>9.1029</v>
      </c>
      <c r="J252" s="11">
        <f>9.0993 * CHOOSE(CONTROL!$C$32, $C$9, 100%, $E$9)</f>
        <v>9.0992999999999995</v>
      </c>
      <c r="K252" s="11">
        <f>9.1029 * CHOOSE(CONTROL!$C$32, $C$9, 100%, $E$9)</f>
        <v>9.1029</v>
      </c>
      <c r="L252" s="11">
        <f>5.7152 * CHOOSE(CONTROL!$C$32, $C$9, 100%, $E$9)</f>
        <v>5.7152000000000003</v>
      </c>
      <c r="M252" s="11">
        <f>5.7188 * CHOOSE(CONTROL!$C$32, $C$9, 100%, $E$9)</f>
        <v>5.7187999999999999</v>
      </c>
      <c r="N252" s="11">
        <f>5.7152 * CHOOSE(CONTROL!$C$32, $C$9, 100%, $E$9)</f>
        <v>5.7152000000000003</v>
      </c>
      <c r="O252" s="11">
        <f>5.7188 * CHOOSE(CONTROL!$C$32, $C$9, 100%, $E$9)</f>
        <v>5.7187999999999999</v>
      </c>
    </row>
    <row r="253" spans="1:15" ht="15" x14ac:dyDescent="0.2">
      <c r="A253" s="13">
        <v>48549</v>
      </c>
      <c r="B253" s="9">
        <f>4.4605 * CHOOSE(CONTROL!$C$32, $C$9, 100%, $E$9)</f>
        <v>4.4604999999999997</v>
      </c>
      <c r="C253" s="9">
        <f>4.4605 * CHOOSE(CONTROL!$C$32, $C$9, 100%, $E$9)</f>
        <v>4.4604999999999997</v>
      </c>
      <c r="D253" s="9">
        <f>4.4616 * CHOOSE(CONTROL!$C$32, $C$9, 100%, $E$9)</f>
        <v>4.4615999999999998</v>
      </c>
      <c r="E253" s="11">
        <f>5.7152 * CHOOSE(CONTROL!$C$32, $C$9, 100%, $E$9)</f>
        <v>5.7152000000000003</v>
      </c>
      <c r="F253" s="11">
        <f>5.7152 * CHOOSE(CONTROL!$C$32, $C$9, 100%, $E$9)</f>
        <v>5.7152000000000003</v>
      </c>
      <c r="G253" s="11">
        <f>5.7188 * CHOOSE(CONTROL!$C$32, $C$9, 100%, $E$9)</f>
        <v>5.7187999999999999</v>
      </c>
      <c r="H253" s="11">
        <f>9.1183 * CHOOSE(CONTROL!$C$32, $C$9, 100%, $E$9)</f>
        <v>9.1182999999999996</v>
      </c>
      <c r="I253" s="11">
        <f>9.1219 * CHOOSE(CONTROL!$C$32, $C$9, 100%, $E$9)</f>
        <v>9.1219000000000001</v>
      </c>
      <c r="J253" s="11">
        <f>9.1183 * CHOOSE(CONTROL!$C$32, $C$9, 100%, $E$9)</f>
        <v>9.1182999999999996</v>
      </c>
      <c r="K253" s="11">
        <f>9.1219 * CHOOSE(CONTROL!$C$32, $C$9, 100%, $E$9)</f>
        <v>9.1219000000000001</v>
      </c>
      <c r="L253" s="11">
        <f>5.7152 * CHOOSE(CONTROL!$C$32, $C$9, 100%, $E$9)</f>
        <v>5.7152000000000003</v>
      </c>
      <c r="M253" s="11">
        <f>5.7188 * CHOOSE(CONTROL!$C$32, $C$9, 100%, $E$9)</f>
        <v>5.7187999999999999</v>
      </c>
      <c r="N253" s="11">
        <f>5.7152 * CHOOSE(CONTROL!$C$32, $C$9, 100%, $E$9)</f>
        <v>5.7152000000000003</v>
      </c>
      <c r="O253" s="11">
        <f>5.7188 * CHOOSE(CONTROL!$C$32, $C$9, 100%, $E$9)</f>
        <v>5.7187999999999999</v>
      </c>
    </row>
    <row r="254" spans="1:15" ht="15" x14ac:dyDescent="0.2">
      <c r="A254" s="13">
        <v>48580</v>
      </c>
      <c r="B254" s="9">
        <f>4.4966 * CHOOSE(CONTROL!$C$32, $C$9, 100%, $E$9)</f>
        <v>4.4965999999999999</v>
      </c>
      <c r="C254" s="9">
        <f>4.4966 * CHOOSE(CONTROL!$C$32, $C$9, 100%, $E$9)</f>
        <v>4.4965999999999999</v>
      </c>
      <c r="D254" s="9">
        <f>4.4977 * CHOOSE(CONTROL!$C$32, $C$9, 100%, $E$9)</f>
        <v>4.4977</v>
      </c>
      <c r="E254" s="11">
        <f>5.7608 * CHOOSE(CONTROL!$C$32, $C$9, 100%, $E$9)</f>
        <v>5.7607999999999997</v>
      </c>
      <c r="F254" s="11">
        <f>5.7608 * CHOOSE(CONTROL!$C$32, $C$9, 100%, $E$9)</f>
        <v>5.7607999999999997</v>
      </c>
      <c r="G254" s="11">
        <f>5.7644 * CHOOSE(CONTROL!$C$32, $C$9, 100%, $E$9)</f>
        <v>5.7644000000000002</v>
      </c>
      <c r="H254" s="11">
        <f>9.1373 * CHOOSE(CONTROL!$C$32, $C$9, 100%, $E$9)</f>
        <v>9.1372999999999998</v>
      </c>
      <c r="I254" s="11">
        <f>9.1409 * CHOOSE(CONTROL!$C$32, $C$9, 100%, $E$9)</f>
        <v>9.1409000000000002</v>
      </c>
      <c r="J254" s="11">
        <f>9.1373 * CHOOSE(CONTROL!$C$32, $C$9, 100%, $E$9)</f>
        <v>9.1372999999999998</v>
      </c>
      <c r="K254" s="11">
        <f>9.1409 * CHOOSE(CONTROL!$C$32, $C$9, 100%, $E$9)</f>
        <v>9.1409000000000002</v>
      </c>
      <c r="L254" s="11">
        <f>5.7608 * CHOOSE(CONTROL!$C$32, $C$9, 100%, $E$9)</f>
        <v>5.7607999999999997</v>
      </c>
      <c r="M254" s="11">
        <f>5.7644 * CHOOSE(CONTROL!$C$32, $C$9, 100%, $E$9)</f>
        <v>5.7644000000000002</v>
      </c>
      <c r="N254" s="11">
        <f>5.7608 * CHOOSE(CONTROL!$C$32, $C$9, 100%, $E$9)</f>
        <v>5.7607999999999997</v>
      </c>
      <c r="O254" s="11">
        <f>5.7644 * CHOOSE(CONTROL!$C$32, $C$9, 100%, $E$9)</f>
        <v>5.7644000000000002</v>
      </c>
    </row>
    <row r="255" spans="1:15" ht="15" x14ac:dyDescent="0.2">
      <c r="A255" s="13">
        <v>48611</v>
      </c>
      <c r="B255" s="9">
        <f>4.4936 * CHOOSE(CONTROL!$C$32, $C$9, 100%, $E$9)</f>
        <v>4.4935999999999998</v>
      </c>
      <c r="C255" s="9">
        <f>4.4936 * CHOOSE(CONTROL!$C$32, $C$9, 100%, $E$9)</f>
        <v>4.4935999999999998</v>
      </c>
      <c r="D255" s="9">
        <f>4.4946 * CHOOSE(CONTROL!$C$32, $C$9, 100%, $E$9)</f>
        <v>4.4946000000000002</v>
      </c>
      <c r="E255" s="11">
        <f>5.7588 * CHOOSE(CONTROL!$C$32, $C$9, 100%, $E$9)</f>
        <v>5.7587999999999999</v>
      </c>
      <c r="F255" s="11">
        <f>5.7588 * CHOOSE(CONTROL!$C$32, $C$9, 100%, $E$9)</f>
        <v>5.7587999999999999</v>
      </c>
      <c r="G255" s="11">
        <f>5.7624 * CHOOSE(CONTROL!$C$32, $C$9, 100%, $E$9)</f>
        <v>5.7624000000000004</v>
      </c>
      <c r="H255" s="11">
        <f>9.1563 * CHOOSE(CONTROL!$C$32, $C$9, 100%, $E$9)</f>
        <v>9.1562999999999999</v>
      </c>
      <c r="I255" s="11">
        <f>9.1599 * CHOOSE(CONTROL!$C$32, $C$9, 100%, $E$9)</f>
        <v>9.1599000000000004</v>
      </c>
      <c r="J255" s="11">
        <f>9.1563 * CHOOSE(CONTROL!$C$32, $C$9, 100%, $E$9)</f>
        <v>9.1562999999999999</v>
      </c>
      <c r="K255" s="11">
        <f>9.1599 * CHOOSE(CONTROL!$C$32, $C$9, 100%, $E$9)</f>
        <v>9.1599000000000004</v>
      </c>
      <c r="L255" s="11">
        <f>5.7588 * CHOOSE(CONTROL!$C$32, $C$9, 100%, $E$9)</f>
        <v>5.7587999999999999</v>
      </c>
      <c r="M255" s="11">
        <f>5.7624 * CHOOSE(CONTROL!$C$32, $C$9, 100%, $E$9)</f>
        <v>5.7624000000000004</v>
      </c>
      <c r="N255" s="11">
        <f>5.7588 * CHOOSE(CONTROL!$C$32, $C$9, 100%, $E$9)</f>
        <v>5.7587999999999999</v>
      </c>
      <c r="O255" s="11">
        <f>5.7624 * CHOOSE(CONTROL!$C$32, $C$9, 100%, $E$9)</f>
        <v>5.7624000000000004</v>
      </c>
    </row>
    <row r="256" spans="1:15" ht="15" x14ac:dyDescent="0.2">
      <c r="A256" s="13">
        <v>48639</v>
      </c>
      <c r="B256" s="9">
        <f>4.4905 * CHOOSE(CONTROL!$C$32, $C$9, 100%, $E$9)</f>
        <v>4.4904999999999999</v>
      </c>
      <c r="C256" s="9">
        <f>4.4905 * CHOOSE(CONTROL!$C$32, $C$9, 100%, $E$9)</f>
        <v>4.4904999999999999</v>
      </c>
      <c r="D256" s="9">
        <f>4.4916 * CHOOSE(CONTROL!$C$32, $C$9, 100%, $E$9)</f>
        <v>4.4916</v>
      </c>
      <c r="E256" s="11">
        <f>5.7568 * CHOOSE(CONTROL!$C$32, $C$9, 100%, $E$9)</f>
        <v>5.7568000000000001</v>
      </c>
      <c r="F256" s="11">
        <f>5.7568 * CHOOSE(CONTROL!$C$32, $C$9, 100%, $E$9)</f>
        <v>5.7568000000000001</v>
      </c>
      <c r="G256" s="11">
        <f>5.7604 * CHOOSE(CONTROL!$C$32, $C$9, 100%, $E$9)</f>
        <v>5.7603999999999997</v>
      </c>
      <c r="H256" s="11">
        <f>9.1754 * CHOOSE(CONTROL!$C$32, $C$9, 100%, $E$9)</f>
        <v>9.1753999999999998</v>
      </c>
      <c r="I256" s="11">
        <f>9.179 * CHOOSE(CONTROL!$C$32, $C$9, 100%, $E$9)</f>
        <v>9.1790000000000003</v>
      </c>
      <c r="J256" s="11">
        <f>9.1754 * CHOOSE(CONTROL!$C$32, $C$9, 100%, $E$9)</f>
        <v>9.1753999999999998</v>
      </c>
      <c r="K256" s="11">
        <f>9.179 * CHOOSE(CONTROL!$C$32, $C$9, 100%, $E$9)</f>
        <v>9.1790000000000003</v>
      </c>
      <c r="L256" s="11">
        <f>5.7568 * CHOOSE(CONTROL!$C$32, $C$9, 100%, $E$9)</f>
        <v>5.7568000000000001</v>
      </c>
      <c r="M256" s="11">
        <f>5.7604 * CHOOSE(CONTROL!$C$32, $C$9, 100%, $E$9)</f>
        <v>5.7603999999999997</v>
      </c>
      <c r="N256" s="11">
        <f>5.7568 * CHOOSE(CONTROL!$C$32, $C$9, 100%, $E$9)</f>
        <v>5.7568000000000001</v>
      </c>
      <c r="O256" s="11">
        <f>5.7604 * CHOOSE(CONTROL!$C$32, $C$9, 100%, $E$9)</f>
        <v>5.7603999999999997</v>
      </c>
    </row>
    <row r="257" spans="1:15" ht="15" x14ac:dyDescent="0.2">
      <c r="A257" s="13">
        <v>48670</v>
      </c>
      <c r="B257" s="9">
        <f>4.4887 * CHOOSE(CONTROL!$C$32, $C$9, 100%, $E$9)</f>
        <v>4.4886999999999997</v>
      </c>
      <c r="C257" s="9">
        <f>4.4887 * CHOOSE(CONTROL!$C$32, $C$9, 100%, $E$9)</f>
        <v>4.4886999999999997</v>
      </c>
      <c r="D257" s="9">
        <f>4.4897 * CHOOSE(CONTROL!$C$32, $C$9, 100%, $E$9)</f>
        <v>4.4897</v>
      </c>
      <c r="E257" s="11">
        <f>5.755 * CHOOSE(CONTROL!$C$32, $C$9, 100%, $E$9)</f>
        <v>5.7549999999999999</v>
      </c>
      <c r="F257" s="11">
        <f>5.755 * CHOOSE(CONTROL!$C$32, $C$9, 100%, $E$9)</f>
        <v>5.7549999999999999</v>
      </c>
      <c r="G257" s="11">
        <f>5.7586 * CHOOSE(CONTROL!$C$32, $C$9, 100%, $E$9)</f>
        <v>5.7586000000000004</v>
      </c>
      <c r="H257" s="11">
        <f>9.1945 * CHOOSE(CONTROL!$C$32, $C$9, 100%, $E$9)</f>
        <v>9.1944999999999997</v>
      </c>
      <c r="I257" s="11">
        <f>9.1981 * CHOOSE(CONTROL!$C$32, $C$9, 100%, $E$9)</f>
        <v>9.1981000000000002</v>
      </c>
      <c r="J257" s="11">
        <f>9.1945 * CHOOSE(CONTROL!$C$32, $C$9, 100%, $E$9)</f>
        <v>9.1944999999999997</v>
      </c>
      <c r="K257" s="11">
        <f>9.1981 * CHOOSE(CONTROL!$C$32, $C$9, 100%, $E$9)</f>
        <v>9.1981000000000002</v>
      </c>
      <c r="L257" s="11">
        <f>5.755 * CHOOSE(CONTROL!$C$32, $C$9, 100%, $E$9)</f>
        <v>5.7549999999999999</v>
      </c>
      <c r="M257" s="11">
        <f>5.7586 * CHOOSE(CONTROL!$C$32, $C$9, 100%, $E$9)</f>
        <v>5.7586000000000004</v>
      </c>
      <c r="N257" s="11">
        <f>5.755 * CHOOSE(CONTROL!$C$32, $C$9, 100%, $E$9)</f>
        <v>5.7549999999999999</v>
      </c>
      <c r="O257" s="11">
        <f>5.7586 * CHOOSE(CONTROL!$C$32, $C$9, 100%, $E$9)</f>
        <v>5.7586000000000004</v>
      </c>
    </row>
    <row r="258" spans="1:15" ht="15" x14ac:dyDescent="0.2">
      <c r="A258" s="13">
        <v>48700</v>
      </c>
      <c r="B258" s="9">
        <f>4.4887 * CHOOSE(CONTROL!$C$32, $C$9, 100%, $E$9)</f>
        <v>4.4886999999999997</v>
      </c>
      <c r="C258" s="9">
        <f>4.4887 * CHOOSE(CONTROL!$C$32, $C$9, 100%, $E$9)</f>
        <v>4.4886999999999997</v>
      </c>
      <c r="D258" s="9">
        <f>4.4902 * CHOOSE(CONTROL!$C$32, $C$9, 100%, $E$9)</f>
        <v>4.4901999999999997</v>
      </c>
      <c r="E258" s="11">
        <f>5.755 * CHOOSE(CONTROL!$C$32, $C$9, 100%, $E$9)</f>
        <v>5.7549999999999999</v>
      </c>
      <c r="F258" s="11">
        <f>5.755 * CHOOSE(CONTROL!$C$32, $C$9, 100%, $E$9)</f>
        <v>5.7549999999999999</v>
      </c>
      <c r="G258" s="11">
        <f>5.7602 * CHOOSE(CONTROL!$C$32, $C$9, 100%, $E$9)</f>
        <v>5.7602000000000002</v>
      </c>
      <c r="H258" s="11">
        <f>9.2136 * CHOOSE(CONTROL!$C$32, $C$9, 100%, $E$9)</f>
        <v>9.2135999999999996</v>
      </c>
      <c r="I258" s="11">
        <f>9.2189 * CHOOSE(CONTROL!$C$32, $C$9, 100%, $E$9)</f>
        <v>9.2188999999999997</v>
      </c>
      <c r="J258" s="11">
        <f>9.2136 * CHOOSE(CONTROL!$C$32, $C$9, 100%, $E$9)</f>
        <v>9.2135999999999996</v>
      </c>
      <c r="K258" s="11">
        <f>9.2189 * CHOOSE(CONTROL!$C$32, $C$9, 100%, $E$9)</f>
        <v>9.2188999999999997</v>
      </c>
      <c r="L258" s="11">
        <f>5.755 * CHOOSE(CONTROL!$C$32, $C$9, 100%, $E$9)</f>
        <v>5.7549999999999999</v>
      </c>
      <c r="M258" s="11">
        <f>5.7602 * CHOOSE(CONTROL!$C$32, $C$9, 100%, $E$9)</f>
        <v>5.7602000000000002</v>
      </c>
      <c r="N258" s="11">
        <f>5.755 * CHOOSE(CONTROL!$C$32, $C$9, 100%, $E$9)</f>
        <v>5.7549999999999999</v>
      </c>
      <c r="O258" s="11">
        <f>5.7602 * CHOOSE(CONTROL!$C$32, $C$9, 100%, $E$9)</f>
        <v>5.7602000000000002</v>
      </c>
    </row>
    <row r="259" spans="1:15" ht="15" x14ac:dyDescent="0.2">
      <c r="A259" s="13">
        <v>48731</v>
      </c>
      <c r="B259" s="9">
        <f>4.4947 * CHOOSE(CONTROL!$C$32, $C$9, 100%, $E$9)</f>
        <v>4.4946999999999999</v>
      </c>
      <c r="C259" s="9">
        <f>4.4947 * CHOOSE(CONTROL!$C$32, $C$9, 100%, $E$9)</f>
        <v>4.4946999999999999</v>
      </c>
      <c r="D259" s="9">
        <f>4.4963 * CHOOSE(CONTROL!$C$32, $C$9, 100%, $E$9)</f>
        <v>4.4962999999999997</v>
      </c>
      <c r="E259" s="11">
        <f>5.759 * CHOOSE(CONTROL!$C$32, $C$9, 100%, $E$9)</f>
        <v>5.7590000000000003</v>
      </c>
      <c r="F259" s="11">
        <f>5.759 * CHOOSE(CONTROL!$C$32, $C$9, 100%, $E$9)</f>
        <v>5.7590000000000003</v>
      </c>
      <c r="G259" s="11">
        <f>5.7642 * CHOOSE(CONTROL!$C$32, $C$9, 100%, $E$9)</f>
        <v>5.7641999999999998</v>
      </c>
      <c r="H259" s="11">
        <f>9.2328 * CHOOSE(CONTROL!$C$32, $C$9, 100%, $E$9)</f>
        <v>9.2327999999999992</v>
      </c>
      <c r="I259" s="11">
        <f>9.2381 * CHOOSE(CONTROL!$C$32, $C$9, 100%, $E$9)</f>
        <v>9.2380999999999993</v>
      </c>
      <c r="J259" s="11">
        <f>9.2328 * CHOOSE(CONTROL!$C$32, $C$9, 100%, $E$9)</f>
        <v>9.2327999999999992</v>
      </c>
      <c r="K259" s="11">
        <f>9.2381 * CHOOSE(CONTROL!$C$32, $C$9, 100%, $E$9)</f>
        <v>9.2380999999999993</v>
      </c>
      <c r="L259" s="11">
        <f>5.759 * CHOOSE(CONTROL!$C$32, $C$9, 100%, $E$9)</f>
        <v>5.7590000000000003</v>
      </c>
      <c r="M259" s="11">
        <f>5.7642 * CHOOSE(CONTROL!$C$32, $C$9, 100%, $E$9)</f>
        <v>5.7641999999999998</v>
      </c>
      <c r="N259" s="11">
        <f>5.759 * CHOOSE(CONTROL!$C$32, $C$9, 100%, $E$9)</f>
        <v>5.7590000000000003</v>
      </c>
      <c r="O259" s="11">
        <f>5.7642 * CHOOSE(CONTROL!$C$32, $C$9, 100%, $E$9)</f>
        <v>5.7641999999999998</v>
      </c>
    </row>
    <row r="260" spans="1:15" ht="15" x14ac:dyDescent="0.2">
      <c r="A260" s="13">
        <v>48761</v>
      </c>
      <c r="B260" s="9">
        <f>4.5602 * CHOOSE(CONTROL!$C$32, $C$9, 100%, $E$9)</f>
        <v>4.5602</v>
      </c>
      <c r="C260" s="9">
        <f>4.5602 * CHOOSE(CONTROL!$C$32, $C$9, 100%, $E$9)</f>
        <v>4.5602</v>
      </c>
      <c r="D260" s="9">
        <f>4.5618 * CHOOSE(CONTROL!$C$32, $C$9, 100%, $E$9)</f>
        <v>4.5617999999999999</v>
      </c>
      <c r="E260" s="11">
        <f>5.8589 * CHOOSE(CONTROL!$C$32, $C$9, 100%, $E$9)</f>
        <v>5.8589000000000002</v>
      </c>
      <c r="F260" s="11">
        <f>5.8589 * CHOOSE(CONTROL!$C$32, $C$9, 100%, $E$9)</f>
        <v>5.8589000000000002</v>
      </c>
      <c r="G260" s="11">
        <f>5.8642 * CHOOSE(CONTROL!$C$32, $C$9, 100%, $E$9)</f>
        <v>5.8642000000000003</v>
      </c>
      <c r="H260" s="11">
        <f>9.2521 * CHOOSE(CONTROL!$C$32, $C$9, 100%, $E$9)</f>
        <v>9.2521000000000004</v>
      </c>
      <c r="I260" s="11">
        <f>9.2574 * CHOOSE(CONTROL!$C$32, $C$9, 100%, $E$9)</f>
        <v>9.2574000000000005</v>
      </c>
      <c r="J260" s="11">
        <f>9.2521 * CHOOSE(CONTROL!$C$32, $C$9, 100%, $E$9)</f>
        <v>9.2521000000000004</v>
      </c>
      <c r="K260" s="11">
        <f>9.2574 * CHOOSE(CONTROL!$C$32, $C$9, 100%, $E$9)</f>
        <v>9.2574000000000005</v>
      </c>
      <c r="L260" s="11">
        <f>5.8589 * CHOOSE(CONTROL!$C$32, $C$9, 100%, $E$9)</f>
        <v>5.8589000000000002</v>
      </c>
      <c r="M260" s="11">
        <f>5.8642 * CHOOSE(CONTROL!$C$32, $C$9, 100%, $E$9)</f>
        <v>5.8642000000000003</v>
      </c>
      <c r="N260" s="11">
        <f>5.8589 * CHOOSE(CONTROL!$C$32, $C$9, 100%, $E$9)</f>
        <v>5.8589000000000002</v>
      </c>
      <c r="O260" s="11">
        <f>5.8642 * CHOOSE(CONTROL!$C$32, $C$9, 100%, $E$9)</f>
        <v>5.8642000000000003</v>
      </c>
    </row>
    <row r="261" spans="1:15" ht="15" x14ac:dyDescent="0.2">
      <c r="A261" s="13">
        <v>48792</v>
      </c>
      <c r="B261" s="9">
        <f>4.5669 * CHOOSE(CONTROL!$C$32, $C$9, 100%, $E$9)</f>
        <v>4.5669000000000004</v>
      </c>
      <c r="C261" s="9">
        <f>4.5669 * CHOOSE(CONTROL!$C$32, $C$9, 100%, $E$9)</f>
        <v>4.5669000000000004</v>
      </c>
      <c r="D261" s="9">
        <f>4.5685 * CHOOSE(CONTROL!$C$32, $C$9, 100%, $E$9)</f>
        <v>4.5685000000000002</v>
      </c>
      <c r="E261" s="11">
        <f>5.8633 * CHOOSE(CONTROL!$C$32, $C$9, 100%, $E$9)</f>
        <v>5.8632999999999997</v>
      </c>
      <c r="F261" s="11">
        <f>5.8633 * CHOOSE(CONTROL!$C$32, $C$9, 100%, $E$9)</f>
        <v>5.8632999999999997</v>
      </c>
      <c r="G261" s="11">
        <f>5.8686 * CHOOSE(CONTROL!$C$32, $C$9, 100%, $E$9)</f>
        <v>5.8685999999999998</v>
      </c>
      <c r="H261" s="11">
        <f>9.2713 * CHOOSE(CONTROL!$C$32, $C$9, 100%, $E$9)</f>
        <v>9.2713000000000001</v>
      </c>
      <c r="I261" s="11">
        <f>9.2766 * CHOOSE(CONTROL!$C$32, $C$9, 100%, $E$9)</f>
        <v>9.2766000000000002</v>
      </c>
      <c r="J261" s="11">
        <f>9.2713 * CHOOSE(CONTROL!$C$32, $C$9, 100%, $E$9)</f>
        <v>9.2713000000000001</v>
      </c>
      <c r="K261" s="11">
        <f>9.2766 * CHOOSE(CONTROL!$C$32, $C$9, 100%, $E$9)</f>
        <v>9.2766000000000002</v>
      </c>
      <c r="L261" s="11">
        <f>5.8633 * CHOOSE(CONTROL!$C$32, $C$9, 100%, $E$9)</f>
        <v>5.8632999999999997</v>
      </c>
      <c r="M261" s="11">
        <f>5.8686 * CHOOSE(CONTROL!$C$32, $C$9, 100%, $E$9)</f>
        <v>5.8685999999999998</v>
      </c>
      <c r="N261" s="11">
        <f>5.8633 * CHOOSE(CONTROL!$C$32, $C$9, 100%, $E$9)</f>
        <v>5.8632999999999997</v>
      </c>
      <c r="O261" s="11">
        <f>5.8686 * CHOOSE(CONTROL!$C$32, $C$9, 100%, $E$9)</f>
        <v>5.8685999999999998</v>
      </c>
    </row>
    <row r="262" spans="1:15" ht="15" x14ac:dyDescent="0.2">
      <c r="A262" s="13">
        <v>48823</v>
      </c>
      <c r="B262" s="9">
        <f>4.5638 * CHOOSE(CONTROL!$C$32, $C$9, 100%, $E$9)</f>
        <v>4.5637999999999996</v>
      </c>
      <c r="C262" s="9">
        <f>4.5638 * CHOOSE(CONTROL!$C$32, $C$9, 100%, $E$9)</f>
        <v>4.5637999999999996</v>
      </c>
      <c r="D262" s="9">
        <f>4.5654 * CHOOSE(CONTROL!$C$32, $C$9, 100%, $E$9)</f>
        <v>4.5654000000000003</v>
      </c>
      <c r="E262" s="11">
        <f>5.8613 * CHOOSE(CONTROL!$C$32, $C$9, 100%, $E$9)</f>
        <v>5.8613</v>
      </c>
      <c r="F262" s="11">
        <f>5.8613 * CHOOSE(CONTROL!$C$32, $C$9, 100%, $E$9)</f>
        <v>5.8613</v>
      </c>
      <c r="G262" s="11">
        <f>5.8666 * CHOOSE(CONTROL!$C$32, $C$9, 100%, $E$9)</f>
        <v>5.8666</v>
      </c>
      <c r="H262" s="11">
        <f>9.2907 * CHOOSE(CONTROL!$C$32, $C$9, 100%, $E$9)</f>
        <v>9.2906999999999993</v>
      </c>
      <c r="I262" s="11">
        <f>9.296 * CHOOSE(CONTROL!$C$32, $C$9, 100%, $E$9)</f>
        <v>9.2959999999999994</v>
      </c>
      <c r="J262" s="11">
        <f>9.2907 * CHOOSE(CONTROL!$C$32, $C$9, 100%, $E$9)</f>
        <v>9.2906999999999993</v>
      </c>
      <c r="K262" s="11">
        <f>9.296 * CHOOSE(CONTROL!$C$32, $C$9, 100%, $E$9)</f>
        <v>9.2959999999999994</v>
      </c>
      <c r="L262" s="11">
        <f>5.8613 * CHOOSE(CONTROL!$C$32, $C$9, 100%, $E$9)</f>
        <v>5.8613</v>
      </c>
      <c r="M262" s="11">
        <f>5.8666 * CHOOSE(CONTROL!$C$32, $C$9, 100%, $E$9)</f>
        <v>5.8666</v>
      </c>
      <c r="N262" s="11">
        <f>5.8613 * CHOOSE(CONTROL!$C$32, $C$9, 100%, $E$9)</f>
        <v>5.8613</v>
      </c>
      <c r="O262" s="11">
        <f>5.8666 * CHOOSE(CONTROL!$C$32, $C$9, 100%, $E$9)</f>
        <v>5.8666</v>
      </c>
    </row>
    <row r="263" spans="1:15" ht="15" x14ac:dyDescent="0.2">
      <c r="A263" s="13">
        <v>48853</v>
      </c>
      <c r="B263" s="9">
        <f>4.561 * CHOOSE(CONTROL!$C$32, $C$9, 100%, $E$9)</f>
        <v>4.5609999999999999</v>
      </c>
      <c r="C263" s="9">
        <f>4.561 * CHOOSE(CONTROL!$C$32, $C$9, 100%, $E$9)</f>
        <v>4.5609999999999999</v>
      </c>
      <c r="D263" s="9">
        <f>4.5621 * CHOOSE(CONTROL!$C$32, $C$9, 100%, $E$9)</f>
        <v>4.5621</v>
      </c>
      <c r="E263" s="11">
        <f>5.8571 * CHOOSE(CONTROL!$C$32, $C$9, 100%, $E$9)</f>
        <v>5.8571</v>
      </c>
      <c r="F263" s="11">
        <f>5.8571 * CHOOSE(CONTROL!$C$32, $C$9, 100%, $E$9)</f>
        <v>5.8571</v>
      </c>
      <c r="G263" s="11">
        <f>5.8607 * CHOOSE(CONTROL!$C$32, $C$9, 100%, $E$9)</f>
        <v>5.8606999999999996</v>
      </c>
      <c r="H263" s="11">
        <f>9.31 * CHOOSE(CONTROL!$C$32, $C$9, 100%, $E$9)</f>
        <v>9.31</v>
      </c>
      <c r="I263" s="11">
        <f>9.3136 * CHOOSE(CONTROL!$C$32, $C$9, 100%, $E$9)</f>
        <v>9.3135999999999992</v>
      </c>
      <c r="J263" s="11">
        <f>9.31 * CHOOSE(CONTROL!$C$32, $C$9, 100%, $E$9)</f>
        <v>9.31</v>
      </c>
      <c r="K263" s="11">
        <f>9.3136 * CHOOSE(CONTROL!$C$32, $C$9, 100%, $E$9)</f>
        <v>9.3135999999999992</v>
      </c>
      <c r="L263" s="11">
        <f>5.8571 * CHOOSE(CONTROL!$C$32, $C$9, 100%, $E$9)</f>
        <v>5.8571</v>
      </c>
      <c r="M263" s="11">
        <f>5.8607 * CHOOSE(CONTROL!$C$32, $C$9, 100%, $E$9)</f>
        <v>5.8606999999999996</v>
      </c>
      <c r="N263" s="11">
        <f>5.8571 * CHOOSE(CONTROL!$C$32, $C$9, 100%, $E$9)</f>
        <v>5.8571</v>
      </c>
      <c r="O263" s="11">
        <f>5.8607 * CHOOSE(CONTROL!$C$32, $C$9, 100%, $E$9)</f>
        <v>5.8606999999999996</v>
      </c>
    </row>
    <row r="264" spans="1:15" ht="15" x14ac:dyDescent="0.2">
      <c r="A264" s="13">
        <v>48884</v>
      </c>
      <c r="B264" s="9">
        <f>4.564 * CHOOSE(CONTROL!$C$32, $C$9, 100%, $E$9)</f>
        <v>4.5640000000000001</v>
      </c>
      <c r="C264" s="9">
        <f>4.564 * CHOOSE(CONTROL!$C$32, $C$9, 100%, $E$9)</f>
        <v>4.5640000000000001</v>
      </c>
      <c r="D264" s="9">
        <f>4.5651 * CHOOSE(CONTROL!$C$32, $C$9, 100%, $E$9)</f>
        <v>4.5651000000000002</v>
      </c>
      <c r="E264" s="11">
        <f>5.8591 * CHOOSE(CONTROL!$C$32, $C$9, 100%, $E$9)</f>
        <v>5.8590999999999998</v>
      </c>
      <c r="F264" s="11">
        <f>5.8591 * CHOOSE(CONTROL!$C$32, $C$9, 100%, $E$9)</f>
        <v>5.8590999999999998</v>
      </c>
      <c r="G264" s="11">
        <f>5.8627 * CHOOSE(CONTROL!$C$32, $C$9, 100%, $E$9)</f>
        <v>5.8627000000000002</v>
      </c>
      <c r="H264" s="11">
        <f>9.3294 * CHOOSE(CONTROL!$C$32, $C$9, 100%, $E$9)</f>
        <v>9.3293999999999997</v>
      </c>
      <c r="I264" s="11">
        <f>9.333 * CHOOSE(CONTROL!$C$32, $C$9, 100%, $E$9)</f>
        <v>9.3330000000000002</v>
      </c>
      <c r="J264" s="11">
        <f>9.3294 * CHOOSE(CONTROL!$C$32, $C$9, 100%, $E$9)</f>
        <v>9.3293999999999997</v>
      </c>
      <c r="K264" s="11">
        <f>9.333 * CHOOSE(CONTROL!$C$32, $C$9, 100%, $E$9)</f>
        <v>9.3330000000000002</v>
      </c>
      <c r="L264" s="11">
        <f>5.8591 * CHOOSE(CONTROL!$C$32, $C$9, 100%, $E$9)</f>
        <v>5.8590999999999998</v>
      </c>
      <c r="M264" s="11">
        <f>5.8627 * CHOOSE(CONTROL!$C$32, $C$9, 100%, $E$9)</f>
        <v>5.8627000000000002</v>
      </c>
      <c r="N264" s="11">
        <f>5.8591 * CHOOSE(CONTROL!$C$32, $C$9, 100%, $E$9)</f>
        <v>5.8590999999999998</v>
      </c>
      <c r="O264" s="11">
        <f>5.8627 * CHOOSE(CONTROL!$C$32, $C$9, 100%, $E$9)</f>
        <v>5.8627000000000002</v>
      </c>
    </row>
    <row r="265" spans="1:15" ht="15" x14ac:dyDescent="0.2">
      <c r="A265" s="13">
        <v>48914</v>
      </c>
      <c r="B265" s="9">
        <f>4.564 * CHOOSE(CONTROL!$C$32, $C$9, 100%, $E$9)</f>
        <v>4.5640000000000001</v>
      </c>
      <c r="C265" s="9">
        <f>4.564 * CHOOSE(CONTROL!$C$32, $C$9, 100%, $E$9)</f>
        <v>4.5640000000000001</v>
      </c>
      <c r="D265" s="9">
        <f>4.5651 * CHOOSE(CONTROL!$C$32, $C$9, 100%, $E$9)</f>
        <v>4.5651000000000002</v>
      </c>
      <c r="E265" s="11">
        <f>5.8591 * CHOOSE(CONTROL!$C$32, $C$9, 100%, $E$9)</f>
        <v>5.8590999999999998</v>
      </c>
      <c r="F265" s="11">
        <f>5.8591 * CHOOSE(CONTROL!$C$32, $C$9, 100%, $E$9)</f>
        <v>5.8590999999999998</v>
      </c>
      <c r="G265" s="11">
        <f>5.8627 * CHOOSE(CONTROL!$C$32, $C$9, 100%, $E$9)</f>
        <v>5.8627000000000002</v>
      </c>
      <c r="H265" s="11">
        <f>9.3488 * CHOOSE(CONTROL!$C$32, $C$9, 100%, $E$9)</f>
        <v>9.3488000000000007</v>
      </c>
      <c r="I265" s="11">
        <f>9.3525 * CHOOSE(CONTROL!$C$32, $C$9, 100%, $E$9)</f>
        <v>9.3524999999999991</v>
      </c>
      <c r="J265" s="11">
        <f>9.3488 * CHOOSE(CONTROL!$C$32, $C$9, 100%, $E$9)</f>
        <v>9.3488000000000007</v>
      </c>
      <c r="K265" s="11">
        <f>9.3525 * CHOOSE(CONTROL!$C$32, $C$9, 100%, $E$9)</f>
        <v>9.3524999999999991</v>
      </c>
      <c r="L265" s="11">
        <f>5.8591 * CHOOSE(CONTROL!$C$32, $C$9, 100%, $E$9)</f>
        <v>5.8590999999999998</v>
      </c>
      <c r="M265" s="11">
        <f>5.8627 * CHOOSE(CONTROL!$C$32, $C$9, 100%, $E$9)</f>
        <v>5.8627000000000002</v>
      </c>
      <c r="N265" s="11">
        <f>5.8591 * CHOOSE(CONTROL!$C$32, $C$9, 100%, $E$9)</f>
        <v>5.8590999999999998</v>
      </c>
      <c r="O265" s="11">
        <f>5.8627 * CHOOSE(CONTROL!$C$32, $C$9, 100%, $E$9)</f>
        <v>5.8627000000000002</v>
      </c>
    </row>
    <row r="266" spans="1:15" ht="15" x14ac:dyDescent="0.2">
      <c r="A266" s="13">
        <v>48945</v>
      </c>
      <c r="B266" s="9">
        <f>4.6027 * CHOOSE(CONTROL!$C$32, $C$9, 100%, $E$9)</f>
        <v>4.6026999999999996</v>
      </c>
      <c r="C266" s="9">
        <f>4.6027 * CHOOSE(CONTROL!$C$32, $C$9, 100%, $E$9)</f>
        <v>4.6026999999999996</v>
      </c>
      <c r="D266" s="9">
        <f>4.6037 * CHOOSE(CONTROL!$C$32, $C$9, 100%, $E$9)</f>
        <v>4.6036999999999999</v>
      </c>
      <c r="E266" s="11">
        <f>5.9092 * CHOOSE(CONTROL!$C$32, $C$9, 100%, $E$9)</f>
        <v>5.9092000000000002</v>
      </c>
      <c r="F266" s="11">
        <f>5.9092 * CHOOSE(CONTROL!$C$32, $C$9, 100%, $E$9)</f>
        <v>5.9092000000000002</v>
      </c>
      <c r="G266" s="11">
        <f>5.9129 * CHOOSE(CONTROL!$C$32, $C$9, 100%, $E$9)</f>
        <v>5.9128999999999996</v>
      </c>
      <c r="H266" s="11">
        <f>9.3683 * CHOOSE(CONTROL!$C$32, $C$9, 100%, $E$9)</f>
        <v>9.3682999999999996</v>
      </c>
      <c r="I266" s="11">
        <f>9.3719 * CHOOSE(CONTROL!$C$32, $C$9, 100%, $E$9)</f>
        <v>9.3719000000000001</v>
      </c>
      <c r="J266" s="11">
        <f>9.3683 * CHOOSE(CONTROL!$C$32, $C$9, 100%, $E$9)</f>
        <v>9.3682999999999996</v>
      </c>
      <c r="K266" s="11">
        <f>9.3719 * CHOOSE(CONTROL!$C$32, $C$9, 100%, $E$9)</f>
        <v>9.3719000000000001</v>
      </c>
      <c r="L266" s="11">
        <f>5.9092 * CHOOSE(CONTROL!$C$32, $C$9, 100%, $E$9)</f>
        <v>5.9092000000000002</v>
      </c>
      <c r="M266" s="11">
        <f>5.9129 * CHOOSE(CONTROL!$C$32, $C$9, 100%, $E$9)</f>
        <v>5.9128999999999996</v>
      </c>
      <c r="N266" s="11">
        <f>5.9092 * CHOOSE(CONTROL!$C$32, $C$9, 100%, $E$9)</f>
        <v>5.9092000000000002</v>
      </c>
      <c r="O266" s="11">
        <f>5.9129 * CHOOSE(CONTROL!$C$32, $C$9, 100%, $E$9)</f>
        <v>5.9128999999999996</v>
      </c>
    </row>
    <row r="267" spans="1:15" ht="15" x14ac:dyDescent="0.2">
      <c r="A267" s="13">
        <v>48976</v>
      </c>
      <c r="B267" s="9">
        <f>4.5996 * CHOOSE(CONTROL!$C$32, $C$9, 100%, $E$9)</f>
        <v>4.5995999999999997</v>
      </c>
      <c r="C267" s="9">
        <f>4.5996 * CHOOSE(CONTROL!$C$32, $C$9, 100%, $E$9)</f>
        <v>4.5995999999999997</v>
      </c>
      <c r="D267" s="9">
        <f>4.6007 * CHOOSE(CONTROL!$C$32, $C$9, 100%, $E$9)</f>
        <v>4.6006999999999998</v>
      </c>
      <c r="E267" s="11">
        <f>5.9072 * CHOOSE(CONTROL!$C$32, $C$9, 100%, $E$9)</f>
        <v>5.9071999999999996</v>
      </c>
      <c r="F267" s="11">
        <f>5.9072 * CHOOSE(CONTROL!$C$32, $C$9, 100%, $E$9)</f>
        <v>5.9071999999999996</v>
      </c>
      <c r="G267" s="11">
        <f>5.9109 * CHOOSE(CONTROL!$C$32, $C$9, 100%, $E$9)</f>
        <v>5.9108999999999998</v>
      </c>
      <c r="H267" s="11">
        <f>9.3878 * CHOOSE(CONTROL!$C$32, $C$9, 100%, $E$9)</f>
        <v>9.3878000000000004</v>
      </c>
      <c r="I267" s="11">
        <f>9.3915 * CHOOSE(CONTROL!$C$32, $C$9, 100%, $E$9)</f>
        <v>9.3915000000000006</v>
      </c>
      <c r="J267" s="11">
        <f>9.3878 * CHOOSE(CONTROL!$C$32, $C$9, 100%, $E$9)</f>
        <v>9.3878000000000004</v>
      </c>
      <c r="K267" s="11">
        <f>9.3915 * CHOOSE(CONTROL!$C$32, $C$9, 100%, $E$9)</f>
        <v>9.3915000000000006</v>
      </c>
      <c r="L267" s="11">
        <f>5.9072 * CHOOSE(CONTROL!$C$32, $C$9, 100%, $E$9)</f>
        <v>5.9071999999999996</v>
      </c>
      <c r="M267" s="11">
        <f>5.9109 * CHOOSE(CONTROL!$C$32, $C$9, 100%, $E$9)</f>
        <v>5.9108999999999998</v>
      </c>
      <c r="N267" s="11">
        <f>5.9072 * CHOOSE(CONTROL!$C$32, $C$9, 100%, $E$9)</f>
        <v>5.9071999999999996</v>
      </c>
      <c r="O267" s="11">
        <f>5.9109 * CHOOSE(CONTROL!$C$32, $C$9, 100%, $E$9)</f>
        <v>5.9108999999999998</v>
      </c>
    </row>
    <row r="268" spans="1:15" ht="15" x14ac:dyDescent="0.2">
      <c r="A268" s="13">
        <v>49004</v>
      </c>
      <c r="B268" s="9">
        <f>4.5966 * CHOOSE(CONTROL!$C$32, $C$9, 100%, $E$9)</f>
        <v>4.5965999999999996</v>
      </c>
      <c r="C268" s="9">
        <f>4.5966 * CHOOSE(CONTROL!$C$32, $C$9, 100%, $E$9)</f>
        <v>4.5965999999999996</v>
      </c>
      <c r="D268" s="9">
        <f>4.5977 * CHOOSE(CONTROL!$C$32, $C$9, 100%, $E$9)</f>
        <v>4.5976999999999997</v>
      </c>
      <c r="E268" s="11">
        <f>5.9052 * CHOOSE(CONTROL!$C$32, $C$9, 100%, $E$9)</f>
        <v>5.9051999999999998</v>
      </c>
      <c r="F268" s="11">
        <f>5.9052 * CHOOSE(CONTROL!$C$32, $C$9, 100%, $E$9)</f>
        <v>5.9051999999999998</v>
      </c>
      <c r="G268" s="11">
        <f>5.9089 * CHOOSE(CONTROL!$C$32, $C$9, 100%, $E$9)</f>
        <v>5.9089</v>
      </c>
      <c r="H268" s="11">
        <f>9.4074 * CHOOSE(CONTROL!$C$32, $C$9, 100%, $E$9)</f>
        <v>9.4074000000000009</v>
      </c>
      <c r="I268" s="11">
        <f>9.411 * CHOOSE(CONTROL!$C$32, $C$9, 100%, $E$9)</f>
        <v>9.4109999999999996</v>
      </c>
      <c r="J268" s="11">
        <f>9.4074 * CHOOSE(CONTROL!$C$32, $C$9, 100%, $E$9)</f>
        <v>9.4074000000000009</v>
      </c>
      <c r="K268" s="11">
        <f>9.411 * CHOOSE(CONTROL!$C$32, $C$9, 100%, $E$9)</f>
        <v>9.4109999999999996</v>
      </c>
      <c r="L268" s="11">
        <f>5.9052 * CHOOSE(CONTROL!$C$32, $C$9, 100%, $E$9)</f>
        <v>5.9051999999999998</v>
      </c>
      <c r="M268" s="11">
        <f>5.9089 * CHOOSE(CONTROL!$C$32, $C$9, 100%, $E$9)</f>
        <v>5.9089</v>
      </c>
      <c r="N268" s="11">
        <f>5.9052 * CHOOSE(CONTROL!$C$32, $C$9, 100%, $E$9)</f>
        <v>5.9051999999999998</v>
      </c>
      <c r="O268" s="11">
        <f>5.9089 * CHOOSE(CONTROL!$C$32, $C$9, 100%, $E$9)</f>
        <v>5.9089</v>
      </c>
    </row>
    <row r="269" spans="1:15" ht="15" x14ac:dyDescent="0.2">
      <c r="A269" s="13">
        <v>49035</v>
      </c>
      <c r="B269" s="9">
        <f>4.5948 * CHOOSE(CONTROL!$C$32, $C$9, 100%, $E$9)</f>
        <v>4.5948000000000002</v>
      </c>
      <c r="C269" s="9">
        <f>4.5948 * CHOOSE(CONTROL!$C$32, $C$9, 100%, $E$9)</f>
        <v>4.5948000000000002</v>
      </c>
      <c r="D269" s="9">
        <f>4.5959 * CHOOSE(CONTROL!$C$32, $C$9, 100%, $E$9)</f>
        <v>4.5959000000000003</v>
      </c>
      <c r="E269" s="11">
        <f>5.9035 * CHOOSE(CONTROL!$C$32, $C$9, 100%, $E$9)</f>
        <v>5.9035000000000002</v>
      </c>
      <c r="F269" s="11">
        <f>5.9035 * CHOOSE(CONTROL!$C$32, $C$9, 100%, $E$9)</f>
        <v>5.9035000000000002</v>
      </c>
      <c r="G269" s="11">
        <f>5.9071 * CHOOSE(CONTROL!$C$32, $C$9, 100%, $E$9)</f>
        <v>5.9070999999999998</v>
      </c>
      <c r="H269" s="11">
        <f>9.427 * CHOOSE(CONTROL!$C$32, $C$9, 100%, $E$9)</f>
        <v>9.4269999999999996</v>
      </c>
      <c r="I269" s="11">
        <f>9.4306 * CHOOSE(CONTROL!$C$32, $C$9, 100%, $E$9)</f>
        <v>9.4306000000000001</v>
      </c>
      <c r="J269" s="11">
        <f>9.427 * CHOOSE(CONTROL!$C$32, $C$9, 100%, $E$9)</f>
        <v>9.4269999999999996</v>
      </c>
      <c r="K269" s="11">
        <f>9.4306 * CHOOSE(CONTROL!$C$32, $C$9, 100%, $E$9)</f>
        <v>9.4306000000000001</v>
      </c>
      <c r="L269" s="11">
        <f>5.9035 * CHOOSE(CONTROL!$C$32, $C$9, 100%, $E$9)</f>
        <v>5.9035000000000002</v>
      </c>
      <c r="M269" s="11">
        <f>5.9071 * CHOOSE(CONTROL!$C$32, $C$9, 100%, $E$9)</f>
        <v>5.9070999999999998</v>
      </c>
      <c r="N269" s="11">
        <f>5.9035 * CHOOSE(CONTROL!$C$32, $C$9, 100%, $E$9)</f>
        <v>5.9035000000000002</v>
      </c>
      <c r="O269" s="11">
        <f>5.9071 * CHOOSE(CONTROL!$C$32, $C$9, 100%, $E$9)</f>
        <v>5.9070999999999998</v>
      </c>
    </row>
    <row r="270" spans="1:15" ht="15" x14ac:dyDescent="0.2">
      <c r="A270" s="13">
        <v>49065</v>
      </c>
      <c r="B270" s="9">
        <f>4.5948 * CHOOSE(CONTROL!$C$32, $C$9, 100%, $E$9)</f>
        <v>4.5948000000000002</v>
      </c>
      <c r="C270" s="9">
        <f>4.5948 * CHOOSE(CONTROL!$C$32, $C$9, 100%, $E$9)</f>
        <v>4.5948000000000002</v>
      </c>
      <c r="D270" s="9">
        <f>4.5964 * CHOOSE(CONTROL!$C$32, $C$9, 100%, $E$9)</f>
        <v>4.5964</v>
      </c>
      <c r="E270" s="11">
        <f>5.9035 * CHOOSE(CONTROL!$C$32, $C$9, 100%, $E$9)</f>
        <v>5.9035000000000002</v>
      </c>
      <c r="F270" s="11">
        <f>5.9035 * CHOOSE(CONTROL!$C$32, $C$9, 100%, $E$9)</f>
        <v>5.9035000000000002</v>
      </c>
      <c r="G270" s="11">
        <f>5.9088 * CHOOSE(CONTROL!$C$32, $C$9, 100%, $E$9)</f>
        <v>5.9088000000000003</v>
      </c>
      <c r="H270" s="11">
        <f>9.4466 * CHOOSE(CONTROL!$C$32, $C$9, 100%, $E$9)</f>
        <v>9.4466000000000001</v>
      </c>
      <c r="I270" s="11">
        <f>9.4519 * CHOOSE(CONTROL!$C$32, $C$9, 100%, $E$9)</f>
        <v>9.4519000000000002</v>
      </c>
      <c r="J270" s="11">
        <f>9.4466 * CHOOSE(CONTROL!$C$32, $C$9, 100%, $E$9)</f>
        <v>9.4466000000000001</v>
      </c>
      <c r="K270" s="11">
        <f>9.4519 * CHOOSE(CONTROL!$C$32, $C$9, 100%, $E$9)</f>
        <v>9.4519000000000002</v>
      </c>
      <c r="L270" s="11">
        <f>5.9035 * CHOOSE(CONTROL!$C$32, $C$9, 100%, $E$9)</f>
        <v>5.9035000000000002</v>
      </c>
      <c r="M270" s="11">
        <f>5.9088 * CHOOSE(CONTROL!$C$32, $C$9, 100%, $E$9)</f>
        <v>5.9088000000000003</v>
      </c>
      <c r="N270" s="11">
        <f>5.9035 * CHOOSE(CONTROL!$C$32, $C$9, 100%, $E$9)</f>
        <v>5.9035000000000002</v>
      </c>
      <c r="O270" s="11">
        <f>5.9088 * CHOOSE(CONTROL!$C$32, $C$9, 100%, $E$9)</f>
        <v>5.9088000000000003</v>
      </c>
    </row>
    <row r="271" spans="1:15" ht="15" x14ac:dyDescent="0.2">
      <c r="A271" s="13">
        <v>49096</v>
      </c>
      <c r="B271" s="9">
        <f>4.6009 * CHOOSE(CONTROL!$C$32, $C$9, 100%, $E$9)</f>
        <v>4.6009000000000002</v>
      </c>
      <c r="C271" s="9">
        <f>4.6009 * CHOOSE(CONTROL!$C$32, $C$9, 100%, $E$9)</f>
        <v>4.6009000000000002</v>
      </c>
      <c r="D271" s="9">
        <f>4.6025 * CHOOSE(CONTROL!$C$32, $C$9, 100%, $E$9)</f>
        <v>4.6025</v>
      </c>
      <c r="E271" s="11">
        <f>5.9075 * CHOOSE(CONTROL!$C$32, $C$9, 100%, $E$9)</f>
        <v>5.9074999999999998</v>
      </c>
      <c r="F271" s="11">
        <f>5.9075 * CHOOSE(CONTROL!$C$32, $C$9, 100%, $E$9)</f>
        <v>5.9074999999999998</v>
      </c>
      <c r="G271" s="11">
        <f>5.9128 * CHOOSE(CONTROL!$C$32, $C$9, 100%, $E$9)</f>
        <v>5.9127999999999998</v>
      </c>
      <c r="H271" s="11">
        <f>9.4663 * CHOOSE(CONTROL!$C$32, $C$9, 100%, $E$9)</f>
        <v>9.4663000000000004</v>
      </c>
      <c r="I271" s="11">
        <f>9.4716 * CHOOSE(CONTROL!$C$32, $C$9, 100%, $E$9)</f>
        <v>9.4716000000000005</v>
      </c>
      <c r="J271" s="11">
        <f>9.4663 * CHOOSE(CONTROL!$C$32, $C$9, 100%, $E$9)</f>
        <v>9.4663000000000004</v>
      </c>
      <c r="K271" s="11">
        <f>9.4716 * CHOOSE(CONTROL!$C$32, $C$9, 100%, $E$9)</f>
        <v>9.4716000000000005</v>
      </c>
      <c r="L271" s="11">
        <f>5.9075 * CHOOSE(CONTROL!$C$32, $C$9, 100%, $E$9)</f>
        <v>5.9074999999999998</v>
      </c>
      <c r="M271" s="11">
        <f>5.9128 * CHOOSE(CONTROL!$C$32, $C$9, 100%, $E$9)</f>
        <v>5.9127999999999998</v>
      </c>
      <c r="N271" s="11">
        <f>5.9075 * CHOOSE(CONTROL!$C$32, $C$9, 100%, $E$9)</f>
        <v>5.9074999999999998</v>
      </c>
      <c r="O271" s="11">
        <f>5.9128 * CHOOSE(CONTROL!$C$32, $C$9, 100%, $E$9)</f>
        <v>5.9127999999999998</v>
      </c>
    </row>
    <row r="272" spans="1:15" ht="15" x14ac:dyDescent="0.2">
      <c r="A272" s="13">
        <v>49126</v>
      </c>
      <c r="B272" s="9">
        <f>4.6716 * CHOOSE(CONTROL!$C$32, $C$9, 100%, $E$9)</f>
        <v>4.6715999999999998</v>
      </c>
      <c r="C272" s="9">
        <f>4.6716 * CHOOSE(CONTROL!$C$32, $C$9, 100%, $E$9)</f>
        <v>4.6715999999999998</v>
      </c>
      <c r="D272" s="9">
        <f>4.6731 * CHOOSE(CONTROL!$C$32, $C$9, 100%, $E$9)</f>
        <v>4.6730999999999998</v>
      </c>
      <c r="E272" s="11">
        <f>6.0182 * CHOOSE(CONTROL!$C$32, $C$9, 100%, $E$9)</f>
        <v>6.0182000000000002</v>
      </c>
      <c r="F272" s="11">
        <f>6.0182 * CHOOSE(CONTROL!$C$32, $C$9, 100%, $E$9)</f>
        <v>6.0182000000000002</v>
      </c>
      <c r="G272" s="11">
        <f>6.0235 * CHOOSE(CONTROL!$C$32, $C$9, 100%, $E$9)</f>
        <v>6.0235000000000003</v>
      </c>
      <c r="H272" s="11">
        <f>9.486 * CHOOSE(CONTROL!$C$32, $C$9, 100%, $E$9)</f>
        <v>9.4860000000000007</v>
      </c>
      <c r="I272" s="11">
        <f>9.4913 * CHOOSE(CONTROL!$C$32, $C$9, 100%, $E$9)</f>
        <v>9.4913000000000007</v>
      </c>
      <c r="J272" s="11">
        <f>9.486 * CHOOSE(CONTROL!$C$32, $C$9, 100%, $E$9)</f>
        <v>9.4860000000000007</v>
      </c>
      <c r="K272" s="11">
        <f>9.4913 * CHOOSE(CONTROL!$C$32, $C$9, 100%, $E$9)</f>
        <v>9.4913000000000007</v>
      </c>
      <c r="L272" s="11">
        <f>6.0182 * CHOOSE(CONTROL!$C$32, $C$9, 100%, $E$9)</f>
        <v>6.0182000000000002</v>
      </c>
      <c r="M272" s="11">
        <f>6.0235 * CHOOSE(CONTROL!$C$32, $C$9, 100%, $E$9)</f>
        <v>6.0235000000000003</v>
      </c>
      <c r="N272" s="11">
        <f>6.0182 * CHOOSE(CONTROL!$C$32, $C$9, 100%, $E$9)</f>
        <v>6.0182000000000002</v>
      </c>
      <c r="O272" s="11">
        <f>6.0235 * CHOOSE(CONTROL!$C$32, $C$9, 100%, $E$9)</f>
        <v>6.0235000000000003</v>
      </c>
    </row>
    <row r="273" spans="1:15" ht="15" x14ac:dyDescent="0.2">
      <c r="A273" s="13">
        <v>49157</v>
      </c>
      <c r="B273" s="9">
        <f>4.6783 * CHOOSE(CONTROL!$C$32, $C$9, 100%, $E$9)</f>
        <v>4.6783000000000001</v>
      </c>
      <c r="C273" s="9">
        <f>4.6783 * CHOOSE(CONTROL!$C$32, $C$9, 100%, $E$9)</f>
        <v>4.6783000000000001</v>
      </c>
      <c r="D273" s="9">
        <f>4.6798 * CHOOSE(CONTROL!$C$32, $C$9, 100%, $E$9)</f>
        <v>4.6798000000000002</v>
      </c>
      <c r="E273" s="11">
        <f>6.0226 * CHOOSE(CONTROL!$C$32, $C$9, 100%, $E$9)</f>
        <v>6.0225999999999997</v>
      </c>
      <c r="F273" s="11">
        <f>6.0226 * CHOOSE(CONTROL!$C$32, $C$9, 100%, $E$9)</f>
        <v>6.0225999999999997</v>
      </c>
      <c r="G273" s="11">
        <f>6.0279 * CHOOSE(CONTROL!$C$32, $C$9, 100%, $E$9)</f>
        <v>6.0278999999999998</v>
      </c>
      <c r="H273" s="11">
        <f>9.5058 * CHOOSE(CONTROL!$C$32, $C$9, 100%, $E$9)</f>
        <v>9.5058000000000007</v>
      </c>
      <c r="I273" s="11">
        <f>9.5111 * CHOOSE(CONTROL!$C$32, $C$9, 100%, $E$9)</f>
        <v>9.5111000000000008</v>
      </c>
      <c r="J273" s="11">
        <f>9.5058 * CHOOSE(CONTROL!$C$32, $C$9, 100%, $E$9)</f>
        <v>9.5058000000000007</v>
      </c>
      <c r="K273" s="11">
        <f>9.5111 * CHOOSE(CONTROL!$C$32, $C$9, 100%, $E$9)</f>
        <v>9.5111000000000008</v>
      </c>
      <c r="L273" s="11">
        <f>6.0226 * CHOOSE(CONTROL!$C$32, $C$9, 100%, $E$9)</f>
        <v>6.0225999999999997</v>
      </c>
      <c r="M273" s="11">
        <f>6.0279 * CHOOSE(CONTROL!$C$32, $C$9, 100%, $E$9)</f>
        <v>6.0278999999999998</v>
      </c>
      <c r="N273" s="11">
        <f>6.0226 * CHOOSE(CONTROL!$C$32, $C$9, 100%, $E$9)</f>
        <v>6.0225999999999997</v>
      </c>
      <c r="O273" s="11">
        <f>6.0279 * CHOOSE(CONTROL!$C$32, $C$9, 100%, $E$9)</f>
        <v>6.0278999999999998</v>
      </c>
    </row>
    <row r="274" spans="1:15" ht="15" x14ac:dyDescent="0.2">
      <c r="A274" s="13">
        <v>49188</v>
      </c>
      <c r="B274" s="9">
        <f>4.6752 * CHOOSE(CONTROL!$C$32, $C$9, 100%, $E$9)</f>
        <v>4.6752000000000002</v>
      </c>
      <c r="C274" s="9">
        <f>4.6752 * CHOOSE(CONTROL!$C$32, $C$9, 100%, $E$9)</f>
        <v>4.6752000000000002</v>
      </c>
      <c r="D274" s="9">
        <f>4.6768 * CHOOSE(CONTROL!$C$32, $C$9, 100%, $E$9)</f>
        <v>4.6768000000000001</v>
      </c>
      <c r="E274" s="11">
        <f>6.0206 * CHOOSE(CONTROL!$C$32, $C$9, 100%, $E$9)</f>
        <v>6.0206</v>
      </c>
      <c r="F274" s="11">
        <f>6.0206 * CHOOSE(CONTROL!$C$32, $C$9, 100%, $E$9)</f>
        <v>6.0206</v>
      </c>
      <c r="G274" s="11">
        <f>6.0259 * CHOOSE(CONTROL!$C$32, $C$9, 100%, $E$9)</f>
        <v>6.0259</v>
      </c>
      <c r="H274" s="11">
        <f>9.5256 * CHOOSE(CONTROL!$C$32, $C$9, 100%, $E$9)</f>
        <v>9.5256000000000007</v>
      </c>
      <c r="I274" s="11">
        <f>9.5309 * CHOOSE(CONTROL!$C$32, $C$9, 100%, $E$9)</f>
        <v>9.5309000000000008</v>
      </c>
      <c r="J274" s="11">
        <f>9.5256 * CHOOSE(CONTROL!$C$32, $C$9, 100%, $E$9)</f>
        <v>9.5256000000000007</v>
      </c>
      <c r="K274" s="11">
        <f>9.5309 * CHOOSE(CONTROL!$C$32, $C$9, 100%, $E$9)</f>
        <v>9.5309000000000008</v>
      </c>
      <c r="L274" s="11">
        <f>6.0206 * CHOOSE(CONTROL!$C$32, $C$9, 100%, $E$9)</f>
        <v>6.0206</v>
      </c>
      <c r="M274" s="11">
        <f>6.0259 * CHOOSE(CONTROL!$C$32, $C$9, 100%, $E$9)</f>
        <v>6.0259</v>
      </c>
      <c r="N274" s="11">
        <f>6.0206 * CHOOSE(CONTROL!$C$32, $C$9, 100%, $E$9)</f>
        <v>6.0206</v>
      </c>
      <c r="O274" s="11">
        <f>6.0259 * CHOOSE(CONTROL!$C$32, $C$9, 100%, $E$9)</f>
        <v>6.0259</v>
      </c>
    </row>
    <row r="275" spans="1:15" ht="15" x14ac:dyDescent="0.2">
      <c r="A275" s="13">
        <v>49218</v>
      </c>
      <c r="B275" s="9">
        <f>4.6728 * CHOOSE(CONTROL!$C$32, $C$9, 100%, $E$9)</f>
        <v>4.6727999999999996</v>
      </c>
      <c r="C275" s="9">
        <f>4.6728 * CHOOSE(CONTROL!$C$32, $C$9, 100%, $E$9)</f>
        <v>4.6727999999999996</v>
      </c>
      <c r="D275" s="9">
        <f>4.6739 * CHOOSE(CONTROL!$C$32, $C$9, 100%, $E$9)</f>
        <v>4.6738999999999997</v>
      </c>
      <c r="E275" s="11">
        <f>6.0166 * CHOOSE(CONTROL!$C$32, $C$9, 100%, $E$9)</f>
        <v>6.0166000000000004</v>
      </c>
      <c r="F275" s="11">
        <f>6.0166 * CHOOSE(CONTROL!$C$32, $C$9, 100%, $E$9)</f>
        <v>6.0166000000000004</v>
      </c>
      <c r="G275" s="11">
        <f>6.0202 * CHOOSE(CONTROL!$C$32, $C$9, 100%, $E$9)</f>
        <v>6.0202</v>
      </c>
      <c r="H275" s="11">
        <f>9.5454 * CHOOSE(CONTROL!$C$32, $C$9, 100%, $E$9)</f>
        <v>9.5454000000000008</v>
      </c>
      <c r="I275" s="11">
        <f>9.5491 * CHOOSE(CONTROL!$C$32, $C$9, 100%, $E$9)</f>
        <v>9.5490999999999993</v>
      </c>
      <c r="J275" s="11">
        <f>9.5454 * CHOOSE(CONTROL!$C$32, $C$9, 100%, $E$9)</f>
        <v>9.5454000000000008</v>
      </c>
      <c r="K275" s="11">
        <f>9.5491 * CHOOSE(CONTROL!$C$32, $C$9, 100%, $E$9)</f>
        <v>9.5490999999999993</v>
      </c>
      <c r="L275" s="11">
        <f>6.0166 * CHOOSE(CONTROL!$C$32, $C$9, 100%, $E$9)</f>
        <v>6.0166000000000004</v>
      </c>
      <c r="M275" s="11">
        <f>6.0202 * CHOOSE(CONTROL!$C$32, $C$9, 100%, $E$9)</f>
        <v>6.0202</v>
      </c>
      <c r="N275" s="11">
        <f>6.0166 * CHOOSE(CONTROL!$C$32, $C$9, 100%, $E$9)</f>
        <v>6.0166000000000004</v>
      </c>
      <c r="O275" s="11">
        <f>6.0202 * CHOOSE(CONTROL!$C$32, $C$9, 100%, $E$9)</f>
        <v>6.0202</v>
      </c>
    </row>
    <row r="276" spans="1:15" ht="15" x14ac:dyDescent="0.2">
      <c r="A276" s="13">
        <v>49249</v>
      </c>
      <c r="B276" s="9">
        <f>4.6758 * CHOOSE(CONTROL!$C$32, $C$9, 100%, $E$9)</f>
        <v>4.6757999999999997</v>
      </c>
      <c r="C276" s="9">
        <f>4.6758 * CHOOSE(CONTROL!$C$32, $C$9, 100%, $E$9)</f>
        <v>4.6757999999999997</v>
      </c>
      <c r="D276" s="9">
        <f>4.6769 * CHOOSE(CONTROL!$C$32, $C$9, 100%, $E$9)</f>
        <v>4.6768999999999998</v>
      </c>
      <c r="E276" s="11">
        <f>6.0186 * CHOOSE(CONTROL!$C$32, $C$9, 100%, $E$9)</f>
        <v>6.0186000000000002</v>
      </c>
      <c r="F276" s="11">
        <f>6.0186 * CHOOSE(CONTROL!$C$32, $C$9, 100%, $E$9)</f>
        <v>6.0186000000000002</v>
      </c>
      <c r="G276" s="11">
        <f>6.0222 * CHOOSE(CONTROL!$C$32, $C$9, 100%, $E$9)</f>
        <v>6.0221999999999998</v>
      </c>
      <c r="H276" s="11">
        <f>9.5653 * CHOOSE(CONTROL!$C$32, $C$9, 100%, $E$9)</f>
        <v>9.5653000000000006</v>
      </c>
      <c r="I276" s="11">
        <f>9.569 * CHOOSE(CONTROL!$C$32, $C$9, 100%, $E$9)</f>
        <v>9.5690000000000008</v>
      </c>
      <c r="J276" s="11">
        <f>9.5653 * CHOOSE(CONTROL!$C$32, $C$9, 100%, $E$9)</f>
        <v>9.5653000000000006</v>
      </c>
      <c r="K276" s="11">
        <f>9.569 * CHOOSE(CONTROL!$C$32, $C$9, 100%, $E$9)</f>
        <v>9.5690000000000008</v>
      </c>
      <c r="L276" s="11">
        <f>6.0186 * CHOOSE(CONTROL!$C$32, $C$9, 100%, $E$9)</f>
        <v>6.0186000000000002</v>
      </c>
      <c r="M276" s="11">
        <f>6.0222 * CHOOSE(CONTROL!$C$32, $C$9, 100%, $E$9)</f>
        <v>6.0221999999999998</v>
      </c>
      <c r="N276" s="11">
        <f>6.0186 * CHOOSE(CONTROL!$C$32, $C$9, 100%, $E$9)</f>
        <v>6.0186000000000002</v>
      </c>
      <c r="O276" s="11">
        <f>6.0222 * CHOOSE(CONTROL!$C$32, $C$9, 100%, $E$9)</f>
        <v>6.0221999999999998</v>
      </c>
    </row>
    <row r="277" spans="1:15" ht="15" x14ac:dyDescent="0.2">
      <c r="A277" s="13">
        <v>49279</v>
      </c>
      <c r="B277" s="9">
        <f>4.6758 * CHOOSE(CONTROL!$C$32, $C$9, 100%, $E$9)</f>
        <v>4.6757999999999997</v>
      </c>
      <c r="C277" s="9">
        <f>4.6758 * CHOOSE(CONTROL!$C$32, $C$9, 100%, $E$9)</f>
        <v>4.6757999999999997</v>
      </c>
      <c r="D277" s="9">
        <f>4.6769 * CHOOSE(CONTROL!$C$32, $C$9, 100%, $E$9)</f>
        <v>4.6768999999999998</v>
      </c>
      <c r="E277" s="11">
        <f>6.0186 * CHOOSE(CONTROL!$C$32, $C$9, 100%, $E$9)</f>
        <v>6.0186000000000002</v>
      </c>
      <c r="F277" s="11">
        <f>6.0186 * CHOOSE(CONTROL!$C$32, $C$9, 100%, $E$9)</f>
        <v>6.0186000000000002</v>
      </c>
      <c r="G277" s="11">
        <f>6.0222 * CHOOSE(CONTROL!$C$32, $C$9, 100%, $E$9)</f>
        <v>6.0221999999999998</v>
      </c>
      <c r="H277" s="11">
        <f>9.5853 * CHOOSE(CONTROL!$C$32, $C$9, 100%, $E$9)</f>
        <v>9.5853000000000002</v>
      </c>
      <c r="I277" s="11">
        <f>9.5889 * CHOOSE(CONTROL!$C$32, $C$9, 100%, $E$9)</f>
        <v>9.5889000000000006</v>
      </c>
      <c r="J277" s="11">
        <f>9.5853 * CHOOSE(CONTROL!$C$32, $C$9, 100%, $E$9)</f>
        <v>9.5853000000000002</v>
      </c>
      <c r="K277" s="11">
        <f>9.5889 * CHOOSE(CONTROL!$C$32, $C$9, 100%, $E$9)</f>
        <v>9.5889000000000006</v>
      </c>
      <c r="L277" s="11">
        <f>6.0186 * CHOOSE(CONTROL!$C$32, $C$9, 100%, $E$9)</f>
        <v>6.0186000000000002</v>
      </c>
      <c r="M277" s="11">
        <f>6.0222 * CHOOSE(CONTROL!$C$32, $C$9, 100%, $E$9)</f>
        <v>6.0221999999999998</v>
      </c>
      <c r="N277" s="11">
        <f>6.0186 * CHOOSE(CONTROL!$C$32, $C$9, 100%, $E$9)</f>
        <v>6.0186000000000002</v>
      </c>
      <c r="O277" s="11">
        <f>6.0222 * CHOOSE(CONTROL!$C$32, $C$9, 100%, $E$9)</f>
        <v>6.0221999999999998</v>
      </c>
    </row>
    <row r="278" spans="1:15" ht="15" x14ac:dyDescent="0.2">
      <c r="A278" s="13">
        <v>49310</v>
      </c>
      <c r="B278" s="9">
        <f>4.713 * CHOOSE(CONTROL!$C$32, $C$9, 100%, $E$9)</f>
        <v>4.7130000000000001</v>
      </c>
      <c r="C278" s="9">
        <f>4.713 * CHOOSE(CONTROL!$C$32, $C$9, 100%, $E$9)</f>
        <v>4.7130000000000001</v>
      </c>
      <c r="D278" s="9">
        <f>4.7141 * CHOOSE(CONTROL!$C$32, $C$9, 100%, $E$9)</f>
        <v>4.7141000000000002</v>
      </c>
      <c r="E278" s="11">
        <f>6.0663 * CHOOSE(CONTROL!$C$32, $C$9, 100%, $E$9)</f>
        <v>6.0663</v>
      </c>
      <c r="F278" s="11">
        <f>6.0663 * CHOOSE(CONTROL!$C$32, $C$9, 100%, $E$9)</f>
        <v>6.0663</v>
      </c>
      <c r="G278" s="11">
        <f>6.0699 * CHOOSE(CONTROL!$C$32, $C$9, 100%, $E$9)</f>
        <v>6.0698999999999996</v>
      </c>
      <c r="H278" s="11">
        <f>9.6052 * CHOOSE(CONTROL!$C$32, $C$9, 100%, $E$9)</f>
        <v>9.6052</v>
      </c>
      <c r="I278" s="11">
        <f>9.6088 * CHOOSE(CONTROL!$C$32, $C$9, 100%, $E$9)</f>
        <v>9.6088000000000005</v>
      </c>
      <c r="J278" s="11">
        <f>9.6052 * CHOOSE(CONTROL!$C$32, $C$9, 100%, $E$9)</f>
        <v>9.6052</v>
      </c>
      <c r="K278" s="11">
        <f>9.6088 * CHOOSE(CONTROL!$C$32, $C$9, 100%, $E$9)</f>
        <v>9.6088000000000005</v>
      </c>
      <c r="L278" s="11">
        <f>6.0663 * CHOOSE(CONTROL!$C$32, $C$9, 100%, $E$9)</f>
        <v>6.0663</v>
      </c>
      <c r="M278" s="11">
        <f>6.0699 * CHOOSE(CONTROL!$C$32, $C$9, 100%, $E$9)</f>
        <v>6.0698999999999996</v>
      </c>
      <c r="N278" s="11">
        <f>6.0663 * CHOOSE(CONTROL!$C$32, $C$9, 100%, $E$9)</f>
        <v>6.0663</v>
      </c>
      <c r="O278" s="11">
        <f>6.0699 * CHOOSE(CONTROL!$C$32, $C$9, 100%, $E$9)</f>
        <v>6.0698999999999996</v>
      </c>
    </row>
    <row r="279" spans="1:15" ht="15" x14ac:dyDescent="0.2">
      <c r="A279" s="13">
        <v>49341</v>
      </c>
      <c r="B279" s="9">
        <f>4.71 * CHOOSE(CONTROL!$C$32, $C$9, 100%, $E$9)</f>
        <v>4.71</v>
      </c>
      <c r="C279" s="9">
        <f>4.71 * CHOOSE(CONTROL!$C$32, $C$9, 100%, $E$9)</f>
        <v>4.71</v>
      </c>
      <c r="D279" s="9">
        <f>4.711 * CHOOSE(CONTROL!$C$32, $C$9, 100%, $E$9)</f>
        <v>4.7110000000000003</v>
      </c>
      <c r="E279" s="11">
        <f>6.3757 * CHOOSE(CONTROL!$C$32, $C$9, 100%, $E$9)</f>
        <v>6.3757000000000001</v>
      </c>
      <c r="F279" s="11">
        <f>6.3757 * CHOOSE(CONTROL!$C$32, $C$9, 100%, $E$9)</f>
        <v>6.3757000000000001</v>
      </c>
      <c r="G279" s="11">
        <f>6.3793 * CHOOSE(CONTROL!$C$32, $C$9, 100%, $E$9)</f>
        <v>6.3792999999999997</v>
      </c>
      <c r="H279" s="11">
        <f>9.6252 * CHOOSE(CONTROL!$C$32, $C$9, 100%, $E$9)</f>
        <v>9.6251999999999995</v>
      </c>
      <c r="I279" s="11">
        <f>9.6289 * CHOOSE(CONTROL!$C$32, $C$9, 100%, $E$9)</f>
        <v>9.6288999999999998</v>
      </c>
      <c r="J279" s="11">
        <f>9.6252 * CHOOSE(CONTROL!$C$32, $C$9, 100%, $E$9)</f>
        <v>9.6251999999999995</v>
      </c>
      <c r="K279" s="11">
        <f>9.6289 * CHOOSE(CONTROL!$C$32, $C$9, 100%, $E$9)</f>
        <v>9.6288999999999998</v>
      </c>
      <c r="L279" s="11">
        <f>6.3757 * CHOOSE(CONTROL!$C$32, $C$9, 100%, $E$9)</f>
        <v>6.3757000000000001</v>
      </c>
      <c r="M279" s="11">
        <f>6.3793 * CHOOSE(CONTROL!$C$32, $C$9, 100%, $E$9)</f>
        <v>6.3792999999999997</v>
      </c>
      <c r="N279" s="11">
        <f>6.3757 * CHOOSE(CONTROL!$C$32, $C$9, 100%, $E$9)</f>
        <v>6.3757000000000001</v>
      </c>
      <c r="O279" s="11">
        <f>6.3793 * CHOOSE(CONTROL!$C$32, $C$9, 100%, $E$9)</f>
        <v>6.3792999999999997</v>
      </c>
    </row>
    <row r="280" spans="1:15" ht="15" x14ac:dyDescent="0.2">
      <c r="A280" s="13">
        <v>49369</v>
      </c>
      <c r="B280" s="9">
        <f>4.7069 * CHOOSE(CONTROL!$C$32, $C$9, 100%, $E$9)</f>
        <v>4.7069000000000001</v>
      </c>
      <c r="C280" s="9">
        <f>4.7069 * CHOOSE(CONTROL!$C$32, $C$9, 100%, $E$9)</f>
        <v>4.7069000000000001</v>
      </c>
      <c r="D280" s="9">
        <f>4.708 * CHOOSE(CONTROL!$C$32, $C$9, 100%, $E$9)</f>
        <v>4.7080000000000002</v>
      </c>
      <c r="E280" s="11">
        <f>6.0623 * CHOOSE(CONTROL!$C$32, $C$9, 100%, $E$9)</f>
        <v>6.0622999999999996</v>
      </c>
      <c r="F280" s="11">
        <f>6.0623 * CHOOSE(CONTROL!$C$32, $C$9, 100%, $E$9)</f>
        <v>6.0622999999999996</v>
      </c>
      <c r="G280" s="11">
        <f>6.0659 * CHOOSE(CONTROL!$C$32, $C$9, 100%, $E$9)</f>
        <v>6.0659000000000001</v>
      </c>
      <c r="H280" s="11">
        <f>9.6453 * CHOOSE(CONTROL!$C$32, $C$9, 100%, $E$9)</f>
        <v>9.6453000000000007</v>
      </c>
      <c r="I280" s="11">
        <f>9.6489 * CHOOSE(CONTROL!$C$32, $C$9, 100%, $E$9)</f>
        <v>9.6488999999999994</v>
      </c>
      <c r="J280" s="11">
        <f>9.6453 * CHOOSE(CONTROL!$C$32, $C$9, 100%, $E$9)</f>
        <v>9.6453000000000007</v>
      </c>
      <c r="K280" s="11">
        <f>9.6489 * CHOOSE(CONTROL!$C$32, $C$9, 100%, $E$9)</f>
        <v>9.6488999999999994</v>
      </c>
      <c r="L280" s="11">
        <f>6.0623 * CHOOSE(CONTROL!$C$32, $C$9, 100%, $E$9)</f>
        <v>6.0622999999999996</v>
      </c>
      <c r="M280" s="11">
        <f>6.0659 * CHOOSE(CONTROL!$C$32, $C$9, 100%, $E$9)</f>
        <v>6.0659000000000001</v>
      </c>
      <c r="N280" s="11">
        <f>6.0623 * CHOOSE(CONTROL!$C$32, $C$9, 100%, $E$9)</f>
        <v>6.0622999999999996</v>
      </c>
      <c r="O280" s="11">
        <f>6.0659 * CHOOSE(CONTROL!$C$32, $C$9, 100%, $E$9)</f>
        <v>6.0659000000000001</v>
      </c>
    </row>
    <row r="281" spans="1:15" ht="15" x14ac:dyDescent="0.2">
      <c r="A281" s="13">
        <v>49400</v>
      </c>
      <c r="B281" s="9">
        <f>4.7052 * CHOOSE(CONTROL!$C$32, $C$9, 100%, $E$9)</f>
        <v>4.7051999999999996</v>
      </c>
      <c r="C281" s="9">
        <f>4.7052 * CHOOSE(CONTROL!$C$32, $C$9, 100%, $E$9)</f>
        <v>4.7051999999999996</v>
      </c>
      <c r="D281" s="9">
        <f>4.7063 * CHOOSE(CONTROL!$C$32, $C$9, 100%, $E$9)</f>
        <v>4.7062999999999997</v>
      </c>
      <c r="E281" s="11">
        <f>6.0605 * CHOOSE(CONTROL!$C$32, $C$9, 100%, $E$9)</f>
        <v>6.0605000000000002</v>
      </c>
      <c r="F281" s="11">
        <f>6.0605 * CHOOSE(CONTROL!$C$32, $C$9, 100%, $E$9)</f>
        <v>6.0605000000000002</v>
      </c>
      <c r="G281" s="11">
        <f>6.0642 * CHOOSE(CONTROL!$C$32, $C$9, 100%, $E$9)</f>
        <v>6.0641999999999996</v>
      </c>
      <c r="H281" s="11">
        <f>9.6654 * CHOOSE(CONTROL!$C$32, $C$9, 100%, $E$9)</f>
        <v>9.6654</v>
      </c>
      <c r="I281" s="11">
        <f>9.669 * CHOOSE(CONTROL!$C$32, $C$9, 100%, $E$9)</f>
        <v>9.6690000000000005</v>
      </c>
      <c r="J281" s="11">
        <f>9.6654 * CHOOSE(CONTROL!$C$32, $C$9, 100%, $E$9)</f>
        <v>9.6654</v>
      </c>
      <c r="K281" s="11">
        <f>9.669 * CHOOSE(CONTROL!$C$32, $C$9, 100%, $E$9)</f>
        <v>9.6690000000000005</v>
      </c>
      <c r="L281" s="11">
        <f>6.0605 * CHOOSE(CONTROL!$C$32, $C$9, 100%, $E$9)</f>
        <v>6.0605000000000002</v>
      </c>
      <c r="M281" s="11">
        <f>6.0642 * CHOOSE(CONTROL!$C$32, $C$9, 100%, $E$9)</f>
        <v>6.0641999999999996</v>
      </c>
      <c r="N281" s="11">
        <f>6.0605 * CHOOSE(CONTROL!$C$32, $C$9, 100%, $E$9)</f>
        <v>6.0605000000000002</v>
      </c>
      <c r="O281" s="11">
        <f>6.0642 * CHOOSE(CONTROL!$C$32, $C$9, 100%, $E$9)</f>
        <v>6.0641999999999996</v>
      </c>
    </row>
    <row r="282" spans="1:15" ht="15" x14ac:dyDescent="0.2">
      <c r="A282" s="13">
        <v>49430</v>
      </c>
      <c r="B282" s="9">
        <f>4.7052 * CHOOSE(CONTROL!$C$32, $C$9, 100%, $E$9)</f>
        <v>4.7051999999999996</v>
      </c>
      <c r="C282" s="9">
        <f>4.7052 * CHOOSE(CONTROL!$C$32, $C$9, 100%, $E$9)</f>
        <v>4.7051999999999996</v>
      </c>
      <c r="D282" s="9">
        <f>4.7068 * CHOOSE(CONTROL!$C$32, $C$9, 100%, $E$9)</f>
        <v>4.7068000000000003</v>
      </c>
      <c r="E282" s="11">
        <f>6.0605 * CHOOSE(CONTROL!$C$32, $C$9, 100%, $E$9)</f>
        <v>6.0605000000000002</v>
      </c>
      <c r="F282" s="11">
        <f>6.0605 * CHOOSE(CONTROL!$C$32, $C$9, 100%, $E$9)</f>
        <v>6.0605000000000002</v>
      </c>
      <c r="G282" s="11">
        <f>6.0658 * CHOOSE(CONTROL!$C$32, $C$9, 100%, $E$9)</f>
        <v>6.0658000000000003</v>
      </c>
      <c r="H282" s="11">
        <f>9.6855 * CHOOSE(CONTROL!$C$32, $C$9, 100%, $E$9)</f>
        <v>9.6854999999999993</v>
      </c>
      <c r="I282" s="11">
        <f>9.6908 * CHOOSE(CONTROL!$C$32, $C$9, 100%, $E$9)</f>
        <v>9.6907999999999994</v>
      </c>
      <c r="J282" s="11">
        <f>9.6855 * CHOOSE(CONTROL!$C$32, $C$9, 100%, $E$9)</f>
        <v>9.6854999999999993</v>
      </c>
      <c r="K282" s="11">
        <f>9.6908 * CHOOSE(CONTROL!$C$32, $C$9, 100%, $E$9)</f>
        <v>9.6907999999999994</v>
      </c>
      <c r="L282" s="11">
        <f>6.0605 * CHOOSE(CONTROL!$C$32, $C$9, 100%, $E$9)</f>
        <v>6.0605000000000002</v>
      </c>
      <c r="M282" s="11">
        <f>6.0658 * CHOOSE(CONTROL!$C$32, $C$9, 100%, $E$9)</f>
        <v>6.0658000000000003</v>
      </c>
      <c r="N282" s="11">
        <f>6.0605 * CHOOSE(CONTROL!$C$32, $C$9, 100%, $E$9)</f>
        <v>6.0605000000000002</v>
      </c>
      <c r="O282" s="11">
        <f>6.0658 * CHOOSE(CONTROL!$C$32, $C$9, 100%, $E$9)</f>
        <v>6.0658000000000003</v>
      </c>
    </row>
    <row r="283" spans="1:15" ht="15" x14ac:dyDescent="0.2">
      <c r="A283" s="13">
        <v>49461</v>
      </c>
      <c r="B283" s="9">
        <f>4.7113 * CHOOSE(CONTROL!$C$32, $C$9, 100%, $E$9)</f>
        <v>4.7112999999999996</v>
      </c>
      <c r="C283" s="9">
        <f>4.7113 * CHOOSE(CONTROL!$C$32, $C$9, 100%, $E$9)</f>
        <v>4.7112999999999996</v>
      </c>
      <c r="D283" s="9">
        <f>4.7129 * CHOOSE(CONTROL!$C$32, $C$9, 100%, $E$9)</f>
        <v>4.7129000000000003</v>
      </c>
      <c r="E283" s="11">
        <f>6.0645 * CHOOSE(CONTROL!$C$32, $C$9, 100%, $E$9)</f>
        <v>6.0644999999999998</v>
      </c>
      <c r="F283" s="11">
        <f>6.0645 * CHOOSE(CONTROL!$C$32, $C$9, 100%, $E$9)</f>
        <v>6.0644999999999998</v>
      </c>
      <c r="G283" s="11">
        <f>6.0698 * CHOOSE(CONTROL!$C$32, $C$9, 100%, $E$9)</f>
        <v>6.0697999999999999</v>
      </c>
      <c r="H283" s="11">
        <f>9.7057 * CHOOSE(CONTROL!$C$32, $C$9, 100%, $E$9)</f>
        <v>9.7057000000000002</v>
      </c>
      <c r="I283" s="11">
        <f>9.711 * CHOOSE(CONTROL!$C$32, $C$9, 100%, $E$9)</f>
        <v>9.7110000000000003</v>
      </c>
      <c r="J283" s="11">
        <f>9.7057 * CHOOSE(CONTROL!$C$32, $C$9, 100%, $E$9)</f>
        <v>9.7057000000000002</v>
      </c>
      <c r="K283" s="11">
        <f>9.711 * CHOOSE(CONTROL!$C$32, $C$9, 100%, $E$9)</f>
        <v>9.7110000000000003</v>
      </c>
      <c r="L283" s="11">
        <f>6.0645 * CHOOSE(CONTROL!$C$32, $C$9, 100%, $E$9)</f>
        <v>6.0644999999999998</v>
      </c>
      <c r="M283" s="11">
        <f>6.0698 * CHOOSE(CONTROL!$C$32, $C$9, 100%, $E$9)</f>
        <v>6.0697999999999999</v>
      </c>
      <c r="N283" s="11">
        <f>6.0645 * CHOOSE(CONTROL!$C$32, $C$9, 100%, $E$9)</f>
        <v>6.0644999999999998</v>
      </c>
      <c r="O283" s="11">
        <f>6.0698 * CHOOSE(CONTROL!$C$32, $C$9, 100%, $E$9)</f>
        <v>6.0697999999999999</v>
      </c>
    </row>
    <row r="284" spans="1:15" ht="15" x14ac:dyDescent="0.2">
      <c r="A284" s="13">
        <v>49491</v>
      </c>
      <c r="B284" s="9">
        <f>4.7784 * CHOOSE(CONTROL!$C$32, $C$9, 100%, $E$9)</f>
        <v>4.7784000000000004</v>
      </c>
      <c r="C284" s="9">
        <f>4.7784 * CHOOSE(CONTROL!$C$32, $C$9, 100%, $E$9)</f>
        <v>4.7784000000000004</v>
      </c>
      <c r="D284" s="9">
        <f>4.7799 * CHOOSE(CONTROL!$C$32, $C$9, 100%, $E$9)</f>
        <v>4.7798999999999996</v>
      </c>
      <c r="E284" s="11">
        <f>6.1692 * CHOOSE(CONTROL!$C$32, $C$9, 100%, $E$9)</f>
        <v>6.1692</v>
      </c>
      <c r="F284" s="11">
        <f>6.1692 * CHOOSE(CONTROL!$C$32, $C$9, 100%, $E$9)</f>
        <v>6.1692</v>
      </c>
      <c r="G284" s="11">
        <f>6.1745 * CHOOSE(CONTROL!$C$32, $C$9, 100%, $E$9)</f>
        <v>6.1745000000000001</v>
      </c>
      <c r="H284" s="11">
        <f>9.7259 * CHOOSE(CONTROL!$C$32, $C$9, 100%, $E$9)</f>
        <v>9.7258999999999993</v>
      </c>
      <c r="I284" s="11">
        <f>9.7312 * CHOOSE(CONTROL!$C$32, $C$9, 100%, $E$9)</f>
        <v>9.7311999999999994</v>
      </c>
      <c r="J284" s="11">
        <f>9.7259 * CHOOSE(CONTROL!$C$32, $C$9, 100%, $E$9)</f>
        <v>9.7258999999999993</v>
      </c>
      <c r="K284" s="11">
        <f>9.7312 * CHOOSE(CONTROL!$C$32, $C$9, 100%, $E$9)</f>
        <v>9.7311999999999994</v>
      </c>
      <c r="L284" s="11">
        <f>6.1692 * CHOOSE(CONTROL!$C$32, $C$9, 100%, $E$9)</f>
        <v>6.1692</v>
      </c>
      <c r="M284" s="11">
        <f>6.1745 * CHOOSE(CONTROL!$C$32, $C$9, 100%, $E$9)</f>
        <v>6.1745000000000001</v>
      </c>
      <c r="N284" s="11">
        <f>6.1692 * CHOOSE(CONTROL!$C$32, $C$9, 100%, $E$9)</f>
        <v>6.1692</v>
      </c>
      <c r="O284" s="11">
        <f>6.1745 * CHOOSE(CONTROL!$C$32, $C$9, 100%, $E$9)</f>
        <v>6.1745000000000001</v>
      </c>
    </row>
    <row r="285" spans="1:15" ht="15" x14ac:dyDescent="0.2">
      <c r="A285" s="13">
        <v>49522</v>
      </c>
      <c r="B285" s="9">
        <f>4.785 * CHOOSE(CONTROL!$C$32, $C$9, 100%, $E$9)</f>
        <v>4.7850000000000001</v>
      </c>
      <c r="C285" s="9">
        <f>4.785 * CHOOSE(CONTROL!$C$32, $C$9, 100%, $E$9)</f>
        <v>4.7850000000000001</v>
      </c>
      <c r="D285" s="9">
        <f>4.7866 * CHOOSE(CONTROL!$C$32, $C$9, 100%, $E$9)</f>
        <v>4.7866</v>
      </c>
      <c r="E285" s="11">
        <f>6.523 * CHOOSE(CONTROL!$C$32, $C$9, 100%, $E$9)</f>
        <v>6.5229999999999997</v>
      </c>
      <c r="F285" s="11">
        <f>6.523 * CHOOSE(CONTROL!$C$32, $C$9, 100%, $E$9)</f>
        <v>6.5229999999999997</v>
      </c>
      <c r="G285" s="11">
        <f>6.5283 * CHOOSE(CONTROL!$C$32, $C$9, 100%, $E$9)</f>
        <v>6.5282999999999998</v>
      </c>
      <c r="H285" s="11">
        <f>9.7462 * CHOOSE(CONTROL!$C$32, $C$9, 100%, $E$9)</f>
        <v>9.7462</v>
      </c>
      <c r="I285" s="11">
        <f>9.7515 * CHOOSE(CONTROL!$C$32, $C$9, 100%, $E$9)</f>
        <v>9.7515000000000001</v>
      </c>
      <c r="J285" s="11">
        <f>9.7462 * CHOOSE(CONTROL!$C$32, $C$9, 100%, $E$9)</f>
        <v>9.7462</v>
      </c>
      <c r="K285" s="11">
        <f>9.7515 * CHOOSE(CONTROL!$C$32, $C$9, 100%, $E$9)</f>
        <v>9.7515000000000001</v>
      </c>
      <c r="L285" s="11">
        <f>6.523 * CHOOSE(CONTROL!$C$32, $C$9, 100%, $E$9)</f>
        <v>6.5229999999999997</v>
      </c>
      <c r="M285" s="11">
        <f>6.5283 * CHOOSE(CONTROL!$C$32, $C$9, 100%, $E$9)</f>
        <v>6.5282999999999998</v>
      </c>
      <c r="N285" s="11">
        <f>6.523 * CHOOSE(CONTROL!$C$32, $C$9, 100%, $E$9)</f>
        <v>6.5229999999999997</v>
      </c>
      <c r="O285" s="11">
        <f>6.5283 * CHOOSE(CONTROL!$C$32, $C$9, 100%, $E$9)</f>
        <v>6.5282999999999998</v>
      </c>
    </row>
    <row r="286" spans="1:15" ht="15" x14ac:dyDescent="0.2">
      <c r="A286" s="13">
        <v>49553</v>
      </c>
      <c r="B286" s="9">
        <f>4.782 * CHOOSE(CONTROL!$C$32, $C$9, 100%, $E$9)</f>
        <v>4.782</v>
      </c>
      <c r="C286" s="9">
        <f>4.782 * CHOOSE(CONTROL!$C$32, $C$9, 100%, $E$9)</f>
        <v>4.782</v>
      </c>
      <c r="D286" s="9">
        <f>4.7836 * CHOOSE(CONTROL!$C$32, $C$9, 100%, $E$9)</f>
        <v>4.7835999999999999</v>
      </c>
      <c r="E286" s="11">
        <f>6.5105 * CHOOSE(CONTROL!$C$32, $C$9, 100%, $E$9)</f>
        <v>6.5105000000000004</v>
      </c>
      <c r="F286" s="11">
        <f>6.5105 * CHOOSE(CONTROL!$C$32, $C$9, 100%, $E$9)</f>
        <v>6.5105000000000004</v>
      </c>
      <c r="G286" s="11">
        <f>6.5158 * CHOOSE(CONTROL!$C$32, $C$9, 100%, $E$9)</f>
        <v>6.5157999999999996</v>
      </c>
      <c r="H286" s="11">
        <f>9.7665 * CHOOSE(CONTROL!$C$32, $C$9, 100%, $E$9)</f>
        <v>9.7665000000000006</v>
      </c>
      <c r="I286" s="11">
        <f>9.7718 * CHOOSE(CONTROL!$C$32, $C$9, 100%, $E$9)</f>
        <v>9.7718000000000007</v>
      </c>
      <c r="J286" s="11">
        <f>9.7665 * CHOOSE(CONTROL!$C$32, $C$9, 100%, $E$9)</f>
        <v>9.7665000000000006</v>
      </c>
      <c r="K286" s="11">
        <f>9.7718 * CHOOSE(CONTROL!$C$32, $C$9, 100%, $E$9)</f>
        <v>9.7718000000000007</v>
      </c>
      <c r="L286" s="11">
        <f>6.5105 * CHOOSE(CONTROL!$C$32, $C$9, 100%, $E$9)</f>
        <v>6.5105000000000004</v>
      </c>
      <c r="M286" s="11">
        <f>6.5158 * CHOOSE(CONTROL!$C$32, $C$9, 100%, $E$9)</f>
        <v>6.5157999999999996</v>
      </c>
      <c r="N286" s="11">
        <f>6.5105 * CHOOSE(CONTROL!$C$32, $C$9, 100%, $E$9)</f>
        <v>6.5105000000000004</v>
      </c>
      <c r="O286" s="11">
        <f>6.5158 * CHOOSE(CONTROL!$C$32, $C$9, 100%, $E$9)</f>
        <v>6.5157999999999996</v>
      </c>
    </row>
    <row r="287" spans="1:15" ht="15" x14ac:dyDescent="0.2">
      <c r="A287" s="13">
        <v>49583</v>
      </c>
      <c r="B287" s="9">
        <f>4.78 * CHOOSE(CONTROL!$C$32, $C$9, 100%, $E$9)</f>
        <v>4.78</v>
      </c>
      <c r="C287" s="9">
        <f>4.78 * CHOOSE(CONTROL!$C$32, $C$9, 100%, $E$9)</f>
        <v>4.78</v>
      </c>
      <c r="D287" s="9">
        <f>4.781 * CHOOSE(CONTROL!$C$32, $C$9, 100%, $E$9)</f>
        <v>4.7809999999999997</v>
      </c>
      <c r="E287" s="11">
        <f>6.1678 * CHOOSE(CONTROL!$C$32, $C$9, 100%, $E$9)</f>
        <v>6.1677999999999997</v>
      </c>
      <c r="F287" s="11">
        <f>6.1678 * CHOOSE(CONTROL!$C$32, $C$9, 100%, $E$9)</f>
        <v>6.1677999999999997</v>
      </c>
      <c r="G287" s="11">
        <f>6.1714 * CHOOSE(CONTROL!$C$32, $C$9, 100%, $E$9)</f>
        <v>6.1714000000000002</v>
      </c>
      <c r="H287" s="11">
        <f>9.7868 * CHOOSE(CONTROL!$C$32, $C$9, 100%, $E$9)</f>
        <v>9.7867999999999995</v>
      </c>
      <c r="I287" s="11">
        <f>9.7905 * CHOOSE(CONTROL!$C$32, $C$9, 100%, $E$9)</f>
        <v>9.7904999999999998</v>
      </c>
      <c r="J287" s="11">
        <f>9.7868 * CHOOSE(CONTROL!$C$32, $C$9, 100%, $E$9)</f>
        <v>9.7867999999999995</v>
      </c>
      <c r="K287" s="11">
        <f>9.7905 * CHOOSE(CONTROL!$C$32, $C$9, 100%, $E$9)</f>
        <v>9.7904999999999998</v>
      </c>
      <c r="L287" s="11">
        <f>6.1678 * CHOOSE(CONTROL!$C$32, $C$9, 100%, $E$9)</f>
        <v>6.1677999999999997</v>
      </c>
      <c r="M287" s="11">
        <f>6.1714 * CHOOSE(CONTROL!$C$32, $C$9, 100%, $E$9)</f>
        <v>6.1714000000000002</v>
      </c>
      <c r="N287" s="11">
        <f>6.1678 * CHOOSE(CONTROL!$C$32, $C$9, 100%, $E$9)</f>
        <v>6.1677999999999997</v>
      </c>
      <c r="O287" s="11">
        <f>6.1714 * CHOOSE(CONTROL!$C$32, $C$9, 100%, $E$9)</f>
        <v>6.1714000000000002</v>
      </c>
    </row>
    <row r="288" spans="1:15" ht="15" x14ac:dyDescent="0.2">
      <c r="A288" s="13">
        <v>49614</v>
      </c>
      <c r="B288" s="9">
        <f>4.783 * CHOOSE(CONTROL!$C$32, $C$9, 100%, $E$9)</f>
        <v>4.7830000000000004</v>
      </c>
      <c r="C288" s="9">
        <f>4.783 * CHOOSE(CONTROL!$C$32, $C$9, 100%, $E$9)</f>
        <v>4.7830000000000004</v>
      </c>
      <c r="D288" s="9">
        <f>4.7841 * CHOOSE(CONTROL!$C$32, $C$9, 100%, $E$9)</f>
        <v>4.7840999999999996</v>
      </c>
      <c r="E288" s="11">
        <f>6.1698 * CHOOSE(CONTROL!$C$32, $C$9, 100%, $E$9)</f>
        <v>6.1698000000000004</v>
      </c>
      <c r="F288" s="11">
        <f>6.1698 * CHOOSE(CONTROL!$C$32, $C$9, 100%, $E$9)</f>
        <v>6.1698000000000004</v>
      </c>
      <c r="G288" s="11">
        <f>6.1734 * CHOOSE(CONTROL!$C$32, $C$9, 100%, $E$9)</f>
        <v>6.1734</v>
      </c>
      <c r="H288" s="11">
        <f>9.8072 * CHOOSE(CONTROL!$C$32, $C$9, 100%, $E$9)</f>
        <v>9.8071999999999999</v>
      </c>
      <c r="I288" s="11">
        <f>9.8108 * CHOOSE(CONTROL!$C$32, $C$9, 100%, $E$9)</f>
        <v>9.8108000000000004</v>
      </c>
      <c r="J288" s="11">
        <f>9.8072 * CHOOSE(CONTROL!$C$32, $C$9, 100%, $E$9)</f>
        <v>9.8071999999999999</v>
      </c>
      <c r="K288" s="11">
        <f>9.8108 * CHOOSE(CONTROL!$C$32, $C$9, 100%, $E$9)</f>
        <v>9.8108000000000004</v>
      </c>
      <c r="L288" s="11">
        <f>6.1698 * CHOOSE(CONTROL!$C$32, $C$9, 100%, $E$9)</f>
        <v>6.1698000000000004</v>
      </c>
      <c r="M288" s="11">
        <f>6.1734 * CHOOSE(CONTROL!$C$32, $C$9, 100%, $E$9)</f>
        <v>6.1734</v>
      </c>
      <c r="N288" s="11">
        <f>6.1698 * CHOOSE(CONTROL!$C$32, $C$9, 100%, $E$9)</f>
        <v>6.1698000000000004</v>
      </c>
      <c r="O288" s="11">
        <f>6.1734 * CHOOSE(CONTROL!$C$32, $C$9, 100%, $E$9)</f>
        <v>6.1734</v>
      </c>
    </row>
    <row r="289" spans="1:15" ht="15" x14ac:dyDescent="0.2">
      <c r="A289" s="13">
        <v>49644</v>
      </c>
      <c r="B289" s="9">
        <f>4.783 * CHOOSE(CONTROL!$C$32, $C$9, 100%, $E$9)</f>
        <v>4.7830000000000004</v>
      </c>
      <c r="C289" s="9">
        <f>4.783 * CHOOSE(CONTROL!$C$32, $C$9, 100%, $E$9)</f>
        <v>4.7830000000000004</v>
      </c>
      <c r="D289" s="9">
        <f>4.7841 * CHOOSE(CONTROL!$C$32, $C$9, 100%, $E$9)</f>
        <v>4.7840999999999996</v>
      </c>
      <c r="E289" s="11">
        <f>6.5096 * CHOOSE(CONTROL!$C$32, $C$9, 100%, $E$9)</f>
        <v>6.5095999999999998</v>
      </c>
      <c r="F289" s="11">
        <f>6.5096 * CHOOSE(CONTROL!$C$32, $C$9, 100%, $E$9)</f>
        <v>6.5095999999999998</v>
      </c>
      <c r="G289" s="11">
        <f>6.5132 * CHOOSE(CONTROL!$C$32, $C$9, 100%, $E$9)</f>
        <v>6.5132000000000003</v>
      </c>
      <c r="H289" s="11">
        <f>9.8277 * CHOOSE(CONTROL!$C$32, $C$9, 100%, $E$9)</f>
        <v>9.8277000000000001</v>
      </c>
      <c r="I289" s="11">
        <f>9.8313 * CHOOSE(CONTROL!$C$32, $C$9, 100%, $E$9)</f>
        <v>9.8313000000000006</v>
      </c>
      <c r="J289" s="11">
        <f>9.8277 * CHOOSE(CONTROL!$C$32, $C$9, 100%, $E$9)</f>
        <v>9.8277000000000001</v>
      </c>
      <c r="K289" s="11">
        <f>9.8313 * CHOOSE(CONTROL!$C$32, $C$9, 100%, $E$9)</f>
        <v>9.8313000000000006</v>
      </c>
      <c r="L289" s="11">
        <f>6.5096 * CHOOSE(CONTROL!$C$32, $C$9, 100%, $E$9)</f>
        <v>6.5095999999999998</v>
      </c>
      <c r="M289" s="11">
        <f>6.5132 * CHOOSE(CONTROL!$C$32, $C$9, 100%, $E$9)</f>
        <v>6.5132000000000003</v>
      </c>
      <c r="N289" s="11">
        <f>6.5096 * CHOOSE(CONTROL!$C$32, $C$9, 100%, $E$9)</f>
        <v>6.5095999999999998</v>
      </c>
      <c r="O289" s="11">
        <f>6.5132 * CHOOSE(CONTROL!$C$32, $C$9, 100%, $E$9)</f>
        <v>6.5132000000000003</v>
      </c>
    </row>
    <row r="290" spans="1:15" ht="15" x14ac:dyDescent="0.2">
      <c r="A290" s="13">
        <v>49675</v>
      </c>
      <c r="B290" s="9">
        <f>4.8216 * CHOOSE(CONTROL!$C$32, $C$9, 100%, $E$9)</f>
        <v>4.8216000000000001</v>
      </c>
      <c r="C290" s="9">
        <f>4.8216 * CHOOSE(CONTROL!$C$32, $C$9, 100%, $E$9)</f>
        <v>4.8216000000000001</v>
      </c>
      <c r="D290" s="9">
        <f>4.8227 * CHOOSE(CONTROL!$C$32, $C$9, 100%, $E$9)</f>
        <v>4.8227000000000002</v>
      </c>
      <c r="E290" s="11">
        <f>6.5301 * CHOOSE(CONTROL!$C$32, $C$9, 100%, $E$9)</f>
        <v>6.5301</v>
      </c>
      <c r="F290" s="11">
        <f>6.5301 * CHOOSE(CONTROL!$C$32, $C$9, 100%, $E$9)</f>
        <v>6.5301</v>
      </c>
      <c r="G290" s="11">
        <f>6.5337 * CHOOSE(CONTROL!$C$32, $C$9, 100%, $E$9)</f>
        <v>6.5336999999999996</v>
      </c>
      <c r="H290" s="11">
        <f>9.8481 * CHOOSE(CONTROL!$C$32, $C$9, 100%, $E$9)</f>
        <v>9.8481000000000005</v>
      </c>
      <c r="I290" s="11">
        <f>9.8518 * CHOOSE(CONTROL!$C$32, $C$9, 100%, $E$9)</f>
        <v>9.8518000000000008</v>
      </c>
      <c r="J290" s="11">
        <f>9.8481 * CHOOSE(CONTROL!$C$32, $C$9, 100%, $E$9)</f>
        <v>9.8481000000000005</v>
      </c>
      <c r="K290" s="11">
        <f>9.8518 * CHOOSE(CONTROL!$C$32, $C$9, 100%, $E$9)</f>
        <v>9.8518000000000008</v>
      </c>
      <c r="L290" s="11">
        <f>6.5301 * CHOOSE(CONTROL!$C$32, $C$9, 100%, $E$9)</f>
        <v>6.5301</v>
      </c>
      <c r="M290" s="11">
        <f>6.5337 * CHOOSE(CONTROL!$C$32, $C$9, 100%, $E$9)</f>
        <v>6.5336999999999996</v>
      </c>
      <c r="N290" s="11">
        <f>6.5301 * CHOOSE(CONTROL!$C$32, $C$9, 100%, $E$9)</f>
        <v>6.5301</v>
      </c>
      <c r="O290" s="11">
        <f>6.5337 * CHOOSE(CONTROL!$C$32, $C$9, 100%, $E$9)</f>
        <v>6.5336999999999996</v>
      </c>
    </row>
    <row r="291" spans="1:15" ht="15" x14ac:dyDescent="0.2">
      <c r="A291" s="13">
        <v>49706</v>
      </c>
      <c r="B291" s="9">
        <f>4.8186 * CHOOSE(CONTROL!$C$32, $C$9, 100%, $E$9)</f>
        <v>4.8186</v>
      </c>
      <c r="C291" s="9">
        <f>4.8186 * CHOOSE(CONTROL!$C$32, $C$9, 100%, $E$9)</f>
        <v>4.8186</v>
      </c>
      <c r="D291" s="9">
        <f>4.8196 * CHOOSE(CONTROL!$C$32, $C$9, 100%, $E$9)</f>
        <v>4.8196000000000003</v>
      </c>
      <c r="E291" s="11">
        <f>6.4268 * CHOOSE(CONTROL!$C$32, $C$9, 100%, $E$9)</f>
        <v>6.4268000000000001</v>
      </c>
      <c r="F291" s="11">
        <f>6.4268 * CHOOSE(CONTROL!$C$32, $C$9, 100%, $E$9)</f>
        <v>6.4268000000000001</v>
      </c>
      <c r="G291" s="11">
        <f>6.4304 * CHOOSE(CONTROL!$C$32, $C$9, 100%, $E$9)</f>
        <v>6.4303999999999997</v>
      </c>
      <c r="H291" s="11">
        <f>9.8687 * CHOOSE(CONTROL!$C$32, $C$9, 100%, $E$9)</f>
        <v>9.8687000000000005</v>
      </c>
      <c r="I291" s="11">
        <f>9.8723 * CHOOSE(CONTROL!$C$32, $C$9, 100%, $E$9)</f>
        <v>9.8722999999999992</v>
      </c>
      <c r="J291" s="11">
        <f>9.8687 * CHOOSE(CONTROL!$C$32, $C$9, 100%, $E$9)</f>
        <v>9.8687000000000005</v>
      </c>
      <c r="K291" s="11">
        <f>9.8723 * CHOOSE(CONTROL!$C$32, $C$9, 100%, $E$9)</f>
        <v>9.8722999999999992</v>
      </c>
      <c r="L291" s="11">
        <f>6.4268 * CHOOSE(CONTROL!$C$32, $C$9, 100%, $E$9)</f>
        <v>6.4268000000000001</v>
      </c>
      <c r="M291" s="11">
        <f>6.4304 * CHOOSE(CONTROL!$C$32, $C$9, 100%, $E$9)</f>
        <v>6.4303999999999997</v>
      </c>
      <c r="N291" s="11">
        <f>6.4268 * CHOOSE(CONTROL!$C$32, $C$9, 100%, $E$9)</f>
        <v>6.4268000000000001</v>
      </c>
      <c r="O291" s="11">
        <f>6.4304 * CHOOSE(CONTROL!$C$32, $C$9, 100%, $E$9)</f>
        <v>6.4303999999999997</v>
      </c>
    </row>
    <row r="292" spans="1:15" ht="15" x14ac:dyDescent="0.2">
      <c r="A292" s="13">
        <v>49735</v>
      </c>
      <c r="B292" s="9">
        <f>4.8155 * CHOOSE(CONTROL!$C$32, $C$9, 100%, $E$9)</f>
        <v>4.8155000000000001</v>
      </c>
      <c r="C292" s="9">
        <f>4.8155 * CHOOSE(CONTROL!$C$32, $C$9, 100%, $E$9)</f>
        <v>4.8155000000000001</v>
      </c>
      <c r="D292" s="9">
        <f>4.8166 * CHOOSE(CONTROL!$C$32, $C$9, 100%, $E$9)</f>
        <v>4.8166000000000002</v>
      </c>
      <c r="E292" s="11">
        <f>6.5044 * CHOOSE(CONTROL!$C$32, $C$9, 100%, $E$9)</f>
        <v>6.5044000000000004</v>
      </c>
      <c r="F292" s="11">
        <f>6.5044 * CHOOSE(CONTROL!$C$32, $C$9, 100%, $E$9)</f>
        <v>6.5044000000000004</v>
      </c>
      <c r="G292" s="11">
        <f>6.508 * CHOOSE(CONTROL!$C$32, $C$9, 100%, $E$9)</f>
        <v>6.508</v>
      </c>
      <c r="H292" s="11">
        <f>9.8892 * CHOOSE(CONTROL!$C$32, $C$9, 100%, $E$9)</f>
        <v>9.8892000000000007</v>
      </c>
      <c r="I292" s="11">
        <f>9.8928 * CHOOSE(CONTROL!$C$32, $C$9, 100%, $E$9)</f>
        <v>9.8927999999999994</v>
      </c>
      <c r="J292" s="11">
        <f>9.8892 * CHOOSE(CONTROL!$C$32, $C$9, 100%, $E$9)</f>
        <v>9.8892000000000007</v>
      </c>
      <c r="K292" s="11">
        <f>9.8928 * CHOOSE(CONTROL!$C$32, $C$9, 100%, $E$9)</f>
        <v>9.8927999999999994</v>
      </c>
      <c r="L292" s="11">
        <f>6.5044 * CHOOSE(CONTROL!$C$32, $C$9, 100%, $E$9)</f>
        <v>6.5044000000000004</v>
      </c>
      <c r="M292" s="11">
        <f>6.508 * CHOOSE(CONTROL!$C$32, $C$9, 100%, $E$9)</f>
        <v>6.508</v>
      </c>
      <c r="N292" s="11">
        <f>6.5044 * CHOOSE(CONTROL!$C$32, $C$9, 100%, $E$9)</f>
        <v>6.5044000000000004</v>
      </c>
      <c r="O292" s="11">
        <f>6.508 * CHOOSE(CONTROL!$C$32, $C$9, 100%, $E$9)</f>
        <v>6.508</v>
      </c>
    </row>
    <row r="293" spans="1:15" ht="15" x14ac:dyDescent="0.2">
      <c r="A293" s="13">
        <v>49766</v>
      </c>
      <c r="B293" s="9">
        <f>4.814 * CHOOSE(CONTROL!$C$32, $C$9, 100%, $E$9)</f>
        <v>4.8140000000000001</v>
      </c>
      <c r="C293" s="9">
        <f>4.814 * CHOOSE(CONTROL!$C$32, $C$9, 100%, $E$9)</f>
        <v>4.8140000000000001</v>
      </c>
      <c r="D293" s="9">
        <f>4.815 * CHOOSE(CONTROL!$C$32, $C$9, 100%, $E$9)</f>
        <v>4.8150000000000004</v>
      </c>
      <c r="E293" s="11">
        <f>6.5859 * CHOOSE(CONTROL!$C$32, $C$9, 100%, $E$9)</f>
        <v>6.5858999999999996</v>
      </c>
      <c r="F293" s="11">
        <f>6.5859 * CHOOSE(CONTROL!$C$32, $C$9, 100%, $E$9)</f>
        <v>6.5858999999999996</v>
      </c>
      <c r="G293" s="11">
        <f>6.5895 * CHOOSE(CONTROL!$C$32, $C$9, 100%, $E$9)</f>
        <v>6.5895000000000001</v>
      </c>
      <c r="H293" s="11">
        <f>9.9098 * CHOOSE(CONTROL!$C$32, $C$9, 100%, $E$9)</f>
        <v>9.9098000000000006</v>
      </c>
      <c r="I293" s="11">
        <f>9.9134 * CHOOSE(CONTROL!$C$32, $C$9, 100%, $E$9)</f>
        <v>9.9133999999999993</v>
      </c>
      <c r="J293" s="11">
        <f>9.9098 * CHOOSE(CONTROL!$C$32, $C$9, 100%, $E$9)</f>
        <v>9.9098000000000006</v>
      </c>
      <c r="K293" s="11">
        <f>9.9134 * CHOOSE(CONTROL!$C$32, $C$9, 100%, $E$9)</f>
        <v>9.9133999999999993</v>
      </c>
      <c r="L293" s="11">
        <f>6.5859 * CHOOSE(CONTROL!$C$32, $C$9, 100%, $E$9)</f>
        <v>6.5858999999999996</v>
      </c>
      <c r="M293" s="11">
        <f>6.5895 * CHOOSE(CONTROL!$C$32, $C$9, 100%, $E$9)</f>
        <v>6.5895000000000001</v>
      </c>
      <c r="N293" s="11">
        <f>6.5859 * CHOOSE(CONTROL!$C$32, $C$9, 100%, $E$9)</f>
        <v>6.5858999999999996</v>
      </c>
      <c r="O293" s="11">
        <f>6.5895 * CHOOSE(CONTROL!$C$32, $C$9, 100%, $E$9)</f>
        <v>6.5895000000000001</v>
      </c>
    </row>
    <row r="294" spans="1:15" ht="15" x14ac:dyDescent="0.2">
      <c r="A294" s="13">
        <v>49796</v>
      </c>
      <c r="B294" s="9">
        <f>4.814 * CHOOSE(CONTROL!$C$32, $C$9, 100%, $E$9)</f>
        <v>4.8140000000000001</v>
      </c>
      <c r="C294" s="9">
        <f>4.814 * CHOOSE(CONTROL!$C$32, $C$9, 100%, $E$9)</f>
        <v>4.8140000000000001</v>
      </c>
      <c r="D294" s="9">
        <f>4.8155 * CHOOSE(CONTROL!$C$32, $C$9, 100%, $E$9)</f>
        <v>4.8155000000000001</v>
      </c>
      <c r="E294" s="11">
        <f>6.2171 * CHOOSE(CONTROL!$C$32, $C$9, 100%, $E$9)</f>
        <v>6.2171000000000003</v>
      </c>
      <c r="F294" s="11">
        <f>6.2171 * CHOOSE(CONTROL!$C$32, $C$9, 100%, $E$9)</f>
        <v>6.2171000000000003</v>
      </c>
      <c r="G294" s="11">
        <f>6.2224 * CHOOSE(CONTROL!$C$32, $C$9, 100%, $E$9)</f>
        <v>6.2224000000000004</v>
      </c>
      <c r="H294" s="11">
        <f>9.9305 * CHOOSE(CONTROL!$C$32, $C$9, 100%, $E$9)</f>
        <v>9.9305000000000003</v>
      </c>
      <c r="I294" s="11">
        <f>9.9358 * CHOOSE(CONTROL!$C$32, $C$9, 100%, $E$9)</f>
        <v>9.9358000000000004</v>
      </c>
      <c r="J294" s="11">
        <f>9.9305 * CHOOSE(CONTROL!$C$32, $C$9, 100%, $E$9)</f>
        <v>9.9305000000000003</v>
      </c>
      <c r="K294" s="11">
        <f>9.9358 * CHOOSE(CONTROL!$C$32, $C$9, 100%, $E$9)</f>
        <v>9.9358000000000004</v>
      </c>
      <c r="L294" s="11">
        <f>6.2171 * CHOOSE(CONTROL!$C$32, $C$9, 100%, $E$9)</f>
        <v>6.2171000000000003</v>
      </c>
      <c r="M294" s="11">
        <f>6.2224 * CHOOSE(CONTROL!$C$32, $C$9, 100%, $E$9)</f>
        <v>6.2224000000000004</v>
      </c>
      <c r="N294" s="11">
        <f>6.2171 * CHOOSE(CONTROL!$C$32, $C$9, 100%, $E$9)</f>
        <v>6.2171000000000003</v>
      </c>
      <c r="O294" s="11">
        <f>6.2224 * CHOOSE(CONTROL!$C$32, $C$9, 100%, $E$9)</f>
        <v>6.2224000000000004</v>
      </c>
    </row>
    <row r="295" spans="1:15" ht="15" x14ac:dyDescent="0.2">
      <c r="A295" s="13">
        <v>49827</v>
      </c>
      <c r="B295" s="9">
        <f>4.82 * CHOOSE(CONTROL!$C$32, $C$9, 100%, $E$9)</f>
        <v>4.82</v>
      </c>
      <c r="C295" s="9">
        <f>4.82 * CHOOSE(CONTROL!$C$32, $C$9, 100%, $E$9)</f>
        <v>4.82</v>
      </c>
      <c r="D295" s="9">
        <f>4.8216 * CHOOSE(CONTROL!$C$32, $C$9, 100%, $E$9)</f>
        <v>4.8216000000000001</v>
      </c>
      <c r="E295" s="11">
        <f>6.5901 * CHOOSE(CONTROL!$C$32, $C$9, 100%, $E$9)</f>
        <v>6.5900999999999996</v>
      </c>
      <c r="F295" s="11">
        <f>6.5901 * CHOOSE(CONTROL!$C$32, $C$9, 100%, $E$9)</f>
        <v>6.5900999999999996</v>
      </c>
      <c r="G295" s="11">
        <f>6.5954 * CHOOSE(CONTROL!$C$32, $C$9, 100%, $E$9)</f>
        <v>6.5953999999999997</v>
      </c>
      <c r="H295" s="11">
        <f>9.9511 * CHOOSE(CONTROL!$C$32, $C$9, 100%, $E$9)</f>
        <v>9.9511000000000003</v>
      </c>
      <c r="I295" s="11">
        <f>9.9564 * CHOOSE(CONTROL!$C$32, $C$9, 100%, $E$9)</f>
        <v>9.9564000000000004</v>
      </c>
      <c r="J295" s="11">
        <f>9.9511 * CHOOSE(CONTROL!$C$32, $C$9, 100%, $E$9)</f>
        <v>9.9511000000000003</v>
      </c>
      <c r="K295" s="11">
        <f>9.9564 * CHOOSE(CONTROL!$C$32, $C$9, 100%, $E$9)</f>
        <v>9.9564000000000004</v>
      </c>
      <c r="L295" s="11">
        <f>6.5901 * CHOOSE(CONTROL!$C$32, $C$9, 100%, $E$9)</f>
        <v>6.5900999999999996</v>
      </c>
      <c r="M295" s="11">
        <f>6.5954 * CHOOSE(CONTROL!$C$32, $C$9, 100%, $E$9)</f>
        <v>6.5953999999999997</v>
      </c>
      <c r="N295" s="11">
        <f>6.5901 * CHOOSE(CONTROL!$C$32, $C$9, 100%, $E$9)</f>
        <v>6.5900999999999996</v>
      </c>
      <c r="O295" s="11">
        <f>6.5954 * CHOOSE(CONTROL!$C$32, $C$9, 100%, $E$9)</f>
        <v>6.5953999999999997</v>
      </c>
    </row>
    <row r="296" spans="1:15" ht="15" x14ac:dyDescent="0.2">
      <c r="A296" s="13">
        <v>49857</v>
      </c>
      <c r="B296" s="9">
        <f>4.8896 * CHOOSE(CONTROL!$C$32, $C$9, 100%, $E$9)</f>
        <v>4.8895999999999997</v>
      </c>
      <c r="C296" s="9">
        <f>4.8896 * CHOOSE(CONTROL!$C$32, $C$9, 100%, $E$9)</f>
        <v>4.8895999999999997</v>
      </c>
      <c r="D296" s="9">
        <f>4.8911 * CHOOSE(CONTROL!$C$32, $C$9, 100%, $E$9)</f>
        <v>4.8910999999999998</v>
      </c>
      <c r="E296" s="11">
        <f>6.5201 * CHOOSE(CONTROL!$C$32, $C$9, 100%, $E$9)</f>
        <v>6.5201000000000002</v>
      </c>
      <c r="F296" s="11">
        <f>6.5201 * CHOOSE(CONTROL!$C$32, $C$9, 100%, $E$9)</f>
        <v>6.5201000000000002</v>
      </c>
      <c r="G296" s="11">
        <f>6.5254 * CHOOSE(CONTROL!$C$32, $C$9, 100%, $E$9)</f>
        <v>6.5254000000000003</v>
      </c>
      <c r="H296" s="11">
        <f>9.9719 * CHOOSE(CONTROL!$C$32, $C$9, 100%, $E$9)</f>
        <v>9.9718999999999998</v>
      </c>
      <c r="I296" s="11">
        <f>9.9772 * CHOOSE(CONTROL!$C$32, $C$9, 100%, $E$9)</f>
        <v>9.9771999999999998</v>
      </c>
      <c r="J296" s="11">
        <f>9.9719 * CHOOSE(CONTROL!$C$32, $C$9, 100%, $E$9)</f>
        <v>9.9718999999999998</v>
      </c>
      <c r="K296" s="11">
        <f>9.9772 * CHOOSE(CONTROL!$C$32, $C$9, 100%, $E$9)</f>
        <v>9.9771999999999998</v>
      </c>
      <c r="L296" s="11">
        <f>6.5201 * CHOOSE(CONTROL!$C$32, $C$9, 100%, $E$9)</f>
        <v>6.5201000000000002</v>
      </c>
      <c r="M296" s="11">
        <f>6.5254 * CHOOSE(CONTROL!$C$32, $C$9, 100%, $E$9)</f>
        <v>6.5254000000000003</v>
      </c>
      <c r="N296" s="11">
        <f>6.5201 * CHOOSE(CONTROL!$C$32, $C$9, 100%, $E$9)</f>
        <v>6.5201000000000002</v>
      </c>
      <c r="O296" s="11">
        <f>6.5254 * CHOOSE(CONTROL!$C$32, $C$9, 100%, $E$9)</f>
        <v>6.5254000000000003</v>
      </c>
    </row>
    <row r="297" spans="1:15" ht="15" x14ac:dyDescent="0.2">
      <c r="A297" s="13">
        <v>49888</v>
      </c>
      <c r="B297" s="9">
        <f>4.8962 * CHOOSE(CONTROL!$C$32, $C$9, 100%, $E$9)</f>
        <v>4.8962000000000003</v>
      </c>
      <c r="C297" s="9">
        <f>4.8962 * CHOOSE(CONTROL!$C$32, $C$9, 100%, $E$9)</f>
        <v>4.8962000000000003</v>
      </c>
      <c r="D297" s="9">
        <f>4.8978 * CHOOSE(CONTROL!$C$32, $C$9, 100%, $E$9)</f>
        <v>4.8978000000000002</v>
      </c>
      <c r="E297" s="11">
        <f>6.4284 * CHOOSE(CONTROL!$C$32, $C$9, 100%, $E$9)</f>
        <v>6.4283999999999999</v>
      </c>
      <c r="F297" s="11">
        <f>6.4284 * CHOOSE(CONTROL!$C$32, $C$9, 100%, $E$9)</f>
        <v>6.4283999999999999</v>
      </c>
      <c r="G297" s="11">
        <f>6.4336 * CHOOSE(CONTROL!$C$32, $C$9, 100%, $E$9)</f>
        <v>6.4336000000000002</v>
      </c>
      <c r="H297" s="11">
        <f>9.9927 * CHOOSE(CONTROL!$C$32, $C$9, 100%, $E$9)</f>
        <v>9.9926999999999992</v>
      </c>
      <c r="I297" s="11">
        <f>9.9979 * CHOOSE(CONTROL!$C$32, $C$9, 100%, $E$9)</f>
        <v>9.9978999999999996</v>
      </c>
      <c r="J297" s="11">
        <f>9.9927 * CHOOSE(CONTROL!$C$32, $C$9, 100%, $E$9)</f>
        <v>9.9926999999999992</v>
      </c>
      <c r="K297" s="11">
        <f>9.9979 * CHOOSE(CONTROL!$C$32, $C$9, 100%, $E$9)</f>
        <v>9.9978999999999996</v>
      </c>
      <c r="L297" s="11">
        <f>6.4284 * CHOOSE(CONTROL!$C$32, $C$9, 100%, $E$9)</f>
        <v>6.4283999999999999</v>
      </c>
      <c r="M297" s="11">
        <f>6.4336 * CHOOSE(CONTROL!$C$32, $C$9, 100%, $E$9)</f>
        <v>6.4336000000000002</v>
      </c>
      <c r="N297" s="11">
        <f>6.4284 * CHOOSE(CONTROL!$C$32, $C$9, 100%, $E$9)</f>
        <v>6.4283999999999999</v>
      </c>
      <c r="O297" s="11">
        <f>6.4336 * CHOOSE(CONTROL!$C$32, $C$9, 100%, $E$9)</f>
        <v>6.4336000000000002</v>
      </c>
    </row>
    <row r="298" spans="1:15" ht="15" x14ac:dyDescent="0.2">
      <c r="A298" s="13">
        <v>49919</v>
      </c>
      <c r="B298" s="9">
        <f>4.8932 * CHOOSE(CONTROL!$C$32, $C$9, 100%, $E$9)</f>
        <v>4.8932000000000002</v>
      </c>
      <c r="C298" s="9">
        <f>4.8932 * CHOOSE(CONTROL!$C$32, $C$9, 100%, $E$9)</f>
        <v>4.8932000000000002</v>
      </c>
      <c r="D298" s="9">
        <f>4.8948 * CHOOSE(CONTROL!$C$32, $C$9, 100%, $E$9)</f>
        <v>4.8948</v>
      </c>
      <c r="E298" s="11">
        <f>6.4155 * CHOOSE(CONTROL!$C$32, $C$9, 100%, $E$9)</f>
        <v>6.4154999999999998</v>
      </c>
      <c r="F298" s="11">
        <f>6.4155 * CHOOSE(CONTROL!$C$32, $C$9, 100%, $E$9)</f>
        <v>6.4154999999999998</v>
      </c>
      <c r="G298" s="11">
        <f>6.4208 * CHOOSE(CONTROL!$C$32, $C$9, 100%, $E$9)</f>
        <v>6.4207999999999998</v>
      </c>
      <c r="H298" s="11">
        <f>10.0135 * CHOOSE(CONTROL!$C$32, $C$9, 100%, $E$9)</f>
        <v>10.013500000000001</v>
      </c>
      <c r="I298" s="11">
        <f>10.0188 * CHOOSE(CONTROL!$C$32, $C$9, 100%, $E$9)</f>
        <v>10.018800000000001</v>
      </c>
      <c r="J298" s="11">
        <f>10.0135 * CHOOSE(CONTROL!$C$32, $C$9, 100%, $E$9)</f>
        <v>10.013500000000001</v>
      </c>
      <c r="K298" s="11">
        <f>10.0188 * CHOOSE(CONTROL!$C$32, $C$9, 100%, $E$9)</f>
        <v>10.018800000000001</v>
      </c>
      <c r="L298" s="11">
        <f>6.4155 * CHOOSE(CONTROL!$C$32, $C$9, 100%, $E$9)</f>
        <v>6.4154999999999998</v>
      </c>
      <c r="M298" s="11">
        <f>6.4208 * CHOOSE(CONTROL!$C$32, $C$9, 100%, $E$9)</f>
        <v>6.4207999999999998</v>
      </c>
      <c r="N298" s="11">
        <f>6.4155 * CHOOSE(CONTROL!$C$32, $C$9, 100%, $E$9)</f>
        <v>6.4154999999999998</v>
      </c>
      <c r="O298" s="11">
        <f>6.4208 * CHOOSE(CONTROL!$C$32, $C$9, 100%, $E$9)</f>
        <v>6.4207999999999998</v>
      </c>
    </row>
    <row r="299" spans="1:15" ht="15" x14ac:dyDescent="0.2">
      <c r="A299" s="13">
        <v>49949</v>
      </c>
      <c r="B299" s="9">
        <f>4.8916 * CHOOSE(CONTROL!$C$32, $C$9, 100%, $E$9)</f>
        <v>4.8916000000000004</v>
      </c>
      <c r="C299" s="9">
        <f>4.8916 * CHOOSE(CONTROL!$C$32, $C$9, 100%, $E$9)</f>
        <v>4.8916000000000004</v>
      </c>
      <c r="D299" s="9">
        <f>4.8927 * CHOOSE(CONTROL!$C$32, $C$9, 100%, $E$9)</f>
        <v>4.8926999999999996</v>
      </c>
      <c r="E299" s="11">
        <f>6.4449 * CHOOSE(CONTROL!$C$32, $C$9, 100%, $E$9)</f>
        <v>6.4448999999999996</v>
      </c>
      <c r="F299" s="11">
        <f>6.4449 * CHOOSE(CONTROL!$C$32, $C$9, 100%, $E$9)</f>
        <v>6.4448999999999996</v>
      </c>
      <c r="G299" s="11">
        <f>6.4486 * CHOOSE(CONTROL!$C$32, $C$9, 100%, $E$9)</f>
        <v>6.4485999999999999</v>
      </c>
      <c r="H299" s="11">
        <f>10.0343 * CHOOSE(CONTROL!$C$32, $C$9, 100%, $E$9)</f>
        <v>10.0343</v>
      </c>
      <c r="I299" s="11">
        <f>10.0379 * CHOOSE(CONTROL!$C$32, $C$9, 100%, $E$9)</f>
        <v>10.0379</v>
      </c>
      <c r="J299" s="11">
        <f>10.0343 * CHOOSE(CONTROL!$C$32, $C$9, 100%, $E$9)</f>
        <v>10.0343</v>
      </c>
      <c r="K299" s="11">
        <f>10.0379 * CHOOSE(CONTROL!$C$32, $C$9, 100%, $E$9)</f>
        <v>10.0379</v>
      </c>
      <c r="L299" s="11">
        <f>6.4449 * CHOOSE(CONTROL!$C$32, $C$9, 100%, $E$9)</f>
        <v>6.4448999999999996</v>
      </c>
      <c r="M299" s="11">
        <f>6.4486 * CHOOSE(CONTROL!$C$32, $C$9, 100%, $E$9)</f>
        <v>6.4485999999999999</v>
      </c>
      <c r="N299" s="11">
        <f>6.4449 * CHOOSE(CONTROL!$C$32, $C$9, 100%, $E$9)</f>
        <v>6.4448999999999996</v>
      </c>
      <c r="O299" s="11">
        <f>6.4486 * CHOOSE(CONTROL!$C$32, $C$9, 100%, $E$9)</f>
        <v>6.4485999999999999</v>
      </c>
    </row>
    <row r="300" spans="1:15" ht="15" x14ac:dyDescent="0.2">
      <c r="A300" s="13">
        <v>49980</v>
      </c>
      <c r="B300" s="9">
        <f>4.8946 * CHOOSE(CONTROL!$C$32, $C$9, 100%, $E$9)</f>
        <v>4.8945999999999996</v>
      </c>
      <c r="C300" s="9">
        <f>4.8946 * CHOOSE(CONTROL!$C$32, $C$9, 100%, $E$9)</f>
        <v>4.8945999999999996</v>
      </c>
      <c r="D300" s="9">
        <f>4.8957 * CHOOSE(CONTROL!$C$32, $C$9, 100%, $E$9)</f>
        <v>4.8956999999999997</v>
      </c>
      <c r="E300" s="11">
        <f>6.4685 * CHOOSE(CONTROL!$C$32, $C$9, 100%, $E$9)</f>
        <v>6.4684999999999997</v>
      </c>
      <c r="F300" s="11">
        <f>6.4685 * CHOOSE(CONTROL!$C$32, $C$9, 100%, $E$9)</f>
        <v>6.4684999999999997</v>
      </c>
      <c r="G300" s="11">
        <f>6.4721 * CHOOSE(CONTROL!$C$32, $C$9, 100%, $E$9)</f>
        <v>6.4721000000000002</v>
      </c>
      <c r="H300" s="11">
        <f>10.0552 * CHOOSE(CONTROL!$C$32, $C$9, 100%, $E$9)</f>
        <v>10.055199999999999</v>
      </c>
      <c r="I300" s="11">
        <f>10.0589 * CHOOSE(CONTROL!$C$32, $C$9, 100%, $E$9)</f>
        <v>10.0589</v>
      </c>
      <c r="J300" s="11">
        <f>10.0552 * CHOOSE(CONTROL!$C$32, $C$9, 100%, $E$9)</f>
        <v>10.055199999999999</v>
      </c>
      <c r="K300" s="11">
        <f>10.0589 * CHOOSE(CONTROL!$C$32, $C$9, 100%, $E$9)</f>
        <v>10.0589</v>
      </c>
      <c r="L300" s="11">
        <f>6.4685 * CHOOSE(CONTROL!$C$32, $C$9, 100%, $E$9)</f>
        <v>6.4684999999999997</v>
      </c>
      <c r="M300" s="11">
        <f>6.4721 * CHOOSE(CONTROL!$C$32, $C$9, 100%, $E$9)</f>
        <v>6.4721000000000002</v>
      </c>
      <c r="N300" s="11">
        <f>6.4685 * CHOOSE(CONTROL!$C$32, $C$9, 100%, $E$9)</f>
        <v>6.4684999999999997</v>
      </c>
      <c r="O300" s="11">
        <f>6.4721 * CHOOSE(CONTROL!$C$32, $C$9, 100%, $E$9)</f>
        <v>6.4721000000000002</v>
      </c>
    </row>
    <row r="301" spans="1:15" ht="15" x14ac:dyDescent="0.2">
      <c r="A301" s="13">
        <v>50010</v>
      </c>
      <c r="B301" s="9">
        <f>4.8946 * CHOOSE(CONTROL!$C$32, $C$9, 100%, $E$9)</f>
        <v>4.8945999999999996</v>
      </c>
      <c r="C301" s="9">
        <f>4.8946 * CHOOSE(CONTROL!$C$32, $C$9, 100%, $E$9)</f>
        <v>4.8945999999999996</v>
      </c>
      <c r="D301" s="9">
        <f>4.8957 * CHOOSE(CONTROL!$C$32, $C$9, 100%, $E$9)</f>
        <v>4.8956999999999997</v>
      </c>
      <c r="E301" s="11">
        <f>6.4149 * CHOOSE(CONTROL!$C$32, $C$9, 100%, $E$9)</f>
        <v>6.4149000000000003</v>
      </c>
      <c r="F301" s="11">
        <f>6.4149 * CHOOSE(CONTROL!$C$32, $C$9, 100%, $E$9)</f>
        <v>6.4149000000000003</v>
      </c>
      <c r="G301" s="11">
        <f>6.4185 * CHOOSE(CONTROL!$C$32, $C$9, 100%, $E$9)</f>
        <v>6.4184999999999999</v>
      </c>
      <c r="H301" s="11">
        <f>10.0762 * CHOOSE(CONTROL!$C$32, $C$9, 100%, $E$9)</f>
        <v>10.0762</v>
      </c>
      <c r="I301" s="11">
        <f>10.0798 * CHOOSE(CONTROL!$C$32, $C$9, 100%, $E$9)</f>
        <v>10.079800000000001</v>
      </c>
      <c r="J301" s="11">
        <f>10.0762 * CHOOSE(CONTROL!$C$32, $C$9, 100%, $E$9)</f>
        <v>10.0762</v>
      </c>
      <c r="K301" s="11">
        <f>10.0798 * CHOOSE(CONTROL!$C$32, $C$9, 100%, $E$9)</f>
        <v>10.079800000000001</v>
      </c>
      <c r="L301" s="11">
        <f>6.4149 * CHOOSE(CONTROL!$C$32, $C$9, 100%, $E$9)</f>
        <v>6.4149000000000003</v>
      </c>
      <c r="M301" s="11">
        <f>6.4185 * CHOOSE(CONTROL!$C$32, $C$9, 100%, $E$9)</f>
        <v>6.4184999999999999</v>
      </c>
      <c r="N301" s="11">
        <f>6.4149 * CHOOSE(CONTROL!$C$32, $C$9, 100%, $E$9)</f>
        <v>6.4149000000000003</v>
      </c>
      <c r="O301" s="11">
        <f>6.4185 * CHOOSE(CONTROL!$C$32, $C$9, 100%, $E$9)</f>
        <v>6.4184999999999999</v>
      </c>
    </row>
    <row r="302" spans="1:15" ht="15" x14ac:dyDescent="0.2">
      <c r="A302" s="13">
        <v>50041</v>
      </c>
      <c r="B302" s="9">
        <f>4.9322 * CHOOSE(CONTROL!$C$32, $C$9, 100%, $E$9)</f>
        <v>4.9321999999999999</v>
      </c>
      <c r="C302" s="9">
        <f>4.9322 * CHOOSE(CONTROL!$C$32, $C$9, 100%, $E$9)</f>
        <v>4.9321999999999999</v>
      </c>
      <c r="D302" s="9">
        <f>4.9333 * CHOOSE(CONTROL!$C$32, $C$9, 100%, $E$9)</f>
        <v>4.9333</v>
      </c>
      <c r="E302" s="11">
        <f>6.4909 * CHOOSE(CONTROL!$C$32, $C$9, 100%, $E$9)</f>
        <v>6.4908999999999999</v>
      </c>
      <c r="F302" s="11">
        <f>6.4909 * CHOOSE(CONTROL!$C$32, $C$9, 100%, $E$9)</f>
        <v>6.4908999999999999</v>
      </c>
      <c r="G302" s="11">
        <f>6.4945 * CHOOSE(CONTROL!$C$32, $C$9, 100%, $E$9)</f>
        <v>6.4945000000000004</v>
      </c>
      <c r="H302" s="11">
        <f>10.0972 * CHOOSE(CONTROL!$C$32, $C$9, 100%, $E$9)</f>
        <v>10.097200000000001</v>
      </c>
      <c r="I302" s="11">
        <f>10.1008 * CHOOSE(CONTROL!$C$32, $C$9, 100%, $E$9)</f>
        <v>10.1008</v>
      </c>
      <c r="J302" s="11">
        <f>10.0972 * CHOOSE(CONTROL!$C$32, $C$9, 100%, $E$9)</f>
        <v>10.097200000000001</v>
      </c>
      <c r="K302" s="11">
        <f>10.1008 * CHOOSE(CONTROL!$C$32, $C$9, 100%, $E$9)</f>
        <v>10.1008</v>
      </c>
      <c r="L302" s="11">
        <f>6.4909 * CHOOSE(CONTROL!$C$32, $C$9, 100%, $E$9)</f>
        <v>6.4908999999999999</v>
      </c>
      <c r="M302" s="11">
        <f>6.4945 * CHOOSE(CONTROL!$C$32, $C$9, 100%, $E$9)</f>
        <v>6.4945000000000004</v>
      </c>
      <c r="N302" s="11">
        <f>6.4909 * CHOOSE(CONTROL!$C$32, $C$9, 100%, $E$9)</f>
        <v>6.4908999999999999</v>
      </c>
      <c r="O302" s="11">
        <f>6.4945 * CHOOSE(CONTROL!$C$32, $C$9, 100%, $E$9)</f>
        <v>6.4945000000000004</v>
      </c>
    </row>
    <row r="303" spans="1:15" ht="15" x14ac:dyDescent="0.2">
      <c r="A303" s="13">
        <v>50072</v>
      </c>
      <c r="B303" s="9">
        <f>4.9291 * CHOOSE(CONTROL!$C$32, $C$9, 100%, $E$9)</f>
        <v>4.9291</v>
      </c>
      <c r="C303" s="9">
        <f>4.9291 * CHOOSE(CONTROL!$C$32, $C$9, 100%, $E$9)</f>
        <v>4.9291</v>
      </c>
      <c r="D303" s="9">
        <f>4.9302 * CHOOSE(CONTROL!$C$32, $C$9, 100%, $E$9)</f>
        <v>4.9302000000000001</v>
      </c>
      <c r="E303" s="11">
        <f>6.3843 * CHOOSE(CONTROL!$C$32, $C$9, 100%, $E$9)</f>
        <v>6.3842999999999996</v>
      </c>
      <c r="F303" s="11">
        <f>6.3843 * CHOOSE(CONTROL!$C$32, $C$9, 100%, $E$9)</f>
        <v>6.3842999999999996</v>
      </c>
      <c r="G303" s="11">
        <f>6.3879 * CHOOSE(CONTROL!$C$32, $C$9, 100%, $E$9)</f>
        <v>6.3879000000000001</v>
      </c>
      <c r="H303" s="11">
        <f>10.1182 * CHOOSE(CONTROL!$C$32, $C$9, 100%, $E$9)</f>
        <v>10.1182</v>
      </c>
      <c r="I303" s="11">
        <f>10.1218 * CHOOSE(CONTROL!$C$32, $C$9, 100%, $E$9)</f>
        <v>10.1218</v>
      </c>
      <c r="J303" s="11">
        <f>10.1182 * CHOOSE(CONTROL!$C$32, $C$9, 100%, $E$9)</f>
        <v>10.1182</v>
      </c>
      <c r="K303" s="11">
        <f>10.1218 * CHOOSE(CONTROL!$C$32, $C$9, 100%, $E$9)</f>
        <v>10.1218</v>
      </c>
      <c r="L303" s="11">
        <f>6.3843 * CHOOSE(CONTROL!$C$32, $C$9, 100%, $E$9)</f>
        <v>6.3842999999999996</v>
      </c>
      <c r="M303" s="11">
        <f>6.3879 * CHOOSE(CONTROL!$C$32, $C$9, 100%, $E$9)</f>
        <v>6.3879000000000001</v>
      </c>
      <c r="N303" s="11">
        <f>6.3843 * CHOOSE(CONTROL!$C$32, $C$9, 100%, $E$9)</f>
        <v>6.3842999999999996</v>
      </c>
      <c r="O303" s="11">
        <f>6.3879 * CHOOSE(CONTROL!$C$32, $C$9, 100%, $E$9)</f>
        <v>6.3879000000000001</v>
      </c>
    </row>
    <row r="304" spans="1:15" ht="15" x14ac:dyDescent="0.2">
      <c r="A304" s="13">
        <v>50100</v>
      </c>
      <c r="B304" s="9">
        <f>4.9261 * CHOOSE(CONTROL!$C$32, $C$9, 100%, $E$9)</f>
        <v>4.9260999999999999</v>
      </c>
      <c r="C304" s="9">
        <f>4.9261 * CHOOSE(CONTROL!$C$32, $C$9, 100%, $E$9)</f>
        <v>4.9260999999999999</v>
      </c>
      <c r="D304" s="9">
        <f>4.9272 * CHOOSE(CONTROL!$C$32, $C$9, 100%, $E$9)</f>
        <v>4.9272</v>
      </c>
      <c r="E304" s="11">
        <f>6.4645 * CHOOSE(CONTROL!$C$32, $C$9, 100%, $E$9)</f>
        <v>6.4645000000000001</v>
      </c>
      <c r="F304" s="11">
        <f>6.4645 * CHOOSE(CONTROL!$C$32, $C$9, 100%, $E$9)</f>
        <v>6.4645000000000001</v>
      </c>
      <c r="G304" s="11">
        <f>6.4681 * CHOOSE(CONTROL!$C$32, $C$9, 100%, $E$9)</f>
        <v>6.4680999999999997</v>
      </c>
      <c r="H304" s="11">
        <f>10.1393 * CHOOSE(CONTROL!$C$32, $C$9, 100%, $E$9)</f>
        <v>10.1393</v>
      </c>
      <c r="I304" s="11">
        <f>10.1429 * CHOOSE(CONTROL!$C$32, $C$9, 100%, $E$9)</f>
        <v>10.142899999999999</v>
      </c>
      <c r="J304" s="11">
        <f>10.1393 * CHOOSE(CONTROL!$C$32, $C$9, 100%, $E$9)</f>
        <v>10.1393</v>
      </c>
      <c r="K304" s="11">
        <f>10.1429 * CHOOSE(CONTROL!$C$32, $C$9, 100%, $E$9)</f>
        <v>10.142899999999999</v>
      </c>
      <c r="L304" s="11">
        <f>6.4645 * CHOOSE(CONTROL!$C$32, $C$9, 100%, $E$9)</f>
        <v>6.4645000000000001</v>
      </c>
      <c r="M304" s="11">
        <f>6.4681 * CHOOSE(CONTROL!$C$32, $C$9, 100%, $E$9)</f>
        <v>6.4680999999999997</v>
      </c>
      <c r="N304" s="11">
        <f>6.4645 * CHOOSE(CONTROL!$C$32, $C$9, 100%, $E$9)</f>
        <v>6.4645000000000001</v>
      </c>
      <c r="O304" s="11">
        <f>6.4681 * CHOOSE(CONTROL!$C$32, $C$9, 100%, $E$9)</f>
        <v>6.4680999999999997</v>
      </c>
    </row>
    <row r="305" spans="1:15" ht="15" x14ac:dyDescent="0.2">
      <c r="A305" s="13">
        <v>50131</v>
      </c>
      <c r="B305" s="9">
        <f>4.9246 * CHOOSE(CONTROL!$C$32, $C$9, 100%, $E$9)</f>
        <v>4.9245999999999999</v>
      </c>
      <c r="C305" s="9">
        <f>4.9246 * CHOOSE(CONTROL!$C$32, $C$9, 100%, $E$9)</f>
        <v>4.9245999999999999</v>
      </c>
      <c r="D305" s="9">
        <f>4.9257 * CHOOSE(CONTROL!$C$32, $C$9, 100%, $E$9)</f>
        <v>4.9257</v>
      </c>
      <c r="E305" s="11">
        <f>6.5488 * CHOOSE(CONTROL!$C$32, $C$9, 100%, $E$9)</f>
        <v>6.5488</v>
      </c>
      <c r="F305" s="11">
        <f>6.5488 * CHOOSE(CONTROL!$C$32, $C$9, 100%, $E$9)</f>
        <v>6.5488</v>
      </c>
      <c r="G305" s="11">
        <f>6.5524 * CHOOSE(CONTROL!$C$32, $C$9, 100%, $E$9)</f>
        <v>6.5523999999999996</v>
      </c>
      <c r="H305" s="11">
        <f>10.1604 * CHOOSE(CONTROL!$C$32, $C$9, 100%, $E$9)</f>
        <v>10.160399999999999</v>
      </c>
      <c r="I305" s="11">
        <f>10.164 * CHOOSE(CONTROL!$C$32, $C$9, 100%, $E$9)</f>
        <v>10.164</v>
      </c>
      <c r="J305" s="11">
        <f>10.1604 * CHOOSE(CONTROL!$C$32, $C$9, 100%, $E$9)</f>
        <v>10.160399999999999</v>
      </c>
      <c r="K305" s="11">
        <f>10.164 * CHOOSE(CONTROL!$C$32, $C$9, 100%, $E$9)</f>
        <v>10.164</v>
      </c>
      <c r="L305" s="11">
        <f>6.5488 * CHOOSE(CONTROL!$C$32, $C$9, 100%, $E$9)</f>
        <v>6.5488</v>
      </c>
      <c r="M305" s="11">
        <f>6.5524 * CHOOSE(CONTROL!$C$32, $C$9, 100%, $E$9)</f>
        <v>6.5523999999999996</v>
      </c>
      <c r="N305" s="11">
        <f>6.5488 * CHOOSE(CONTROL!$C$32, $C$9, 100%, $E$9)</f>
        <v>6.5488</v>
      </c>
      <c r="O305" s="11">
        <f>6.5524 * CHOOSE(CONTROL!$C$32, $C$9, 100%, $E$9)</f>
        <v>6.5523999999999996</v>
      </c>
    </row>
    <row r="306" spans="1:15" ht="15" x14ac:dyDescent="0.2">
      <c r="A306" s="13">
        <v>50161</v>
      </c>
      <c r="B306" s="9">
        <f>4.9246 * CHOOSE(CONTROL!$C$32, $C$9, 100%, $E$9)</f>
        <v>4.9245999999999999</v>
      </c>
      <c r="C306" s="9">
        <f>4.9246 * CHOOSE(CONTROL!$C$32, $C$9, 100%, $E$9)</f>
        <v>4.9245999999999999</v>
      </c>
      <c r="D306" s="9">
        <f>4.9262 * CHOOSE(CONTROL!$C$32, $C$9, 100%, $E$9)</f>
        <v>4.9261999999999997</v>
      </c>
      <c r="E306" s="11">
        <f>6.5819 * CHOOSE(CONTROL!$C$32, $C$9, 100%, $E$9)</f>
        <v>6.5819000000000001</v>
      </c>
      <c r="F306" s="11">
        <f>6.5819 * CHOOSE(CONTROL!$C$32, $C$9, 100%, $E$9)</f>
        <v>6.5819000000000001</v>
      </c>
      <c r="G306" s="11">
        <f>6.5872 * CHOOSE(CONTROL!$C$32, $C$9, 100%, $E$9)</f>
        <v>6.5872000000000002</v>
      </c>
      <c r="H306" s="11">
        <f>10.1816 * CHOOSE(CONTROL!$C$32, $C$9, 100%, $E$9)</f>
        <v>10.1816</v>
      </c>
      <c r="I306" s="11">
        <f>10.1869 * CHOOSE(CONTROL!$C$32, $C$9, 100%, $E$9)</f>
        <v>10.1869</v>
      </c>
      <c r="J306" s="11">
        <f>10.1816 * CHOOSE(CONTROL!$C$32, $C$9, 100%, $E$9)</f>
        <v>10.1816</v>
      </c>
      <c r="K306" s="11">
        <f>10.1869 * CHOOSE(CONTROL!$C$32, $C$9, 100%, $E$9)</f>
        <v>10.1869</v>
      </c>
      <c r="L306" s="11">
        <f>6.5819 * CHOOSE(CONTROL!$C$32, $C$9, 100%, $E$9)</f>
        <v>6.5819000000000001</v>
      </c>
      <c r="M306" s="11">
        <f>6.5872 * CHOOSE(CONTROL!$C$32, $C$9, 100%, $E$9)</f>
        <v>6.5872000000000002</v>
      </c>
      <c r="N306" s="11">
        <f>6.5819 * CHOOSE(CONTROL!$C$32, $C$9, 100%, $E$9)</f>
        <v>6.5819000000000001</v>
      </c>
      <c r="O306" s="11">
        <f>6.5872 * CHOOSE(CONTROL!$C$32, $C$9, 100%, $E$9)</f>
        <v>6.5872000000000002</v>
      </c>
    </row>
    <row r="307" spans="1:15" ht="15" x14ac:dyDescent="0.2">
      <c r="A307" s="13">
        <v>50192</v>
      </c>
      <c r="B307" s="9">
        <f>4.9307 * CHOOSE(CONTROL!$C$32, $C$9, 100%, $E$9)</f>
        <v>4.9306999999999999</v>
      </c>
      <c r="C307" s="9">
        <f>4.9307 * CHOOSE(CONTROL!$C$32, $C$9, 100%, $E$9)</f>
        <v>4.9306999999999999</v>
      </c>
      <c r="D307" s="9">
        <f>4.9323 * CHOOSE(CONTROL!$C$32, $C$9, 100%, $E$9)</f>
        <v>4.9322999999999997</v>
      </c>
      <c r="E307" s="11">
        <f>6.553 * CHOOSE(CONTROL!$C$32, $C$9, 100%, $E$9)</f>
        <v>6.5529999999999999</v>
      </c>
      <c r="F307" s="11">
        <f>6.553 * CHOOSE(CONTROL!$C$32, $C$9, 100%, $E$9)</f>
        <v>6.5529999999999999</v>
      </c>
      <c r="G307" s="11">
        <f>6.5583 * CHOOSE(CONTROL!$C$32, $C$9, 100%, $E$9)</f>
        <v>6.5583</v>
      </c>
      <c r="H307" s="11">
        <f>10.2028 * CHOOSE(CONTROL!$C$32, $C$9, 100%, $E$9)</f>
        <v>10.2028</v>
      </c>
      <c r="I307" s="11">
        <f>10.2081 * CHOOSE(CONTROL!$C$32, $C$9, 100%, $E$9)</f>
        <v>10.2081</v>
      </c>
      <c r="J307" s="11">
        <f>10.2028 * CHOOSE(CONTROL!$C$32, $C$9, 100%, $E$9)</f>
        <v>10.2028</v>
      </c>
      <c r="K307" s="11">
        <f>10.2081 * CHOOSE(CONTROL!$C$32, $C$9, 100%, $E$9)</f>
        <v>10.2081</v>
      </c>
      <c r="L307" s="11">
        <f>6.553 * CHOOSE(CONTROL!$C$32, $C$9, 100%, $E$9)</f>
        <v>6.5529999999999999</v>
      </c>
      <c r="M307" s="11">
        <f>6.5583 * CHOOSE(CONTROL!$C$32, $C$9, 100%, $E$9)</f>
        <v>6.5583</v>
      </c>
      <c r="N307" s="11">
        <f>6.553 * CHOOSE(CONTROL!$C$32, $C$9, 100%, $E$9)</f>
        <v>6.5529999999999999</v>
      </c>
      <c r="O307" s="11">
        <f>6.5583 * CHOOSE(CONTROL!$C$32, $C$9, 100%, $E$9)</f>
        <v>6.5583</v>
      </c>
    </row>
    <row r="308" spans="1:15" ht="15" x14ac:dyDescent="0.2">
      <c r="A308" s="13">
        <v>50222</v>
      </c>
      <c r="B308" s="9">
        <f>4.9977 * CHOOSE(CONTROL!$C$32, $C$9, 100%, $E$9)</f>
        <v>4.9977</v>
      </c>
      <c r="C308" s="9">
        <f>4.9977 * CHOOSE(CONTROL!$C$32, $C$9, 100%, $E$9)</f>
        <v>4.9977</v>
      </c>
      <c r="D308" s="9">
        <f>4.9993 * CHOOSE(CONTROL!$C$32, $C$9, 100%, $E$9)</f>
        <v>4.9992999999999999</v>
      </c>
      <c r="E308" s="11">
        <f>6.6146 * CHOOSE(CONTROL!$C$32, $C$9, 100%, $E$9)</f>
        <v>6.6146000000000003</v>
      </c>
      <c r="F308" s="11">
        <f>6.6146 * CHOOSE(CONTROL!$C$32, $C$9, 100%, $E$9)</f>
        <v>6.6146000000000003</v>
      </c>
      <c r="G308" s="11">
        <f>6.6199 * CHOOSE(CONTROL!$C$32, $C$9, 100%, $E$9)</f>
        <v>6.6199000000000003</v>
      </c>
      <c r="H308" s="11">
        <f>10.2241 * CHOOSE(CONTROL!$C$32, $C$9, 100%, $E$9)</f>
        <v>10.2241</v>
      </c>
      <c r="I308" s="11">
        <f>10.2293 * CHOOSE(CONTROL!$C$32, $C$9, 100%, $E$9)</f>
        <v>10.2293</v>
      </c>
      <c r="J308" s="11">
        <f>10.2241 * CHOOSE(CONTROL!$C$32, $C$9, 100%, $E$9)</f>
        <v>10.2241</v>
      </c>
      <c r="K308" s="11">
        <f>10.2293 * CHOOSE(CONTROL!$C$32, $C$9, 100%, $E$9)</f>
        <v>10.2293</v>
      </c>
      <c r="L308" s="11">
        <f>6.6146 * CHOOSE(CONTROL!$C$32, $C$9, 100%, $E$9)</f>
        <v>6.6146000000000003</v>
      </c>
      <c r="M308" s="11">
        <f>6.6199 * CHOOSE(CONTROL!$C$32, $C$9, 100%, $E$9)</f>
        <v>6.6199000000000003</v>
      </c>
      <c r="N308" s="11">
        <f>6.6146 * CHOOSE(CONTROL!$C$32, $C$9, 100%, $E$9)</f>
        <v>6.6146000000000003</v>
      </c>
      <c r="O308" s="11">
        <f>6.6199 * CHOOSE(CONTROL!$C$32, $C$9, 100%, $E$9)</f>
        <v>6.6199000000000003</v>
      </c>
    </row>
    <row r="309" spans="1:15" ht="15" x14ac:dyDescent="0.2">
      <c r="A309" s="13">
        <v>50253</v>
      </c>
      <c r="B309" s="9">
        <f>5.0044 * CHOOSE(CONTROL!$C$32, $C$9, 100%, $E$9)</f>
        <v>5.0044000000000004</v>
      </c>
      <c r="C309" s="9">
        <f>5.0044 * CHOOSE(CONTROL!$C$32, $C$9, 100%, $E$9)</f>
        <v>5.0044000000000004</v>
      </c>
      <c r="D309" s="9">
        <f>5.006 * CHOOSE(CONTROL!$C$32, $C$9, 100%, $E$9)</f>
        <v>5.0060000000000002</v>
      </c>
      <c r="E309" s="11">
        <f>6.5198 * CHOOSE(CONTROL!$C$32, $C$9, 100%, $E$9)</f>
        <v>6.5198</v>
      </c>
      <c r="F309" s="11">
        <f>6.5198 * CHOOSE(CONTROL!$C$32, $C$9, 100%, $E$9)</f>
        <v>6.5198</v>
      </c>
      <c r="G309" s="11">
        <f>6.525 * CHOOSE(CONTROL!$C$32, $C$9, 100%, $E$9)</f>
        <v>6.5250000000000004</v>
      </c>
      <c r="H309" s="11">
        <f>10.2454 * CHOOSE(CONTROL!$C$32, $C$9, 100%, $E$9)</f>
        <v>10.2454</v>
      </c>
      <c r="I309" s="11">
        <f>10.2506 * CHOOSE(CONTROL!$C$32, $C$9, 100%, $E$9)</f>
        <v>10.2506</v>
      </c>
      <c r="J309" s="11">
        <f>10.2454 * CHOOSE(CONTROL!$C$32, $C$9, 100%, $E$9)</f>
        <v>10.2454</v>
      </c>
      <c r="K309" s="11">
        <f>10.2506 * CHOOSE(CONTROL!$C$32, $C$9, 100%, $E$9)</f>
        <v>10.2506</v>
      </c>
      <c r="L309" s="11">
        <f>6.5198 * CHOOSE(CONTROL!$C$32, $C$9, 100%, $E$9)</f>
        <v>6.5198</v>
      </c>
      <c r="M309" s="11">
        <f>6.525 * CHOOSE(CONTROL!$C$32, $C$9, 100%, $E$9)</f>
        <v>6.5250000000000004</v>
      </c>
      <c r="N309" s="11">
        <f>6.5198 * CHOOSE(CONTROL!$C$32, $C$9, 100%, $E$9)</f>
        <v>6.5198</v>
      </c>
      <c r="O309" s="11">
        <f>6.525 * CHOOSE(CONTROL!$C$32, $C$9, 100%, $E$9)</f>
        <v>6.5250000000000004</v>
      </c>
    </row>
    <row r="310" spans="1:15" ht="15" x14ac:dyDescent="0.2">
      <c r="A310" s="13">
        <v>50284</v>
      </c>
      <c r="B310" s="9">
        <f>5.0014 * CHOOSE(CONTROL!$C$32, $C$9, 100%, $E$9)</f>
        <v>5.0014000000000003</v>
      </c>
      <c r="C310" s="9">
        <f>5.0014 * CHOOSE(CONTROL!$C$32, $C$9, 100%, $E$9)</f>
        <v>5.0014000000000003</v>
      </c>
      <c r="D310" s="9">
        <f>5.003 * CHOOSE(CONTROL!$C$32, $C$9, 100%, $E$9)</f>
        <v>5.0030000000000001</v>
      </c>
      <c r="E310" s="11">
        <f>6.5066 * CHOOSE(CONTROL!$C$32, $C$9, 100%, $E$9)</f>
        <v>6.5065999999999997</v>
      </c>
      <c r="F310" s="11">
        <f>6.5066 * CHOOSE(CONTROL!$C$32, $C$9, 100%, $E$9)</f>
        <v>6.5065999999999997</v>
      </c>
      <c r="G310" s="11">
        <f>6.5119 * CHOOSE(CONTROL!$C$32, $C$9, 100%, $E$9)</f>
        <v>6.5118999999999998</v>
      </c>
      <c r="H310" s="11">
        <f>10.2667 * CHOOSE(CONTROL!$C$32, $C$9, 100%, $E$9)</f>
        <v>10.2667</v>
      </c>
      <c r="I310" s="11">
        <f>10.272 * CHOOSE(CONTROL!$C$32, $C$9, 100%, $E$9)</f>
        <v>10.272</v>
      </c>
      <c r="J310" s="11">
        <f>10.2667 * CHOOSE(CONTROL!$C$32, $C$9, 100%, $E$9)</f>
        <v>10.2667</v>
      </c>
      <c r="K310" s="11">
        <f>10.272 * CHOOSE(CONTROL!$C$32, $C$9, 100%, $E$9)</f>
        <v>10.272</v>
      </c>
      <c r="L310" s="11">
        <f>6.5066 * CHOOSE(CONTROL!$C$32, $C$9, 100%, $E$9)</f>
        <v>6.5065999999999997</v>
      </c>
      <c r="M310" s="11">
        <f>6.5119 * CHOOSE(CONTROL!$C$32, $C$9, 100%, $E$9)</f>
        <v>6.5118999999999998</v>
      </c>
      <c r="N310" s="11">
        <f>6.5066 * CHOOSE(CONTROL!$C$32, $C$9, 100%, $E$9)</f>
        <v>6.5065999999999997</v>
      </c>
      <c r="O310" s="11">
        <f>6.5119 * CHOOSE(CONTROL!$C$32, $C$9, 100%, $E$9)</f>
        <v>6.5118999999999998</v>
      </c>
    </row>
    <row r="311" spans="1:15" ht="15" x14ac:dyDescent="0.2">
      <c r="A311" s="13">
        <v>50314</v>
      </c>
      <c r="B311" s="9">
        <f>5.0002 * CHOOSE(CONTROL!$C$32, $C$9, 100%, $E$9)</f>
        <v>5.0002000000000004</v>
      </c>
      <c r="C311" s="9">
        <f>5.0002 * CHOOSE(CONTROL!$C$32, $C$9, 100%, $E$9)</f>
        <v>5.0002000000000004</v>
      </c>
      <c r="D311" s="9">
        <f>5.0012 * CHOOSE(CONTROL!$C$32, $C$9, 100%, $E$9)</f>
        <v>5.0011999999999999</v>
      </c>
      <c r="E311" s="11">
        <f>6.5374 * CHOOSE(CONTROL!$C$32, $C$9, 100%, $E$9)</f>
        <v>6.5373999999999999</v>
      </c>
      <c r="F311" s="11">
        <f>6.5374 * CHOOSE(CONTROL!$C$32, $C$9, 100%, $E$9)</f>
        <v>6.5373999999999999</v>
      </c>
      <c r="G311" s="11">
        <f>6.541 * CHOOSE(CONTROL!$C$32, $C$9, 100%, $E$9)</f>
        <v>6.5410000000000004</v>
      </c>
      <c r="H311" s="11">
        <f>10.2881 * CHOOSE(CONTROL!$C$32, $C$9, 100%, $E$9)</f>
        <v>10.2881</v>
      </c>
      <c r="I311" s="11">
        <f>10.2917 * CHOOSE(CONTROL!$C$32, $C$9, 100%, $E$9)</f>
        <v>10.291700000000001</v>
      </c>
      <c r="J311" s="11">
        <f>10.2881 * CHOOSE(CONTROL!$C$32, $C$9, 100%, $E$9)</f>
        <v>10.2881</v>
      </c>
      <c r="K311" s="11">
        <f>10.2917 * CHOOSE(CONTROL!$C$32, $C$9, 100%, $E$9)</f>
        <v>10.291700000000001</v>
      </c>
      <c r="L311" s="11">
        <f>6.5374 * CHOOSE(CONTROL!$C$32, $C$9, 100%, $E$9)</f>
        <v>6.5373999999999999</v>
      </c>
      <c r="M311" s="11">
        <f>6.541 * CHOOSE(CONTROL!$C$32, $C$9, 100%, $E$9)</f>
        <v>6.5410000000000004</v>
      </c>
      <c r="N311" s="11">
        <f>6.5374 * CHOOSE(CONTROL!$C$32, $C$9, 100%, $E$9)</f>
        <v>6.5373999999999999</v>
      </c>
      <c r="O311" s="11">
        <f>6.541 * CHOOSE(CONTROL!$C$32, $C$9, 100%, $E$9)</f>
        <v>6.5410000000000004</v>
      </c>
    </row>
    <row r="312" spans="1:15" ht="15" x14ac:dyDescent="0.2">
      <c r="A312" s="13">
        <v>50345</v>
      </c>
      <c r="B312" s="9">
        <f>5.0032 * CHOOSE(CONTROL!$C$32, $C$9, 100%, $E$9)</f>
        <v>5.0031999999999996</v>
      </c>
      <c r="C312" s="9">
        <f>5.0032 * CHOOSE(CONTROL!$C$32, $C$9, 100%, $E$9)</f>
        <v>5.0031999999999996</v>
      </c>
      <c r="D312" s="9">
        <f>5.0043 * CHOOSE(CONTROL!$C$32, $C$9, 100%, $E$9)</f>
        <v>5.0042999999999997</v>
      </c>
      <c r="E312" s="11">
        <f>6.5616 * CHOOSE(CONTROL!$C$32, $C$9, 100%, $E$9)</f>
        <v>6.5616000000000003</v>
      </c>
      <c r="F312" s="11">
        <f>6.5616 * CHOOSE(CONTROL!$C$32, $C$9, 100%, $E$9)</f>
        <v>6.5616000000000003</v>
      </c>
      <c r="G312" s="11">
        <f>6.5652 * CHOOSE(CONTROL!$C$32, $C$9, 100%, $E$9)</f>
        <v>6.5651999999999999</v>
      </c>
      <c r="H312" s="11">
        <f>10.3095 * CHOOSE(CONTROL!$C$32, $C$9, 100%, $E$9)</f>
        <v>10.3095</v>
      </c>
      <c r="I312" s="11">
        <f>10.3131 * CHOOSE(CONTROL!$C$32, $C$9, 100%, $E$9)</f>
        <v>10.3131</v>
      </c>
      <c r="J312" s="11">
        <f>10.3095 * CHOOSE(CONTROL!$C$32, $C$9, 100%, $E$9)</f>
        <v>10.3095</v>
      </c>
      <c r="K312" s="11">
        <f>10.3131 * CHOOSE(CONTROL!$C$32, $C$9, 100%, $E$9)</f>
        <v>10.3131</v>
      </c>
      <c r="L312" s="11">
        <f>6.5616 * CHOOSE(CONTROL!$C$32, $C$9, 100%, $E$9)</f>
        <v>6.5616000000000003</v>
      </c>
      <c r="M312" s="11">
        <f>6.5652 * CHOOSE(CONTROL!$C$32, $C$9, 100%, $E$9)</f>
        <v>6.5651999999999999</v>
      </c>
      <c r="N312" s="11">
        <f>6.5616 * CHOOSE(CONTROL!$C$32, $C$9, 100%, $E$9)</f>
        <v>6.5616000000000003</v>
      </c>
      <c r="O312" s="11">
        <f>6.5652 * CHOOSE(CONTROL!$C$32, $C$9, 100%, $E$9)</f>
        <v>6.5651999999999999</v>
      </c>
    </row>
    <row r="313" spans="1:15" ht="15" x14ac:dyDescent="0.2">
      <c r="A313" s="13">
        <v>50375</v>
      </c>
      <c r="B313" s="9">
        <f>5.0032 * CHOOSE(CONTROL!$C$32, $C$9, 100%, $E$9)</f>
        <v>5.0031999999999996</v>
      </c>
      <c r="C313" s="9">
        <f>5.0032 * CHOOSE(CONTROL!$C$32, $C$9, 100%, $E$9)</f>
        <v>5.0031999999999996</v>
      </c>
      <c r="D313" s="9">
        <f>5.0043 * CHOOSE(CONTROL!$C$32, $C$9, 100%, $E$9)</f>
        <v>5.0042999999999997</v>
      </c>
      <c r="E313" s="11">
        <f>6.5063 * CHOOSE(CONTROL!$C$32, $C$9, 100%, $E$9)</f>
        <v>6.5063000000000004</v>
      </c>
      <c r="F313" s="11">
        <f>6.5063 * CHOOSE(CONTROL!$C$32, $C$9, 100%, $E$9)</f>
        <v>6.5063000000000004</v>
      </c>
      <c r="G313" s="11">
        <f>6.51 * CHOOSE(CONTROL!$C$32, $C$9, 100%, $E$9)</f>
        <v>6.51</v>
      </c>
      <c r="H313" s="11">
        <f>10.331 * CHOOSE(CONTROL!$C$32, $C$9, 100%, $E$9)</f>
        <v>10.331</v>
      </c>
      <c r="I313" s="11">
        <f>10.3346 * CHOOSE(CONTROL!$C$32, $C$9, 100%, $E$9)</f>
        <v>10.3346</v>
      </c>
      <c r="J313" s="11">
        <f>10.331 * CHOOSE(CONTROL!$C$32, $C$9, 100%, $E$9)</f>
        <v>10.331</v>
      </c>
      <c r="K313" s="11">
        <f>10.3346 * CHOOSE(CONTROL!$C$32, $C$9, 100%, $E$9)</f>
        <v>10.3346</v>
      </c>
      <c r="L313" s="11">
        <f>6.5063 * CHOOSE(CONTROL!$C$32, $C$9, 100%, $E$9)</f>
        <v>6.5063000000000004</v>
      </c>
      <c r="M313" s="11">
        <f>6.51 * CHOOSE(CONTROL!$C$32, $C$9, 100%, $E$9)</f>
        <v>6.51</v>
      </c>
      <c r="N313" s="11">
        <f>6.5063 * CHOOSE(CONTROL!$C$32, $C$9, 100%, $E$9)</f>
        <v>6.5063000000000004</v>
      </c>
      <c r="O313" s="11">
        <f>6.51 * CHOOSE(CONTROL!$C$32, $C$9, 100%, $E$9)</f>
        <v>6.51</v>
      </c>
    </row>
    <row r="314" spans="1:15" ht="15" x14ac:dyDescent="0.2">
      <c r="A314" s="13">
        <v>50406</v>
      </c>
      <c r="B314" s="9">
        <f>5.043 * CHOOSE(CONTROL!$C$32, $C$9, 100%, $E$9)</f>
        <v>5.0430000000000001</v>
      </c>
      <c r="C314" s="9">
        <f>5.043 * CHOOSE(CONTROL!$C$32, $C$9, 100%, $E$9)</f>
        <v>5.0430000000000001</v>
      </c>
      <c r="D314" s="9">
        <f>5.044 * CHOOSE(CONTROL!$C$32, $C$9, 100%, $E$9)</f>
        <v>5.0439999999999996</v>
      </c>
      <c r="E314" s="11">
        <f>6.5545 * CHOOSE(CONTROL!$C$32, $C$9, 100%, $E$9)</f>
        <v>6.5545</v>
      </c>
      <c r="F314" s="11">
        <f>6.5545 * CHOOSE(CONTROL!$C$32, $C$9, 100%, $E$9)</f>
        <v>6.5545</v>
      </c>
      <c r="G314" s="11">
        <f>6.5582 * CHOOSE(CONTROL!$C$32, $C$9, 100%, $E$9)</f>
        <v>6.5582000000000003</v>
      </c>
      <c r="H314" s="11">
        <f>10.3525 * CHOOSE(CONTROL!$C$32, $C$9, 100%, $E$9)</f>
        <v>10.352499999999999</v>
      </c>
      <c r="I314" s="11">
        <f>10.3561 * CHOOSE(CONTROL!$C$32, $C$9, 100%, $E$9)</f>
        <v>10.3561</v>
      </c>
      <c r="J314" s="11">
        <f>10.3525 * CHOOSE(CONTROL!$C$32, $C$9, 100%, $E$9)</f>
        <v>10.352499999999999</v>
      </c>
      <c r="K314" s="11">
        <f>10.3561 * CHOOSE(CONTROL!$C$32, $C$9, 100%, $E$9)</f>
        <v>10.3561</v>
      </c>
      <c r="L314" s="11">
        <f>6.5545 * CHOOSE(CONTROL!$C$32, $C$9, 100%, $E$9)</f>
        <v>6.5545</v>
      </c>
      <c r="M314" s="11">
        <f>6.5582 * CHOOSE(CONTROL!$C$32, $C$9, 100%, $E$9)</f>
        <v>6.5582000000000003</v>
      </c>
      <c r="N314" s="11">
        <f>6.5545 * CHOOSE(CONTROL!$C$32, $C$9, 100%, $E$9)</f>
        <v>6.5545</v>
      </c>
      <c r="O314" s="11">
        <f>6.5582 * CHOOSE(CONTROL!$C$32, $C$9, 100%, $E$9)</f>
        <v>6.5582000000000003</v>
      </c>
    </row>
    <row r="315" spans="1:15" ht="15" x14ac:dyDescent="0.2">
      <c r="A315" s="13">
        <v>50437</v>
      </c>
      <c r="B315" s="9">
        <f>5.0399 * CHOOSE(CONTROL!$C$32, $C$9, 100%, $E$9)</f>
        <v>5.0399000000000003</v>
      </c>
      <c r="C315" s="9">
        <f>5.0399 * CHOOSE(CONTROL!$C$32, $C$9, 100%, $E$9)</f>
        <v>5.0399000000000003</v>
      </c>
      <c r="D315" s="9">
        <f>5.041 * CHOOSE(CONTROL!$C$32, $C$9, 100%, $E$9)</f>
        <v>5.0410000000000004</v>
      </c>
      <c r="E315" s="11">
        <f>6.4445 * CHOOSE(CONTROL!$C$32, $C$9, 100%, $E$9)</f>
        <v>6.4444999999999997</v>
      </c>
      <c r="F315" s="11">
        <f>6.4445 * CHOOSE(CONTROL!$C$32, $C$9, 100%, $E$9)</f>
        <v>6.4444999999999997</v>
      </c>
      <c r="G315" s="11">
        <f>6.4481 * CHOOSE(CONTROL!$C$32, $C$9, 100%, $E$9)</f>
        <v>6.4481000000000002</v>
      </c>
      <c r="H315" s="11">
        <f>10.3741 * CHOOSE(CONTROL!$C$32, $C$9, 100%, $E$9)</f>
        <v>10.3741</v>
      </c>
      <c r="I315" s="11">
        <f>10.3777 * CHOOSE(CONTROL!$C$32, $C$9, 100%, $E$9)</f>
        <v>10.377700000000001</v>
      </c>
      <c r="J315" s="11">
        <f>10.3741 * CHOOSE(CONTROL!$C$32, $C$9, 100%, $E$9)</f>
        <v>10.3741</v>
      </c>
      <c r="K315" s="11">
        <f>10.3777 * CHOOSE(CONTROL!$C$32, $C$9, 100%, $E$9)</f>
        <v>10.377700000000001</v>
      </c>
      <c r="L315" s="11">
        <f>6.4445 * CHOOSE(CONTROL!$C$32, $C$9, 100%, $E$9)</f>
        <v>6.4444999999999997</v>
      </c>
      <c r="M315" s="11">
        <f>6.4481 * CHOOSE(CONTROL!$C$32, $C$9, 100%, $E$9)</f>
        <v>6.4481000000000002</v>
      </c>
      <c r="N315" s="11">
        <f>6.4445 * CHOOSE(CONTROL!$C$32, $C$9, 100%, $E$9)</f>
        <v>6.4444999999999997</v>
      </c>
      <c r="O315" s="11">
        <f>6.4481 * CHOOSE(CONTROL!$C$32, $C$9, 100%, $E$9)</f>
        <v>6.4481000000000002</v>
      </c>
    </row>
    <row r="316" spans="1:15" ht="15" x14ac:dyDescent="0.2">
      <c r="A316" s="13">
        <v>50465</v>
      </c>
      <c r="B316" s="9">
        <f>5.0369 * CHOOSE(CONTROL!$C$32, $C$9, 100%, $E$9)</f>
        <v>5.0369000000000002</v>
      </c>
      <c r="C316" s="9">
        <f>5.0369 * CHOOSE(CONTROL!$C$32, $C$9, 100%, $E$9)</f>
        <v>5.0369000000000002</v>
      </c>
      <c r="D316" s="9">
        <f>5.038 * CHOOSE(CONTROL!$C$32, $C$9, 100%, $E$9)</f>
        <v>5.0380000000000003</v>
      </c>
      <c r="E316" s="11">
        <f>6.5275 * CHOOSE(CONTROL!$C$32, $C$9, 100%, $E$9)</f>
        <v>6.5274999999999999</v>
      </c>
      <c r="F316" s="11">
        <f>6.5275 * CHOOSE(CONTROL!$C$32, $C$9, 100%, $E$9)</f>
        <v>6.5274999999999999</v>
      </c>
      <c r="G316" s="11">
        <f>6.5311 * CHOOSE(CONTROL!$C$32, $C$9, 100%, $E$9)</f>
        <v>6.5311000000000003</v>
      </c>
      <c r="H316" s="11">
        <f>10.3957 * CHOOSE(CONTROL!$C$32, $C$9, 100%, $E$9)</f>
        <v>10.3957</v>
      </c>
      <c r="I316" s="11">
        <f>10.3993 * CHOOSE(CONTROL!$C$32, $C$9, 100%, $E$9)</f>
        <v>10.3993</v>
      </c>
      <c r="J316" s="11">
        <f>10.3957 * CHOOSE(CONTROL!$C$32, $C$9, 100%, $E$9)</f>
        <v>10.3957</v>
      </c>
      <c r="K316" s="11">
        <f>10.3993 * CHOOSE(CONTROL!$C$32, $C$9, 100%, $E$9)</f>
        <v>10.3993</v>
      </c>
      <c r="L316" s="11">
        <f>6.5275 * CHOOSE(CONTROL!$C$32, $C$9, 100%, $E$9)</f>
        <v>6.5274999999999999</v>
      </c>
      <c r="M316" s="11">
        <f>6.5311 * CHOOSE(CONTROL!$C$32, $C$9, 100%, $E$9)</f>
        <v>6.5311000000000003</v>
      </c>
      <c r="N316" s="11">
        <f>6.5275 * CHOOSE(CONTROL!$C$32, $C$9, 100%, $E$9)</f>
        <v>6.5274999999999999</v>
      </c>
      <c r="O316" s="11">
        <f>6.5311 * CHOOSE(CONTROL!$C$32, $C$9, 100%, $E$9)</f>
        <v>6.5311000000000003</v>
      </c>
    </row>
    <row r="317" spans="1:15" ht="15" x14ac:dyDescent="0.2">
      <c r="A317" s="13">
        <v>50496</v>
      </c>
      <c r="B317" s="9">
        <f>5.0356 * CHOOSE(CONTROL!$C$32, $C$9, 100%, $E$9)</f>
        <v>5.0355999999999996</v>
      </c>
      <c r="C317" s="9">
        <f>5.0356 * CHOOSE(CONTROL!$C$32, $C$9, 100%, $E$9)</f>
        <v>5.0355999999999996</v>
      </c>
      <c r="D317" s="9">
        <f>5.0366 * CHOOSE(CONTROL!$C$32, $C$9, 100%, $E$9)</f>
        <v>5.0366</v>
      </c>
      <c r="E317" s="11">
        <f>6.6146 * CHOOSE(CONTROL!$C$32, $C$9, 100%, $E$9)</f>
        <v>6.6146000000000003</v>
      </c>
      <c r="F317" s="11">
        <f>6.6146 * CHOOSE(CONTROL!$C$32, $C$9, 100%, $E$9)</f>
        <v>6.6146000000000003</v>
      </c>
      <c r="G317" s="11">
        <f>6.6182 * CHOOSE(CONTROL!$C$32, $C$9, 100%, $E$9)</f>
        <v>6.6181999999999999</v>
      </c>
      <c r="H317" s="11">
        <f>10.4174 * CHOOSE(CONTROL!$C$32, $C$9, 100%, $E$9)</f>
        <v>10.417400000000001</v>
      </c>
      <c r="I317" s="11">
        <f>10.421 * CHOOSE(CONTROL!$C$32, $C$9, 100%, $E$9)</f>
        <v>10.420999999999999</v>
      </c>
      <c r="J317" s="11">
        <f>10.4174 * CHOOSE(CONTROL!$C$32, $C$9, 100%, $E$9)</f>
        <v>10.417400000000001</v>
      </c>
      <c r="K317" s="11">
        <f>10.421 * CHOOSE(CONTROL!$C$32, $C$9, 100%, $E$9)</f>
        <v>10.420999999999999</v>
      </c>
      <c r="L317" s="11">
        <f>6.6146 * CHOOSE(CONTROL!$C$32, $C$9, 100%, $E$9)</f>
        <v>6.6146000000000003</v>
      </c>
      <c r="M317" s="11">
        <f>6.6182 * CHOOSE(CONTROL!$C$32, $C$9, 100%, $E$9)</f>
        <v>6.6181999999999999</v>
      </c>
      <c r="N317" s="11">
        <f>6.6146 * CHOOSE(CONTROL!$C$32, $C$9, 100%, $E$9)</f>
        <v>6.6146000000000003</v>
      </c>
      <c r="O317" s="11">
        <f>6.6182 * CHOOSE(CONTROL!$C$32, $C$9, 100%, $E$9)</f>
        <v>6.6181999999999999</v>
      </c>
    </row>
    <row r="318" spans="1:15" ht="15" x14ac:dyDescent="0.2">
      <c r="A318" s="13">
        <v>50526</v>
      </c>
      <c r="B318" s="9">
        <f>5.0356 * CHOOSE(CONTROL!$C$32, $C$9, 100%, $E$9)</f>
        <v>5.0355999999999996</v>
      </c>
      <c r="C318" s="9">
        <f>5.0356 * CHOOSE(CONTROL!$C$32, $C$9, 100%, $E$9)</f>
        <v>5.0355999999999996</v>
      </c>
      <c r="D318" s="9">
        <f>5.0371 * CHOOSE(CONTROL!$C$32, $C$9, 100%, $E$9)</f>
        <v>5.0370999999999997</v>
      </c>
      <c r="E318" s="11">
        <f>6.6488 * CHOOSE(CONTROL!$C$32, $C$9, 100%, $E$9)</f>
        <v>6.6487999999999996</v>
      </c>
      <c r="F318" s="11">
        <f>6.6488 * CHOOSE(CONTROL!$C$32, $C$9, 100%, $E$9)</f>
        <v>6.6487999999999996</v>
      </c>
      <c r="G318" s="11">
        <f>6.6541 * CHOOSE(CONTROL!$C$32, $C$9, 100%, $E$9)</f>
        <v>6.6540999999999997</v>
      </c>
      <c r="H318" s="11">
        <f>10.4391 * CHOOSE(CONTROL!$C$32, $C$9, 100%, $E$9)</f>
        <v>10.4391</v>
      </c>
      <c r="I318" s="11">
        <f>10.4444 * CHOOSE(CONTROL!$C$32, $C$9, 100%, $E$9)</f>
        <v>10.4444</v>
      </c>
      <c r="J318" s="11">
        <f>10.4391 * CHOOSE(CONTROL!$C$32, $C$9, 100%, $E$9)</f>
        <v>10.4391</v>
      </c>
      <c r="K318" s="11">
        <f>10.4444 * CHOOSE(CONTROL!$C$32, $C$9, 100%, $E$9)</f>
        <v>10.4444</v>
      </c>
      <c r="L318" s="11">
        <f>6.6488 * CHOOSE(CONTROL!$C$32, $C$9, 100%, $E$9)</f>
        <v>6.6487999999999996</v>
      </c>
      <c r="M318" s="11">
        <f>6.6541 * CHOOSE(CONTROL!$C$32, $C$9, 100%, $E$9)</f>
        <v>6.6540999999999997</v>
      </c>
      <c r="N318" s="11">
        <f>6.6488 * CHOOSE(CONTROL!$C$32, $C$9, 100%, $E$9)</f>
        <v>6.6487999999999996</v>
      </c>
      <c r="O318" s="11">
        <f>6.6541 * CHOOSE(CONTROL!$C$32, $C$9, 100%, $E$9)</f>
        <v>6.6540999999999997</v>
      </c>
    </row>
    <row r="319" spans="1:15" ht="15" x14ac:dyDescent="0.2">
      <c r="A319" s="13">
        <v>50557</v>
      </c>
      <c r="B319" s="9">
        <f>5.0416 * CHOOSE(CONTROL!$C$32, $C$9, 100%, $E$9)</f>
        <v>5.0415999999999999</v>
      </c>
      <c r="C319" s="9">
        <f>5.0416 * CHOOSE(CONTROL!$C$32, $C$9, 100%, $E$9)</f>
        <v>5.0415999999999999</v>
      </c>
      <c r="D319" s="9">
        <f>5.0432 * CHOOSE(CONTROL!$C$32, $C$9, 100%, $E$9)</f>
        <v>5.0431999999999997</v>
      </c>
      <c r="E319" s="11">
        <f>6.6188 * CHOOSE(CONTROL!$C$32, $C$9, 100%, $E$9)</f>
        <v>6.6188000000000002</v>
      </c>
      <c r="F319" s="11">
        <f>6.6188 * CHOOSE(CONTROL!$C$32, $C$9, 100%, $E$9)</f>
        <v>6.6188000000000002</v>
      </c>
      <c r="G319" s="11">
        <f>6.6241 * CHOOSE(CONTROL!$C$32, $C$9, 100%, $E$9)</f>
        <v>6.6241000000000003</v>
      </c>
      <c r="H319" s="11">
        <f>10.4608 * CHOOSE(CONTROL!$C$32, $C$9, 100%, $E$9)</f>
        <v>10.460800000000001</v>
      </c>
      <c r="I319" s="11">
        <f>10.4661 * CHOOSE(CONTROL!$C$32, $C$9, 100%, $E$9)</f>
        <v>10.466100000000001</v>
      </c>
      <c r="J319" s="11">
        <f>10.4608 * CHOOSE(CONTROL!$C$32, $C$9, 100%, $E$9)</f>
        <v>10.460800000000001</v>
      </c>
      <c r="K319" s="11">
        <f>10.4661 * CHOOSE(CONTROL!$C$32, $C$9, 100%, $E$9)</f>
        <v>10.466100000000001</v>
      </c>
      <c r="L319" s="11">
        <f>6.6188 * CHOOSE(CONTROL!$C$32, $C$9, 100%, $E$9)</f>
        <v>6.6188000000000002</v>
      </c>
      <c r="M319" s="11">
        <f>6.6241 * CHOOSE(CONTROL!$C$32, $C$9, 100%, $E$9)</f>
        <v>6.6241000000000003</v>
      </c>
      <c r="N319" s="11">
        <f>6.6188 * CHOOSE(CONTROL!$C$32, $C$9, 100%, $E$9)</f>
        <v>6.6188000000000002</v>
      </c>
      <c r="O319" s="11">
        <f>6.6241 * CHOOSE(CONTROL!$C$32, $C$9, 100%, $E$9)</f>
        <v>6.6241000000000003</v>
      </c>
    </row>
    <row r="320" spans="1:15" ht="15" x14ac:dyDescent="0.2">
      <c r="A320" s="13">
        <v>50587</v>
      </c>
      <c r="B320" s="9">
        <f>5.1131 * CHOOSE(CONTROL!$C$32, $C$9, 100%, $E$9)</f>
        <v>5.1131000000000002</v>
      </c>
      <c r="C320" s="9">
        <f>5.1131 * CHOOSE(CONTROL!$C$32, $C$9, 100%, $E$9)</f>
        <v>5.1131000000000002</v>
      </c>
      <c r="D320" s="9">
        <f>5.1147 * CHOOSE(CONTROL!$C$32, $C$9, 100%, $E$9)</f>
        <v>5.1147</v>
      </c>
      <c r="E320" s="11">
        <f>6.6086 * CHOOSE(CONTROL!$C$32, $C$9, 100%, $E$9)</f>
        <v>6.6086</v>
      </c>
      <c r="F320" s="11">
        <f>6.6086 * CHOOSE(CONTROL!$C$32, $C$9, 100%, $E$9)</f>
        <v>6.6086</v>
      </c>
      <c r="G320" s="11">
        <f>6.6139 * CHOOSE(CONTROL!$C$32, $C$9, 100%, $E$9)</f>
        <v>6.6139000000000001</v>
      </c>
      <c r="H320" s="11">
        <f>10.4826 * CHOOSE(CONTROL!$C$32, $C$9, 100%, $E$9)</f>
        <v>10.4826</v>
      </c>
      <c r="I320" s="11">
        <f>10.4879 * CHOOSE(CONTROL!$C$32, $C$9, 100%, $E$9)</f>
        <v>10.4879</v>
      </c>
      <c r="J320" s="11">
        <f>10.4826 * CHOOSE(CONTROL!$C$32, $C$9, 100%, $E$9)</f>
        <v>10.4826</v>
      </c>
      <c r="K320" s="11">
        <f>10.4879 * CHOOSE(CONTROL!$C$32, $C$9, 100%, $E$9)</f>
        <v>10.4879</v>
      </c>
      <c r="L320" s="11">
        <f>6.6086 * CHOOSE(CONTROL!$C$32, $C$9, 100%, $E$9)</f>
        <v>6.6086</v>
      </c>
      <c r="M320" s="11">
        <f>6.6139 * CHOOSE(CONTROL!$C$32, $C$9, 100%, $E$9)</f>
        <v>6.6139000000000001</v>
      </c>
      <c r="N320" s="11">
        <f>6.6086 * CHOOSE(CONTROL!$C$32, $C$9, 100%, $E$9)</f>
        <v>6.6086</v>
      </c>
      <c r="O320" s="11">
        <f>6.6139 * CHOOSE(CONTROL!$C$32, $C$9, 100%, $E$9)</f>
        <v>6.6139000000000001</v>
      </c>
    </row>
    <row r="321" spans="1:15" ht="15" x14ac:dyDescent="0.2">
      <c r="A321" s="13">
        <v>50618</v>
      </c>
      <c r="B321" s="9">
        <f>5.1198 * CHOOSE(CONTROL!$C$32, $C$9, 100%, $E$9)</f>
        <v>5.1197999999999997</v>
      </c>
      <c r="C321" s="9">
        <f>5.1198 * CHOOSE(CONTROL!$C$32, $C$9, 100%, $E$9)</f>
        <v>5.1197999999999997</v>
      </c>
      <c r="D321" s="9">
        <f>5.1214 * CHOOSE(CONTROL!$C$32, $C$9, 100%, $E$9)</f>
        <v>5.1214000000000004</v>
      </c>
      <c r="E321" s="11">
        <f>6.5105 * CHOOSE(CONTROL!$C$32, $C$9, 100%, $E$9)</f>
        <v>6.5105000000000004</v>
      </c>
      <c r="F321" s="11">
        <f>6.5105 * CHOOSE(CONTROL!$C$32, $C$9, 100%, $E$9)</f>
        <v>6.5105000000000004</v>
      </c>
      <c r="G321" s="11">
        <f>6.5158 * CHOOSE(CONTROL!$C$32, $C$9, 100%, $E$9)</f>
        <v>6.5157999999999996</v>
      </c>
      <c r="H321" s="11">
        <f>10.5044 * CHOOSE(CONTROL!$C$32, $C$9, 100%, $E$9)</f>
        <v>10.5044</v>
      </c>
      <c r="I321" s="11">
        <f>10.5097 * CHOOSE(CONTROL!$C$32, $C$9, 100%, $E$9)</f>
        <v>10.5097</v>
      </c>
      <c r="J321" s="11">
        <f>10.5044 * CHOOSE(CONTROL!$C$32, $C$9, 100%, $E$9)</f>
        <v>10.5044</v>
      </c>
      <c r="K321" s="11">
        <f>10.5097 * CHOOSE(CONTROL!$C$32, $C$9, 100%, $E$9)</f>
        <v>10.5097</v>
      </c>
      <c r="L321" s="11">
        <f>6.5105 * CHOOSE(CONTROL!$C$32, $C$9, 100%, $E$9)</f>
        <v>6.5105000000000004</v>
      </c>
      <c r="M321" s="11">
        <f>6.5158 * CHOOSE(CONTROL!$C$32, $C$9, 100%, $E$9)</f>
        <v>6.5157999999999996</v>
      </c>
      <c r="N321" s="11">
        <f>6.5105 * CHOOSE(CONTROL!$C$32, $C$9, 100%, $E$9)</f>
        <v>6.5105000000000004</v>
      </c>
      <c r="O321" s="11">
        <f>6.5158 * CHOOSE(CONTROL!$C$32, $C$9, 100%, $E$9)</f>
        <v>6.5157999999999996</v>
      </c>
    </row>
    <row r="322" spans="1:15" ht="15" x14ac:dyDescent="0.2">
      <c r="A322" s="13">
        <v>50649</v>
      </c>
      <c r="B322" s="9">
        <f>5.1167 * CHOOSE(CONTROL!$C$32, $C$9, 100%, $E$9)</f>
        <v>5.1166999999999998</v>
      </c>
      <c r="C322" s="9">
        <f>5.1167 * CHOOSE(CONTROL!$C$32, $C$9, 100%, $E$9)</f>
        <v>5.1166999999999998</v>
      </c>
      <c r="D322" s="9">
        <f>5.1183 * CHOOSE(CONTROL!$C$32, $C$9, 100%, $E$9)</f>
        <v>5.1182999999999996</v>
      </c>
      <c r="E322" s="11">
        <f>6.4969 * CHOOSE(CONTROL!$C$32, $C$9, 100%, $E$9)</f>
        <v>6.4969000000000001</v>
      </c>
      <c r="F322" s="11">
        <f>6.4969 * CHOOSE(CONTROL!$C$32, $C$9, 100%, $E$9)</f>
        <v>6.4969000000000001</v>
      </c>
      <c r="G322" s="11">
        <f>6.5022 * CHOOSE(CONTROL!$C$32, $C$9, 100%, $E$9)</f>
        <v>6.5022000000000002</v>
      </c>
      <c r="H322" s="11">
        <f>10.5263 * CHOOSE(CONTROL!$C$32, $C$9, 100%, $E$9)</f>
        <v>10.526300000000001</v>
      </c>
      <c r="I322" s="11">
        <f>10.5316 * CHOOSE(CONTROL!$C$32, $C$9, 100%, $E$9)</f>
        <v>10.531599999999999</v>
      </c>
      <c r="J322" s="11">
        <f>10.5263 * CHOOSE(CONTROL!$C$32, $C$9, 100%, $E$9)</f>
        <v>10.526300000000001</v>
      </c>
      <c r="K322" s="11">
        <f>10.5316 * CHOOSE(CONTROL!$C$32, $C$9, 100%, $E$9)</f>
        <v>10.531599999999999</v>
      </c>
      <c r="L322" s="11">
        <f>6.4969 * CHOOSE(CONTROL!$C$32, $C$9, 100%, $E$9)</f>
        <v>6.4969000000000001</v>
      </c>
      <c r="M322" s="11">
        <f>6.5022 * CHOOSE(CONTROL!$C$32, $C$9, 100%, $E$9)</f>
        <v>6.5022000000000002</v>
      </c>
      <c r="N322" s="11">
        <f>6.4969 * CHOOSE(CONTROL!$C$32, $C$9, 100%, $E$9)</f>
        <v>6.4969000000000001</v>
      </c>
      <c r="O322" s="11">
        <f>6.5022 * CHOOSE(CONTROL!$C$32, $C$9, 100%, $E$9)</f>
        <v>6.5022000000000002</v>
      </c>
    </row>
    <row r="323" spans="1:15" ht="15" x14ac:dyDescent="0.2">
      <c r="A323" s="13">
        <v>50679</v>
      </c>
      <c r="B323" s="9">
        <f>5.1159 * CHOOSE(CONTROL!$C$32, $C$9, 100%, $E$9)</f>
        <v>5.1158999999999999</v>
      </c>
      <c r="C323" s="9">
        <f>5.1159 * CHOOSE(CONTROL!$C$32, $C$9, 100%, $E$9)</f>
        <v>5.1158999999999999</v>
      </c>
      <c r="D323" s="9">
        <f>5.117 * CHOOSE(CONTROL!$C$32, $C$9, 100%, $E$9)</f>
        <v>5.117</v>
      </c>
      <c r="E323" s="11">
        <f>6.5292 * CHOOSE(CONTROL!$C$32, $C$9, 100%, $E$9)</f>
        <v>6.5292000000000003</v>
      </c>
      <c r="F323" s="11">
        <f>6.5292 * CHOOSE(CONTROL!$C$32, $C$9, 100%, $E$9)</f>
        <v>6.5292000000000003</v>
      </c>
      <c r="G323" s="11">
        <f>6.5328 * CHOOSE(CONTROL!$C$32, $C$9, 100%, $E$9)</f>
        <v>6.5327999999999999</v>
      </c>
      <c r="H323" s="11">
        <f>10.5483 * CHOOSE(CONTROL!$C$32, $C$9, 100%, $E$9)</f>
        <v>10.548299999999999</v>
      </c>
      <c r="I323" s="11">
        <f>10.5519 * CHOOSE(CONTROL!$C$32, $C$9, 100%, $E$9)</f>
        <v>10.5519</v>
      </c>
      <c r="J323" s="11">
        <f>10.5483 * CHOOSE(CONTROL!$C$32, $C$9, 100%, $E$9)</f>
        <v>10.548299999999999</v>
      </c>
      <c r="K323" s="11">
        <f>10.5519 * CHOOSE(CONTROL!$C$32, $C$9, 100%, $E$9)</f>
        <v>10.5519</v>
      </c>
      <c r="L323" s="11">
        <f>6.5292 * CHOOSE(CONTROL!$C$32, $C$9, 100%, $E$9)</f>
        <v>6.5292000000000003</v>
      </c>
      <c r="M323" s="11">
        <f>6.5328 * CHOOSE(CONTROL!$C$32, $C$9, 100%, $E$9)</f>
        <v>6.5327999999999999</v>
      </c>
      <c r="N323" s="11">
        <f>6.5292 * CHOOSE(CONTROL!$C$32, $C$9, 100%, $E$9)</f>
        <v>6.5292000000000003</v>
      </c>
      <c r="O323" s="11">
        <f>6.5328 * CHOOSE(CONTROL!$C$32, $C$9, 100%, $E$9)</f>
        <v>6.5327999999999999</v>
      </c>
    </row>
    <row r="324" spans="1:15" ht="15" x14ac:dyDescent="0.2">
      <c r="A324" s="13">
        <v>50710</v>
      </c>
      <c r="B324" s="9">
        <f>5.119 * CHOOSE(CONTROL!$C$32, $C$9, 100%, $E$9)</f>
        <v>5.1189999999999998</v>
      </c>
      <c r="C324" s="9">
        <f>5.119 * CHOOSE(CONTROL!$C$32, $C$9, 100%, $E$9)</f>
        <v>5.1189999999999998</v>
      </c>
      <c r="D324" s="9">
        <f>5.1201 * CHOOSE(CONTROL!$C$32, $C$9, 100%, $E$9)</f>
        <v>5.1200999999999999</v>
      </c>
      <c r="E324" s="11">
        <f>6.5541 * CHOOSE(CONTROL!$C$32, $C$9, 100%, $E$9)</f>
        <v>6.5541</v>
      </c>
      <c r="F324" s="11">
        <f>6.5541 * CHOOSE(CONTROL!$C$32, $C$9, 100%, $E$9)</f>
        <v>6.5541</v>
      </c>
      <c r="G324" s="11">
        <f>6.5578 * CHOOSE(CONTROL!$C$32, $C$9, 100%, $E$9)</f>
        <v>6.5578000000000003</v>
      </c>
      <c r="H324" s="11">
        <f>10.5702 * CHOOSE(CONTROL!$C$32, $C$9, 100%, $E$9)</f>
        <v>10.5702</v>
      </c>
      <c r="I324" s="11">
        <f>10.5738 * CHOOSE(CONTROL!$C$32, $C$9, 100%, $E$9)</f>
        <v>10.5738</v>
      </c>
      <c r="J324" s="11">
        <f>10.5702 * CHOOSE(CONTROL!$C$32, $C$9, 100%, $E$9)</f>
        <v>10.5702</v>
      </c>
      <c r="K324" s="11">
        <f>10.5738 * CHOOSE(CONTROL!$C$32, $C$9, 100%, $E$9)</f>
        <v>10.5738</v>
      </c>
      <c r="L324" s="11">
        <f>6.5541 * CHOOSE(CONTROL!$C$32, $C$9, 100%, $E$9)</f>
        <v>6.5541</v>
      </c>
      <c r="M324" s="11">
        <f>6.5578 * CHOOSE(CONTROL!$C$32, $C$9, 100%, $E$9)</f>
        <v>6.5578000000000003</v>
      </c>
      <c r="N324" s="11">
        <f>6.5541 * CHOOSE(CONTROL!$C$32, $C$9, 100%, $E$9)</f>
        <v>6.5541</v>
      </c>
      <c r="O324" s="11">
        <f>6.5578 * CHOOSE(CONTROL!$C$32, $C$9, 100%, $E$9)</f>
        <v>6.5578000000000003</v>
      </c>
    </row>
    <row r="325" spans="1:15" ht="15" x14ac:dyDescent="0.2">
      <c r="A325" s="13">
        <v>50740</v>
      </c>
      <c r="B325" s="9">
        <f>5.119 * CHOOSE(CONTROL!$C$32, $C$9, 100%, $E$9)</f>
        <v>5.1189999999999998</v>
      </c>
      <c r="C325" s="9">
        <f>5.119 * CHOOSE(CONTROL!$C$32, $C$9, 100%, $E$9)</f>
        <v>5.1189999999999998</v>
      </c>
      <c r="D325" s="9">
        <f>5.1201 * CHOOSE(CONTROL!$C$32, $C$9, 100%, $E$9)</f>
        <v>5.1200999999999999</v>
      </c>
      <c r="E325" s="11">
        <f>6.533 * CHOOSE(CONTROL!$C$32, $C$9, 100%, $E$9)</f>
        <v>6.5330000000000004</v>
      </c>
      <c r="F325" s="11">
        <f>6.533 * CHOOSE(CONTROL!$C$32, $C$9, 100%, $E$9)</f>
        <v>6.5330000000000004</v>
      </c>
      <c r="G325" s="11">
        <f>6.5367 * CHOOSE(CONTROL!$C$32, $C$9, 100%, $E$9)</f>
        <v>6.5366999999999997</v>
      </c>
      <c r="H325" s="11">
        <f>10.5923 * CHOOSE(CONTROL!$C$32, $C$9, 100%, $E$9)</f>
        <v>10.5923</v>
      </c>
      <c r="I325" s="11">
        <f>10.5959 * CHOOSE(CONTROL!$C$32, $C$9, 100%, $E$9)</f>
        <v>10.5959</v>
      </c>
      <c r="J325" s="11">
        <f>10.5923 * CHOOSE(CONTROL!$C$32, $C$9, 100%, $E$9)</f>
        <v>10.5923</v>
      </c>
      <c r="K325" s="11">
        <f>10.5959 * CHOOSE(CONTROL!$C$32, $C$9, 100%, $E$9)</f>
        <v>10.5959</v>
      </c>
      <c r="L325" s="11">
        <f>6.533 * CHOOSE(CONTROL!$C$32, $C$9, 100%, $E$9)</f>
        <v>6.5330000000000004</v>
      </c>
      <c r="M325" s="11">
        <f>6.5367 * CHOOSE(CONTROL!$C$32, $C$9, 100%, $E$9)</f>
        <v>6.5366999999999997</v>
      </c>
      <c r="N325" s="11">
        <f>6.533 * CHOOSE(CONTROL!$C$32, $C$9, 100%, $E$9)</f>
        <v>6.5330000000000004</v>
      </c>
      <c r="O325" s="11">
        <f>6.5367 * CHOOSE(CONTROL!$C$32, $C$9, 100%, $E$9)</f>
        <v>6.5366999999999997</v>
      </c>
    </row>
    <row r="326" spans="1:15" ht="15" x14ac:dyDescent="0.2">
      <c r="A326" s="13">
        <v>50771</v>
      </c>
      <c r="B326" s="9">
        <f>5.1575 * CHOOSE(CONTROL!$C$32, $C$9, 100%, $E$9)</f>
        <v>5.1574999999999998</v>
      </c>
      <c r="C326" s="9">
        <f>5.1575 * CHOOSE(CONTROL!$C$32, $C$9, 100%, $E$9)</f>
        <v>5.1574999999999998</v>
      </c>
      <c r="D326" s="9">
        <f>5.1586 * CHOOSE(CONTROL!$C$32, $C$9, 100%, $E$9)</f>
        <v>5.1585999999999999</v>
      </c>
      <c r="E326" s="11">
        <f>6.5634 * CHOOSE(CONTROL!$C$32, $C$9, 100%, $E$9)</f>
        <v>6.5633999999999997</v>
      </c>
      <c r="F326" s="11">
        <f>6.5634 * CHOOSE(CONTROL!$C$32, $C$9, 100%, $E$9)</f>
        <v>6.5633999999999997</v>
      </c>
      <c r="G326" s="11">
        <f>6.567 * CHOOSE(CONTROL!$C$32, $C$9, 100%, $E$9)</f>
        <v>6.5670000000000002</v>
      </c>
      <c r="H326" s="11">
        <f>10.6143 * CHOOSE(CONTROL!$C$32, $C$9, 100%, $E$9)</f>
        <v>10.6143</v>
      </c>
      <c r="I326" s="11">
        <f>10.6179 * CHOOSE(CONTROL!$C$32, $C$9, 100%, $E$9)</f>
        <v>10.617900000000001</v>
      </c>
      <c r="J326" s="11">
        <f>10.6143 * CHOOSE(CONTROL!$C$32, $C$9, 100%, $E$9)</f>
        <v>10.6143</v>
      </c>
      <c r="K326" s="11">
        <f>10.6179 * CHOOSE(CONTROL!$C$32, $C$9, 100%, $E$9)</f>
        <v>10.617900000000001</v>
      </c>
      <c r="L326" s="11">
        <f>6.5634 * CHOOSE(CONTROL!$C$32, $C$9, 100%, $E$9)</f>
        <v>6.5633999999999997</v>
      </c>
      <c r="M326" s="11">
        <f>6.567 * CHOOSE(CONTROL!$C$32, $C$9, 100%, $E$9)</f>
        <v>6.5670000000000002</v>
      </c>
      <c r="N326" s="11">
        <f>6.5634 * CHOOSE(CONTROL!$C$32, $C$9, 100%, $E$9)</f>
        <v>6.5633999999999997</v>
      </c>
      <c r="O326" s="11">
        <f>6.567 * CHOOSE(CONTROL!$C$32, $C$9, 100%, $E$9)</f>
        <v>6.5670000000000002</v>
      </c>
    </row>
    <row r="327" spans="1:15" ht="15" x14ac:dyDescent="0.2">
      <c r="A327" s="13">
        <v>50802</v>
      </c>
      <c r="B327" s="9">
        <f>5.1544 * CHOOSE(CONTROL!$C$32, $C$9, 100%, $E$9)</f>
        <v>5.1543999999999999</v>
      </c>
      <c r="C327" s="9">
        <f>5.1544 * CHOOSE(CONTROL!$C$32, $C$9, 100%, $E$9)</f>
        <v>5.1543999999999999</v>
      </c>
      <c r="D327" s="9">
        <f>5.1555 * CHOOSE(CONTROL!$C$32, $C$9, 100%, $E$9)</f>
        <v>5.1555</v>
      </c>
      <c r="E327" s="11">
        <f>6.4498 * CHOOSE(CONTROL!$C$32, $C$9, 100%, $E$9)</f>
        <v>6.4497999999999998</v>
      </c>
      <c r="F327" s="11">
        <f>6.4498 * CHOOSE(CONTROL!$C$32, $C$9, 100%, $E$9)</f>
        <v>6.4497999999999998</v>
      </c>
      <c r="G327" s="11">
        <f>6.4535 * CHOOSE(CONTROL!$C$32, $C$9, 100%, $E$9)</f>
        <v>6.4535</v>
      </c>
      <c r="H327" s="11">
        <f>10.6364 * CHOOSE(CONTROL!$C$32, $C$9, 100%, $E$9)</f>
        <v>10.6364</v>
      </c>
      <c r="I327" s="11">
        <f>10.64 * CHOOSE(CONTROL!$C$32, $C$9, 100%, $E$9)</f>
        <v>10.64</v>
      </c>
      <c r="J327" s="11">
        <f>10.6364 * CHOOSE(CONTROL!$C$32, $C$9, 100%, $E$9)</f>
        <v>10.6364</v>
      </c>
      <c r="K327" s="11">
        <f>10.64 * CHOOSE(CONTROL!$C$32, $C$9, 100%, $E$9)</f>
        <v>10.64</v>
      </c>
      <c r="L327" s="11">
        <f>6.4498 * CHOOSE(CONTROL!$C$32, $C$9, 100%, $E$9)</f>
        <v>6.4497999999999998</v>
      </c>
      <c r="M327" s="11">
        <f>6.4535 * CHOOSE(CONTROL!$C$32, $C$9, 100%, $E$9)</f>
        <v>6.4535</v>
      </c>
      <c r="N327" s="11">
        <f>6.4498 * CHOOSE(CONTROL!$C$32, $C$9, 100%, $E$9)</f>
        <v>6.4497999999999998</v>
      </c>
      <c r="O327" s="11">
        <f>6.4535 * CHOOSE(CONTROL!$C$32, $C$9, 100%, $E$9)</f>
        <v>6.4535</v>
      </c>
    </row>
    <row r="328" spans="1:15" ht="15" x14ac:dyDescent="0.2">
      <c r="A328" s="13">
        <v>50830</v>
      </c>
      <c r="B328" s="9">
        <f>5.1514 * CHOOSE(CONTROL!$C$32, $C$9, 100%, $E$9)</f>
        <v>5.1513999999999998</v>
      </c>
      <c r="C328" s="9">
        <f>5.1514 * CHOOSE(CONTROL!$C$32, $C$9, 100%, $E$9)</f>
        <v>5.1513999999999998</v>
      </c>
      <c r="D328" s="9">
        <f>5.1525 * CHOOSE(CONTROL!$C$32, $C$9, 100%, $E$9)</f>
        <v>5.1524999999999999</v>
      </c>
      <c r="E328" s="11">
        <f>6.5356 * CHOOSE(CONTROL!$C$32, $C$9, 100%, $E$9)</f>
        <v>6.5355999999999996</v>
      </c>
      <c r="F328" s="11">
        <f>6.5356 * CHOOSE(CONTROL!$C$32, $C$9, 100%, $E$9)</f>
        <v>6.5355999999999996</v>
      </c>
      <c r="G328" s="11">
        <f>6.5392 * CHOOSE(CONTROL!$C$32, $C$9, 100%, $E$9)</f>
        <v>6.5392000000000001</v>
      </c>
      <c r="H328" s="11">
        <f>10.6586 * CHOOSE(CONTROL!$C$32, $C$9, 100%, $E$9)</f>
        <v>10.6586</v>
      </c>
      <c r="I328" s="11">
        <f>10.6622 * CHOOSE(CONTROL!$C$32, $C$9, 100%, $E$9)</f>
        <v>10.6622</v>
      </c>
      <c r="J328" s="11">
        <f>10.6586 * CHOOSE(CONTROL!$C$32, $C$9, 100%, $E$9)</f>
        <v>10.6586</v>
      </c>
      <c r="K328" s="11">
        <f>10.6622 * CHOOSE(CONTROL!$C$32, $C$9, 100%, $E$9)</f>
        <v>10.6622</v>
      </c>
      <c r="L328" s="11">
        <f>6.5356 * CHOOSE(CONTROL!$C$32, $C$9, 100%, $E$9)</f>
        <v>6.5355999999999996</v>
      </c>
      <c r="M328" s="11">
        <f>6.5392 * CHOOSE(CONTROL!$C$32, $C$9, 100%, $E$9)</f>
        <v>6.5392000000000001</v>
      </c>
      <c r="N328" s="11">
        <f>6.5356 * CHOOSE(CONTROL!$C$32, $C$9, 100%, $E$9)</f>
        <v>6.5355999999999996</v>
      </c>
      <c r="O328" s="11">
        <f>6.5392 * CHOOSE(CONTROL!$C$32, $C$9, 100%, $E$9)</f>
        <v>6.5392000000000001</v>
      </c>
    </row>
    <row r="329" spans="1:15" ht="15" x14ac:dyDescent="0.2">
      <c r="A329" s="13">
        <v>50861</v>
      </c>
      <c r="B329" s="9">
        <f>5.1502 * CHOOSE(CONTROL!$C$32, $C$9, 100%, $E$9)</f>
        <v>5.1501999999999999</v>
      </c>
      <c r="C329" s="9">
        <f>5.1502 * CHOOSE(CONTROL!$C$32, $C$9, 100%, $E$9)</f>
        <v>5.1501999999999999</v>
      </c>
      <c r="D329" s="9">
        <f>5.1512 * CHOOSE(CONTROL!$C$32, $C$9, 100%, $E$9)</f>
        <v>5.1512000000000002</v>
      </c>
      <c r="E329" s="11">
        <f>6.6256 * CHOOSE(CONTROL!$C$32, $C$9, 100%, $E$9)</f>
        <v>6.6256000000000004</v>
      </c>
      <c r="F329" s="11">
        <f>6.6256 * CHOOSE(CONTROL!$C$32, $C$9, 100%, $E$9)</f>
        <v>6.6256000000000004</v>
      </c>
      <c r="G329" s="11">
        <f>6.6292 * CHOOSE(CONTROL!$C$32, $C$9, 100%, $E$9)</f>
        <v>6.6292</v>
      </c>
      <c r="H329" s="11">
        <f>10.6808 * CHOOSE(CONTROL!$C$32, $C$9, 100%, $E$9)</f>
        <v>10.6808</v>
      </c>
      <c r="I329" s="11">
        <f>10.6844 * CHOOSE(CONTROL!$C$32, $C$9, 100%, $E$9)</f>
        <v>10.6844</v>
      </c>
      <c r="J329" s="11">
        <f>10.6808 * CHOOSE(CONTROL!$C$32, $C$9, 100%, $E$9)</f>
        <v>10.6808</v>
      </c>
      <c r="K329" s="11">
        <f>10.6844 * CHOOSE(CONTROL!$C$32, $C$9, 100%, $E$9)</f>
        <v>10.6844</v>
      </c>
      <c r="L329" s="11">
        <f>6.6256 * CHOOSE(CONTROL!$C$32, $C$9, 100%, $E$9)</f>
        <v>6.6256000000000004</v>
      </c>
      <c r="M329" s="11">
        <f>6.6292 * CHOOSE(CONTROL!$C$32, $C$9, 100%, $E$9)</f>
        <v>6.6292</v>
      </c>
      <c r="N329" s="11">
        <f>6.6256 * CHOOSE(CONTROL!$C$32, $C$9, 100%, $E$9)</f>
        <v>6.6256000000000004</v>
      </c>
      <c r="O329" s="11">
        <f>6.6292 * CHOOSE(CONTROL!$C$32, $C$9, 100%, $E$9)</f>
        <v>6.6292</v>
      </c>
    </row>
    <row r="330" spans="1:15" ht="15" x14ac:dyDescent="0.2">
      <c r="A330" s="13">
        <v>50891</v>
      </c>
      <c r="B330" s="9">
        <f>5.1502 * CHOOSE(CONTROL!$C$32, $C$9, 100%, $E$9)</f>
        <v>5.1501999999999999</v>
      </c>
      <c r="C330" s="9">
        <f>5.1502 * CHOOSE(CONTROL!$C$32, $C$9, 100%, $E$9)</f>
        <v>5.1501999999999999</v>
      </c>
      <c r="D330" s="9">
        <f>5.1517 * CHOOSE(CONTROL!$C$32, $C$9, 100%, $E$9)</f>
        <v>5.1516999999999999</v>
      </c>
      <c r="E330" s="11">
        <f>6.661 * CHOOSE(CONTROL!$C$32, $C$9, 100%, $E$9)</f>
        <v>6.6609999999999996</v>
      </c>
      <c r="F330" s="11">
        <f>6.661 * CHOOSE(CONTROL!$C$32, $C$9, 100%, $E$9)</f>
        <v>6.6609999999999996</v>
      </c>
      <c r="G330" s="11">
        <f>6.6663 * CHOOSE(CONTROL!$C$32, $C$9, 100%, $E$9)</f>
        <v>6.6662999999999997</v>
      </c>
      <c r="H330" s="11">
        <f>10.703 * CHOOSE(CONTROL!$C$32, $C$9, 100%, $E$9)</f>
        <v>10.702999999999999</v>
      </c>
      <c r="I330" s="11">
        <f>10.7083 * CHOOSE(CONTROL!$C$32, $C$9, 100%, $E$9)</f>
        <v>10.708299999999999</v>
      </c>
      <c r="J330" s="11">
        <f>10.703 * CHOOSE(CONTROL!$C$32, $C$9, 100%, $E$9)</f>
        <v>10.702999999999999</v>
      </c>
      <c r="K330" s="11">
        <f>10.7083 * CHOOSE(CONTROL!$C$32, $C$9, 100%, $E$9)</f>
        <v>10.708299999999999</v>
      </c>
      <c r="L330" s="11">
        <f>6.661 * CHOOSE(CONTROL!$C$32, $C$9, 100%, $E$9)</f>
        <v>6.6609999999999996</v>
      </c>
      <c r="M330" s="11">
        <f>6.6663 * CHOOSE(CONTROL!$C$32, $C$9, 100%, $E$9)</f>
        <v>6.6662999999999997</v>
      </c>
      <c r="N330" s="11">
        <f>6.661 * CHOOSE(CONTROL!$C$32, $C$9, 100%, $E$9)</f>
        <v>6.6609999999999996</v>
      </c>
      <c r="O330" s="11">
        <f>6.6663 * CHOOSE(CONTROL!$C$32, $C$9, 100%, $E$9)</f>
        <v>6.6662999999999997</v>
      </c>
    </row>
    <row r="331" spans="1:15" ht="15" x14ac:dyDescent="0.2">
      <c r="A331" s="13">
        <v>50922</v>
      </c>
      <c r="B331" s="9">
        <f>5.1562 * CHOOSE(CONTROL!$C$32, $C$9, 100%, $E$9)</f>
        <v>5.1562000000000001</v>
      </c>
      <c r="C331" s="9">
        <f>5.1562 * CHOOSE(CONTROL!$C$32, $C$9, 100%, $E$9)</f>
        <v>5.1562000000000001</v>
      </c>
      <c r="D331" s="9">
        <f>5.1578 * CHOOSE(CONTROL!$C$32, $C$9, 100%, $E$9)</f>
        <v>5.1577999999999999</v>
      </c>
      <c r="E331" s="11">
        <f>6.6299 * CHOOSE(CONTROL!$C$32, $C$9, 100%, $E$9)</f>
        <v>6.6299000000000001</v>
      </c>
      <c r="F331" s="11">
        <f>6.6299 * CHOOSE(CONTROL!$C$32, $C$9, 100%, $E$9)</f>
        <v>6.6299000000000001</v>
      </c>
      <c r="G331" s="11">
        <f>6.6352 * CHOOSE(CONTROL!$C$32, $C$9, 100%, $E$9)</f>
        <v>6.6352000000000002</v>
      </c>
      <c r="H331" s="11">
        <f>10.7253 * CHOOSE(CONTROL!$C$32, $C$9, 100%, $E$9)</f>
        <v>10.725300000000001</v>
      </c>
      <c r="I331" s="11">
        <f>10.7306 * CHOOSE(CONTROL!$C$32, $C$9, 100%, $E$9)</f>
        <v>10.730600000000001</v>
      </c>
      <c r="J331" s="11">
        <f>10.7253 * CHOOSE(CONTROL!$C$32, $C$9, 100%, $E$9)</f>
        <v>10.725300000000001</v>
      </c>
      <c r="K331" s="11">
        <f>10.7306 * CHOOSE(CONTROL!$C$32, $C$9, 100%, $E$9)</f>
        <v>10.730600000000001</v>
      </c>
      <c r="L331" s="11">
        <f>6.6299 * CHOOSE(CONTROL!$C$32, $C$9, 100%, $E$9)</f>
        <v>6.6299000000000001</v>
      </c>
      <c r="M331" s="11">
        <f>6.6352 * CHOOSE(CONTROL!$C$32, $C$9, 100%, $E$9)</f>
        <v>6.6352000000000002</v>
      </c>
      <c r="N331" s="11">
        <f>6.6299 * CHOOSE(CONTROL!$C$32, $C$9, 100%, $E$9)</f>
        <v>6.6299000000000001</v>
      </c>
      <c r="O331" s="11">
        <f>6.6352 * CHOOSE(CONTROL!$C$32, $C$9, 100%, $E$9)</f>
        <v>6.6352000000000002</v>
      </c>
    </row>
    <row r="332" spans="1:15" ht="15" x14ac:dyDescent="0.2">
      <c r="A332" s="13">
        <v>50952</v>
      </c>
      <c r="B332" s="9">
        <f>5.2245 * CHOOSE(CONTROL!$C$32, $C$9, 100%, $E$9)</f>
        <v>5.2244999999999999</v>
      </c>
      <c r="C332" s="9">
        <f>5.2245 * CHOOSE(CONTROL!$C$32, $C$9, 100%, $E$9)</f>
        <v>5.2244999999999999</v>
      </c>
      <c r="D332" s="9">
        <f>5.226 * CHOOSE(CONTROL!$C$32, $C$9, 100%, $E$9)</f>
        <v>5.226</v>
      </c>
      <c r="E332" s="11">
        <f>6.6597 * CHOOSE(CONTROL!$C$32, $C$9, 100%, $E$9)</f>
        <v>6.6597</v>
      </c>
      <c r="F332" s="11">
        <f>6.6597 * CHOOSE(CONTROL!$C$32, $C$9, 100%, $E$9)</f>
        <v>6.6597</v>
      </c>
      <c r="G332" s="11">
        <f>6.665 * CHOOSE(CONTROL!$C$32, $C$9, 100%, $E$9)</f>
        <v>6.665</v>
      </c>
      <c r="H332" s="11">
        <f>10.7477 * CHOOSE(CONTROL!$C$32, $C$9, 100%, $E$9)</f>
        <v>10.7477</v>
      </c>
      <c r="I332" s="11">
        <f>10.753 * CHOOSE(CONTROL!$C$32, $C$9, 100%, $E$9)</f>
        <v>10.753</v>
      </c>
      <c r="J332" s="11">
        <f>10.7477 * CHOOSE(CONTROL!$C$32, $C$9, 100%, $E$9)</f>
        <v>10.7477</v>
      </c>
      <c r="K332" s="11">
        <f>10.753 * CHOOSE(CONTROL!$C$32, $C$9, 100%, $E$9)</f>
        <v>10.753</v>
      </c>
      <c r="L332" s="11">
        <f>6.6597 * CHOOSE(CONTROL!$C$32, $C$9, 100%, $E$9)</f>
        <v>6.6597</v>
      </c>
      <c r="M332" s="11">
        <f>6.665 * CHOOSE(CONTROL!$C$32, $C$9, 100%, $E$9)</f>
        <v>6.665</v>
      </c>
      <c r="N332" s="11">
        <f>6.6597 * CHOOSE(CONTROL!$C$32, $C$9, 100%, $E$9)</f>
        <v>6.6597</v>
      </c>
      <c r="O332" s="11">
        <f>6.665 * CHOOSE(CONTROL!$C$32, $C$9, 100%, $E$9)</f>
        <v>6.665</v>
      </c>
    </row>
    <row r="333" spans="1:15" ht="15" x14ac:dyDescent="0.2">
      <c r="A333" s="13">
        <v>50983</v>
      </c>
      <c r="B333" s="9">
        <f>5.2312 * CHOOSE(CONTROL!$C$32, $C$9, 100%, $E$9)</f>
        <v>5.2312000000000003</v>
      </c>
      <c r="C333" s="9">
        <f>5.2312 * CHOOSE(CONTROL!$C$32, $C$9, 100%, $E$9)</f>
        <v>5.2312000000000003</v>
      </c>
      <c r="D333" s="9">
        <f>5.2327 * CHOOSE(CONTROL!$C$32, $C$9, 100%, $E$9)</f>
        <v>5.2327000000000004</v>
      </c>
      <c r="E333" s="11">
        <f>6.5583 * CHOOSE(CONTROL!$C$32, $C$9, 100%, $E$9)</f>
        <v>6.5583</v>
      </c>
      <c r="F333" s="11">
        <f>6.5583 * CHOOSE(CONTROL!$C$32, $C$9, 100%, $E$9)</f>
        <v>6.5583</v>
      </c>
      <c r="G333" s="11">
        <f>6.5635 * CHOOSE(CONTROL!$C$32, $C$9, 100%, $E$9)</f>
        <v>6.5635000000000003</v>
      </c>
      <c r="H333" s="11">
        <f>10.7701 * CHOOSE(CONTROL!$C$32, $C$9, 100%, $E$9)</f>
        <v>10.770099999999999</v>
      </c>
      <c r="I333" s="11">
        <f>10.7754 * CHOOSE(CONTROL!$C$32, $C$9, 100%, $E$9)</f>
        <v>10.775399999999999</v>
      </c>
      <c r="J333" s="11">
        <f>10.7701 * CHOOSE(CONTROL!$C$32, $C$9, 100%, $E$9)</f>
        <v>10.770099999999999</v>
      </c>
      <c r="K333" s="11">
        <f>10.7754 * CHOOSE(CONTROL!$C$32, $C$9, 100%, $E$9)</f>
        <v>10.775399999999999</v>
      </c>
      <c r="L333" s="11">
        <f>6.5583 * CHOOSE(CONTROL!$C$32, $C$9, 100%, $E$9)</f>
        <v>6.5583</v>
      </c>
      <c r="M333" s="11">
        <f>6.5635 * CHOOSE(CONTROL!$C$32, $C$9, 100%, $E$9)</f>
        <v>6.5635000000000003</v>
      </c>
      <c r="N333" s="11">
        <f>6.5583 * CHOOSE(CONTROL!$C$32, $C$9, 100%, $E$9)</f>
        <v>6.5583</v>
      </c>
      <c r="O333" s="11">
        <f>6.5635 * CHOOSE(CONTROL!$C$32, $C$9, 100%, $E$9)</f>
        <v>6.5635000000000003</v>
      </c>
    </row>
    <row r="334" spans="1:15" ht="15" x14ac:dyDescent="0.2">
      <c r="A334" s="13">
        <v>51014</v>
      </c>
      <c r="B334" s="9">
        <f>5.2281 * CHOOSE(CONTROL!$C$32, $C$9, 100%, $E$9)</f>
        <v>5.2281000000000004</v>
      </c>
      <c r="C334" s="9">
        <f>5.2281 * CHOOSE(CONTROL!$C$32, $C$9, 100%, $E$9)</f>
        <v>5.2281000000000004</v>
      </c>
      <c r="D334" s="9">
        <f>5.2297 * CHOOSE(CONTROL!$C$32, $C$9, 100%, $E$9)</f>
        <v>5.2297000000000002</v>
      </c>
      <c r="E334" s="11">
        <f>6.5443 * CHOOSE(CONTROL!$C$32, $C$9, 100%, $E$9)</f>
        <v>6.5442999999999998</v>
      </c>
      <c r="F334" s="11">
        <f>6.5443 * CHOOSE(CONTROL!$C$32, $C$9, 100%, $E$9)</f>
        <v>6.5442999999999998</v>
      </c>
      <c r="G334" s="11">
        <f>6.5496 * CHOOSE(CONTROL!$C$32, $C$9, 100%, $E$9)</f>
        <v>6.5495999999999999</v>
      </c>
      <c r="H334" s="11">
        <f>10.7925 * CHOOSE(CONTROL!$C$32, $C$9, 100%, $E$9)</f>
        <v>10.7925</v>
      </c>
      <c r="I334" s="11">
        <f>10.7978 * CHOOSE(CONTROL!$C$32, $C$9, 100%, $E$9)</f>
        <v>10.797800000000001</v>
      </c>
      <c r="J334" s="11">
        <f>10.7925 * CHOOSE(CONTROL!$C$32, $C$9, 100%, $E$9)</f>
        <v>10.7925</v>
      </c>
      <c r="K334" s="11">
        <f>10.7978 * CHOOSE(CONTROL!$C$32, $C$9, 100%, $E$9)</f>
        <v>10.797800000000001</v>
      </c>
      <c r="L334" s="11">
        <f>6.5443 * CHOOSE(CONTROL!$C$32, $C$9, 100%, $E$9)</f>
        <v>6.5442999999999998</v>
      </c>
      <c r="M334" s="11">
        <f>6.5496 * CHOOSE(CONTROL!$C$32, $C$9, 100%, $E$9)</f>
        <v>6.5495999999999999</v>
      </c>
      <c r="N334" s="11">
        <f>6.5443 * CHOOSE(CONTROL!$C$32, $C$9, 100%, $E$9)</f>
        <v>6.5442999999999998</v>
      </c>
      <c r="O334" s="11">
        <f>6.5496 * CHOOSE(CONTROL!$C$32, $C$9, 100%, $E$9)</f>
        <v>6.5495999999999999</v>
      </c>
    </row>
    <row r="335" spans="1:15" ht="15" x14ac:dyDescent="0.2">
      <c r="A335" s="13">
        <v>51044</v>
      </c>
      <c r="B335" s="9">
        <f>5.2277 * CHOOSE(CONTROL!$C$32, $C$9, 100%, $E$9)</f>
        <v>5.2276999999999996</v>
      </c>
      <c r="C335" s="9">
        <f>5.2277 * CHOOSE(CONTROL!$C$32, $C$9, 100%, $E$9)</f>
        <v>5.2276999999999996</v>
      </c>
      <c r="D335" s="9">
        <f>5.2288 * CHOOSE(CONTROL!$C$32, $C$9, 100%, $E$9)</f>
        <v>5.2287999999999997</v>
      </c>
      <c r="E335" s="11">
        <f>6.5781 * CHOOSE(CONTROL!$C$32, $C$9, 100%, $E$9)</f>
        <v>6.5781000000000001</v>
      </c>
      <c r="F335" s="11">
        <f>6.5781 * CHOOSE(CONTROL!$C$32, $C$9, 100%, $E$9)</f>
        <v>6.5781000000000001</v>
      </c>
      <c r="G335" s="11">
        <f>6.5817 * CHOOSE(CONTROL!$C$32, $C$9, 100%, $E$9)</f>
        <v>6.5816999999999997</v>
      </c>
      <c r="H335" s="11">
        <f>10.815 * CHOOSE(CONTROL!$C$32, $C$9, 100%, $E$9)</f>
        <v>10.815</v>
      </c>
      <c r="I335" s="11">
        <f>10.8186 * CHOOSE(CONTROL!$C$32, $C$9, 100%, $E$9)</f>
        <v>10.8186</v>
      </c>
      <c r="J335" s="11">
        <f>10.815 * CHOOSE(CONTROL!$C$32, $C$9, 100%, $E$9)</f>
        <v>10.815</v>
      </c>
      <c r="K335" s="11">
        <f>10.8186 * CHOOSE(CONTROL!$C$32, $C$9, 100%, $E$9)</f>
        <v>10.8186</v>
      </c>
      <c r="L335" s="11">
        <f>6.5781 * CHOOSE(CONTROL!$C$32, $C$9, 100%, $E$9)</f>
        <v>6.5781000000000001</v>
      </c>
      <c r="M335" s="11">
        <f>6.5817 * CHOOSE(CONTROL!$C$32, $C$9, 100%, $E$9)</f>
        <v>6.5816999999999997</v>
      </c>
      <c r="N335" s="11">
        <f>6.5781 * CHOOSE(CONTROL!$C$32, $C$9, 100%, $E$9)</f>
        <v>6.5781000000000001</v>
      </c>
      <c r="O335" s="11">
        <f>6.5817 * CHOOSE(CONTROL!$C$32, $C$9, 100%, $E$9)</f>
        <v>6.5816999999999997</v>
      </c>
    </row>
    <row r="336" spans="1:15" ht="15" x14ac:dyDescent="0.2">
      <c r="A336" s="13">
        <v>51075</v>
      </c>
      <c r="B336" s="9">
        <f>5.2308 * CHOOSE(CONTROL!$C$32, $C$9, 100%, $E$9)</f>
        <v>5.2308000000000003</v>
      </c>
      <c r="C336" s="9">
        <f>5.2308 * CHOOSE(CONTROL!$C$32, $C$9, 100%, $E$9)</f>
        <v>5.2308000000000003</v>
      </c>
      <c r="D336" s="9">
        <f>5.2319 * CHOOSE(CONTROL!$C$32, $C$9, 100%, $E$9)</f>
        <v>5.2319000000000004</v>
      </c>
      <c r="E336" s="11">
        <f>6.6038 * CHOOSE(CONTROL!$C$32, $C$9, 100%, $E$9)</f>
        <v>6.6037999999999997</v>
      </c>
      <c r="F336" s="11">
        <f>6.6038 * CHOOSE(CONTROL!$C$32, $C$9, 100%, $E$9)</f>
        <v>6.6037999999999997</v>
      </c>
      <c r="G336" s="11">
        <f>6.6074 * CHOOSE(CONTROL!$C$32, $C$9, 100%, $E$9)</f>
        <v>6.6074000000000002</v>
      </c>
      <c r="H336" s="11">
        <f>10.8375 * CHOOSE(CONTROL!$C$32, $C$9, 100%, $E$9)</f>
        <v>10.8375</v>
      </c>
      <c r="I336" s="11">
        <f>10.8412 * CHOOSE(CONTROL!$C$32, $C$9, 100%, $E$9)</f>
        <v>10.841200000000001</v>
      </c>
      <c r="J336" s="11">
        <f>10.8375 * CHOOSE(CONTROL!$C$32, $C$9, 100%, $E$9)</f>
        <v>10.8375</v>
      </c>
      <c r="K336" s="11">
        <f>10.8412 * CHOOSE(CONTROL!$C$32, $C$9, 100%, $E$9)</f>
        <v>10.841200000000001</v>
      </c>
      <c r="L336" s="11">
        <f>6.6038 * CHOOSE(CONTROL!$C$32, $C$9, 100%, $E$9)</f>
        <v>6.6037999999999997</v>
      </c>
      <c r="M336" s="11">
        <f>6.6074 * CHOOSE(CONTROL!$C$32, $C$9, 100%, $E$9)</f>
        <v>6.6074000000000002</v>
      </c>
      <c r="N336" s="11">
        <f>6.6038 * CHOOSE(CONTROL!$C$32, $C$9, 100%, $E$9)</f>
        <v>6.6037999999999997</v>
      </c>
      <c r="O336" s="11">
        <f>6.6074 * CHOOSE(CONTROL!$C$32, $C$9, 100%, $E$9)</f>
        <v>6.6074000000000002</v>
      </c>
    </row>
    <row r="337" spans="1:15" ht="15" x14ac:dyDescent="0.2">
      <c r="A337" s="13">
        <v>51105</v>
      </c>
      <c r="B337" s="9">
        <f>5.2308 * CHOOSE(CONTROL!$C$32, $C$9, 100%, $E$9)</f>
        <v>5.2308000000000003</v>
      </c>
      <c r="C337" s="9">
        <f>5.2308 * CHOOSE(CONTROL!$C$32, $C$9, 100%, $E$9)</f>
        <v>5.2308000000000003</v>
      </c>
      <c r="D337" s="9">
        <f>5.2319 * CHOOSE(CONTROL!$C$32, $C$9, 100%, $E$9)</f>
        <v>5.2319000000000004</v>
      </c>
      <c r="E337" s="11">
        <f>6.5448 * CHOOSE(CONTROL!$C$32, $C$9, 100%, $E$9)</f>
        <v>6.5448000000000004</v>
      </c>
      <c r="F337" s="11">
        <f>6.5448 * CHOOSE(CONTROL!$C$32, $C$9, 100%, $E$9)</f>
        <v>6.5448000000000004</v>
      </c>
      <c r="G337" s="11">
        <f>6.5485 * CHOOSE(CONTROL!$C$32, $C$9, 100%, $E$9)</f>
        <v>6.5484999999999998</v>
      </c>
      <c r="H337" s="11">
        <f>10.8601 * CHOOSE(CONTROL!$C$32, $C$9, 100%, $E$9)</f>
        <v>10.860099999999999</v>
      </c>
      <c r="I337" s="11">
        <f>10.8637 * CHOOSE(CONTROL!$C$32, $C$9, 100%, $E$9)</f>
        <v>10.8637</v>
      </c>
      <c r="J337" s="11">
        <f>10.8601 * CHOOSE(CONTROL!$C$32, $C$9, 100%, $E$9)</f>
        <v>10.860099999999999</v>
      </c>
      <c r="K337" s="11">
        <f>10.8637 * CHOOSE(CONTROL!$C$32, $C$9, 100%, $E$9)</f>
        <v>10.8637</v>
      </c>
      <c r="L337" s="11">
        <f>6.5448 * CHOOSE(CONTROL!$C$32, $C$9, 100%, $E$9)</f>
        <v>6.5448000000000004</v>
      </c>
      <c r="M337" s="11">
        <f>6.5485 * CHOOSE(CONTROL!$C$32, $C$9, 100%, $E$9)</f>
        <v>6.5484999999999998</v>
      </c>
      <c r="N337" s="11">
        <f>6.5448 * CHOOSE(CONTROL!$C$32, $C$9, 100%, $E$9)</f>
        <v>6.5448000000000004</v>
      </c>
      <c r="O337" s="11">
        <f>6.5485 * CHOOSE(CONTROL!$C$32, $C$9, 100%, $E$9)</f>
        <v>6.5484999999999998</v>
      </c>
    </row>
    <row r="338" spans="1:15" ht="15" x14ac:dyDescent="0.2">
      <c r="A338" s="13">
        <v>51136</v>
      </c>
      <c r="B338" s="9">
        <f>5.2721 * CHOOSE(CONTROL!$C$32, $C$9, 100%, $E$9)</f>
        <v>5.2721</v>
      </c>
      <c r="C338" s="9">
        <f>5.2721 * CHOOSE(CONTROL!$C$32, $C$9, 100%, $E$9)</f>
        <v>5.2721</v>
      </c>
      <c r="D338" s="9">
        <f>5.2732 * CHOOSE(CONTROL!$C$32, $C$9, 100%, $E$9)</f>
        <v>5.2732000000000001</v>
      </c>
      <c r="E338" s="11">
        <f>6.6042 * CHOOSE(CONTROL!$C$32, $C$9, 100%, $E$9)</f>
        <v>6.6041999999999996</v>
      </c>
      <c r="F338" s="11">
        <f>6.6042 * CHOOSE(CONTROL!$C$32, $C$9, 100%, $E$9)</f>
        <v>6.6041999999999996</v>
      </c>
      <c r="G338" s="11">
        <f>6.6078 * CHOOSE(CONTROL!$C$32, $C$9, 100%, $E$9)</f>
        <v>6.6078000000000001</v>
      </c>
      <c r="H338" s="11">
        <f>10.8827 * CHOOSE(CONTROL!$C$32, $C$9, 100%, $E$9)</f>
        <v>10.8827</v>
      </c>
      <c r="I338" s="11">
        <f>10.8864 * CHOOSE(CONTROL!$C$32, $C$9, 100%, $E$9)</f>
        <v>10.8864</v>
      </c>
      <c r="J338" s="11">
        <f>10.8827 * CHOOSE(CONTROL!$C$32, $C$9, 100%, $E$9)</f>
        <v>10.8827</v>
      </c>
      <c r="K338" s="11">
        <f>10.8864 * CHOOSE(CONTROL!$C$32, $C$9, 100%, $E$9)</f>
        <v>10.8864</v>
      </c>
      <c r="L338" s="11">
        <f>6.6042 * CHOOSE(CONTROL!$C$32, $C$9, 100%, $E$9)</f>
        <v>6.6041999999999996</v>
      </c>
      <c r="M338" s="11">
        <f>6.6078 * CHOOSE(CONTROL!$C$32, $C$9, 100%, $E$9)</f>
        <v>6.6078000000000001</v>
      </c>
      <c r="N338" s="11">
        <f>6.6042 * CHOOSE(CONTROL!$C$32, $C$9, 100%, $E$9)</f>
        <v>6.6041999999999996</v>
      </c>
      <c r="O338" s="11">
        <f>6.6078 * CHOOSE(CONTROL!$C$32, $C$9, 100%, $E$9)</f>
        <v>6.6078000000000001</v>
      </c>
    </row>
    <row r="339" spans="1:15" ht="15" x14ac:dyDescent="0.2">
      <c r="A339" s="13">
        <v>51167</v>
      </c>
      <c r="B339" s="9">
        <f>5.2691 * CHOOSE(CONTROL!$C$32, $C$9, 100%, $E$9)</f>
        <v>5.2690999999999999</v>
      </c>
      <c r="C339" s="9">
        <f>5.2691 * CHOOSE(CONTROL!$C$32, $C$9, 100%, $E$9)</f>
        <v>5.2690999999999999</v>
      </c>
      <c r="D339" s="9">
        <f>5.2702 * CHOOSE(CONTROL!$C$32, $C$9, 100%, $E$9)</f>
        <v>5.2702</v>
      </c>
      <c r="E339" s="11">
        <f>6.487 * CHOOSE(CONTROL!$C$32, $C$9, 100%, $E$9)</f>
        <v>6.4870000000000001</v>
      </c>
      <c r="F339" s="11">
        <f>6.487 * CHOOSE(CONTROL!$C$32, $C$9, 100%, $E$9)</f>
        <v>6.4870000000000001</v>
      </c>
      <c r="G339" s="11">
        <f>6.4906 * CHOOSE(CONTROL!$C$32, $C$9, 100%, $E$9)</f>
        <v>6.4905999999999997</v>
      </c>
      <c r="H339" s="11">
        <f>10.9054 * CHOOSE(CONTROL!$C$32, $C$9, 100%, $E$9)</f>
        <v>10.9054</v>
      </c>
      <c r="I339" s="11">
        <f>10.909 * CHOOSE(CONTROL!$C$32, $C$9, 100%, $E$9)</f>
        <v>10.909000000000001</v>
      </c>
      <c r="J339" s="11">
        <f>10.9054 * CHOOSE(CONTROL!$C$32, $C$9, 100%, $E$9)</f>
        <v>10.9054</v>
      </c>
      <c r="K339" s="11">
        <f>10.909 * CHOOSE(CONTROL!$C$32, $C$9, 100%, $E$9)</f>
        <v>10.909000000000001</v>
      </c>
      <c r="L339" s="11">
        <f>6.487 * CHOOSE(CONTROL!$C$32, $C$9, 100%, $E$9)</f>
        <v>6.4870000000000001</v>
      </c>
      <c r="M339" s="11">
        <f>6.4906 * CHOOSE(CONTROL!$C$32, $C$9, 100%, $E$9)</f>
        <v>6.4905999999999997</v>
      </c>
      <c r="N339" s="11">
        <f>6.487 * CHOOSE(CONTROL!$C$32, $C$9, 100%, $E$9)</f>
        <v>6.4870000000000001</v>
      </c>
      <c r="O339" s="11">
        <f>6.4906 * CHOOSE(CONTROL!$C$32, $C$9, 100%, $E$9)</f>
        <v>6.4905999999999997</v>
      </c>
    </row>
    <row r="340" spans="1:15" ht="15" x14ac:dyDescent="0.2">
      <c r="A340" s="13">
        <v>51196</v>
      </c>
      <c r="B340" s="9">
        <f>5.266 * CHOOSE(CONTROL!$C$32, $C$9, 100%, $E$9)</f>
        <v>5.266</v>
      </c>
      <c r="C340" s="9">
        <f>5.266 * CHOOSE(CONTROL!$C$32, $C$9, 100%, $E$9)</f>
        <v>5.266</v>
      </c>
      <c r="D340" s="9">
        <f>5.2671 * CHOOSE(CONTROL!$C$32, $C$9, 100%, $E$9)</f>
        <v>5.2671000000000001</v>
      </c>
      <c r="E340" s="11">
        <f>6.5756 * CHOOSE(CONTROL!$C$32, $C$9, 100%, $E$9)</f>
        <v>6.5755999999999997</v>
      </c>
      <c r="F340" s="11">
        <f>6.5756 * CHOOSE(CONTROL!$C$32, $C$9, 100%, $E$9)</f>
        <v>6.5755999999999997</v>
      </c>
      <c r="G340" s="11">
        <f>6.5792 * CHOOSE(CONTROL!$C$32, $C$9, 100%, $E$9)</f>
        <v>6.5792000000000002</v>
      </c>
      <c r="H340" s="11">
        <f>10.9281 * CHOOSE(CONTROL!$C$32, $C$9, 100%, $E$9)</f>
        <v>10.928100000000001</v>
      </c>
      <c r="I340" s="11">
        <f>10.9317 * CHOOSE(CONTROL!$C$32, $C$9, 100%, $E$9)</f>
        <v>10.931699999999999</v>
      </c>
      <c r="J340" s="11">
        <f>10.9281 * CHOOSE(CONTROL!$C$32, $C$9, 100%, $E$9)</f>
        <v>10.928100000000001</v>
      </c>
      <c r="K340" s="11">
        <f>10.9317 * CHOOSE(CONTROL!$C$32, $C$9, 100%, $E$9)</f>
        <v>10.931699999999999</v>
      </c>
      <c r="L340" s="11">
        <f>6.5756 * CHOOSE(CONTROL!$C$32, $C$9, 100%, $E$9)</f>
        <v>6.5755999999999997</v>
      </c>
      <c r="M340" s="11">
        <f>6.5792 * CHOOSE(CONTROL!$C$32, $C$9, 100%, $E$9)</f>
        <v>6.5792000000000002</v>
      </c>
      <c r="N340" s="11">
        <f>6.5756 * CHOOSE(CONTROL!$C$32, $C$9, 100%, $E$9)</f>
        <v>6.5755999999999997</v>
      </c>
      <c r="O340" s="11">
        <f>6.5792 * CHOOSE(CONTROL!$C$32, $C$9, 100%, $E$9)</f>
        <v>6.5792000000000002</v>
      </c>
    </row>
    <row r="341" spans="1:15" ht="15" x14ac:dyDescent="0.2">
      <c r="A341" s="13">
        <v>51227</v>
      </c>
      <c r="B341" s="9">
        <f>5.2649 * CHOOSE(CONTROL!$C$32, $C$9, 100%, $E$9)</f>
        <v>5.2648999999999999</v>
      </c>
      <c r="C341" s="9">
        <f>5.2649 * CHOOSE(CONTROL!$C$32, $C$9, 100%, $E$9)</f>
        <v>5.2648999999999999</v>
      </c>
      <c r="D341" s="9">
        <f>5.266 * CHOOSE(CONTROL!$C$32, $C$9, 100%, $E$9)</f>
        <v>5.266</v>
      </c>
      <c r="E341" s="11">
        <f>6.6687 * CHOOSE(CONTROL!$C$32, $C$9, 100%, $E$9)</f>
        <v>6.6687000000000003</v>
      </c>
      <c r="F341" s="11">
        <f>6.6687 * CHOOSE(CONTROL!$C$32, $C$9, 100%, $E$9)</f>
        <v>6.6687000000000003</v>
      </c>
      <c r="G341" s="11">
        <f>6.6723 * CHOOSE(CONTROL!$C$32, $C$9, 100%, $E$9)</f>
        <v>6.6722999999999999</v>
      </c>
      <c r="H341" s="11">
        <f>10.9509 * CHOOSE(CONTROL!$C$32, $C$9, 100%, $E$9)</f>
        <v>10.950900000000001</v>
      </c>
      <c r="I341" s="11">
        <f>10.9545 * CHOOSE(CONTROL!$C$32, $C$9, 100%, $E$9)</f>
        <v>10.954499999999999</v>
      </c>
      <c r="J341" s="11">
        <f>10.9509 * CHOOSE(CONTROL!$C$32, $C$9, 100%, $E$9)</f>
        <v>10.950900000000001</v>
      </c>
      <c r="K341" s="11">
        <f>10.9545 * CHOOSE(CONTROL!$C$32, $C$9, 100%, $E$9)</f>
        <v>10.954499999999999</v>
      </c>
      <c r="L341" s="11">
        <f>6.6687 * CHOOSE(CONTROL!$C$32, $C$9, 100%, $E$9)</f>
        <v>6.6687000000000003</v>
      </c>
      <c r="M341" s="11">
        <f>6.6723 * CHOOSE(CONTROL!$C$32, $C$9, 100%, $E$9)</f>
        <v>6.6722999999999999</v>
      </c>
      <c r="N341" s="11">
        <f>6.6687 * CHOOSE(CONTROL!$C$32, $C$9, 100%, $E$9)</f>
        <v>6.6687000000000003</v>
      </c>
      <c r="O341" s="11">
        <f>6.6723 * CHOOSE(CONTROL!$C$32, $C$9, 100%, $E$9)</f>
        <v>6.6722999999999999</v>
      </c>
    </row>
    <row r="342" spans="1:15" ht="15" x14ac:dyDescent="0.2">
      <c r="A342" s="13">
        <v>51257</v>
      </c>
      <c r="B342" s="9">
        <f>5.2649 * CHOOSE(CONTROL!$C$32, $C$9, 100%, $E$9)</f>
        <v>5.2648999999999999</v>
      </c>
      <c r="C342" s="9">
        <f>5.2649 * CHOOSE(CONTROL!$C$32, $C$9, 100%, $E$9)</f>
        <v>5.2648999999999999</v>
      </c>
      <c r="D342" s="9">
        <f>5.2665 * CHOOSE(CONTROL!$C$32, $C$9, 100%, $E$9)</f>
        <v>5.2664999999999997</v>
      </c>
      <c r="E342" s="11">
        <f>6.7052 * CHOOSE(CONTROL!$C$32, $C$9, 100%, $E$9)</f>
        <v>6.7051999999999996</v>
      </c>
      <c r="F342" s="11">
        <f>6.7052 * CHOOSE(CONTROL!$C$32, $C$9, 100%, $E$9)</f>
        <v>6.7051999999999996</v>
      </c>
      <c r="G342" s="11">
        <f>6.7105 * CHOOSE(CONTROL!$C$32, $C$9, 100%, $E$9)</f>
        <v>6.7104999999999997</v>
      </c>
      <c r="H342" s="11">
        <f>10.9737 * CHOOSE(CONTROL!$C$32, $C$9, 100%, $E$9)</f>
        <v>10.973699999999999</v>
      </c>
      <c r="I342" s="11">
        <f>10.979 * CHOOSE(CONTROL!$C$32, $C$9, 100%, $E$9)</f>
        <v>10.978999999999999</v>
      </c>
      <c r="J342" s="11">
        <f>10.9737 * CHOOSE(CONTROL!$C$32, $C$9, 100%, $E$9)</f>
        <v>10.973699999999999</v>
      </c>
      <c r="K342" s="11">
        <f>10.979 * CHOOSE(CONTROL!$C$32, $C$9, 100%, $E$9)</f>
        <v>10.978999999999999</v>
      </c>
      <c r="L342" s="11">
        <f>6.7052 * CHOOSE(CONTROL!$C$32, $C$9, 100%, $E$9)</f>
        <v>6.7051999999999996</v>
      </c>
      <c r="M342" s="11">
        <f>6.7105 * CHOOSE(CONTROL!$C$32, $C$9, 100%, $E$9)</f>
        <v>6.7104999999999997</v>
      </c>
      <c r="N342" s="11">
        <f>6.7052 * CHOOSE(CONTROL!$C$32, $C$9, 100%, $E$9)</f>
        <v>6.7051999999999996</v>
      </c>
      <c r="O342" s="11">
        <f>6.7105 * CHOOSE(CONTROL!$C$32, $C$9, 100%, $E$9)</f>
        <v>6.7104999999999997</v>
      </c>
    </row>
    <row r="343" spans="1:15" ht="15" x14ac:dyDescent="0.2">
      <c r="A343" s="13">
        <v>51288</v>
      </c>
      <c r="B343" s="9">
        <f>5.271 * CHOOSE(CONTROL!$C$32, $C$9, 100%, $E$9)</f>
        <v>5.2709999999999999</v>
      </c>
      <c r="C343" s="9">
        <f>5.271 * CHOOSE(CONTROL!$C$32, $C$9, 100%, $E$9)</f>
        <v>5.2709999999999999</v>
      </c>
      <c r="D343" s="9">
        <f>5.2726 * CHOOSE(CONTROL!$C$32, $C$9, 100%, $E$9)</f>
        <v>5.2725999999999997</v>
      </c>
      <c r="E343" s="11">
        <f>6.673 * CHOOSE(CONTROL!$C$32, $C$9, 100%, $E$9)</f>
        <v>6.673</v>
      </c>
      <c r="F343" s="11">
        <f>6.673 * CHOOSE(CONTROL!$C$32, $C$9, 100%, $E$9)</f>
        <v>6.673</v>
      </c>
      <c r="G343" s="11">
        <f>6.6782 * CHOOSE(CONTROL!$C$32, $C$9, 100%, $E$9)</f>
        <v>6.6782000000000004</v>
      </c>
      <c r="H343" s="11">
        <f>10.9966 * CHOOSE(CONTROL!$C$32, $C$9, 100%, $E$9)</f>
        <v>10.996600000000001</v>
      </c>
      <c r="I343" s="11">
        <f>11.0019 * CHOOSE(CONTROL!$C$32, $C$9, 100%, $E$9)</f>
        <v>11.001899999999999</v>
      </c>
      <c r="J343" s="11">
        <f>10.9966 * CHOOSE(CONTROL!$C$32, $C$9, 100%, $E$9)</f>
        <v>10.996600000000001</v>
      </c>
      <c r="K343" s="11">
        <f>11.0019 * CHOOSE(CONTROL!$C$32, $C$9, 100%, $E$9)</f>
        <v>11.001899999999999</v>
      </c>
      <c r="L343" s="11">
        <f>6.673 * CHOOSE(CONTROL!$C$32, $C$9, 100%, $E$9)</f>
        <v>6.673</v>
      </c>
      <c r="M343" s="11">
        <f>6.6782 * CHOOSE(CONTROL!$C$32, $C$9, 100%, $E$9)</f>
        <v>6.6782000000000004</v>
      </c>
      <c r="N343" s="11">
        <f>6.673 * CHOOSE(CONTROL!$C$32, $C$9, 100%, $E$9)</f>
        <v>6.673</v>
      </c>
      <c r="O343" s="11">
        <f>6.6782 * CHOOSE(CONTROL!$C$32, $C$9, 100%, $E$9)</f>
        <v>6.6782000000000004</v>
      </c>
    </row>
    <row r="344" spans="1:15" ht="15" x14ac:dyDescent="0.2">
      <c r="A344" s="13">
        <v>51318</v>
      </c>
      <c r="B344" s="9">
        <f>5.345 * CHOOSE(CONTROL!$C$32, $C$9, 100%, $E$9)</f>
        <v>5.3449999999999998</v>
      </c>
      <c r="C344" s="9">
        <f>5.345 * CHOOSE(CONTROL!$C$32, $C$9, 100%, $E$9)</f>
        <v>5.3449999999999998</v>
      </c>
      <c r="D344" s="9">
        <f>5.3466 * CHOOSE(CONTROL!$C$32, $C$9, 100%, $E$9)</f>
        <v>5.3465999999999996</v>
      </c>
      <c r="E344" s="11">
        <f>6.6813 * CHOOSE(CONTROL!$C$32, $C$9, 100%, $E$9)</f>
        <v>6.6813000000000002</v>
      </c>
      <c r="F344" s="11">
        <f>6.6813 * CHOOSE(CONTROL!$C$32, $C$9, 100%, $E$9)</f>
        <v>6.6813000000000002</v>
      </c>
      <c r="G344" s="11">
        <f>6.6866 * CHOOSE(CONTROL!$C$32, $C$9, 100%, $E$9)</f>
        <v>6.6866000000000003</v>
      </c>
      <c r="H344" s="11">
        <f>11.0195 * CHOOSE(CONTROL!$C$32, $C$9, 100%, $E$9)</f>
        <v>11.019500000000001</v>
      </c>
      <c r="I344" s="11">
        <f>11.0248 * CHOOSE(CONTROL!$C$32, $C$9, 100%, $E$9)</f>
        <v>11.024800000000001</v>
      </c>
      <c r="J344" s="11">
        <f>11.0195 * CHOOSE(CONTROL!$C$32, $C$9, 100%, $E$9)</f>
        <v>11.019500000000001</v>
      </c>
      <c r="K344" s="11">
        <f>11.0248 * CHOOSE(CONTROL!$C$32, $C$9, 100%, $E$9)</f>
        <v>11.024800000000001</v>
      </c>
      <c r="L344" s="11">
        <f>6.6813 * CHOOSE(CONTROL!$C$32, $C$9, 100%, $E$9)</f>
        <v>6.6813000000000002</v>
      </c>
      <c r="M344" s="11">
        <f>6.6866 * CHOOSE(CONTROL!$C$32, $C$9, 100%, $E$9)</f>
        <v>6.6866000000000003</v>
      </c>
      <c r="N344" s="11">
        <f>6.6813 * CHOOSE(CONTROL!$C$32, $C$9, 100%, $E$9)</f>
        <v>6.6813000000000002</v>
      </c>
      <c r="O344" s="11">
        <f>6.6866 * CHOOSE(CONTROL!$C$32, $C$9, 100%, $E$9)</f>
        <v>6.6866000000000003</v>
      </c>
    </row>
    <row r="345" spans="1:15" ht="15" x14ac:dyDescent="0.2">
      <c r="A345" s="13">
        <v>51349</v>
      </c>
      <c r="B345" s="9">
        <f>5.3517 * CHOOSE(CONTROL!$C$32, $C$9, 100%, $E$9)</f>
        <v>5.3517000000000001</v>
      </c>
      <c r="C345" s="9">
        <f>5.3517 * CHOOSE(CONTROL!$C$32, $C$9, 100%, $E$9)</f>
        <v>5.3517000000000001</v>
      </c>
      <c r="D345" s="9">
        <f>5.3533 * CHOOSE(CONTROL!$C$32, $C$9, 100%, $E$9)</f>
        <v>5.3532999999999999</v>
      </c>
      <c r="E345" s="11">
        <f>6.5764 * CHOOSE(CONTROL!$C$32, $C$9, 100%, $E$9)</f>
        <v>6.5763999999999996</v>
      </c>
      <c r="F345" s="11">
        <f>6.5764 * CHOOSE(CONTROL!$C$32, $C$9, 100%, $E$9)</f>
        <v>6.5763999999999996</v>
      </c>
      <c r="G345" s="11">
        <f>6.5817 * CHOOSE(CONTROL!$C$32, $C$9, 100%, $E$9)</f>
        <v>6.5816999999999997</v>
      </c>
      <c r="H345" s="11">
        <f>11.0424 * CHOOSE(CONTROL!$C$32, $C$9, 100%, $E$9)</f>
        <v>11.042400000000001</v>
      </c>
      <c r="I345" s="11">
        <f>11.0477 * CHOOSE(CONTROL!$C$32, $C$9, 100%, $E$9)</f>
        <v>11.047700000000001</v>
      </c>
      <c r="J345" s="11">
        <f>11.0424 * CHOOSE(CONTROL!$C$32, $C$9, 100%, $E$9)</f>
        <v>11.042400000000001</v>
      </c>
      <c r="K345" s="11">
        <f>11.0477 * CHOOSE(CONTROL!$C$32, $C$9, 100%, $E$9)</f>
        <v>11.047700000000001</v>
      </c>
      <c r="L345" s="11">
        <f>6.5764 * CHOOSE(CONTROL!$C$32, $C$9, 100%, $E$9)</f>
        <v>6.5763999999999996</v>
      </c>
      <c r="M345" s="11">
        <f>6.5817 * CHOOSE(CONTROL!$C$32, $C$9, 100%, $E$9)</f>
        <v>6.5816999999999997</v>
      </c>
      <c r="N345" s="11">
        <f>6.5764 * CHOOSE(CONTROL!$C$32, $C$9, 100%, $E$9)</f>
        <v>6.5763999999999996</v>
      </c>
      <c r="O345" s="11">
        <f>6.5817 * CHOOSE(CONTROL!$C$32, $C$9, 100%, $E$9)</f>
        <v>6.5816999999999997</v>
      </c>
    </row>
    <row r="346" spans="1:15" ht="15" x14ac:dyDescent="0.2">
      <c r="A346" s="13">
        <v>51380</v>
      </c>
      <c r="B346" s="9">
        <f>5.3487 * CHOOSE(CONTROL!$C$32, $C$9, 100%, $E$9)</f>
        <v>5.3487</v>
      </c>
      <c r="C346" s="9">
        <f>5.3487 * CHOOSE(CONTROL!$C$32, $C$9, 100%, $E$9)</f>
        <v>5.3487</v>
      </c>
      <c r="D346" s="9">
        <f>5.3502 * CHOOSE(CONTROL!$C$32, $C$9, 100%, $E$9)</f>
        <v>5.3502000000000001</v>
      </c>
      <c r="E346" s="11">
        <f>6.5621 * CHOOSE(CONTROL!$C$32, $C$9, 100%, $E$9)</f>
        <v>6.5621</v>
      </c>
      <c r="F346" s="11">
        <f>6.5621 * CHOOSE(CONTROL!$C$32, $C$9, 100%, $E$9)</f>
        <v>6.5621</v>
      </c>
      <c r="G346" s="11">
        <f>6.5674 * CHOOSE(CONTROL!$C$32, $C$9, 100%, $E$9)</f>
        <v>6.5674000000000001</v>
      </c>
      <c r="H346" s="11">
        <f>11.0654 * CHOOSE(CONTROL!$C$32, $C$9, 100%, $E$9)</f>
        <v>11.0654</v>
      </c>
      <c r="I346" s="11">
        <f>11.0707 * CHOOSE(CONTROL!$C$32, $C$9, 100%, $E$9)</f>
        <v>11.0707</v>
      </c>
      <c r="J346" s="11">
        <f>11.0654 * CHOOSE(CONTROL!$C$32, $C$9, 100%, $E$9)</f>
        <v>11.0654</v>
      </c>
      <c r="K346" s="11">
        <f>11.0707 * CHOOSE(CONTROL!$C$32, $C$9, 100%, $E$9)</f>
        <v>11.0707</v>
      </c>
      <c r="L346" s="11">
        <f>6.5621 * CHOOSE(CONTROL!$C$32, $C$9, 100%, $E$9)</f>
        <v>6.5621</v>
      </c>
      <c r="M346" s="11">
        <f>6.5674 * CHOOSE(CONTROL!$C$32, $C$9, 100%, $E$9)</f>
        <v>6.5674000000000001</v>
      </c>
      <c r="N346" s="11">
        <f>6.5621 * CHOOSE(CONTROL!$C$32, $C$9, 100%, $E$9)</f>
        <v>6.5621</v>
      </c>
      <c r="O346" s="11">
        <f>6.5674 * CHOOSE(CONTROL!$C$32, $C$9, 100%, $E$9)</f>
        <v>6.5674000000000001</v>
      </c>
    </row>
    <row r="347" spans="1:15" ht="15" x14ac:dyDescent="0.2">
      <c r="A347" s="13">
        <v>51410</v>
      </c>
      <c r="B347" s="9">
        <f>5.3487 * CHOOSE(CONTROL!$C$32, $C$9, 100%, $E$9)</f>
        <v>5.3487</v>
      </c>
      <c r="C347" s="9">
        <f>5.3487 * CHOOSE(CONTROL!$C$32, $C$9, 100%, $E$9)</f>
        <v>5.3487</v>
      </c>
      <c r="D347" s="9">
        <f>5.3498 * CHOOSE(CONTROL!$C$32, $C$9, 100%, $E$9)</f>
        <v>5.3498000000000001</v>
      </c>
      <c r="E347" s="11">
        <f>6.5974 * CHOOSE(CONTROL!$C$32, $C$9, 100%, $E$9)</f>
        <v>6.5974000000000004</v>
      </c>
      <c r="F347" s="11">
        <f>6.5974 * CHOOSE(CONTROL!$C$32, $C$9, 100%, $E$9)</f>
        <v>6.5974000000000004</v>
      </c>
      <c r="G347" s="11">
        <f>6.601 * CHOOSE(CONTROL!$C$32, $C$9, 100%, $E$9)</f>
        <v>6.601</v>
      </c>
      <c r="H347" s="11">
        <f>11.0885 * CHOOSE(CONTROL!$C$32, $C$9, 100%, $E$9)</f>
        <v>11.0885</v>
      </c>
      <c r="I347" s="11">
        <f>11.0921 * CHOOSE(CONTROL!$C$32, $C$9, 100%, $E$9)</f>
        <v>11.0921</v>
      </c>
      <c r="J347" s="11">
        <f>11.0885 * CHOOSE(CONTROL!$C$32, $C$9, 100%, $E$9)</f>
        <v>11.0885</v>
      </c>
      <c r="K347" s="11">
        <f>11.0921 * CHOOSE(CONTROL!$C$32, $C$9, 100%, $E$9)</f>
        <v>11.0921</v>
      </c>
      <c r="L347" s="11">
        <f>6.5974 * CHOOSE(CONTROL!$C$32, $C$9, 100%, $E$9)</f>
        <v>6.5974000000000004</v>
      </c>
      <c r="M347" s="11">
        <f>6.601 * CHOOSE(CONTROL!$C$32, $C$9, 100%, $E$9)</f>
        <v>6.601</v>
      </c>
      <c r="N347" s="11">
        <f>6.5974 * CHOOSE(CONTROL!$C$32, $C$9, 100%, $E$9)</f>
        <v>6.5974000000000004</v>
      </c>
      <c r="O347" s="11">
        <f>6.601 * CHOOSE(CONTROL!$C$32, $C$9, 100%, $E$9)</f>
        <v>6.601</v>
      </c>
    </row>
    <row r="348" spans="1:15" ht="15" x14ac:dyDescent="0.2">
      <c r="A348" s="13">
        <v>51441</v>
      </c>
      <c r="B348" s="9">
        <f>5.3518 * CHOOSE(CONTROL!$C$32, $C$9, 100%, $E$9)</f>
        <v>5.3517999999999999</v>
      </c>
      <c r="C348" s="9">
        <f>5.3518 * CHOOSE(CONTROL!$C$32, $C$9, 100%, $E$9)</f>
        <v>5.3517999999999999</v>
      </c>
      <c r="D348" s="9">
        <f>5.3528 * CHOOSE(CONTROL!$C$32, $C$9, 100%, $E$9)</f>
        <v>5.3528000000000002</v>
      </c>
      <c r="E348" s="11">
        <f>6.6239 * CHOOSE(CONTROL!$C$32, $C$9, 100%, $E$9)</f>
        <v>6.6238999999999999</v>
      </c>
      <c r="F348" s="11">
        <f>6.6239 * CHOOSE(CONTROL!$C$32, $C$9, 100%, $E$9)</f>
        <v>6.6238999999999999</v>
      </c>
      <c r="G348" s="11">
        <f>6.6275 * CHOOSE(CONTROL!$C$32, $C$9, 100%, $E$9)</f>
        <v>6.6275000000000004</v>
      </c>
      <c r="H348" s="11">
        <f>11.1116 * CHOOSE(CONTROL!$C$32, $C$9, 100%, $E$9)</f>
        <v>11.111599999999999</v>
      </c>
      <c r="I348" s="11">
        <f>11.1152 * CHOOSE(CONTROL!$C$32, $C$9, 100%, $E$9)</f>
        <v>11.1152</v>
      </c>
      <c r="J348" s="11">
        <f>11.1116 * CHOOSE(CONTROL!$C$32, $C$9, 100%, $E$9)</f>
        <v>11.111599999999999</v>
      </c>
      <c r="K348" s="11">
        <f>11.1152 * CHOOSE(CONTROL!$C$32, $C$9, 100%, $E$9)</f>
        <v>11.1152</v>
      </c>
      <c r="L348" s="11">
        <f>6.6239 * CHOOSE(CONTROL!$C$32, $C$9, 100%, $E$9)</f>
        <v>6.6238999999999999</v>
      </c>
      <c r="M348" s="11">
        <f>6.6275 * CHOOSE(CONTROL!$C$32, $C$9, 100%, $E$9)</f>
        <v>6.6275000000000004</v>
      </c>
      <c r="N348" s="11">
        <f>6.6239 * CHOOSE(CONTROL!$C$32, $C$9, 100%, $E$9)</f>
        <v>6.6238999999999999</v>
      </c>
      <c r="O348" s="11">
        <f>6.6275 * CHOOSE(CONTROL!$C$32, $C$9, 100%, $E$9)</f>
        <v>6.6275000000000004</v>
      </c>
    </row>
    <row r="349" spans="1:15" ht="15" x14ac:dyDescent="0.2">
      <c r="A349" s="13">
        <v>51471</v>
      </c>
      <c r="B349" s="9">
        <f>5.3518 * CHOOSE(CONTROL!$C$32, $C$9, 100%, $E$9)</f>
        <v>5.3517999999999999</v>
      </c>
      <c r="C349" s="9">
        <f>5.3518 * CHOOSE(CONTROL!$C$32, $C$9, 100%, $E$9)</f>
        <v>5.3517999999999999</v>
      </c>
      <c r="D349" s="9">
        <f>5.3528 * CHOOSE(CONTROL!$C$32, $C$9, 100%, $E$9)</f>
        <v>5.3528000000000002</v>
      </c>
      <c r="E349" s="11">
        <f>6.563 * CHOOSE(CONTROL!$C$32, $C$9, 100%, $E$9)</f>
        <v>6.5629999999999997</v>
      </c>
      <c r="F349" s="11">
        <f>6.563 * CHOOSE(CONTROL!$C$32, $C$9, 100%, $E$9)</f>
        <v>6.5629999999999997</v>
      </c>
      <c r="G349" s="11">
        <f>6.5666 * CHOOSE(CONTROL!$C$32, $C$9, 100%, $E$9)</f>
        <v>6.5666000000000002</v>
      </c>
      <c r="H349" s="11">
        <f>11.1347 * CHOOSE(CONTROL!$C$32, $C$9, 100%, $E$9)</f>
        <v>11.1347</v>
      </c>
      <c r="I349" s="11">
        <f>11.1384 * CHOOSE(CONTROL!$C$32, $C$9, 100%, $E$9)</f>
        <v>11.138400000000001</v>
      </c>
      <c r="J349" s="11">
        <f>11.1347 * CHOOSE(CONTROL!$C$32, $C$9, 100%, $E$9)</f>
        <v>11.1347</v>
      </c>
      <c r="K349" s="11">
        <f>11.1384 * CHOOSE(CONTROL!$C$32, $C$9, 100%, $E$9)</f>
        <v>11.138400000000001</v>
      </c>
      <c r="L349" s="11">
        <f>6.563 * CHOOSE(CONTROL!$C$32, $C$9, 100%, $E$9)</f>
        <v>6.5629999999999997</v>
      </c>
      <c r="M349" s="11">
        <f>6.5666 * CHOOSE(CONTROL!$C$32, $C$9, 100%, $E$9)</f>
        <v>6.5666000000000002</v>
      </c>
      <c r="N349" s="11">
        <f>6.563 * CHOOSE(CONTROL!$C$32, $C$9, 100%, $E$9)</f>
        <v>6.5629999999999997</v>
      </c>
      <c r="O349" s="11">
        <f>6.5666 * CHOOSE(CONTROL!$C$32, $C$9, 100%, $E$9)</f>
        <v>6.5666000000000002</v>
      </c>
    </row>
    <row r="350" spans="1:15" ht="15" x14ac:dyDescent="0.2">
      <c r="A350" s="13">
        <v>51502</v>
      </c>
      <c r="B350" s="9">
        <f>5.3929 * CHOOSE(CONTROL!$C$32, $C$9, 100%, $E$9)</f>
        <v>5.3929</v>
      </c>
      <c r="C350" s="9">
        <f>5.3929 * CHOOSE(CONTROL!$C$32, $C$9, 100%, $E$9)</f>
        <v>5.3929</v>
      </c>
      <c r="D350" s="9">
        <f>5.3939 * CHOOSE(CONTROL!$C$32, $C$9, 100%, $E$9)</f>
        <v>5.3939000000000004</v>
      </c>
      <c r="E350" s="11">
        <f>6.6304 * CHOOSE(CONTROL!$C$32, $C$9, 100%, $E$9)</f>
        <v>6.6303999999999998</v>
      </c>
      <c r="F350" s="11">
        <f>6.6304 * CHOOSE(CONTROL!$C$32, $C$9, 100%, $E$9)</f>
        <v>6.6303999999999998</v>
      </c>
      <c r="G350" s="11">
        <f>6.6341 * CHOOSE(CONTROL!$C$32, $C$9, 100%, $E$9)</f>
        <v>6.6341000000000001</v>
      </c>
      <c r="H350" s="11">
        <f>11.1579 * CHOOSE(CONTROL!$C$32, $C$9, 100%, $E$9)</f>
        <v>11.1579</v>
      </c>
      <c r="I350" s="11">
        <f>11.1616 * CHOOSE(CONTROL!$C$32, $C$9, 100%, $E$9)</f>
        <v>11.1616</v>
      </c>
      <c r="J350" s="11">
        <f>11.1579 * CHOOSE(CONTROL!$C$32, $C$9, 100%, $E$9)</f>
        <v>11.1579</v>
      </c>
      <c r="K350" s="11">
        <f>11.1616 * CHOOSE(CONTROL!$C$32, $C$9, 100%, $E$9)</f>
        <v>11.1616</v>
      </c>
      <c r="L350" s="11">
        <f>6.6304 * CHOOSE(CONTROL!$C$32, $C$9, 100%, $E$9)</f>
        <v>6.6303999999999998</v>
      </c>
      <c r="M350" s="11">
        <f>6.6341 * CHOOSE(CONTROL!$C$32, $C$9, 100%, $E$9)</f>
        <v>6.6341000000000001</v>
      </c>
      <c r="N350" s="11">
        <f>6.6304 * CHOOSE(CONTROL!$C$32, $C$9, 100%, $E$9)</f>
        <v>6.6303999999999998</v>
      </c>
      <c r="O350" s="11">
        <f>6.6341 * CHOOSE(CONTROL!$C$32, $C$9, 100%, $E$9)</f>
        <v>6.6341000000000001</v>
      </c>
    </row>
    <row r="351" spans="1:15" ht="15" x14ac:dyDescent="0.2">
      <c r="A351" s="13">
        <v>51533</v>
      </c>
      <c r="B351" s="9">
        <f>5.3898 * CHOOSE(CONTROL!$C$32, $C$9, 100%, $E$9)</f>
        <v>5.3898000000000001</v>
      </c>
      <c r="C351" s="9">
        <f>5.3898 * CHOOSE(CONTROL!$C$32, $C$9, 100%, $E$9)</f>
        <v>5.3898000000000001</v>
      </c>
      <c r="D351" s="9">
        <f>5.3909 * CHOOSE(CONTROL!$C$32, $C$9, 100%, $E$9)</f>
        <v>5.3909000000000002</v>
      </c>
      <c r="E351" s="11">
        <f>6.5096 * CHOOSE(CONTROL!$C$32, $C$9, 100%, $E$9)</f>
        <v>6.5095999999999998</v>
      </c>
      <c r="F351" s="11">
        <f>6.5096 * CHOOSE(CONTROL!$C$32, $C$9, 100%, $E$9)</f>
        <v>6.5095999999999998</v>
      </c>
      <c r="G351" s="11">
        <f>6.5132 * CHOOSE(CONTROL!$C$32, $C$9, 100%, $E$9)</f>
        <v>6.5132000000000003</v>
      </c>
      <c r="H351" s="11">
        <f>11.1812 * CHOOSE(CONTROL!$C$32, $C$9, 100%, $E$9)</f>
        <v>11.1812</v>
      </c>
      <c r="I351" s="11">
        <f>11.1848 * CHOOSE(CONTROL!$C$32, $C$9, 100%, $E$9)</f>
        <v>11.184799999999999</v>
      </c>
      <c r="J351" s="11">
        <f>11.1812 * CHOOSE(CONTROL!$C$32, $C$9, 100%, $E$9)</f>
        <v>11.1812</v>
      </c>
      <c r="K351" s="11">
        <f>11.1848 * CHOOSE(CONTROL!$C$32, $C$9, 100%, $E$9)</f>
        <v>11.184799999999999</v>
      </c>
      <c r="L351" s="11">
        <f>6.5096 * CHOOSE(CONTROL!$C$32, $C$9, 100%, $E$9)</f>
        <v>6.5095999999999998</v>
      </c>
      <c r="M351" s="11">
        <f>6.5132 * CHOOSE(CONTROL!$C$32, $C$9, 100%, $E$9)</f>
        <v>6.5132000000000003</v>
      </c>
      <c r="N351" s="11">
        <f>6.5096 * CHOOSE(CONTROL!$C$32, $C$9, 100%, $E$9)</f>
        <v>6.5095999999999998</v>
      </c>
      <c r="O351" s="11">
        <f>6.5132 * CHOOSE(CONTROL!$C$32, $C$9, 100%, $E$9)</f>
        <v>6.5132000000000003</v>
      </c>
    </row>
    <row r="352" spans="1:15" ht="15" x14ac:dyDescent="0.2">
      <c r="A352" s="13">
        <v>51561</v>
      </c>
      <c r="B352" s="9">
        <f>5.3868 * CHOOSE(CONTROL!$C$32, $C$9, 100%, $E$9)</f>
        <v>5.3868</v>
      </c>
      <c r="C352" s="9">
        <f>5.3868 * CHOOSE(CONTROL!$C$32, $C$9, 100%, $E$9)</f>
        <v>5.3868</v>
      </c>
      <c r="D352" s="9">
        <f>5.3878 * CHOOSE(CONTROL!$C$32, $C$9, 100%, $E$9)</f>
        <v>5.3878000000000004</v>
      </c>
      <c r="E352" s="11">
        <f>6.6011 * CHOOSE(CONTROL!$C$32, $C$9, 100%, $E$9)</f>
        <v>6.6010999999999997</v>
      </c>
      <c r="F352" s="11">
        <f>6.6011 * CHOOSE(CONTROL!$C$32, $C$9, 100%, $E$9)</f>
        <v>6.6010999999999997</v>
      </c>
      <c r="G352" s="11">
        <f>6.6047 * CHOOSE(CONTROL!$C$32, $C$9, 100%, $E$9)</f>
        <v>6.6047000000000002</v>
      </c>
      <c r="H352" s="11">
        <f>11.2045 * CHOOSE(CONTROL!$C$32, $C$9, 100%, $E$9)</f>
        <v>11.204499999999999</v>
      </c>
      <c r="I352" s="11">
        <f>11.2081 * CHOOSE(CONTROL!$C$32, $C$9, 100%, $E$9)</f>
        <v>11.2081</v>
      </c>
      <c r="J352" s="11">
        <f>11.2045 * CHOOSE(CONTROL!$C$32, $C$9, 100%, $E$9)</f>
        <v>11.204499999999999</v>
      </c>
      <c r="K352" s="11">
        <f>11.2081 * CHOOSE(CONTROL!$C$32, $C$9, 100%, $E$9)</f>
        <v>11.2081</v>
      </c>
      <c r="L352" s="11">
        <f>6.6011 * CHOOSE(CONTROL!$C$32, $C$9, 100%, $E$9)</f>
        <v>6.6010999999999997</v>
      </c>
      <c r="M352" s="11">
        <f>6.6047 * CHOOSE(CONTROL!$C$32, $C$9, 100%, $E$9)</f>
        <v>6.6047000000000002</v>
      </c>
      <c r="N352" s="11">
        <f>6.6011 * CHOOSE(CONTROL!$C$32, $C$9, 100%, $E$9)</f>
        <v>6.6010999999999997</v>
      </c>
      <c r="O352" s="11">
        <f>6.6047 * CHOOSE(CONTROL!$C$32, $C$9, 100%, $E$9)</f>
        <v>6.6047000000000002</v>
      </c>
    </row>
    <row r="353" spans="1:15" ht="15" x14ac:dyDescent="0.2">
      <c r="A353" s="13">
        <v>51592</v>
      </c>
      <c r="B353" s="9">
        <f>5.3858 * CHOOSE(CONTROL!$C$32, $C$9, 100%, $E$9)</f>
        <v>5.3857999999999997</v>
      </c>
      <c r="C353" s="9">
        <f>5.3858 * CHOOSE(CONTROL!$C$32, $C$9, 100%, $E$9)</f>
        <v>5.3857999999999997</v>
      </c>
      <c r="D353" s="9">
        <f>5.3868 * CHOOSE(CONTROL!$C$32, $C$9, 100%, $E$9)</f>
        <v>5.3868</v>
      </c>
      <c r="E353" s="11">
        <f>6.6974 * CHOOSE(CONTROL!$C$32, $C$9, 100%, $E$9)</f>
        <v>6.6974</v>
      </c>
      <c r="F353" s="11">
        <f>6.6974 * CHOOSE(CONTROL!$C$32, $C$9, 100%, $E$9)</f>
        <v>6.6974</v>
      </c>
      <c r="G353" s="11">
        <f>6.701 * CHOOSE(CONTROL!$C$32, $C$9, 100%, $E$9)</f>
        <v>6.7009999999999996</v>
      </c>
      <c r="H353" s="11">
        <f>11.2278 * CHOOSE(CONTROL!$C$32, $C$9, 100%, $E$9)</f>
        <v>11.2278</v>
      </c>
      <c r="I353" s="11">
        <f>11.2314 * CHOOSE(CONTROL!$C$32, $C$9, 100%, $E$9)</f>
        <v>11.231400000000001</v>
      </c>
      <c r="J353" s="11">
        <f>11.2278 * CHOOSE(CONTROL!$C$32, $C$9, 100%, $E$9)</f>
        <v>11.2278</v>
      </c>
      <c r="K353" s="11">
        <f>11.2314 * CHOOSE(CONTROL!$C$32, $C$9, 100%, $E$9)</f>
        <v>11.231400000000001</v>
      </c>
      <c r="L353" s="11">
        <f>6.6974 * CHOOSE(CONTROL!$C$32, $C$9, 100%, $E$9)</f>
        <v>6.6974</v>
      </c>
      <c r="M353" s="11">
        <f>6.701 * CHOOSE(CONTROL!$C$32, $C$9, 100%, $E$9)</f>
        <v>6.7009999999999996</v>
      </c>
      <c r="N353" s="11">
        <f>6.6974 * CHOOSE(CONTROL!$C$32, $C$9, 100%, $E$9)</f>
        <v>6.6974</v>
      </c>
      <c r="O353" s="11">
        <f>6.701 * CHOOSE(CONTROL!$C$32, $C$9, 100%, $E$9)</f>
        <v>6.7009999999999996</v>
      </c>
    </row>
    <row r="354" spans="1:15" ht="15" x14ac:dyDescent="0.2">
      <c r="A354" s="13">
        <v>51622</v>
      </c>
      <c r="B354" s="9">
        <f>5.3858 * CHOOSE(CONTROL!$C$32, $C$9, 100%, $E$9)</f>
        <v>5.3857999999999997</v>
      </c>
      <c r="C354" s="9">
        <f>5.3858 * CHOOSE(CONTROL!$C$32, $C$9, 100%, $E$9)</f>
        <v>5.3857999999999997</v>
      </c>
      <c r="D354" s="9">
        <f>5.3873 * CHOOSE(CONTROL!$C$32, $C$9, 100%, $E$9)</f>
        <v>5.3872999999999998</v>
      </c>
      <c r="E354" s="11">
        <f>6.7351 * CHOOSE(CONTROL!$C$32, $C$9, 100%, $E$9)</f>
        <v>6.7351000000000001</v>
      </c>
      <c r="F354" s="11">
        <f>6.7351 * CHOOSE(CONTROL!$C$32, $C$9, 100%, $E$9)</f>
        <v>6.7351000000000001</v>
      </c>
      <c r="G354" s="11">
        <f>6.7404 * CHOOSE(CONTROL!$C$32, $C$9, 100%, $E$9)</f>
        <v>6.7404000000000002</v>
      </c>
      <c r="H354" s="11">
        <f>11.2512 * CHOOSE(CONTROL!$C$32, $C$9, 100%, $E$9)</f>
        <v>11.251200000000001</v>
      </c>
      <c r="I354" s="11">
        <f>11.2565 * CHOOSE(CONTROL!$C$32, $C$9, 100%, $E$9)</f>
        <v>11.256500000000001</v>
      </c>
      <c r="J354" s="11">
        <f>11.2512 * CHOOSE(CONTROL!$C$32, $C$9, 100%, $E$9)</f>
        <v>11.251200000000001</v>
      </c>
      <c r="K354" s="11">
        <f>11.2565 * CHOOSE(CONTROL!$C$32, $C$9, 100%, $E$9)</f>
        <v>11.256500000000001</v>
      </c>
      <c r="L354" s="11">
        <f>6.7351 * CHOOSE(CONTROL!$C$32, $C$9, 100%, $E$9)</f>
        <v>6.7351000000000001</v>
      </c>
      <c r="M354" s="11">
        <f>6.7404 * CHOOSE(CONTROL!$C$32, $C$9, 100%, $E$9)</f>
        <v>6.7404000000000002</v>
      </c>
      <c r="N354" s="11">
        <f>6.7351 * CHOOSE(CONTROL!$C$32, $C$9, 100%, $E$9)</f>
        <v>6.7351000000000001</v>
      </c>
      <c r="O354" s="11">
        <f>6.7404 * CHOOSE(CONTROL!$C$32, $C$9, 100%, $E$9)</f>
        <v>6.7404000000000002</v>
      </c>
    </row>
    <row r="355" spans="1:15" ht="15" x14ac:dyDescent="0.2">
      <c r="A355" s="13">
        <v>51653</v>
      </c>
      <c r="B355" s="9">
        <f>5.3918 * CHOOSE(CONTROL!$C$32, $C$9, 100%, $E$9)</f>
        <v>5.3917999999999999</v>
      </c>
      <c r="C355" s="9">
        <f>5.3918 * CHOOSE(CONTROL!$C$32, $C$9, 100%, $E$9)</f>
        <v>5.3917999999999999</v>
      </c>
      <c r="D355" s="9">
        <f>5.3934 * CHOOSE(CONTROL!$C$32, $C$9, 100%, $E$9)</f>
        <v>5.3933999999999997</v>
      </c>
      <c r="E355" s="11">
        <f>6.7016 * CHOOSE(CONTROL!$C$32, $C$9, 100%, $E$9)</f>
        <v>6.7016</v>
      </c>
      <c r="F355" s="11">
        <f>6.7016 * CHOOSE(CONTROL!$C$32, $C$9, 100%, $E$9)</f>
        <v>6.7016</v>
      </c>
      <c r="G355" s="11">
        <f>6.7069 * CHOOSE(CONTROL!$C$32, $C$9, 100%, $E$9)</f>
        <v>6.7069000000000001</v>
      </c>
      <c r="H355" s="11">
        <f>11.2747 * CHOOSE(CONTROL!$C$32, $C$9, 100%, $E$9)</f>
        <v>11.274699999999999</v>
      </c>
      <c r="I355" s="11">
        <f>11.28 * CHOOSE(CONTROL!$C$32, $C$9, 100%, $E$9)</f>
        <v>11.28</v>
      </c>
      <c r="J355" s="11">
        <f>11.2747 * CHOOSE(CONTROL!$C$32, $C$9, 100%, $E$9)</f>
        <v>11.274699999999999</v>
      </c>
      <c r="K355" s="11">
        <f>11.28 * CHOOSE(CONTROL!$C$32, $C$9, 100%, $E$9)</f>
        <v>11.28</v>
      </c>
      <c r="L355" s="11">
        <f>6.7016 * CHOOSE(CONTROL!$C$32, $C$9, 100%, $E$9)</f>
        <v>6.7016</v>
      </c>
      <c r="M355" s="11">
        <f>6.7069 * CHOOSE(CONTROL!$C$32, $C$9, 100%, $E$9)</f>
        <v>6.7069000000000001</v>
      </c>
      <c r="N355" s="11">
        <f>6.7016 * CHOOSE(CONTROL!$C$32, $C$9, 100%, $E$9)</f>
        <v>6.7016</v>
      </c>
      <c r="O355" s="11">
        <f>6.7069 * CHOOSE(CONTROL!$C$32, $C$9, 100%, $E$9)</f>
        <v>6.7069000000000001</v>
      </c>
    </row>
    <row r="356" spans="1:15" ht="15" x14ac:dyDescent="0.2">
      <c r="A356" s="13">
        <v>51683</v>
      </c>
      <c r="B356" s="9">
        <f>5.4648 * CHOOSE(CONTROL!$C$32, $C$9, 100%, $E$9)</f>
        <v>5.4648000000000003</v>
      </c>
      <c r="C356" s="9">
        <f>5.4648 * CHOOSE(CONTROL!$C$32, $C$9, 100%, $E$9)</f>
        <v>5.4648000000000003</v>
      </c>
      <c r="D356" s="9">
        <f>5.4664 * CHOOSE(CONTROL!$C$32, $C$9, 100%, $E$9)</f>
        <v>5.4664000000000001</v>
      </c>
      <c r="E356" s="11">
        <f>6.7253 * CHOOSE(CONTROL!$C$32, $C$9, 100%, $E$9)</f>
        <v>6.7252999999999998</v>
      </c>
      <c r="F356" s="11">
        <f>6.7253 * CHOOSE(CONTROL!$C$32, $C$9, 100%, $E$9)</f>
        <v>6.7252999999999998</v>
      </c>
      <c r="G356" s="11">
        <f>6.7306 * CHOOSE(CONTROL!$C$32, $C$9, 100%, $E$9)</f>
        <v>6.7305999999999999</v>
      </c>
      <c r="H356" s="11">
        <f>11.2981 * CHOOSE(CONTROL!$C$32, $C$9, 100%, $E$9)</f>
        <v>11.2981</v>
      </c>
      <c r="I356" s="11">
        <f>11.3034 * CHOOSE(CONTROL!$C$32, $C$9, 100%, $E$9)</f>
        <v>11.3034</v>
      </c>
      <c r="J356" s="11">
        <f>11.2981 * CHOOSE(CONTROL!$C$32, $C$9, 100%, $E$9)</f>
        <v>11.2981</v>
      </c>
      <c r="K356" s="11">
        <f>11.3034 * CHOOSE(CONTROL!$C$32, $C$9, 100%, $E$9)</f>
        <v>11.3034</v>
      </c>
      <c r="L356" s="11">
        <f>6.7253 * CHOOSE(CONTROL!$C$32, $C$9, 100%, $E$9)</f>
        <v>6.7252999999999998</v>
      </c>
      <c r="M356" s="11">
        <f>6.7306 * CHOOSE(CONTROL!$C$32, $C$9, 100%, $E$9)</f>
        <v>6.7305999999999999</v>
      </c>
      <c r="N356" s="11">
        <f>6.7253 * CHOOSE(CONTROL!$C$32, $C$9, 100%, $E$9)</f>
        <v>6.7252999999999998</v>
      </c>
      <c r="O356" s="11">
        <f>6.7306 * CHOOSE(CONTROL!$C$32, $C$9, 100%, $E$9)</f>
        <v>6.7305999999999999</v>
      </c>
    </row>
    <row r="357" spans="1:15" ht="15" x14ac:dyDescent="0.2">
      <c r="A357" s="13">
        <v>51714</v>
      </c>
      <c r="B357" s="9">
        <f>5.4715 * CHOOSE(CONTROL!$C$32, $C$9, 100%, $E$9)</f>
        <v>5.4714999999999998</v>
      </c>
      <c r="C357" s="9">
        <f>5.4715 * CHOOSE(CONTROL!$C$32, $C$9, 100%, $E$9)</f>
        <v>5.4714999999999998</v>
      </c>
      <c r="D357" s="9">
        <f>5.4731 * CHOOSE(CONTROL!$C$32, $C$9, 100%, $E$9)</f>
        <v>5.4730999999999996</v>
      </c>
      <c r="E357" s="11">
        <f>6.6169 * CHOOSE(CONTROL!$C$32, $C$9, 100%, $E$9)</f>
        <v>6.6169000000000002</v>
      </c>
      <c r="F357" s="11">
        <f>6.6169 * CHOOSE(CONTROL!$C$32, $C$9, 100%, $E$9)</f>
        <v>6.6169000000000002</v>
      </c>
      <c r="G357" s="11">
        <f>6.6222 * CHOOSE(CONTROL!$C$32, $C$9, 100%, $E$9)</f>
        <v>6.6222000000000003</v>
      </c>
      <c r="H357" s="11">
        <f>11.3217 * CHOOSE(CONTROL!$C$32, $C$9, 100%, $E$9)</f>
        <v>11.3217</v>
      </c>
      <c r="I357" s="11">
        <f>11.327 * CHOOSE(CONTROL!$C$32, $C$9, 100%, $E$9)</f>
        <v>11.327</v>
      </c>
      <c r="J357" s="11">
        <f>11.3217 * CHOOSE(CONTROL!$C$32, $C$9, 100%, $E$9)</f>
        <v>11.3217</v>
      </c>
      <c r="K357" s="11">
        <f>11.327 * CHOOSE(CONTROL!$C$32, $C$9, 100%, $E$9)</f>
        <v>11.327</v>
      </c>
      <c r="L357" s="11">
        <f>6.6169 * CHOOSE(CONTROL!$C$32, $C$9, 100%, $E$9)</f>
        <v>6.6169000000000002</v>
      </c>
      <c r="M357" s="11">
        <f>6.6222 * CHOOSE(CONTROL!$C$32, $C$9, 100%, $E$9)</f>
        <v>6.6222000000000003</v>
      </c>
      <c r="N357" s="11">
        <f>6.6169 * CHOOSE(CONTROL!$C$32, $C$9, 100%, $E$9)</f>
        <v>6.6169000000000002</v>
      </c>
      <c r="O357" s="11">
        <f>6.6222 * CHOOSE(CONTROL!$C$32, $C$9, 100%, $E$9)</f>
        <v>6.6222000000000003</v>
      </c>
    </row>
    <row r="358" spans="1:15" ht="15" x14ac:dyDescent="0.2">
      <c r="A358" s="13">
        <v>51745</v>
      </c>
      <c r="B358" s="9">
        <f>5.4685 * CHOOSE(CONTROL!$C$32, $C$9, 100%, $E$9)</f>
        <v>5.4684999999999997</v>
      </c>
      <c r="C358" s="9">
        <f>5.4685 * CHOOSE(CONTROL!$C$32, $C$9, 100%, $E$9)</f>
        <v>5.4684999999999997</v>
      </c>
      <c r="D358" s="9">
        <f>5.47 * CHOOSE(CONTROL!$C$32, $C$9, 100%, $E$9)</f>
        <v>5.47</v>
      </c>
      <c r="E358" s="11">
        <f>6.6022 * CHOOSE(CONTROL!$C$32, $C$9, 100%, $E$9)</f>
        <v>6.6021999999999998</v>
      </c>
      <c r="F358" s="11">
        <f>6.6022 * CHOOSE(CONTROL!$C$32, $C$9, 100%, $E$9)</f>
        <v>6.6021999999999998</v>
      </c>
      <c r="G358" s="11">
        <f>6.6075 * CHOOSE(CONTROL!$C$32, $C$9, 100%, $E$9)</f>
        <v>6.6074999999999999</v>
      </c>
      <c r="H358" s="11">
        <f>11.3453 * CHOOSE(CONTROL!$C$32, $C$9, 100%, $E$9)</f>
        <v>11.3453</v>
      </c>
      <c r="I358" s="11">
        <f>11.3506 * CHOOSE(CONTROL!$C$32, $C$9, 100%, $E$9)</f>
        <v>11.3506</v>
      </c>
      <c r="J358" s="11">
        <f>11.3453 * CHOOSE(CONTROL!$C$32, $C$9, 100%, $E$9)</f>
        <v>11.3453</v>
      </c>
      <c r="K358" s="11">
        <f>11.3506 * CHOOSE(CONTROL!$C$32, $C$9, 100%, $E$9)</f>
        <v>11.3506</v>
      </c>
      <c r="L358" s="11">
        <f>6.6022 * CHOOSE(CONTROL!$C$32, $C$9, 100%, $E$9)</f>
        <v>6.6021999999999998</v>
      </c>
      <c r="M358" s="11">
        <f>6.6075 * CHOOSE(CONTROL!$C$32, $C$9, 100%, $E$9)</f>
        <v>6.6074999999999999</v>
      </c>
      <c r="N358" s="11">
        <f>6.6022 * CHOOSE(CONTROL!$C$32, $C$9, 100%, $E$9)</f>
        <v>6.6021999999999998</v>
      </c>
      <c r="O358" s="11">
        <f>6.6075 * CHOOSE(CONTROL!$C$32, $C$9, 100%, $E$9)</f>
        <v>6.6074999999999999</v>
      </c>
    </row>
    <row r="359" spans="1:15" ht="15" x14ac:dyDescent="0.2">
      <c r="A359" s="13">
        <v>51775</v>
      </c>
      <c r="B359" s="9">
        <f>5.469 * CHOOSE(CONTROL!$C$32, $C$9, 100%, $E$9)</f>
        <v>5.4690000000000003</v>
      </c>
      <c r="C359" s="9">
        <f>5.469 * CHOOSE(CONTROL!$C$32, $C$9, 100%, $E$9)</f>
        <v>5.4690000000000003</v>
      </c>
      <c r="D359" s="9">
        <f>5.47 * CHOOSE(CONTROL!$C$32, $C$9, 100%, $E$9)</f>
        <v>5.47</v>
      </c>
      <c r="E359" s="11">
        <f>6.639 * CHOOSE(CONTROL!$C$32, $C$9, 100%, $E$9)</f>
        <v>6.6390000000000002</v>
      </c>
      <c r="F359" s="11">
        <f>6.639 * CHOOSE(CONTROL!$C$32, $C$9, 100%, $E$9)</f>
        <v>6.6390000000000002</v>
      </c>
      <c r="G359" s="11">
        <f>6.6427 * CHOOSE(CONTROL!$C$32, $C$9, 100%, $E$9)</f>
        <v>6.6426999999999996</v>
      </c>
      <c r="H359" s="11">
        <f>11.3689 * CHOOSE(CONTROL!$C$32, $C$9, 100%, $E$9)</f>
        <v>11.3689</v>
      </c>
      <c r="I359" s="11">
        <f>11.3725 * CHOOSE(CONTROL!$C$32, $C$9, 100%, $E$9)</f>
        <v>11.3725</v>
      </c>
      <c r="J359" s="11">
        <f>11.3689 * CHOOSE(CONTROL!$C$32, $C$9, 100%, $E$9)</f>
        <v>11.3689</v>
      </c>
      <c r="K359" s="11">
        <f>11.3725 * CHOOSE(CONTROL!$C$32, $C$9, 100%, $E$9)</f>
        <v>11.3725</v>
      </c>
      <c r="L359" s="11">
        <f>6.639 * CHOOSE(CONTROL!$C$32, $C$9, 100%, $E$9)</f>
        <v>6.6390000000000002</v>
      </c>
      <c r="M359" s="11">
        <f>6.6427 * CHOOSE(CONTROL!$C$32, $C$9, 100%, $E$9)</f>
        <v>6.6426999999999996</v>
      </c>
      <c r="N359" s="11">
        <f>6.639 * CHOOSE(CONTROL!$C$32, $C$9, 100%, $E$9)</f>
        <v>6.6390000000000002</v>
      </c>
      <c r="O359" s="11">
        <f>6.6427 * CHOOSE(CONTROL!$C$32, $C$9, 100%, $E$9)</f>
        <v>6.6426999999999996</v>
      </c>
    </row>
    <row r="360" spans="1:15" ht="15" x14ac:dyDescent="0.2">
      <c r="A360" s="13">
        <v>51806</v>
      </c>
      <c r="B360" s="9">
        <f>5.472 * CHOOSE(CONTROL!$C$32, $C$9, 100%, $E$9)</f>
        <v>5.4720000000000004</v>
      </c>
      <c r="C360" s="9">
        <f>5.472 * CHOOSE(CONTROL!$C$32, $C$9, 100%, $E$9)</f>
        <v>5.4720000000000004</v>
      </c>
      <c r="D360" s="9">
        <f>5.4731 * CHOOSE(CONTROL!$C$32, $C$9, 100%, $E$9)</f>
        <v>5.4730999999999996</v>
      </c>
      <c r="E360" s="11">
        <f>6.6663 * CHOOSE(CONTROL!$C$32, $C$9, 100%, $E$9)</f>
        <v>6.6662999999999997</v>
      </c>
      <c r="F360" s="11">
        <f>6.6663 * CHOOSE(CONTROL!$C$32, $C$9, 100%, $E$9)</f>
        <v>6.6662999999999997</v>
      </c>
      <c r="G360" s="11">
        <f>6.6699 * CHOOSE(CONTROL!$C$32, $C$9, 100%, $E$9)</f>
        <v>6.6699000000000002</v>
      </c>
      <c r="H360" s="11">
        <f>11.3926 * CHOOSE(CONTROL!$C$32, $C$9, 100%, $E$9)</f>
        <v>11.3926</v>
      </c>
      <c r="I360" s="11">
        <f>11.3962 * CHOOSE(CONTROL!$C$32, $C$9, 100%, $E$9)</f>
        <v>11.3962</v>
      </c>
      <c r="J360" s="11">
        <f>11.3926 * CHOOSE(CONTROL!$C$32, $C$9, 100%, $E$9)</f>
        <v>11.3926</v>
      </c>
      <c r="K360" s="11">
        <f>11.3962 * CHOOSE(CONTROL!$C$32, $C$9, 100%, $E$9)</f>
        <v>11.3962</v>
      </c>
      <c r="L360" s="11">
        <f>6.6663 * CHOOSE(CONTROL!$C$32, $C$9, 100%, $E$9)</f>
        <v>6.6662999999999997</v>
      </c>
      <c r="M360" s="11">
        <f>6.6699 * CHOOSE(CONTROL!$C$32, $C$9, 100%, $E$9)</f>
        <v>6.6699000000000002</v>
      </c>
      <c r="N360" s="11">
        <f>6.6663 * CHOOSE(CONTROL!$C$32, $C$9, 100%, $E$9)</f>
        <v>6.6662999999999997</v>
      </c>
      <c r="O360" s="11">
        <f>6.6699 * CHOOSE(CONTROL!$C$32, $C$9, 100%, $E$9)</f>
        <v>6.6699000000000002</v>
      </c>
    </row>
    <row r="361" spans="1:15" ht="15" x14ac:dyDescent="0.2">
      <c r="A361" s="13">
        <v>51836</v>
      </c>
      <c r="B361" s="9">
        <f>5.472 * CHOOSE(CONTROL!$C$32, $C$9, 100%, $E$9)</f>
        <v>5.4720000000000004</v>
      </c>
      <c r="C361" s="9">
        <f>5.472 * CHOOSE(CONTROL!$C$32, $C$9, 100%, $E$9)</f>
        <v>5.4720000000000004</v>
      </c>
      <c r="D361" s="9">
        <f>5.4731 * CHOOSE(CONTROL!$C$32, $C$9, 100%, $E$9)</f>
        <v>5.4730999999999996</v>
      </c>
      <c r="E361" s="11">
        <f>6.6035 * CHOOSE(CONTROL!$C$32, $C$9, 100%, $E$9)</f>
        <v>6.6035000000000004</v>
      </c>
      <c r="F361" s="11">
        <f>6.6035 * CHOOSE(CONTROL!$C$32, $C$9, 100%, $E$9)</f>
        <v>6.6035000000000004</v>
      </c>
      <c r="G361" s="11">
        <f>6.6071 * CHOOSE(CONTROL!$C$32, $C$9, 100%, $E$9)</f>
        <v>6.6071</v>
      </c>
      <c r="H361" s="11">
        <f>11.4163 * CHOOSE(CONTROL!$C$32, $C$9, 100%, $E$9)</f>
        <v>11.4163</v>
      </c>
      <c r="I361" s="11">
        <f>11.4199 * CHOOSE(CONTROL!$C$32, $C$9, 100%, $E$9)</f>
        <v>11.4199</v>
      </c>
      <c r="J361" s="11">
        <f>11.4163 * CHOOSE(CONTROL!$C$32, $C$9, 100%, $E$9)</f>
        <v>11.4163</v>
      </c>
      <c r="K361" s="11">
        <f>11.4199 * CHOOSE(CONTROL!$C$32, $C$9, 100%, $E$9)</f>
        <v>11.4199</v>
      </c>
      <c r="L361" s="11">
        <f>6.6035 * CHOOSE(CONTROL!$C$32, $C$9, 100%, $E$9)</f>
        <v>6.6035000000000004</v>
      </c>
      <c r="M361" s="11">
        <f>6.6071 * CHOOSE(CONTROL!$C$32, $C$9, 100%, $E$9)</f>
        <v>6.6071</v>
      </c>
      <c r="N361" s="11">
        <f>6.6035 * CHOOSE(CONTROL!$C$32, $C$9, 100%, $E$9)</f>
        <v>6.6035000000000004</v>
      </c>
      <c r="O361" s="11">
        <f>6.6071 * CHOOSE(CONTROL!$C$32, $C$9, 100%, $E$9)</f>
        <v>6.6071</v>
      </c>
    </row>
    <row r="362" spans="1:15" ht="15" x14ac:dyDescent="0.2">
      <c r="A362" s="13">
        <v>51867</v>
      </c>
      <c r="B362" s="9">
        <f>5.5145 * CHOOSE(CONTROL!$C$32, $C$9, 100%, $E$9)</f>
        <v>5.5145</v>
      </c>
      <c r="C362" s="9">
        <f>5.5145 * CHOOSE(CONTROL!$C$32, $C$9, 100%, $E$9)</f>
        <v>5.5145</v>
      </c>
      <c r="D362" s="9">
        <f>5.5156 * CHOOSE(CONTROL!$C$32, $C$9, 100%, $E$9)</f>
        <v>5.5156000000000001</v>
      </c>
      <c r="E362" s="11">
        <f>6.6708 * CHOOSE(CONTROL!$C$32, $C$9, 100%, $E$9)</f>
        <v>6.6707999999999998</v>
      </c>
      <c r="F362" s="11">
        <f>6.6708 * CHOOSE(CONTROL!$C$32, $C$9, 100%, $E$9)</f>
        <v>6.6707999999999998</v>
      </c>
      <c r="G362" s="11">
        <f>6.6744 * CHOOSE(CONTROL!$C$32, $C$9, 100%, $E$9)</f>
        <v>6.6744000000000003</v>
      </c>
      <c r="H362" s="11">
        <f>11.4401 * CHOOSE(CONTROL!$C$32, $C$9, 100%, $E$9)</f>
        <v>11.440099999999999</v>
      </c>
      <c r="I362" s="11">
        <f>11.4437 * CHOOSE(CONTROL!$C$32, $C$9, 100%, $E$9)</f>
        <v>11.4437</v>
      </c>
      <c r="J362" s="11">
        <f>11.4401 * CHOOSE(CONTROL!$C$32, $C$9, 100%, $E$9)</f>
        <v>11.440099999999999</v>
      </c>
      <c r="K362" s="11">
        <f>11.4437 * CHOOSE(CONTROL!$C$32, $C$9, 100%, $E$9)</f>
        <v>11.4437</v>
      </c>
      <c r="L362" s="11">
        <f>6.6708 * CHOOSE(CONTROL!$C$32, $C$9, 100%, $E$9)</f>
        <v>6.6707999999999998</v>
      </c>
      <c r="M362" s="11">
        <f>6.6744 * CHOOSE(CONTROL!$C$32, $C$9, 100%, $E$9)</f>
        <v>6.6744000000000003</v>
      </c>
      <c r="N362" s="11">
        <f>6.6708 * CHOOSE(CONTROL!$C$32, $C$9, 100%, $E$9)</f>
        <v>6.6707999999999998</v>
      </c>
      <c r="O362" s="11">
        <f>6.6744 * CHOOSE(CONTROL!$C$32, $C$9, 100%, $E$9)</f>
        <v>6.6744000000000003</v>
      </c>
    </row>
    <row r="363" spans="1:15" ht="15" x14ac:dyDescent="0.2">
      <c r="A363" s="13">
        <v>51898</v>
      </c>
      <c r="B363" s="9">
        <f>5.5115 * CHOOSE(CONTROL!$C$32, $C$9, 100%, $E$9)</f>
        <v>5.5114999999999998</v>
      </c>
      <c r="C363" s="9">
        <f>5.5115 * CHOOSE(CONTROL!$C$32, $C$9, 100%, $E$9)</f>
        <v>5.5114999999999998</v>
      </c>
      <c r="D363" s="9">
        <f>5.5125 * CHOOSE(CONTROL!$C$32, $C$9, 100%, $E$9)</f>
        <v>5.5125000000000002</v>
      </c>
      <c r="E363" s="11">
        <f>6.5461 * CHOOSE(CONTROL!$C$32, $C$9, 100%, $E$9)</f>
        <v>6.5461</v>
      </c>
      <c r="F363" s="11">
        <f>6.5461 * CHOOSE(CONTROL!$C$32, $C$9, 100%, $E$9)</f>
        <v>6.5461</v>
      </c>
      <c r="G363" s="11">
        <f>6.5497 * CHOOSE(CONTROL!$C$32, $C$9, 100%, $E$9)</f>
        <v>6.5496999999999996</v>
      </c>
      <c r="H363" s="11">
        <f>11.4639 * CHOOSE(CONTROL!$C$32, $C$9, 100%, $E$9)</f>
        <v>11.463900000000001</v>
      </c>
      <c r="I363" s="11">
        <f>11.4676 * CHOOSE(CONTROL!$C$32, $C$9, 100%, $E$9)</f>
        <v>11.467599999999999</v>
      </c>
      <c r="J363" s="11">
        <f>11.4639 * CHOOSE(CONTROL!$C$32, $C$9, 100%, $E$9)</f>
        <v>11.463900000000001</v>
      </c>
      <c r="K363" s="11">
        <f>11.4676 * CHOOSE(CONTROL!$C$32, $C$9, 100%, $E$9)</f>
        <v>11.467599999999999</v>
      </c>
      <c r="L363" s="11">
        <f>6.5461 * CHOOSE(CONTROL!$C$32, $C$9, 100%, $E$9)</f>
        <v>6.5461</v>
      </c>
      <c r="M363" s="11">
        <f>6.5497 * CHOOSE(CONTROL!$C$32, $C$9, 100%, $E$9)</f>
        <v>6.5496999999999996</v>
      </c>
      <c r="N363" s="11">
        <f>6.5461 * CHOOSE(CONTROL!$C$32, $C$9, 100%, $E$9)</f>
        <v>6.5461</v>
      </c>
      <c r="O363" s="11">
        <f>6.5497 * CHOOSE(CONTROL!$C$32, $C$9, 100%, $E$9)</f>
        <v>6.5496999999999996</v>
      </c>
    </row>
    <row r="364" spans="1:15" ht="15" x14ac:dyDescent="0.2">
      <c r="A364" s="13">
        <v>51926</v>
      </c>
      <c r="B364" s="9">
        <f>5.5084 * CHOOSE(CONTROL!$C$32, $C$9, 100%, $E$9)</f>
        <v>5.5084</v>
      </c>
      <c r="C364" s="9">
        <f>5.5084 * CHOOSE(CONTROL!$C$32, $C$9, 100%, $E$9)</f>
        <v>5.5084</v>
      </c>
      <c r="D364" s="9">
        <f>5.5095 * CHOOSE(CONTROL!$C$32, $C$9, 100%, $E$9)</f>
        <v>5.5095000000000001</v>
      </c>
      <c r="E364" s="11">
        <f>6.6406 * CHOOSE(CONTROL!$C$32, $C$9, 100%, $E$9)</f>
        <v>6.6406000000000001</v>
      </c>
      <c r="F364" s="11">
        <f>6.6406 * CHOOSE(CONTROL!$C$32, $C$9, 100%, $E$9)</f>
        <v>6.6406000000000001</v>
      </c>
      <c r="G364" s="11">
        <f>6.6442 * CHOOSE(CONTROL!$C$32, $C$9, 100%, $E$9)</f>
        <v>6.6441999999999997</v>
      </c>
      <c r="H364" s="11">
        <f>11.4878 * CHOOSE(CONTROL!$C$32, $C$9, 100%, $E$9)</f>
        <v>11.4878</v>
      </c>
      <c r="I364" s="11">
        <f>11.4914 * CHOOSE(CONTROL!$C$32, $C$9, 100%, $E$9)</f>
        <v>11.491400000000001</v>
      </c>
      <c r="J364" s="11">
        <f>11.4878 * CHOOSE(CONTROL!$C$32, $C$9, 100%, $E$9)</f>
        <v>11.4878</v>
      </c>
      <c r="K364" s="11">
        <f>11.4914 * CHOOSE(CONTROL!$C$32, $C$9, 100%, $E$9)</f>
        <v>11.491400000000001</v>
      </c>
      <c r="L364" s="11">
        <f>6.6406 * CHOOSE(CONTROL!$C$32, $C$9, 100%, $E$9)</f>
        <v>6.6406000000000001</v>
      </c>
      <c r="M364" s="11">
        <f>6.6442 * CHOOSE(CONTROL!$C$32, $C$9, 100%, $E$9)</f>
        <v>6.6441999999999997</v>
      </c>
      <c r="N364" s="11">
        <f>6.6406 * CHOOSE(CONTROL!$C$32, $C$9, 100%, $E$9)</f>
        <v>6.6406000000000001</v>
      </c>
      <c r="O364" s="11">
        <f>6.6442 * CHOOSE(CONTROL!$C$32, $C$9, 100%, $E$9)</f>
        <v>6.6441999999999997</v>
      </c>
    </row>
    <row r="365" spans="1:15" ht="15" x14ac:dyDescent="0.2">
      <c r="A365" s="13">
        <v>51957</v>
      </c>
      <c r="B365" s="9">
        <f>5.5075 * CHOOSE(CONTROL!$C$32, $C$9, 100%, $E$9)</f>
        <v>5.5075000000000003</v>
      </c>
      <c r="C365" s="9">
        <f>5.5075 * CHOOSE(CONTROL!$C$32, $C$9, 100%, $E$9)</f>
        <v>5.5075000000000003</v>
      </c>
      <c r="D365" s="9">
        <f>5.5086 * CHOOSE(CONTROL!$C$32, $C$9, 100%, $E$9)</f>
        <v>5.5086000000000004</v>
      </c>
      <c r="E365" s="11">
        <f>6.7402 * CHOOSE(CONTROL!$C$32, $C$9, 100%, $E$9)</f>
        <v>6.7401999999999997</v>
      </c>
      <c r="F365" s="11">
        <f>6.7402 * CHOOSE(CONTROL!$C$32, $C$9, 100%, $E$9)</f>
        <v>6.7401999999999997</v>
      </c>
      <c r="G365" s="11">
        <f>6.7438 * CHOOSE(CONTROL!$C$32, $C$9, 100%, $E$9)</f>
        <v>6.7438000000000002</v>
      </c>
      <c r="H365" s="11">
        <f>11.5118 * CHOOSE(CONTROL!$C$32, $C$9, 100%, $E$9)</f>
        <v>11.511799999999999</v>
      </c>
      <c r="I365" s="11">
        <f>11.5154 * CHOOSE(CONTROL!$C$32, $C$9, 100%, $E$9)</f>
        <v>11.5154</v>
      </c>
      <c r="J365" s="11">
        <f>11.5118 * CHOOSE(CONTROL!$C$32, $C$9, 100%, $E$9)</f>
        <v>11.511799999999999</v>
      </c>
      <c r="K365" s="11">
        <f>11.5154 * CHOOSE(CONTROL!$C$32, $C$9, 100%, $E$9)</f>
        <v>11.5154</v>
      </c>
      <c r="L365" s="11">
        <f>6.7402 * CHOOSE(CONTROL!$C$32, $C$9, 100%, $E$9)</f>
        <v>6.7401999999999997</v>
      </c>
      <c r="M365" s="11">
        <f>6.7438 * CHOOSE(CONTROL!$C$32, $C$9, 100%, $E$9)</f>
        <v>6.7438000000000002</v>
      </c>
      <c r="N365" s="11">
        <f>6.7402 * CHOOSE(CONTROL!$C$32, $C$9, 100%, $E$9)</f>
        <v>6.7401999999999997</v>
      </c>
      <c r="O365" s="11">
        <f>6.7438 * CHOOSE(CONTROL!$C$32, $C$9, 100%, $E$9)</f>
        <v>6.7438000000000002</v>
      </c>
    </row>
    <row r="366" spans="1:15" ht="15" x14ac:dyDescent="0.2">
      <c r="A366" s="13">
        <v>51987</v>
      </c>
      <c r="B366" s="9">
        <f>5.5075 * CHOOSE(CONTROL!$C$32, $C$9, 100%, $E$9)</f>
        <v>5.5075000000000003</v>
      </c>
      <c r="C366" s="9">
        <f>5.5075 * CHOOSE(CONTROL!$C$32, $C$9, 100%, $E$9)</f>
        <v>5.5075000000000003</v>
      </c>
      <c r="D366" s="9">
        <f>5.5091 * CHOOSE(CONTROL!$C$32, $C$9, 100%, $E$9)</f>
        <v>5.5091000000000001</v>
      </c>
      <c r="E366" s="11">
        <f>6.7791 * CHOOSE(CONTROL!$C$32, $C$9, 100%, $E$9)</f>
        <v>6.7790999999999997</v>
      </c>
      <c r="F366" s="11">
        <f>6.7791 * CHOOSE(CONTROL!$C$32, $C$9, 100%, $E$9)</f>
        <v>6.7790999999999997</v>
      </c>
      <c r="G366" s="11">
        <f>6.7844 * CHOOSE(CONTROL!$C$32, $C$9, 100%, $E$9)</f>
        <v>6.7843999999999998</v>
      </c>
      <c r="H366" s="11">
        <f>11.5357 * CHOOSE(CONTROL!$C$32, $C$9, 100%, $E$9)</f>
        <v>11.5357</v>
      </c>
      <c r="I366" s="11">
        <f>11.541 * CHOOSE(CONTROL!$C$32, $C$9, 100%, $E$9)</f>
        <v>11.541</v>
      </c>
      <c r="J366" s="11">
        <f>11.5357 * CHOOSE(CONTROL!$C$32, $C$9, 100%, $E$9)</f>
        <v>11.5357</v>
      </c>
      <c r="K366" s="11">
        <f>11.541 * CHOOSE(CONTROL!$C$32, $C$9, 100%, $E$9)</f>
        <v>11.541</v>
      </c>
      <c r="L366" s="11">
        <f>6.7791 * CHOOSE(CONTROL!$C$32, $C$9, 100%, $E$9)</f>
        <v>6.7790999999999997</v>
      </c>
      <c r="M366" s="11">
        <f>6.7844 * CHOOSE(CONTROL!$C$32, $C$9, 100%, $E$9)</f>
        <v>6.7843999999999998</v>
      </c>
      <c r="N366" s="11">
        <f>6.7791 * CHOOSE(CONTROL!$C$32, $C$9, 100%, $E$9)</f>
        <v>6.7790999999999997</v>
      </c>
      <c r="O366" s="11">
        <f>6.7844 * CHOOSE(CONTROL!$C$32, $C$9, 100%, $E$9)</f>
        <v>6.7843999999999998</v>
      </c>
    </row>
    <row r="367" spans="1:15" ht="15" x14ac:dyDescent="0.2">
      <c r="A367" s="13">
        <v>52018</v>
      </c>
      <c r="B367" s="9">
        <f>5.5136 * CHOOSE(CONTROL!$C$32, $C$9, 100%, $E$9)</f>
        <v>5.5136000000000003</v>
      </c>
      <c r="C367" s="9">
        <f>5.5136 * CHOOSE(CONTROL!$C$32, $C$9, 100%, $E$9)</f>
        <v>5.5136000000000003</v>
      </c>
      <c r="D367" s="9">
        <f>5.5152 * CHOOSE(CONTROL!$C$32, $C$9, 100%, $E$9)</f>
        <v>5.5152000000000001</v>
      </c>
      <c r="E367" s="11">
        <f>6.7444 * CHOOSE(CONTROL!$C$32, $C$9, 100%, $E$9)</f>
        <v>6.7443999999999997</v>
      </c>
      <c r="F367" s="11">
        <f>6.7444 * CHOOSE(CONTROL!$C$32, $C$9, 100%, $E$9)</f>
        <v>6.7443999999999997</v>
      </c>
      <c r="G367" s="11">
        <f>6.7497 * CHOOSE(CONTROL!$C$32, $C$9, 100%, $E$9)</f>
        <v>6.7496999999999998</v>
      </c>
      <c r="H367" s="11">
        <f>11.5598 * CHOOSE(CONTROL!$C$32, $C$9, 100%, $E$9)</f>
        <v>11.559799999999999</v>
      </c>
      <c r="I367" s="11">
        <f>11.5651 * CHOOSE(CONTROL!$C$32, $C$9, 100%, $E$9)</f>
        <v>11.565099999999999</v>
      </c>
      <c r="J367" s="11">
        <f>11.5598 * CHOOSE(CONTROL!$C$32, $C$9, 100%, $E$9)</f>
        <v>11.559799999999999</v>
      </c>
      <c r="K367" s="11">
        <f>11.5651 * CHOOSE(CONTROL!$C$32, $C$9, 100%, $E$9)</f>
        <v>11.565099999999999</v>
      </c>
      <c r="L367" s="11">
        <f>6.7444 * CHOOSE(CONTROL!$C$32, $C$9, 100%, $E$9)</f>
        <v>6.7443999999999997</v>
      </c>
      <c r="M367" s="11">
        <f>6.7497 * CHOOSE(CONTROL!$C$32, $C$9, 100%, $E$9)</f>
        <v>6.7496999999999998</v>
      </c>
      <c r="N367" s="11">
        <f>6.7444 * CHOOSE(CONTROL!$C$32, $C$9, 100%, $E$9)</f>
        <v>6.7443999999999997</v>
      </c>
      <c r="O367" s="11">
        <f>6.7497 * CHOOSE(CONTROL!$C$32, $C$9, 100%, $E$9)</f>
        <v>6.7496999999999998</v>
      </c>
    </row>
    <row r="368" spans="1:15" ht="15" x14ac:dyDescent="0.2">
      <c r="A368" s="13">
        <v>52048</v>
      </c>
      <c r="B368" s="9">
        <f>5.5892 * CHOOSE(CONTROL!$C$32, $C$9, 100%, $E$9)</f>
        <v>5.5891999999999999</v>
      </c>
      <c r="C368" s="9">
        <f>5.5892 * CHOOSE(CONTROL!$C$32, $C$9, 100%, $E$9)</f>
        <v>5.5891999999999999</v>
      </c>
      <c r="D368" s="9">
        <f>5.5907 * CHOOSE(CONTROL!$C$32, $C$9, 100%, $E$9)</f>
        <v>5.5907</v>
      </c>
      <c r="E368" s="11">
        <f>6.7633 * CHOOSE(CONTROL!$C$32, $C$9, 100%, $E$9)</f>
        <v>6.7633000000000001</v>
      </c>
      <c r="F368" s="11">
        <f>6.7633 * CHOOSE(CONTROL!$C$32, $C$9, 100%, $E$9)</f>
        <v>6.7633000000000001</v>
      </c>
      <c r="G368" s="11">
        <f>6.7686 * CHOOSE(CONTROL!$C$32, $C$9, 100%, $E$9)</f>
        <v>6.7686000000000002</v>
      </c>
      <c r="H368" s="11">
        <f>11.5839 * CHOOSE(CONTROL!$C$32, $C$9, 100%, $E$9)</f>
        <v>11.5839</v>
      </c>
      <c r="I368" s="11">
        <f>11.5892 * CHOOSE(CONTROL!$C$32, $C$9, 100%, $E$9)</f>
        <v>11.5892</v>
      </c>
      <c r="J368" s="11">
        <f>11.5839 * CHOOSE(CONTROL!$C$32, $C$9, 100%, $E$9)</f>
        <v>11.5839</v>
      </c>
      <c r="K368" s="11">
        <f>11.5892 * CHOOSE(CONTROL!$C$32, $C$9, 100%, $E$9)</f>
        <v>11.5892</v>
      </c>
      <c r="L368" s="11">
        <f>6.7633 * CHOOSE(CONTROL!$C$32, $C$9, 100%, $E$9)</f>
        <v>6.7633000000000001</v>
      </c>
      <c r="M368" s="11">
        <f>6.7686 * CHOOSE(CONTROL!$C$32, $C$9, 100%, $E$9)</f>
        <v>6.7686000000000002</v>
      </c>
      <c r="N368" s="11">
        <f>6.7633 * CHOOSE(CONTROL!$C$32, $C$9, 100%, $E$9)</f>
        <v>6.7633000000000001</v>
      </c>
      <c r="O368" s="11">
        <f>6.7686 * CHOOSE(CONTROL!$C$32, $C$9, 100%, $E$9)</f>
        <v>6.7686000000000002</v>
      </c>
    </row>
    <row r="369" spans="1:15" ht="15" x14ac:dyDescent="0.2">
      <c r="A369" s="13">
        <v>52079</v>
      </c>
      <c r="B369" s="9">
        <f>5.5958 * CHOOSE(CONTROL!$C$32, $C$9, 100%, $E$9)</f>
        <v>5.5957999999999997</v>
      </c>
      <c r="C369" s="9">
        <f>5.5958 * CHOOSE(CONTROL!$C$32, $C$9, 100%, $E$9)</f>
        <v>5.5957999999999997</v>
      </c>
      <c r="D369" s="9">
        <f>5.5974 * CHOOSE(CONTROL!$C$32, $C$9, 100%, $E$9)</f>
        <v>5.5974000000000004</v>
      </c>
      <c r="E369" s="11">
        <f>6.6512 * CHOOSE(CONTROL!$C$32, $C$9, 100%, $E$9)</f>
        <v>6.6512000000000002</v>
      </c>
      <c r="F369" s="11">
        <f>6.6512 * CHOOSE(CONTROL!$C$32, $C$9, 100%, $E$9)</f>
        <v>6.6512000000000002</v>
      </c>
      <c r="G369" s="11">
        <f>6.6565 * CHOOSE(CONTROL!$C$32, $C$9, 100%, $E$9)</f>
        <v>6.6565000000000003</v>
      </c>
      <c r="H369" s="11">
        <f>11.608 * CHOOSE(CONTROL!$C$32, $C$9, 100%, $E$9)</f>
        <v>11.608000000000001</v>
      </c>
      <c r="I369" s="11">
        <f>11.6133 * CHOOSE(CONTROL!$C$32, $C$9, 100%, $E$9)</f>
        <v>11.613300000000001</v>
      </c>
      <c r="J369" s="11">
        <f>11.608 * CHOOSE(CONTROL!$C$32, $C$9, 100%, $E$9)</f>
        <v>11.608000000000001</v>
      </c>
      <c r="K369" s="11">
        <f>11.6133 * CHOOSE(CONTROL!$C$32, $C$9, 100%, $E$9)</f>
        <v>11.613300000000001</v>
      </c>
      <c r="L369" s="11">
        <f>6.6512 * CHOOSE(CONTROL!$C$32, $C$9, 100%, $E$9)</f>
        <v>6.6512000000000002</v>
      </c>
      <c r="M369" s="11">
        <f>6.6565 * CHOOSE(CONTROL!$C$32, $C$9, 100%, $E$9)</f>
        <v>6.6565000000000003</v>
      </c>
      <c r="N369" s="11">
        <f>6.6512 * CHOOSE(CONTROL!$C$32, $C$9, 100%, $E$9)</f>
        <v>6.6512000000000002</v>
      </c>
      <c r="O369" s="11">
        <f>6.6565 * CHOOSE(CONTROL!$C$32, $C$9, 100%, $E$9)</f>
        <v>6.6565000000000003</v>
      </c>
    </row>
    <row r="370" spans="1:15" ht="15" x14ac:dyDescent="0.2">
      <c r="A370" s="13">
        <v>52110</v>
      </c>
      <c r="B370" s="9">
        <f>5.5928 * CHOOSE(CONTROL!$C$32, $C$9, 100%, $E$9)</f>
        <v>5.5928000000000004</v>
      </c>
      <c r="C370" s="9">
        <f>5.5928 * CHOOSE(CONTROL!$C$32, $C$9, 100%, $E$9)</f>
        <v>5.5928000000000004</v>
      </c>
      <c r="D370" s="9">
        <f>5.5944 * CHOOSE(CONTROL!$C$32, $C$9, 100%, $E$9)</f>
        <v>5.5944000000000003</v>
      </c>
      <c r="E370" s="11">
        <f>6.6361 * CHOOSE(CONTROL!$C$32, $C$9, 100%, $E$9)</f>
        <v>6.6360999999999999</v>
      </c>
      <c r="F370" s="11">
        <f>6.6361 * CHOOSE(CONTROL!$C$32, $C$9, 100%, $E$9)</f>
        <v>6.6360999999999999</v>
      </c>
      <c r="G370" s="11">
        <f>6.6414 * CHOOSE(CONTROL!$C$32, $C$9, 100%, $E$9)</f>
        <v>6.6414</v>
      </c>
      <c r="H370" s="11">
        <f>11.6322 * CHOOSE(CONTROL!$C$32, $C$9, 100%, $E$9)</f>
        <v>11.632199999999999</v>
      </c>
      <c r="I370" s="11">
        <f>11.6375 * CHOOSE(CONTROL!$C$32, $C$9, 100%, $E$9)</f>
        <v>11.637499999999999</v>
      </c>
      <c r="J370" s="11">
        <f>11.6322 * CHOOSE(CONTROL!$C$32, $C$9, 100%, $E$9)</f>
        <v>11.632199999999999</v>
      </c>
      <c r="K370" s="11">
        <f>11.6375 * CHOOSE(CONTROL!$C$32, $C$9, 100%, $E$9)</f>
        <v>11.637499999999999</v>
      </c>
      <c r="L370" s="11">
        <f>6.6361 * CHOOSE(CONTROL!$C$32, $C$9, 100%, $E$9)</f>
        <v>6.6360999999999999</v>
      </c>
      <c r="M370" s="11">
        <f>6.6414 * CHOOSE(CONTROL!$C$32, $C$9, 100%, $E$9)</f>
        <v>6.6414</v>
      </c>
      <c r="N370" s="11">
        <f>6.6361 * CHOOSE(CONTROL!$C$32, $C$9, 100%, $E$9)</f>
        <v>6.6360999999999999</v>
      </c>
      <c r="O370" s="11">
        <f>6.6414 * CHOOSE(CONTROL!$C$32, $C$9, 100%, $E$9)</f>
        <v>6.6414</v>
      </c>
    </row>
    <row r="371" spans="1:15" ht="15" x14ac:dyDescent="0.2">
      <c r="A371" s="13">
        <v>52140</v>
      </c>
      <c r="B371" s="9">
        <f>5.5938 * CHOOSE(CONTROL!$C$32, $C$9, 100%, $E$9)</f>
        <v>5.5937999999999999</v>
      </c>
      <c r="C371" s="9">
        <f>5.5938 * CHOOSE(CONTROL!$C$32, $C$9, 100%, $E$9)</f>
        <v>5.5937999999999999</v>
      </c>
      <c r="D371" s="9">
        <f>5.5949 * CHOOSE(CONTROL!$C$32, $C$9, 100%, $E$9)</f>
        <v>5.5949</v>
      </c>
      <c r="E371" s="11">
        <f>6.6746 * CHOOSE(CONTROL!$C$32, $C$9, 100%, $E$9)</f>
        <v>6.6745999999999999</v>
      </c>
      <c r="F371" s="11">
        <f>6.6746 * CHOOSE(CONTROL!$C$32, $C$9, 100%, $E$9)</f>
        <v>6.6745999999999999</v>
      </c>
      <c r="G371" s="11">
        <f>6.6782 * CHOOSE(CONTROL!$C$32, $C$9, 100%, $E$9)</f>
        <v>6.6782000000000004</v>
      </c>
      <c r="H371" s="11">
        <f>11.6564 * CHOOSE(CONTROL!$C$32, $C$9, 100%, $E$9)</f>
        <v>11.6564</v>
      </c>
      <c r="I371" s="11">
        <f>11.66 * CHOOSE(CONTROL!$C$32, $C$9, 100%, $E$9)</f>
        <v>11.66</v>
      </c>
      <c r="J371" s="11">
        <f>11.6564 * CHOOSE(CONTROL!$C$32, $C$9, 100%, $E$9)</f>
        <v>11.6564</v>
      </c>
      <c r="K371" s="11">
        <f>11.66 * CHOOSE(CONTROL!$C$32, $C$9, 100%, $E$9)</f>
        <v>11.66</v>
      </c>
      <c r="L371" s="11">
        <f>6.6746 * CHOOSE(CONTROL!$C$32, $C$9, 100%, $E$9)</f>
        <v>6.6745999999999999</v>
      </c>
      <c r="M371" s="11">
        <f>6.6782 * CHOOSE(CONTROL!$C$32, $C$9, 100%, $E$9)</f>
        <v>6.6782000000000004</v>
      </c>
      <c r="N371" s="11">
        <f>6.6746 * CHOOSE(CONTROL!$C$32, $C$9, 100%, $E$9)</f>
        <v>6.6745999999999999</v>
      </c>
      <c r="O371" s="11">
        <f>6.6782 * CHOOSE(CONTROL!$C$32, $C$9, 100%, $E$9)</f>
        <v>6.6782000000000004</v>
      </c>
    </row>
    <row r="372" spans="1:15" ht="15" x14ac:dyDescent="0.2">
      <c r="A372" s="13">
        <v>52171</v>
      </c>
      <c r="B372" s="9">
        <f>5.5968 * CHOOSE(CONTROL!$C$32, $C$9, 100%, $E$9)</f>
        <v>5.5968</v>
      </c>
      <c r="C372" s="9">
        <f>5.5968 * CHOOSE(CONTROL!$C$32, $C$9, 100%, $E$9)</f>
        <v>5.5968</v>
      </c>
      <c r="D372" s="9">
        <f>5.5979 * CHOOSE(CONTROL!$C$32, $C$9, 100%, $E$9)</f>
        <v>5.5979000000000001</v>
      </c>
      <c r="E372" s="11">
        <f>6.7026 * CHOOSE(CONTROL!$C$32, $C$9, 100%, $E$9)</f>
        <v>6.7026000000000003</v>
      </c>
      <c r="F372" s="11">
        <f>6.7026 * CHOOSE(CONTROL!$C$32, $C$9, 100%, $E$9)</f>
        <v>6.7026000000000003</v>
      </c>
      <c r="G372" s="11">
        <f>6.7063 * CHOOSE(CONTROL!$C$32, $C$9, 100%, $E$9)</f>
        <v>6.7062999999999997</v>
      </c>
      <c r="H372" s="11">
        <f>11.6807 * CHOOSE(CONTROL!$C$32, $C$9, 100%, $E$9)</f>
        <v>11.6807</v>
      </c>
      <c r="I372" s="11">
        <f>11.6843 * CHOOSE(CONTROL!$C$32, $C$9, 100%, $E$9)</f>
        <v>11.6843</v>
      </c>
      <c r="J372" s="11">
        <f>11.6807 * CHOOSE(CONTROL!$C$32, $C$9, 100%, $E$9)</f>
        <v>11.6807</v>
      </c>
      <c r="K372" s="11">
        <f>11.6843 * CHOOSE(CONTROL!$C$32, $C$9, 100%, $E$9)</f>
        <v>11.6843</v>
      </c>
      <c r="L372" s="11">
        <f>6.7026 * CHOOSE(CONTROL!$C$32, $C$9, 100%, $E$9)</f>
        <v>6.7026000000000003</v>
      </c>
      <c r="M372" s="11">
        <f>6.7063 * CHOOSE(CONTROL!$C$32, $C$9, 100%, $E$9)</f>
        <v>6.7062999999999997</v>
      </c>
      <c r="N372" s="11">
        <f>6.7026 * CHOOSE(CONTROL!$C$32, $C$9, 100%, $E$9)</f>
        <v>6.7026000000000003</v>
      </c>
      <c r="O372" s="11">
        <f>6.7063 * CHOOSE(CONTROL!$C$32, $C$9, 100%, $E$9)</f>
        <v>6.7062999999999997</v>
      </c>
    </row>
    <row r="373" spans="1:15" ht="15" x14ac:dyDescent="0.2">
      <c r="A373" s="13">
        <v>52201</v>
      </c>
      <c r="B373" s="9">
        <f>5.5968 * CHOOSE(CONTROL!$C$32, $C$9, 100%, $E$9)</f>
        <v>5.5968</v>
      </c>
      <c r="C373" s="9">
        <f>5.5968 * CHOOSE(CONTROL!$C$32, $C$9, 100%, $E$9)</f>
        <v>5.5968</v>
      </c>
      <c r="D373" s="9">
        <f>5.5979 * CHOOSE(CONTROL!$C$32, $C$9, 100%, $E$9)</f>
        <v>5.5979000000000001</v>
      </c>
      <c r="E373" s="11">
        <f>6.6378 * CHOOSE(CONTROL!$C$32, $C$9, 100%, $E$9)</f>
        <v>6.6378000000000004</v>
      </c>
      <c r="F373" s="11">
        <f>6.6378 * CHOOSE(CONTROL!$C$32, $C$9, 100%, $E$9)</f>
        <v>6.6378000000000004</v>
      </c>
      <c r="G373" s="11">
        <f>6.6414 * CHOOSE(CONTROL!$C$32, $C$9, 100%, $E$9)</f>
        <v>6.6414</v>
      </c>
      <c r="H373" s="11">
        <f>11.705 * CHOOSE(CONTROL!$C$32, $C$9, 100%, $E$9)</f>
        <v>11.705</v>
      </c>
      <c r="I373" s="11">
        <f>11.7086 * CHOOSE(CONTROL!$C$32, $C$9, 100%, $E$9)</f>
        <v>11.708600000000001</v>
      </c>
      <c r="J373" s="11">
        <f>11.705 * CHOOSE(CONTROL!$C$32, $C$9, 100%, $E$9)</f>
        <v>11.705</v>
      </c>
      <c r="K373" s="11">
        <f>11.7086 * CHOOSE(CONTROL!$C$32, $C$9, 100%, $E$9)</f>
        <v>11.708600000000001</v>
      </c>
      <c r="L373" s="11">
        <f>6.6378 * CHOOSE(CONTROL!$C$32, $C$9, 100%, $E$9)</f>
        <v>6.6378000000000004</v>
      </c>
      <c r="M373" s="11">
        <f>6.6414 * CHOOSE(CONTROL!$C$32, $C$9, 100%, $E$9)</f>
        <v>6.6414</v>
      </c>
      <c r="N373" s="11">
        <f>6.6378 * CHOOSE(CONTROL!$C$32, $C$9, 100%, $E$9)</f>
        <v>6.6378000000000004</v>
      </c>
      <c r="O373" s="11">
        <f>6.6414 * CHOOSE(CONTROL!$C$32, $C$9, 100%, $E$9)</f>
        <v>6.6414</v>
      </c>
    </row>
    <row r="374" spans="1:15" ht="15" x14ac:dyDescent="0.2">
      <c r="A374" s="13">
        <v>52232</v>
      </c>
      <c r="B374" s="9">
        <f>5.6399 * CHOOSE(CONTROL!$C$32, $C$9, 100%, $E$9)</f>
        <v>5.6398999999999999</v>
      </c>
      <c r="C374" s="9">
        <f>5.6399 * CHOOSE(CONTROL!$C$32, $C$9, 100%, $E$9)</f>
        <v>5.6398999999999999</v>
      </c>
      <c r="D374" s="9">
        <f>5.6409 * CHOOSE(CONTROL!$C$32, $C$9, 100%, $E$9)</f>
        <v>5.6409000000000002</v>
      </c>
      <c r="E374" s="11">
        <f>6.7096 * CHOOSE(CONTROL!$C$32, $C$9, 100%, $E$9)</f>
        <v>6.7096</v>
      </c>
      <c r="F374" s="11">
        <f>6.7096 * CHOOSE(CONTROL!$C$32, $C$9, 100%, $E$9)</f>
        <v>6.7096</v>
      </c>
      <c r="G374" s="11">
        <f>6.7132 * CHOOSE(CONTROL!$C$32, $C$9, 100%, $E$9)</f>
        <v>6.7131999999999996</v>
      </c>
      <c r="H374" s="11">
        <f>11.7294 * CHOOSE(CONTROL!$C$32, $C$9, 100%, $E$9)</f>
        <v>11.7294</v>
      </c>
      <c r="I374" s="11">
        <f>11.733 * CHOOSE(CONTROL!$C$32, $C$9, 100%, $E$9)</f>
        <v>11.733000000000001</v>
      </c>
      <c r="J374" s="11">
        <f>11.7294 * CHOOSE(CONTROL!$C$32, $C$9, 100%, $E$9)</f>
        <v>11.7294</v>
      </c>
      <c r="K374" s="11">
        <f>11.733 * CHOOSE(CONTROL!$C$32, $C$9, 100%, $E$9)</f>
        <v>11.733000000000001</v>
      </c>
      <c r="L374" s="11">
        <f>6.7096 * CHOOSE(CONTROL!$C$32, $C$9, 100%, $E$9)</f>
        <v>6.7096</v>
      </c>
      <c r="M374" s="11">
        <f>6.7132 * CHOOSE(CONTROL!$C$32, $C$9, 100%, $E$9)</f>
        <v>6.7131999999999996</v>
      </c>
      <c r="N374" s="11">
        <f>6.7096 * CHOOSE(CONTROL!$C$32, $C$9, 100%, $E$9)</f>
        <v>6.7096</v>
      </c>
      <c r="O374" s="11">
        <f>6.7132 * CHOOSE(CONTROL!$C$32, $C$9, 100%, $E$9)</f>
        <v>6.7131999999999996</v>
      </c>
    </row>
    <row r="375" spans="1:15" ht="15" x14ac:dyDescent="0.2">
      <c r="A375" s="13">
        <v>52263</v>
      </c>
      <c r="B375" s="9">
        <f>5.6368 * CHOOSE(CONTROL!$C$32, $C$9, 100%, $E$9)</f>
        <v>5.6368</v>
      </c>
      <c r="C375" s="9">
        <f>5.6368 * CHOOSE(CONTROL!$C$32, $C$9, 100%, $E$9)</f>
        <v>5.6368</v>
      </c>
      <c r="D375" s="9">
        <f>5.6379 * CHOOSE(CONTROL!$C$32, $C$9, 100%, $E$9)</f>
        <v>5.6379000000000001</v>
      </c>
      <c r="E375" s="11">
        <f>6.5809 * CHOOSE(CONTROL!$C$32, $C$9, 100%, $E$9)</f>
        <v>6.5808999999999997</v>
      </c>
      <c r="F375" s="11">
        <f>6.5809 * CHOOSE(CONTROL!$C$32, $C$9, 100%, $E$9)</f>
        <v>6.5808999999999997</v>
      </c>
      <c r="G375" s="11">
        <f>6.5845 * CHOOSE(CONTROL!$C$32, $C$9, 100%, $E$9)</f>
        <v>6.5845000000000002</v>
      </c>
      <c r="H375" s="11">
        <f>11.7539 * CHOOSE(CONTROL!$C$32, $C$9, 100%, $E$9)</f>
        <v>11.7539</v>
      </c>
      <c r="I375" s="11">
        <f>11.7575 * CHOOSE(CONTROL!$C$32, $C$9, 100%, $E$9)</f>
        <v>11.7575</v>
      </c>
      <c r="J375" s="11">
        <f>11.7539 * CHOOSE(CONTROL!$C$32, $C$9, 100%, $E$9)</f>
        <v>11.7539</v>
      </c>
      <c r="K375" s="11">
        <f>11.7575 * CHOOSE(CONTROL!$C$32, $C$9, 100%, $E$9)</f>
        <v>11.7575</v>
      </c>
      <c r="L375" s="11">
        <f>6.5809 * CHOOSE(CONTROL!$C$32, $C$9, 100%, $E$9)</f>
        <v>6.5808999999999997</v>
      </c>
      <c r="M375" s="11">
        <f>6.5845 * CHOOSE(CONTROL!$C$32, $C$9, 100%, $E$9)</f>
        <v>6.5845000000000002</v>
      </c>
      <c r="N375" s="11">
        <f>6.5809 * CHOOSE(CONTROL!$C$32, $C$9, 100%, $E$9)</f>
        <v>6.5808999999999997</v>
      </c>
      <c r="O375" s="11">
        <f>6.5845 * CHOOSE(CONTROL!$C$32, $C$9, 100%, $E$9)</f>
        <v>6.5845000000000002</v>
      </c>
    </row>
    <row r="376" spans="1:15" ht="15" x14ac:dyDescent="0.2">
      <c r="A376" s="13">
        <v>52291</v>
      </c>
      <c r="B376" s="9">
        <f>5.6338 * CHOOSE(CONTROL!$C$32, $C$9, 100%, $E$9)</f>
        <v>5.6337999999999999</v>
      </c>
      <c r="C376" s="9">
        <f>5.6338 * CHOOSE(CONTROL!$C$32, $C$9, 100%, $E$9)</f>
        <v>5.6337999999999999</v>
      </c>
      <c r="D376" s="9">
        <f>5.6349 * CHOOSE(CONTROL!$C$32, $C$9, 100%, $E$9)</f>
        <v>5.6349</v>
      </c>
      <c r="E376" s="11">
        <f>6.6786 * CHOOSE(CONTROL!$C$32, $C$9, 100%, $E$9)</f>
        <v>6.6786000000000003</v>
      </c>
      <c r="F376" s="11">
        <f>6.6786 * CHOOSE(CONTROL!$C$32, $C$9, 100%, $E$9)</f>
        <v>6.6786000000000003</v>
      </c>
      <c r="G376" s="11">
        <f>6.6822 * CHOOSE(CONTROL!$C$32, $C$9, 100%, $E$9)</f>
        <v>6.6821999999999999</v>
      </c>
      <c r="H376" s="11">
        <f>11.7783 * CHOOSE(CONTROL!$C$32, $C$9, 100%, $E$9)</f>
        <v>11.7783</v>
      </c>
      <c r="I376" s="11">
        <f>11.782 * CHOOSE(CONTROL!$C$32, $C$9, 100%, $E$9)</f>
        <v>11.782</v>
      </c>
      <c r="J376" s="11">
        <f>11.7783 * CHOOSE(CONTROL!$C$32, $C$9, 100%, $E$9)</f>
        <v>11.7783</v>
      </c>
      <c r="K376" s="11">
        <f>11.782 * CHOOSE(CONTROL!$C$32, $C$9, 100%, $E$9)</f>
        <v>11.782</v>
      </c>
      <c r="L376" s="11">
        <f>6.6786 * CHOOSE(CONTROL!$C$32, $C$9, 100%, $E$9)</f>
        <v>6.6786000000000003</v>
      </c>
      <c r="M376" s="11">
        <f>6.6822 * CHOOSE(CONTROL!$C$32, $C$9, 100%, $E$9)</f>
        <v>6.6821999999999999</v>
      </c>
      <c r="N376" s="11">
        <f>6.6786 * CHOOSE(CONTROL!$C$32, $C$9, 100%, $E$9)</f>
        <v>6.6786000000000003</v>
      </c>
      <c r="O376" s="11">
        <f>6.6822 * CHOOSE(CONTROL!$C$32, $C$9, 100%, $E$9)</f>
        <v>6.6821999999999999</v>
      </c>
    </row>
    <row r="377" spans="1:15" ht="15" x14ac:dyDescent="0.2">
      <c r="A377" s="13">
        <v>52322</v>
      </c>
      <c r="B377" s="9">
        <f>5.633 * CHOOSE(CONTROL!$C$32, $C$9, 100%, $E$9)</f>
        <v>5.633</v>
      </c>
      <c r="C377" s="9">
        <f>5.633 * CHOOSE(CONTROL!$C$32, $C$9, 100%, $E$9)</f>
        <v>5.633</v>
      </c>
      <c r="D377" s="9">
        <f>5.6341 * CHOOSE(CONTROL!$C$32, $C$9, 100%, $E$9)</f>
        <v>5.6341000000000001</v>
      </c>
      <c r="E377" s="11">
        <f>6.7815 * CHOOSE(CONTROL!$C$32, $C$9, 100%, $E$9)</f>
        <v>6.7815000000000003</v>
      </c>
      <c r="F377" s="11">
        <f>6.7815 * CHOOSE(CONTROL!$C$32, $C$9, 100%, $E$9)</f>
        <v>6.7815000000000003</v>
      </c>
      <c r="G377" s="11">
        <f>6.7852 * CHOOSE(CONTROL!$C$32, $C$9, 100%, $E$9)</f>
        <v>6.7851999999999997</v>
      </c>
      <c r="H377" s="11">
        <f>11.8029 * CHOOSE(CONTROL!$C$32, $C$9, 100%, $E$9)</f>
        <v>11.802899999999999</v>
      </c>
      <c r="I377" s="11">
        <f>11.8065 * CHOOSE(CONTROL!$C$32, $C$9, 100%, $E$9)</f>
        <v>11.8065</v>
      </c>
      <c r="J377" s="11">
        <f>11.8029 * CHOOSE(CONTROL!$C$32, $C$9, 100%, $E$9)</f>
        <v>11.802899999999999</v>
      </c>
      <c r="K377" s="11">
        <f>11.8065 * CHOOSE(CONTROL!$C$32, $C$9, 100%, $E$9)</f>
        <v>11.8065</v>
      </c>
      <c r="L377" s="11">
        <f>6.7815 * CHOOSE(CONTROL!$C$32, $C$9, 100%, $E$9)</f>
        <v>6.7815000000000003</v>
      </c>
      <c r="M377" s="11">
        <f>6.7852 * CHOOSE(CONTROL!$C$32, $C$9, 100%, $E$9)</f>
        <v>6.7851999999999997</v>
      </c>
      <c r="N377" s="11">
        <f>6.7815 * CHOOSE(CONTROL!$C$32, $C$9, 100%, $E$9)</f>
        <v>6.7815000000000003</v>
      </c>
      <c r="O377" s="11">
        <f>6.7852 * CHOOSE(CONTROL!$C$32, $C$9, 100%, $E$9)</f>
        <v>6.7851999999999997</v>
      </c>
    </row>
    <row r="378" spans="1:15" ht="15" x14ac:dyDescent="0.2">
      <c r="A378" s="13">
        <v>52352</v>
      </c>
      <c r="B378" s="9">
        <f>5.633 * CHOOSE(CONTROL!$C$32, $C$9, 100%, $E$9)</f>
        <v>5.633</v>
      </c>
      <c r="C378" s="9">
        <f>5.633 * CHOOSE(CONTROL!$C$32, $C$9, 100%, $E$9)</f>
        <v>5.633</v>
      </c>
      <c r="D378" s="9">
        <f>5.6346 * CHOOSE(CONTROL!$C$32, $C$9, 100%, $E$9)</f>
        <v>5.6345999999999998</v>
      </c>
      <c r="E378" s="11">
        <f>6.8217 * CHOOSE(CONTROL!$C$32, $C$9, 100%, $E$9)</f>
        <v>6.8216999999999999</v>
      </c>
      <c r="F378" s="11">
        <f>6.8217 * CHOOSE(CONTROL!$C$32, $C$9, 100%, $E$9)</f>
        <v>6.8216999999999999</v>
      </c>
      <c r="G378" s="11">
        <f>6.827 * CHOOSE(CONTROL!$C$32, $C$9, 100%, $E$9)</f>
        <v>6.827</v>
      </c>
      <c r="H378" s="11">
        <f>11.8275 * CHOOSE(CONTROL!$C$32, $C$9, 100%, $E$9)</f>
        <v>11.827500000000001</v>
      </c>
      <c r="I378" s="11">
        <f>11.8328 * CHOOSE(CONTROL!$C$32, $C$9, 100%, $E$9)</f>
        <v>11.832800000000001</v>
      </c>
      <c r="J378" s="11">
        <f>11.8275 * CHOOSE(CONTROL!$C$32, $C$9, 100%, $E$9)</f>
        <v>11.827500000000001</v>
      </c>
      <c r="K378" s="11">
        <f>11.8328 * CHOOSE(CONTROL!$C$32, $C$9, 100%, $E$9)</f>
        <v>11.832800000000001</v>
      </c>
      <c r="L378" s="11">
        <f>6.8217 * CHOOSE(CONTROL!$C$32, $C$9, 100%, $E$9)</f>
        <v>6.8216999999999999</v>
      </c>
      <c r="M378" s="11">
        <f>6.827 * CHOOSE(CONTROL!$C$32, $C$9, 100%, $E$9)</f>
        <v>6.827</v>
      </c>
      <c r="N378" s="11">
        <f>6.8217 * CHOOSE(CONTROL!$C$32, $C$9, 100%, $E$9)</f>
        <v>6.8216999999999999</v>
      </c>
      <c r="O378" s="11">
        <f>6.827 * CHOOSE(CONTROL!$C$32, $C$9, 100%, $E$9)</f>
        <v>6.827</v>
      </c>
    </row>
    <row r="379" spans="1:15" ht="15" x14ac:dyDescent="0.2">
      <c r="A379" s="13">
        <v>52383</v>
      </c>
      <c r="B379" s="9">
        <f>5.6391 * CHOOSE(CONTROL!$C$32, $C$9, 100%, $E$9)</f>
        <v>5.6391</v>
      </c>
      <c r="C379" s="9">
        <f>5.6391 * CHOOSE(CONTROL!$C$32, $C$9, 100%, $E$9)</f>
        <v>5.6391</v>
      </c>
      <c r="D379" s="9">
        <f>5.6407 * CHOOSE(CONTROL!$C$32, $C$9, 100%, $E$9)</f>
        <v>5.6406999999999998</v>
      </c>
      <c r="E379" s="11">
        <f>6.7858 * CHOOSE(CONTROL!$C$32, $C$9, 100%, $E$9)</f>
        <v>6.7858000000000001</v>
      </c>
      <c r="F379" s="11">
        <f>6.7858 * CHOOSE(CONTROL!$C$32, $C$9, 100%, $E$9)</f>
        <v>6.7858000000000001</v>
      </c>
      <c r="G379" s="11">
        <f>6.7911 * CHOOSE(CONTROL!$C$32, $C$9, 100%, $E$9)</f>
        <v>6.7911000000000001</v>
      </c>
      <c r="H379" s="11">
        <f>11.8521 * CHOOSE(CONTROL!$C$32, $C$9, 100%, $E$9)</f>
        <v>11.8521</v>
      </c>
      <c r="I379" s="11">
        <f>11.8574 * CHOOSE(CONTROL!$C$32, $C$9, 100%, $E$9)</f>
        <v>11.8574</v>
      </c>
      <c r="J379" s="11">
        <f>11.8521 * CHOOSE(CONTROL!$C$32, $C$9, 100%, $E$9)</f>
        <v>11.8521</v>
      </c>
      <c r="K379" s="11">
        <f>11.8574 * CHOOSE(CONTROL!$C$32, $C$9, 100%, $E$9)</f>
        <v>11.8574</v>
      </c>
      <c r="L379" s="11">
        <f>6.7858 * CHOOSE(CONTROL!$C$32, $C$9, 100%, $E$9)</f>
        <v>6.7858000000000001</v>
      </c>
      <c r="M379" s="11">
        <f>6.7911 * CHOOSE(CONTROL!$C$32, $C$9, 100%, $E$9)</f>
        <v>6.7911000000000001</v>
      </c>
      <c r="N379" s="11">
        <f>6.7858 * CHOOSE(CONTROL!$C$32, $C$9, 100%, $E$9)</f>
        <v>6.7858000000000001</v>
      </c>
      <c r="O379" s="11">
        <f>6.7911 * CHOOSE(CONTROL!$C$32, $C$9, 100%, $E$9)</f>
        <v>6.7911000000000001</v>
      </c>
    </row>
    <row r="380" spans="1:15" ht="15" x14ac:dyDescent="0.2">
      <c r="A380" s="13">
        <v>52413</v>
      </c>
      <c r="B380" s="9">
        <f>5.7154 * CHOOSE(CONTROL!$C$32, $C$9, 100%, $E$9)</f>
        <v>5.7153999999999998</v>
      </c>
      <c r="C380" s="9">
        <f>5.7154 * CHOOSE(CONTROL!$C$32, $C$9, 100%, $E$9)</f>
        <v>5.7153999999999998</v>
      </c>
      <c r="D380" s="9">
        <f>5.7169 * CHOOSE(CONTROL!$C$32, $C$9, 100%, $E$9)</f>
        <v>5.7168999999999999</v>
      </c>
      <c r="E380" s="11">
        <f>6.8109 * CHOOSE(CONTROL!$C$32, $C$9, 100%, $E$9)</f>
        <v>6.8109000000000002</v>
      </c>
      <c r="F380" s="11">
        <f>6.8109 * CHOOSE(CONTROL!$C$32, $C$9, 100%, $E$9)</f>
        <v>6.8109000000000002</v>
      </c>
      <c r="G380" s="11">
        <f>6.8162 * CHOOSE(CONTROL!$C$32, $C$9, 100%, $E$9)</f>
        <v>6.8162000000000003</v>
      </c>
      <c r="H380" s="11">
        <f>11.8768 * CHOOSE(CONTROL!$C$32, $C$9, 100%, $E$9)</f>
        <v>11.876799999999999</v>
      </c>
      <c r="I380" s="11">
        <f>11.8821 * CHOOSE(CONTROL!$C$32, $C$9, 100%, $E$9)</f>
        <v>11.882099999999999</v>
      </c>
      <c r="J380" s="11">
        <f>11.8768 * CHOOSE(CONTROL!$C$32, $C$9, 100%, $E$9)</f>
        <v>11.876799999999999</v>
      </c>
      <c r="K380" s="11">
        <f>11.8821 * CHOOSE(CONTROL!$C$32, $C$9, 100%, $E$9)</f>
        <v>11.882099999999999</v>
      </c>
      <c r="L380" s="11">
        <f>6.8109 * CHOOSE(CONTROL!$C$32, $C$9, 100%, $E$9)</f>
        <v>6.8109000000000002</v>
      </c>
      <c r="M380" s="11">
        <f>6.8162 * CHOOSE(CONTROL!$C$32, $C$9, 100%, $E$9)</f>
        <v>6.8162000000000003</v>
      </c>
      <c r="N380" s="11">
        <f>6.8109 * CHOOSE(CONTROL!$C$32, $C$9, 100%, $E$9)</f>
        <v>6.8109000000000002</v>
      </c>
      <c r="O380" s="11">
        <f>6.8162 * CHOOSE(CONTROL!$C$32, $C$9, 100%, $E$9)</f>
        <v>6.8162000000000003</v>
      </c>
    </row>
    <row r="381" spans="1:15" ht="15" x14ac:dyDescent="0.2">
      <c r="A381" s="13">
        <v>52444</v>
      </c>
      <c r="B381" s="9">
        <f>5.7221 * CHOOSE(CONTROL!$C$32, $C$9, 100%, $E$9)</f>
        <v>5.7221000000000002</v>
      </c>
      <c r="C381" s="9">
        <f>5.7221 * CHOOSE(CONTROL!$C$32, $C$9, 100%, $E$9)</f>
        <v>5.7221000000000002</v>
      </c>
      <c r="D381" s="9">
        <f>5.7236 * CHOOSE(CONTROL!$C$32, $C$9, 100%, $E$9)</f>
        <v>5.7236000000000002</v>
      </c>
      <c r="E381" s="11">
        <f>6.695 * CHOOSE(CONTROL!$C$32, $C$9, 100%, $E$9)</f>
        <v>6.6950000000000003</v>
      </c>
      <c r="F381" s="11">
        <f>6.695 * CHOOSE(CONTROL!$C$32, $C$9, 100%, $E$9)</f>
        <v>6.6950000000000003</v>
      </c>
      <c r="G381" s="11">
        <f>6.7003 * CHOOSE(CONTROL!$C$32, $C$9, 100%, $E$9)</f>
        <v>6.7003000000000004</v>
      </c>
      <c r="H381" s="11">
        <f>11.9015 * CHOOSE(CONTROL!$C$32, $C$9, 100%, $E$9)</f>
        <v>11.9015</v>
      </c>
      <c r="I381" s="11">
        <f>11.9068 * CHOOSE(CONTROL!$C$32, $C$9, 100%, $E$9)</f>
        <v>11.9068</v>
      </c>
      <c r="J381" s="11">
        <f>11.9015 * CHOOSE(CONTROL!$C$32, $C$9, 100%, $E$9)</f>
        <v>11.9015</v>
      </c>
      <c r="K381" s="11">
        <f>11.9068 * CHOOSE(CONTROL!$C$32, $C$9, 100%, $E$9)</f>
        <v>11.9068</v>
      </c>
      <c r="L381" s="11">
        <f>6.695 * CHOOSE(CONTROL!$C$32, $C$9, 100%, $E$9)</f>
        <v>6.6950000000000003</v>
      </c>
      <c r="M381" s="11">
        <f>6.7003 * CHOOSE(CONTROL!$C$32, $C$9, 100%, $E$9)</f>
        <v>6.7003000000000004</v>
      </c>
      <c r="N381" s="11">
        <f>6.695 * CHOOSE(CONTROL!$C$32, $C$9, 100%, $E$9)</f>
        <v>6.6950000000000003</v>
      </c>
      <c r="O381" s="11">
        <f>6.7003 * CHOOSE(CONTROL!$C$32, $C$9, 100%, $E$9)</f>
        <v>6.7003000000000004</v>
      </c>
    </row>
    <row r="382" spans="1:15" ht="15" x14ac:dyDescent="0.2">
      <c r="A382" s="13">
        <v>52475</v>
      </c>
      <c r="B382" s="9">
        <f>5.719 * CHOOSE(CONTROL!$C$32, $C$9, 100%, $E$9)</f>
        <v>5.7190000000000003</v>
      </c>
      <c r="C382" s="9">
        <f>5.719 * CHOOSE(CONTROL!$C$32, $C$9, 100%, $E$9)</f>
        <v>5.7190000000000003</v>
      </c>
      <c r="D382" s="9">
        <f>5.7206 * CHOOSE(CONTROL!$C$32, $C$9, 100%, $E$9)</f>
        <v>5.7206000000000001</v>
      </c>
      <c r="E382" s="11">
        <f>6.6795 * CHOOSE(CONTROL!$C$32, $C$9, 100%, $E$9)</f>
        <v>6.6795</v>
      </c>
      <c r="F382" s="11">
        <f>6.6795 * CHOOSE(CONTROL!$C$32, $C$9, 100%, $E$9)</f>
        <v>6.6795</v>
      </c>
      <c r="G382" s="11">
        <f>6.6848 * CHOOSE(CONTROL!$C$32, $C$9, 100%, $E$9)</f>
        <v>6.6848000000000001</v>
      </c>
      <c r="H382" s="11">
        <f>11.9263 * CHOOSE(CONTROL!$C$32, $C$9, 100%, $E$9)</f>
        <v>11.926299999999999</v>
      </c>
      <c r="I382" s="11">
        <f>11.9316 * CHOOSE(CONTROL!$C$32, $C$9, 100%, $E$9)</f>
        <v>11.9316</v>
      </c>
      <c r="J382" s="11">
        <f>11.9263 * CHOOSE(CONTROL!$C$32, $C$9, 100%, $E$9)</f>
        <v>11.926299999999999</v>
      </c>
      <c r="K382" s="11">
        <f>11.9316 * CHOOSE(CONTROL!$C$32, $C$9, 100%, $E$9)</f>
        <v>11.9316</v>
      </c>
      <c r="L382" s="11">
        <f>6.6795 * CHOOSE(CONTROL!$C$32, $C$9, 100%, $E$9)</f>
        <v>6.6795</v>
      </c>
      <c r="M382" s="11">
        <f>6.6848 * CHOOSE(CONTROL!$C$32, $C$9, 100%, $E$9)</f>
        <v>6.6848000000000001</v>
      </c>
      <c r="N382" s="11">
        <f>6.6795 * CHOOSE(CONTROL!$C$32, $C$9, 100%, $E$9)</f>
        <v>6.6795</v>
      </c>
      <c r="O382" s="11">
        <f>6.6848 * CHOOSE(CONTROL!$C$32, $C$9, 100%, $E$9)</f>
        <v>6.6848000000000001</v>
      </c>
    </row>
    <row r="383" spans="1:15" ht="15" x14ac:dyDescent="0.2">
      <c r="A383" s="13">
        <v>52505</v>
      </c>
      <c r="B383" s="9">
        <f>5.7205 * CHOOSE(CONTROL!$C$32, $C$9, 100%, $E$9)</f>
        <v>5.7205000000000004</v>
      </c>
      <c r="C383" s="9">
        <f>5.7205 * CHOOSE(CONTROL!$C$32, $C$9, 100%, $E$9)</f>
        <v>5.7205000000000004</v>
      </c>
      <c r="D383" s="9">
        <f>5.7215 * CHOOSE(CONTROL!$C$32, $C$9, 100%, $E$9)</f>
        <v>5.7214999999999998</v>
      </c>
      <c r="E383" s="11">
        <f>6.7197 * CHOOSE(CONTROL!$C$32, $C$9, 100%, $E$9)</f>
        <v>6.7196999999999996</v>
      </c>
      <c r="F383" s="11">
        <f>6.7197 * CHOOSE(CONTROL!$C$32, $C$9, 100%, $E$9)</f>
        <v>6.7196999999999996</v>
      </c>
      <c r="G383" s="11">
        <f>6.7233 * CHOOSE(CONTROL!$C$32, $C$9, 100%, $E$9)</f>
        <v>6.7233000000000001</v>
      </c>
      <c r="H383" s="11">
        <f>11.9512 * CHOOSE(CONTROL!$C$32, $C$9, 100%, $E$9)</f>
        <v>11.9512</v>
      </c>
      <c r="I383" s="11">
        <f>11.9548 * CHOOSE(CONTROL!$C$32, $C$9, 100%, $E$9)</f>
        <v>11.954800000000001</v>
      </c>
      <c r="J383" s="11">
        <f>11.9512 * CHOOSE(CONTROL!$C$32, $C$9, 100%, $E$9)</f>
        <v>11.9512</v>
      </c>
      <c r="K383" s="11">
        <f>11.9548 * CHOOSE(CONTROL!$C$32, $C$9, 100%, $E$9)</f>
        <v>11.954800000000001</v>
      </c>
      <c r="L383" s="11">
        <f>6.7197 * CHOOSE(CONTROL!$C$32, $C$9, 100%, $E$9)</f>
        <v>6.7196999999999996</v>
      </c>
      <c r="M383" s="11">
        <f>6.7233 * CHOOSE(CONTROL!$C$32, $C$9, 100%, $E$9)</f>
        <v>6.7233000000000001</v>
      </c>
      <c r="N383" s="11">
        <f>6.7197 * CHOOSE(CONTROL!$C$32, $C$9, 100%, $E$9)</f>
        <v>6.7196999999999996</v>
      </c>
      <c r="O383" s="11">
        <f>6.7233 * CHOOSE(CONTROL!$C$32, $C$9, 100%, $E$9)</f>
        <v>6.7233000000000001</v>
      </c>
    </row>
    <row r="384" spans="1:15" ht="15" x14ac:dyDescent="0.2">
      <c r="A384" s="13">
        <v>52536</v>
      </c>
      <c r="B384" s="9">
        <f>5.7235 * CHOOSE(CONTROL!$C$32, $C$9, 100%, $E$9)</f>
        <v>5.7234999999999996</v>
      </c>
      <c r="C384" s="9">
        <f>5.7235 * CHOOSE(CONTROL!$C$32, $C$9, 100%, $E$9)</f>
        <v>5.7234999999999996</v>
      </c>
      <c r="D384" s="9">
        <f>5.7246 * CHOOSE(CONTROL!$C$32, $C$9, 100%, $E$9)</f>
        <v>5.7245999999999997</v>
      </c>
      <c r="E384" s="11">
        <f>6.7486 * CHOOSE(CONTROL!$C$32, $C$9, 100%, $E$9)</f>
        <v>6.7485999999999997</v>
      </c>
      <c r="F384" s="11">
        <f>6.7486 * CHOOSE(CONTROL!$C$32, $C$9, 100%, $E$9)</f>
        <v>6.7485999999999997</v>
      </c>
      <c r="G384" s="11">
        <f>6.7522 * CHOOSE(CONTROL!$C$32, $C$9, 100%, $E$9)</f>
        <v>6.7522000000000002</v>
      </c>
      <c r="H384" s="11">
        <f>11.9761 * CHOOSE(CONTROL!$C$32, $C$9, 100%, $E$9)</f>
        <v>11.976100000000001</v>
      </c>
      <c r="I384" s="11">
        <f>11.9797 * CHOOSE(CONTROL!$C$32, $C$9, 100%, $E$9)</f>
        <v>11.979699999999999</v>
      </c>
      <c r="J384" s="11">
        <f>11.9761 * CHOOSE(CONTROL!$C$32, $C$9, 100%, $E$9)</f>
        <v>11.976100000000001</v>
      </c>
      <c r="K384" s="11">
        <f>11.9797 * CHOOSE(CONTROL!$C$32, $C$9, 100%, $E$9)</f>
        <v>11.979699999999999</v>
      </c>
      <c r="L384" s="11">
        <f>6.7486 * CHOOSE(CONTROL!$C$32, $C$9, 100%, $E$9)</f>
        <v>6.7485999999999997</v>
      </c>
      <c r="M384" s="11">
        <f>6.7522 * CHOOSE(CONTROL!$C$32, $C$9, 100%, $E$9)</f>
        <v>6.7522000000000002</v>
      </c>
      <c r="N384" s="11">
        <f>6.7486 * CHOOSE(CONTROL!$C$32, $C$9, 100%, $E$9)</f>
        <v>6.7485999999999997</v>
      </c>
      <c r="O384" s="11">
        <f>6.7522 * CHOOSE(CONTROL!$C$32, $C$9, 100%, $E$9)</f>
        <v>6.7522000000000002</v>
      </c>
    </row>
    <row r="385" spans="1:15" ht="15" x14ac:dyDescent="0.2">
      <c r="A385" s="13">
        <v>52566</v>
      </c>
      <c r="B385" s="9">
        <f>5.7235 * CHOOSE(CONTROL!$C$32, $C$9, 100%, $E$9)</f>
        <v>5.7234999999999996</v>
      </c>
      <c r="C385" s="9">
        <f>5.7235 * CHOOSE(CONTROL!$C$32, $C$9, 100%, $E$9)</f>
        <v>5.7234999999999996</v>
      </c>
      <c r="D385" s="9">
        <f>5.7246 * CHOOSE(CONTROL!$C$32, $C$9, 100%, $E$9)</f>
        <v>5.7245999999999997</v>
      </c>
      <c r="E385" s="11">
        <f>6.6816 * CHOOSE(CONTROL!$C$32, $C$9, 100%, $E$9)</f>
        <v>6.6816000000000004</v>
      </c>
      <c r="F385" s="11">
        <f>6.6816 * CHOOSE(CONTROL!$C$32, $C$9, 100%, $E$9)</f>
        <v>6.6816000000000004</v>
      </c>
      <c r="G385" s="11">
        <f>6.6852 * CHOOSE(CONTROL!$C$32, $C$9, 100%, $E$9)</f>
        <v>6.6852</v>
      </c>
      <c r="H385" s="11">
        <f>12.001 * CHOOSE(CONTROL!$C$32, $C$9, 100%, $E$9)</f>
        <v>12.000999999999999</v>
      </c>
      <c r="I385" s="11">
        <f>12.0046 * CHOOSE(CONTROL!$C$32, $C$9, 100%, $E$9)</f>
        <v>12.0046</v>
      </c>
      <c r="J385" s="11">
        <f>12.001 * CHOOSE(CONTROL!$C$32, $C$9, 100%, $E$9)</f>
        <v>12.000999999999999</v>
      </c>
      <c r="K385" s="11">
        <f>12.0046 * CHOOSE(CONTROL!$C$32, $C$9, 100%, $E$9)</f>
        <v>12.0046</v>
      </c>
      <c r="L385" s="11">
        <f>6.6816 * CHOOSE(CONTROL!$C$32, $C$9, 100%, $E$9)</f>
        <v>6.6816000000000004</v>
      </c>
      <c r="M385" s="11">
        <f>6.6852 * CHOOSE(CONTROL!$C$32, $C$9, 100%, $E$9)</f>
        <v>6.6852</v>
      </c>
      <c r="N385" s="11">
        <f>6.6816 * CHOOSE(CONTROL!$C$32, $C$9, 100%, $E$9)</f>
        <v>6.6816000000000004</v>
      </c>
      <c r="O385" s="11">
        <f>6.6852 * CHOOSE(CONTROL!$C$32, $C$9, 100%, $E$9)</f>
        <v>6.6852</v>
      </c>
    </row>
    <row r="386" spans="1:15" ht="15" x14ac:dyDescent="0.2">
      <c r="A386" s="13">
        <v>52597</v>
      </c>
      <c r="B386" s="9">
        <f>5.7676 * CHOOSE(CONTROL!$C$32, $C$9, 100%, $E$9)</f>
        <v>5.7675999999999998</v>
      </c>
      <c r="C386" s="9">
        <f>5.7676 * CHOOSE(CONTROL!$C$32, $C$9, 100%, $E$9)</f>
        <v>5.7675999999999998</v>
      </c>
      <c r="D386" s="9">
        <f>5.7686 * CHOOSE(CONTROL!$C$32, $C$9, 100%, $E$9)</f>
        <v>5.7686000000000002</v>
      </c>
      <c r="E386" s="11">
        <f>6.7573 * CHOOSE(CONTROL!$C$32, $C$9, 100%, $E$9)</f>
        <v>6.7572999999999999</v>
      </c>
      <c r="F386" s="11">
        <f>6.7573 * CHOOSE(CONTROL!$C$32, $C$9, 100%, $E$9)</f>
        <v>6.7572999999999999</v>
      </c>
      <c r="G386" s="11">
        <f>6.7609 * CHOOSE(CONTROL!$C$32, $C$9, 100%, $E$9)</f>
        <v>6.7609000000000004</v>
      </c>
      <c r="H386" s="11">
        <f>12.026 * CHOOSE(CONTROL!$C$32, $C$9, 100%, $E$9)</f>
        <v>12.026</v>
      </c>
      <c r="I386" s="11">
        <f>12.0297 * CHOOSE(CONTROL!$C$32, $C$9, 100%, $E$9)</f>
        <v>12.0297</v>
      </c>
      <c r="J386" s="11">
        <f>12.026 * CHOOSE(CONTROL!$C$32, $C$9, 100%, $E$9)</f>
        <v>12.026</v>
      </c>
      <c r="K386" s="11">
        <f>12.0297 * CHOOSE(CONTROL!$C$32, $C$9, 100%, $E$9)</f>
        <v>12.0297</v>
      </c>
      <c r="L386" s="11">
        <f>6.7573 * CHOOSE(CONTROL!$C$32, $C$9, 100%, $E$9)</f>
        <v>6.7572999999999999</v>
      </c>
      <c r="M386" s="11">
        <f>6.7609 * CHOOSE(CONTROL!$C$32, $C$9, 100%, $E$9)</f>
        <v>6.7609000000000004</v>
      </c>
      <c r="N386" s="11">
        <f>6.7573 * CHOOSE(CONTROL!$C$32, $C$9, 100%, $E$9)</f>
        <v>6.7572999999999999</v>
      </c>
      <c r="O386" s="11">
        <f>6.7609 * CHOOSE(CONTROL!$C$32, $C$9, 100%, $E$9)</f>
        <v>6.7609000000000004</v>
      </c>
    </row>
    <row r="387" spans="1:15" ht="15" x14ac:dyDescent="0.2">
      <c r="A387" s="13">
        <v>52628</v>
      </c>
      <c r="B387" s="9">
        <f>5.7645 * CHOOSE(CONTROL!$C$32, $C$9, 100%, $E$9)</f>
        <v>5.7645</v>
      </c>
      <c r="C387" s="9">
        <f>5.7645 * CHOOSE(CONTROL!$C$32, $C$9, 100%, $E$9)</f>
        <v>5.7645</v>
      </c>
      <c r="D387" s="9">
        <f>5.7656 * CHOOSE(CONTROL!$C$32, $C$9, 100%, $E$9)</f>
        <v>5.7656000000000001</v>
      </c>
      <c r="E387" s="11">
        <f>6.6244 * CHOOSE(CONTROL!$C$32, $C$9, 100%, $E$9)</f>
        <v>6.6243999999999996</v>
      </c>
      <c r="F387" s="11">
        <f>6.6244 * CHOOSE(CONTROL!$C$32, $C$9, 100%, $E$9)</f>
        <v>6.6243999999999996</v>
      </c>
      <c r="G387" s="11">
        <f>6.628 * CHOOSE(CONTROL!$C$32, $C$9, 100%, $E$9)</f>
        <v>6.6280000000000001</v>
      </c>
      <c r="H387" s="11">
        <f>12.0511 * CHOOSE(CONTROL!$C$32, $C$9, 100%, $E$9)</f>
        <v>12.0511</v>
      </c>
      <c r="I387" s="11">
        <f>12.0547 * CHOOSE(CONTROL!$C$32, $C$9, 100%, $E$9)</f>
        <v>12.0547</v>
      </c>
      <c r="J387" s="11">
        <f>12.0511 * CHOOSE(CONTROL!$C$32, $C$9, 100%, $E$9)</f>
        <v>12.0511</v>
      </c>
      <c r="K387" s="11">
        <f>12.0547 * CHOOSE(CONTROL!$C$32, $C$9, 100%, $E$9)</f>
        <v>12.0547</v>
      </c>
      <c r="L387" s="11">
        <f>6.6244 * CHOOSE(CONTROL!$C$32, $C$9, 100%, $E$9)</f>
        <v>6.6243999999999996</v>
      </c>
      <c r="M387" s="11">
        <f>6.628 * CHOOSE(CONTROL!$C$32, $C$9, 100%, $E$9)</f>
        <v>6.6280000000000001</v>
      </c>
      <c r="N387" s="11">
        <f>6.6244 * CHOOSE(CONTROL!$C$32, $C$9, 100%, $E$9)</f>
        <v>6.6243999999999996</v>
      </c>
      <c r="O387" s="11">
        <f>6.628 * CHOOSE(CONTROL!$C$32, $C$9, 100%, $E$9)</f>
        <v>6.6280000000000001</v>
      </c>
    </row>
    <row r="388" spans="1:15" ht="15" x14ac:dyDescent="0.2">
      <c r="A388" s="13">
        <v>52657</v>
      </c>
      <c r="B388" s="9">
        <f>5.7615 * CHOOSE(CONTROL!$C$32, $C$9, 100%, $E$9)</f>
        <v>5.7614999999999998</v>
      </c>
      <c r="C388" s="9">
        <f>5.7615 * CHOOSE(CONTROL!$C$32, $C$9, 100%, $E$9)</f>
        <v>5.7614999999999998</v>
      </c>
      <c r="D388" s="9">
        <f>5.7626 * CHOOSE(CONTROL!$C$32, $C$9, 100%, $E$9)</f>
        <v>5.7625999999999999</v>
      </c>
      <c r="E388" s="11">
        <f>6.7254 * CHOOSE(CONTROL!$C$32, $C$9, 100%, $E$9)</f>
        <v>6.7253999999999996</v>
      </c>
      <c r="F388" s="11">
        <f>6.7254 * CHOOSE(CONTROL!$C$32, $C$9, 100%, $E$9)</f>
        <v>6.7253999999999996</v>
      </c>
      <c r="G388" s="11">
        <f>6.729 * CHOOSE(CONTROL!$C$32, $C$9, 100%, $E$9)</f>
        <v>6.7290000000000001</v>
      </c>
      <c r="H388" s="11">
        <f>12.0762 * CHOOSE(CONTROL!$C$32, $C$9, 100%, $E$9)</f>
        <v>12.0762</v>
      </c>
      <c r="I388" s="11">
        <f>12.0798 * CHOOSE(CONTROL!$C$32, $C$9, 100%, $E$9)</f>
        <v>12.079800000000001</v>
      </c>
      <c r="J388" s="11">
        <f>12.0762 * CHOOSE(CONTROL!$C$32, $C$9, 100%, $E$9)</f>
        <v>12.0762</v>
      </c>
      <c r="K388" s="11">
        <f>12.0798 * CHOOSE(CONTROL!$C$32, $C$9, 100%, $E$9)</f>
        <v>12.079800000000001</v>
      </c>
      <c r="L388" s="11">
        <f>6.7254 * CHOOSE(CONTROL!$C$32, $C$9, 100%, $E$9)</f>
        <v>6.7253999999999996</v>
      </c>
      <c r="M388" s="11">
        <f>6.729 * CHOOSE(CONTROL!$C$32, $C$9, 100%, $E$9)</f>
        <v>6.7290000000000001</v>
      </c>
      <c r="N388" s="11">
        <f>6.7254 * CHOOSE(CONTROL!$C$32, $C$9, 100%, $E$9)</f>
        <v>6.7253999999999996</v>
      </c>
      <c r="O388" s="11">
        <f>6.729 * CHOOSE(CONTROL!$C$32, $C$9, 100%, $E$9)</f>
        <v>6.7290000000000001</v>
      </c>
    </row>
    <row r="389" spans="1:15" ht="15" x14ac:dyDescent="0.2">
      <c r="A389" s="13">
        <v>52688</v>
      </c>
      <c r="B389" s="9">
        <f>5.7608 * CHOOSE(CONTROL!$C$32, $C$9, 100%, $E$9)</f>
        <v>5.7607999999999997</v>
      </c>
      <c r="C389" s="9">
        <f>5.7608 * CHOOSE(CONTROL!$C$32, $C$9, 100%, $E$9)</f>
        <v>5.7607999999999997</v>
      </c>
      <c r="D389" s="9">
        <f>5.7619 * CHOOSE(CONTROL!$C$32, $C$9, 100%, $E$9)</f>
        <v>5.7618999999999998</v>
      </c>
      <c r="E389" s="11">
        <f>6.8318 * CHOOSE(CONTROL!$C$32, $C$9, 100%, $E$9)</f>
        <v>6.8318000000000003</v>
      </c>
      <c r="F389" s="11">
        <f>6.8318 * CHOOSE(CONTROL!$C$32, $C$9, 100%, $E$9)</f>
        <v>6.8318000000000003</v>
      </c>
      <c r="G389" s="11">
        <f>6.8354 * CHOOSE(CONTROL!$C$32, $C$9, 100%, $E$9)</f>
        <v>6.8353999999999999</v>
      </c>
      <c r="H389" s="11">
        <f>12.1014 * CHOOSE(CONTROL!$C$32, $C$9, 100%, $E$9)</f>
        <v>12.1014</v>
      </c>
      <c r="I389" s="11">
        <f>12.105 * CHOOSE(CONTROL!$C$32, $C$9, 100%, $E$9)</f>
        <v>12.105</v>
      </c>
      <c r="J389" s="11">
        <f>12.1014 * CHOOSE(CONTROL!$C$32, $C$9, 100%, $E$9)</f>
        <v>12.1014</v>
      </c>
      <c r="K389" s="11">
        <f>12.105 * CHOOSE(CONTROL!$C$32, $C$9, 100%, $E$9)</f>
        <v>12.105</v>
      </c>
      <c r="L389" s="11">
        <f>6.8318 * CHOOSE(CONTROL!$C$32, $C$9, 100%, $E$9)</f>
        <v>6.8318000000000003</v>
      </c>
      <c r="M389" s="11">
        <f>6.8354 * CHOOSE(CONTROL!$C$32, $C$9, 100%, $E$9)</f>
        <v>6.8353999999999999</v>
      </c>
      <c r="N389" s="11">
        <f>6.8318 * CHOOSE(CONTROL!$C$32, $C$9, 100%, $E$9)</f>
        <v>6.8318000000000003</v>
      </c>
      <c r="O389" s="11">
        <f>6.8354 * CHOOSE(CONTROL!$C$32, $C$9, 100%, $E$9)</f>
        <v>6.8353999999999999</v>
      </c>
    </row>
    <row r="390" spans="1:15" ht="15" x14ac:dyDescent="0.2">
      <c r="A390" s="13">
        <v>52718</v>
      </c>
      <c r="B390" s="9">
        <f>5.7608 * CHOOSE(CONTROL!$C$32, $C$9, 100%, $E$9)</f>
        <v>5.7607999999999997</v>
      </c>
      <c r="C390" s="9">
        <f>5.7608 * CHOOSE(CONTROL!$C$32, $C$9, 100%, $E$9)</f>
        <v>5.7607999999999997</v>
      </c>
      <c r="D390" s="9">
        <f>5.7624 * CHOOSE(CONTROL!$C$32, $C$9, 100%, $E$9)</f>
        <v>5.7624000000000004</v>
      </c>
      <c r="E390" s="11">
        <f>6.8733 * CHOOSE(CONTROL!$C$32, $C$9, 100%, $E$9)</f>
        <v>6.8733000000000004</v>
      </c>
      <c r="F390" s="11">
        <f>6.8733 * CHOOSE(CONTROL!$C$32, $C$9, 100%, $E$9)</f>
        <v>6.8733000000000004</v>
      </c>
      <c r="G390" s="11">
        <f>6.8786 * CHOOSE(CONTROL!$C$32, $C$9, 100%, $E$9)</f>
        <v>6.8785999999999996</v>
      </c>
      <c r="H390" s="11">
        <f>12.1266 * CHOOSE(CONTROL!$C$32, $C$9, 100%, $E$9)</f>
        <v>12.1266</v>
      </c>
      <c r="I390" s="11">
        <f>12.1319 * CHOOSE(CONTROL!$C$32, $C$9, 100%, $E$9)</f>
        <v>12.1319</v>
      </c>
      <c r="J390" s="11">
        <f>12.1266 * CHOOSE(CONTROL!$C$32, $C$9, 100%, $E$9)</f>
        <v>12.1266</v>
      </c>
      <c r="K390" s="11">
        <f>12.1319 * CHOOSE(CONTROL!$C$32, $C$9, 100%, $E$9)</f>
        <v>12.1319</v>
      </c>
      <c r="L390" s="11">
        <f>6.8733 * CHOOSE(CONTROL!$C$32, $C$9, 100%, $E$9)</f>
        <v>6.8733000000000004</v>
      </c>
      <c r="M390" s="11">
        <f>6.8786 * CHOOSE(CONTROL!$C$32, $C$9, 100%, $E$9)</f>
        <v>6.8785999999999996</v>
      </c>
      <c r="N390" s="11">
        <f>6.8733 * CHOOSE(CONTROL!$C$32, $C$9, 100%, $E$9)</f>
        <v>6.8733000000000004</v>
      </c>
      <c r="O390" s="11">
        <f>6.8786 * CHOOSE(CONTROL!$C$32, $C$9, 100%, $E$9)</f>
        <v>6.8785999999999996</v>
      </c>
    </row>
    <row r="391" spans="1:15" ht="15" x14ac:dyDescent="0.2">
      <c r="A391" s="13">
        <v>52749</v>
      </c>
      <c r="B391" s="9">
        <f>5.7669 * CHOOSE(CONTROL!$C$32, $C$9, 100%, $E$9)</f>
        <v>5.7668999999999997</v>
      </c>
      <c r="C391" s="9">
        <f>5.7669 * CHOOSE(CONTROL!$C$32, $C$9, 100%, $E$9)</f>
        <v>5.7668999999999997</v>
      </c>
      <c r="D391" s="9">
        <f>5.7685 * CHOOSE(CONTROL!$C$32, $C$9, 100%, $E$9)</f>
        <v>5.7685000000000004</v>
      </c>
      <c r="E391" s="11">
        <f>6.836 * CHOOSE(CONTROL!$C$32, $C$9, 100%, $E$9)</f>
        <v>6.8360000000000003</v>
      </c>
      <c r="F391" s="11">
        <f>6.836 * CHOOSE(CONTROL!$C$32, $C$9, 100%, $E$9)</f>
        <v>6.8360000000000003</v>
      </c>
      <c r="G391" s="11">
        <f>6.8413 * CHOOSE(CONTROL!$C$32, $C$9, 100%, $E$9)</f>
        <v>6.8413000000000004</v>
      </c>
      <c r="H391" s="11">
        <f>12.1518 * CHOOSE(CONTROL!$C$32, $C$9, 100%, $E$9)</f>
        <v>12.1518</v>
      </c>
      <c r="I391" s="11">
        <f>12.1571 * CHOOSE(CONTROL!$C$32, $C$9, 100%, $E$9)</f>
        <v>12.1571</v>
      </c>
      <c r="J391" s="11">
        <f>12.1518 * CHOOSE(CONTROL!$C$32, $C$9, 100%, $E$9)</f>
        <v>12.1518</v>
      </c>
      <c r="K391" s="11">
        <f>12.1571 * CHOOSE(CONTROL!$C$32, $C$9, 100%, $E$9)</f>
        <v>12.1571</v>
      </c>
      <c r="L391" s="11">
        <f>6.836 * CHOOSE(CONTROL!$C$32, $C$9, 100%, $E$9)</f>
        <v>6.8360000000000003</v>
      </c>
      <c r="M391" s="11">
        <f>6.8413 * CHOOSE(CONTROL!$C$32, $C$9, 100%, $E$9)</f>
        <v>6.8413000000000004</v>
      </c>
      <c r="N391" s="11">
        <f>6.836 * CHOOSE(CONTROL!$C$32, $C$9, 100%, $E$9)</f>
        <v>6.8360000000000003</v>
      </c>
      <c r="O391" s="11">
        <f>6.8413 * CHOOSE(CONTROL!$C$32, $C$9, 100%, $E$9)</f>
        <v>6.8413000000000004</v>
      </c>
    </row>
    <row r="392" spans="1:15" ht="15" x14ac:dyDescent="0.2">
      <c r="A392" s="13">
        <v>52779</v>
      </c>
      <c r="B392" s="9">
        <f>5.845 * CHOOSE(CONTROL!$C$32, $C$9, 100%, $E$9)</f>
        <v>5.8449999999999998</v>
      </c>
      <c r="C392" s="9">
        <f>5.845 * CHOOSE(CONTROL!$C$32, $C$9, 100%, $E$9)</f>
        <v>5.8449999999999998</v>
      </c>
      <c r="D392" s="9">
        <f>5.8465 * CHOOSE(CONTROL!$C$32, $C$9, 100%, $E$9)</f>
        <v>5.8464999999999998</v>
      </c>
      <c r="E392" s="11">
        <f>6.8655 * CHOOSE(CONTROL!$C$32, $C$9, 100%, $E$9)</f>
        <v>6.8654999999999999</v>
      </c>
      <c r="F392" s="11">
        <f>6.8655 * CHOOSE(CONTROL!$C$32, $C$9, 100%, $E$9)</f>
        <v>6.8654999999999999</v>
      </c>
      <c r="G392" s="11">
        <f>6.8708 * CHOOSE(CONTROL!$C$32, $C$9, 100%, $E$9)</f>
        <v>6.8708</v>
      </c>
      <c r="H392" s="11">
        <f>12.1771 * CHOOSE(CONTROL!$C$32, $C$9, 100%, $E$9)</f>
        <v>12.177099999999999</v>
      </c>
      <c r="I392" s="11">
        <f>12.1824 * CHOOSE(CONTROL!$C$32, $C$9, 100%, $E$9)</f>
        <v>12.182399999999999</v>
      </c>
      <c r="J392" s="11">
        <f>12.1771 * CHOOSE(CONTROL!$C$32, $C$9, 100%, $E$9)</f>
        <v>12.177099999999999</v>
      </c>
      <c r="K392" s="11">
        <f>12.1824 * CHOOSE(CONTROL!$C$32, $C$9, 100%, $E$9)</f>
        <v>12.182399999999999</v>
      </c>
      <c r="L392" s="11">
        <f>6.8655 * CHOOSE(CONTROL!$C$32, $C$9, 100%, $E$9)</f>
        <v>6.8654999999999999</v>
      </c>
      <c r="M392" s="11">
        <f>6.8708 * CHOOSE(CONTROL!$C$32, $C$9, 100%, $E$9)</f>
        <v>6.8708</v>
      </c>
      <c r="N392" s="11">
        <f>6.8655 * CHOOSE(CONTROL!$C$32, $C$9, 100%, $E$9)</f>
        <v>6.8654999999999999</v>
      </c>
      <c r="O392" s="11">
        <f>6.8708 * CHOOSE(CONTROL!$C$32, $C$9, 100%, $E$9)</f>
        <v>6.8708</v>
      </c>
    </row>
    <row r="393" spans="1:15" ht="15" x14ac:dyDescent="0.2">
      <c r="A393" s="13">
        <v>52810</v>
      </c>
      <c r="B393" s="9">
        <f>5.8516 * CHOOSE(CONTROL!$C$32, $C$9, 100%, $E$9)</f>
        <v>5.8516000000000004</v>
      </c>
      <c r="C393" s="9">
        <f>5.8516 * CHOOSE(CONTROL!$C$32, $C$9, 100%, $E$9)</f>
        <v>5.8516000000000004</v>
      </c>
      <c r="D393" s="9">
        <f>5.8532 * CHOOSE(CONTROL!$C$32, $C$9, 100%, $E$9)</f>
        <v>5.8532000000000002</v>
      </c>
      <c r="E393" s="11">
        <f>6.7456 * CHOOSE(CONTROL!$C$32, $C$9, 100%, $E$9)</f>
        <v>6.7455999999999996</v>
      </c>
      <c r="F393" s="11">
        <f>6.7456 * CHOOSE(CONTROL!$C$32, $C$9, 100%, $E$9)</f>
        <v>6.7455999999999996</v>
      </c>
      <c r="G393" s="11">
        <f>6.7509 * CHOOSE(CONTROL!$C$32, $C$9, 100%, $E$9)</f>
        <v>6.7508999999999997</v>
      </c>
      <c r="H393" s="11">
        <f>12.2025 * CHOOSE(CONTROL!$C$32, $C$9, 100%, $E$9)</f>
        <v>12.202500000000001</v>
      </c>
      <c r="I393" s="11">
        <f>12.2078 * CHOOSE(CONTROL!$C$32, $C$9, 100%, $E$9)</f>
        <v>12.207800000000001</v>
      </c>
      <c r="J393" s="11">
        <f>12.2025 * CHOOSE(CONTROL!$C$32, $C$9, 100%, $E$9)</f>
        <v>12.202500000000001</v>
      </c>
      <c r="K393" s="11">
        <f>12.2078 * CHOOSE(CONTROL!$C$32, $C$9, 100%, $E$9)</f>
        <v>12.207800000000001</v>
      </c>
      <c r="L393" s="11">
        <f>6.7456 * CHOOSE(CONTROL!$C$32, $C$9, 100%, $E$9)</f>
        <v>6.7455999999999996</v>
      </c>
      <c r="M393" s="11">
        <f>6.7509 * CHOOSE(CONTROL!$C$32, $C$9, 100%, $E$9)</f>
        <v>6.7508999999999997</v>
      </c>
      <c r="N393" s="11">
        <f>6.7456 * CHOOSE(CONTROL!$C$32, $C$9, 100%, $E$9)</f>
        <v>6.7455999999999996</v>
      </c>
      <c r="O393" s="11">
        <f>6.7509 * CHOOSE(CONTROL!$C$32, $C$9, 100%, $E$9)</f>
        <v>6.7508999999999997</v>
      </c>
    </row>
    <row r="394" spans="1:15" ht="15" x14ac:dyDescent="0.2">
      <c r="A394" s="13">
        <v>52841</v>
      </c>
      <c r="B394" s="9">
        <f>5.8486 * CHOOSE(CONTROL!$C$32, $C$9, 100%, $E$9)</f>
        <v>5.8486000000000002</v>
      </c>
      <c r="C394" s="9">
        <f>5.8486 * CHOOSE(CONTROL!$C$32, $C$9, 100%, $E$9)</f>
        <v>5.8486000000000002</v>
      </c>
      <c r="D394" s="9">
        <f>5.8502 * CHOOSE(CONTROL!$C$32, $C$9, 100%, $E$9)</f>
        <v>5.8502000000000001</v>
      </c>
      <c r="E394" s="11">
        <f>6.7297 * CHOOSE(CONTROL!$C$32, $C$9, 100%, $E$9)</f>
        <v>6.7297000000000002</v>
      </c>
      <c r="F394" s="11">
        <f>6.7297 * CHOOSE(CONTROL!$C$32, $C$9, 100%, $E$9)</f>
        <v>6.7297000000000002</v>
      </c>
      <c r="G394" s="11">
        <f>6.735 * CHOOSE(CONTROL!$C$32, $C$9, 100%, $E$9)</f>
        <v>6.7350000000000003</v>
      </c>
      <c r="H394" s="11">
        <f>12.2279 * CHOOSE(CONTROL!$C$32, $C$9, 100%, $E$9)</f>
        <v>12.2279</v>
      </c>
      <c r="I394" s="11">
        <f>12.2332 * CHOOSE(CONTROL!$C$32, $C$9, 100%, $E$9)</f>
        <v>12.2332</v>
      </c>
      <c r="J394" s="11">
        <f>12.2279 * CHOOSE(CONTROL!$C$32, $C$9, 100%, $E$9)</f>
        <v>12.2279</v>
      </c>
      <c r="K394" s="11">
        <f>12.2332 * CHOOSE(CONTROL!$C$32, $C$9, 100%, $E$9)</f>
        <v>12.2332</v>
      </c>
      <c r="L394" s="11">
        <f>6.7297 * CHOOSE(CONTROL!$C$32, $C$9, 100%, $E$9)</f>
        <v>6.7297000000000002</v>
      </c>
      <c r="M394" s="11">
        <f>6.735 * CHOOSE(CONTROL!$C$32, $C$9, 100%, $E$9)</f>
        <v>6.7350000000000003</v>
      </c>
      <c r="N394" s="11">
        <f>6.7297 * CHOOSE(CONTROL!$C$32, $C$9, 100%, $E$9)</f>
        <v>6.7297000000000002</v>
      </c>
      <c r="O394" s="11">
        <f>6.735 * CHOOSE(CONTROL!$C$32, $C$9, 100%, $E$9)</f>
        <v>6.7350000000000003</v>
      </c>
    </row>
    <row r="395" spans="1:15" ht="15" x14ac:dyDescent="0.2">
      <c r="A395" s="13">
        <v>52871</v>
      </c>
      <c r="B395" s="9">
        <f>5.8505 * CHOOSE(CONTROL!$C$32, $C$9, 100%, $E$9)</f>
        <v>5.8505000000000003</v>
      </c>
      <c r="C395" s="9">
        <f>5.8505 * CHOOSE(CONTROL!$C$32, $C$9, 100%, $E$9)</f>
        <v>5.8505000000000003</v>
      </c>
      <c r="D395" s="9">
        <f>5.8516 * CHOOSE(CONTROL!$C$32, $C$9, 100%, $E$9)</f>
        <v>5.8516000000000004</v>
      </c>
      <c r="E395" s="11">
        <f>6.7716 * CHOOSE(CONTROL!$C$32, $C$9, 100%, $E$9)</f>
        <v>6.7716000000000003</v>
      </c>
      <c r="F395" s="11">
        <f>6.7716 * CHOOSE(CONTROL!$C$32, $C$9, 100%, $E$9)</f>
        <v>6.7716000000000003</v>
      </c>
      <c r="G395" s="11">
        <f>6.7752 * CHOOSE(CONTROL!$C$32, $C$9, 100%, $E$9)</f>
        <v>6.7751999999999999</v>
      </c>
      <c r="H395" s="11">
        <f>12.2534 * CHOOSE(CONTROL!$C$32, $C$9, 100%, $E$9)</f>
        <v>12.253399999999999</v>
      </c>
      <c r="I395" s="11">
        <f>12.257 * CHOOSE(CONTROL!$C$32, $C$9, 100%, $E$9)</f>
        <v>12.257</v>
      </c>
      <c r="J395" s="11">
        <f>12.2534 * CHOOSE(CONTROL!$C$32, $C$9, 100%, $E$9)</f>
        <v>12.253399999999999</v>
      </c>
      <c r="K395" s="11">
        <f>12.257 * CHOOSE(CONTROL!$C$32, $C$9, 100%, $E$9)</f>
        <v>12.257</v>
      </c>
      <c r="L395" s="11">
        <f>6.7716 * CHOOSE(CONTROL!$C$32, $C$9, 100%, $E$9)</f>
        <v>6.7716000000000003</v>
      </c>
      <c r="M395" s="11">
        <f>6.7752 * CHOOSE(CONTROL!$C$32, $C$9, 100%, $E$9)</f>
        <v>6.7751999999999999</v>
      </c>
      <c r="N395" s="11">
        <f>6.7716 * CHOOSE(CONTROL!$C$32, $C$9, 100%, $E$9)</f>
        <v>6.7716000000000003</v>
      </c>
      <c r="O395" s="11">
        <f>6.7752 * CHOOSE(CONTROL!$C$32, $C$9, 100%, $E$9)</f>
        <v>6.7751999999999999</v>
      </c>
    </row>
    <row r="396" spans="1:15" ht="15" x14ac:dyDescent="0.2">
      <c r="A396" s="13">
        <v>52902</v>
      </c>
      <c r="B396" s="9">
        <f>5.8536 * CHOOSE(CONTROL!$C$32, $C$9, 100%, $E$9)</f>
        <v>5.8536000000000001</v>
      </c>
      <c r="C396" s="9">
        <f>5.8536 * CHOOSE(CONTROL!$C$32, $C$9, 100%, $E$9)</f>
        <v>5.8536000000000001</v>
      </c>
      <c r="D396" s="9">
        <f>5.8546 * CHOOSE(CONTROL!$C$32, $C$9, 100%, $E$9)</f>
        <v>5.8545999999999996</v>
      </c>
      <c r="E396" s="11">
        <f>6.8014 * CHOOSE(CONTROL!$C$32, $C$9, 100%, $E$9)</f>
        <v>6.8014000000000001</v>
      </c>
      <c r="F396" s="11">
        <f>6.8014 * CHOOSE(CONTROL!$C$32, $C$9, 100%, $E$9)</f>
        <v>6.8014000000000001</v>
      </c>
      <c r="G396" s="11">
        <f>6.805 * CHOOSE(CONTROL!$C$32, $C$9, 100%, $E$9)</f>
        <v>6.8049999999999997</v>
      </c>
      <c r="H396" s="11">
        <f>12.2789 * CHOOSE(CONTROL!$C$32, $C$9, 100%, $E$9)</f>
        <v>12.2789</v>
      </c>
      <c r="I396" s="11">
        <f>12.2826 * CHOOSE(CONTROL!$C$32, $C$9, 100%, $E$9)</f>
        <v>12.2826</v>
      </c>
      <c r="J396" s="11">
        <f>12.2789 * CHOOSE(CONTROL!$C$32, $C$9, 100%, $E$9)</f>
        <v>12.2789</v>
      </c>
      <c r="K396" s="11">
        <f>12.2826 * CHOOSE(CONTROL!$C$32, $C$9, 100%, $E$9)</f>
        <v>12.2826</v>
      </c>
      <c r="L396" s="11">
        <f>6.8014 * CHOOSE(CONTROL!$C$32, $C$9, 100%, $E$9)</f>
        <v>6.8014000000000001</v>
      </c>
      <c r="M396" s="11">
        <f>6.805 * CHOOSE(CONTROL!$C$32, $C$9, 100%, $E$9)</f>
        <v>6.8049999999999997</v>
      </c>
      <c r="N396" s="11">
        <f>6.8014 * CHOOSE(CONTROL!$C$32, $C$9, 100%, $E$9)</f>
        <v>6.8014000000000001</v>
      </c>
      <c r="O396" s="11">
        <f>6.805 * CHOOSE(CONTROL!$C$32, $C$9, 100%, $E$9)</f>
        <v>6.8049999999999997</v>
      </c>
    </row>
    <row r="397" spans="1:15" ht="15" x14ac:dyDescent="0.2">
      <c r="A397" s="13">
        <v>52932</v>
      </c>
      <c r="B397" s="9">
        <f>5.8536 * CHOOSE(CONTROL!$C$32, $C$9, 100%, $E$9)</f>
        <v>5.8536000000000001</v>
      </c>
      <c r="C397" s="9">
        <f>5.8536 * CHOOSE(CONTROL!$C$32, $C$9, 100%, $E$9)</f>
        <v>5.8536000000000001</v>
      </c>
      <c r="D397" s="9">
        <f>5.8546 * CHOOSE(CONTROL!$C$32, $C$9, 100%, $E$9)</f>
        <v>5.8545999999999996</v>
      </c>
      <c r="E397" s="11">
        <f>6.7322 * CHOOSE(CONTROL!$C$32, $C$9, 100%, $E$9)</f>
        <v>6.7321999999999997</v>
      </c>
      <c r="F397" s="11">
        <f>6.7322 * CHOOSE(CONTROL!$C$32, $C$9, 100%, $E$9)</f>
        <v>6.7321999999999997</v>
      </c>
      <c r="G397" s="11">
        <f>6.7358 * CHOOSE(CONTROL!$C$32, $C$9, 100%, $E$9)</f>
        <v>6.7358000000000002</v>
      </c>
      <c r="H397" s="11">
        <f>12.3045 * CHOOSE(CONTROL!$C$32, $C$9, 100%, $E$9)</f>
        <v>12.304500000000001</v>
      </c>
      <c r="I397" s="11">
        <f>12.3081 * CHOOSE(CONTROL!$C$32, $C$9, 100%, $E$9)</f>
        <v>12.3081</v>
      </c>
      <c r="J397" s="11">
        <f>12.3045 * CHOOSE(CONTROL!$C$32, $C$9, 100%, $E$9)</f>
        <v>12.304500000000001</v>
      </c>
      <c r="K397" s="11">
        <f>12.3081 * CHOOSE(CONTROL!$C$32, $C$9, 100%, $E$9)</f>
        <v>12.3081</v>
      </c>
      <c r="L397" s="11">
        <f>6.7322 * CHOOSE(CONTROL!$C$32, $C$9, 100%, $E$9)</f>
        <v>6.7321999999999997</v>
      </c>
      <c r="M397" s="11">
        <f>6.7358 * CHOOSE(CONTROL!$C$32, $C$9, 100%, $E$9)</f>
        <v>6.7358000000000002</v>
      </c>
      <c r="N397" s="11">
        <f>6.7322 * CHOOSE(CONTROL!$C$32, $C$9, 100%, $E$9)</f>
        <v>6.7321999999999997</v>
      </c>
      <c r="O397" s="11">
        <f>6.7358 * CHOOSE(CONTROL!$C$32, $C$9, 100%, $E$9)</f>
        <v>6.7358000000000002</v>
      </c>
    </row>
    <row r="398" spans="1:15" ht="15" x14ac:dyDescent="0.2">
      <c r="A398" s="13">
        <v>52963</v>
      </c>
      <c r="B398" s="9">
        <f>5.8984 * CHOOSE(CONTROL!$C$32, $C$9, 100%, $E$9)</f>
        <v>5.8983999999999996</v>
      </c>
      <c r="C398" s="9">
        <f>5.8984 * CHOOSE(CONTROL!$C$32, $C$9, 100%, $E$9)</f>
        <v>5.8983999999999996</v>
      </c>
      <c r="D398" s="9">
        <f>5.8995 * CHOOSE(CONTROL!$C$32, $C$9, 100%, $E$9)</f>
        <v>5.8994999999999997</v>
      </c>
      <c r="E398" s="11">
        <f>6.8151 * CHOOSE(CONTROL!$C$32, $C$9, 100%, $E$9)</f>
        <v>6.8151000000000002</v>
      </c>
      <c r="F398" s="11">
        <f>6.8151 * CHOOSE(CONTROL!$C$32, $C$9, 100%, $E$9)</f>
        <v>6.8151000000000002</v>
      </c>
      <c r="G398" s="11">
        <f>6.8187 * CHOOSE(CONTROL!$C$32, $C$9, 100%, $E$9)</f>
        <v>6.8186999999999998</v>
      </c>
      <c r="H398" s="11">
        <f>12.3302 * CHOOSE(CONTROL!$C$32, $C$9, 100%, $E$9)</f>
        <v>12.3302</v>
      </c>
      <c r="I398" s="11">
        <f>12.3338 * CHOOSE(CONTROL!$C$32, $C$9, 100%, $E$9)</f>
        <v>12.3338</v>
      </c>
      <c r="J398" s="11">
        <f>12.3302 * CHOOSE(CONTROL!$C$32, $C$9, 100%, $E$9)</f>
        <v>12.3302</v>
      </c>
      <c r="K398" s="11">
        <f>12.3338 * CHOOSE(CONTROL!$C$32, $C$9, 100%, $E$9)</f>
        <v>12.3338</v>
      </c>
      <c r="L398" s="11">
        <f>6.8151 * CHOOSE(CONTROL!$C$32, $C$9, 100%, $E$9)</f>
        <v>6.8151000000000002</v>
      </c>
      <c r="M398" s="11">
        <f>6.8187 * CHOOSE(CONTROL!$C$32, $C$9, 100%, $E$9)</f>
        <v>6.8186999999999998</v>
      </c>
      <c r="N398" s="11">
        <f>6.8151 * CHOOSE(CONTROL!$C$32, $C$9, 100%, $E$9)</f>
        <v>6.8151000000000002</v>
      </c>
      <c r="O398" s="11">
        <f>6.8187 * CHOOSE(CONTROL!$C$32, $C$9, 100%, $E$9)</f>
        <v>6.8186999999999998</v>
      </c>
    </row>
    <row r="399" spans="1:15" ht="15" x14ac:dyDescent="0.2">
      <c r="A399" s="13">
        <v>52994</v>
      </c>
      <c r="B399" s="9">
        <f>5.8954 * CHOOSE(CONTROL!$C$32, $C$9, 100%, $E$9)</f>
        <v>5.8954000000000004</v>
      </c>
      <c r="C399" s="9">
        <f>5.8954 * CHOOSE(CONTROL!$C$32, $C$9, 100%, $E$9)</f>
        <v>5.8954000000000004</v>
      </c>
      <c r="D399" s="9">
        <f>5.8965 * CHOOSE(CONTROL!$C$32, $C$9, 100%, $E$9)</f>
        <v>5.8964999999999996</v>
      </c>
      <c r="E399" s="11">
        <f>6.678 * CHOOSE(CONTROL!$C$32, $C$9, 100%, $E$9)</f>
        <v>6.6779999999999999</v>
      </c>
      <c r="F399" s="11">
        <f>6.678 * CHOOSE(CONTROL!$C$32, $C$9, 100%, $E$9)</f>
        <v>6.6779999999999999</v>
      </c>
      <c r="G399" s="11">
        <f>6.6816 * CHOOSE(CONTROL!$C$32, $C$9, 100%, $E$9)</f>
        <v>6.6816000000000004</v>
      </c>
      <c r="H399" s="11">
        <f>12.3558 * CHOOSE(CONTROL!$C$32, $C$9, 100%, $E$9)</f>
        <v>12.3558</v>
      </c>
      <c r="I399" s="11">
        <f>12.3595 * CHOOSE(CONTROL!$C$32, $C$9, 100%, $E$9)</f>
        <v>12.359500000000001</v>
      </c>
      <c r="J399" s="11">
        <f>12.3558 * CHOOSE(CONTROL!$C$32, $C$9, 100%, $E$9)</f>
        <v>12.3558</v>
      </c>
      <c r="K399" s="11">
        <f>12.3595 * CHOOSE(CONTROL!$C$32, $C$9, 100%, $E$9)</f>
        <v>12.359500000000001</v>
      </c>
      <c r="L399" s="11">
        <f>6.678 * CHOOSE(CONTROL!$C$32, $C$9, 100%, $E$9)</f>
        <v>6.6779999999999999</v>
      </c>
      <c r="M399" s="11">
        <f>6.6816 * CHOOSE(CONTROL!$C$32, $C$9, 100%, $E$9)</f>
        <v>6.6816000000000004</v>
      </c>
      <c r="N399" s="11">
        <f>6.678 * CHOOSE(CONTROL!$C$32, $C$9, 100%, $E$9)</f>
        <v>6.6779999999999999</v>
      </c>
      <c r="O399" s="11">
        <f>6.6816 * CHOOSE(CONTROL!$C$32, $C$9, 100%, $E$9)</f>
        <v>6.6816000000000004</v>
      </c>
    </row>
    <row r="400" spans="1:15" ht="15" x14ac:dyDescent="0.2">
      <c r="A400" s="13">
        <v>53022</v>
      </c>
      <c r="B400" s="9">
        <f>5.8924 * CHOOSE(CONTROL!$C$32, $C$9, 100%, $E$9)</f>
        <v>5.8924000000000003</v>
      </c>
      <c r="C400" s="9">
        <f>5.8924 * CHOOSE(CONTROL!$C$32, $C$9, 100%, $E$9)</f>
        <v>5.8924000000000003</v>
      </c>
      <c r="D400" s="9">
        <f>5.8934 * CHOOSE(CONTROL!$C$32, $C$9, 100%, $E$9)</f>
        <v>5.8933999999999997</v>
      </c>
      <c r="E400" s="11">
        <f>6.7823 * CHOOSE(CONTROL!$C$32, $C$9, 100%, $E$9)</f>
        <v>6.7823000000000002</v>
      </c>
      <c r="F400" s="11">
        <f>6.7823 * CHOOSE(CONTROL!$C$32, $C$9, 100%, $E$9)</f>
        <v>6.7823000000000002</v>
      </c>
      <c r="G400" s="11">
        <f>6.7859 * CHOOSE(CONTROL!$C$32, $C$9, 100%, $E$9)</f>
        <v>6.7858999999999998</v>
      </c>
      <c r="H400" s="11">
        <f>12.3816 * CHOOSE(CONTROL!$C$32, $C$9, 100%, $E$9)</f>
        <v>12.381600000000001</v>
      </c>
      <c r="I400" s="11">
        <f>12.3852 * CHOOSE(CONTROL!$C$32, $C$9, 100%, $E$9)</f>
        <v>12.385199999999999</v>
      </c>
      <c r="J400" s="11">
        <f>12.3816 * CHOOSE(CONTROL!$C$32, $C$9, 100%, $E$9)</f>
        <v>12.381600000000001</v>
      </c>
      <c r="K400" s="11">
        <f>12.3852 * CHOOSE(CONTROL!$C$32, $C$9, 100%, $E$9)</f>
        <v>12.385199999999999</v>
      </c>
      <c r="L400" s="11">
        <f>6.7823 * CHOOSE(CONTROL!$C$32, $C$9, 100%, $E$9)</f>
        <v>6.7823000000000002</v>
      </c>
      <c r="M400" s="11">
        <f>6.7859 * CHOOSE(CONTROL!$C$32, $C$9, 100%, $E$9)</f>
        <v>6.7858999999999998</v>
      </c>
      <c r="N400" s="11">
        <f>6.7823 * CHOOSE(CONTROL!$C$32, $C$9, 100%, $E$9)</f>
        <v>6.7823000000000002</v>
      </c>
      <c r="O400" s="11">
        <f>6.7859 * CHOOSE(CONTROL!$C$32, $C$9, 100%, $E$9)</f>
        <v>6.7858999999999998</v>
      </c>
    </row>
    <row r="401" spans="1:15" ht="15" x14ac:dyDescent="0.2">
      <c r="A401" s="13">
        <v>53053</v>
      </c>
      <c r="B401" s="9">
        <f>5.8918 * CHOOSE(CONTROL!$C$32, $C$9, 100%, $E$9)</f>
        <v>5.8917999999999999</v>
      </c>
      <c r="C401" s="9">
        <f>5.8918 * CHOOSE(CONTROL!$C$32, $C$9, 100%, $E$9)</f>
        <v>5.8917999999999999</v>
      </c>
      <c r="D401" s="9">
        <f>5.8929 * CHOOSE(CONTROL!$C$32, $C$9, 100%, $E$9)</f>
        <v>5.8929</v>
      </c>
      <c r="E401" s="11">
        <f>6.8923 * CHOOSE(CONTROL!$C$32, $C$9, 100%, $E$9)</f>
        <v>6.8922999999999996</v>
      </c>
      <c r="F401" s="11">
        <f>6.8923 * CHOOSE(CONTROL!$C$32, $C$9, 100%, $E$9)</f>
        <v>6.8922999999999996</v>
      </c>
      <c r="G401" s="11">
        <f>6.896 * CHOOSE(CONTROL!$C$32, $C$9, 100%, $E$9)</f>
        <v>6.8959999999999999</v>
      </c>
      <c r="H401" s="11">
        <f>12.4074 * CHOOSE(CONTROL!$C$32, $C$9, 100%, $E$9)</f>
        <v>12.407400000000001</v>
      </c>
      <c r="I401" s="11">
        <f>12.411 * CHOOSE(CONTROL!$C$32, $C$9, 100%, $E$9)</f>
        <v>12.411</v>
      </c>
      <c r="J401" s="11">
        <f>12.4074 * CHOOSE(CONTROL!$C$32, $C$9, 100%, $E$9)</f>
        <v>12.407400000000001</v>
      </c>
      <c r="K401" s="11">
        <f>12.411 * CHOOSE(CONTROL!$C$32, $C$9, 100%, $E$9)</f>
        <v>12.411</v>
      </c>
      <c r="L401" s="11">
        <f>6.8923 * CHOOSE(CONTROL!$C$32, $C$9, 100%, $E$9)</f>
        <v>6.8922999999999996</v>
      </c>
      <c r="M401" s="11">
        <f>6.896 * CHOOSE(CONTROL!$C$32, $C$9, 100%, $E$9)</f>
        <v>6.8959999999999999</v>
      </c>
      <c r="N401" s="11">
        <f>6.8923 * CHOOSE(CONTROL!$C$32, $C$9, 100%, $E$9)</f>
        <v>6.8922999999999996</v>
      </c>
      <c r="O401" s="11">
        <f>6.896 * CHOOSE(CONTROL!$C$32, $C$9, 100%, $E$9)</f>
        <v>6.8959999999999999</v>
      </c>
    </row>
    <row r="402" spans="1:15" ht="15" x14ac:dyDescent="0.2">
      <c r="A402" s="13">
        <v>53083</v>
      </c>
      <c r="B402" s="9">
        <f>5.8918 * CHOOSE(CONTROL!$C$32, $C$9, 100%, $E$9)</f>
        <v>5.8917999999999999</v>
      </c>
      <c r="C402" s="9">
        <f>5.8918 * CHOOSE(CONTROL!$C$32, $C$9, 100%, $E$9)</f>
        <v>5.8917999999999999</v>
      </c>
      <c r="D402" s="9">
        <f>5.8934 * CHOOSE(CONTROL!$C$32, $C$9, 100%, $E$9)</f>
        <v>5.8933999999999997</v>
      </c>
      <c r="E402" s="11">
        <f>6.9352 * CHOOSE(CONTROL!$C$32, $C$9, 100%, $E$9)</f>
        <v>6.9352</v>
      </c>
      <c r="F402" s="11">
        <f>6.9352 * CHOOSE(CONTROL!$C$32, $C$9, 100%, $E$9)</f>
        <v>6.9352</v>
      </c>
      <c r="G402" s="11">
        <f>6.9405 * CHOOSE(CONTROL!$C$32, $C$9, 100%, $E$9)</f>
        <v>6.9405000000000001</v>
      </c>
      <c r="H402" s="11">
        <f>12.4332 * CHOOSE(CONTROL!$C$32, $C$9, 100%, $E$9)</f>
        <v>12.433199999999999</v>
      </c>
      <c r="I402" s="11">
        <f>12.4385 * CHOOSE(CONTROL!$C$32, $C$9, 100%, $E$9)</f>
        <v>12.438499999999999</v>
      </c>
      <c r="J402" s="11">
        <f>12.4332 * CHOOSE(CONTROL!$C$32, $C$9, 100%, $E$9)</f>
        <v>12.433199999999999</v>
      </c>
      <c r="K402" s="11">
        <f>12.4385 * CHOOSE(CONTROL!$C$32, $C$9, 100%, $E$9)</f>
        <v>12.438499999999999</v>
      </c>
      <c r="L402" s="11">
        <f>6.9352 * CHOOSE(CONTROL!$C$32, $C$9, 100%, $E$9)</f>
        <v>6.9352</v>
      </c>
      <c r="M402" s="11">
        <f>6.9405 * CHOOSE(CONTROL!$C$32, $C$9, 100%, $E$9)</f>
        <v>6.9405000000000001</v>
      </c>
      <c r="N402" s="11">
        <f>6.9352 * CHOOSE(CONTROL!$C$32, $C$9, 100%, $E$9)</f>
        <v>6.9352</v>
      </c>
      <c r="O402" s="11">
        <f>6.9405 * CHOOSE(CONTROL!$C$32, $C$9, 100%, $E$9)</f>
        <v>6.9405000000000001</v>
      </c>
    </row>
    <row r="403" spans="1:15" ht="15" x14ac:dyDescent="0.2">
      <c r="A403" s="13">
        <v>53114</v>
      </c>
      <c r="B403" s="9">
        <f>5.8979 * CHOOSE(CONTROL!$C$32, $C$9, 100%, $E$9)</f>
        <v>5.8978999999999999</v>
      </c>
      <c r="C403" s="9">
        <f>5.8979 * CHOOSE(CONTROL!$C$32, $C$9, 100%, $E$9)</f>
        <v>5.8978999999999999</v>
      </c>
      <c r="D403" s="9">
        <f>5.8995 * CHOOSE(CONTROL!$C$32, $C$9, 100%, $E$9)</f>
        <v>5.8994999999999997</v>
      </c>
      <c r="E403" s="11">
        <f>6.8966 * CHOOSE(CONTROL!$C$32, $C$9, 100%, $E$9)</f>
        <v>6.8966000000000003</v>
      </c>
      <c r="F403" s="11">
        <f>6.8966 * CHOOSE(CONTROL!$C$32, $C$9, 100%, $E$9)</f>
        <v>6.8966000000000003</v>
      </c>
      <c r="G403" s="11">
        <f>6.9019 * CHOOSE(CONTROL!$C$32, $C$9, 100%, $E$9)</f>
        <v>6.9019000000000004</v>
      </c>
      <c r="H403" s="11">
        <f>12.4591 * CHOOSE(CONTROL!$C$32, $C$9, 100%, $E$9)</f>
        <v>12.459099999999999</v>
      </c>
      <c r="I403" s="11">
        <f>12.4644 * CHOOSE(CONTROL!$C$32, $C$9, 100%, $E$9)</f>
        <v>12.464399999999999</v>
      </c>
      <c r="J403" s="11">
        <f>12.4591 * CHOOSE(CONTROL!$C$32, $C$9, 100%, $E$9)</f>
        <v>12.459099999999999</v>
      </c>
      <c r="K403" s="11">
        <f>12.4644 * CHOOSE(CONTROL!$C$32, $C$9, 100%, $E$9)</f>
        <v>12.464399999999999</v>
      </c>
      <c r="L403" s="11">
        <f>6.8966 * CHOOSE(CONTROL!$C$32, $C$9, 100%, $E$9)</f>
        <v>6.8966000000000003</v>
      </c>
      <c r="M403" s="11">
        <f>6.9019 * CHOOSE(CONTROL!$C$32, $C$9, 100%, $E$9)</f>
        <v>6.9019000000000004</v>
      </c>
      <c r="N403" s="11">
        <f>6.8966 * CHOOSE(CONTROL!$C$32, $C$9, 100%, $E$9)</f>
        <v>6.8966000000000003</v>
      </c>
      <c r="O403" s="11">
        <f>6.9019 * CHOOSE(CONTROL!$C$32, $C$9, 100%, $E$9)</f>
        <v>6.9019000000000004</v>
      </c>
    </row>
    <row r="404" spans="1:15" ht="15" x14ac:dyDescent="0.2">
      <c r="A404" s="13">
        <v>53144</v>
      </c>
      <c r="B404" s="9">
        <f>5.9772 * CHOOSE(CONTROL!$C$32, $C$9, 100%, $E$9)</f>
        <v>5.9771999999999998</v>
      </c>
      <c r="C404" s="9">
        <f>5.9772 * CHOOSE(CONTROL!$C$32, $C$9, 100%, $E$9)</f>
        <v>5.9771999999999998</v>
      </c>
      <c r="D404" s="9">
        <f>5.9788 * CHOOSE(CONTROL!$C$32, $C$9, 100%, $E$9)</f>
        <v>5.9787999999999997</v>
      </c>
      <c r="E404" s="11">
        <f>6.9386 * CHOOSE(CONTROL!$C$32, $C$9, 100%, $E$9)</f>
        <v>6.9386000000000001</v>
      </c>
      <c r="F404" s="11">
        <f>6.9386 * CHOOSE(CONTROL!$C$32, $C$9, 100%, $E$9)</f>
        <v>6.9386000000000001</v>
      </c>
      <c r="G404" s="11">
        <f>6.9439 * CHOOSE(CONTROL!$C$32, $C$9, 100%, $E$9)</f>
        <v>6.9439000000000002</v>
      </c>
      <c r="H404" s="11">
        <f>12.4851 * CHOOSE(CONTROL!$C$32, $C$9, 100%, $E$9)</f>
        <v>12.485099999999999</v>
      </c>
      <c r="I404" s="11">
        <f>12.4904 * CHOOSE(CONTROL!$C$32, $C$9, 100%, $E$9)</f>
        <v>12.490399999999999</v>
      </c>
      <c r="J404" s="11">
        <f>12.4851 * CHOOSE(CONTROL!$C$32, $C$9, 100%, $E$9)</f>
        <v>12.485099999999999</v>
      </c>
      <c r="K404" s="11">
        <f>12.4904 * CHOOSE(CONTROL!$C$32, $C$9, 100%, $E$9)</f>
        <v>12.490399999999999</v>
      </c>
      <c r="L404" s="11">
        <f>6.9386 * CHOOSE(CONTROL!$C$32, $C$9, 100%, $E$9)</f>
        <v>6.9386000000000001</v>
      </c>
      <c r="M404" s="11">
        <f>6.9439 * CHOOSE(CONTROL!$C$32, $C$9, 100%, $E$9)</f>
        <v>6.9439000000000002</v>
      </c>
      <c r="N404" s="11">
        <f>6.9386 * CHOOSE(CONTROL!$C$32, $C$9, 100%, $E$9)</f>
        <v>6.9386000000000001</v>
      </c>
      <c r="O404" s="11">
        <f>6.9439 * CHOOSE(CONTROL!$C$32, $C$9, 100%, $E$9)</f>
        <v>6.9439000000000002</v>
      </c>
    </row>
    <row r="405" spans="1:15" ht="15" x14ac:dyDescent="0.2">
      <c r="A405" s="13">
        <v>53175</v>
      </c>
      <c r="B405" s="9">
        <f>5.9839 * CHOOSE(CONTROL!$C$32, $C$9, 100%, $E$9)</f>
        <v>5.9839000000000002</v>
      </c>
      <c r="C405" s="9">
        <f>5.9839 * CHOOSE(CONTROL!$C$32, $C$9, 100%, $E$9)</f>
        <v>5.9839000000000002</v>
      </c>
      <c r="D405" s="9">
        <f>5.9855 * CHOOSE(CONTROL!$C$32, $C$9, 100%, $E$9)</f>
        <v>5.9855</v>
      </c>
      <c r="E405" s="11">
        <f>6.8147 * CHOOSE(CONTROL!$C$32, $C$9, 100%, $E$9)</f>
        <v>6.8147000000000002</v>
      </c>
      <c r="F405" s="11">
        <f>6.8147 * CHOOSE(CONTROL!$C$32, $C$9, 100%, $E$9)</f>
        <v>6.8147000000000002</v>
      </c>
      <c r="G405" s="11">
        <f>6.82 * CHOOSE(CONTROL!$C$32, $C$9, 100%, $E$9)</f>
        <v>6.82</v>
      </c>
      <c r="H405" s="11">
        <f>12.5111 * CHOOSE(CONTROL!$C$32, $C$9, 100%, $E$9)</f>
        <v>12.511100000000001</v>
      </c>
      <c r="I405" s="11">
        <f>12.5164 * CHOOSE(CONTROL!$C$32, $C$9, 100%, $E$9)</f>
        <v>12.516400000000001</v>
      </c>
      <c r="J405" s="11">
        <f>12.5111 * CHOOSE(CONTROL!$C$32, $C$9, 100%, $E$9)</f>
        <v>12.511100000000001</v>
      </c>
      <c r="K405" s="11">
        <f>12.5164 * CHOOSE(CONTROL!$C$32, $C$9, 100%, $E$9)</f>
        <v>12.516400000000001</v>
      </c>
      <c r="L405" s="11">
        <f>6.8147 * CHOOSE(CONTROL!$C$32, $C$9, 100%, $E$9)</f>
        <v>6.8147000000000002</v>
      </c>
      <c r="M405" s="11">
        <f>6.82 * CHOOSE(CONTROL!$C$32, $C$9, 100%, $E$9)</f>
        <v>6.82</v>
      </c>
      <c r="N405" s="11">
        <f>6.8147 * CHOOSE(CONTROL!$C$32, $C$9, 100%, $E$9)</f>
        <v>6.8147000000000002</v>
      </c>
      <c r="O405" s="11">
        <f>6.82 * CHOOSE(CONTROL!$C$32, $C$9, 100%, $E$9)</f>
        <v>6.82</v>
      </c>
    </row>
    <row r="406" spans="1:15" ht="15" x14ac:dyDescent="0.2">
      <c r="A406" s="13">
        <v>53206</v>
      </c>
      <c r="B406" s="9">
        <f>5.9809 * CHOOSE(CONTROL!$C$32, $C$9, 100%, $E$9)</f>
        <v>5.9809000000000001</v>
      </c>
      <c r="C406" s="9">
        <f>5.9809 * CHOOSE(CONTROL!$C$32, $C$9, 100%, $E$9)</f>
        <v>5.9809000000000001</v>
      </c>
      <c r="D406" s="9">
        <f>5.9824 * CHOOSE(CONTROL!$C$32, $C$9, 100%, $E$9)</f>
        <v>5.9824000000000002</v>
      </c>
      <c r="E406" s="11">
        <f>6.7983 * CHOOSE(CONTROL!$C$32, $C$9, 100%, $E$9)</f>
        <v>6.7983000000000002</v>
      </c>
      <c r="F406" s="11">
        <f>6.7983 * CHOOSE(CONTROL!$C$32, $C$9, 100%, $E$9)</f>
        <v>6.7983000000000002</v>
      </c>
      <c r="G406" s="11">
        <f>6.8036 * CHOOSE(CONTROL!$C$32, $C$9, 100%, $E$9)</f>
        <v>6.8036000000000003</v>
      </c>
      <c r="H406" s="11">
        <f>12.5372 * CHOOSE(CONTROL!$C$32, $C$9, 100%, $E$9)</f>
        <v>12.5372</v>
      </c>
      <c r="I406" s="11">
        <f>12.5425 * CHOOSE(CONTROL!$C$32, $C$9, 100%, $E$9)</f>
        <v>12.5425</v>
      </c>
      <c r="J406" s="11">
        <f>12.5372 * CHOOSE(CONTROL!$C$32, $C$9, 100%, $E$9)</f>
        <v>12.5372</v>
      </c>
      <c r="K406" s="11">
        <f>12.5425 * CHOOSE(CONTROL!$C$32, $C$9, 100%, $E$9)</f>
        <v>12.5425</v>
      </c>
      <c r="L406" s="11">
        <f>6.7983 * CHOOSE(CONTROL!$C$32, $C$9, 100%, $E$9)</f>
        <v>6.7983000000000002</v>
      </c>
      <c r="M406" s="11">
        <f>6.8036 * CHOOSE(CONTROL!$C$32, $C$9, 100%, $E$9)</f>
        <v>6.8036000000000003</v>
      </c>
      <c r="N406" s="11">
        <f>6.7983 * CHOOSE(CONTROL!$C$32, $C$9, 100%, $E$9)</f>
        <v>6.7983000000000002</v>
      </c>
      <c r="O406" s="11">
        <f>6.8036 * CHOOSE(CONTROL!$C$32, $C$9, 100%, $E$9)</f>
        <v>6.8036000000000003</v>
      </c>
    </row>
    <row r="407" spans="1:15" ht="15" x14ac:dyDescent="0.2">
      <c r="A407" s="13">
        <v>53236</v>
      </c>
      <c r="B407" s="9">
        <f>5.9833 * CHOOSE(CONTROL!$C$32, $C$9, 100%, $E$9)</f>
        <v>5.9832999999999998</v>
      </c>
      <c r="C407" s="9">
        <f>5.9833 * CHOOSE(CONTROL!$C$32, $C$9, 100%, $E$9)</f>
        <v>5.9832999999999998</v>
      </c>
      <c r="D407" s="9">
        <f>5.9844 * CHOOSE(CONTROL!$C$32, $C$9, 100%, $E$9)</f>
        <v>5.9843999999999999</v>
      </c>
      <c r="E407" s="11">
        <f>6.842 * CHOOSE(CONTROL!$C$32, $C$9, 100%, $E$9)</f>
        <v>6.8419999999999996</v>
      </c>
      <c r="F407" s="11">
        <f>6.842 * CHOOSE(CONTROL!$C$32, $C$9, 100%, $E$9)</f>
        <v>6.8419999999999996</v>
      </c>
      <c r="G407" s="11">
        <f>6.8456 * CHOOSE(CONTROL!$C$32, $C$9, 100%, $E$9)</f>
        <v>6.8456000000000001</v>
      </c>
      <c r="H407" s="11">
        <f>12.5633 * CHOOSE(CONTROL!$C$32, $C$9, 100%, $E$9)</f>
        <v>12.5633</v>
      </c>
      <c r="I407" s="11">
        <f>12.5669 * CHOOSE(CONTROL!$C$32, $C$9, 100%, $E$9)</f>
        <v>12.5669</v>
      </c>
      <c r="J407" s="11">
        <f>12.5633 * CHOOSE(CONTROL!$C$32, $C$9, 100%, $E$9)</f>
        <v>12.5633</v>
      </c>
      <c r="K407" s="11">
        <f>12.5669 * CHOOSE(CONTROL!$C$32, $C$9, 100%, $E$9)</f>
        <v>12.5669</v>
      </c>
      <c r="L407" s="11">
        <f>6.842 * CHOOSE(CONTROL!$C$32, $C$9, 100%, $E$9)</f>
        <v>6.8419999999999996</v>
      </c>
      <c r="M407" s="11">
        <f>6.8456 * CHOOSE(CONTROL!$C$32, $C$9, 100%, $E$9)</f>
        <v>6.8456000000000001</v>
      </c>
      <c r="N407" s="11">
        <f>6.842 * CHOOSE(CONTROL!$C$32, $C$9, 100%, $E$9)</f>
        <v>6.8419999999999996</v>
      </c>
      <c r="O407" s="11">
        <f>6.8456 * CHOOSE(CONTROL!$C$32, $C$9, 100%, $E$9)</f>
        <v>6.8456000000000001</v>
      </c>
    </row>
    <row r="408" spans="1:15" ht="15" x14ac:dyDescent="0.2">
      <c r="A408" s="13">
        <v>53267</v>
      </c>
      <c r="B408" s="9">
        <f>5.9863 * CHOOSE(CONTROL!$C$32, $C$9, 100%, $E$9)</f>
        <v>5.9863</v>
      </c>
      <c r="C408" s="9">
        <f>5.9863 * CHOOSE(CONTROL!$C$32, $C$9, 100%, $E$9)</f>
        <v>5.9863</v>
      </c>
      <c r="D408" s="9">
        <f>5.9874 * CHOOSE(CONTROL!$C$32, $C$9, 100%, $E$9)</f>
        <v>5.9874000000000001</v>
      </c>
      <c r="E408" s="11">
        <f>6.8727 * CHOOSE(CONTROL!$C$32, $C$9, 100%, $E$9)</f>
        <v>6.8727</v>
      </c>
      <c r="F408" s="11">
        <f>6.8727 * CHOOSE(CONTROL!$C$32, $C$9, 100%, $E$9)</f>
        <v>6.8727</v>
      </c>
      <c r="G408" s="11">
        <f>6.8763 * CHOOSE(CONTROL!$C$32, $C$9, 100%, $E$9)</f>
        <v>6.8762999999999996</v>
      </c>
      <c r="H408" s="11">
        <f>12.5895 * CHOOSE(CONTROL!$C$32, $C$9, 100%, $E$9)</f>
        <v>12.589499999999999</v>
      </c>
      <c r="I408" s="11">
        <f>12.5931 * CHOOSE(CONTROL!$C$32, $C$9, 100%, $E$9)</f>
        <v>12.5931</v>
      </c>
      <c r="J408" s="11">
        <f>12.5895 * CHOOSE(CONTROL!$C$32, $C$9, 100%, $E$9)</f>
        <v>12.589499999999999</v>
      </c>
      <c r="K408" s="11">
        <f>12.5931 * CHOOSE(CONTROL!$C$32, $C$9, 100%, $E$9)</f>
        <v>12.5931</v>
      </c>
      <c r="L408" s="11">
        <f>6.8727 * CHOOSE(CONTROL!$C$32, $C$9, 100%, $E$9)</f>
        <v>6.8727</v>
      </c>
      <c r="M408" s="11">
        <f>6.8763 * CHOOSE(CONTROL!$C$32, $C$9, 100%, $E$9)</f>
        <v>6.8762999999999996</v>
      </c>
      <c r="N408" s="11">
        <f>6.8727 * CHOOSE(CONTROL!$C$32, $C$9, 100%, $E$9)</f>
        <v>6.8727</v>
      </c>
      <c r="O408" s="11">
        <f>6.8763 * CHOOSE(CONTROL!$C$32, $C$9, 100%, $E$9)</f>
        <v>6.8762999999999996</v>
      </c>
    </row>
    <row r="409" spans="1:15" ht="15" x14ac:dyDescent="0.2">
      <c r="A409" s="13">
        <v>53297</v>
      </c>
      <c r="B409" s="9">
        <f>5.9863 * CHOOSE(CONTROL!$C$32, $C$9, 100%, $E$9)</f>
        <v>5.9863</v>
      </c>
      <c r="C409" s="9">
        <f>5.9863 * CHOOSE(CONTROL!$C$32, $C$9, 100%, $E$9)</f>
        <v>5.9863</v>
      </c>
      <c r="D409" s="9">
        <f>5.9874 * CHOOSE(CONTROL!$C$32, $C$9, 100%, $E$9)</f>
        <v>5.9874000000000001</v>
      </c>
      <c r="E409" s="11">
        <f>6.8013 * CHOOSE(CONTROL!$C$32, $C$9, 100%, $E$9)</f>
        <v>6.8013000000000003</v>
      </c>
      <c r="F409" s="11">
        <f>6.8013 * CHOOSE(CONTROL!$C$32, $C$9, 100%, $E$9)</f>
        <v>6.8013000000000003</v>
      </c>
      <c r="G409" s="11">
        <f>6.8049 * CHOOSE(CONTROL!$C$32, $C$9, 100%, $E$9)</f>
        <v>6.8048999999999999</v>
      </c>
      <c r="H409" s="11">
        <f>12.6157 * CHOOSE(CONTROL!$C$32, $C$9, 100%, $E$9)</f>
        <v>12.6157</v>
      </c>
      <c r="I409" s="11">
        <f>12.6193 * CHOOSE(CONTROL!$C$32, $C$9, 100%, $E$9)</f>
        <v>12.619300000000001</v>
      </c>
      <c r="J409" s="11">
        <f>12.6157 * CHOOSE(CONTROL!$C$32, $C$9, 100%, $E$9)</f>
        <v>12.6157</v>
      </c>
      <c r="K409" s="11">
        <f>12.6193 * CHOOSE(CONTROL!$C$32, $C$9, 100%, $E$9)</f>
        <v>12.619300000000001</v>
      </c>
      <c r="L409" s="11">
        <f>6.8013 * CHOOSE(CONTROL!$C$32, $C$9, 100%, $E$9)</f>
        <v>6.8013000000000003</v>
      </c>
      <c r="M409" s="11">
        <f>6.8049 * CHOOSE(CONTROL!$C$32, $C$9, 100%, $E$9)</f>
        <v>6.8048999999999999</v>
      </c>
      <c r="N409" s="11">
        <f>6.8013 * CHOOSE(CONTROL!$C$32, $C$9, 100%, $E$9)</f>
        <v>6.8013000000000003</v>
      </c>
      <c r="O409" s="11">
        <f>6.8049 * CHOOSE(CONTROL!$C$32, $C$9, 100%, $E$9)</f>
        <v>6.8048999999999999</v>
      </c>
    </row>
    <row r="410" spans="1:15" ht="15" x14ac:dyDescent="0.2">
      <c r="A410" s="13">
        <v>53328</v>
      </c>
      <c r="B410" s="9">
        <f>6.0321 * CHOOSE(CONTROL!$C$32, $C$9, 100%, $E$9)</f>
        <v>6.0320999999999998</v>
      </c>
      <c r="C410" s="9">
        <f>6.0321 * CHOOSE(CONTROL!$C$32, $C$9, 100%, $E$9)</f>
        <v>6.0320999999999998</v>
      </c>
      <c r="D410" s="9">
        <f>6.0332 * CHOOSE(CONTROL!$C$32, $C$9, 100%, $E$9)</f>
        <v>6.0331999999999999</v>
      </c>
      <c r="E410" s="11">
        <f>6.8926 * CHOOSE(CONTROL!$C$32, $C$9, 100%, $E$9)</f>
        <v>6.8925999999999998</v>
      </c>
      <c r="F410" s="11">
        <f>6.8926 * CHOOSE(CONTROL!$C$32, $C$9, 100%, $E$9)</f>
        <v>6.8925999999999998</v>
      </c>
      <c r="G410" s="11">
        <f>6.8962 * CHOOSE(CONTROL!$C$32, $C$9, 100%, $E$9)</f>
        <v>6.8962000000000003</v>
      </c>
      <c r="H410" s="11">
        <f>12.642 * CHOOSE(CONTROL!$C$32, $C$9, 100%, $E$9)</f>
        <v>12.641999999999999</v>
      </c>
      <c r="I410" s="11">
        <f>12.6456 * CHOOSE(CONTROL!$C$32, $C$9, 100%, $E$9)</f>
        <v>12.6456</v>
      </c>
      <c r="J410" s="11">
        <f>12.642 * CHOOSE(CONTROL!$C$32, $C$9, 100%, $E$9)</f>
        <v>12.641999999999999</v>
      </c>
      <c r="K410" s="11">
        <f>12.6456 * CHOOSE(CONTROL!$C$32, $C$9, 100%, $E$9)</f>
        <v>12.6456</v>
      </c>
      <c r="L410" s="11">
        <f>6.8926 * CHOOSE(CONTROL!$C$32, $C$9, 100%, $E$9)</f>
        <v>6.8925999999999998</v>
      </c>
      <c r="M410" s="11">
        <f>6.8962 * CHOOSE(CONTROL!$C$32, $C$9, 100%, $E$9)</f>
        <v>6.8962000000000003</v>
      </c>
      <c r="N410" s="11">
        <f>6.8926 * CHOOSE(CONTROL!$C$32, $C$9, 100%, $E$9)</f>
        <v>6.8925999999999998</v>
      </c>
      <c r="O410" s="11">
        <f>6.8962 * CHOOSE(CONTROL!$C$32, $C$9, 100%, $E$9)</f>
        <v>6.8962000000000003</v>
      </c>
    </row>
    <row r="411" spans="1:15" ht="15" x14ac:dyDescent="0.2">
      <c r="A411" s="13">
        <v>53359</v>
      </c>
      <c r="B411" s="9">
        <f>6.0291 * CHOOSE(CONTROL!$C$32, $C$9, 100%, $E$9)</f>
        <v>6.0290999999999997</v>
      </c>
      <c r="C411" s="9">
        <f>6.0291 * CHOOSE(CONTROL!$C$32, $C$9, 100%, $E$9)</f>
        <v>6.0290999999999997</v>
      </c>
      <c r="D411" s="9">
        <f>6.0302 * CHOOSE(CONTROL!$C$32, $C$9, 100%, $E$9)</f>
        <v>6.0301999999999998</v>
      </c>
      <c r="E411" s="11">
        <f>6.7511 * CHOOSE(CONTROL!$C$32, $C$9, 100%, $E$9)</f>
        <v>6.7511000000000001</v>
      </c>
      <c r="F411" s="11">
        <f>6.7511 * CHOOSE(CONTROL!$C$32, $C$9, 100%, $E$9)</f>
        <v>6.7511000000000001</v>
      </c>
      <c r="G411" s="11">
        <f>6.7547 * CHOOSE(CONTROL!$C$32, $C$9, 100%, $E$9)</f>
        <v>6.7546999999999997</v>
      </c>
      <c r="H411" s="11">
        <f>12.6683 * CHOOSE(CONTROL!$C$32, $C$9, 100%, $E$9)</f>
        <v>12.6683</v>
      </c>
      <c r="I411" s="11">
        <f>12.6719 * CHOOSE(CONTROL!$C$32, $C$9, 100%, $E$9)</f>
        <v>12.671900000000001</v>
      </c>
      <c r="J411" s="11">
        <f>12.6683 * CHOOSE(CONTROL!$C$32, $C$9, 100%, $E$9)</f>
        <v>12.6683</v>
      </c>
      <c r="K411" s="11">
        <f>12.6719 * CHOOSE(CONTROL!$C$32, $C$9, 100%, $E$9)</f>
        <v>12.671900000000001</v>
      </c>
      <c r="L411" s="11">
        <f>6.7511 * CHOOSE(CONTROL!$C$32, $C$9, 100%, $E$9)</f>
        <v>6.7511000000000001</v>
      </c>
      <c r="M411" s="11">
        <f>6.7547 * CHOOSE(CONTROL!$C$32, $C$9, 100%, $E$9)</f>
        <v>6.7546999999999997</v>
      </c>
      <c r="N411" s="11">
        <f>6.7511 * CHOOSE(CONTROL!$C$32, $C$9, 100%, $E$9)</f>
        <v>6.7511000000000001</v>
      </c>
      <c r="O411" s="11">
        <f>6.7547 * CHOOSE(CONTROL!$C$32, $C$9, 100%, $E$9)</f>
        <v>6.7546999999999997</v>
      </c>
    </row>
    <row r="412" spans="1:15" ht="15" x14ac:dyDescent="0.2">
      <c r="A412" s="13">
        <v>53387</v>
      </c>
      <c r="B412" s="9">
        <f>6.0261 * CHOOSE(CONTROL!$C$32, $C$9, 100%, $E$9)</f>
        <v>6.0260999999999996</v>
      </c>
      <c r="C412" s="9">
        <f>6.0261 * CHOOSE(CONTROL!$C$32, $C$9, 100%, $E$9)</f>
        <v>6.0260999999999996</v>
      </c>
      <c r="D412" s="9">
        <f>6.0271 * CHOOSE(CONTROL!$C$32, $C$9, 100%, $E$9)</f>
        <v>6.0270999999999999</v>
      </c>
      <c r="E412" s="11">
        <f>6.8589 * CHOOSE(CONTROL!$C$32, $C$9, 100%, $E$9)</f>
        <v>6.8589000000000002</v>
      </c>
      <c r="F412" s="11">
        <f>6.8589 * CHOOSE(CONTROL!$C$32, $C$9, 100%, $E$9)</f>
        <v>6.8589000000000002</v>
      </c>
      <c r="G412" s="11">
        <f>6.8625 * CHOOSE(CONTROL!$C$32, $C$9, 100%, $E$9)</f>
        <v>6.8624999999999998</v>
      </c>
      <c r="H412" s="11">
        <f>12.6947 * CHOOSE(CONTROL!$C$32, $C$9, 100%, $E$9)</f>
        <v>12.694699999999999</v>
      </c>
      <c r="I412" s="11">
        <f>12.6983 * CHOOSE(CONTROL!$C$32, $C$9, 100%, $E$9)</f>
        <v>12.6983</v>
      </c>
      <c r="J412" s="11">
        <f>12.6947 * CHOOSE(CONTROL!$C$32, $C$9, 100%, $E$9)</f>
        <v>12.694699999999999</v>
      </c>
      <c r="K412" s="11">
        <f>12.6983 * CHOOSE(CONTROL!$C$32, $C$9, 100%, $E$9)</f>
        <v>12.6983</v>
      </c>
      <c r="L412" s="11">
        <f>6.8589 * CHOOSE(CONTROL!$C$32, $C$9, 100%, $E$9)</f>
        <v>6.8589000000000002</v>
      </c>
      <c r="M412" s="11">
        <f>6.8625 * CHOOSE(CONTROL!$C$32, $C$9, 100%, $E$9)</f>
        <v>6.8624999999999998</v>
      </c>
      <c r="N412" s="11">
        <f>6.8589 * CHOOSE(CONTROL!$C$32, $C$9, 100%, $E$9)</f>
        <v>6.8589000000000002</v>
      </c>
      <c r="O412" s="11">
        <f>6.8625 * CHOOSE(CONTROL!$C$32, $C$9, 100%, $E$9)</f>
        <v>6.8624999999999998</v>
      </c>
    </row>
    <row r="413" spans="1:15" ht="15" x14ac:dyDescent="0.2">
      <c r="A413" s="13">
        <v>53418</v>
      </c>
      <c r="B413" s="9">
        <f>6.0257 * CHOOSE(CONTROL!$C$32, $C$9, 100%, $E$9)</f>
        <v>6.0256999999999996</v>
      </c>
      <c r="C413" s="9">
        <f>6.0257 * CHOOSE(CONTROL!$C$32, $C$9, 100%, $E$9)</f>
        <v>6.0256999999999996</v>
      </c>
      <c r="D413" s="9">
        <f>6.0268 * CHOOSE(CONTROL!$C$32, $C$9, 100%, $E$9)</f>
        <v>6.0267999999999997</v>
      </c>
      <c r="E413" s="11">
        <f>6.9726 * CHOOSE(CONTROL!$C$32, $C$9, 100%, $E$9)</f>
        <v>6.9725999999999999</v>
      </c>
      <c r="F413" s="11">
        <f>6.9726 * CHOOSE(CONTROL!$C$32, $C$9, 100%, $E$9)</f>
        <v>6.9725999999999999</v>
      </c>
      <c r="G413" s="11">
        <f>6.9762 * CHOOSE(CONTROL!$C$32, $C$9, 100%, $E$9)</f>
        <v>6.9762000000000004</v>
      </c>
      <c r="H413" s="11">
        <f>12.7211 * CHOOSE(CONTROL!$C$32, $C$9, 100%, $E$9)</f>
        <v>12.7211</v>
      </c>
      <c r="I413" s="11">
        <f>12.7248 * CHOOSE(CONTROL!$C$32, $C$9, 100%, $E$9)</f>
        <v>12.7248</v>
      </c>
      <c r="J413" s="11">
        <f>12.7211 * CHOOSE(CONTROL!$C$32, $C$9, 100%, $E$9)</f>
        <v>12.7211</v>
      </c>
      <c r="K413" s="11">
        <f>12.7248 * CHOOSE(CONTROL!$C$32, $C$9, 100%, $E$9)</f>
        <v>12.7248</v>
      </c>
      <c r="L413" s="11">
        <f>6.9726 * CHOOSE(CONTROL!$C$32, $C$9, 100%, $E$9)</f>
        <v>6.9725999999999999</v>
      </c>
      <c r="M413" s="11">
        <f>6.9762 * CHOOSE(CONTROL!$C$32, $C$9, 100%, $E$9)</f>
        <v>6.9762000000000004</v>
      </c>
      <c r="N413" s="11">
        <f>6.9726 * CHOOSE(CONTROL!$C$32, $C$9, 100%, $E$9)</f>
        <v>6.9725999999999999</v>
      </c>
      <c r="O413" s="11">
        <f>6.9762 * CHOOSE(CONTROL!$C$32, $C$9, 100%, $E$9)</f>
        <v>6.9762000000000004</v>
      </c>
    </row>
    <row r="414" spans="1:15" ht="15" x14ac:dyDescent="0.2">
      <c r="A414" s="13">
        <v>53448</v>
      </c>
      <c r="B414" s="9">
        <f>6.0257 * CHOOSE(CONTROL!$C$32, $C$9, 100%, $E$9)</f>
        <v>6.0256999999999996</v>
      </c>
      <c r="C414" s="9">
        <f>6.0257 * CHOOSE(CONTROL!$C$32, $C$9, 100%, $E$9)</f>
        <v>6.0256999999999996</v>
      </c>
      <c r="D414" s="9">
        <f>6.0273 * CHOOSE(CONTROL!$C$32, $C$9, 100%, $E$9)</f>
        <v>6.0273000000000003</v>
      </c>
      <c r="E414" s="11">
        <f>7.0168 * CHOOSE(CONTROL!$C$32, $C$9, 100%, $E$9)</f>
        <v>7.0167999999999999</v>
      </c>
      <c r="F414" s="11">
        <f>7.0168 * CHOOSE(CONTROL!$C$32, $C$9, 100%, $E$9)</f>
        <v>7.0167999999999999</v>
      </c>
      <c r="G414" s="11">
        <f>7.0221 * CHOOSE(CONTROL!$C$32, $C$9, 100%, $E$9)</f>
        <v>7.0221</v>
      </c>
      <c r="H414" s="11">
        <f>12.7476 * CHOOSE(CONTROL!$C$32, $C$9, 100%, $E$9)</f>
        <v>12.7476</v>
      </c>
      <c r="I414" s="11">
        <f>12.7529 * CHOOSE(CONTROL!$C$32, $C$9, 100%, $E$9)</f>
        <v>12.7529</v>
      </c>
      <c r="J414" s="11">
        <f>12.7476 * CHOOSE(CONTROL!$C$32, $C$9, 100%, $E$9)</f>
        <v>12.7476</v>
      </c>
      <c r="K414" s="11">
        <f>12.7529 * CHOOSE(CONTROL!$C$32, $C$9, 100%, $E$9)</f>
        <v>12.7529</v>
      </c>
      <c r="L414" s="11">
        <f>7.0168 * CHOOSE(CONTROL!$C$32, $C$9, 100%, $E$9)</f>
        <v>7.0167999999999999</v>
      </c>
      <c r="M414" s="11">
        <f>7.0221 * CHOOSE(CONTROL!$C$32, $C$9, 100%, $E$9)</f>
        <v>7.0221</v>
      </c>
      <c r="N414" s="11">
        <f>7.0168 * CHOOSE(CONTROL!$C$32, $C$9, 100%, $E$9)</f>
        <v>7.0167999999999999</v>
      </c>
      <c r="O414" s="11">
        <f>7.0221 * CHOOSE(CONTROL!$C$32, $C$9, 100%, $E$9)</f>
        <v>7.0221</v>
      </c>
    </row>
    <row r="415" spans="1:15" ht="15" x14ac:dyDescent="0.2">
      <c r="A415" s="13">
        <v>53479</v>
      </c>
      <c r="B415" s="9">
        <f>6.0318 * CHOOSE(CONTROL!$C$32, $C$9, 100%, $E$9)</f>
        <v>6.0317999999999996</v>
      </c>
      <c r="C415" s="9">
        <f>6.0318 * CHOOSE(CONTROL!$C$32, $C$9, 100%, $E$9)</f>
        <v>6.0317999999999996</v>
      </c>
      <c r="D415" s="9">
        <f>6.0333 * CHOOSE(CONTROL!$C$32, $C$9, 100%, $E$9)</f>
        <v>6.0332999999999997</v>
      </c>
      <c r="E415" s="11">
        <f>6.9768 * CHOOSE(CONTROL!$C$32, $C$9, 100%, $E$9)</f>
        <v>6.9767999999999999</v>
      </c>
      <c r="F415" s="11">
        <f>6.9768 * CHOOSE(CONTROL!$C$32, $C$9, 100%, $E$9)</f>
        <v>6.9767999999999999</v>
      </c>
      <c r="G415" s="11">
        <f>6.9821 * CHOOSE(CONTROL!$C$32, $C$9, 100%, $E$9)</f>
        <v>6.9821</v>
      </c>
      <c r="H415" s="11">
        <f>12.7742 * CHOOSE(CONTROL!$C$32, $C$9, 100%, $E$9)</f>
        <v>12.7742</v>
      </c>
      <c r="I415" s="11">
        <f>12.7795 * CHOOSE(CONTROL!$C$32, $C$9, 100%, $E$9)</f>
        <v>12.779500000000001</v>
      </c>
      <c r="J415" s="11">
        <f>12.7742 * CHOOSE(CONTROL!$C$32, $C$9, 100%, $E$9)</f>
        <v>12.7742</v>
      </c>
      <c r="K415" s="11">
        <f>12.7795 * CHOOSE(CONTROL!$C$32, $C$9, 100%, $E$9)</f>
        <v>12.779500000000001</v>
      </c>
      <c r="L415" s="11">
        <f>6.9768 * CHOOSE(CONTROL!$C$32, $C$9, 100%, $E$9)</f>
        <v>6.9767999999999999</v>
      </c>
      <c r="M415" s="11">
        <f>6.9821 * CHOOSE(CONTROL!$C$32, $C$9, 100%, $E$9)</f>
        <v>6.9821</v>
      </c>
      <c r="N415" s="11">
        <f>6.9768 * CHOOSE(CONTROL!$C$32, $C$9, 100%, $E$9)</f>
        <v>6.9767999999999999</v>
      </c>
      <c r="O415" s="11">
        <f>6.9821 * CHOOSE(CONTROL!$C$32, $C$9, 100%, $E$9)</f>
        <v>6.9821</v>
      </c>
    </row>
    <row r="416" spans="1:15" ht="15" x14ac:dyDescent="0.2">
      <c r="A416" s="13">
        <v>53509</v>
      </c>
      <c r="B416" s="9">
        <f>6.1126 * CHOOSE(CONTROL!$C$32, $C$9, 100%, $E$9)</f>
        <v>6.1125999999999996</v>
      </c>
      <c r="C416" s="9">
        <f>6.1126 * CHOOSE(CONTROL!$C$32, $C$9, 100%, $E$9)</f>
        <v>6.1125999999999996</v>
      </c>
      <c r="D416" s="9">
        <f>6.1142 * CHOOSE(CONTROL!$C$32, $C$9, 100%, $E$9)</f>
        <v>6.1142000000000003</v>
      </c>
      <c r="E416" s="11">
        <f>7.0342 * CHOOSE(CONTROL!$C$32, $C$9, 100%, $E$9)</f>
        <v>7.0342000000000002</v>
      </c>
      <c r="F416" s="11">
        <f>7.0342 * CHOOSE(CONTROL!$C$32, $C$9, 100%, $E$9)</f>
        <v>7.0342000000000002</v>
      </c>
      <c r="G416" s="11">
        <f>7.0395 * CHOOSE(CONTROL!$C$32, $C$9, 100%, $E$9)</f>
        <v>7.0395000000000003</v>
      </c>
      <c r="H416" s="11">
        <f>12.8008 * CHOOSE(CONTROL!$C$32, $C$9, 100%, $E$9)</f>
        <v>12.800800000000001</v>
      </c>
      <c r="I416" s="11">
        <f>12.8061 * CHOOSE(CONTROL!$C$32, $C$9, 100%, $E$9)</f>
        <v>12.806100000000001</v>
      </c>
      <c r="J416" s="11">
        <f>12.8008 * CHOOSE(CONTROL!$C$32, $C$9, 100%, $E$9)</f>
        <v>12.800800000000001</v>
      </c>
      <c r="K416" s="11">
        <f>12.8061 * CHOOSE(CONTROL!$C$32, $C$9, 100%, $E$9)</f>
        <v>12.806100000000001</v>
      </c>
      <c r="L416" s="11">
        <f>7.0342 * CHOOSE(CONTROL!$C$32, $C$9, 100%, $E$9)</f>
        <v>7.0342000000000002</v>
      </c>
      <c r="M416" s="11">
        <f>7.0395 * CHOOSE(CONTROL!$C$32, $C$9, 100%, $E$9)</f>
        <v>7.0395000000000003</v>
      </c>
      <c r="N416" s="11">
        <f>7.0342 * CHOOSE(CONTROL!$C$32, $C$9, 100%, $E$9)</f>
        <v>7.0342000000000002</v>
      </c>
      <c r="O416" s="11">
        <f>7.0395 * CHOOSE(CONTROL!$C$32, $C$9, 100%, $E$9)</f>
        <v>7.0395000000000003</v>
      </c>
    </row>
    <row r="417" spans="1:15" ht="15" x14ac:dyDescent="0.2">
      <c r="A417" s="13">
        <v>53540</v>
      </c>
      <c r="B417" s="9">
        <f>6.1193 * CHOOSE(CONTROL!$C$32, $C$9, 100%, $E$9)</f>
        <v>6.1193</v>
      </c>
      <c r="C417" s="9">
        <f>6.1193 * CHOOSE(CONTROL!$C$32, $C$9, 100%, $E$9)</f>
        <v>6.1193</v>
      </c>
      <c r="D417" s="9">
        <f>6.1209 * CHOOSE(CONTROL!$C$32, $C$9, 100%, $E$9)</f>
        <v>6.1208999999999998</v>
      </c>
      <c r="E417" s="11">
        <f>6.9061 * CHOOSE(CONTROL!$C$32, $C$9, 100%, $E$9)</f>
        <v>6.9061000000000003</v>
      </c>
      <c r="F417" s="11">
        <f>6.9061 * CHOOSE(CONTROL!$C$32, $C$9, 100%, $E$9)</f>
        <v>6.9061000000000003</v>
      </c>
      <c r="G417" s="11">
        <f>6.9114 * CHOOSE(CONTROL!$C$32, $C$9, 100%, $E$9)</f>
        <v>6.9114000000000004</v>
      </c>
      <c r="H417" s="11">
        <f>12.8275 * CHOOSE(CONTROL!$C$32, $C$9, 100%, $E$9)</f>
        <v>12.827500000000001</v>
      </c>
      <c r="I417" s="11">
        <f>12.8328 * CHOOSE(CONTROL!$C$32, $C$9, 100%, $E$9)</f>
        <v>12.832800000000001</v>
      </c>
      <c r="J417" s="11">
        <f>12.8275 * CHOOSE(CONTROL!$C$32, $C$9, 100%, $E$9)</f>
        <v>12.827500000000001</v>
      </c>
      <c r="K417" s="11">
        <f>12.8328 * CHOOSE(CONTROL!$C$32, $C$9, 100%, $E$9)</f>
        <v>12.832800000000001</v>
      </c>
      <c r="L417" s="11">
        <f>6.9061 * CHOOSE(CONTROL!$C$32, $C$9, 100%, $E$9)</f>
        <v>6.9061000000000003</v>
      </c>
      <c r="M417" s="11">
        <f>6.9114 * CHOOSE(CONTROL!$C$32, $C$9, 100%, $E$9)</f>
        <v>6.9114000000000004</v>
      </c>
      <c r="N417" s="11">
        <f>6.9061 * CHOOSE(CONTROL!$C$32, $C$9, 100%, $E$9)</f>
        <v>6.9061000000000003</v>
      </c>
      <c r="O417" s="11">
        <f>6.9114 * CHOOSE(CONTROL!$C$32, $C$9, 100%, $E$9)</f>
        <v>6.9114000000000004</v>
      </c>
    </row>
    <row r="418" spans="1:15" ht="15" x14ac:dyDescent="0.2">
      <c r="A418" s="13">
        <v>53571</v>
      </c>
      <c r="B418" s="9">
        <f>6.1163 * CHOOSE(CONTROL!$C$32, $C$9, 100%, $E$9)</f>
        <v>6.1162999999999998</v>
      </c>
      <c r="C418" s="9">
        <f>6.1163 * CHOOSE(CONTROL!$C$32, $C$9, 100%, $E$9)</f>
        <v>6.1162999999999998</v>
      </c>
      <c r="D418" s="9">
        <f>6.1178 * CHOOSE(CONTROL!$C$32, $C$9, 100%, $E$9)</f>
        <v>6.1177999999999999</v>
      </c>
      <c r="E418" s="11">
        <f>6.8892 * CHOOSE(CONTROL!$C$32, $C$9, 100%, $E$9)</f>
        <v>6.8891999999999998</v>
      </c>
      <c r="F418" s="11">
        <f>6.8892 * CHOOSE(CONTROL!$C$32, $C$9, 100%, $E$9)</f>
        <v>6.8891999999999998</v>
      </c>
      <c r="G418" s="11">
        <f>6.8945 * CHOOSE(CONTROL!$C$32, $C$9, 100%, $E$9)</f>
        <v>6.8944999999999999</v>
      </c>
      <c r="H418" s="11">
        <f>12.8542 * CHOOSE(CONTROL!$C$32, $C$9, 100%, $E$9)</f>
        <v>12.854200000000001</v>
      </c>
      <c r="I418" s="11">
        <f>12.8595 * CHOOSE(CONTROL!$C$32, $C$9, 100%, $E$9)</f>
        <v>12.859500000000001</v>
      </c>
      <c r="J418" s="11">
        <f>12.8542 * CHOOSE(CONTROL!$C$32, $C$9, 100%, $E$9)</f>
        <v>12.854200000000001</v>
      </c>
      <c r="K418" s="11">
        <f>12.8595 * CHOOSE(CONTROL!$C$32, $C$9, 100%, $E$9)</f>
        <v>12.859500000000001</v>
      </c>
      <c r="L418" s="11">
        <f>6.8892 * CHOOSE(CONTROL!$C$32, $C$9, 100%, $E$9)</f>
        <v>6.8891999999999998</v>
      </c>
      <c r="M418" s="11">
        <f>6.8945 * CHOOSE(CONTROL!$C$32, $C$9, 100%, $E$9)</f>
        <v>6.8944999999999999</v>
      </c>
      <c r="N418" s="11">
        <f>6.8892 * CHOOSE(CONTROL!$C$32, $C$9, 100%, $E$9)</f>
        <v>6.8891999999999998</v>
      </c>
      <c r="O418" s="11">
        <f>6.8945 * CHOOSE(CONTROL!$C$32, $C$9, 100%, $E$9)</f>
        <v>6.8944999999999999</v>
      </c>
    </row>
    <row r="419" spans="1:15" ht="15" x14ac:dyDescent="0.2">
      <c r="A419" s="13">
        <v>53601</v>
      </c>
      <c r="B419" s="9">
        <f>6.1192 * CHOOSE(CONTROL!$C$32, $C$9, 100%, $E$9)</f>
        <v>6.1192000000000002</v>
      </c>
      <c r="C419" s="9">
        <f>6.1192 * CHOOSE(CONTROL!$C$32, $C$9, 100%, $E$9)</f>
        <v>6.1192000000000002</v>
      </c>
      <c r="D419" s="9">
        <f>6.1203 * CHOOSE(CONTROL!$C$32, $C$9, 100%, $E$9)</f>
        <v>6.1203000000000003</v>
      </c>
      <c r="E419" s="11">
        <f>6.9348 * CHOOSE(CONTROL!$C$32, $C$9, 100%, $E$9)</f>
        <v>6.9348000000000001</v>
      </c>
      <c r="F419" s="11">
        <f>6.9348 * CHOOSE(CONTROL!$C$32, $C$9, 100%, $E$9)</f>
        <v>6.9348000000000001</v>
      </c>
      <c r="G419" s="11">
        <f>6.9384 * CHOOSE(CONTROL!$C$32, $C$9, 100%, $E$9)</f>
        <v>6.9383999999999997</v>
      </c>
      <c r="H419" s="11">
        <f>12.881 * CHOOSE(CONTROL!$C$32, $C$9, 100%, $E$9)</f>
        <v>12.881</v>
      </c>
      <c r="I419" s="11">
        <f>12.8846 * CHOOSE(CONTROL!$C$32, $C$9, 100%, $E$9)</f>
        <v>12.884600000000001</v>
      </c>
      <c r="J419" s="11">
        <f>12.881 * CHOOSE(CONTROL!$C$32, $C$9, 100%, $E$9)</f>
        <v>12.881</v>
      </c>
      <c r="K419" s="11">
        <f>12.8846 * CHOOSE(CONTROL!$C$32, $C$9, 100%, $E$9)</f>
        <v>12.884600000000001</v>
      </c>
      <c r="L419" s="11">
        <f>6.9348 * CHOOSE(CONTROL!$C$32, $C$9, 100%, $E$9)</f>
        <v>6.9348000000000001</v>
      </c>
      <c r="M419" s="11">
        <f>6.9384 * CHOOSE(CONTROL!$C$32, $C$9, 100%, $E$9)</f>
        <v>6.9383999999999997</v>
      </c>
      <c r="N419" s="11">
        <f>6.9348 * CHOOSE(CONTROL!$C$32, $C$9, 100%, $E$9)</f>
        <v>6.9348000000000001</v>
      </c>
      <c r="O419" s="11">
        <f>6.9384 * CHOOSE(CONTROL!$C$32, $C$9, 100%, $E$9)</f>
        <v>6.9383999999999997</v>
      </c>
    </row>
    <row r="420" spans="1:15" ht="15" x14ac:dyDescent="0.2">
      <c r="A420" s="13">
        <v>53632</v>
      </c>
      <c r="B420" s="9">
        <f>6.1222 * CHOOSE(CONTROL!$C$32, $C$9, 100%, $E$9)</f>
        <v>6.1222000000000003</v>
      </c>
      <c r="C420" s="9">
        <f>6.1222 * CHOOSE(CONTROL!$C$32, $C$9, 100%, $E$9)</f>
        <v>6.1222000000000003</v>
      </c>
      <c r="D420" s="9">
        <f>6.1233 * CHOOSE(CONTROL!$C$32, $C$9, 100%, $E$9)</f>
        <v>6.1233000000000004</v>
      </c>
      <c r="E420" s="11">
        <f>6.9664 * CHOOSE(CONTROL!$C$32, $C$9, 100%, $E$9)</f>
        <v>6.9664000000000001</v>
      </c>
      <c r="F420" s="11">
        <f>6.9664 * CHOOSE(CONTROL!$C$32, $C$9, 100%, $E$9)</f>
        <v>6.9664000000000001</v>
      </c>
      <c r="G420" s="11">
        <f>6.97 * CHOOSE(CONTROL!$C$32, $C$9, 100%, $E$9)</f>
        <v>6.97</v>
      </c>
      <c r="H420" s="11">
        <f>12.9078 * CHOOSE(CONTROL!$C$32, $C$9, 100%, $E$9)</f>
        <v>12.9078</v>
      </c>
      <c r="I420" s="11">
        <f>12.9114 * CHOOSE(CONTROL!$C$32, $C$9, 100%, $E$9)</f>
        <v>12.9114</v>
      </c>
      <c r="J420" s="11">
        <f>12.9078 * CHOOSE(CONTROL!$C$32, $C$9, 100%, $E$9)</f>
        <v>12.9078</v>
      </c>
      <c r="K420" s="11">
        <f>12.9114 * CHOOSE(CONTROL!$C$32, $C$9, 100%, $E$9)</f>
        <v>12.9114</v>
      </c>
      <c r="L420" s="11">
        <f>6.9664 * CHOOSE(CONTROL!$C$32, $C$9, 100%, $E$9)</f>
        <v>6.9664000000000001</v>
      </c>
      <c r="M420" s="11">
        <f>6.97 * CHOOSE(CONTROL!$C$32, $C$9, 100%, $E$9)</f>
        <v>6.97</v>
      </c>
      <c r="N420" s="11">
        <f>6.9664 * CHOOSE(CONTROL!$C$32, $C$9, 100%, $E$9)</f>
        <v>6.9664000000000001</v>
      </c>
      <c r="O420" s="11">
        <f>6.97 * CHOOSE(CONTROL!$C$32, $C$9, 100%, $E$9)</f>
        <v>6.97</v>
      </c>
    </row>
    <row r="421" spans="1:15" ht="15" x14ac:dyDescent="0.2">
      <c r="A421" s="13">
        <v>53662</v>
      </c>
      <c r="B421" s="9">
        <f>6.1222 * CHOOSE(CONTROL!$C$32, $C$9, 100%, $E$9)</f>
        <v>6.1222000000000003</v>
      </c>
      <c r="C421" s="9">
        <f>6.1222 * CHOOSE(CONTROL!$C$32, $C$9, 100%, $E$9)</f>
        <v>6.1222000000000003</v>
      </c>
      <c r="D421" s="9">
        <f>6.1233 * CHOOSE(CONTROL!$C$32, $C$9, 100%, $E$9)</f>
        <v>6.1233000000000004</v>
      </c>
      <c r="E421" s="11">
        <f>6.8927 * CHOOSE(CONTROL!$C$32, $C$9, 100%, $E$9)</f>
        <v>6.8926999999999996</v>
      </c>
      <c r="F421" s="11">
        <f>6.8927 * CHOOSE(CONTROL!$C$32, $C$9, 100%, $E$9)</f>
        <v>6.8926999999999996</v>
      </c>
      <c r="G421" s="11">
        <f>6.8963 * CHOOSE(CONTROL!$C$32, $C$9, 100%, $E$9)</f>
        <v>6.8963000000000001</v>
      </c>
      <c r="H421" s="11">
        <f>12.9347 * CHOOSE(CONTROL!$C$32, $C$9, 100%, $E$9)</f>
        <v>12.934699999999999</v>
      </c>
      <c r="I421" s="11">
        <f>12.9383 * CHOOSE(CONTROL!$C$32, $C$9, 100%, $E$9)</f>
        <v>12.9383</v>
      </c>
      <c r="J421" s="11">
        <f>12.9347 * CHOOSE(CONTROL!$C$32, $C$9, 100%, $E$9)</f>
        <v>12.934699999999999</v>
      </c>
      <c r="K421" s="11">
        <f>12.9383 * CHOOSE(CONTROL!$C$32, $C$9, 100%, $E$9)</f>
        <v>12.9383</v>
      </c>
      <c r="L421" s="11">
        <f>6.8927 * CHOOSE(CONTROL!$C$32, $C$9, 100%, $E$9)</f>
        <v>6.8926999999999996</v>
      </c>
      <c r="M421" s="11">
        <f>6.8963 * CHOOSE(CONTROL!$C$32, $C$9, 100%, $E$9)</f>
        <v>6.8963000000000001</v>
      </c>
      <c r="N421" s="11">
        <f>6.8927 * CHOOSE(CONTROL!$C$32, $C$9, 100%, $E$9)</f>
        <v>6.8926999999999996</v>
      </c>
      <c r="O421" s="11">
        <f>6.8963 * CHOOSE(CONTROL!$C$32, $C$9, 100%, $E$9)</f>
        <v>6.8963000000000001</v>
      </c>
    </row>
    <row r="422" spans="1:15" ht="15" x14ac:dyDescent="0.2">
      <c r="A422" s="13">
        <v>53693</v>
      </c>
      <c r="B422" s="9">
        <f>6.169 * CHOOSE(CONTROL!$C$32, $C$9, 100%, $E$9)</f>
        <v>6.1689999999999996</v>
      </c>
      <c r="C422" s="9">
        <f>6.169 * CHOOSE(CONTROL!$C$32, $C$9, 100%, $E$9)</f>
        <v>6.1689999999999996</v>
      </c>
      <c r="D422" s="9">
        <f>6.17 * CHOOSE(CONTROL!$C$32, $C$9, 100%, $E$9)</f>
        <v>6.17</v>
      </c>
      <c r="E422" s="11">
        <f>6.9915 * CHOOSE(CONTROL!$C$32, $C$9, 100%, $E$9)</f>
        <v>6.9915000000000003</v>
      </c>
      <c r="F422" s="11">
        <f>6.9915 * CHOOSE(CONTROL!$C$32, $C$9, 100%, $E$9)</f>
        <v>6.9915000000000003</v>
      </c>
      <c r="G422" s="11">
        <f>6.9951 * CHOOSE(CONTROL!$C$32, $C$9, 100%, $E$9)</f>
        <v>6.9950999999999999</v>
      </c>
      <c r="H422" s="11">
        <f>12.9617 * CHOOSE(CONTROL!$C$32, $C$9, 100%, $E$9)</f>
        <v>12.9617</v>
      </c>
      <c r="I422" s="11">
        <f>12.9653 * CHOOSE(CONTROL!$C$32, $C$9, 100%, $E$9)</f>
        <v>12.965299999999999</v>
      </c>
      <c r="J422" s="11">
        <f>12.9617 * CHOOSE(CONTROL!$C$32, $C$9, 100%, $E$9)</f>
        <v>12.9617</v>
      </c>
      <c r="K422" s="11">
        <f>12.9653 * CHOOSE(CONTROL!$C$32, $C$9, 100%, $E$9)</f>
        <v>12.965299999999999</v>
      </c>
      <c r="L422" s="11">
        <f>6.9915 * CHOOSE(CONTROL!$C$32, $C$9, 100%, $E$9)</f>
        <v>6.9915000000000003</v>
      </c>
      <c r="M422" s="11">
        <f>6.9951 * CHOOSE(CONTROL!$C$32, $C$9, 100%, $E$9)</f>
        <v>6.9950999999999999</v>
      </c>
      <c r="N422" s="11">
        <f>6.9915 * CHOOSE(CONTROL!$C$32, $C$9, 100%, $E$9)</f>
        <v>6.9915000000000003</v>
      </c>
      <c r="O422" s="11">
        <f>6.9951 * CHOOSE(CONTROL!$C$32, $C$9, 100%, $E$9)</f>
        <v>6.9950999999999999</v>
      </c>
    </row>
    <row r="423" spans="1:15" ht="15" x14ac:dyDescent="0.2">
      <c r="A423" s="13">
        <v>53724</v>
      </c>
      <c r="B423" s="9">
        <f>6.1659 * CHOOSE(CONTROL!$C$32, $C$9, 100%, $E$9)</f>
        <v>6.1658999999999997</v>
      </c>
      <c r="C423" s="9">
        <f>6.1659 * CHOOSE(CONTROL!$C$32, $C$9, 100%, $E$9)</f>
        <v>6.1658999999999997</v>
      </c>
      <c r="D423" s="9">
        <f>6.167 * CHOOSE(CONTROL!$C$32, $C$9, 100%, $E$9)</f>
        <v>6.1669999999999998</v>
      </c>
      <c r="E423" s="11">
        <f>6.8455 * CHOOSE(CONTROL!$C$32, $C$9, 100%, $E$9)</f>
        <v>6.8455000000000004</v>
      </c>
      <c r="F423" s="11">
        <f>6.8455 * CHOOSE(CONTROL!$C$32, $C$9, 100%, $E$9)</f>
        <v>6.8455000000000004</v>
      </c>
      <c r="G423" s="11">
        <f>6.8491 * CHOOSE(CONTROL!$C$32, $C$9, 100%, $E$9)</f>
        <v>6.8491</v>
      </c>
      <c r="H423" s="11">
        <f>12.9887 * CHOOSE(CONTROL!$C$32, $C$9, 100%, $E$9)</f>
        <v>12.9887</v>
      </c>
      <c r="I423" s="11">
        <f>12.9923 * CHOOSE(CONTROL!$C$32, $C$9, 100%, $E$9)</f>
        <v>12.9923</v>
      </c>
      <c r="J423" s="11">
        <f>12.9887 * CHOOSE(CONTROL!$C$32, $C$9, 100%, $E$9)</f>
        <v>12.9887</v>
      </c>
      <c r="K423" s="11">
        <f>12.9923 * CHOOSE(CONTROL!$C$32, $C$9, 100%, $E$9)</f>
        <v>12.9923</v>
      </c>
      <c r="L423" s="11">
        <f>6.8455 * CHOOSE(CONTROL!$C$32, $C$9, 100%, $E$9)</f>
        <v>6.8455000000000004</v>
      </c>
      <c r="M423" s="11">
        <f>6.8491 * CHOOSE(CONTROL!$C$32, $C$9, 100%, $E$9)</f>
        <v>6.8491</v>
      </c>
      <c r="N423" s="11">
        <f>6.8455 * CHOOSE(CONTROL!$C$32, $C$9, 100%, $E$9)</f>
        <v>6.8455000000000004</v>
      </c>
      <c r="O423" s="11">
        <f>6.8491 * CHOOSE(CONTROL!$C$32, $C$9, 100%, $E$9)</f>
        <v>6.8491</v>
      </c>
    </row>
    <row r="424" spans="1:15" ht="15" x14ac:dyDescent="0.2">
      <c r="A424" s="13">
        <v>53752</v>
      </c>
      <c r="B424" s="9">
        <f>6.1629 * CHOOSE(CONTROL!$C$32, $C$9, 100%, $E$9)</f>
        <v>6.1628999999999996</v>
      </c>
      <c r="C424" s="9">
        <f>6.1629 * CHOOSE(CONTROL!$C$32, $C$9, 100%, $E$9)</f>
        <v>6.1628999999999996</v>
      </c>
      <c r="D424" s="9">
        <f>6.164 * CHOOSE(CONTROL!$C$32, $C$9, 100%, $E$9)</f>
        <v>6.1639999999999997</v>
      </c>
      <c r="E424" s="11">
        <f>6.9568 * CHOOSE(CONTROL!$C$32, $C$9, 100%, $E$9)</f>
        <v>6.9568000000000003</v>
      </c>
      <c r="F424" s="11">
        <f>6.9568 * CHOOSE(CONTROL!$C$32, $C$9, 100%, $E$9)</f>
        <v>6.9568000000000003</v>
      </c>
      <c r="G424" s="11">
        <f>6.9605 * CHOOSE(CONTROL!$C$32, $C$9, 100%, $E$9)</f>
        <v>6.9604999999999997</v>
      </c>
      <c r="H424" s="11">
        <f>13.0157 * CHOOSE(CONTROL!$C$32, $C$9, 100%, $E$9)</f>
        <v>13.015700000000001</v>
      </c>
      <c r="I424" s="11">
        <f>13.0193 * CHOOSE(CONTROL!$C$32, $C$9, 100%, $E$9)</f>
        <v>13.019299999999999</v>
      </c>
      <c r="J424" s="11">
        <f>13.0157 * CHOOSE(CONTROL!$C$32, $C$9, 100%, $E$9)</f>
        <v>13.015700000000001</v>
      </c>
      <c r="K424" s="11">
        <f>13.0193 * CHOOSE(CONTROL!$C$32, $C$9, 100%, $E$9)</f>
        <v>13.019299999999999</v>
      </c>
      <c r="L424" s="11">
        <f>6.9568 * CHOOSE(CONTROL!$C$32, $C$9, 100%, $E$9)</f>
        <v>6.9568000000000003</v>
      </c>
      <c r="M424" s="11">
        <f>6.9605 * CHOOSE(CONTROL!$C$32, $C$9, 100%, $E$9)</f>
        <v>6.9604999999999997</v>
      </c>
      <c r="N424" s="11">
        <f>6.9568 * CHOOSE(CONTROL!$C$32, $C$9, 100%, $E$9)</f>
        <v>6.9568000000000003</v>
      </c>
      <c r="O424" s="11">
        <f>6.9605 * CHOOSE(CONTROL!$C$32, $C$9, 100%, $E$9)</f>
        <v>6.9604999999999997</v>
      </c>
    </row>
    <row r="425" spans="1:15" ht="15" x14ac:dyDescent="0.2">
      <c r="A425" s="13">
        <v>53783</v>
      </c>
      <c r="B425" s="9">
        <f>6.1626 * CHOOSE(CONTROL!$C$32, $C$9, 100%, $E$9)</f>
        <v>6.1626000000000003</v>
      </c>
      <c r="C425" s="9">
        <f>6.1626 * CHOOSE(CONTROL!$C$32, $C$9, 100%, $E$9)</f>
        <v>6.1626000000000003</v>
      </c>
      <c r="D425" s="9">
        <f>6.1637 * CHOOSE(CONTROL!$C$32, $C$9, 100%, $E$9)</f>
        <v>6.1637000000000004</v>
      </c>
      <c r="E425" s="11">
        <f>7.0744 * CHOOSE(CONTROL!$C$32, $C$9, 100%, $E$9)</f>
        <v>7.0743999999999998</v>
      </c>
      <c r="F425" s="11">
        <f>7.0744 * CHOOSE(CONTROL!$C$32, $C$9, 100%, $E$9)</f>
        <v>7.0743999999999998</v>
      </c>
      <c r="G425" s="11">
        <f>7.078 * CHOOSE(CONTROL!$C$32, $C$9, 100%, $E$9)</f>
        <v>7.0780000000000003</v>
      </c>
      <c r="H425" s="11">
        <f>13.0428 * CHOOSE(CONTROL!$C$32, $C$9, 100%, $E$9)</f>
        <v>13.0428</v>
      </c>
      <c r="I425" s="11">
        <f>13.0465 * CHOOSE(CONTROL!$C$32, $C$9, 100%, $E$9)</f>
        <v>13.0465</v>
      </c>
      <c r="J425" s="11">
        <f>13.0428 * CHOOSE(CONTROL!$C$32, $C$9, 100%, $E$9)</f>
        <v>13.0428</v>
      </c>
      <c r="K425" s="11">
        <f>13.0465 * CHOOSE(CONTROL!$C$32, $C$9, 100%, $E$9)</f>
        <v>13.0465</v>
      </c>
      <c r="L425" s="11">
        <f>7.0744 * CHOOSE(CONTROL!$C$32, $C$9, 100%, $E$9)</f>
        <v>7.0743999999999998</v>
      </c>
      <c r="M425" s="11">
        <f>7.078 * CHOOSE(CONTROL!$C$32, $C$9, 100%, $E$9)</f>
        <v>7.0780000000000003</v>
      </c>
      <c r="N425" s="11">
        <f>7.0744 * CHOOSE(CONTROL!$C$32, $C$9, 100%, $E$9)</f>
        <v>7.0743999999999998</v>
      </c>
      <c r="O425" s="11">
        <f>7.078 * CHOOSE(CONTROL!$C$32, $C$9, 100%, $E$9)</f>
        <v>7.0780000000000003</v>
      </c>
    </row>
    <row r="426" spans="1:15" ht="15" x14ac:dyDescent="0.2">
      <c r="A426" s="13">
        <v>53813</v>
      </c>
      <c r="B426" s="9">
        <f>6.1626 * CHOOSE(CONTROL!$C$32, $C$9, 100%, $E$9)</f>
        <v>6.1626000000000003</v>
      </c>
      <c r="C426" s="9">
        <f>6.1626 * CHOOSE(CONTROL!$C$32, $C$9, 100%, $E$9)</f>
        <v>6.1626000000000003</v>
      </c>
      <c r="D426" s="9">
        <f>6.1642 * CHOOSE(CONTROL!$C$32, $C$9, 100%, $E$9)</f>
        <v>6.1642000000000001</v>
      </c>
      <c r="E426" s="11">
        <f>7.1201 * CHOOSE(CONTROL!$C$32, $C$9, 100%, $E$9)</f>
        <v>7.1200999999999999</v>
      </c>
      <c r="F426" s="11">
        <f>7.1201 * CHOOSE(CONTROL!$C$32, $C$9, 100%, $E$9)</f>
        <v>7.1200999999999999</v>
      </c>
      <c r="G426" s="11">
        <f>7.1254 * CHOOSE(CONTROL!$C$32, $C$9, 100%, $E$9)</f>
        <v>7.1254</v>
      </c>
      <c r="H426" s="11">
        <f>13.07 * CHOOSE(CONTROL!$C$32, $C$9, 100%, $E$9)</f>
        <v>13.07</v>
      </c>
      <c r="I426" s="11">
        <f>13.0753 * CHOOSE(CONTROL!$C$32, $C$9, 100%, $E$9)</f>
        <v>13.0753</v>
      </c>
      <c r="J426" s="11">
        <f>13.07 * CHOOSE(CONTROL!$C$32, $C$9, 100%, $E$9)</f>
        <v>13.07</v>
      </c>
      <c r="K426" s="11">
        <f>13.0753 * CHOOSE(CONTROL!$C$32, $C$9, 100%, $E$9)</f>
        <v>13.0753</v>
      </c>
      <c r="L426" s="11">
        <f>7.1201 * CHOOSE(CONTROL!$C$32, $C$9, 100%, $E$9)</f>
        <v>7.1200999999999999</v>
      </c>
      <c r="M426" s="11">
        <f>7.1254 * CHOOSE(CONTROL!$C$32, $C$9, 100%, $E$9)</f>
        <v>7.1254</v>
      </c>
      <c r="N426" s="11">
        <f>7.1201 * CHOOSE(CONTROL!$C$32, $C$9, 100%, $E$9)</f>
        <v>7.1200999999999999</v>
      </c>
      <c r="O426" s="11">
        <f>7.1254 * CHOOSE(CONTROL!$C$32, $C$9, 100%, $E$9)</f>
        <v>7.1254</v>
      </c>
    </row>
    <row r="427" spans="1:15" ht="15" x14ac:dyDescent="0.2">
      <c r="A427" s="13">
        <v>53844</v>
      </c>
      <c r="B427" s="9">
        <f>6.1687 * CHOOSE(CONTROL!$C$32, $C$9, 100%, $E$9)</f>
        <v>6.1687000000000003</v>
      </c>
      <c r="C427" s="9">
        <f>6.1687 * CHOOSE(CONTROL!$C$32, $C$9, 100%, $E$9)</f>
        <v>6.1687000000000003</v>
      </c>
      <c r="D427" s="9">
        <f>6.1703 * CHOOSE(CONTROL!$C$32, $C$9, 100%, $E$9)</f>
        <v>6.1703000000000001</v>
      </c>
      <c r="E427" s="11">
        <f>7.0787 * CHOOSE(CONTROL!$C$32, $C$9, 100%, $E$9)</f>
        <v>7.0787000000000004</v>
      </c>
      <c r="F427" s="11">
        <f>7.0787 * CHOOSE(CONTROL!$C$32, $C$9, 100%, $E$9)</f>
        <v>7.0787000000000004</v>
      </c>
      <c r="G427" s="11">
        <f>7.0839 * CHOOSE(CONTROL!$C$32, $C$9, 100%, $E$9)</f>
        <v>7.0838999999999999</v>
      </c>
      <c r="H427" s="11">
        <f>13.0972 * CHOOSE(CONTROL!$C$32, $C$9, 100%, $E$9)</f>
        <v>13.097200000000001</v>
      </c>
      <c r="I427" s="11">
        <f>13.1025 * CHOOSE(CONTROL!$C$32, $C$9, 100%, $E$9)</f>
        <v>13.102499999999999</v>
      </c>
      <c r="J427" s="11">
        <f>13.0972 * CHOOSE(CONTROL!$C$32, $C$9, 100%, $E$9)</f>
        <v>13.097200000000001</v>
      </c>
      <c r="K427" s="11">
        <f>13.1025 * CHOOSE(CONTROL!$C$32, $C$9, 100%, $E$9)</f>
        <v>13.102499999999999</v>
      </c>
      <c r="L427" s="11">
        <f>7.0787 * CHOOSE(CONTROL!$C$32, $C$9, 100%, $E$9)</f>
        <v>7.0787000000000004</v>
      </c>
      <c r="M427" s="11">
        <f>7.0839 * CHOOSE(CONTROL!$C$32, $C$9, 100%, $E$9)</f>
        <v>7.0838999999999999</v>
      </c>
      <c r="N427" s="11">
        <f>7.0787 * CHOOSE(CONTROL!$C$32, $C$9, 100%, $E$9)</f>
        <v>7.0787000000000004</v>
      </c>
      <c r="O427" s="11">
        <f>7.0839 * CHOOSE(CONTROL!$C$32, $C$9, 100%, $E$9)</f>
        <v>7.0838999999999999</v>
      </c>
    </row>
    <row r="428" spans="1:15" ht="15" x14ac:dyDescent="0.2">
      <c r="A428" s="13">
        <v>53874</v>
      </c>
      <c r="B428" s="9">
        <f>6.251 * CHOOSE(CONTROL!$C$32, $C$9, 100%, $E$9)</f>
        <v>6.2510000000000003</v>
      </c>
      <c r="C428" s="9">
        <f>6.251 * CHOOSE(CONTROL!$C$32, $C$9, 100%, $E$9)</f>
        <v>6.2510000000000003</v>
      </c>
      <c r="D428" s="9">
        <f>6.2526 * CHOOSE(CONTROL!$C$32, $C$9, 100%, $E$9)</f>
        <v>6.2526000000000002</v>
      </c>
      <c r="E428" s="11">
        <f>7.149 * CHOOSE(CONTROL!$C$32, $C$9, 100%, $E$9)</f>
        <v>7.149</v>
      </c>
      <c r="F428" s="11">
        <f>7.149 * CHOOSE(CONTROL!$C$32, $C$9, 100%, $E$9)</f>
        <v>7.149</v>
      </c>
      <c r="G428" s="11">
        <f>7.1543 * CHOOSE(CONTROL!$C$32, $C$9, 100%, $E$9)</f>
        <v>7.1543000000000001</v>
      </c>
      <c r="H428" s="11">
        <f>13.1245 * CHOOSE(CONTROL!$C$32, $C$9, 100%, $E$9)</f>
        <v>13.124499999999999</v>
      </c>
      <c r="I428" s="11">
        <f>13.1298 * CHOOSE(CONTROL!$C$32, $C$9, 100%, $E$9)</f>
        <v>13.129799999999999</v>
      </c>
      <c r="J428" s="11">
        <f>13.1245 * CHOOSE(CONTROL!$C$32, $C$9, 100%, $E$9)</f>
        <v>13.124499999999999</v>
      </c>
      <c r="K428" s="11">
        <f>13.1298 * CHOOSE(CONTROL!$C$32, $C$9, 100%, $E$9)</f>
        <v>13.129799999999999</v>
      </c>
      <c r="L428" s="11">
        <f>7.149 * CHOOSE(CONTROL!$C$32, $C$9, 100%, $E$9)</f>
        <v>7.149</v>
      </c>
      <c r="M428" s="11">
        <f>7.1543 * CHOOSE(CONTROL!$C$32, $C$9, 100%, $E$9)</f>
        <v>7.1543000000000001</v>
      </c>
      <c r="N428" s="11">
        <f>7.149 * CHOOSE(CONTROL!$C$32, $C$9, 100%, $E$9)</f>
        <v>7.149</v>
      </c>
      <c r="O428" s="11">
        <f>7.1543 * CHOOSE(CONTROL!$C$32, $C$9, 100%, $E$9)</f>
        <v>7.1543000000000001</v>
      </c>
    </row>
    <row r="429" spans="1:15" ht="15" x14ac:dyDescent="0.2">
      <c r="A429" s="13">
        <v>53905</v>
      </c>
      <c r="B429" s="9">
        <f>6.2577 * CHOOSE(CONTROL!$C$32, $C$9, 100%, $E$9)</f>
        <v>6.2576999999999998</v>
      </c>
      <c r="C429" s="9">
        <f>6.2577 * CHOOSE(CONTROL!$C$32, $C$9, 100%, $E$9)</f>
        <v>6.2576999999999998</v>
      </c>
      <c r="D429" s="9">
        <f>6.2593 * CHOOSE(CONTROL!$C$32, $C$9, 100%, $E$9)</f>
        <v>6.2592999999999996</v>
      </c>
      <c r="E429" s="11">
        <f>7.0166 * CHOOSE(CONTROL!$C$32, $C$9, 100%, $E$9)</f>
        <v>7.0166000000000004</v>
      </c>
      <c r="F429" s="11">
        <f>7.0166 * CHOOSE(CONTROL!$C$32, $C$9, 100%, $E$9)</f>
        <v>7.0166000000000004</v>
      </c>
      <c r="G429" s="11">
        <f>7.0219 * CHOOSE(CONTROL!$C$32, $C$9, 100%, $E$9)</f>
        <v>7.0218999999999996</v>
      </c>
      <c r="H429" s="11">
        <f>13.1519 * CHOOSE(CONTROL!$C$32, $C$9, 100%, $E$9)</f>
        <v>13.151899999999999</v>
      </c>
      <c r="I429" s="11">
        <f>13.1572 * CHOOSE(CONTROL!$C$32, $C$9, 100%, $E$9)</f>
        <v>13.1572</v>
      </c>
      <c r="J429" s="11">
        <f>13.1519 * CHOOSE(CONTROL!$C$32, $C$9, 100%, $E$9)</f>
        <v>13.151899999999999</v>
      </c>
      <c r="K429" s="11">
        <f>13.1572 * CHOOSE(CONTROL!$C$32, $C$9, 100%, $E$9)</f>
        <v>13.1572</v>
      </c>
      <c r="L429" s="11">
        <f>7.0166 * CHOOSE(CONTROL!$C$32, $C$9, 100%, $E$9)</f>
        <v>7.0166000000000004</v>
      </c>
      <c r="M429" s="11">
        <f>7.0219 * CHOOSE(CONTROL!$C$32, $C$9, 100%, $E$9)</f>
        <v>7.0218999999999996</v>
      </c>
      <c r="N429" s="11">
        <f>7.0166 * CHOOSE(CONTROL!$C$32, $C$9, 100%, $E$9)</f>
        <v>7.0166000000000004</v>
      </c>
      <c r="O429" s="11">
        <f>7.0219 * CHOOSE(CONTROL!$C$32, $C$9, 100%, $E$9)</f>
        <v>7.0218999999999996</v>
      </c>
    </row>
    <row r="430" spans="1:15" ht="15" x14ac:dyDescent="0.2">
      <c r="A430" s="13">
        <v>53936</v>
      </c>
      <c r="B430" s="9">
        <f>6.2547 * CHOOSE(CONTROL!$C$32, $C$9, 100%, $E$9)</f>
        <v>6.2546999999999997</v>
      </c>
      <c r="C430" s="9">
        <f>6.2547 * CHOOSE(CONTROL!$C$32, $C$9, 100%, $E$9)</f>
        <v>6.2546999999999997</v>
      </c>
      <c r="D430" s="9">
        <f>6.2562 * CHOOSE(CONTROL!$C$32, $C$9, 100%, $E$9)</f>
        <v>6.2561999999999998</v>
      </c>
      <c r="E430" s="11">
        <f>6.9993 * CHOOSE(CONTROL!$C$32, $C$9, 100%, $E$9)</f>
        <v>6.9992999999999999</v>
      </c>
      <c r="F430" s="11">
        <f>6.9993 * CHOOSE(CONTROL!$C$32, $C$9, 100%, $E$9)</f>
        <v>6.9992999999999999</v>
      </c>
      <c r="G430" s="11">
        <f>7.0045 * CHOOSE(CONTROL!$C$32, $C$9, 100%, $E$9)</f>
        <v>7.0045000000000002</v>
      </c>
      <c r="H430" s="11">
        <f>13.1793 * CHOOSE(CONTROL!$C$32, $C$9, 100%, $E$9)</f>
        <v>13.1793</v>
      </c>
      <c r="I430" s="11">
        <f>13.1846 * CHOOSE(CONTROL!$C$32, $C$9, 100%, $E$9)</f>
        <v>13.1846</v>
      </c>
      <c r="J430" s="11">
        <f>13.1793 * CHOOSE(CONTROL!$C$32, $C$9, 100%, $E$9)</f>
        <v>13.1793</v>
      </c>
      <c r="K430" s="11">
        <f>13.1846 * CHOOSE(CONTROL!$C$32, $C$9, 100%, $E$9)</f>
        <v>13.1846</v>
      </c>
      <c r="L430" s="11">
        <f>6.9993 * CHOOSE(CONTROL!$C$32, $C$9, 100%, $E$9)</f>
        <v>6.9992999999999999</v>
      </c>
      <c r="M430" s="11">
        <f>7.0045 * CHOOSE(CONTROL!$C$32, $C$9, 100%, $E$9)</f>
        <v>7.0045000000000002</v>
      </c>
      <c r="N430" s="11">
        <f>6.9993 * CHOOSE(CONTROL!$C$32, $C$9, 100%, $E$9)</f>
        <v>6.9992999999999999</v>
      </c>
      <c r="O430" s="11">
        <f>7.0045 * CHOOSE(CONTROL!$C$32, $C$9, 100%, $E$9)</f>
        <v>7.0045000000000002</v>
      </c>
    </row>
    <row r="431" spans="1:15" ht="15" x14ac:dyDescent="0.2">
      <c r="A431" s="13">
        <v>53966</v>
      </c>
      <c r="B431" s="9">
        <f>6.2581 * CHOOSE(CONTROL!$C$32, $C$9, 100%, $E$9)</f>
        <v>6.2580999999999998</v>
      </c>
      <c r="C431" s="9">
        <f>6.2581 * CHOOSE(CONTROL!$C$32, $C$9, 100%, $E$9)</f>
        <v>6.2580999999999998</v>
      </c>
      <c r="D431" s="9">
        <f>6.2592 * CHOOSE(CONTROL!$C$32, $C$9, 100%, $E$9)</f>
        <v>6.2591999999999999</v>
      </c>
      <c r="E431" s="11">
        <f>7.0467 * CHOOSE(CONTROL!$C$32, $C$9, 100%, $E$9)</f>
        <v>7.0467000000000004</v>
      </c>
      <c r="F431" s="11">
        <f>7.0467 * CHOOSE(CONTROL!$C$32, $C$9, 100%, $E$9)</f>
        <v>7.0467000000000004</v>
      </c>
      <c r="G431" s="11">
        <f>7.0504 * CHOOSE(CONTROL!$C$32, $C$9, 100%, $E$9)</f>
        <v>7.0503999999999998</v>
      </c>
      <c r="H431" s="11">
        <f>13.2067 * CHOOSE(CONTROL!$C$32, $C$9, 100%, $E$9)</f>
        <v>13.2067</v>
      </c>
      <c r="I431" s="11">
        <f>13.2103 * CHOOSE(CONTROL!$C$32, $C$9, 100%, $E$9)</f>
        <v>13.2103</v>
      </c>
      <c r="J431" s="11">
        <f>13.2067 * CHOOSE(CONTROL!$C$32, $C$9, 100%, $E$9)</f>
        <v>13.2067</v>
      </c>
      <c r="K431" s="11">
        <f>13.2103 * CHOOSE(CONTROL!$C$32, $C$9, 100%, $E$9)</f>
        <v>13.2103</v>
      </c>
      <c r="L431" s="11">
        <f>7.0467 * CHOOSE(CONTROL!$C$32, $C$9, 100%, $E$9)</f>
        <v>7.0467000000000004</v>
      </c>
      <c r="M431" s="11">
        <f>7.0504 * CHOOSE(CONTROL!$C$32, $C$9, 100%, $E$9)</f>
        <v>7.0503999999999998</v>
      </c>
      <c r="N431" s="11">
        <f>7.0467 * CHOOSE(CONTROL!$C$32, $C$9, 100%, $E$9)</f>
        <v>7.0467000000000004</v>
      </c>
      <c r="O431" s="11">
        <f>7.0504 * CHOOSE(CONTROL!$C$32, $C$9, 100%, $E$9)</f>
        <v>7.0503999999999998</v>
      </c>
    </row>
    <row r="432" spans="1:15" ht="15" x14ac:dyDescent="0.2">
      <c r="A432" s="13">
        <v>53997</v>
      </c>
      <c r="B432" s="9">
        <f>6.2611 * CHOOSE(CONTROL!$C$32, $C$9, 100%, $E$9)</f>
        <v>6.2610999999999999</v>
      </c>
      <c r="C432" s="9">
        <f>6.2611 * CHOOSE(CONTROL!$C$32, $C$9, 100%, $E$9)</f>
        <v>6.2610999999999999</v>
      </c>
      <c r="D432" s="9">
        <f>6.2622 * CHOOSE(CONTROL!$C$32, $C$9, 100%, $E$9)</f>
        <v>6.2622</v>
      </c>
      <c r="E432" s="11">
        <f>7.0793 * CHOOSE(CONTROL!$C$32, $C$9, 100%, $E$9)</f>
        <v>7.0792999999999999</v>
      </c>
      <c r="F432" s="11">
        <f>7.0793 * CHOOSE(CONTROL!$C$32, $C$9, 100%, $E$9)</f>
        <v>7.0792999999999999</v>
      </c>
      <c r="G432" s="11">
        <f>7.0829 * CHOOSE(CONTROL!$C$32, $C$9, 100%, $E$9)</f>
        <v>7.0829000000000004</v>
      </c>
      <c r="H432" s="11">
        <f>13.2342 * CHOOSE(CONTROL!$C$32, $C$9, 100%, $E$9)</f>
        <v>13.2342</v>
      </c>
      <c r="I432" s="11">
        <f>13.2379 * CHOOSE(CONTROL!$C$32, $C$9, 100%, $E$9)</f>
        <v>13.2379</v>
      </c>
      <c r="J432" s="11">
        <f>13.2342 * CHOOSE(CONTROL!$C$32, $C$9, 100%, $E$9)</f>
        <v>13.2342</v>
      </c>
      <c r="K432" s="11">
        <f>13.2379 * CHOOSE(CONTROL!$C$32, $C$9, 100%, $E$9)</f>
        <v>13.2379</v>
      </c>
      <c r="L432" s="11">
        <f>7.0793 * CHOOSE(CONTROL!$C$32, $C$9, 100%, $E$9)</f>
        <v>7.0792999999999999</v>
      </c>
      <c r="M432" s="11">
        <f>7.0829 * CHOOSE(CONTROL!$C$32, $C$9, 100%, $E$9)</f>
        <v>7.0829000000000004</v>
      </c>
      <c r="N432" s="11">
        <f>7.0793 * CHOOSE(CONTROL!$C$32, $C$9, 100%, $E$9)</f>
        <v>7.0792999999999999</v>
      </c>
      <c r="O432" s="11">
        <f>7.0829 * CHOOSE(CONTROL!$C$32, $C$9, 100%, $E$9)</f>
        <v>7.0829000000000004</v>
      </c>
    </row>
    <row r="433" spans="1:15" ht="15" x14ac:dyDescent="0.2">
      <c r="A433" s="13">
        <v>54027</v>
      </c>
      <c r="B433" s="9">
        <f>6.2611 * CHOOSE(CONTROL!$C$32, $C$9, 100%, $E$9)</f>
        <v>6.2610999999999999</v>
      </c>
      <c r="C433" s="9">
        <f>6.2611 * CHOOSE(CONTROL!$C$32, $C$9, 100%, $E$9)</f>
        <v>6.2610999999999999</v>
      </c>
      <c r="D433" s="9">
        <f>6.2622 * CHOOSE(CONTROL!$C$32, $C$9, 100%, $E$9)</f>
        <v>6.2622</v>
      </c>
      <c r="E433" s="11">
        <f>7.0032 * CHOOSE(CONTROL!$C$32, $C$9, 100%, $E$9)</f>
        <v>7.0031999999999996</v>
      </c>
      <c r="F433" s="11">
        <f>7.0032 * CHOOSE(CONTROL!$C$32, $C$9, 100%, $E$9)</f>
        <v>7.0031999999999996</v>
      </c>
      <c r="G433" s="11">
        <f>7.0068 * CHOOSE(CONTROL!$C$32, $C$9, 100%, $E$9)</f>
        <v>7.0068000000000001</v>
      </c>
      <c r="H433" s="11">
        <f>13.2618 * CHOOSE(CONTROL!$C$32, $C$9, 100%, $E$9)</f>
        <v>13.261799999999999</v>
      </c>
      <c r="I433" s="11">
        <f>13.2654 * CHOOSE(CONTROL!$C$32, $C$9, 100%, $E$9)</f>
        <v>13.2654</v>
      </c>
      <c r="J433" s="11">
        <f>13.2618 * CHOOSE(CONTROL!$C$32, $C$9, 100%, $E$9)</f>
        <v>13.261799999999999</v>
      </c>
      <c r="K433" s="11">
        <f>13.2654 * CHOOSE(CONTROL!$C$32, $C$9, 100%, $E$9)</f>
        <v>13.2654</v>
      </c>
      <c r="L433" s="11">
        <f>7.0032 * CHOOSE(CONTROL!$C$32, $C$9, 100%, $E$9)</f>
        <v>7.0031999999999996</v>
      </c>
      <c r="M433" s="11">
        <f>7.0068 * CHOOSE(CONTROL!$C$32, $C$9, 100%, $E$9)</f>
        <v>7.0068000000000001</v>
      </c>
      <c r="N433" s="11">
        <f>7.0032 * CHOOSE(CONTROL!$C$32, $C$9, 100%, $E$9)</f>
        <v>7.0031999999999996</v>
      </c>
      <c r="O433" s="11">
        <f>7.0068 * CHOOSE(CONTROL!$C$32, $C$9, 100%, $E$9)</f>
        <v>7.0068000000000001</v>
      </c>
    </row>
    <row r="434" spans="1:15" ht="15" x14ac:dyDescent="0.2">
      <c r="A434" s="13">
        <v>54058</v>
      </c>
      <c r="B434" s="9">
        <f>6.3089 * CHOOSE(CONTROL!$C$32, $C$9, 100%, $E$9)</f>
        <v>6.3089000000000004</v>
      </c>
      <c r="C434" s="9">
        <f>6.3089 * CHOOSE(CONTROL!$C$32, $C$9, 100%, $E$9)</f>
        <v>6.3089000000000004</v>
      </c>
      <c r="D434" s="9">
        <f>6.3099 * CHOOSE(CONTROL!$C$32, $C$9, 100%, $E$9)</f>
        <v>6.3098999999999998</v>
      </c>
      <c r="E434" s="11">
        <f>7.1107 * CHOOSE(CONTROL!$C$32, $C$9, 100%, $E$9)</f>
        <v>7.1106999999999996</v>
      </c>
      <c r="F434" s="11">
        <f>7.1107 * CHOOSE(CONTROL!$C$32, $C$9, 100%, $E$9)</f>
        <v>7.1106999999999996</v>
      </c>
      <c r="G434" s="11">
        <f>7.1143 * CHOOSE(CONTROL!$C$32, $C$9, 100%, $E$9)</f>
        <v>7.1143000000000001</v>
      </c>
      <c r="H434" s="11">
        <f>13.2894 * CHOOSE(CONTROL!$C$32, $C$9, 100%, $E$9)</f>
        <v>13.289400000000001</v>
      </c>
      <c r="I434" s="11">
        <f>13.2931 * CHOOSE(CONTROL!$C$32, $C$9, 100%, $E$9)</f>
        <v>13.293100000000001</v>
      </c>
      <c r="J434" s="11">
        <f>13.2894 * CHOOSE(CONTROL!$C$32, $C$9, 100%, $E$9)</f>
        <v>13.289400000000001</v>
      </c>
      <c r="K434" s="11">
        <f>13.2931 * CHOOSE(CONTROL!$C$32, $C$9, 100%, $E$9)</f>
        <v>13.293100000000001</v>
      </c>
      <c r="L434" s="11">
        <f>7.1107 * CHOOSE(CONTROL!$C$32, $C$9, 100%, $E$9)</f>
        <v>7.1106999999999996</v>
      </c>
      <c r="M434" s="11">
        <f>7.1143 * CHOOSE(CONTROL!$C$32, $C$9, 100%, $E$9)</f>
        <v>7.1143000000000001</v>
      </c>
      <c r="N434" s="11">
        <f>7.1107 * CHOOSE(CONTROL!$C$32, $C$9, 100%, $E$9)</f>
        <v>7.1106999999999996</v>
      </c>
      <c r="O434" s="11">
        <f>7.1143 * CHOOSE(CONTROL!$C$32, $C$9, 100%, $E$9)</f>
        <v>7.1143000000000001</v>
      </c>
    </row>
    <row r="435" spans="1:15" ht="15" x14ac:dyDescent="0.2">
      <c r="A435" s="13">
        <v>54089</v>
      </c>
      <c r="B435" s="9">
        <f>6.3058 * CHOOSE(CONTROL!$C$32, $C$9, 100%, $E$9)</f>
        <v>6.3057999999999996</v>
      </c>
      <c r="C435" s="9">
        <f>6.3058 * CHOOSE(CONTROL!$C$32, $C$9, 100%, $E$9)</f>
        <v>6.3057999999999996</v>
      </c>
      <c r="D435" s="9">
        <f>6.3069 * CHOOSE(CONTROL!$C$32, $C$9, 100%, $E$9)</f>
        <v>6.3068999999999997</v>
      </c>
      <c r="E435" s="11">
        <f>6.96 * CHOOSE(CONTROL!$C$32, $C$9, 100%, $E$9)</f>
        <v>6.96</v>
      </c>
      <c r="F435" s="11">
        <f>6.96 * CHOOSE(CONTROL!$C$32, $C$9, 100%, $E$9)</f>
        <v>6.96</v>
      </c>
      <c r="G435" s="11">
        <f>6.9636 * CHOOSE(CONTROL!$C$32, $C$9, 100%, $E$9)</f>
        <v>6.9635999999999996</v>
      </c>
      <c r="H435" s="11">
        <f>13.3171 * CHOOSE(CONTROL!$C$32, $C$9, 100%, $E$9)</f>
        <v>13.3171</v>
      </c>
      <c r="I435" s="11">
        <f>13.3207 * CHOOSE(CONTROL!$C$32, $C$9, 100%, $E$9)</f>
        <v>13.3207</v>
      </c>
      <c r="J435" s="11">
        <f>13.3171 * CHOOSE(CONTROL!$C$32, $C$9, 100%, $E$9)</f>
        <v>13.3171</v>
      </c>
      <c r="K435" s="11">
        <f>13.3207 * CHOOSE(CONTROL!$C$32, $C$9, 100%, $E$9)</f>
        <v>13.3207</v>
      </c>
      <c r="L435" s="11">
        <f>6.96 * CHOOSE(CONTROL!$C$32, $C$9, 100%, $E$9)</f>
        <v>6.96</v>
      </c>
      <c r="M435" s="11">
        <f>6.9636 * CHOOSE(CONTROL!$C$32, $C$9, 100%, $E$9)</f>
        <v>6.9635999999999996</v>
      </c>
      <c r="N435" s="11">
        <f>6.96 * CHOOSE(CONTROL!$C$32, $C$9, 100%, $E$9)</f>
        <v>6.96</v>
      </c>
      <c r="O435" s="11">
        <f>6.9636 * CHOOSE(CONTROL!$C$32, $C$9, 100%, $E$9)</f>
        <v>6.9635999999999996</v>
      </c>
    </row>
    <row r="436" spans="1:15" ht="15" x14ac:dyDescent="0.2">
      <c r="A436" s="13">
        <v>54118</v>
      </c>
      <c r="B436" s="9">
        <f>6.3028 * CHOOSE(CONTROL!$C$32, $C$9, 100%, $E$9)</f>
        <v>6.3028000000000004</v>
      </c>
      <c r="C436" s="9">
        <f>6.3028 * CHOOSE(CONTROL!$C$32, $C$9, 100%, $E$9)</f>
        <v>6.3028000000000004</v>
      </c>
      <c r="D436" s="9">
        <f>6.3038 * CHOOSE(CONTROL!$C$32, $C$9, 100%, $E$9)</f>
        <v>6.3037999999999998</v>
      </c>
      <c r="E436" s="11">
        <f>7.075 * CHOOSE(CONTROL!$C$32, $C$9, 100%, $E$9)</f>
        <v>7.0750000000000002</v>
      </c>
      <c r="F436" s="11">
        <f>7.075 * CHOOSE(CONTROL!$C$32, $C$9, 100%, $E$9)</f>
        <v>7.0750000000000002</v>
      </c>
      <c r="G436" s="11">
        <f>7.0786 * CHOOSE(CONTROL!$C$32, $C$9, 100%, $E$9)</f>
        <v>7.0785999999999998</v>
      </c>
      <c r="H436" s="11">
        <f>13.3449 * CHOOSE(CONTROL!$C$32, $C$9, 100%, $E$9)</f>
        <v>13.344900000000001</v>
      </c>
      <c r="I436" s="11">
        <f>13.3485 * CHOOSE(CONTROL!$C$32, $C$9, 100%, $E$9)</f>
        <v>13.3485</v>
      </c>
      <c r="J436" s="11">
        <f>13.3449 * CHOOSE(CONTROL!$C$32, $C$9, 100%, $E$9)</f>
        <v>13.344900000000001</v>
      </c>
      <c r="K436" s="11">
        <f>13.3485 * CHOOSE(CONTROL!$C$32, $C$9, 100%, $E$9)</f>
        <v>13.3485</v>
      </c>
      <c r="L436" s="11">
        <f>7.075 * CHOOSE(CONTROL!$C$32, $C$9, 100%, $E$9)</f>
        <v>7.0750000000000002</v>
      </c>
      <c r="M436" s="11">
        <f>7.0786 * CHOOSE(CONTROL!$C$32, $C$9, 100%, $E$9)</f>
        <v>7.0785999999999998</v>
      </c>
      <c r="N436" s="11">
        <f>7.075 * CHOOSE(CONTROL!$C$32, $C$9, 100%, $E$9)</f>
        <v>7.0750000000000002</v>
      </c>
      <c r="O436" s="11">
        <f>7.0786 * CHOOSE(CONTROL!$C$32, $C$9, 100%, $E$9)</f>
        <v>7.0785999999999998</v>
      </c>
    </row>
    <row r="437" spans="1:15" ht="15" x14ac:dyDescent="0.2">
      <c r="A437" s="13">
        <v>54149</v>
      </c>
      <c r="B437" s="9">
        <f>6.3027 * CHOOSE(CONTROL!$C$32, $C$9, 100%, $E$9)</f>
        <v>6.3026999999999997</v>
      </c>
      <c r="C437" s="9">
        <f>6.3027 * CHOOSE(CONTROL!$C$32, $C$9, 100%, $E$9)</f>
        <v>6.3026999999999997</v>
      </c>
      <c r="D437" s="9">
        <f>6.3037 * CHOOSE(CONTROL!$C$32, $C$9, 100%, $E$9)</f>
        <v>6.3037000000000001</v>
      </c>
      <c r="E437" s="11">
        <f>7.1965 * CHOOSE(CONTROL!$C$32, $C$9, 100%, $E$9)</f>
        <v>7.1965000000000003</v>
      </c>
      <c r="F437" s="11">
        <f>7.1965 * CHOOSE(CONTROL!$C$32, $C$9, 100%, $E$9)</f>
        <v>7.1965000000000003</v>
      </c>
      <c r="G437" s="11">
        <f>7.2001 * CHOOSE(CONTROL!$C$32, $C$9, 100%, $E$9)</f>
        <v>7.2000999999999999</v>
      </c>
      <c r="H437" s="11">
        <f>13.3727 * CHOOSE(CONTROL!$C$32, $C$9, 100%, $E$9)</f>
        <v>13.3727</v>
      </c>
      <c r="I437" s="11">
        <f>13.3763 * CHOOSE(CONTROL!$C$32, $C$9, 100%, $E$9)</f>
        <v>13.376300000000001</v>
      </c>
      <c r="J437" s="11">
        <f>13.3727 * CHOOSE(CONTROL!$C$32, $C$9, 100%, $E$9)</f>
        <v>13.3727</v>
      </c>
      <c r="K437" s="11">
        <f>13.3763 * CHOOSE(CONTROL!$C$32, $C$9, 100%, $E$9)</f>
        <v>13.376300000000001</v>
      </c>
      <c r="L437" s="11">
        <f>7.1965 * CHOOSE(CONTROL!$C$32, $C$9, 100%, $E$9)</f>
        <v>7.1965000000000003</v>
      </c>
      <c r="M437" s="11">
        <f>7.2001 * CHOOSE(CONTROL!$C$32, $C$9, 100%, $E$9)</f>
        <v>7.2000999999999999</v>
      </c>
      <c r="N437" s="11">
        <f>7.1965 * CHOOSE(CONTROL!$C$32, $C$9, 100%, $E$9)</f>
        <v>7.1965000000000003</v>
      </c>
      <c r="O437" s="11">
        <f>7.2001 * CHOOSE(CONTROL!$C$32, $C$9, 100%, $E$9)</f>
        <v>7.2000999999999999</v>
      </c>
    </row>
    <row r="438" spans="1:15" ht="15" x14ac:dyDescent="0.2">
      <c r="A438" s="13">
        <v>54179</v>
      </c>
      <c r="B438" s="9">
        <f>6.3027 * CHOOSE(CONTROL!$C$32, $C$9, 100%, $E$9)</f>
        <v>6.3026999999999997</v>
      </c>
      <c r="C438" s="9">
        <f>6.3027 * CHOOSE(CONTROL!$C$32, $C$9, 100%, $E$9)</f>
        <v>6.3026999999999997</v>
      </c>
      <c r="D438" s="9">
        <f>6.3042 * CHOOSE(CONTROL!$C$32, $C$9, 100%, $E$9)</f>
        <v>6.3041999999999998</v>
      </c>
      <c r="E438" s="11">
        <f>7.2437 * CHOOSE(CONTROL!$C$32, $C$9, 100%, $E$9)</f>
        <v>7.2436999999999996</v>
      </c>
      <c r="F438" s="11">
        <f>7.2437 * CHOOSE(CONTROL!$C$32, $C$9, 100%, $E$9)</f>
        <v>7.2436999999999996</v>
      </c>
      <c r="G438" s="11">
        <f>7.249 * CHOOSE(CONTROL!$C$32, $C$9, 100%, $E$9)</f>
        <v>7.2489999999999997</v>
      </c>
      <c r="H438" s="11">
        <f>13.4005 * CHOOSE(CONTROL!$C$32, $C$9, 100%, $E$9)</f>
        <v>13.400499999999999</v>
      </c>
      <c r="I438" s="11">
        <f>13.4058 * CHOOSE(CONTROL!$C$32, $C$9, 100%, $E$9)</f>
        <v>13.405799999999999</v>
      </c>
      <c r="J438" s="11">
        <f>13.4005 * CHOOSE(CONTROL!$C$32, $C$9, 100%, $E$9)</f>
        <v>13.400499999999999</v>
      </c>
      <c r="K438" s="11">
        <f>13.4058 * CHOOSE(CONTROL!$C$32, $C$9, 100%, $E$9)</f>
        <v>13.405799999999999</v>
      </c>
      <c r="L438" s="11">
        <f>7.2437 * CHOOSE(CONTROL!$C$32, $C$9, 100%, $E$9)</f>
        <v>7.2436999999999996</v>
      </c>
      <c r="M438" s="11">
        <f>7.249 * CHOOSE(CONTROL!$C$32, $C$9, 100%, $E$9)</f>
        <v>7.2489999999999997</v>
      </c>
      <c r="N438" s="11">
        <f>7.2437 * CHOOSE(CONTROL!$C$32, $C$9, 100%, $E$9)</f>
        <v>7.2436999999999996</v>
      </c>
      <c r="O438" s="11">
        <f>7.249 * CHOOSE(CONTROL!$C$32, $C$9, 100%, $E$9)</f>
        <v>7.2489999999999997</v>
      </c>
    </row>
    <row r="439" spans="1:15" ht="15" x14ac:dyDescent="0.2">
      <c r="A439" s="13">
        <v>54210</v>
      </c>
      <c r="B439" s="9">
        <f>6.3087 * CHOOSE(CONTROL!$C$32, $C$9, 100%, $E$9)</f>
        <v>6.3087</v>
      </c>
      <c r="C439" s="9">
        <f>6.3087 * CHOOSE(CONTROL!$C$32, $C$9, 100%, $E$9)</f>
        <v>6.3087</v>
      </c>
      <c r="D439" s="9">
        <f>6.3103 * CHOOSE(CONTROL!$C$32, $C$9, 100%, $E$9)</f>
        <v>6.3102999999999998</v>
      </c>
      <c r="E439" s="11">
        <f>7.2008 * CHOOSE(CONTROL!$C$32, $C$9, 100%, $E$9)</f>
        <v>7.2008000000000001</v>
      </c>
      <c r="F439" s="11">
        <f>7.2008 * CHOOSE(CONTROL!$C$32, $C$9, 100%, $E$9)</f>
        <v>7.2008000000000001</v>
      </c>
      <c r="G439" s="11">
        <f>7.206 * CHOOSE(CONTROL!$C$32, $C$9, 100%, $E$9)</f>
        <v>7.2060000000000004</v>
      </c>
      <c r="H439" s="11">
        <f>13.4285 * CHOOSE(CONTROL!$C$32, $C$9, 100%, $E$9)</f>
        <v>13.4285</v>
      </c>
      <c r="I439" s="11">
        <f>13.4337 * CHOOSE(CONTROL!$C$32, $C$9, 100%, $E$9)</f>
        <v>13.4337</v>
      </c>
      <c r="J439" s="11">
        <f>13.4285 * CHOOSE(CONTROL!$C$32, $C$9, 100%, $E$9)</f>
        <v>13.4285</v>
      </c>
      <c r="K439" s="11">
        <f>13.4337 * CHOOSE(CONTROL!$C$32, $C$9, 100%, $E$9)</f>
        <v>13.4337</v>
      </c>
      <c r="L439" s="11">
        <f>7.2008 * CHOOSE(CONTROL!$C$32, $C$9, 100%, $E$9)</f>
        <v>7.2008000000000001</v>
      </c>
      <c r="M439" s="11">
        <f>7.206 * CHOOSE(CONTROL!$C$32, $C$9, 100%, $E$9)</f>
        <v>7.2060000000000004</v>
      </c>
      <c r="N439" s="11">
        <f>7.2008 * CHOOSE(CONTROL!$C$32, $C$9, 100%, $E$9)</f>
        <v>7.2008000000000001</v>
      </c>
      <c r="O439" s="11">
        <f>7.206 * CHOOSE(CONTROL!$C$32, $C$9, 100%, $E$9)</f>
        <v>7.2060000000000004</v>
      </c>
    </row>
    <row r="440" spans="1:15" ht="15" x14ac:dyDescent="0.2">
      <c r="A440" s="13">
        <v>54240</v>
      </c>
      <c r="B440" s="9">
        <f>6.3926 * CHOOSE(CONTROL!$C$32, $C$9, 100%, $E$9)</f>
        <v>6.3925999999999998</v>
      </c>
      <c r="C440" s="9">
        <f>6.3926 * CHOOSE(CONTROL!$C$32, $C$9, 100%, $E$9)</f>
        <v>6.3925999999999998</v>
      </c>
      <c r="D440" s="9">
        <f>6.3942 * CHOOSE(CONTROL!$C$32, $C$9, 100%, $E$9)</f>
        <v>6.3941999999999997</v>
      </c>
      <c r="E440" s="11">
        <f>7.2866 * CHOOSE(CONTROL!$C$32, $C$9, 100%, $E$9)</f>
        <v>7.2866</v>
      </c>
      <c r="F440" s="11">
        <f>7.2866 * CHOOSE(CONTROL!$C$32, $C$9, 100%, $E$9)</f>
        <v>7.2866</v>
      </c>
      <c r="G440" s="11">
        <f>7.2919 * CHOOSE(CONTROL!$C$32, $C$9, 100%, $E$9)</f>
        <v>7.2919</v>
      </c>
      <c r="H440" s="11">
        <f>13.4564 * CHOOSE(CONTROL!$C$32, $C$9, 100%, $E$9)</f>
        <v>13.4564</v>
      </c>
      <c r="I440" s="11">
        <f>13.4617 * CHOOSE(CONTROL!$C$32, $C$9, 100%, $E$9)</f>
        <v>13.4617</v>
      </c>
      <c r="J440" s="11">
        <f>13.4564 * CHOOSE(CONTROL!$C$32, $C$9, 100%, $E$9)</f>
        <v>13.4564</v>
      </c>
      <c r="K440" s="11">
        <f>13.4617 * CHOOSE(CONTROL!$C$32, $C$9, 100%, $E$9)</f>
        <v>13.4617</v>
      </c>
      <c r="L440" s="11">
        <f>7.2866 * CHOOSE(CONTROL!$C$32, $C$9, 100%, $E$9)</f>
        <v>7.2866</v>
      </c>
      <c r="M440" s="11">
        <f>7.2919 * CHOOSE(CONTROL!$C$32, $C$9, 100%, $E$9)</f>
        <v>7.2919</v>
      </c>
      <c r="N440" s="11">
        <f>7.2866 * CHOOSE(CONTROL!$C$32, $C$9, 100%, $E$9)</f>
        <v>7.2866</v>
      </c>
      <c r="O440" s="11">
        <f>7.2919 * CHOOSE(CONTROL!$C$32, $C$9, 100%, $E$9)</f>
        <v>7.2919</v>
      </c>
    </row>
    <row r="441" spans="1:15" ht="15" x14ac:dyDescent="0.2">
      <c r="A441" s="13">
        <v>54271</v>
      </c>
      <c r="B441" s="9">
        <f>6.3993 * CHOOSE(CONTROL!$C$32, $C$9, 100%, $E$9)</f>
        <v>6.3993000000000002</v>
      </c>
      <c r="C441" s="9">
        <f>6.3993 * CHOOSE(CONTROL!$C$32, $C$9, 100%, $E$9)</f>
        <v>6.3993000000000002</v>
      </c>
      <c r="D441" s="9">
        <f>6.4009 * CHOOSE(CONTROL!$C$32, $C$9, 100%, $E$9)</f>
        <v>6.4009</v>
      </c>
      <c r="E441" s="11">
        <f>7.1497 * CHOOSE(CONTROL!$C$32, $C$9, 100%, $E$9)</f>
        <v>7.1497000000000002</v>
      </c>
      <c r="F441" s="11">
        <f>7.1497 * CHOOSE(CONTROL!$C$32, $C$9, 100%, $E$9)</f>
        <v>7.1497000000000002</v>
      </c>
      <c r="G441" s="11">
        <f>7.155 * CHOOSE(CONTROL!$C$32, $C$9, 100%, $E$9)</f>
        <v>7.1550000000000002</v>
      </c>
      <c r="H441" s="11">
        <f>13.4845 * CHOOSE(CONTROL!$C$32, $C$9, 100%, $E$9)</f>
        <v>13.484500000000001</v>
      </c>
      <c r="I441" s="11">
        <f>13.4898 * CHOOSE(CONTROL!$C$32, $C$9, 100%, $E$9)</f>
        <v>13.489800000000001</v>
      </c>
      <c r="J441" s="11">
        <f>13.4845 * CHOOSE(CONTROL!$C$32, $C$9, 100%, $E$9)</f>
        <v>13.484500000000001</v>
      </c>
      <c r="K441" s="11">
        <f>13.4898 * CHOOSE(CONTROL!$C$32, $C$9, 100%, $E$9)</f>
        <v>13.489800000000001</v>
      </c>
      <c r="L441" s="11">
        <f>7.1497 * CHOOSE(CONTROL!$C$32, $C$9, 100%, $E$9)</f>
        <v>7.1497000000000002</v>
      </c>
      <c r="M441" s="11">
        <f>7.155 * CHOOSE(CONTROL!$C$32, $C$9, 100%, $E$9)</f>
        <v>7.1550000000000002</v>
      </c>
      <c r="N441" s="11">
        <f>7.1497 * CHOOSE(CONTROL!$C$32, $C$9, 100%, $E$9)</f>
        <v>7.1497000000000002</v>
      </c>
      <c r="O441" s="11">
        <f>7.155 * CHOOSE(CONTROL!$C$32, $C$9, 100%, $E$9)</f>
        <v>7.1550000000000002</v>
      </c>
    </row>
    <row r="442" spans="1:15" ht="15" x14ac:dyDescent="0.2">
      <c r="A442" s="13">
        <v>54302</v>
      </c>
      <c r="B442" s="9">
        <f>6.3963 * CHOOSE(CONTROL!$C$32, $C$9, 100%, $E$9)</f>
        <v>6.3963000000000001</v>
      </c>
      <c r="C442" s="9">
        <f>6.3963 * CHOOSE(CONTROL!$C$32, $C$9, 100%, $E$9)</f>
        <v>6.3963000000000001</v>
      </c>
      <c r="D442" s="9">
        <f>6.3978 * CHOOSE(CONTROL!$C$32, $C$9, 100%, $E$9)</f>
        <v>6.3978000000000002</v>
      </c>
      <c r="E442" s="11">
        <f>7.1319 * CHOOSE(CONTROL!$C$32, $C$9, 100%, $E$9)</f>
        <v>7.1318999999999999</v>
      </c>
      <c r="F442" s="11">
        <f>7.1319 * CHOOSE(CONTROL!$C$32, $C$9, 100%, $E$9)</f>
        <v>7.1318999999999999</v>
      </c>
      <c r="G442" s="11">
        <f>7.1372 * CHOOSE(CONTROL!$C$32, $C$9, 100%, $E$9)</f>
        <v>7.1372</v>
      </c>
      <c r="H442" s="11">
        <f>13.5126 * CHOOSE(CONTROL!$C$32, $C$9, 100%, $E$9)</f>
        <v>13.512600000000001</v>
      </c>
      <c r="I442" s="11">
        <f>13.5178 * CHOOSE(CONTROL!$C$32, $C$9, 100%, $E$9)</f>
        <v>13.517799999999999</v>
      </c>
      <c r="J442" s="11">
        <f>13.5126 * CHOOSE(CONTROL!$C$32, $C$9, 100%, $E$9)</f>
        <v>13.512600000000001</v>
      </c>
      <c r="K442" s="11">
        <f>13.5178 * CHOOSE(CONTROL!$C$32, $C$9, 100%, $E$9)</f>
        <v>13.517799999999999</v>
      </c>
      <c r="L442" s="11">
        <f>7.1319 * CHOOSE(CONTROL!$C$32, $C$9, 100%, $E$9)</f>
        <v>7.1318999999999999</v>
      </c>
      <c r="M442" s="11">
        <f>7.1372 * CHOOSE(CONTROL!$C$32, $C$9, 100%, $E$9)</f>
        <v>7.1372</v>
      </c>
      <c r="N442" s="11">
        <f>7.1319 * CHOOSE(CONTROL!$C$32, $C$9, 100%, $E$9)</f>
        <v>7.1318999999999999</v>
      </c>
      <c r="O442" s="11">
        <f>7.1372 * CHOOSE(CONTROL!$C$32, $C$9, 100%, $E$9)</f>
        <v>7.1372</v>
      </c>
    </row>
    <row r="443" spans="1:15" ht="15" x14ac:dyDescent="0.2">
      <c r="A443" s="13">
        <v>54332</v>
      </c>
      <c r="B443" s="9">
        <f>6.4002 * CHOOSE(CONTROL!$C$32, $C$9, 100%, $E$9)</f>
        <v>6.4001999999999999</v>
      </c>
      <c r="C443" s="9">
        <f>6.4002 * CHOOSE(CONTROL!$C$32, $C$9, 100%, $E$9)</f>
        <v>6.4001999999999999</v>
      </c>
      <c r="D443" s="9">
        <f>6.4013 * CHOOSE(CONTROL!$C$32, $C$9, 100%, $E$9)</f>
        <v>6.4013</v>
      </c>
      <c r="E443" s="11">
        <f>7.1814 * CHOOSE(CONTROL!$C$32, $C$9, 100%, $E$9)</f>
        <v>7.1814</v>
      </c>
      <c r="F443" s="11">
        <f>7.1814 * CHOOSE(CONTROL!$C$32, $C$9, 100%, $E$9)</f>
        <v>7.1814</v>
      </c>
      <c r="G443" s="11">
        <f>7.185 * CHOOSE(CONTROL!$C$32, $C$9, 100%, $E$9)</f>
        <v>7.1849999999999996</v>
      </c>
      <c r="H443" s="11">
        <f>13.5407 * CHOOSE(CONTROL!$C$32, $C$9, 100%, $E$9)</f>
        <v>13.540699999999999</v>
      </c>
      <c r="I443" s="11">
        <f>13.5443 * CHOOSE(CONTROL!$C$32, $C$9, 100%, $E$9)</f>
        <v>13.5443</v>
      </c>
      <c r="J443" s="11">
        <f>13.5407 * CHOOSE(CONTROL!$C$32, $C$9, 100%, $E$9)</f>
        <v>13.540699999999999</v>
      </c>
      <c r="K443" s="11">
        <f>13.5443 * CHOOSE(CONTROL!$C$32, $C$9, 100%, $E$9)</f>
        <v>13.5443</v>
      </c>
      <c r="L443" s="11">
        <f>7.1814 * CHOOSE(CONTROL!$C$32, $C$9, 100%, $E$9)</f>
        <v>7.1814</v>
      </c>
      <c r="M443" s="11">
        <f>7.185 * CHOOSE(CONTROL!$C$32, $C$9, 100%, $E$9)</f>
        <v>7.1849999999999996</v>
      </c>
      <c r="N443" s="11">
        <f>7.1814 * CHOOSE(CONTROL!$C$32, $C$9, 100%, $E$9)</f>
        <v>7.1814</v>
      </c>
      <c r="O443" s="11">
        <f>7.185 * CHOOSE(CONTROL!$C$32, $C$9, 100%, $E$9)</f>
        <v>7.1849999999999996</v>
      </c>
    </row>
    <row r="444" spans="1:15" ht="15" x14ac:dyDescent="0.2">
      <c r="A444" s="13">
        <v>54363</v>
      </c>
      <c r="B444" s="9">
        <f>6.4033 * CHOOSE(CONTROL!$C$32, $C$9, 100%, $E$9)</f>
        <v>6.4032999999999998</v>
      </c>
      <c r="C444" s="9">
        <f>6.4033 * CHOOSE(CONTROL!$C$32, $C$9, 100%, $E$9)</f>
        <v>6.4032999999999998</v>
      </c>
      <c r="D444" s="9">
        <f>6.4043 * CHOOSE(CONTROL!$C$32, $C$9, 100%, $E$9)</f>
        <v>6.4043000000000001</v>
      </c>
      <c r="E444" s="11">
        <f>7.2149 * CHOOSE(CONTROL!$C$32, $C$9, 100%, $E$9)</f>
        <v>7.2149000000000001</v>
      </c>
      <c r="F444" s="11">
        <f>7.2149 * CHOOSE(CONTROL!$C$32, $C$9, 100%, $E$9)</f>
        <v>7.2149000000000001</v>
      </c>
      <c r="G444" s="11">
        <f>7.2185 * CHOOSE(CONTROL!$C$32, $C$9, 100%, $E$9)</f>
        <v>7.2184999999999997</v>
      </c>
      <c r="H444" s="11">
        <f>13.5689 * CHOOSE(CONTROL!$C$32, $C$9, 100%, $E$9)</f>
        <v>13.568899999999999</v>
      </c>
      <c r="I444" s="11">
        <f>13.5725 * CHOOSE(CONTROL!$C$32, $C$9, 100%, $E$9)</f>
        <v>13.5725</v>
      </c>
      <c r="J444" s="11">
        <f>13.5689 * CHOOSE(CONTROL!$C$32, $C$9, 100%, $E$9)</f>
        <v>13.568899999999999</v>
      </c>
      <c r="K444" s="11">
        <f>13.5725 * CHOOSE(CONTROL!$C$32, $C$9, 100%, $E$9)</f>
        <v>13.5725</v>
      </c>
      <c r="L444" s="11">
        <f>7.2149 * CHOOSE(CONTROL!$C$32, $C$9, 100%, $E$9)</f>
        <v>7.2149000000000001</v>
      </c>
      <c r="M444" s="11">
        <f>7.2185 * CHOOSE(CONTROL!$C$32, $C$9, 100%, $E$9)</f>
        <v>7.2184999999999997</v>
      </c>
      <c r="N444" s="11">
        <f>7.2149 * CHOOSE(CONTROL!$C$32, $C$9, 100%, $E$9)</f>
        <v>7.2149000000000001</v>
      </c>
      <c r="O444" s="11">
        <f>7.2185 * CHOOSE(CONTROL!$C$32, $C$9, 100%, $E$9)</f>
        <v>7.2184999999999997</v>
      </c>
    </row>
    <row r="445" spans="1:15" ht="15" x14ac:dyDescent="0.2">
      <c r="A445" s="13">
        <v>54393</v>
      </c>
      <c r="B445" s="9">
        <f>6.4033 * CHOOSE(CONTROL!$C$32, $C$9, 100%, $E$9)</f>
        <v>6.4032999999999998</v>
      </c>
      <c r="C445" s="9">
        <f>6.4033 * CHOOSE(CONTROL!$C$32, $C$9, 100%, $E$9)</f>
        <v>6.4032999999999998</v>
      </c>
      <c r="D445" s="9">
        <f>6.4043 * CHOOSE(CONTROL!$C$32, $C$9, 100%, $E$9)</f>
        <v>6.4043000000000001</v>
      </c>
      <c r="E445" s="11">
        <f>7.1363 * CHOOSE(CONTROL!$C$32, $C$9, 100%, $E$9)</f>
        <v>7.1363000000000003</v>
      </c>
      <c r="F445" s="11">
        <f>7.1363 * CHOOSE(CONTROL!$C$32, $C$9, 100%, $E$9)</f>
        <v>7.1363000000000003</v>
      </c>
      <c r="G445" s="11">
        <f>7.1399 * CHOOSE(CONTROL!$C$32, $C$9, 100%, $E$9)</f>
        <v>7.1398999999999999</v>
      </c>
      <c r="H445" s="11">
        <f>13.5972 * CHOOSE(CONTROL!$C$32, $C$9, 100%, $E$9)</f>
        <v>13.597200000000001</v>
      </c>
      <c r="I445" s="11">
        <f>13.6008 * CHOOSE(CONTROL!$C$32, $C$9, 100%, $E$9)</f>
        <v>13.6008</v>
      </c>
      <c r="J445" s="11">
        <f>13.5972 * CHOOSE(CONTROL!$C$32, $C$9, 100%, $E$9)</f>
        <v>13.597200000000001</v>
      </c>
      <c r="K445" s="11">
        <f>13.6008 * CHOOSE(CONTROL!$C$32, $C$9, 100%, $E$9)</f>
        <v>13.6008</v>
      </c>
      <c r="L445" s="11">
        <f>7.1363 * CHOOSE(CONTROL!$C$32, $C$9, 100%, $E$9)</f>
        <v>7.1363000000000003</v>
      </c>
      <c r="M445" s="11">
        <f>7.1399 * CHOOSE(CONTROL!$C$32, $C$9, 100%, $E$9)</f>
        <v>7.1398999999999999</v>
      </c>
      <c r="N445" s="11">
        <f>7.1363 * CHOOSE(CONTROL!$C$32, $C$9, 100%, $E$9)</f>
        <v>7.1363000000000003</v>
      </c>
      <c r="O445" s="11">
        <f>7.1399 * CHOOSE(CONTROL!$C$32, $C$9, 100%, $E$9)</f>
        <v>7.1398999999999999</v>
      </c>
    </row>
    <row r="446" spans="1:15" ht="15" x14ac:dyDescent="0.2">
      <c r="A446" s="13">
        <v>54424</v>
      </c>
      <c r="B446" s="9">
        <f>6.4519 * CHOOSE(CONTROL!$C$32, $C$9, 100%, $E$9)</f>
        <v>6.4519000000000002</v>
      </c>
      <c r="C446" s="9">
        <f>6.4519 * CHOOSE(CONTROL!$C$32, $C$9, 100%, $E$9)</f>
        <v>6.4519000000000002</v>
      </c>
      <c r="D446" s="9">
        <f>6.453 * CHOOSE(CONTROL!$C$32, $C$9, 100%, $E$9)</f>
        <v>6.4530000000000003</v>
      </c>
      <c r="E446" s="11">
        <f>7.2513 * CHOOSE(CONTROL!$C$32, $C$9, 100%, $E$9)</f>
        <v>7.2512999999999996</v>
      </c>
      <c r="F446" s="11">
        <f>7.2513 * CHOOSE(CONTROL!$C$32, $C$9, 100%, $E$9)</f>
        <v>7.2512999999999996</v>
      </c>
      <c r="G446" s="11">
        <f>7.2549 * CHOOSE(CONTROL!$C$32, $C$9, 100%, $E$9)</f>
        <v>7.2549000000000001</v>
      </c>
      <c r="H446" s="11">
        <f>13.6255 * CHOOSE(CONTROL!$C$32, $C$9, 100%, $E$9)</f>
        <v>13.625500000000001</v>
      </c>
      <c r="I446" s="11">
        <f>13.6291 * CHOOSE(CONTROL!$C$32, $C$9, 100%, $E$9)</f>
        <v>13.629099999999999</v>
      </c>
      <c r="J446" s="11">
        <f>13.6255 * CHOOSE(CONTROL!$C$32, $C$9, 100%, $E$9)</f>
        <v>13.625500000000001</v>
      </c>
      <c r="K446" s="11">
        <f>13.6291 * CHOOSE(CONTROL!$C$32, $C$9, 100%, $E$9)</f>
        <v>13.629099999999999</v>
      </c>
      <c r="L446" s="11">
        <f>7.2513 * CHOOSE(CONTROL!$C$32, $C$9, 100%, $E$9)</f>
        <v>7.2512999999999996</v>
      </c>
      <c r="M446" s="11">
        <f>7.2549 * CHOOSE(CONTROL!$C$32, $C$9, 100%, $E$9)</f>
        <v>7.2549000000000001</v>
      </c>
      <c r="N446" s="11">
        <f>7.2513 * CHOOSE(CONTROL!$C$32, $C$9, 100%, $E$9)</f>
        <v>7.2512999999999996</v>
      </c>
      <c r="O446" s="11">
        <f>7.2549 * CHOOSE(CONTROL!$C$32, $C$9, 100%, $E$9)</f>
        <v>7.2549000000000001</v>
      </c>
    </row>
    <row r="447" spans="1:15" ht="15" x14ac:dyDescent="0.2">
      <c r="A447" s="13">
        <v>54455</v>
      </c>
      <c r="B447" s="9">
        <f>6.4489 * CHOOSE(CONTROL!$C$32, $C$9, 100%, $E$9)</f>
        <v>6.4489000000000001</v>
      </c>
      <c r="C447" s="9">
        <f>6.4489 * CHOOSE(CONTROL!$C$32, $C$9, 100%, $E$9)</f>
        <v>6.4489000000000001</v>
      </c>
      <c r="D447" s="9">
        <f>6.45 * CHOOSE(CONTROL!$C$32, $C$9, 100%, $E$9)</f>
        <v>6.45</v>
      </c>
      <c r="E447" s="11">
        <f>7.0958 * CHOOSE(CONTROL!$C$32, $C$9, 100%, $E$9)</f>
        <v>7.0957999999999997</v>
      </c>
      <c r="F447" s="11">
        <f>7.0958 * CHOOSE(CONTROL!$C$32, $C$9, 100%, $E$9)</f>
        <v>7.0957999999999997</v>
      </c>
      <c r="G447" s="11">
        <f>7.0994 * CHOOSE(CONTROL!$C$32, $C$9, 100%, $E$9)</f>
        <v>7.0994000000000002</v>
      </c>
      <c r="H447" s="11">
        <f>13.6539 * CHOOSE(CONTROL!$C$32, $C$9, 100%, $E$9)</f>
        <v>13.6539</v>
      </c>
      <c r="I447" s="11">
        <f>13.6575 * CHOOSE(CONTROL!$C$32, $C$9, 100%, $E$9)</f>
        <v>13.657500000000001</v>
      </c>
      <c r="J447" s="11">
        <f>13.6539 * CHOOSE(CONTROL!$C$32, $C$9, 100%, $E$9)</f>
        <v>13.6539</v>
      </c>
      <c r="K447" s="11">
        <f>13.6575 * CHOOSE(CONTROL!$C$32, $C$9, 100%, $E$9)</f>
        <v>13.657500000000001</v>
      </c>
      <c r="L447" s="11">
        <f>7.0958 * CHOOSE(CONTROL!$C$32, $C$9, 100%, $E$9)</f>
        <v>7.0957999999999997</v>
      </c>
      <c r="M447" s="11">
        <f>7.0994 * CHOOSE(CONTROL!$C$32, $C$9, 100%, $E$9)</f>
        <v>7.0994000000000002</v>
      </c>
      <c r="N447" s="11">
        <f>7.0958 * CHOOSE(CONTROL!$C$32, $C$9, 100%, $E$9)</f>
        <v>7.0957999999999997</v>
      </c>
      <c r="O447" s="11">
        <f>7.0994 * CHOOSE(CONTROL!$C$32, $C$9, 100%, $E$9)</f>
        <v>7.0994000000000002</v>
      </c>
    </row>
    <row r="448" spans="1:15" ht="15" x14ac:dyDescent="0.2">
      <c r="A448" s="13">
        <v>54483</v>
      </c>
      <c r="B448" s="9">
        <f>6.4459 * CHOOSE(CONTROL!$C$32, $C$9, 100%, $E$9)</f>
        <v>6.4459</v>
      </c>
      <c r="C448" s="9">
        <f>6.4459 * CHOOSE(CONTROL!$C$32, $C$9, 100%, $E$9)</f>
        <v>6.4459</v>
      </c>
      <c r="D448" s="9">
        <f>6.4469 * CHOOSE(CONTROL!$C$32, $C$9, 100%, $E$9)</f>
        <v>6.4469000000000003</v>
      </c>
      <c r="E448" s="11">
        <f>7.2146 * CHOOSE(CONTROL!$C$32, $C$9, 100%, $E$9)</f>
        <v>7.2145999999999999</v>
      </c>
      <c r="F448" s="11">
        <f>7.2146 * CHOOSE(CONTROL!$C$32, $C$9, 100%, $E$9)</f>
        <v>7.2145999999999999</v>
      </c>
      <c r="G448" s="11">
        <f>7.2182 * CHOOSE(CONTROL!$C$32, $C$9, 100%, $E$9)</f>
        <v>7.2182000000000004</v>
      </c>
      <c r="H448" s="11">
        <f>13.6823 * CHOOSE(CONTROL!$C$32, $C$9, 100%, $E$9)</f>
        <v>13.6823</v>
      </c>
      <c r="I448" s="11">
        <f>13.686 * CHOOSE(CONTROL!$C$32, $C$9, 100%, $E$9)</f>
        <v>13.686</v>
      </c>
      <c r="J448" s="11">
        <f>13.6823 * CHOOSE(CONTROL!$C$32, $C$9, 100%, $E$9)</f>
        <v>13.6823</v>
      </c>
      <c r="K448" s="11">
        <f>13.686 * CHOOSE(CONTROL!$C$32, $C$9, 100%, $E$9)</f>
        <v>13.686</v>
      </c>
      <c r="L448" s="11">
        <f>7.2146 * CHOOSE(CONTROL!$C$32, $C$9, 100%, $E$9)</f>
        <v>7.2145999999999999</v>
      </c>
      <c r="M448" s="11">
        <f>7.2182 * CHOOSE(CONTROL!$C$32, $C$9, 100%, $E$9)</f>
        <v>7.2182000000000004</v>
      </c>
      <c r="N448" s="11">
        <f>7.2146 * CHOOSE(CONTROL!$C$32, $C$9, 100%, $E$9)</f>
        <v>7.2145999999999999</v>
      </c>
      <c r="O448" s="11">
        <f>7.2182 * CHOOSE(CONTROL!$C$32, $C$9, 100%, $E$9)</f>
        <v>7.2182000000000004</v>
      </c>
    </row>
    <row r="449" spans="1:15" ht="15" x14ac:dyDescent="0.2">
      <c r="A449" s="13">
        <v>54514</v>
      </c>
      <c r="B449" s="9">
        <f>6.4459 * CHOOSE(CONTROL!$C$32, $C$9, 100%, $E$9)</f>
        <v>6.4459</v>
      </c>
      <c r="C449" s="9">
        <f>6.4459 * CHOOSE(CONTROL!$C$32, $C$9, 100%, $E$9)</f>
        <v>6.4459</v>
      </c>
      <c r="D449" s="9">
        <f>6.447 * CHOOSE(CONTROL!$C$32, $C$9, 100%, $E$9)</f>
        <v>6.4470000000000001</v>
      </c>
      <c r="E449" s="11">
        <f>7.3402 * CHOOSE(CONTROL!$C$32, $C$9, 100%, $E$9)</f>
        <v>7.3402000000000003</v>
      </c>
      <c r="F449" s="11">
        <f>7.3402 * CHOOSE(CONTROL!$C$32, $C$9, 100%, $E$9)</f>
        <v>7.3402000000000003</v>
      </c>
      <c r="G449" s="11">
        <f>7.3438 * CHOOSE(CONTROL!$C$32, $C$9, 100%, $E$9)</f>
        <v>7.3437999999999999</v>
      </c>
      <c r="H449" s="11">
        <f>13.7108 * CHOOSE(CONTROL!$C$32, $C$9, 100%, $E$9)</f>
        <v>13.710800000000001</v>
      </c>
      <c r="I449" s="11">
        <f>13.7145 * CHOOSE(CONTROL!$C$32, $C$9, 100%, $E$9)</f>
        <v>13.714499999999999</v>
      </c>
      <c r="J449" s="11">
        <f>13.7108 * CHOOSE(CONTROL!$C$32, $C$9, 100%, $E$9)</f>
        <v>13.710800000000001</v>
      </c>
      <c r="K449" s="11">
        <f>13.7145 * CHOOSE(CONTROL!$C$32, $C$9, 100%, $E$9)</f>
        <v>13.714499999999999</v>
      </c>
      <c r="L449" s="11">
        <f>7.3402 * CHOOSE(CONTROL!$C$32, $C$9, 100%, $E$9)</f>
        <v>7.3402000000000003</v>
      </c>
      <c r="M449" s="11">
        <f>7.3438 * CHOOSE(CONTROL!$C$32, $C$9, 100%, $E$9)</f>
        <v>7.3437999999999999</v>
      </c>
      <c r="N449" s="11">
        <f>7.3402 * CHOOSE(CONTROL!$C$32, $C$9, 100%, $E$9)</f>
        <v>7.3402000000000003</v>
      </c>
      <c r="O449" s="11">
        <f>7.3438 * CHOOSE(CONTROL!$C$32, $C$9, 100%, $E$9)</f>
        <v>7.3437999999999999</v>
      </c>
    </row>
    <row r="450" spans="1:15" ht="15" x14ac:dyDescent="0.2">
      <c r="A450" s="13">
        <v>54544</v>
      </c>
      <c r="B450" s="9">
        <f>6.4459 * CHOOSE(CONTROL!$C$32, $C$9, 100%, $E$9)</f>
        <v>6.4459</v>
      </c>
      <c r="C450" s="9">
        <f>6.4459 * CHOOSE(CONTROL!$C$32, $C$9, 100%, $E$9)</f>
        <v>6.4459</v>
      </c>
      <c r="D450" s="9">
        <f>6.4475 * CHOOSE(CONTROL!$C$32, $C$9, 100%, $E$9)</f>
        <v>6.4474999999999998</v>
      </c>
      <c r="E450" s="11">
        <f>7.3889 * CHOOSE(CONTROL!$C$32, $C$9, 100%, $E$9)</f>
        <v>7.3888999999999996</v>
      </c>
      <c r="F450" s="11">
        <f>7.3889 * CHOOSE(CONTROL!$C$32, $C$9, 100%, $E$9)</f>
        <v>7.3888999999999996</v>
      </c>
      <c r="G450" s="11">
        <f>7.3942 * CHOOSE(CONTROL!$C$32, $C$9, 100%, $E$9)</f>
        <v>7.3941999999999997</v>
      </c>
      <c r="H450" s="11">
        <f>13.7394 * CHOOSE(CONTROL!$C$32, $C$9, 100%, $E$9)</f>
        <v>13.7394</v>
      </c>
      <c r="I450" s="11">
        <f>13.7447 * CHOOSE(CONTROL!$C$32, $C$9, 100%, $E$9)</f>
        <v>13.7447</v>
      </c>
      <c r="J450" s="11">
        <f>13.7394 * CHOOSE(CONTROL!$C$32, $C$9, 100%, $E$9)</f>
        <v>13.7394</v>
      </c>
      <c r="K450" s="11">
        <f>13.7447 * CHOOSE(CONTROL!$C$32, $C$9, 100%, $E$9)</f>
        <v>13.7447</v>
      </c>
      <c r="L450" s="11">
        <f>7.3889 * CHOOSE(CONTROL!$C$32, $C$9, 100%, $E$9)</f>
        <v>7.3888999999999996</v>
      </c>
      <c r="M450" s="11">
        <f>7.3942 * CHOOSE(CONTROL!$C$32, $C$9, 100%, $E$9)</f>
        <v>7.3941999999999997</v>
      </c>
      <c r="N450" s="11">
        <f>7.3889 * CHOOSE(CONTROL!$C$32, $C$9, 100%, $E$9)</f>
        <v>7.3888999999999996</v>
      </c>
      <c r="O450" s="11">
        <f>7.3942 * CHOOSE(CONTROL!$C$32, $C$9, 100%, $E$9)</f>
        <v>7.3941999999999997</v>
      </c>
    </row>
    <row r="451" spans="1:15" ht="15" x14ac:dyDescent="0.2">
      <c r="A451" s="13">
        <v>54575</v>
      </c>
      <c r="B451" s="9">
        <f>6.452 * CHOOSE(CONTROL!$C$32, $C$9, 100%, $E$9)</f>
        <v>6.452</v>
      </c>
      <c r="C451" s="9">
        <f>6.452 * CHOOSE(CONTROL!$C$32, $C$9, 100%, $E$9)</f>
        <v>6.452</v>
      </c>
      <c r="D451" s="9">
        <f>6.4535 * CHOOSE(CONTROL!$C$32, $C$9, 100%, $E$9)</f>
        <v>6.4535</v>
      </c>
      <c r="E451" s="11">
        <f>7.3444 * CHOOSE(CONTROL!$C$32, $C$9, 100%, $E$9)</f>
        <v>7.3444000000000003</v>
      </c>
      <c r="F451" s="11">
        <f>7.3444 * CHOOSE(CONTROL!$C$32, $C$9, 100%, $E$9)</f>
        <v>7.3444000000000003</v>
      </c>
      <c r="G451" s="11">
        <f>7.3497 * CHOOSE(CONTROL!$C$32, $C$9, 100%, $E$9)</f>
        <v>7.3497000000000003</v>
      </c>
      <c r="H451" s="11">
        <f>13.768 * CHOOSE(CONTROL!$C$32, $C$9, 100%, $E$9)</f>
        <v>13.768000000000001</v>
      </c>
      <c r="I451" s="11">
        <f>13.7733 * CHOOSE(CONTROL!$C$32, $C$9, 100%, $E$9)</f>
        <v>13.773300000000001</v>
      </c>
      <c r="J451" s="11">
        <f>13.768 * CHOOSE(CONTROL!$C$32, $C$9, 100%, $E$9)</f>
        <v>13.768000000000001</v>
      </c>
      <c r="K451" s="11">
        <f>13.7733 * CHOOSE(CONTROL!$C$32, $C$9, 100%, $E$9)</f>
        <v>13.773300000000001</v>
      </c>
      <c r="L451" s="11">
        <f>7.3444 * CHOOSE(CONTROL!$C$32, $C$9, 100%, $E$9)</f>
        <v>7.3444000000000003</v>
      </c>
      <c r="M451" s="11">
        <f>7.3497 * CHOOSE(CONTROL!$C$32, $C$9, 100%, $E$9)</f>
        <v>7.3497000000000003</v>
      </c>
      <c r="N451" s="11">
        <f>7.3444 * CHOOSE(CONTROL!$C$32, $C$9, 100%, $E$9)</f>
        <v>7.3444000000000003</v>
      </c>
      <c r="O451" s="11">
        <f>7.3497 * CHOOSE(CONTROL!$C$32, $C$9, 100%, $E$9)</f>
        <v>7.3497000000000003</v>
      </c>
    </row>
    <row r="452" spans="1:15" ht="15" x14ac:dyDescent="0.2">
      <c r="A452" s="13">
        <v>54605</v>
      </c>
      <c r="B452" s="9">
        <f>6.5374 * CHOOSE(CONTROL!$C$32, $C$9, 100%, $E$9)</f>
        <v>6.5373999999999999</v>
      </c>
      <c r="C452" s="9">
        <f>6.5374 * CHOOSE(CONTROL!$C$32, $C$9, 100%, $E$9)</f>
        <v>6.5373999999999999</v>
      </c>
      <c r="D452" s="9">
        <f>6.539 * CHOOSE(CONTROL!$C$32, $C$9, 100%, $E$9)</f>
        <v>6.5389999999999997</v>
      </c>
      <c r="E452" s="11">
        <f>7.4428 * CHOOSE(CONTROL!$C$32, $C$9, 100%, $E$9)</f>
        <v>7.4428000000000001</v>
      </c>
      <c r="F452" s="11">
        <f>7.4428 * CHOOSE(CONTROL!$C$32, $C$9, 100%, $E$9)</f>
        <v>7.4428000000000001</v>
      </c>
      <c r="G452" s="11">
        <f>7.448 * CHOOSE(CONTROL!$C$32, $C$9, 100%, $E$9)</f>
        <v>7.4480000000000004</v>
      </c>
      <c r="H452" s="11">
        <f>13.7967 * CHOOSE(CONTROL!$C$32, $C$9, 100%, $E$9)</f>
        <v>13.7967</v>
      </c>
      <c r="I452" s="11">
        <f>13.802 * CHOOSE(CONTROL!$C$32, $C$9, 100%, $E$9)</f>
        <v>13.802</v>
      </c>
      <c r="J452" s="11">
        <f>13.7967 * CHOOSE(CONTROL!$C$32, $C$9, 100%, $E$9)</f>
        <v>13.7967</v>
      </c>
      <c r="K452" s="11">
        <f>13.802 * CHOOSE(CONTROL!$C$32, $C$9, 100%, $E$9)</f>
        <v>13.802</v>
      </c>
      <c r="L452" s="11">
        <f>7.4428 * CHOOSE(CONTROL!$C$32, $C$9, 100%, $E$9)</f>
        <v>7.4428000000000001</v>
      </c>
      <c r="M452" s="11">
        <f>7.448 * CHOOSE(CONTROL!$C$32, $C$9, 100%, $E$9)</f>
        <v>7.4480000000000004</v>
      </c>
      <c r="N452" s="11">
        <f>7.4428 * CHOOSE(CONTROL!$C$32, $C$9, 100%, $E$9)</f>
        <v>7.4428000000000001</v>
      </c>
      <c r="O452" s="11">
        <f>7.448 * CHOOSE(CONTROL!$C$32, $C$9, 100%, $E$9)</f>
        <v>7.4480000000000004</v>
      </c>
    </row>
    <row r="453" spans="1:15" ht="15" x14ac:dyDescent="0.2">
      <c r="A453" s="13">
        <v>54636</v>
      </c>
      <c r="B453" s="9">
        <f>6.5441 * CHOOSE(CONTROL!$C$32, $C$9, 100%, $E$9)</f>
        <v>6.5441000000000003</v>
      </c>
      <c r="C453" s="9">
        <f>6.5441 * CHOOSE(CONTROL!$C$32, $C$9, 100%, $E$9)</f>
        <v>6.5441000000000003</v>
      </c>
      <c r="D453" s="9">
        <f>6.5457 * CHOOSE(CONTROL!$C$32, $C$9, 100%, $E$9)</f>
        <v>6.5457000000000001</v>
      </c>
      <c r="E453" s="11">
        <f>7.3013 * CHOOSE(CONTROL!$C$32, $C$9, 100%, $E$9)</f>
        <v>7.3013000000000003</v>
      </c>
      <c r="F453" s="11">
        <f>7.3013 * CHOOSE(CONTROL!$C$32, $C$9, 100%, $E$9)</f>
        <v>7.3013000000000003</v>
      </c>
      <c r="G453" s="11">
        <f>7.3066 * CHOOSE(CONTROL!$C$32, $C$9, 100%, $E$9)</f>
        <v>7.3066000000000004</v>
      </c>
      <c r="H453" s="11">
        <f>13.8255 * CHOOSE(CONTROL!$C$32, $C$9, 100%, $E$9)</f>
        <v>13.8255</v>
      </c>
      <c r="I453" s="11">
        <f>13.8308 * CHOOSE(CONTROL!$C$32, $C$9, 100%, $E$9)</f>
        <v>13.8308</v>
      </c>
      <c r="J453" s="11">
        <f>13.8255 * CHOOSE(CONTROL!$C$32, $C$9, 100%, $E$9)</f>
        <v>13.8255</v>
      </c>
      <c r="K453" s="11">
        <f>13.8308 * CHOOSE(CONTROL!$C$32, $C$9, 100%, $E$9)</f>
        <v>13.8308</v>
      </c>
      <c r="L453" s="11">
        <f>7.3013 * CHOOSE(CONTROL!$C$32, $C$9, 100%, $E$9)</f>
        <v>7.3013000000000003</v>
      </c>
      <c r="M453" s="11">
        <f>7.3066 * CHOOSE(CONTROL!$C$32, $C$9, 100%, $E$9)</f>
        <v>7.3066000000000004</v>
      </c>
      <c r="N453" s="11">
        <f>7.3013 * CHOOSE(CONTROL!$C$32, $C$9, 100%, $E$9)</f>
        <v>7.3013000000000003</v>
      </c>
      <c r="O453" s="11">
        <f>7.3066 * CHOOSE(CONTROL!$C$32, $C$9, 100%, $E$9)</f>
        <v>7.3066000000000004</v>
      </c>
    </row>
    <row r="454" spans="1:15" ht="15" x14ac:dyDescent="0.2">
      <c r="A454" s="13">
        <v>54667</v>
      </c>
      <c r="B454" s="9">
        <f>6.541 * CHOOSE(CONTROL!$C$32, $C$9, 100%, $E$9)</f>
        <v>6.5410000000000004</v>
      </c>
      <c r="C454" s="9">
        <f>6.541 * CHOOSE(CONTROL!$C$32, $C$9, 100%, $E$9)</f>
        <v>6.5410000000000004</v>
      </c>
      <c r="D454" s="9">
        <f>6.5426 * CHOOSE(CONTROL!$C$32, $C$9, 100%, $E$9)</f>
        <v>6.5426000000000002</v>
      </c>
      <c r="E454" s="11">
        <f>7.283 * CHOOSE(CONTROL!$C$32, $C$9, 100%, $E$9)</f>
        <v>7.2830000000000004</v>
      </c>
      <c r="F454" s="11">
        <f>7.283 * CHOOSE(CONTROL!$C$32, $C$9, 100%, $E$9)</f>
        <v>7.2830000000000004</v>
      </c>
      <c r="G454" s="11">
        <f>7.2883 * CHOOSE(CONTROL!$C$32, $C$9, 100%, $E$9)</f>
        <v>7.2882999999999996</v>
      </c>
      <c r="H454" s="11">
        <f>13.8543 * CHOOSE(CONTROL!$C$32, $C$9, 100%, $E$9)</f>
        <v>13.8543</v>
      </c>
      <c r="I454" s="11">
        <f>13.8596 * CHOOSE(CONTROL!$C$32, $C$9, 100%, $E$9)</f>
        <v>13.8596</v>
      </c>
      <c r="J454" s="11">
        <f>13.8543 * CHOOSE(CONTROL!$C$32, $C$9, 100%, $E$9)</f>
        <v>13.8543</v>
      </c>
      <c r="K454" s="11">
        <f>13.8596 * CHOOSE(CONTROL!$C$32, $C$9, 100%, $E$9)</f>
        <v>13.8596</v>
      </c>
      <c r="L454" s="11">
        <f>7.283 * CHOOSE(CONTROL!$C$32, $C$9, 100%, $E$9)</f>
        <v>7.2830000000000004</v>
      </c>
      <c r="M454" s="11">
        <f>7.2883 * CHOOSE(CONTROL!$C$32, $C$9, 100%, $E$9)</f>
        <v>7.2882999999999996</v>
      </c>
      <c r="N454" s="11">
        <f>7.283 * CHOOSE(CONTROL!$C$32, $C$9, 100%, $E$9)</f>
        <v>7.2830000000000004</v>
      </c>
      <c r="O454" s="11">
        <f>7.2883 * CHOOSE(CONTROL!$C$32, $C$9, 100%, $E$9)</f>
        <v>7.2882999999999996</v>
      </c>
    </row>
    <row r="455" spans="1:15" ht="15" x14ac:dyDescent="0.2">
      <c r="A455" s="13">
        <v>54697</v>
      </c>
      <c r="B455" s="9">
        <f>6.5456 * CHOOSE(CONTROL!$C$32, $C$9, 100%, $E$9)</f>
        <v>6.5456000000000003</v>
      </c>
      <c r="C455" s="9">
        <f>6.5456 * CHOOSE(CONTROL!$C$32, $C$9, 100%, $E$9)</f>
        <v>6.5456000000000003</v>
      </c>
      <c r="D455" s="9">
        <f>6.5466 * CHOOSE(CONTROL!$C$32, $C$9, 100%, $E$9)</f>
        <v>6.5465999999999998</v>
      </c>
      <c r="E455" s="11">
        <f>7.3345 * CHOOSE(CONTROL!$C$32, $C$9, 100%, $E$9)</f>
        <v>7.3345000000000002</v>
      </c>
      <c r="F455" s="11">
        <f>7.3345 * CHOOSE(CONTROL!$C$32, $C$9, 100%, $E$9)</f>
        <v>7.3345000000000002</v>
      </c>
      <c r="G455" s="11">
        <f>7.3381 * CHOOSE(CONTROL!$C$32, $C$9, 100%, $E$9)</f>
        <v>7.3380999999999998</v>
      </c>
      <c r="H455" s="11">
        <f>13.8831 * CHOOSE(CONTROL!$C$32, $C$9, 100%, $E$9)</f>
        <v>13.883100000000001</v>
      </c>
      <c r="I455" s="11">
        <f>13.8867 * CHOOSE(CONTROL!$C$32, $C$9, 100%, $E$9)</f>
        <v>13.886699999999999</v>
      </c>
      <c r="J455" s="11">
        <f>13.8831 * CHOOSE(CONTROL!$C$32, $C$9, 100%, $E$9)</f>
        <v>13.883100000000001</v>
      </c>
      <c r="K455" s="11">
        <f>13.8867 * CHOOSE(CONTROL!$C$32, $C$9, 100%, $E$9)</f>
        <v>13.886699999999999</v>
      </c>
      <c r="L455" s="11">
        <f>7.3345 * CHOOSE(CONTROL!$C$32, $C$9, 100%, $E$9)</f>
        <v>7.3345000000000002</v>
      </c>
      <c r="M455" s="11">
        <f>7.3381 * CHOOSE(CONTROL!$C$32, $C$9, 100%, $E$9)</f>
        <v>7.3380999999999998</v>
      </c>
      <c r="N455" s="11">
        <f>7.3345 * CHOOSE(CONTROL!$C$32, $C$9, 100%, $E$9)</f>
        <v>7.3345000000000002</v>
      </c>
      <c r="O455" s="11">
        <f>7.3381 * CHOOSE(CONTROL!$C$32, $C$9, 100%, $E$9)</f>
        <v>7.3380999999999998</v>
      </c>
    </row>
    <row r="456" spans="1:15" ht="15" x14ac:dyDescent="0.2">
      <c r="A456" s="13">
        <v>54728</v>
      </c>
      <c r="B456" s="9">
        <f>6.5486 * CHOOSE(CONTROL!$C$32, $C$9, 100%, $E$9)</f>
        <v>6.5486000000000004</v>
      </c>
      <c r="C456" s="9">
        <f>6.5486 * CHOOSE(CONTROL!$C$32, $C$9, 100%, $E$9)</f>
        <v>6.5486000000000004</v>
      </c>
      <c r="D456" s="9">
        <f>6.5497 * CHOOSE(CONTROL!$C$32, $C$9, 100%, $E$9)</f>
        <v>6.5496999999999996</v>
      </c>
      <c r="E456" s="11">
        <f>7.3691 * CHOOSE(CONTROL!$C$32, $C$9, 100%, $E$9)</f>
        <v>7.3691000000000004</v>
      </c>
      <c r="F456" s="11">
        <f>7.3691 * CHOOSE(CONTROL!$C$32, $C$9, 100%, $E$9)</f>
        <v>7.3691000000000004</v>
      </c>
      <c r="G456" s="11">
        <f>7.3727 * CHOOSE(CONTROL!$C$32, $C$9, 100%, $E$9)</f>
        <v>7.3727</v>
      </c>
      <c r="H456" s="11">
        <f>13.9121 * CHOOSE(CONTROL!$C$32, $C$9, 100%, $E$9)</f>
        <v>13.912100000000001</v>
      </c>
      <c r="I456" s="11">
        <f>13.9157 * CHOOSE(CONTROL!$C$32, $C$9, 100%, $E$9)</f>
        <v>13.915699999999999</v>
      </c>
      <c r="J456" s="11">
        <f>13.9121 * CHOOSE(CONTROL!$C$32, $C$9, 100%, $E$9)</f>
        <v>13.912100000000001</v>
      </c>
      <c r="K456" s="11">
        <f>13.9157 * CHOOSE(CONTROL!$C$32, $C$9, 100%, $E$9)</f>
        <v>13.915699999999999</v>
      </c>
      <c r="L456" s="11">
        <f>7.3691 * CHOOSE(CONTROL!$C$32, $C$9, 100%, $E$9)</f>
        <v>7.3691000000000004</v>
      </c>
      <c r="M456" s="11">
        <f>7.3727 * CHOOSE(CONTROL!$C$32, $C$9, 100%, $E$9)</f>
        <v>7.3727</v>
      </c>
      <c r="N456" s="11">
        <f>7.3691 * CHOOSE(CONTROL!$C$32, $C$9, 100%, $E$9)</f>
        <v>7.3691000000000004</v>
      </c>
      <c r="O456" s="11">
        <f>7.3727 * CHOOSE(CONTROL!$C$32, $C$9, 100%, $E$9)</f>
        <v>7.3727</v>
      </c>
    </row>
    <row r="457" spans="1:15" ht="15" x14ac:dyDescent="0.2">
      <c r="A457" s="13">
        <v>54758</v>
      </c>
      <c r="B457" s="9">
        <f>6.5486 * CHOOSE(CONTROL!$C$32, $C$9, 100%, $E$9)</f>
        <v>6.5486000000000004</v>
      </c>
      <c r="C457" s="9">
        <f>6.5486 * CHOOSE(CONTROL!$C$32, $C$9, 100%, $E$9)</f>
        <v>6.5486000000000004</v>
      </c>
      <c r="D457" s="9">
        <f>6.5497 * CHOOSE(CONTROL!$C$32, $C$9, 100%, $E$9)</f>
        <v>6.5496999999999996</v>
      </c>
      <c r="E457" s="11">
        <f>7.2879 * CHOOSE(CONTROL!$C$32, $C$9, 100%, $E$9)</f>
        <v>7.2878999999999996</v>
      </c>
      <c r="F457" s="11">
        <f>7.2879 * CHOOSE(CONTROL!$C$32, $C$9, 100%, $E$9)</f>
        <v>7.2878999999999996</v>
      </c>
      <c r="G457" s="11">
        <f>7.2915 * CHOOSE(CONTROL!$C$32, $C$9, 100%, $E$9)</f>
        <v>7.2915000000000001</v>
      </c>
      <c r="H457" s="11">
        <f>13.941 * CHOOSE(CONTROL!$C$32, $C$9, 100%, $E$9)</f>
        <v>13.941000000000001</v>
      </c>
      <c r="I457" s="11">
        <f>13.9447 * CHOOSE(CONTROL!$C$32, $C$9, 100%, $E$9)</f>
        <v>13.944699999999999</v>
      </c>
      <c r="J457" s="11">
        <f>13.941 * CHOOSE(CONTROL!$C$32, $C$9, 100%, $E$9)</f>
        <v>13.941000000000001</v>
      </c>
      <c r="K457" s="11">
        <f>13.9447 * CHOOSE(CONTROL!$C$32, $C$9, 100%, $E$9)</f>
        <v>13.944699999999999</v>
      </c>
      <c r="L457" s="11">
        <f>7.2879 * CHOOSE(CONTROL!$C$32, $C$9, 100%, $E$9)</f>
        <v>7.2878999999999996</v>
      </c>
      <c r="M457" s="11">
        <f>7.2915 * CHOOSE(CONTROL!$C$32, $C$9, 100%, $E$9)</f>
        <v>7.2915000000000001</v>
      </c>
      <c r="N457" s="11">
        <f>7.2879 * CHOOSE(CONTROL!$C$32, $C$9, 100%, $E$9)</f>
        <v>7.2878999999999996</v>
      </c>
      <c r="O457" s="11">
        <f>7.2915 * CHOOSE(CONTROL!$C$32, $C$9, 100%, $E$9)</f>
        <v>7.2915000000000001</v>
      </c>
    </row>
    <row r="458" spans="1:15" ht="15" x14ac:dyDescent="0.2">
      <c r="A458" s="13">
        <v>54789</v>
      </c>
      <c r="B458" s="9">
        <f>6.5983 * CHOOSE(CONTROL!$C$32, $C$9, 100%, $E$9)</f>
        <v>6.5983000000000001</v>
      </c>
      <c r="C458" s="9">
        <f>6.5983 * CHOOSE(CONTROL!$C$32, $C$9, 100%, $E$9)</f>
        <v>6.5983000000000001</v>
      </c>
      <c r="D458" s="9">
        <f>6.5993 * CHOOSE(CONTROL!$C$32, $C$9, 100%, $E$9)</f>
        <v>6.5993000000000004</v>
      </c>
      <c r="E458" s="11">
        <f>7.4077 * CHOOSE(CONTROL!$C$32, $C$9, 100%, $E$9)</f>
        <v>7.4077000000000002</v>
      </c>
      <c r="F458" s="11">
        <f>7.4077 * CHOOSE(CONTROL!$C$32, $C$9, 100%, $E$9)</f>
        <v>7.4077000000000002</v>
      </c>
      <c r="G458" s="11">
        <f>7.4113 * CHOOSE(CONTROL!$C$32, $C$9, 100%, $E$9)</f>
        <v>7.4112999999999998</v>
      </c>
      <c r="H458" s="11">
        <f>13.9701 * CHOOSE(CONTROL!$C$32, $C$9, 100%, $E$9)</f>
        <v>13.9701</v>
      </c>
      <c r="I458" s="11">
        <f>13.9737 * CHOOSE(CONTROL!$C$32, $C$9, 100%, $E$9)</f>
        <v>13.973699999999999</v>
      </c>
      <c r="J458" s="11">
        <f>13.9701 * CHOOSE(CONTROL!$C$32, $C$9, 100%, $E$9)</f>
        <v>13.9701</v>
      </c>
      <c r="K458" s="11">
        <f>13.9737 * CHOOSE(CONTROL!$C$32, $C$9, 100%, $E$9)</f>
        <v>13.973699999999999</v>
      </c>
      <c r="L458" s="11">
        <f>7.4077 * CHOOSE(CONTROL!$C$32, $C$9, 100%, $E$9)</f>
        <v>7.4077000000000002</v>
      </c>
      <c r="M458" s="11">
        <f>7.4113 * CHOOSE(CONTROL!$C$32, $C$9, 100%, $E$9)</f>
        <v>7.4112999999999998</v>
      </c>
      <c r="N458" s="11">
        <f>7.4077 * CHOOSE(CONTROL!$C$32, $C$9, 100%, $E$9)</f>
        <v>7.4077000000000002</v>
      </c>
      <c r="O458" s="11">
        <f>7.4113 * CHOOSE(CONTROL!$C$32, $C$9, 100%, $E$9)</f>
        <v>7.4112999999999998</v>
      </c>
    </row>
    <row r="459" spans="1:15" ht="15" x14ac:dyDescent="0.2">
      <c r="A459" s="13">
        <v>54820</v>
      </c>
      <c r="B459" s="9">
        <f>6.5952 * CHOOSE(CONTROL!$C$32, $C$9, 100%, $E$9)</f>
        <v>6.5952000000000002</v>
      </c>
      <c r="C459" s="9">
        <f>6.5952 * CHOOSE(CONTROL!$C$32, $C$9, 100%, $E$9)</f>
        <v>6.5952000000000002</v>
      </c>
      <c r="D459" s="9">
        <f>6.5963 * CHOOSE(CONTROL!$C$32, $C$9, 100%, $E$9)</f>
        <v>6.5963000000000003</v>
      </c>
      <c r="E459" s="11">
        <f>7.2472 * CHOOSE(CONTROL!$C$32, $C$9, 100%, $E$9)</f>
        <v>7.2472000000000003</v>
      </c>
      <c r="F459" s="11">
        <f>7.2472 * CHOOSE(CONTROL!$C$32, $C$9, 100%, $E$9)</f>
        <v>7.2472000000000003</v>
      </c>
      <c r="G459" s="11">
        <f>7.2508 * CHOOSE(CONTROL!$C$32, $C$9, 100%, $E$9)</f>
        <v>7.2507999999999999</v>
      </c>
      <c r="H459" s="11">
        <f>13.9992 * CHOOSE(CONTROL!$C$32, $C$9, 100%, $E$9)</f>
        <v>13.9992</v>
      </c>
      <c r="I459" s="11">
        <f>14.0028 * CHOOSE(CONTROL!$C$32, $C$9, 100%, $E$9)</f>
        <v>14.002800000000001</v>
      </c>
      <c r="J459" s="11">
        <f>13.9992 * CHOOSE(CONTROL!$C$32, $C$9, 100%, $E$9)</f>
        <v>13.9992</v>
      </c>
      <c r="K459" s="11">
        <f>14.0028 * CHOOSE(CONTROL!$C$32, $C$9, 100%, $E$9)</f>
        <v>14.002800000000001</v>
      </c>
      <c r="L459" s="11">
        <f>7.2472 * CHOOSE(CONTROL!$C$32, $C$9, 100%, $E$9)</f>
        <v>7.2472000000000003</v>
      </c>
      <c r="M459" s="11">
        <f>7.2508 * CHOOSE(CONTROL!$C$32, $C$9, 100%, $E$9)</f>
        <v>7.2507999999999999</v>
      </c>
      <c r="N459" s="11">
        <f>7.2472 * CHOOSE(CONTROL!$C$32, $C$9, 100%, $E$9)</f>
        <v>7.2472000000000003</v>
      </c>
      <c r="O459" s="11">
        <f>7.2508 * CHOOSE(CONTROL!$C$32, $C$9, 100%, $E$9)</f>
        <v>7.2507999999999999</v>
      </c>
    </row>
    <row r="460" spans="1:15" ht="15" x14ac:dyDescent="0.2">
      <c r="A460" s="13">
        <v>54848</v>
      </c>
      <c r="B460" s="9">
        <f>6.5922 * CHOOSE(CONTROL!$C$32, $C$9, 100%, $E$9)</f>
        <v>6.5922000000000001</v>
      </c>
      <c r="C460" s="9">
        <f>6.5922 * CHOOSE(CONTROL!$C$32, $C$9, 100%, $E$9)</f>
        <v>6.5922000000000001</v>
      </c>
      <c r="D460" s="9">
        <f>6.5933 * CHOOSE(CONTROL!$C$32, $C$9, 100%, $E$9)</f>
        <v>6.5933000000000002</v>
      </c>
      <c r="E460" s="11">
        <f>7.3699 * CHOOSE(CONTROL!$C$32, $C$9, 100%, $E$9)</f>
        <v>7.3699000000000003</v>
      </c>
      <c r="F460" s="11">
        <f>7.3699 * CHOOSE(CONTROL!$C$32, $C$9, 100%, $E$9)</f>
        <v>7.3699000000000003</v>
      </c>
      <c r="G460" s="11">
        <f>7.3735 * CHOOSE(CONTROL!$C$32, $C$9, 100%, $E$9)</f>
        <v>7.3734999999999999</v>
      </c>
      <c r="H460" s="11">
        <f>14.0283 * CHOOSE(CONTROL!$C$32, $C$9, 100%, $E$9)</f>
        <v>14.0283</v>
      </c>
      <c r="I460" s="11">
        <f>14.032 * CHOOSE(CONTROL!$C$32, $C$9, 100%, $E$9)</f>
        <v>14.032</v>
      </c>
      <c r="J460" s="11">
        <f>14.0283 * CHOOSE(CONTROL!$C$32, $C$9, 100%, $E$9)</f>
        <v>14.0283</v>
      </c>
      <c r="K460" s="11">
        <f>14.032 * CHOOSE(CONTROL!$C$32, $C$9, 100%, $E$9)</f>
        <v>14.032</v>
      </c>
      <c r="L460" s="11">
        <f>7.3699 * CHOOSE(CONTROL!$C$32, $C$9, 100%, $E$9)</f>
        <v>7.3699000000000003</v>
      </c>
      <c r="M460" s="11">
        <f>7.3735 * CHOOSE(CONTROL!$C$32, $C$9, 100%, $E$9)</f>
        <v>7.3734999999999999</v>
      </c>
      <c r="N460" s="11">
        <f>7.3699 * CHOOSE(CONTROL!$C$32, $C$9, 100%, $E$9)</f>
        <v>7.3699000000000003</v>
      </c>
      <c r="O460" s="11">
        <f>7.3735 * CHOOSE(CONTROL!$C$32, $C$9, 100%, $E$9)</f>
        <v>7.3734999999999999</v>
      </c>
    </row>
    <row r="461" spans="1:15" ht="15" x14ac:dyDescent="0.2">
      <c r="A461" s="13">
        <v>54879</v>
      </c>
      <c r="B461" s="9">
        <f>6.5923 * CHOOSE(CONTROL!$C$32, $C$9, 100%, $E$9)</f>
        <v>6.5922999999999998</v>
      </c>
      <c r="C461" s="9">
        <f>6.5923 * CHOOSE(CONTROL!$C$32, $C$9, 100%, $E$9)</f>
        <v>6.5922999999999998</v>
      </c>
      <c r="D461" s="9">
        <f>6.5934 * CHOOSE(CONTROL!$C$32, $C$9, 100%, $E$9)</f>
        <v>6.5933999999999999</v>
      </c>
      <c r="E461" s="11">
        <f>7.4998 * CHOOSE(CONTROL!$C$32, $C$9, 100%, $E$9)</f>
        <v>7.4997999999999996</v>
      </c>
      <c r="F461" s="11">
        <f>7.4998 * CHOOSE(CONTROL!$C$32, $C$9, 100%, $E$9)</f>
        <v>7.4997999999999996</v>
      </c>
      <c r="G461" s="11">
        <f>7.5034 * CHOOSE(CONTROL!$C$32, $C$9, 100%, $E$9)</f>
        <v>7.5034000000000001</v>
      </c>
      <c r="H461" s="11">
        <f>14.0576 * CHOOSE(CONTROL!$C$32, $C$9, 100%, $E$9)</f>
        <v>14.057600000000001</v>
      </c>
      <c r="I461" s="11">
        <f>14.0612 * CHOOSE(CONTROL!$C$32, $C$9, 100%, $E$9)</f>
        <v>14.061199999999999</v>
      </c>
      <c r="J461" s="11">
        <f>14.0576 * CHOOSE(CONTROL!$C$32, $C$9, 100%, $E$9)</f>
        <v>14.057600000000001</v>
      </c>
      <c r="K461" s="11">
        <f>14.0612 * CHOOSE(CONTROL!$C$32, $C$9, 100%, $E$9)</f>
        <v>14.061199999999999</v>
      </c>
      <c r="L461" s="11">
        <f>7.4998 * CHOOSE(CONTROL!$C$32, $C$9, 100%, $E$9)</f>
        <v>7.4997999999999996</v>
      </c>
      <c r="M461" s="11">
        <f>7.5034 * CHOOSE(CONTROL!$C$32, $C$9, 100%, $E$9)</f>
        <v>7.5034000000000001</v>
      </c>
      <c r="N461" s="11">
        <f>7.4998 * CHOOSE(CONTROL!$C$32, $C$9, 100%, $E$9)</f>
        <v>7.4997999999999996</v>
      </c>
      <c r="O461" s="11">
        <f>7.5034 * CHOOSE(CONTROL!$C$32, $C$9, 100%, $E$9)</f>
        <v>7.5034000000000001</v>
      </c>
    </row>
    <row r="462" spans="1:15" ht="15" x14ac:dyDescent="0.2">
      <c r="A462" s="13">
        <v>54909</v>
      </c>
      <c r="B462" s="9">
        <f>6.5923 * CHOOSE(CONTROL!$C$32, $C$9, 100%, $E$9)</f>
        <v>6.5922999999999998</v>
      </c>
      <c r="C462" s="9">
        <f>6.5923 * CHOOSE(CONTROL!$C$32, $C$9, 100%, $E$9)</f>
        <v>6.5922999999999998</v>
      </c>
      <c r="D462" s="9">
        <f>6.5939 * CHOOSE(CONTROL!$C$32, $C$9, 100%, $E$9)</f>
        <v>6.5938999999999997</v>
      </c>
      <c r="E462" s="11">
        <f>7.55 * CHOOSE(CONTROL!$C$32, $C$9, 100%, $E$9)</f>
        <v>7.55</v>
      </c>
      <c r="F462" s="11">
        <f>7.55 * CHOOSE(CONTROL!$C$32, $C$9, 100%, $E$9)</f>
        <v>7.55</v>
      </c>
      <c r="G462" s="11">
        <f>7.5553 * CHOOSE(CONTROL!$C$32, $C$9, 100%, $E$9)</f>
        <v>7.5552999999999999</v>
      </c>
      <c r="H462" s="11">
        <f>14.0869 * CHOOSE(CONTROL!$C$32, $C$9, 100%, $E$9)</f>
        <v>14.0869</v>
      </c>
      <c r="I462" s="11">
        <f>14.0922 * CHOOSE(CONTROL!$C$32, $C$9, 100%, $E$9)</f>
        <v>14.0922</v>
      </c>
      <c r="J462" s="11">
        <f>14.0869 * CHOOSE(CONTROL!$C$32, $C$9, 100%, $E$9)</f>
        <v>14.0869</v>
      </c>
      <c r="K462" s="11">
        <f>14.0922 * CHOOSE(CONTROL!$C$32, $C$9, 100%, $E$9)</f>
        <v>14.0922</v>
      </c>
      <c r="L462" s="11">
        <f>7.55 * CHOOSE(CONTROL!$C$32, $C$9, 100%, $E$9)</f>
        <v>7.55</v>
      </c>
      <c r="M462" s="11">
        <f>7.5553 * CHOOSE(CONTROL!$C$32, $C$9, 100%, $E$9)</f>
        <v>7.5552999999999999</v>
      </c>
      <c r="N462" s="11">
        <f>7.55 * CHOOSE(CONTROL!$C$32, $C$9, 100%, $E$9)</f>
        <v>7.55</v>
      </c>
      <c r="O462" s="11">
        <f>7.5553 * CHOOSE(CONTROL!$C$32, $C$9, 100%, $E$9)</f>
        <v>7.5552999999999999</v>
      </c>
    </row>
    <row r="463" spans="1:15" ht="15" x14ac:dyDescent="0.2">
      <c r="A463" s="13">
        <v>54940</v>
      </c>
      <c r="B463" s="9">
        <f>6.5984 * CHOOSE(CONTROL!$C$32, $C$9, 100%, $E$9)</f>
        <v>6.5983999999999998</v>
      </c>
      <c r="C463" s="9">
        <f>6.5984 * CHOOSE(CONTROL!$C$32, $C$9, 100%, $E$9)</f>
        <v>6.5983999999999998</v>
      </c>
      <c r="D463" s="9">
        <f>6.6 * CHOOSE(CONTROL!$C$32, $C$9, 100%, $E$9)</f>
        <v>6.6</v>
      </c>
      <c r="E463" s="11">
        <f>7.504 * CHOOSE(CONTROL!$C$32, $C$9, 100%, $E$9)</f>
        <v>7.5039999999999996</v>
      </c>
      <c r="F463" s="11">
        <f>7.504 * CHOOSE(CONTROL!$C$32, $C$9, 100%, $E$9)</f>
        <v>7.5039999999999996</v>
      </c>
      <c r="G463" s="11">
        <f>7.5093 * CHOOSE(CONTROL!$C$32, $C$9, 100%, $E$9)</f>
        <v>7.5092999999999996</v>
      </c>
      <c r="H463" s="11">
        <f>14.1162 * CHOOSE(CONTROL!$C$32, $C$9, 100%, $E$9)</f>
        <v>14.116199999999999</v>
      </c>
      <c r="I463" s="11">
        <f>14.1215 * CHOOSE(CONTROL!$C$32, $C$9, 100%, $E$9)</f>
        <v>14.121499999999999</v>
      </c>
      <c r="J463" s="11">
        <f>14.1162 * CHOOSE(CONTROL!$C$32, $C$9, 100%, $E$9)</f>
        <v>14.116199999999999</v>
      </c>
      <c r="K463" s="11">
        <f>14.1215 * CHOOSE(CONTROL!$C$32, $C$9, 100%, $E$9)</f>
        <v>14.121499999999999</v>
      </c>
      <c r="L463" s="11">
        <f>7.504 * CHOOSE(CONTROL!$C$32, $C$9, 100%, $E$9)</f>
        <v>7.5039999999999996</v>
      </c>
      <c r="M463" s="11">
        <f>7.5093 * CHOOSE(CONTROL!$C$32, $C$9, 100%, $E$9)</f>
        <v>7.5092999999999996</v>
      </c>
      <c r="N463" s="11">
        <f>7.504 * CHOOSE(CONTROL!$C$32, $C$9, 100%, $E$9)</f>
        <v>7.5039999999999996</v>
      </c>
      <c r="O463" s="11">
        <f>7.5093 * CHOOSE(CONTROL!$C$32, $C$9, 100%, $E$9)</f>
        <v>7.5092999999999996</v>
      </c>
    </row>
    <row r="464" spans="1:15" ht="15" x14ac:dyDescent="0.2">
      <c r="A464" s="13">
        <v>54970</v>
      </c>
      <c r="B464" s="9">
        <f>6.6855 * CHOOSE(CONTROL!$C$32, $C$9, 100%, $E$9)</f>
        <v>6.6855000000000002</v>
      </c>
      <c r="C464" s="9">
        <f>6.6855 * CHOOSE(CONTROL!$C$32, $C$9, 100%, $E$9)</f>
        <v>6.6855000000000002</v>
      </c>
      <c r="D464" s="9">
        <f>6.6871 * CHOOSE(CONTROL!$C$32, $C$9, 100%, $E$9)</f>
        <v>6.6871</v>
      </c>
      <c r="E464" s="11">
        <f>7.6081 * CHOOSE(CONTROL!$C$32, $C$9, 100%, $E$9)</f>
        <v>7.6081000000000003</v>
      </c>
      <c r="F464" s="11">
        <f>7.6081 * CHOOSE(CONTROL!$C$32, $C$9, 100%, $E$9)</f>
        <v>7.6081000000000003</v>
      </c>
      <c r="G464" s="11">
        <f>7.6134 * CHOOSE(CONTROL!$C$32, $C$9, 100%, $E$9)</f>
        <v>7.6134000000000004</v>
      </c>
      <c r="H464" s="11">
        <f>14.1456 * CHOOSE(CONTROL!$C$32, $C$9, 100%, $E$9)</f>
        <v>14.1456</v>
      </c>
      <c r="I464" s="11">
        <f>14.1509 * CHOOSE(CONTROL!$C$32, $C$9, 100%, $E$9)</f>
        <v>14.1509</v>
      </c>
      <c r="J464" s="11">
        <f>14.1456 * CHOOSE(CONTROL!$C$32, $C$9, 100%, $E$9)</f>
        <v>14.1456</v>
      </c>
      <c r="K464" s="11">
        <f>14.1509 * CHOOSE(CONTROL!$C$32, $C$9, 100%, $E$9)</f>
        <v>14.1509</v>
      </c>
      <c r="L464" s="11">
        <f>7.6081 * CHOOSE(CONTROL!$C$32, $C$9, 100%, $E$9)</f>
        <v>7.6081000000000003</v>
      </c>
      <c r="M464" s="11">
        <f>7.6134 * CHOOSE(CONTROL!$C$32, $C$9, 100%, $E$9)</f>
        <v>7.6134000000000004</v>
      </c>
      <c r="N464" s="11">
        <f>7.6081 * CHOOSE(CONTROL!$C$32, $C$9, 100%, $E$9)</f>
        <v>7.6081000000000003</v>
      </c>
      <c r="O464" s="11">
        <f>7.6134 * CHOOSE(CONTROL!$C$32, $C$9, 100%, $E$9)</f>
        <v>7.6134000000000004</v>
      </c>
    </row>
    <row r="465" spans="1:15" ht="15" x14ac:dyDescent="0.2">
      <c r="A465" s="13">
        <v>55001</v>
      </c>
      <c r="B465" s="9">
        <f>6.6922 * CHOOSE(CONTROL!$C$32, $C$9, 100%, $E$9)</f>
        <v>6.6921999999999997</v>
      </c>
      <c r="C465" s="9">
        <f>6.6922 * CHOOSE(CONTROL!$C$32, $C$9, 100%, $E$9)</f>
        <v>6.6921999999999997</v>
      </c>
      <c r="D465" s="9">
        <f>6.6937 * CHOOSE(CONTROL!$C$32, $C$9, 100%, $E$9)</f>
        <v>6.6936999999999998</v>
      </c>
      <c r="E465" s="11">
        <f>7.4619 * CHOOSE(CONTROL!$C$32, $C$9, 100%, $E$9)</f>
        <v>7.4619</v>
      </c>
      <c r="F465" s="11">
        <f>7.4619 * CHOOSE(CONTROL!$C$32, $C$9, 100%, $E$9)</f>
        <v>7.4619</v>
      </c>
      <c r="G465" s="11">
        <f>7.4672 * CHOOSE(CONTROL!$C$32, $C$9, 100%, $E$9)</f>
        <v>7.4672000000000001</v>
      </c>
      <c r="H465" s="11">
        <f>14.1751 * CHOOSE(CONTROL!$C$32, $C$9, 100%, $E$9)</f>
        <v>14.1751</v>
      </c>
      <c r="I465" s="11">
        <f>14.1804 * CHOOSE(CONTROL!$C$32, $C$9, 100%, $E$9)</f>
        <v>14.180400000000001</v>
      </c>
      <c r="J465" s="11">
        <f>14.1751 * CHOOSE(CONTROL!$C$32, $C$9, 100%, $E$9)</f>
        <v>14.1751</v>
      </c>
      <c r="K465" s="11">
        <f>14.1804 * CHOOSE(CONTROL!$C$32, $C$9, 100%, $E$9)</f>
        <v>14.180400000000001</v>
      </c>
      <c r="L465" s="11">
        <f>7.4619 * CHOOSE(CONTROL!$C$32, $C$9, 100%, $E$9)</f>
        <v>7.4619</v>
      </c>
      <c r="M465" s="11">
        <f>7.4672 * CHOOSE(CONTROL!$C$32, $C$9, 100%, $E$9)</f>
        <v>7.4672000000000001</v>
      </c>
      <c r="N465" s="11">
        <f>7.4619 * CHOOSE(CONTROL!$C$32, $C$9, 100%, $E$9)</f>
        <v>7.4619</v>
      </c>
      <c r="O465" s="11">
        <f>7.4672 * CHOOSE(CONTROL!$C$32, $C$9, 100%, $E$9)</f>
        <v>7.4672000000000001</v>
      </c>
    </row>
    <row r="466" spans="1:15" ht="15" x14ac:dyDescent="0.2">
      <c r="A466" s="13">
        <v>55032</v>
      </c>
      <c r="B466" s="9">
        <f>6.6891 * CHOOSE(CONTROL!$C$32, $C$9, 100%, $E$9)</f>
        <v>6.6890999999999998</v>
      </c>
      <c r="C466" s="9">
        <f>6.6891 * CHOOSE(CONTROL!$C$32, $C$9, 100%, $E$9)</f>
        <v>6.6890999999999998</v>
      </c>
      <c r="D466" s="9">
        <f>6.6907 * CHOOSE(CONTROL!$C$32, $C$9, 100%, $E$9)</f>
        <v>6.6906999999999996</v>
      </c>
      <c r="E466" s="11">
        <f>7.443 * CHOOSE(CONTROL!$C$32, $C$9, 100%, $E$9)</f>
        <v>7.4429999999999996</v>
      </c>
      <c r="F466" s="11">
        <f>7.443 * CHOOSE(CONTROL!$C$32, $C$9, 100%, $E$9)</f>
        <v>7.4429999999999996</v>
      </c>
      <c r="G466" s="11">
        <f>7.4483 * CHOOSE(CONTROL!$C$32, $C$9, 100%, $E$9)</f>
        <v>7.4482999999999997</v>
      </c>
      <c r="H466" s="11">
        <f>14.2046 * CHOOSE(CONTROL!$C$32, $C$9, 100%, $E$9)</f>
        <v>14.204599999999999</v>
      </c>
      <c r="I466" s="11">
        <f>14.2099 * CHOOSE(CONTROL!$C$32, $C$9, 100%, $E$9)</f>
        <v>14.209899999999999</v>
      </c>
      <c r="J466" s="11">
        <f>14.2046 * CHOOSE(CONTROL!$C$32, $C$9, 100%, $E$9)</f>
        <v>14.204599999999999</v>
      </c>
      <c r="K466" s="11">
        <f>14.2099 * CHOOSE(CONTROL!$C$32, $C$9, 100%, $E$9)</f>
        <v>14.209899999999999</v>
      </c>
      <c r="L466" s="11">
        <f>7.443 * CHOOSE(CONTROL!$C$32, $C$9, 100%, $E$9)</f>
        <v>7.4429999999999996</v>
      </c>
      <c r="M466" s="11">
        <f>7.4483 * CHOOSE(CONTROL!$C$32, $C$9, 100%, $E$9)</f>
        <v>7.4482999999999997</v>
      </c>
      <c r="N466" s="11">
        <f>7.443 * CHOOSE(CONTROL!$C$32, $C$9, 100%, $E$9)</f>
        <v>7.4429999999999996</v>
      </c>
      <c r="O466" s="11">
        <f>7.4483 * CHOOSE(CONTROL!$C$32, $C$9, 100%, $E$9)</f>
        <v>7.4482999999999997</v>
      </c>
    </row>
    <row r="467" spans="1:15" ht="15" x14ac:dyDescent="0.2">
      <c r="A467" s="13">
        <v>55062</v>
      </c>
      <c r="B467" s="9">
        <f>6.6942 * CHOOSE(CONTROL!$C$32, $C$9, 100%, $E$9)</f>
        <v>6.6942000000000004</v>
      </c>
      <c r="C467" s="9">
        <f>6.6942 * CHOOSE(CONTROL!$C$32, $C$9, 100%, $E$9)</f>
        <v>6.6942000000000004</v>
      </c>
      <c r="D467" s="9">
        <f>6.6953 * CHOOSE(CONTROL!$C$32, $C$9, 100%, $E$9)</f>
        <v>6.6952999999999996</v>
      </c>
      <c r="E467" s="11">
        <f>7.4966 * CHOOSE(CONTROL!$C$32, $C$9, 100%, $E$9)</f>
        <v>7.4965999999999999</v>
      </c>
      <c r="F467" s="11">
        <f>7.4966 * CHOOSE(CONTROL!$C$32, $C$9, 100%, $E$9)</f>
        <v>7.4965999999999999</v>
      </c>
      <c r="G467" s="11">
        <f>7.5002 * CHOOSE(CONTROL!$C$32, $C$9, 100%, $E$9)</f>
        <v>7.5002000000000004</v>
      </c>
      <c r="H467" s="11">
        <f>14.2342 * CHOOSE(CONTROL!$C$32, $C$9, 100%, $E$9)</f>
        <v>14.2342</v>
      </c>
      <c r="I467" s="11">
        <f>14.2378 * CHOOSE(CONTROL!$C$32, $C$9, 100%, $E$9)</f>
        <v>14.2378</v>
      </c>
      <c r="J467" s="11">
        <f>14.2342 * CHOOSE(CONTROL!$C$32, $C$9, 100%, $E$9)</f>
        <v>14.2342</v>
      </c>
      <c r="K467" s="11">
        <f>14.2378 * CHOOSE(CONTROL!$C$32, $C$9, 100%, $E$9)</f>
        <v>14.2378</v>
      </c>
      <c r="L467" s="11">
        <f>7.4966 * CHOOSE(CONTROL!$C$32, $C$9, 100%, $E$9)</f>
        <v>7.4965999999999999</v>
      </c>
      <c r="M467" s="11">
        <f>7.5002 * CHOOSE(CONTROL!$C$32, $C$9, 100%, $E$9)</f>
        <v>7.5002000000000004</v>
      </c>
      <c r="N467" s="11">
        <f>7.4966 * CHOOSE(CONTROL!$C$32, $C$9, 100%, $E$9)</f>
        <v>7.4965999999999999</v>
      </c>
      <c r="O467" s="11">
        <f>7.5002 * CHOOSE(CONTROL!$C$32, $C$9, 100%, $E$9)</f>
        <v>7.5002000000000004</v>
      </c>
    </row>
    <row r="468" spans="1:15" ht="15" x14ac:dyDescent="0.2">
      <c r="A468" s="13">
        <v>55093</v>
      </c>
      <c r="B468" s="9">
        <f>6.6972 * CHOOSE(CONTROL!$C$32, $C$9, 100%, $E$9)</f>
        <v>6.6971999999999996</v>
      </c>
      <c r="C468" s="9">
        <f>6.6972 * CHOOSE(CONTROL!$C$32, $C$9, 100%, $E$9)</f>
        <v>6.6971999999999996</v>
      </c>
      <c r="D468" s="9">
        <f>6.6983 * CHOOSE(CONTROL!$C$32, $C$9, 100%, $E$9)</f>
        <v>6.6982999999999997</v>
      </c>
      <c r="E468" s="11">
        <f>7.5323 * CHOOSE(CONTROL!$C$32, $C$9, 100%, $E$9)</f>
        <v>7.5323000000000002</v>
      </c>
      <c r="F468" s="11">
        <f>7.5323 * CHOOSE(CONTROL!$C$32, $C$9, 100%, $E$9)</f>
        <v>7.5323000000000002</v>
      </c>
      <c r="G468" s="11">
        <f>7.5359 * CHOOSE(CONTROL!$C$32, $C$9, 100%, $E$9)</f>
        <v>7.5358999999999998</v>
      </c>
      <c r="H468" s="11">
        <f>14.2639 * CHOOSE(CONTROL!$C$32, $C$9, 100%, $E$9)</f>
        <v>14.2639</v>
      </c>
      <c r="I468" s="11">
        <f>14.2675 * CHOOSE(CONTROL!$C$32, $C$9, 100%, $E$9)</f>
        <v>14.2675</v>
      </c>
      <c r="J468" s="11">
        <f>14.2639 * CHOOSE(CONTROL!$C$32, $C$9, 100%, $E$9)</f>
        <v>14.2639</v>
      </c>
      <c r="K468" s="11">
        <f>14.2675 * CHOOSE(CONTROL!$C$32, $C$9, 100%, $E$9)</f>
        <v>14.2675</v>
      </c>
      <c r="L468" s="11">
        <f>7.5323 * CHOOSE(CONTROL!$C$32, $C$9, 100%, $E$9)</f>
        <v>7.5323000000000002</v>
      </c>
      <c r="M468" s="11">
        <f>7.5359 * CHOOSE(CONTROL!$C$32, $C$9, 100%, $E$9)</f>
        <v>7.5358999999999998</v>
      </c>
      <c r="N468" s="11">
        <f>7.5323 * CHOOSE(CONTROL!$C$32, $C$9, 100%, $E$9)</f>
        <v>7.5323000000000002</v>
      </c>
      <c r="O468" s="11">
        <f>7.5359 * CHOOSE(CONTROL!$C$32, $C$9, 100%, $E$9)</f>
        <v>7.5358999999999998</v>
      </c>
    </row>
    <row r="469" spans="1:15" ht="15" x14ac:dyDescent="0.2">
      <c r="A469" s="13">
        <v>55123</v>
      </c>
      <c r="B469" s="9">
        <f>6.6972 * CHOOSE(CONTROL!$C$32, $C$9, 100%, $E$9)</f>
        <v>6.6971999999999996</v>
      </c>
      <c r="C469" s="9">
        <f>6.6972 * CHOOSE(CONTROL!$C$32, $C$9, 100%, $E$9)</f>
        <v>6.6971999999999996</v>
      </c>
      <c r="D469" s="9">
        <f>6.6983 * CHOOSE(CONTROL!$C$32, $C$9, 100%, $E$9)</f>
        <v>6.6982999999999997</v>
      </c>
      <c r="E469" s="11">
        <f>7.4485 * CHOOSE(CONTROL!$C$32, $C$9, 100%, $E$9)</f>
        <v>7.4485000000000001</v>
      </c>
      <c r="F469" s="11">
        <f>7.4485 * CHOOSE(CONTROL!$C$32, $C$9, 100%, $E$9)</f>
        <v>7.4485000000000001</v>
      </c>
      <c r="G469" s="11">
        <f>7.4521 * CHOOSE(CONTROL!$C$32, $C$9, 100%, $E$9)</f>
        <v>7.4520999999999997</v>
      </c>
      <c r="H469" s="11">
        <f>14.2936 * CHOOSE(CONTROL!$C$32, $C$9, 100%, $E$9)</f>
        <v>14.2936</v>
      </c>
      <c r="I469" s="11">
        <f>14.2972 * CHOOSE(CONTROL!$C$32, $C$9, 100%, $E$9)</f>
        <v>14.2972</v>
      </c>
      <c r="J469" s="11">
        <f>14.2936 * CHOOSE(CONTROL!$C$32, $C$9, 100%, $E$9)</f>
        <v>14.2936</v>
      </c>
      <c r="K469" s="11">
        <f>14.2972 * CHOOSE(CONTROL!$C$32, $C$9, 100%, $E$9)</f>
        <v>14.2972</v>
      </c>
      <c r="L469" s="11">
        <f>7.4485 * CHOOSE(CONTROL!$C$32, $C$9, 100%, $E$9)</f>
        <v>7.4485000000000001</v>
      </c>
      <c r="M469" s="11">
        <f>7.4521 * CHOOSE(CONTROL!$C$32, $C$9, 100%, $E$9)</f>
        <v>7.4520999999999997</v>
      </c>
      <c r="N469" s="11">
        <f>7.4485 * CHOOSE(CONTROL!$C$32, $C$9, 100%, $E$9)</f>
        <v>7.4485000000000001</v>
      </c>
      <c r="O469" s="11">
        <f>7.4521 * CHOOSE(CONTROL!$C$32, $C$9, 100%, $E$9)</f>
        <v>7.4520999999999997</v>
      </c>
    </row>
    <row r="470" spans="1:15" ht="15" x14ac:dyDescent="0.2">
      <c r="A470" s="13">
        <v>55154</v>
      </c>
      <c r="B470" s="9">
        <f>6.7479 * CHOOSE(CONTROL!$C$32, $C$9, 100%, $E$9)</f>
        <v>6.7478999999999996</v>
      </c>
      <c r="C470" s="9">
        <f>6.7479 * CHOOSE(CONTROL!$C$32, $C$9, 100%, $E$9)</f>
        <v>6.7478999999999996</v>
      </c>
      <c r="D470" s="9">
        <f>6.749 * CHOOSE(CONTROL!$C$32, $C$9, 100%, $E$9)</f>
        <v>6.7489999999999997</v>
      </c>
      <c r="E470" s="11">
        <f>7.571 * CHOOSE(CONTROL!$C$32, $C$9, 100%, $E$9)</f>
        <v>7.5709999999999997</v>
      </c>
      <c r="F470" s="11">
        <f>7.571 * CHOOSE(CONTROL!$C$32, $C$9, 100%, $E$9)</f>
        <v>7.5709999999999997</v>
      </c>
      <c r="G470" s="11">
        <f>7.5746 * CHOOSE(CONTROL!$C$32, $C$9, 100%, $E$9)</f>
        <v>7.5746000000000002</v>
      </c>
      <c r="H470" s="11">
        <f>14.3234 * CHOOSE(CONTROL!$C$32, $C$9, 100%, $E$9)</f>
        <v>14.323399999999999</v>
      </c>
      <c r="I470" s="11">
        <f>14.327 * CHOOSE(CONTROL!$C$32, $C$9, 100%, $E$9)</f>
        <v>14.327</v>
      </c>
      <c r="J470" s="11">
        <f>14.3234 * CHOOSE(CONTROL!$C$32, $C$9, 100%, $E$9)</f>
        <v>14.323399999999999</v>
      </c>
      <c r="K470" s="11">
        <f>14.327 * CHOOSE(CONTROL!$C$32, $C$9, 100%, $E$9)</f>
        <v>14.327</v>
      </c>
      <c r="L470" s="11">
        <f>7.571 * CHOOSE(CONTROL!$C$32, $C$9, 100%, $E$9)</f>
        <v>7.5709999999999997</v>
      </c>
      <c r="M470" s="11">
        <f>7.5746 * CHOOSE(CONTROL!$C$32, $C$9, 100%, $E$9)</f>
        <v>7.5746000000000002</v>
      </c>
      <c r="N470" s="11">
        <f>7.571 * CHOOSE(CONTROL!$C$32, $C$9, 100%, $E$9)</f>
        <v>7.5709999999999997</v>
      </c>
      <c r="O470" s="11">
        <f>7.5746 * CHOOSE(CONTROL!$C$32, $C$9, 100%, $E$9)</f>
        <v>7.5746000000000002</v>
      </c>
    </row>
    <row r="471" spans="1:15" ht="15" x14ac:dyDescent="0.2">
      <c r="A471" s="13">
        <v>55185</v>
      </c>
      <c r="B471" s="9">
        <f>6.7449 * CHOOSE(CONTROL!$C$32, $C$9, 100%, $E$9)</f>
        <v>6.7449000000000003</v>
      </c>
      <c r="C471" s="9">
        <f>6.7449 * CHOOSE(CONTROL!$C$32, $C$9, 100%, $E$9)</f>
        <v>6.7449000000000003</v>
      </c>
      <c r="D471" s="9">
        <f>6.746 * CHOOSE(CONTROL!$C$32, $C$9, 100%, $E$9)</f>
        <v>6.7460000000000004</v>
      </c>
      <c r="E471" s="11">
        <f>7.4053 * CHOOSE(CONTROL!$C$32, $C$9, 100%, $E$9)</f>
        <v>7.4053000000000004</v>
      </c>
      <c r="F471" s="11">
        <f>7.4053 * CHOOSE(CONTROL!$C$32, $C$9, 100%, $E$9)</f>
        <v>7.4053000000000004</v>
      </c>
      <c r="G471" s="11">
        <f>7.409 * CHOOSE(CONTROL!$C$32, $C$9, 100%, $E$9)</f>
        <v>7.4089999999999998</v>
      </c>
      <c r="H471" s="11">
        <f>14.3532 * CHOOSE(CONTROL!$C$32, $C$9, 100%, $E$9)</f>
        <v>14.353199999999999</v>
      </c>
      <c r="I471" s="11">
        <f>14.3568 * CHOOSE(CONTROL!$C$32, $C$9, 100%, $E$9)</f>
        <v>14.3568</v>
      </c>
      <c r="J471" s="11">
        <f>14.3532 * CHOOSE(CONTROL!$C$32, $C$9, 100%, $E$9)</f>
        <v>14.353199999999999</v>
      </c>
      <c r="K471" s="11">
        <f>14.3568 * CHOOSE(CONTROL!$C$32, $C$9, 100%, $E$9)</f>
        <v>14.3568</v>
      </c>
      <c r="L471" s="11">
        <f>7.4053 * CHOOSE(CONTROL!$C$32, $C$9, 100%, $E$9)</f>
        <v>7.4053000000000004</v>
      </c>
      <c r="M471" s="11">
        <f>7.409 * CHOOSE(CONTROL!$C$32, $C$9, 100%, $E$9)</f>
        <v>7.4089999999999998</v>
      </c>
      <c r="N471" s="11">
        <f>7.4053 * CHOOSE(CONTROL!$C$32, $C$9, 100%, $E$9)</f>
        <v>7.4053000000000004</v>
      </c>
      <c r="O471" s="11">
        <f>7.409 * CHOOSE(CONTROL!$C$32, $C$9, 100%, $E$9)</f>
        <v>7.4089999999999998</v>
      </c>
    </row>
    <row r="472" spans="1:15" ht="15" x14ac:dyDescent="0.2">
      <c r="A472" s="13">
        <v>55213</v>
      </c>
      <c r="B472" s="9">
        <f>6.7418 * CHOOSE(CONTROL!$C$32, $C$9, 100%, $E$9)</f>
        <v>6.7417999999999996</v>
      </c>
      <c r="C472" s="9">
        <f>6.7418 * CHOOSE(CONTROL!$C$32, $C$9, 100%, $E$9)</f>
        <v>6.7417999999999996</v>
      </c>
      <c r="D472" s="9">
        <f>6.7429 * CHOOSE(CONTROL!$C$32, $C$9, 100%, $E$9)</f>
        <v>6.7428999999999997</v>
      </c>
      <c r="E472" s="11">
        <f>7.5321 * CHOOSE(CONTROL!$C$32, $C$9, 100%, $E$9)</f>
        <v>7.5320999999999998</v>
      </c>
      <c r="F472" s="11">
        <f>7.5321 * CHOOSE(CONTROL!$C$32, $C$9, 100%, $E$9)</f>
        <v>7.5320999999999998</v>
      </c>
      <c r="G472" s="11">
        <f>7.5357 * CHOOSE(CONTROL!$C$32, $C$9, 100%, $E$9)</f>
        <v>7.5357000000000003</v>
      </c>
      <c r="H472" s="11">
        <f>14.3831 * CHOOSE(CONTROL!$C$32, $C$9, 100%, $E$9)</f>
        <v>14.383100000000001</v>
      </c>
      <c r="I472" s="11">
        <f>14.3867 * CHOOSE(CONTROL!$C$32, $C$9, 100%, $E$9)</f>
        <v>14.386699999999999</v>
      </c>
      <c r="J472" s="11">
        <f>14.3831 * CHOOSE(CONTROL!$C$32, $C$9, 100%, $E$9)</f>
        <v>14.383100000000001</v>
      </c>
      <c r="K472" s="11">
        <f>14.3867 * CHOOSE(CONTROL!$C$32, $C$9, 100%, $E$9)</f>
        <v>14.386699999999999</v>
      </c>
      <c r="L472" s="11">
        <f>7.5321 * CHOOSE(CONTROL!$C$32, $C$9, 100%, $E$9)</f>
        <v>7.5320999999999998</v>
      </c>
      <c r="M472" s="11">
        <f>7.5357 * CHOOSE(CONTROL!$C$32, $C$9, 100%, $E$9)</f>
        <v>7.5357000000000003</v>
      </c>
      <c r="N472" s="11">
        <f>7.5321 * CHOOSE(CONTROL!$C$32, $C$9, 100%, $E$9)</f>
        <v>7.5320999999999998</v>
      </c>
      <c r="O472" s="11">
        <f>7.5357 * CHOOSE(CONTROL!$C$32, $C$9, 100%, $E$9)</f>
        <v>7.5357000000000003</v>
      </c>
    </row>
    <row r="473" spans="1:15" ht="15" x14ac:dyDescent="0.2">
      <c r="A473" s="13">
        <v>55244</v>
      </c>
      <c r="B473" s="9">
        <f>6.7421 * CHOOSE(CONTROL!$C$32, $C$9, 100%, $E$9)</f>
        <v>6.7420999999999998</v>
      </c>
      <c r="C473" s="9">
        <f>6.7421 * CHOOSE(CONTROL!$C$32, $C$9, 100%, $E$9)</f>
        <v>6.7420999999999998</v>
      </c>
      <c r="D473" s="9">
        <f>6.7432 * CHOOSE(CONTROL!$C$32, $C$9, 100%, $E$9)</f>
        <v>6.7431999999999999</v>
      </c>
      <c r="E473" s="11">
        <f>7.6663 * CHOOSE(CONTROL!$C$32, $C$9, 100%, $E$9)</f>
        <v>7.6662999999999997</v>
      </c>
      <c r="F473" s="11">
        <f>7.6663 * CHOOSE(CONTROL!$C$32, $C$9, 100%, $E$9)</f>
        <v>7.6662999999999997</v>
      </c>
      <c r="G473" s="11">
        <f>7.6699 * CHOOSE(CONTROL!$C$32, $C$9, 100%, $E$9)</f>
        <v>7.6699000000000002</v>
      </c>
      <c r="H473" s="11">
        <f>14.4131 * CHOOSE(CONTROL!$C$32, $C$9, 100%, $E$9)</f>
        <v>14.4131</v>
      </c>
      <c r="I473" s="11">
        <f>14.4167 * CHOOSE(CONTROL!$C$32, $C$9, 100%, $E$9)</f>
        <v>14.416700000000001</v>
      </c>
      <c r="J473" s="11">
        <f>14.4131 * CHOOSE(CONTROL!$C$32, $C$9, 100%, $E$9)</f>
        <v>14.4131</v>
      </c>
      <c r="K473" s="11">
        <f>14.4167 * CHOOSE(CONTROL!$C$32, $C$9, 100%, $E$9)</f>
        <v>14.416700000000001</v>
      </c>
      <c r="L473" s="11">
        <f>7.6663 * CHOOSE(CONTROL!$C$32, $C$9, 100%, $E$9)</f>
        <v>7.6662999999999997</v>
      </c>
      <c r="M473" s="11">
        <f>7.6699 * CHOOSE(CONTROL!$C$32, $C$9, 100%, $E$9)</f>
        <v>7.6699000000000002</v>
      </c>
      <c r="N473" s="11">
        <f>7.6663 * CHOOSE(CONTROL!$C$32, $C$9, 100%, $E$9)</f>
        <v>7.6662999999999997</v>
      </c>
      <c r="O473" s="11">
        <f>7.6699 * CHOOSE(CONTROL!$C$32, $C$9, 100%, $E$9)</f>
        <v>7.6699000000000002</v>
      </c>
    </row>
    <row r="474" spans="1:15" ht="15" x14ac:dyDescent="0.2">
      <c r="A474" s="13">
        <v>55274</v>
      </c>
      <c r="B474" s="9">
        <f>6.7421 * CHOOSE(CONTROL!$C$32, $C$9, 100%, $E$9)</f>
        <v>6.7420999999999998</v>
      </c>
      <c r="C474" s="9">
        <f>6.7421 * CHOOSE(CONTROL!$C$32, $C$9, 100%, $E$9)</f>
        <v>6.7420999999999998</v>
      </c>
      <c r="D474" s="9">
        <f>6.7437 * CHOOSE(CONTROL!$C$32, $C$9, 100%, $E$9)</f>
        <v>6.7436999999999996</v>
      </c>
      <c r="E474" s="11">
        <f>7.7182 * CHOOSE(CONTROL!$C$32, $C$9, 100%, $E$9)</f>
        <v>7.7182000000000004</v>
      </c>
      <c r="F474" s="11">
        <f>7.7182 * CHOOSE(CONTROL!$C$32, $C$9, 100%, $E$9)</f>
        <v>7.7182000000000004</v>
      </c>
      <c r="G474" s="11">
        <f>7.7235 * CHOOSE(CONTROL!$C$32, $C$9, 100%, $E$9)</f>
        <v>7.7234999999999996</v>
      </c>
      <c r="H474" s="11">
        <f>14.4431 * CHOOSE(CONTROL!$C$32, $C$9, 100%, $E$9)</f>
        <v>14.443099999999999</v>
      </c>
      <c r="I474" s="11">
        <f>14.4484 * CHOOSE(CONTROL!$C$32, $C$9, 100%, $E$9)</f>
        <v>14.448399999999999</v>
      </c>
      <c r="J474" s="11">
        <f>14.4431 * CHOOSE(CONTROL!$C$32, $C$9, 100%, $E$9)</f>
        <v>14.443099999999999</v>
      </c>
      <c r="K474" s="11">
        <f>14.4484 * CHOOSE(CONTROL!$C$32, $C$9, 100%, $E$9)</f>
        <v>14.448399999999999</v>
      </c>
      <c r="L474" s="11">
        <f>7.7182 * CHOOSE(CONTROL!$C$32, $C$9, 100%, $E$9)</f>
        <v>7.7182000000000004</v>
      </c>
      <c r="M474" s="11">
        <f>7.7235 * CHOOSE(CONTROL!$C$32, $C$9, 100%, $E$9)</f>
        <v>7.7234999999999996</v>
      </c>
      <c r="N474" s="11">
        <f>7.7182 * CHOOSE(CONTROL!$C$32, $C$9, 100%, $E$9)</f>
        <v>7.7182000000000004</v>
      </c>
      <c r="O474" s="11">
        <f>7.7235 * CHOOSE(CONTROL!$C$32, $C$9, 100%, $E$9)</f>
        <v>7.7234999999999996</v>
      </c>
    </row>
    <row r="475" spans="1:15" ht="15" x14ac:dyDescent="0.2">
      <c r="A475" s="13">
        <v>55305</v>
      </c>
      <c r="B475" s="9">
        <f>6.7482 * CHOOSE(CONTROL!$C$32, $C$9, 100%, $E$9)</f>
        <v>6.7481999999999998</v>
      </c>
      <c r="C475" s="9">
        <f>6.7482 * CHOOSE(CONTROL!$C$32, $C$9, 100%, $E$9)</f>
        <v>6.7481999999999998</v>
      </c>
      <c r="D475" s="9">
        <f>6.7498 * CHOOSE(CONTROL!$C$32, $C$9, 100%, $E$9)</f>
        <v>6.7497999999999996</v>
      </c>
      <c r="E475" s="11">
        <f>7.6706 * CHOOSE(CONTROL!$C$32, $C$9, 100%, $E$9)</f>
        <v>7.6706000000000003</v>
      </c>
      <c r="F475" s="11">
        <f>7.6706 * CHOOSE(CONTROL!$C$32, $C$9, 100%, $E$9)</f>
        <v>7.6706000000000003</v>
      </c>
      <c r="G475" s="11">
        <f>7.6759 * CHOOSE(CONTROL!$C$32, $C$9, 100%, $E$9)</f>
        <v>7.6759000000000004</v>
      </c>
      <c r="H475" s="11">
        <f>14.4732 * CHOOSE(CONTROL!$C$32, $C$9, 100%, $E$9)</f>
        <v>14.4732</v>
      </c>
      <c r="I475" s="11">
        <f>14.4785 * CHOOSE(CONTROL!$C$32, $C$9, 100%, $E$9)</f>
        <v>14.4785</v>
      </c>
      <c r="J475" s="11">
        <f>14.4732 * CHOOSE(CONTROL!$C$32, $C$9, 100%, $E$9)</f>
        <v>14.4732</v>
      </c>
      <c r="K475" s="11">
        <f>14.4785 * CHOOSE(CONTROL!$C$32, $C$9, 100%, $E$9)</f>
        <v>14.4785</v>
      </c>
      <c r="L475" s="11">
        <f>7.6706 * CHOOSE(CONTROL!$C$32, $C$9, 100%, $E$9)</f>
        <v>7.6706000000000003</v>
      </c>
      <c r="M475" s="11">
        <f>7.6759 * CHOOSE(CONTROL!$C$32, $C$9, 100%, $E$9)</f>
        <v>7.6759000000000004</v>
      </c>
      <c r="N475" s="11">
        <f>7.6706 * CHOOSE(CONTROL!$C$32, $C$9, 100%, $E$9)</f>
        <v>7.6706000000000003</v>
      </c>
      <c r="O475" s="11">
        <f>7.6759 * CHOOSE(CONTROL!$C$32, $C$9, 100%, $E$9)</f>
        <v>7.6759000000000004</v>
      </c>
    </row>
    <row r="476" spans="1:15" ht="15" x14ac:dyDescent="0.2">
      <c r="A476" s="13">
        <v>55335</v>
      </c>
      <c r="B476" s="9">
        <f>6.8369 * CHOOSE(CONTROL!$C$32, $C$9, 100%, $E$9)</f>
        <v>6.8369</v>
      </c>
      <c r="C476" s="9">
        <f>6.8369 * CHOOSE(CONTROL!$C$32, $C$9, 100%, $E$9)</f>
        <v>6.8369</v>
      </c>
      <c r="D476" s="9">
        <f>6.8385 * CHOOSE(CONTROL!$C$32, $C$9, 100%, $E$9)</f>
        <v>6.8384999999999998</v>
      </c>
      <c r="E476" s="11">
        <f>7.7751 * CHOOSE(CONTROL!$C$32, $C$9, 100%, $E$9)</f>
        <v>7.7751000000000001</v>
      </c>
      <c r="F476" s="11">
        <f>7.7751 * CHOOSE(CONTROL!$C$32, $C$9, 100%, $E$9)</f>
        <v>7.7751000000000001</v>
      </c>
      <c r="G476" s="11">
        <f>7.7804 * CHOOSE(CONTROL!$C$32, $C$9, 100%, $E$9)</f>
        <v>7.7804000000000002</v>
      </c>
      <c r="H476" s="11">
        <f>14.5033 * CHOOSE(CONTROL!$C$32, $C$9, 100%, $E$9)</f>
        <v>14.503299999999999</v>
      </c>
      <c r="I476" s="11">
        <f>14.5086 * CHOOSE(CONTROL!$C$32, $C$9, 100%, $E$9)</f>
        <v>14.508599999999999</v>
      </c>
      <c r="J476" s="11">
        <f>14.5033 * CHOOSE(CONTROL!$C$32, $C$9, 100%, $E$9)</f>
        <v>14.503299999999999</v>
      </c>
      <c r="K476" s="11">
        <f>14.5086 * CHOOSE(CONTROL!$C$32, $C$9, 100%, $E$9)</f>
        <v>14.508599999999999</v>
      </c>
      <c r="L476" s="11">
        <f>7.7751 * CHOOSE(CONTROL!$C$32, $C$9, 100%, $E$9)</f>
        <v>7.7751000000000001</v>
      </c>
      <c r="M476" s="11">
        <f>7.7804 * CHOOSE(CONTROL!$C$32, $C$9, 100%, $E$9)</f>
        <v>7.7804000000000002</v>
      </c>
      <c r="N476" s="11">
        <f>7.7751 * CHOOSE(CONTROL!$C$32, $C$9, 100%, $E$9)</f>
        <v>7.7751000000000001</v>
      </c>
      <c r="O476" s="11">
        <f>7.7804 * CHOOSE(CONTROL!$C$32, $C$9, 100%, $E$9)</f>
        <v>7.7804000000000002</v>
      </c>
    </row>
    <row r="477" spans="1:15" ht="15" x14ac:dyDescent="0.2">
      <c r="A477" s="13">
        <v>55366</v>
      </c>
      <c r="B477" s="9">
        <f>6.8436 * CHOOSE(CONTROL!$C$32, $C$9, 100%, $E$9)</f>
        <v>6.8436000000000003</v>
      </c>
      <c r="C477" s="9">
        <f>6.8436 * CHOOSE(CONTROL!$C$32, $C$9, 100%, $E$9)</f>
        <v>6.8436000000000003</v>
      </c>
      <c r="D477" s="9">
        <f>6.8452 * CHOOSE(CONTROL!$C$32, $C$9, 100%, $E$9)</f>
        <v>6.8452000000000002</v>
      </c>
      <c r="E477" s="11">
        <f>7.6241 * CHOOSE(CONTROL!$C$32, $C$9, 100%, $E$9)</f>
        <v>7.6241000000000003</v>
      </c>
      <c r="F477" s="11">
        <f>7.6241 * CHOOSE(CONTROL!$C$32, $C$9, 100%, $E$9)</f>
        <v>7.6241000000000003</v>
      </c>
      <c r="G477" s="11">
        <f>7.6294 * CHOOSE(CONTROL!$C$32, $C$9, 100%, $E$9)</f>
        <v>7.6294000000000004</v>
      </c>
      <c r="H477" s="11">
        <f>14.5336 * CHOOSE(CONTROL!$C$32, $C$9, 100%, $E$9)</f>
        <v>14.5336</v>
      </c>
      <c r="I477" s="11">
        <f>14.5388 * CHOOSE(CONTROL!$C$32, $C$9, 100%, $E$9)</f>
        <v>14.5388</v>
      </c>
      <c r="J477" s="11">
        <f>14.5336 * CHOOSE(CONTROL!$C$32, $C$9, 100%, $E$9)</f>
        <v>14.5336</v>
      </c>
      <c r="K477" s="11">
        <f>14.5388 * CHOOSE(CONTROL!$C$32, $C$9, 100%, $E$9)</f>
        <v>14.5388</v>
      </c>
      <c r="L477" s="11">
        <f>7.6241 * CHOOSE(CONTROL!$C$32, $C$9, 100%, $E$9)</f>
        <v>7.6241000000000003</v>
      </c>
      <c r="M477" s="11">
        <f>7.6294 * CHOOSE(CONTROL!$C$32, $C$9, 100%, $E$9)</f>
        <v>7.6294000000000004</v>
      </c>
      <c r="N477" s="11">
        <f>7.6241 * CHOOSE(CONTROL!$C$32, $C$9, 100%, $E$9)</f>
        <v>7.6241000000000003</v>
      </c>
      <c r="O477" s="11">
        <f>7.6294 * CHOOSE(CONTROL!$C$32, $C$9, 100%, $E$9)</f>
        <v>7.6294000000000004</v>
      </c>
    </row>
    <row r="478" spans="1:15" ht="15" x14ac:dyDescent="0.2">
      <c r="A478" s="13">
        <v>55397</v>
      </c>
      <c r="B478" s="9">
        <f>6.8406 * CHOOSE(CONTROL!$C$32, $C$9, 100%, $E$9)</f>
        <v>6.8406000000000002</v>
      </c>
      <c r="C478" s="9">
        <f>6.8406 * CHOOSE(CONTROL!$C$32, $C$9, 100%, $E$9)</f>
        <v>6.8406000000000002</v>
      </c>
      <c r="D478" s="9">
        <f>6.8422 * CHOOSE(CONTROL!$C$32, $C$9, 100%, $E$9)</f>
        <v>6.8422000000000001</v>
      </c>
      <c r="E478" s="11">
        <f>7.6046 * CHOOSE(CONTROL!$C$32, $C$9, 100%, $E$9)</f>
        <v>7.6045999999999996</v>
      </c>
      <c r="F478" s="11">
        <f>7.6046 * CHOOSE(CONTROL!$C$32, $C$9, 100%, $E$9)</f>
        <v>7.6045999999999996</v>
      </c>
      <c r="G478" s="11">
        <f>7.6099 * CHOOSE(CONTROL!$C$32, $C$9, 100%, $E$9)</f>
        <v>7.6098999999999997</v>
      </c>
      <c r="H478" s="11">
        <f>14.5638 * CHOOSE(CONTROL!$C$32, $C$9, 100%, $E$9)</f>
        <v>14.563800000000001</v>
      </c>
      <c r="I478" s="11">
        <f>14.5691 * CHOOSE(CONTROL!$C$32, $C$9, 100%, $E$9)</f>
        <v>14.569100000000001</v>
      </c>
      <c r="J478" s="11">
        <f>14.5638 * CHOOSE(CONTROL!$C$32, $C$9, 100%, $E$9)</f>
        <v>14.563800000000001</v>
      </c>
      <c r="K478" s="11">
        <f>14.5691 * CHOOSE(CONTROL!$C$32, $C$9, 100%, $E$9)</f>
        <v>14.569100000000001</v>
      </c>
      <c r="L478" s="11">
        <f>7.6046 * CHOOSE(CONTROL!$C$32, $C$9, 100%, $E$9)</f>
        <v>7.6045999999999996</v>
      </c>
      <c r="M478" s="11">
        <f>7.6099 * CHOOSE(CONTROL!$C$32, $C$9, 100%, $E$9)</f>
        <v>7.6098999999999997</v>
      </c>
      <c r="N478" s="11">
        <f>7.6046 * CHOOSE(CONTROL!$C$32, $C$9, 100%, $E$9)</f>
        <v>7.6045999999999996</v>
      </c>
      <c r="O478" s="11">
        <f>7.6099 * CHOOSE(CONTROL!$C$32, $C$9, 100%, $E$9)</f>
        <v>7.6098999999999997</v>
      </c>
    </row>
    <row r="479" spans="1:15" ht="15" x14ac:dyDescent="0.2">
      <c r="A479" s="13">
        <v>55427</v>
      </c>
      <c r="B479" s="9">
        <f>6.8462 * CHOOSE(CONTROL!$C$32, $C$9, 100%, $E$9)</f>
        <v>6.8461999999999996</v>
      </c>
      <c r="C479" s="9">
        <f>6.8462 * CHOOSE(CONTROL!$C$32, $C$9, 100%, $E$9)</f>
        <v>6.8461999999999996</v>
      </c>
      <c r="D479" s="9">
        <f>6.8473 * CHOOSE(CONTROL!$C$32, $C$9, 100%, $E$9)</f>
        <v>6.8472999999999997</v>
      </c>
      <c r="E479" s="11">
        <f>7.6604 * CHOOSE(CONTROL!$C$32, $C$9, 100%, $E$9)</f>
        <v>7.6604000000000001</v>
      </c>
      <c r="F479" s="11">
        <f>7.6604 * CHOOSE(CONTROL!$C$32, $C$9, 100%, $E$9)</f>
        <v>7.6604000000000001</v>
      </c>
      <c r="G479" s="11">
        <f>7.6641 * CHOOSE(CONTROL!$C$32, $C$9, 100%, $E$9)</f>
        <v>7.6641000000000004</v>
      </c>
      <c r="H479" s="11">
        <f>14.5942 * CHOOSE(CONTROL!$C$32, $C$9, 100%, $E$9)</f>
        <v>14.594200000000001</v>
      </c>
      <c r="I479" s="11">
        <f>14.5978 * CHOOSE(CONTROL!$C$32, $C$9, 100%, $E$9)</f>
        <v>14.597799999999999</v>
      </c>
      <c r="J479" s="11">
        <f>14.5942 * CHOOSE(CONTROL!$C$32, $C$9, 100%, $E$9)</f>
        <v>14.594200000000001</v>
      </c>
      <c r="K479" s="11">
        <f>14.5978 * CHOOSE(CONTROL!$C$32, $C$9, 100%, $E$9)</f>
        <v>14.597799999999999</v>
      </c>
      <c r="L479" s="11">
        <f>7.6604 * CHOOSE(CONTROL!$C$32, $C$9, 100%, $E$9)</f>
        <v>7.6604000000000001</v>
      </c>
      <c r="M479" s="11">
        <f>7.6641 * CHOOSE(CONTROL!$C$32, $C$9, 100%, $E$9)</f>
        <v>7.6641000000000004</v>
      </c>
      <c r="N479" s="11">
        <f>7.6604 * CHOOSE(CONTROL!$C$32, $C$9, 100%, $E$9)</f>
        <v>7.6604000000000001</v>
      </c>
      <c r="O479" s="11">
        <f>7.6641 * CHOOSE(CONTROL!$C$32, $C$9, 100%, $E$9)</f>
        <v>7.6641000000000004</v>
      </c>
    </row>
    <row r="480" spans="1:15" ht="15" x14ac:dyDescent="0.2">
      <c r="A480" s="13">
        <v>55458</v>
      </c>
      <c r="B480" s="9">
        <f>6.8492 * CHOOSE(CONTROL!$C$32, $C$9, 100%, $E$9)</f>
        <v>6.8491999999999997</v>
      </c>
      <c r="C480" s="9">
        <f>6.8492 * CHOOSE(CONTROL!$C$32, $C$9, 100%, $E$9)</f>
        <v>6.8491999999999997</v>
      </c>
      <c r="D480" s="9">
        <f>6.8503 * CHOOSE(CONTROL!$C$32, $C$9, 100%, $E$9)</f>
        <v>6.8502999999999998</v>
      </c>
      <c r="E480" s="11">
        <f>7.6972 * CHOOSE(CONTROL!$C$32, $C$9, 100%, $E$9)</f>
        <v>7.6971999999999996</v>
      </c>
      <c r="F480" s="11">
        <f>7.6972 * CHOOSE(CONTROL!$C$32, $C$9, 100%, $E$9)</f>
        <v>7.6971999999999996</v>
      </c>
      <c r="G480" s="11">
        <f>7.7008 * CHOOSE(CONTROL!$C$32, $C$9, 100%, $E$9)</f>
        <v>7.7008000000000001</v>
      </c>
      <c r="H480" s="11">
        <f>14.6246 * CHOOSE(CONTROL!$C$32, $C$9, 100%, $E$9)</f>
        <v>14.624599999999999</v>
      </c>
      <c r="I480" s="11">
        <f>14.6282 * CHOOSE(CONTROL!$C$32, $C$9, 100%, $E$9)</f>
        <v>14.6282</v>
      </c>
      <c r="J480" s="11">
        <f>14.6246 * CHOOSE(CONTROL!$C$32, $C$9, 100%, $E$9)</f>
        <v>14.624599999999999</v>
      </c>
      <c r="K480" s="11">
        <f>14.6282 * CHOOSE(CONTROL!$C$32, $C$9, 100%, $E$9)</f>
        <v>14.6282</v>
      </c>
      <c r="L480" s="11">
        <f>7.6972 * CHOOSE(CONTROL!$C$32, $C$9, 100%, $E$9)</f>
        <v>7.6971999999999996</v>
      </c>
      <c r="M480" s="11">
        <f>7.7008 * CHOOSE(CONTROL!$C$32, $C$9, 100%, $E$9)</f>
        <v>7.7008000000000001</v>
      </c>
      <c r="N480" s="11">
        <f>7.6972 * CHOOSE(CONTROL!$C$32, $C$9, 100%, $E$9)</f>
        <v>7.6971999999999996</v>
      </c>
      <c r="O480" s="11">
        <f>7.7008 * CHOOSE(CONTROL!$C$32, $C$9, 100%, $E$9)</f>
        <v>7.7008000000000001</v>
      </c>
    </row>
    <row r="481" spans="1:15" ht="15" x14ac:dyDescent="0.2">
      <c r="A481" s="13">
        <v>55488</v>
      </c>
      <c r="B481" s="9">
        <f>6.8492 * CHOOSE(CONTROL!$C$32, $C$9, 100%, $E$9)</f>
        <v>6.8491999999999997</v>
      </c>
      <c r="C481" s="9">
        <f>6.8492 * CHOOSE(CONTROL!$C$32, $C$9, 100%, $E$9)</f>
        <v>6.8491999999999997</v>
      </c>
      <c r="D481" s="9">
        <f>6.8503 * CHOOSE(CONTROL!$C$32, $C$9, 100%, $E$9)</f>
        <v>6.8502999999999998</v>
      </c>
      <c r="E481" s="11">
        <f>7.6106 * CHOOSE(CONTROL!$C$32, $C$9, 100%, $E$9)</f>
        <v>7.6105999999999998</v>
      </c>
      <c r="F481" s="11">
        <f>7.6106 * CHOOSE(CONTROL!$C$32, $C$9, 100%, $E$9)</f>
        <v>7.6105999999999998</v>
      </c>
      <c r="G481" s="11">
        <f>7.6143 * CHOOSE(CONTROL!$C$32, $C$9, 100%, $E$9)</f>
        <v>7.6143000000000001</v>
      </c>
      <c r="H481" s="11">
        <f>14.655 * CHOOSE(CONTROL!$C$32, $C$9, 100%, $E$9)</f>
        <v>14.654999999999999</v>
      </c>
      <c r="I481" s="11">
        <f>14.6587 * CHOOSE(CONTROL!$C$32, $C$9, 100%, $E$9)</f>
        <v>14.6587</v>
      </c>
      <c r="J481" s="11">
        <f>14.655 * CHOOSE(CONTROL!$C$32, $C$9, 100%, $E$9)</f>
        <v>14.654999999999999</v>
      </c>
      <c r="K481" s="11">
        <f>14.6587 * CHOOSE(CONTROL!$C$32, $C$9, 100%, $E$9)</f>
        <v>14.6587</v>
      </c>
      <c r="L481" s="11">
        <f>7.6106 * CHOOSE(CONTROL!$C$32, $C$9, 100%, $E$9)</f>
        <v>7.6105999999999998</v>
      </c>
      <c r="M481" s="11">
        <f>7.6143 * CHOOSE(CONTROL!$C$32, $C$9, 100%, $E$9)</f>
        <v>7.6143000000000001</v>
      </c>
      <c r="N481" s="11">
        <f>7.6106 * CHOOSE(CONTROL!$C$32, $C$9, 100%, $E$9)</f>
        <v>7.6105999999999998</v>
      </c>
      <c r="O481" s="11">
        <f>7.6143 * CHOOSE(CONTROL!$C$32, $C$9, 100%, $E$9)</f>
        <v>7.6143000000000001</v>
      </c>
    </row>
    <row r="482" spans="1:15" ht="15" x14ac:dyDescent="0.2">
      <c r="A482" s="13">
        <v>55519</v>
      </c>
      <c r="B482" s="9">
        <f>6.901 * CHOOSE(CONTROL!$C$32, $C$9, 100%, $E$9)</f>
        <v>6.9009999999999998</v>
      </c>
      <c r="C482" s="9">
        <f>6.901 * CHOOSE(CONTROL!$C$32, $C$9, 100%, $E$9)</f>
        <v>6.9009999999999998</v>
      </c>
      <c r="D482" s="9">
        <f>6.9021 * CHOOSE(CONTROL!$C$32, $C$9, 100%, $E$9)</f>
        <v>6.9020999999999999</v>
      </c>
      <c r="E482" s="11">
        <f>7.7372 * CHOOSE(CONTROL!$C$32, $C$9, 100%, $E$9)</f>
        <v>7.7371999999999996</v>
      </c>
      <c r="F482" s="11">
        <f>7.7372 * CHOOSE(CONTROL!$C$32, $C$9, 100%, $E$9)</f>
        <v>7.7371999999999996</v>
      </c>
      <c r="G482" s="11">
        <f>7.7408 * CHOOSE(CONTROL!$C$32, $C$9, 100%, $E$9)</f>
        <v>7.7408000000000001</v>
      </c>
      <c r="H482" s="11">
        <f>14.6856 * CHOOSE(CONTROL!$C$32, $C$9, 100%, $E$9)</f>
        <v>14.685600000000001</v>
      </c>
      <c r="I482" s="11">
        <f>14.6892 * CHOOSE(CONTROL!$C$32, $C$9, 100%, $E$9)</f>
        <v>14.6892</v>
      </c>
      <c r="J482" s="11">
        <f>14.6856 * CHOOSE(CONTROL!$C$32, $C$9, 100%, $E$9)</f>
        <v>14.685600000000001</v>
      </c>
      <c r="K482" s="11">
        <f>14.6892 * CHOOSE(CONTROL!$C$32, $C$9, 100%, $E$9)</f>
        <v>14.6892</v>
      </c>
      <c r="L482" s="11">
        <f>7.7372 * CHOOSE(CONTROL!$C$32, $C$9, 100%, $E$9)</f>
        <v>7.7371999999999996</v>
      </c>
      <c r="M482" s="11">
        <f>7.7408 * CHOOSE(CONTROL!$C$32, $C$9, 100%, $E$9)</f>
        <v>7.7408000000000001</v>
      </c>
      <c r="N482" s="11">
        <f>7.7372 * CHOOSE(CONTROL!$C$32, $C$9, 100%, $E$9)</f>
        <v>7.7371999999999996</v>
      </c>
      <c r="O482" s="11">
        <f>7.7408 * CHOOSE(CONTROL!$C$32, $C$9, 100%, $E$9)</f>
        <v>7.7408000000000001</v>
      </c>
    </row>
    <row r="483" spans="1:15" ht="15" x14ac:dyDescent="0.2">
      <c r="A483" s="13">
        <v>55550</v>
      </c>
      <c r="B483" s="9">
        <f>6.8979 * CHOOSE(CONTROL!$C$32, $C$9, 100%, $E$9)</f>
        <v>6.8978999999999999</v>
      </c>
      <c r="C483" s="9">
        <f>6.8979 * CHOOSE(CONTROL!$C$32, $C$9, 100%, $E$9)</f>
        <v>6.8978999999999999</v>
      </c>
      <c r="D483" s="9">
        <f>6.899 * CHOOSE(CONTROL!$C$32, $C$9, 100%, $E$9)</f>
        <v>6.899</v>
      </c>
      <c r="E483" s="11">
        <f>7.5663 * CHOOSE(CONTROL!$C$32, $C$9, 100%, $E$9)</f>
        <v>7.5663</v>
      </c>
      <c r="F483" s="11">
        <f>7.5663 * CHOOSE(CONTROL!$C$32, $C$9, 100%, $E$9)</f>
        <v>7.5663</v>
      </c>
      <c r="G483" s="11">
        <f>7.5699 * CHOOSE(CONTROL!$C$32, $C$9, 100%, $E$9)</f>
        <v>7.5698999999999996</v>
      </c>
      <c r="H483" s="11">
        <f>14.7162 * CHOOSE(CONTROL!$C$32, $C$9, 100%, $E$9)</f>
        <v>14.716200000000001</v>
      </c>
      <c r="I483" s="11">
        <f>14.7198 * CHOOSE(CONTROL!$C$32, $C$9, 100%, $E$9)</f>
        <v>14.719799999999999</v>
      </c>
      <c r="J483" s="11">
        <f>14.7162 * CHOOSE(CONTROL!$C$32, $C$9, 100%, $E$9)</f>
        <v>14.716200000000001</v>
      </c>
      <c r="K483" s="11">
        <f>14.7198 * CHOOSE(CONTROL!$C$32, $C$9, 100%, $E$9)</f>
        <v>14.719799999999999</v>
      </c>
      <c r="L483" s="11">
        <f>7.5663 * CHOOSE(CONTROL!$C$32, $C$9, 100%, $E$9)</f>
        <v>7.5663</v>
      </c>
      <c r="M483" s="11">
        <f>7.5699 * CHOOSE(CONTROL!$C$32, $C$9, 100%, $E$9)</f>
        <v>7.5698999999999996</v>
      </c>
      <c r="N483" s="11">
        <f>7.5663 * CHOOSE(CONTROL!$C$32, $C$9, 100%, $E$9)</f>
        <v>7.5663</v>
      </c>
      <c r="O483" s="11">
        <f>7.5699 * CHOOSE(CONTROL!$C$32, $C$9, 100%, $E$9)</f>
        <v>7.5698999999999996</v>
      </c>
    </row>
    <row r="484" spans="1:15" ht="15" x14ac:dyDescent="0.2">
      <c r="A484" s="13">
        <v>55579</v>
      </c>
      <c r="B484" s="9">
        <f>6.8949 * CHOOSE(CONTROL!$C$32, $C$9, 100%, $E$9)</f>
        <v>6.8948999999999998</v>
      </c>
      <c r="C484" s="9">
        <f>6.8949 * CHOOSE(CONTROL!$C$32, $C$9, 100%, $E$9)</f>
        <v>6.8948999999999998</v>
      </c>
      <c r="D484" s="9">
        <f>6.896 * CHOOSE(CONTROL!$C$32, $C$9, 100%, $E$9)</f>
        <v>6.8959999999999999</v>
      </c>
      <c r="E484" s="11">
        <f>7.6972 * CHOOSE(CONTROL!$C$32, $C$9, 100%, $E$9)</f>
        <v>7.6971999999999996</v>
      </c>
      <c r="F484" s="11">
        <f>7.6972 * CHOOSE(CONTROL!$C$32, $C$9, 100%, $E$9)</f>
        <v>7.6971999999999996</v>
      </c>
      <c r="G484" s="11">
        <f>7.7008 * CHOOSE(CONTROL!$C$32, $C$9, 100%, $E$9)</f>
        <v>7.7008000000000001</v>
      </c>
      <c r="H484" s="11">
        <f>14.7468 * CHOOSE(CONTROL!$C$32, $C$9, 100%, $E$9)</f>
        <v>14.7468</v>
      </c>
      <c r="I484" s="11">
        <f>14.7504 * CHOOSE(CONTROL!$C$32, $C$9, 100%, $E$9)</f>
        <v>14.750400000000001</v>
      </c>
      <c r="J484" s="11">
        <f>14.7468 * CHOOSE(CONTROL!$C$32, $C$9, 100%, $E$9)</f>
        <v>14.7468</v>
      </c>
      <c r="K484" s="11">
        <f>14.7504 * CHOOSE(CONTROL!$C$32, $C$9, 100%, $E$9)</f>
        <v>14.750400000000001</v>
      </c>
      <c r="L484" s="11">
        <f>7.6972 * CHOOSE(CONTROL!$C$32, $C$9, 100%, $E$9)</f>
        <v>7.6971999999999996</v>
      </c>
      <c r="M484" s="11">
        <f>7.7008 * CHOOSE(CONTROL!$C$32, $C$9, 100%, $E$9)</f>
        <v>7.7008000000000001</v>
      </c>
      <c r="N484" s="11">
        <f>7.6972 * CHOOSE(CONTROL!$C$32, $C$9, 100%, $E$9)</f>
        <v>7.6971999999999996</v>
      </c>
      <c r="O484" s="11">
        <f>7.7008 * CHOOSE(CONTROL!$C$32, $C$9, 100%, $E$9)</f>
        <v>7.7008000000000001</v>
      </c>
    </row>
    <row r="485" spans="1:15" ht="15" x14ac:dyDescent="0.2">
      <c r="A485" s="13">
        <v>55610</v>
      </c>
      <c r="B485" s="9">
        <f>6.8953 * CHOOSE(CONTROL!$C$32, $C$9, 100%, $E$9)</f>
        <v>6.8952999999999998</v>
      </c>
      <c r="C485" s="9">
        <f>6.8953 * CHOOSE(CONTROL!$C$32, $C$9, 100%, $E$9)</f>
        <v>6.8952999999999998</v>
      </c>
      <c r="D485" s="9">
        <f>6.8964 * CHOOSE(CONTROL!$C$32, $C$9, 100%, $E$9)</f>
        <v>6.8963999999999999</v>
      </c>
      <c r="E485" s="11">
        <f>7.8359 * CHOOSE(CONTROL!$C$32, $C$9, 100%, $E$9)</f>
        <v>7.8358999999999996</v>
      </c>
      <c r="F485" s="11">
        <f>7.8359 * CHOOSE(CONTROL!$C$32, $C$9, 100%, $E$9)</f>
        <v>7.8358999999999996</v>
      </c>
      <c r="G485" s="11">
        <f>7.8395 * CHOOSE(CONTROL!$C$32, $C$9, 100%, $E$9)</f>
        <v>7.8395000000000001</v>
      </c>
      <c r="H485" s="11">
        <f>14.7776 * CHOOSE(CONTROL!$C$32, $C$9, 100%, $E$9)</f>
        <v>14.7776</v>
      </c>
      <c r="I485" s="11">
        <f>14.7812 * CHOOSE(CONTROL!$C$32, $C$9, 100%, $E$9)</f>
        <v>14.7812</v>
      </c>
      <c r="J485" s="11">
        <f>14.7776 * CHOOSE(CONTROL!$C$32, $C$9, 100%, $E$9)</f>
        <v>14.7776</v>
      </c>
      <c r="K485" s="11">
        <f>14.7812 * CHOOSE(CONTROL!$C$32, $C$9, 100%, $E$9)</f>
        <v>14.7812</v>
      </c>
      <c r="L485" s="11">
        <f>7.8359 * CHOOSE(CONTROL!$C$32, $C$9, 100%, $E$9)</f>
        <v>7.8358999999999996</v>
      </c>
      <c r="M485" s="11">
        <f>7.8395 * CHOOSE(CONTROL!$C$32, $C$9, 100%, $E$9)</f>
        <v>7.8395000000000001</v>
      </c>
      <c r="N485" s="11">
        <f>7.8359 * CHOOSE(CONTROL!$C$32, $C$9, 100%, $E$9)</f>
        <v>7.8358999999999996</v>
      </c>
      <c r="O485" s="11">
        <f>7.8395 * CHOOSE(CONTROL!$C$32, $C$9, 100%, $E$9)</f>
        <v>7.8395000000000001</v>
      </c>
    </row>
    <row r="486" spans="1:15" ht="15" x14ac:dyDescent="0.2">
      <c r="A486" s="13">
        <v>55640</v>
      </c>
      <c r="B486" s="9">
        <f>6.8953 * CHOOSE(CONTROL!$C$32, $C$9, 100%, $E$9)</f>
        <v>6.8952999999999998</v>
      </c>
      <c r="C486" s="9">
        <f>6.8953 * CHOOSE(CONTROL!$C$32, $C$9, 100%, $E$9)</f>
        <v>6.8952999999999998</v>
      </c>
      <c r="D486" s="9">
        <f>6.8969 * CHOOSE(CONTROL!$C$32, $C$9, 100%, $E$9)</f>
        <v>6.8968999999999996</v>
      </c>
      <c r="E486" s="11">
        <f>7.8895 * CHOOSE(CONTROL!$C$32, $C$9, 100%, $E$9)</f>
        <v>7.8895</v>
      </c>
      <c r="F486" s="11">
        <f>7.8895 * CHOOSE(CONTROL!$C$32, $C$9, 100%, $E$9)</f>
        <v>7.8895</v>
      </c>
      <c r="G486" s="11">
        <f>7.8948 * CHOOSE(CONTROL!$C$32, $C$9, 100%, $E$9)</f>
        <v>7.8948</v>
      </c>
      <c r="H486" s="11">
        <f>14.8083 * CHOOSE(CONTROL!$C$32, $C$9, 100%, $E$9)</f>
        <v>14.808299999999999</v>
      </c>
      <c r="I486" s="11">
        <f>14.8136 * CHOOSE(CONTROL!$C$32, $C$9, 100%, $E$9)</f>
        <v>14.813599999999999</v>
      </c>
      <c r="J486" s="11">
        <f>14.8083 * CHOOSE(CONTROL!$C$32, $C$9, 100%, $E$9)</f>
        <v>14.808299999999999</v>
      </c>
      <c r="K486" s="11">
        <f>14.8136 * CHOOSE(CONTROL!$C$32, $C$9, 100%, $E$9)</f>
        <v>14.813599999999999</v>
      </c>
      <c r="L486" s="11">
        <f>7.8895 * CHOOSE(CONTROL!$C$32, $C$9, 100%, $E$9)</f>
        <v>7.8895</v>
      </c>
      <c r="M486" s="11">
        <f>7.8948 * CHOOSE(CONTROL!$C$32, $C$9, 100%, $E$9)</f>
        <v>7.8948</v>
      </c>
      <c r="N486" s="11">
        <f>7.8895 * CHOOSE(CONTROL!$C$32, $C$9, 100%, $E$9)</f>
        <v>7.8895</v>
      </c>
      <c r="O486" s="11">
        <f>7.8948 * CHOOSE(CONTROL!$C$32, $C$9, 100%, $E$9)</f>
        <v>7.8948</v>
      </c>
    </row>
    <row r="487" spans="1:15" ht="15" x14ac:dyDescent="0.2">
      <c r="A487" s="13">
        <v>55671</v>
      </c>
      <c r="B487" s="9">
        <f>6.9014 * CHOOSE(CONTROL!$C$32, $C$9, 100%, $E$9)</f>
        <v>6.9013999999999998</v>
      </c>
      <c r="C487" s="9">
        <f>6.9014 * CHOOSE(CONTROL!$C$32, $C$9, 100%, $E$9)</f>
        <v>6.9013999999999998</v>
      </c>
      <c r="D487" s="9">
        <f>6.903 * CHOOSE(CONTROL!$C$32, $C$9, 100%, $E$9)</f>
        <v>6.9029999999999996</v>
      </c>
      <c r="E487" s="11">
        <f>7.8402 * CHOOSE(CONTROL!$C$32, $C$9, 100%, $E$9)</f>
        <v>7.8402000000000003</v>
      </c>
      <c r="F487" s="11">
        <f>7.8402 * CHOOSE(CONTROL!$C$32, $C$9, 100%, $E$9)</f>
        <v>7.8402000000000003</v>
      </c>
      <c r="G487" s="11">
        <f>7.8455 * CHOOSE(CONTROL!$C$32, $C$9, 100%, $E$9)</f>
        <v>7.8455000000000004</v>
      </c>
      <c r="H487" s="11">
        <f>14.8392 * CHOOSE(CONTROL!$C$32, $C$9, 100%, $E$9)</f>
        <v>14.8392</v>
      </c>
      <c r="I487" s="11">
        <f>14.8445 * CHOOSE(CONTROL!$C$32, $C$9, 100%, $E$9)</f>
        <v>14.8445</v>
      </c>
      <c r="J487" s="11">
        <f>14.8392 * CHOOSE(CONTROL!$C$32, $C$9, 100%, $E$9)</f>
        <v>14.8392</v>
      </c>
      <c r="K487" s="11">
        <f>14.8445 * CHOOSE(CONTROL!$C$32, $C$9, 100%, $E$9)</f>
        <v>14.8445</v>
      </c>
      <c r="L487" s="11">
        <f>7.8402 * CHOOSE(CONTROL!$C$32, $C$9, 100%, $E$9)</f>
        <v>7.8402000000000003</v>
      </c>
      <c r="M487" s="11">
        <f>7.8455 * CHOOSE(CONTROL!$C$32, $C$9, 100%, $E$9)</f>
        <v>7.8455000000000004</v>
      </c>
      <c r="N487" s="11">
        <f>7.8402 * CHOOSE(CONTROL!$C$32, $C$9, 100%, $E$9)</f>
        <v>7.8402000000000003</v>
      </c>
      <c r="O487" s="11">
        <f>7.8455 * CHOOSE(CONTROL!$C$32, $C$9, 100%, $E$9)</f>
        <v>7.8455000000000004</v>
      </c>
    </row>
    <row r="488" spans="1:15" ht="15" x14ac:dyDescent="0.2">
      <c r="A488" s="13">
        <v>55701</v>
      </c>
      <c r="B488" s="9">
        <f>6.9918 * CHOOSE(CONTROL!$C$32, $C$9, 100%, $E$9)</f>
        <v>6.9917999999999996</v>
      </c>
      <c r="C488" s="9">
        <f>6.9918 * CHOOSE(CONTROL!$C$32, $C$9, 100%, $E$9)</f>
        <v>6.9917999999999996</v>
      </c>
      <c r="D488" s="9">
        <f>6.9934 * CHOOSE(CONTROL!$C$32, $C$9, 100%, $E$9)</f>
        <v>6.9934000000000003</v>
      </c>
      <c r="E488" s="11">
        <f>7.9482 * CHOOSE(CONTROL!$C$32, $C$9, 100%, $E$9)</f>
        <v>7.9481999999999999</v>
      </c>
      <c r="F488" s="11">
        <f>7.9482 * CHOOSE(CONTROL!$C$32, $C$9, 100%, $E$9)</f>
        <v>7.9481999999999999</v>
      </c>
      <c r="G488" s="11">
        <f>7.9535 * CHOOSE(CONTROL!$C$32, $C$9, 100%, $E$9)</f>
        <v>7.9535</v>
      </c>
      <c r="H488" s="11">
        <f>14.8701 * CHOOSE(CONTROL!$C$32, $C$9, 100%, $E$9)</f>
        <v>14.870100000000001</v>
      </c>
      <c r="I488" s="11">
        <f>14.8754 * CHOOSE(CONTROL!$C$32, $C$9, 100%, $E$9)</f>
        <v>14.875400000000001</v>
      </c>
      <c r="J488" s="11">
        <f>14.8701 * CHOOSE(CONTROL!$C$32, $C$9, 100%, $E$9)</f>
        <v>14.870100000000001</v>
      </c>
      <c r="K488" s="11">
        <f>14.8754 * CHOOSE(CONTROL!$C$32, $C$9, 100%, $E$9)</f>
        <v>14.875400000000001</v>
      </c>
      <c r="L488" s="11">
        <f>7.9482 * CHOOSE(CONTROL!$C$32, $C$9, 100%, $E$9)</f>
        <v>7.9481999999999999</v>
      </c>
      <c r="M488" s="11">
        <f>7.9535 * CHOOSE(CONTROL!$C$32, $C$9, 100%, $E$9)</f>
        <v>7.9535</v>
      </c>
      <c r="N488" s="11">
        <f>7.9482 * CHOOSE(CONTROL!$C$32, $C$9, 100%, $E$9)</f>
        <v>7.9481999999999999</v>
      </c>
      <c r="O488" s="11">
        <f>7.9535 * CHOOSE(CONTROL!$C$32, $C$9, 100%, $E$9)</f>
        <v>7.9535</v>
      </c>
    </row>
    <row r="489" spans="1:15" ht="15" x14ac:dyDescent="0.2">
      <c r="A489" s="13">
        <v>55732</v>
      </c>
      <c r="B489" s="9">
        <f>6.9985 * CHOOSE(CONTROL!$C$32, $C$9, 100%, $E$9)</f>
        <v>6.9984999999999999</v>
      </c>
      <c r="C489" s="9">
        <f>6.9985 * CHOOSE(CONTROL!$C$32, $C$9, 100%, $E$9)</f>
        <v>6.9984999999999999</v>
      </c>
      <c r="D489" s="9">
        <f>7.0001 * CHOOSE(CONTROL!$C$32, $C$9, 100%, $E$9)</f>
        <v>7.0000999999999998</v>
      </c>
      <c r="E489" s="11">
        <f>7.7921 * CHOOSE(CONTROL!$C$32, $C$9, 100%, $E$9)</f>
        <v>7.7920999999999996</v>
      </c>
      <c r="F489" s="11">
        <f>7.7921 * CHOOSE(CONTROL!$C$32, $C$9, 100%, $E$9)</f>
        <v>7.7920999999999996</v>
      </c>
      <c r="G489" s="11">
        <f>7.7974 * CHOOSE(CONTROL!$C$32, $C$9, 100%, $E$9)</f>
        <v>7.7973999999999997</v>
      </c>
      <c r="H489" s="11">
        <f>14.9011 * CHOOSE(CONTROL!$C$32, $C$9, 100%, $E$9)</f>
        <v>14.9011</v>
      </c>
      <c r="I489" s="11">
        <f>14.9064 * CHOOSE(CONTROL!$C$32, $C$9, 100%, $E$9)</f>
        <v>14.9064</v>
      </c>
      <c r="J489" s="11">
        <f>14.9011 * CHOOSE(CONTROL!$C$32, $C$9, 100%, $E$9)</f>
        <v>14.9011</v>
      </c>
      <c r="K489" s="11">
        <f>14.9064 * CHOOSE(CONTROL!$C$32, $C$9, 100%, $E$9)</f>
        <v>14.9064</v>
      </c>
      <c r="L489" s="11">
        <f>7.7921 * CHOOSE(CONTROL!$C$32, $C$9, 100%, $E$9)</f>
        <v>7.7920999999999996</v>
      </c>
      <c r="M489" s="11">
        <f>7.7974 * CHOOSE(CONTROL!$C$32, $C$9, 100%, $E$9)</f>
        <v>7.7973999999999997</v>
      </c>
      <c r="N489" s="11">
        <f>7.7921 * CHOOSE(CONTROL!$C$32, $C$9, 100%, $E$9)</f>
        <v>7.7920999999999996</v>
      </c>
      <c r="O489" s="11">
        <f>7.7974 * CHOOSE(CONTROL!$C$32, $C$9, 100%, $E$9)</f>
        <v>7.7973999999999997</v>
      </c>
    </row>
    <row r="490" spans="1:15" ht="15" x14ac:dyDescent="0.2">
      <c r="A490" s="13">
        <v>55763</v>
      </c>
      <c r="B490" s="9">
        <f>6.9955 * CHOOSE(CONTROL!$C$32, $C$9, 100%, $E$9)</f>
        <v>6.9954999999999998</v>
      </c>
      <c r="C490" s="9">
        <f>6.9955 * CHOOSE(CONTROL!$C$32, $C$9, 100%, $E$9)</f>
        <v>6.9954999999999998</v>
      </c>
      <c r="D490" s="9">
        <f>6.997 * CHOOSE(CONTROL!$C$32, $C$9, 100%, $E$9)</f>
        <v>6.9969999999999999</v>
      </c>
      <c r="E490" s="11">
        <f>7.7721 * CHOOSE(CONTROL!$C$32, $C$9, 100%, $E$9)</f>
        <v>7.7721</v>
      </c>
      <c r="F490" s="11">
        <f>7.7721 * CHOOSE(CONTROL!$C$32, $C$9, 100%, $E$9)</f>
        <v>7.7721</v>
      </c>
      <c r="G490" s="11">
        <f>7.7774 * CHOOSE(CONTROL!$C$32, $C$9, 100%, $E$9)</f>
        <v>7.7774000000000001</v>
      </c>
      <c r="H490" s="11">
        <f>14.9321 * CHOOSE(CONTROL!$C$32, $C$9, 100%, $E$9)</f>
        <v>14.9321</v>
      </c>
      <c r="I490" s="11">
        <f>14.9374 * CHOOSE(CONTROL!$C$32, $C$9, 100%, $E$9)</f>
        <v>14.9374</v>
      </c>
      <c r="J490" s="11">
        <f>14.9321 * CHOOSE(CONTROL!$C$32, $C$9, 100%, $E$9)</f>
        <v>14.9321</v>
      </c>
      <c r="K490" s="11">
        <f>14.9374 * CHOOSE(CONTROL!$C$32, $C$9, 100%, $E$9)</f>
        <v>14.9374</v>
      </c>
      <c r="L490" s="11">
        <f>7.7721 * CHOOSE(CONTROL!$C$32, $C$9, 100%, $E$9)</f>
        <v>7.7721</v>
      </c>
      <c r="M490" s="11">
        <f>7.7774 * CHOOSE(CONTROL!$C$32, $C$9, 100%, $E$9)</f>
        <v>7.7774000000000001</v>
      </c>
      <c r="N490" s="11">
        <f>7.7721 * CHOOSE(CONTROL!$C$32, $C$9, 100%, $E$9)</f>
        <v>7.7721</v>
      </c>
      <c r="O490" s="11">
        <f>7.7774 * CHOOSE(CONTROL!$C$32, $C$9, 100%, $E$9)</f>
        <v>7.7774000000000001</v>
      </c>
    </row>
    <row r="491" spans="1:15" ht="15" x14ac:dyDescent="0.2">
      <c r="A491" s="13">
        <v>55793</v>
      </c>
      <c r="B491" s="9">
        <f>7.0017 * CHOOSE(CONTROL!$C$32, $C$9, 100%, $E$9)</f>
        <v>7.0016999999999996</v>
      </c>
      <c r="C491" s="9">
        <f>7.0017 * CHOOSE(CONTROL!$C$32, $C$9, 100%, $E$9)</f>
        <v>7.0016999999999996</v>
      </c>
      <c r="D491" s="9">
        <f>7.0027 * CHOOSE(CONTROL!$C$32, $C$9, 100%, $E$9)</f>
        <v>7.0026999999999999</v>
      </c>
      <c r="E491" s="11">
        <f>7.8302 * CHOOSE(CONTROL!$C$32, $C$9, 100%, $E$9)</f>
        <v>7.8301999999999996</v>
      </c>
      <c r="F491" s="11">
        <f>7.8302 * CHOOSE(CONTROL!$C$32, $C$9, 100%, $E$9)</f>
        <v>7.8301999999999996</v>
      </c>
      <c r="G491" s="11">
        <f>7.8338 * CHOOSE(CONTROL!$C$32, $C$9, 100%, $E$9)</f>
        <v>7.8338000000000001</v>
      </c>
      <c r="H491" s="11">
        <f>14.9632 * CHOOSE(CONTROL!$C$32, $C$9, 100%, $E$9)</f>
        <v>14.963200000000001</v>
      </c>
      <c r="I491" s="11">
        <f>14.9669 * CHOOSE(CONTROL!$C$32, $C$9, 100%, $E$9)</f>
        <v>14.966900000000001</v>
      </c>
      <c r="J491" s="11">
        <f>14.9632 * CHOOSE(CONTROL!$C$32, $C$9, 100%, $E$9)</f>
        <v>14.963200000000001</v>
      </c>
      <c r="K491" s="11">
        <f>14.9669 * CHOOSE(CONTROL!$C$32, $C$9, 100%, $E$9)</f>
        <v>14.966900000000001</v>
      </c>
      <c r="L491" s="11">
        <f>7.8302 * CHOOSE(CONTROL!$C$32, $C$9, 100%, $E$9)</f>
        <v>7.8301999999999996</v>
      </c>
      <c r="M491" s="11">
        <f>7.8338 * CHOOSE(CONTROL!$C$32, $C$9, 100%, $E$9)</f>
        <v>7.8338000000000001</v>
      </c>
      <c r="N491" s="11">
        <f>7.8302 * CHOOSE(CONTROL!$C$32, $C$9, 100%, $E$9)</f>
        <v>7.8301999999999996</v>
      </c>
      <c r="O491" s="11">
        <f>7.8338 * CHOOSE(CONTROL!$C$32, $C$9, 100%, $E$9)</f>
        <v>7.8338000000000001</v>
      </c>
    </row>
    <row r="492" spans="1:15" ht="15" x14ac:dyDescent="0.2">
      <c r="A492" s="13">
        <v>55824</v>
      </c>
      <c r="B492" s="9">
        <f>7.0047 * CHOOSE(CONTROL!$C$32, $C$9, 100%, $E$9)</f>
        <v>7.0046999999999997</v>
      </c>
      <c r="C492" s="9">
        <f>7.0047 * CHOOSE(CONTROL!$C$32, $C$9, 100%, $E$9)</f>
        <v>7.0046999999999997</v>
      </c>
      <c r="D492" s="9">
        <f>7.0058 * CHOOSE(CONTROL!$C$32, $C$9, 100%, $E$9)</f>
        <v>7.0057999999999998</v>
      </c>
      <c r="E492" s="11">
        <f>7.868 * CHOOSE(CONTROL!$C$32, $C$9, 100%, $E$9)</f>
        <v>7.8680000000000003</v>
      </c>
      <c r="F492" s="11">
        <f>7.868 * CHOOSE(CONTROL!$C$32, $C$9, 100%, $E$9)</f>
        <v>7.8680000000000003</v>
      </c>
      <c r="G492" s="11">
        <f>7.8716 * CHOOSE(CONTROL!$C$32, $C$9, 100%, $E$9)</f>
        <v>7.8715999999999999</v>
      </c>
      <c r="H492" s="11">
        <f>14.9944 * CHOOSE(CONTROL!$C$32, $C$9, 100%, $E$9)</f>
        <v>14.994400000000001</v>
      </c>
      <c r="I492" s="11">
        <f>14.998 * CHOOSE(CONTROL!$C$32, $C$9, 100%, $E$9)</f>
        <v>14.997999999999999</v>
      </c>
      <c r="J492" s="11">
        <f>14.9944 * CHOOSE(CONTROL!$C$32, $C$9, 100%, $E$9)</f>
        <v>14.994400000000001</v>
      </c>
      <c r="K492" s="11">
        <f>14.998 * CHOOSE(CONTROL!$C$32, $C$9, 100%, $E$9)</f>
        <v>14.997999999999999</v>
      </c>
      <c r="L492" s="11">
        <f>7.868 * CHOOSE(CONTROL!$C$32, $C$9, 100%, $E$9)</f>
        <v>7.8680000000000003</v>
      </c>
      <c r="M492" s="11">
        <f>7.8716 * CHOOSE(CONTROL!$C$32, $C$9, 100%, $E$9)</f>
        <v>7.8715999999999999</v>
      </c>
      <c r="N492" s="11">
        <f>7.868 * CHOOSE(CONTROL!$C$32, $C$9, 100%, $E$9)</f>
        <v>7.8680000000000003</v>
      </c>
      <c r="O492" s="11">
        <f>7.8716 * CHOOSE(CONTROL!$C$32, $C$9, 100%, $E$9)</f>
        <v>7.8715999999999999</v>
      </c>
    </row>
    <row r="493" spans="1:15" ht="15" x14ac:dyDescent="0.2">
      <c r="A493" s="13">
        <v>55854</v>
      </c>
      <c r="B493" s="9">
        <f>7.0047 * CHOOSE(CONTROL!$C$32, $C$9, 100%, $E$9)</f>
        <v>7.0046999999999997</v>
      </c>
      <c r="C493" s="9">
        <f>7.0047 * CHOOSE(CONTROL!$C$32, $C$9, 100%, $E$9)</f>
        <v>7.0046999999999997</v>
      </c>
      <c r="D493" s="9">
        <f>7.0058 * CHOOSE(CONTROL!$C$32, $C$9, 100%, $E$9)</f>
        <v>7.0057999999999998</v>
      </c>
      <c r="E493" s="11">
        <f>7.7787 * CHOOSE(CONTROL!$C$32, $C$9, 100%, $E$9)</f>
        <v>7.7786999999999997</v>
      </c>
      <c r="F493" s="11">
        <f>7.7787 * CHOOSE(CONTROL!$C$32, $C$9, 100%, $E$9)</f>
        <v>7.7786999999999997</v>
      </c>
      <c r="G493" s="11">
        <f>7.7823 * CHOOSE(CONTROL!$C$32, $C$9, 100%, $E$9)</f>
        <v>7.7823000000000002</v>
      </c>
      <c r="H493" s="11">
        <f>15.0256 * CHOOSE(CONTROL!$C$32, $C$9, 100%, $E$9)</f>
        <v>15.025600000000001</v>
      </c>
      <c r="I493" s="11">
        <f>15.0293 * CHOOSE(CONTROL!$C$32, $C$9, 100%, $E$9)</f>
        <v>15.029299999999999</v>
      </c>
      <c r="J493" s="11">
        <f>15.0256 * CHOOSE(CONTROL!$C$32, $C$9, 100%, $E$9)</f>
        <v>15.025600000000001</v>
      </c>
      <c r="K493" s="11">
        <f>15.0293 * CHOOSE(CONTROL!$C$32, $C$9, 100%, $E$9)</f>
        <v>15.029299999999999</v>
      </c>
      <c r="L493" s="11">
        <f>7.7787 * CHOOSE(CONTROL!$C$32, $C$9, 100%, $E$9)</f>
        <v>7.7786999999999997</v>
      </c>
      <c r="M493" s="11">
        <f>7.7823 * CHOOSE(CONTROL!$C$32, $C$9, 100%, $E$9)</f>
        <v>7.7823000000000002</v>
      </c>
      <c r="N493" s="11">
        <f>7.7787 * CHOOSE(CONTROL!$C$32, $C$9, 100%, $E$9)</f>
        <v>7.7786999999999997</v>
      </c>
      <c r="O493" s="11">
        <f>7.7823 * CHOOSE(CONTROL!$C$32, $C$9, 100%, $E$9)</f>
        <v>7.7823000000000002</v>
      </c>
    </row>
    <row r="494" spans="1:15" ht="15" x14ac:dyDescent="0.2">
      <c r="A494" s="13">
        <v>55885</v>
      </c>
      <c r="B494" s="9">
        <f>7.0575 * CHOOSE(CONTROL!$C$32, $C$9, 100%, $E$9)</f>
        <v>7.0575000000000001</v>
      </c>
      <c r="C494" s="9">
        <f>7.0575 * CHOOSE(CONTROL!$C$32, $C$9, 100%, $E$9)</f>
        <v>7.0575000000000001</v>
      </c>
      <c r="D494" s="9">
        <f>7.0586 * CHOOSE(CONTROL!$C$32, $C$9, 100%, $E$9)</f>
        <v>7.0586000000000002</v>
      </c>
      <c r="E494" s="11">
        <f>7.9087 * CHOOSE(CONTROL!$C$32, $C$9, 100%, $E$9)</f>
        <v>7.9086999999999996</v>
      </c>
      <c r="F494" s="11">
        <f>7.9087 * CHOOSE(CONTROL!$C$32, $C$9, 100%, $E$9)</f>
        <v>7.9086999999999996</v>
      </c>
      <c r="G494" s="11">
        <f>7.9124 * CHOOSE(CONTROL!$C$32, $C$9, 100%, $E$9)</f>
        <v>7.9123999999999999</v>
      </c>
      <c r="H494" s="11">
        <f>15.057 * CHOOSE(CONTROL!$C$32, $C$9, 100%, $E$9)</f>
        <v>15.057</v>
      </c>
      <c r="I494" s="11">
        <f>15.0606 * CHOOSE(CONTROL!$C$32, $C$9, 100%, $E$9)</f>
        <v>15.060600000000001</v>
      </c>
      <c r="J494" s="11">
        <f>15.057 * CHOOSE(CONTROL!$C$32, $C$9, 100%, $E$9)</f>
        <v>15.057</v>
      </c>
      <c r="K494" s="11">
        <f>15.0606 * CHOOSE(CONTROL!$C$32, $C$9, 100%, $E$9)</f>
        <v>15.060600000000001</v>
      </c>
      <c r="L494" s="11">
        <f>7.9087 * CHOOSE(CONTROL!$C$32, $C$9, 100%, $E$9)</f>
        <v>7.9086999999999996</v>
      </c>
      <c r="M494" s="11">
        <f>7.9124 * CHOOSE(CONTROL!$C$32, $C$9, 100%, $E$9)</f>
        <v>7.9123999999999999</v>
      </c>
      <c r="N494" s="11">
        <f>7.9087 * CHOOSE(CONTROL!$C$32, $C$9, 100%, $E$9)</f>
        <v>7.9086999999999996</v>
      </c>
      <c r="O494" s="11">
        <f>7.9124 * CHOOSE(CONTROL!$C$32, $C$9, 100%, $E$9)</f>
        <v>7.9123999999999999</v>
      </c>
    </row>
    <row r="495" spans="1:15" ht="15" x14ac:dyDescent="0.2">
      <c r="A495" s="13">
        <v>55916</v>
      </c>
      <c r="B495" s="9">
        <f>7.0545 * CHOOSE(CONTROL!$C$32, $C$9, 100%, $E$9)</f>
        <v>7.0545</v>
      </c>
      <c r="C495" s="9">
        <f>7.0545 * CHOOSE(CONTROL!$C$32, $C$9, 100%, $E$9)</f>
        <v>7.0545</v>
      </c>
      <c r="D495" s="9">
        <f>7.0555 * CHOOSE(CONTROL!$C$32, $C$9, 100%, $E$9)</f>
        <v>7.0555000000000003</v>
      </c>
      <c r="E495" s="11">
        <f>7.7323 * CHOOSE(CONTROL!$C$32, $C$9, 100%, $E$9)</f>
        <v>7.7323000000000004</v>
      </c>
      <c r="F495" s="11">
        <f>7.7323 * CHOOSE(CONTROL!$C$32, $C$9, 100%, $E$9)</f>
        <v>7.7323000000000004</v>
      </c>
      <c r="G495" s="11">
        <f>7.7359 * CHOOSE(CONTROL!$C$32, $C$9, 100%, $E$9)</f>
        <v>7.7359</v>
      </c>
      <c r="H495" s="11">
        <f>15.0883 * CHOOSE(CONTROL!$C$32, $C$9, 100%, $E$9)</f>
        <v>15.0883</v>
      </c>
      <c r="I495" s="11">
        <f>15.0919 * CHOOSE(CONTROL!$C$32, $C$9, 100%, $E$9)</f>
        <v>15.091900000000001</v>
      </c>
      <c r="J495" s="11">
        <f>15.0883 * CHOOSE(CONTROL!$C$32, $C$9, 100%, $E$9)</f>
        <v>15.0883</v>
      </c>
      <c r="K495" s="11">
        <f>15.0919 * CHOOSE(CONTROL!$C$32, $C$9, 100%, $E$9)</f>
        <v>15.091900000000001</v>
      </c>
      <c r="L495" s="11">
        <f>7.7323 * CHOOSE(CONTROL!$C$32, $C$9, 100%, $E$9)</f>
        <v>7.7323000000000004</v>
      </c>
      <c r="M495" s="11">
        <f>7.7359 * CHOOSE(CONTROL!$C$32, $C$9, 100%, $E$9)</f>
        <v>7.7359</v>
      </c>
      <c r="N495" s="11">
        <f>7.7323 * CHOOSE(CONTROL!$C$32, $C$9, 100%, $E$9)</f>
        <v>7.7323000000000004</v>
      </c>
      <c r="O495" s="11">
        <f>7.7359 * CHOOSE(CONTROL!$C$32, $C$9, 100%, $E$9)</f>
        <v>7.7359</v>
      </c>
    </row>
    <row r="496" spans="1:15" ht="15" x14ac:dyDescent="0.2">
      <c r="A496" s="13">
        <v>55944</v>
      </c>
      <c r="B496" s="9">
        <f>7.0514 * CHOOSE(CONTROL!$C$32, $C$9, 100%, $E$9)</f>
        <v>7.0514000000000001</v>
      </c>
      <c r="C496" s="9">
        <f>7.0514 * CHOOSE(CONTROL!$C$32, $C$9, 100%, $E$9)</f>
        <v>7.0514000000000001</v>
      </c>
      <c r="D496" s="9">
        <f>7.0525 * CHOOSE(CONTROL!$C$32, $C$9, 100%, $E$9)</f>
        <v>7.0525000000000002</v>
      </c>
      <c r="E496" s="11">
        <f>7.8676 * CHOOSE(CONTROL!$C$32, $C$9, 100%, $E$9)</f>
        <v>7.8676000000000004</v>
      </c>
      <c r="F496" s="11">
        <f>7.8676 * CHOOSE(CONTROL!$C$32, $C$9, 100%, $E$9)</f>
        <v>7.8676000000000004</v>
      </c>
      <c r="G496" s="11">
        <f>7.8712 * CHOOSE(CONTROL!$C$32, $C$9, 100%, $E$9)</f>
        <v>7.8712</v>
      </c>
      <c r="H496" s="11">
        <f>15.1198 * CHOOSE(CONTROL!$C$32, $C$9, 100%, $E$9)</f>
        <v>15.1198</v>
      </c>
      <c r="I496" s="11">
        <f>15.1234 * CHOOSE(CONTROL!$C$32, $C$9, 100%, $E$9)</f>
        <v>15.1234</v>
      </c>
      <c r="J496" s="11">
        <f>15.1198 * CHOOSE(CONTROL!$C$32, $C$9, 100%, $E$9)</f>
        <v>15.1198</v>
      </c>
      <c r="K496" s="11">
        <f>15.1234 * CHOOSE(CONTROL!$C$32, $C$9, 100%, $E$9)</f>
        <v>15.1234</v>
      </c>
      <c r="L496" s="11">
        <f>7.8676 * CHOOSE(CONTROL!$C$32, $C$9, 100%, $E$9)</f>
        <v>7.8676000000000004</v>
      </c>
      <c r="M496" s="11">
        <f>7.8712 * CHOOSE(CONTROL!$C$32, $C$9, 100%, $E$9)</f>
        <v>7.8712</v>
      </c>
      <c r="N496" s="11">
        <f>7.8676 * CHOOSE(CONTROL!$C$32, $C$9, 100%, $E$9)</f>
        <v>7.8676000000000004</v>
      </c>
      <c r="O496" s="11">
        <f>7.8712 * CHOOSE(CONTROL!$C$32, $C$9, 100%, $E$9)</f>
        <v>7.8712</v>
      </c>
    </row>
    <row r="497" spans="1:15" ht="15" x14ac:dyDescent="0.2">
      <c r="A497" s="13">
        <v>55975</v>
      </c>
      <c r="B497" s="9">
        <f>7.052 * CHOOSE(CONTROL!$C$32, $C$9, 100%, $E$9)</f>
        <v>7.0519999999999996</v>
      </c>
      <c r="C497" s="9">
        <f>7.052 * CHOOSE(CONTROL!$C$32, $C$9, 100%, $E$9)</f>
        <v>7.0519999999999996</v>
      </c>
      <c r="D497" s="9">
        <f>7.0531 * CHOOSE(CONTROL!$C$32, $C$9, 100%, $E$9)</f>
        <v>7.0530999999999997</v>
      </c>
      <c r="E497" s="11">
        <f>8.011 * CHOOSE(CONTROL!$C$32, $C$9, 100%, $E$9)</f>
        <v>8.0109999999999992</v>
      </c>
      <c r="F497" s="11">
        <f>8.011 * CHOOSE(CONTROL!$C$32, $C$9, 100%, $E$9)</f>
        <v>8.0109999999999992</v>
      </c>
      <c r="G497" s="11">
        <f>8.0146 * CHOOSE(CONTROL!$C$32, $C$9, 100%, $E$9)</f>
        <v>8.0145999999999997</v>
      </c>
      <c r="H497" s="11">
        <f>15.1513 * CHOOSE(CONTROL!$C$32, $C$9, 100%, $E$9)</f>
        <v>15.151300000000001</v>
      </c>
      <c r="I497" s="11">
        <f>15.1549 * CHOOSE(CONTROL!$C$32, $C$9, 100%, $E$9)</f>
        <v>15.1549</v>
      </c>
      <c r="J497" s="11">
        <f>15.1513 * CHOOSE(CONTROL!$C$32, $C$9, 100%, $E$9)</f>
        <v>15.151300000000001</v>
      </c>
      <c r="K497" s="11">
        <f>15.1549 * CHOOSE(CONTROL!$C$32, $C$9, 100%, $E$9)</f>
        <v>15.1549</v>
      </c>
      <c r="L497" s="11">
        <f>8.011 * CHOOSE(CONTROL!$C$32, $C$9, 100%, $E$9)</f>
        <v>8.0109999999999992</v>
      </c>
      <c r="M497" s="11">
        <f>8.0146 * CHOOSE(CONTROL!$C$32, $C$9, 100%, $E$9)</f>
        <v>8.0145999999999997</v>
      </c>
      <c r="N497" s="11">
        <f>8.011 * CHOOSE(CONTROL!$C$32, $C$9, 100%, $E$9)</f>
        <v>8.0109999999999992</v>
      </c>
      <c r="O497" s="11">
        <f>8.0146 * CHOOSE(CONTROL!$C$32, $C$9, 100%, $E$9)</f>
        <v>8.0145999999999997</v>
      </c>
    </row>
    <row r="498" spans="1:15" ht="15" x14ac:dyDescent="0.2">
      <c r="A498" s="13">
        <v>56005</v>
      </c>
      <c r="B498" s="9">
        <f>7.052 * CHOOSE(CONTROL!$C$32, $C$9, 100%, $E$9)</f>
        <v>7.0519999999999996</v>
      </c>
      <c r="C498" s="9">
        <f>7.052 * CHOOSE(CONTROL!$C$32, $C$9, 100%, $E$9)</f>
        <v>7.0519999999999996</v>
      </c>
      <c r="D498" s="9">
        <f>7.0536 * CHOOSE(CONTROL!$C$32, $C$9, 100%, $E$9)</f>
        <v>7.0536000000000003</v>
      </c>
      <c r="E498" s="11">
        <f>8.0663 * CHOOSE(CONTROL!$C$32, $C$9, 100%, $E$9)</f>
        <v>8.0663</v>
      </c>
      <c r="F498" s="11">
        <f>8.0663 * CHOOSE(CONTROL!$C$32, $C$9, 100%, $E$9)</f>
        <v>8.0663</v>
      </c>
      <c r="G498" s="11">
        <f>8.0716 * CHOOSE(CONTROL!$C$32, $C$9, 100%, $E$9)</f>
        <v>8.0716000000000001</v>
      </c>
      <c r="H498" s="11">
        <f>15.1828 * CHOOSE(CONTROL!$C$32, $C$9, 100%, $E$9)</f>
        <v>15.1828</v>
      </c>
      <c r="I498" s="11">
        <f>15.1881 * CHOOSE(CONTROL!$C$32, $C$9, 100%, $E$9)</f>
        <v>15.1881</v>
      </c>
      <c r="J498" s="11">
        <f>15.1828 * CHOOSE(CONTROL!$C$32, $C$9, 100%, $E$9)</f>
        <v>15.1828</v>
      </c>
      <c r="K498" s="11">
        <f>15.1881 * CHOOSE(CONTROL!$C$32, $C$9, 100%, $E$9)</f>
        <v>15.1881</v>
      </c>
      <c r="L498" s="11">
        <f>8.0663 * CHOOSE(CONTROL!$C$32, $C$9, 100%, $E$9)</f>
        <v>8.0663</v>
      </c>
      <c r="M498" s="11">
        <f>8.0716 * CHOOSE(CONTROL!$C$32, $C$9, 100%, $E$9)</f>
        <v>8.0716000000000001</v>
      </c>
      <c r="N498" s="11">
        <f>8.0663 * CHOOSE(CONTROL!$C$32, $C$9, 100%, $E$9)</f>
        <v>8.0663</v>
      </c>
      <c r="O498" s="11">
        <f>8.0716 * CHOOSE(CONTROL!$C$32, $C$9, 100%, $E$9)</f>
        <v>8.0716000000000001</v>
      </c>
    </row>
    <row r="499" spans="1:15" ht="15" x14ac:dyDescent="0.2">
      <c r="A499" s="13">
        <v>56036</v>
      </c>
      <c r="B499" s="9">
        <f>7.0581 * CHOOSE(CONTROL!$C$32, $C$9, 100%, $E$9)</f>
        <v>7.0580999999999996</v>
      </c>
      <c r="C499" s="9">
        <f>7.0581 * CHOOSE(CONTROL!$C$32, $C$9, 100%, $E$9)</f>
        <v>7.0580999999999996</v>
      </c>
      <c r="D499" s="9">
        <f>7.0597 * CHOOSE(CONTROL!$C$32, $C$9, 100%, $E$9)</f>
        <v>7.0597000000000003</v>
      </c>
      <c r="E499" s="11">
        <f>8.0152 * CHOOSE(CONTROL!$C$32, $C$9, 100%, $E$9)</f>
        <v>8.0152000000000001</v>
      </c>
      <c r="F499" s="11">
        <f>8.0152 * CHOOSE(CONTROL!$C$32, $C$9, 100%, $E$9)</f>
        <v>8.0152000000000001</v>
      </c>
      <c r="G499" s="11">
        <f>8.0205 * CHOOSE(CONTROL!$C$32, $C$9, 100%, $E$9)</f>
        <v>8.0205000000000002</v>
      </c>
      <c r="H499" s="11">
        <f>15.2145 * CHOOSE(CONTROL!$C$32, $C$9, 100%, $E$9)</f>
        <v>15.214499999999999</v>
      </c>
      <c r="I499" s="11">
        <f>15.2197 * CHOOSE(CONTROL!$C$32, $C$9, 100%, $E$9)</f>
        <v>15.2197</v>
      </c>
      <c r="J499" s="11">
        <f>15.2145 * CHOOSE(CONTROL!$C$32, $C$9, 100%, $E$9)</f>
        <v>15.214499999999999</v>
      </c>
      <c r="K499" s="11">
        <f>15.2197 * CHOOSE(CONTROL!$C$32, $C$9, 100%, $E$9)</f>
        <v>15.2197</v>
      </c>
      <c r="L499" s="11">
        <f>8.0152 * CHOOSE(CONTROL!$C$32, $C$9, 100%, $E$9)</f>
        <v>8.0152000000000001</v>
      </c>
      <c r="M499" s="11">
        <f>8.0205 * CHOOSE(CONTROL!$C$32, $C$9, 100%, $E$9)</f>
        <v>8.0205000000000002</v>
      </c>
      <c r="N499" s="11">
        <f>8.0152 * CHOOSE(CONTROL!$C$32, $C$9, 100%, $E$9)</f>
        <v>8.0152000000000001</v>
      </c>
      <c r="O499" s="11">
        <f>8.0205 * CHOOSE(CONTROL!$C$32, $C$9, 100%, $E$9)</f>
        <v>8.0205000000000002</v>
      </c>
    </row>
    <row r="500" spans="1:15" ht="15" x14ac:dyDescent="0.2">
      <c r="A500" s="13">
        <v>56066</v>
      </c>
      <c r="B500" s="9">
        <f>7.1502 * CHOOSE(CONTROL!$C$32, $C$9, 100%, $E$9)</f>
        <v>7.1501999999999999</v>
      </c>
      <c r="C500" s="9">
        <f>7.1502 * CHOOSE(CONTROL!$C$32, $C$9, 100%, $E$9)</f>
        <v>7.1501999999999999</v>
      </c>
      <c r="D500" s="9">
        <f>7.1518 * CHOOSE(CONTROL!$C$32, $C$9, 100%, $E$9)</f>
        <v>7.1517999999999997</v>
      </c>
      <c r="E500" s="11">
        <f>8.1252 * CHOOSE(CONTROL!$C$32, $C$9, 100%, $E$9)</f>
        <v>8.1251999999999995</v>
      </c>
      <c r="F500" s="11">
        <f>8.1252 * CHOOSE(CONTROL!$C$32, $C$9, 100%, $E$9)</f>
        <v>8.1251999999999995</v>
      </c>
      <c r="G500" s="11">
        <f>8.1305 * CHOOSE(CONTROL!$C$32, $C$9, 100%, $E$9)</f>
        <v>8.1304999999999996</v>
      </c>
      <c r="H500" s="11">
        <f>15.2461 * CHOOSE(CONTROL!$C$32, $C$9, 100%, $E$9)</f>
        <v>15.2461</v>
      </c>
      <c r="I500" s="11">
        <f>15.2514 * CHOOSE(CONTROL!$C$32, $C$9, 100%, $E$9)</f>
        <v>15.2514</v>
      </c>
      <c r="J500" s="11">
        <f>15.2461 * CHOOSE(CONTROL!$C$32, $C$9, 100%, $E$9)</f>
        <v>15.2461</v>
      </c>
      <c r="K500" s="11">
        <f>15.2514 * CHOOSE(CONTROL!$C$32, $C$9, 100%, $E$9)</f>
        <v>15.2514</v>
      </c>
      <c r="L500" s="11">
        <f>8.1252 * CHOOSE(CONTROL!$C$32, $C$9, 100%, $E$9)</f>
        <v>8.1251999999999995</v>
      </c>
      <c r="M500" s="11">
        <f>8.1305 * CHOOSE(CONTROL!$C$32, $C$9, 100%, $E$9)</f>
        <v>8.1304999999999996</v>
      </c>
      <c r="N500" s="11">
        <f>8.1252 * CHOOSE(CONTROL!$C$32, $C$9, 100%, $E$9)</f>
        <v>8.1251999999999995</v>
      </c>
      <c r="O500" s="11">
        <f>8.1305 * CHOOSE(CONTROL!$C$32, $C$9, 100%, $E$9)</f>
        <v>8.1304999999999996</v>
      </c>
    </row>
    <row r="501" spans="1:15" ht="15" x14ac:dyDescent="0.2">
      <c r="A501" s="13">
        <v>56097</v>
      </c>
      <c r="B501" s="9">
        <f>7.1569 * CHOOSE(CONTROL!$C$32, $C$9, 100%, $E$9)</f>
        <v>7.1569000000000003</v>
      </c>
      <c r="C501" s="9">
        <f>7.1569 * CHOOSE(CONTROL!$C$32, $C$9, 100%, $E$9)</f>
        <v>7.1569000000000003</v>
      </c>
      <c r="D501" s="9">
        <f>7.1585 * CHOOSE(CONTROL!$C$32, $C$9, 100%, $E$9)</f>
        <v>7.1585000000000001</v>
      </c>
      <c r="E501" s="11">
        <f>7.9639 * CHOOSE(CONTROL!$C$32, $C$9, 100%, $E$9)</f>
        <v>7.9638999999999998</v>
      </c>
      <c r="F501" s="11">
        <f>7.9639 * CHOOSE(CONTROL!$C$32, $C$9, 100%, $E$9)</f>
        <v>7.9638999999999998</v>
      </c>
      <c r="G501" s="11">
        <f>7.9692 * CHOOSE(CONTROL!$C$32, $C$9, 100%, $E$9)</f>
        <v>7.9691999999999998</v>
      </c>
      <c r="H501" s="11">
        <f>15.2779 * CHOOSE(CONTROL!$C$32, $C$9, 100%, $E$9)</f>
        <v>15.277900000000001</v>
      </c>
      <c r="I501" s="11">
        <f>15.2832 * CHOOSE(CONTROL!$C$32, $C$9, 100%, $E$9)</f>
        <v>15.283200000000001</v>
      </c>
      <c r="J501" s="11">
        <f>15.2779 * CHOOSE(CONTROL!$C$32, $C$9, 100%, $E$9)</f>
        <v>15.277900000000001</v>
      </c>
      <c r="K501" s="11">
        <f>15.2832 * CHOOSE(CONTROL!$C$32, $C$9, 100%, $E$9)</f>
        <v>15.283200000000001</v>
      </c>
      <c r="L501" s="11">
        <f>7.9639 * CHOOSE(CONTROL!$C$32, $C$9, 100%, $E$9)</f>
        <v>7.9638999999999998</v>
      </c>
      <c r="M501" s="11">
        <f>7.9692 * CHOOSE(CONTROL!$C$32, $C$9, 100%, $E$9)</f>
        <v>7.9691999999999998</v>
      </c>
      <c r="N501" s="11">
        <f>7.9639 * CHOOSE(CONTROL!$C$32, $C$9, 100%, $E$9)</f>
        <v>7.9638999999999998</v>
      </c>
      <c r="O501" s="11">
        <f>7.9692 * CHOOSE(CONTROL!$C$32, $C$9, 100%, $E$9)</f>
        <v>7.9691999999999998</v>
      </c>
    </row>
    <row r="502" spans="1:15" ht="15" x14ac:dyDescent="0.2">
      <c r="A502" s="13">
        <v>56128</v>
      </c>
      <c r="B502" s="9">
        <f>7.1539 * CHOOSE(CONTROL!$C$32, $C$9, 100%, $E$9)</f>
        <v>7.1539000000000001</v>
      </c>
      <c r="C502" s="9">
        <f>7.1539 * CHOOSE(CONTROL!$C$32, $C$9, 100%, $E$9)</f>
        <v>7.1539000000000001</v>
      </c>
      <c r="D502" s="9">
        <f>7.1554 * CHOOSE(CONTROL!$C$32, $C$9, 100%, $E$9)</f>
        <v>7.1554000000000002</v>
      </c>
      <c r="E502" s="11">
        <f>7.9433 * CHOOSE(CONTROL!$C$32, $C$9, 100%, $E$9)</f>
        <v>7.9432999999999998</v>
      </c>
      <c r="F502" s="11">
        <f>7.9433 * CHOOSE(CONTROL!$C$32, $C$9, 100%, $E$9)</f>
        <v>7.9432999999999998</v>
      </c>
      <c r="G502" s="11">
        <f>7.9486 * CHOOSE(CONTROL!$C$32, $C$9, 100%, $E$9)</f>
        <v>7.9485999999999999</v>
      </c>
      <c r="H502" s="11">
        <f>15.3097 * CHOOSE(CONTROL!$C$32, $C$9, 100%, $E$9)</f>
        <v>15.309699999999999</v>
      </c>
      <c r="I502" s="11">
        <f>15.315 * CHOOSE(CONTROL!$C$32, $C$9, 100%, $E$9)</f>
        <v>15.315</v>
      </c>
      <c r="J502" s="11">
        <f>15.3097 * CHOOSE(CONTROL!$C$32, $C$9, 100%, $E$9)</f>
        <v>15.309699999999999</v>
      </c>
      <c r="K502" s="11">
        <f>15.315 * CHOOSE(CONTROL!$C$32, $C$9, 100%, $E$9)</f>
        <v>15.315</v>
      </c>
      <c r="L502" s="11">
        <f>7.9433 * CHOOSE(CONTROL!$C$32, $C$9, 100%, $E$9)</f>
        <v>7.9432999999999998</v>
      </c>
      <c r="M502" s="11">
        <f>7.9486 * CHOOSE(CONTROL!$C$32, $C$9, 100%, $E$9)</f>
        <v>7.9485999999999999</v>
      </c>
      <c r="N502" s="11">
        <f>7.9433 * CHOOSE(CONTROL!$C$32, $C$9, 100%, $E$9)</f>
        <v>7.9432999999999998</v>
      </c>
      <c r="O502" s="11">
        <f>7.9486 * CHOOSE(CONTROL!$C$32, $C$9, 100%, $E$9)</f>
        <v>7.9485999999999999</v>
      </c>
    </row>
    <row r="503" spans="1:15" ht="15" x14ac:dyDescent="0.2">
      <c r="A503" s="13">
        <v>56158</v>
      </c>
      <c r="B503" s="9">
        <f>7.1607 * CHOOSE(CONTROL!$C$32, $C$9, 100%, $E$9)</f>
        <v>7.1607000000000003</v>
      </c>
      <c r="C503" s="9">
        <f>7.1607 * CHOOSE(CONTROL!$C$32, $C$9, 100%, $E$9)</f>
        <v>7.1607000000000003</v>
      </c>
      <c r="D503" s="9">
        <f>7.1617 * CHOOSE(CONTROL!$C$32, $C$9, 100%, $E$9)</f>
        <v>7.1616999999999997</v>
      </c>
      <c r="E503" s="11">
        <f>8.0037 * CHOOSE(CONTROL!$C$32, $C$9, 100%, $E$9)</f>
        <v>8.0037000000000003</v>
      </c>
      <c r="F503" s="11">
        <f>8.0037 * CHOOSE(CONTROL!$C$32, $C$9, 100%, $E$9)</f>
        <v>8.0037000000000003</v>
      </c>
      <c r="G503" s="11">
        <f>8.0073 * CHOOSE(CONTROL!$C$32, $C$9, 100%, $E$9)</f>
        <v>8.0073000000000008</v>
      </c>
      <c r="H503" s="11">
        <f>15.3416 * CHOOSE(CONTROL!$C$32, $C$9, 100%, $E$9)</f>
        <v>15.3416</v>
      </c>
      <c r="I503" s="11">
        <f>15.3453 * CHOOSE(CONTROL!$C$32, $C$9, 100%, $E$9)</f>
        <v>15.3453</v>
      </c>
      <c r="J503" s="11">
        <f>15.3416 * CHOOSE(CONTROL!$C$32, $C$9, 100%, $E$9)</f>
        <v>15.3416</v>
      </c>
      <c r="K503" s="11">
        <f>15.3453 * CHOOSE(CONTROL!$C$32, $C$9, 100%, $E$9)</f>
        <v>15.3453</v>
      </c>
      <c r="L503" s="11">
        <f>8.0037 * CHOOSE(CONTROL!$C$32, $C$9, 100%, $E$9)</f>
        <v>8.0037000000000003</v>
      </c>
      <c r="M503" s="11">
        <f>8.0073 * CHOOSE(CONTROL!$C$32, $C$9, 100%, $E$9)</f>
        <v>8.0073000000000008</v>
      </c>
      <c r="N503" s="11">
        <f>8.0037 * CHOOSE(CONTROL!$C$32, $C$9, 100%, $E$9)</f>
        <v>8.0037000000000003</v>
      </c>
      <c r="O503" s="11">
        <f>8.0073 * CHOOSE(CONTROL!$C$32, $C$9, 100%, $E$9)</f>
        <v>8.0073000000000008</v>
      </c>
    </row>
    <row r="504" spans="1:15" ht="15" x14ac:dyDescent="0.2">
      <c r="A504" s="13">
        <v>56189</v>
      </c>
      <c r="B504" s="9">
        <f>7.1637 * CHOOSE(CONTROL!$C$32, $C$9, 100%, $E$9)</f>
        <v>7.1637000000000004</v>
      </c>
      <c r="C504" s="9">
        <f>7.1637 * CHOOSE(CONTROL!$C$32, $C$9, 100%, $E$9)</f>
        <v>7.1637000000000004</v>
      </c>
      <c r="D504" s="9">
        <f>7.1648 * CHOOSE(CONTROL!$C$32, $C$9, 100%, $E$9)</f>
        <v>7.1647999999999996</v>
      </c>
      <c r="E504" s="11">
        <f>8.0427 * CHOOSE(CONTROL!$C$32, $C$9, 100%, $E$9)</f>
        <v>8.0427</v>
      </c>
      <c r="F504" s="11">
        <f>8.0427 * CHOOSE(CONTROL!$C$32, $C$9, 100%, $E$9)</f>
        <v>8.0427</v>
      </c>
      <c r="G504" s="11">
        <f>8.0463 * CHOOSE(CONTROL!$C$32, $C$9, 100%, $E$9)</f>
        <v>8.0463000000000005</v>
      </c>
      <c r="H504" s="11">
        <f>15.3736 * CHOOSE(CONTROL!$C$32, $C$9, 100%, $E$9)</f>
        <v>15.3736</v>
      </c>
      <c r="I504" s="11">
        <f>15.3772 * CHOOSE(CONTROL!$C$32, $C$9, 100%, $E$9)</f>
        <v>15.3772</v>
      </c>
      <c r="J504" s="11">
        <f>15.3736 * CHOOSE(CONTROL!$C$32, $C$9, 100%, $E$9)</f>
        <v>15.3736</v>
      </c>
      <c r="K504" s="11">
        <f>15.3772 * CHOOSE(CONTROL!$C$32, $C$9, 100%, $E$9)</f>
        <v>15.3772</v>
      </c>
      <c r="L504" s="11">
        <f>8.0427 * CHOOSE(CONTROL!$C$32, $C$9, 100%, $E$9)</f>
        <v>8.0427</v>
      </c>
      <c r="M504" s="11">
        <f>8.0463 * CHOOSE(CONTROL!$C$32, $C$9, 100%, $E$9)</f>
        <v>8.0463000000000005</v>
      </c>
      <c r="N504" s="11">
        <f>8.0427 * CHOOSE(CONTROL!$C$32, $C$9, 100%, $E$9)</f>
        <v>8.0427</v>
      </c>
      <c r="O504" s="11">
        <f>8.0463 * CHOOSE(CONTROL!$C$32, $C$9, 100%, $E$9)</f>
        <v>8.0463000000000005</v>
      </c>
    </row>
    <row r="505" spans="1:15" ht="15" x14ac:dyDescent="0.2">
      <c r="A505" s="13">
        <v>56219</v>
      </c>
      <c r="B505" s="9">
        <f>7.1637 * CHOOSE(CONTROL!$C$32, $C$9, 100%, $E$9)</f>
        <v>7.1637000000000004</v>
      </c>
      <c r="C505" s="9">
        <f>7.1637 * CHOOSE(CONTROL!$C$32, $C$9, 100%, $E$9)</f>
        <v>7.1637000000000004</v>
      </c>
      <c r="D505" s="9">
        <f>7.1648 * CHOOSE(CONTROL!$C$32, $C$9, 100%, $E$9)</f>
        <v>7.1647999999999996</v>
      </c>
      <c r="E505" s="11">
        <f>7.9504 * CHOOSE(CONTROL!$C$32, $C$9, 100%, $E$9)</f>
        <v>7.9504000000000001</v>
      </c>
      <c r="F505" s="11">
        <f>7.9504 * CHOOSE(CONTROL!$C$32, $C$9, 100%, $E$9)</f>
        <v>7.9504000000000001</v>
      </c>
      <c r="G505" s="11">
        <f>7.9541 * CHOOSE(CONTROL!$C$32, $C$9, 100%, $E$9)</f>
        <v>7.9541000000000004</v>
      </c>
      <c r="H505" s="11">
        <f>15.4056 * CHOOSE(CONTROL!$C$32, $C$9, 100%, $E$9)</f>
        <v>15.4056</v>
      </c>
      <c r="I505" s="11">
        <f>15.4092 * CHOOSE(CONTROL!$C$32, $C$9, 100%, $E$9)</f>
        <v>15.4092</v>
      </c>
      <c r="J505" s="11">
        <f>15.4056 * CHOOSE(CONTROL!$C$32, $C$9, 100%, $E$9)</f>
        <v>15.4056</v>
      </c>
      <c r="K505" s="11">
        <f>15.4092 * CHOOSE(CONTROL!$C$32, $C$9, 100%, $E$9)</f>
        <v>15.4092</v>
      </c>
      <c r="L505" s="11">
        <f>7.9504 * CHOOSE(CONTROL!$C$32, $C$9, 100%, $E$9)</f>
        <v>7.9504000000000001</v>
      </c>
      <c r="M505" s="11">
        <f>7.9541 * CHOOSE(CONTROL!$C$32, $C$9, 100%, $E$9)</f>
        <v>7.9541000000000004</v>
      </c>
      <c r="N505" s="11">
        <f>7.9504 * CHOOSE(CONTROL!$C$32, $C$9, 100%, $E$9)</f>
        <v>7.9504000000000001</v>
      </c>
      <c r="O505" s="11">
        <f>7.9541 * CHOOSE(CONTROL!$C$32, $C$9, 100%, $E$9)</f>
        <v>7.9541000000000004</v>
      </c>
    </row>
    <row r="506" spans="1:15" ht="15" x14ac:dyDescent="0.2">
      <c r="A506" s="13">
        <v>56250</v>
      </c>
      <c r="B506" s="9">
        <f>7.2176 * CHOOSE(CONTROL!$C$32, $C$9, 100%, $E$9)</f>
        <v>7.2176</v>
      </c>
      <c r="C506" s="9">
        <f>7.2176 * CHOOSE(CONTROL!$C$32, $C$9, 100%, $E$9)</f>
        <v>7.2176</v>
      </c>
      <c r="D506" s="9">
        <f>7.2187 * CHOOSE(CONTROL!$C$32, $C$9, 100%, $E$9)</f>
        <v>7.2187000000000001</v>
      </c>
      <c r="E506" s="11">
        <f>8.0845 * CHOOSE(CONTROL!$C$32, $C$9, 100%, $E$9)</f>
        <v>8.0845000000000002</v>
      </c>
      <c r="F506" s="11">
        <f>8.0845 * CHOOSE(CONTROL!$C$32, $C$9, 100%, $E$9)</f>
        <v>8.0845000000000002</v>
      </c>
      <c r="G506" s="11">
        <f>8.0881 * CHOOSE(CONTROL!$C$32, $C$9, 100%, $E$9)</f>
        <v>8.0881000000000007</v>
      </c>
      <c r="H506" s="11">
        <f>15.4377 * CHOOSE(CONTROL!$C$32, $C$9, 100%, $E$9)</f>
        <v>15.4377</v>
      </c>
      <c r="I506" s="11">
        <f>15.4413 * CHOOSE(CONTROL!$C$32, $C$9, 100%, $E$9)</f>
        <v>15.4413</v>
      </c>
      <c r="J506" s="11">
        <f>15.4377 * CHOOSE(CONTROL!$C$32, $C$9, 100%, $E$9)</f>
        <v>15.4377</v>
      </c>
      <c r="K506" s="11">
        <f>15.4413 * CHOOSE(CONTROL!$C$32, $C$9, 100%, $E$9)</f>
        <v>15.4413</v>
      </c>
      <c r="L506" s="11">
        <f>8.0845 * CHOOSE(CONTROL!$C$32, $C$9, 100%, $E$9)</f>
        <v>8.0845000000000002</v>
      </c>
      <c r="M506" s="11">
        <f>8.0881 * CHOOSE(CONTROL!$C$32, $C$9, 100%, $E$9)</f>
        <v>8.0881000000000007</v>
      </c>
      <c r="N506" s="11">
        <f>8.0845 * CHOOSE(CONTROL!$C$32, $C$9, 100%, $E$9)</f>
        <v>8.0845000000000002</v>
      </c>
      <c r="O506" s="11">
        <f>8.0881 * CHOOSE(CONTROL!$C$32, $C$9, 100%, $E$9)</f>
        <v>8.0881000000000007</v>
      </c>
    </row>
    <row r="507" spans="1:15" ht="15" x14ac:dyDescent="0.2">
      <c r="A507" s="13">
        <v>56281</v>
      </c>
      <c r="B507" s="9">
        <f>7.2146 * CHOOSE(CONTROL!$C$32, $C$9, 100%, $E$9)</f>
        <v>7.2145999999999999</v>
      </c>
      <c r="C507" s="9">
        <f>7.2146 * CHOOSE(CONTROL!$C$32, $C$9, 100%, $E$9)</f>
        <v>7.2145999999999999</v>
      </c>
      <c r="D507" s="9">
        <f>7.2156 * CHOOSE(CONTROL!$C$32, $C$9, 100%, $E$9)</f>
        <v>7.2156000000000002</v>
      </c>
      <c r="E507" s="11">
        <f>7.9024 * CHOOSE(CONTROL!$C$32, $C$9, 100%, $E$9)</f>
        <v>7.9024000000000001</v>
      </c>
      <c r="F507" s="11">
        <f>7.9024 * CHOOSE(CONTROL!$C$32, $C$9, 100%, $E$9)</f>
        <v>7.9024000000000001</v>
      </c>
      <c r="G507" s="11">
        <f>7.906 * CHOOSE(CONTROL!$C$32, $C$9, 100%, $E$9)</f>
        <v>7.9059999999999997</v>
      </c>
      <c r="H507" s="11">
        <f>15.4699 * CHOOSE(CONTROL!$C$32, $C$9, 100%, $E$9)</f>
        <v>15.469900000000001</v>
      </c>
      <c r="I507" s="11">
        <f>15.4735 * CHOOSE(CONTROL!$C$32, $C$9, 100%, $E$9)</f>
        <v>15.4735</v>
      </c>
      <c r="J507" s="11">
        <f>15.4699 * CHOOSE(CONTROL!$C$32, $C$9, 100%, $E$9)</f>
        <v>15.469900000000001</v>
      </c>
      <c r="K507" s="11">
        <f>15.4735 * CHOOSE(CONTROL!$C$32, $C$9, 100%, $E$9)</f>
        <v>15.4735</v>
      </c>
      <c r="L507" s="11">
        <f>7.9024 * CHOOSE(CONTROL!$C$32, $C$9, 100%, $E$9)</f>
        <v>7.9024000000000001</v>
      </c>
      <c r="M507" s="11">
        <f>7.906 * CHOOSE(CONTROL!$C$32, $C$9, 100%, $E$9)</f>
        <v>7.9059999999999997</v>
      </c>
      <c r="N507" s="11">
        <f>7.9024 * CHOOSE(CONTROL!$C$32, $C$9, 100%, $E$9)</f>
        <v>7.9024000000000001</v>
      </c>
      <c r="O507" s="11">
        <f>7.906 * CHOOSE(CONTROL!$C$32, $C$9, 100%, $E$9)</f>
        <v>7.9059999999999997</v>
      </c>
    </row>
    <row r="508" spans="1:15" ht="15" x14ac:dyDescent="0.2">
      <c r="A508" s="13">
        <v>56309</v>
      </c>
      <c r="B508" s="9">
        <f>7.2115 * CHOOSE(CONTROL!$C$32, $C$9, 100%, $E$9)</f>
        <v>7.2115</v>
      </c>
      <c r="C508" s="9">
        <f>7.2115 * CHOOSE(CONTROL!$C$32, $C$9, 100%, $E$9)</f>
        <v>7.2115</v>
      </c>
      <c r="D508" s="9">
        <f>7.2126 * CHOOSE(CONTROL!$C$32, $C$9, 100%, $E$9)</f>
        <v>7.2126000000000001</v>
      </c>
      <c r="E508" s="11">
        <f>8.0422 * CHOOSE(CONTROL!$C$32, $C$9, 100%, $E$9)</f>
        <v>8.0421999999999993</v>
      </c>
      <c r="F508" s="11">
        <f>8.0422 * CHOOSE(CONTROL!$C$32, $C$9, 100%, $E$9)</f>
        <v>8.0421999999999993</v>
      </c>
      <c r="G508" s="11">
        <f>8.0458 * CHOOSE(CONTROL!$C$32, $C$9, 100%, $E$9)</f>
        <v>8.0457999999999998</v>
      </c>
      <c r="H508" s="11">
        <f>15.5021 * CHOOSE(CONTROL!$C$32, $C$9, 100%, $E$9)</f>
        <v>15.5021</v>
      </c>
      <c r="I508" s="11">
        <f>15.5057 * CHOOSE(CONTROL!$C$32, $C$9, 100%, $E$9)</f>
        <v>15.505699999999999</v>
      </c>
      <c r="J508" s="11">
        <f>15.5021 * CHOOSE(CONTROL!$C$32, $C$9, 100%, $E$9)</f>
        <v>15.5021</v>
      </c>
      <c r="K508" s="11">
        <f>15.5057 * CHOOSE(CONTROL!$C$32, $C$9, 100%, $E$9)</f>
        <v>15.505699999999999</v>
      </c>
      <c r="L508" s="11">
        <f>8.0422 * CHOOSE(CONTROL!$C$32, $C$9, 100%, $E$9)</f>
        <v>8.0421999999999993</v>
      </c>
      <c r="M508" s="11">
        <f>8.0458 * CHOOSE(CONTROL!$C$32, $C$9, 100%, $E$9)</f>
        <v>8.0457999999999998</v>
      </c>
      <c r="N508" s="11">
        <f>8.0422 * CHOOSE(CONTROL!$C$32, $C$9, 100%, $E$9)</f>
        <v>8.0421999999999993</v>
      </c>
      <c r="O508" s="11">
        <f>8.0458 * CHOOSE(CONTROL!$C$32, $C$9, 100%, $E$9)</f>
        <v>8.0457999999999998</v>
      </c>
    </row>
    <row r="509" spans="1:15" ht="15" x14ac:dyDescent="0.2">
      <c r="A509" s="13">
        <v>56340</v>
      </c>
      <c r="B509" s="9">
        <f>7.2123 * CHOOSE(CONTROL!$C$32, $C$9, 100%, $E$9)</f>
        <v>7.2122999999999999</v>
      </c>
      <c r="C509" s="9">
        <f>7.2123 * CHOOSE(CONTROL!$C$32, $C$9, 100%, $E$9)</f>
        <v>7.2122999999999999</v>
      </c>
      <c r="D509" s="9">
        <f>7.2134 * CHOOSE(CONTROL!$C$32, $C$9, 100%, $E$9)</f>
        <v>7.2134</v>
      </c>
      <c r="E509" s="11">
        <f>8.1903 * CHOOSE(CONTROL!$C$32, $C$9, 100%, $E$9)</f>
        <v>8.1903000000000006</v>
      </c>
      <c r="F509" s="11">
        <f>8.1903 * CHOOSE(CONTROL!$C$32, $C$9, 100%, $E$9)</f>
        <v>8.1903000000000006</v>
      </c>
      <c r="G509" s="11">
        <f>8.1939 * CHOOSE(CONTROL!$C$32, $C$9, 100%, $E$9)</f>
        <v>8.1938999999999993</v>
      </c>
      <c r="H509" s="11">
        <f>15.5344 * CHOOSE(CONTROL!$C$32, $C$9, 100%, $E$9)</f>
        <v>15.5344</v>
      </c>
      <c r="I509" s="11">
        <f>15.538 * CHOOSE(CONTROL!$C$32, $C$9, 100%, $E$9)</f>
        <v>15.538</v>
      </c>
      <c r="J509" s="11">
        <f>15.5344 * CHOOSE(CONTROL!$C$32, $C$9, 100%, $E$9)</f>
        <v>15.5344</v>
      </c>
      <c r="K509" s="11">
        <f>15.538 * CHOOSE(CONTROL!$C$32, $C$9, 100%, $E$9)</f>
        <v>15.538</v>
      </c>
      <c r="L509" s="11">
        <f>8.1903 * CHOOSE(CONTROL!$C$32, $C$9, 100%, $E$9)</f>
        <v>8.1903000000000006</v>
      </c>
      <c r="M509" s="11">
        <f>8.1939 * CHOOSE(CONTROL!$C$32, $C$9, 100%, $E$9)</f>
        <v>8.1938999999999993</v>
      </c>
      <c r="N509" s="11">
        <f>8.1903 * CHOOSE(CONTROL!$C$32, $C$9, 100%, $E$9)</f>
        <v>8.1903000000000006</v>
      </c>
      <c r="O509" s="11">
        <f>8.1939 * CHOOSE(CONTROL!$C$32, $C$9, 100%, $E$9)</f>
        <v>8.1938999999999993</v>
      </c>
    </row>
    <row r="510" spans="1:15" ht="15" x14ac:dyDescent="0.2">
      <c r="A510" s="13">
        <v>56370</v>
      </c>
      <c r="B510" s="9">
        <f>7.2123 * CHOOSE(CONTROL!$C$32, $C$9, 100%, $E$9)</f>
        <v>7.2122999999999999</v>
      </c>
      <c r="C510" s="9">
        <f>7.2123 * CHOOSE(CONTROL!$C$32, $C$9, 100%, $E$9)</f>
        <v>7.2122999999999999</v>
      </c>
      <c r="D510" s="9">
        <f>7.2139 * CHOOSE(CONTROL!$C$32, $C$9, 100%, $E$9)</f>
        <v>7.2138999999999998</v>
      </c>
      <c r="E510" s="11">
        <f>8.2474 * CHOOSE(CONTROL!$C$32, $C$9, 100%, $E$9)</f>
        <v>8.2474000000000007</v>
      </c>
      <c r="F510" s="11">
        <f>8.2474 * CHOOSE(CONTROL!$C$32, $C$9, 100%, $E$9)</f>
        <v>8.2474000000000007</v>
      </c>
      <c r="G510" s="11">
        <f>8.2527 * CHOOSE(CONTROL!$C$32, $C$9, 100%, $E$9)</f>
        <v>8.2527000000000008</v>
      </c>
      <c r="H510" s="11">
        <f>15.5668 * CHOOSE(CONTROL!$C$32, $C$9, 100%, $E$9)</f>
        <v>15.566800000000001</v>
      </c>
      <c r="I510" s="11">
        <f>15.5721 * CHOOSE(CONTROL!$C$32, $C$9, 100%, $E$9)</f>
        <v>15.572100000000001</v>
      </c>
      <c r="J510" s="11">
        <f>15.5668 * CHOOSE(CONTROL!$C$32, $C$9, 100%, $E$9)</f>
        <v>15.566800000000001</v>
      </c>
      <c r="K510" s="11">
        <f>15.5721 * CHOOSE(CONTROL!$C$32, $C$9, 100%, $E$9)</f>
        <v>15.572100000000001</v>
      </c>
      <c r="L510" s="11">
        <f>8.2474 * CHOOSE(CONTROL!$C$32, $C$9, 100%, $E$9)</f>
        <v>8.2474000000000007</v>
      </c>
      <c r="M510" s="11">
        <f>8.2527 * CHOOSE(CONTROL!$C$32, $C$9, 100%, $E$9)</f>
        <v>8.2527000000000008</v>
      </c>
      <c r="N510" s="11">
        <f>8.2474 * CHOOSE(CONTROL!$C$32, $C$9, 100%, $E$9)</f>
        <v>8.2474000000000007</v>
      </c>
      <c r="O510" s="11">
        <f>8.2527 * CHOOSE(CONTROL!$C$32, $C$9, 100%, $E$9)</f>
        <v>8.2527000000000008</v>
      </c>
    </row>
    <row r="511" spans="1:15" ht="15" x14ac:dyDescent="0.2">
      <c r="A511" s="13">
        <v>56401</v>
      </c>
      <c r="B511" s="9">
        <f>7.2184 * CHOOSE(CONTROL!$C$32, $C$9, 100%, $E$9)</f>
        <v>7.2183999999999999</v>
      </c>
      <c r="C511" s="9">
        <f>7.2184 * CHOOSE(CONTROL!$C$32, $C$9, 100%, $E$9)</f>
        <v>7.2183999999999999</v>
      </c>
      <c r="D511" s="9">
        <f>7.2199 * CHOOSE(CONTROL!$C$32, $C$9, 100%, $E$9)</f>
        <v>7.2199</v>
      </c>
      <c r="E511" s="11">
        <f>8.1945 * CHOOSE(CONTROL!$C$32, $C$9, 100%, $E$9)</f>
        <v>8.1944999999999997</v>
      </c>
      <c r="F511" s="11">
        <f>8.1945 * CHOOSE(CONTROL!$C$32, $C$9, 100%, $E$9)</f>
        <v>8.1944999999999997</v>
      </c>
      <c r="G511" s="11">
        <f>8.1998 * CHOOSE(CONTROL!$C$32, $C$9, 100%, $E$9)</f>
        <v>8.1997999999999998</v>
      </c>
      <c r="H511" s="11">
        <f>15.5992 * CHOOSE(CONTROL!$C$32, $C$9, 100%, $E$9)</f>
        <v>15.5992</v>
      </c>
      <c r="I511" s="11">
        <f>15.6045 * CHOOSE(CONTROL!$C$32, $C$9, 100%, $E$9)</f>
        <v>15.6045</v>
      </c>
      <c r="J511" s="11">
        <f>15.5992 * CHOOSE(CONTROL!$C$32, $C$9, 100%, $E$9)</f>
        <v>15.5992</v>
      </c>
      <c r="K511" s="11">
        <f>15.6045 * CHOOSE(CONTROL!$C$32, $C$9, 100%, $E$9)</f>
        <v>15.6045</v>
      </c>
      <c r="L511" s="11">
        <f>8.1945 * CHOOSE(CONTROL!$C$32, $C$9, 100%, $E$9)</f>
        <v>8.1944999999999997</v>
      </c>
      <c r="M511" s="11">
        <f>8.1998 * CHOOSE(CONTROL!$C$32, $C$9, 100%, $E$9)</f>
        <v>8.1997999999999998</v>
      </c>
      <c r="N511" s="11">
        <f>8.1945 * CHOOSE(CONTROL!$C$32, $C$9, 100%, $E$9)</f>
        <v>8.1944999999999997</v>
      </c>
      <c r="O511" s="11">
        <f>8.1998 * CHOOSE(CONTROL!$C$32, $C$9, 100%, $E$9)</f>
        <v>8.1997999999999998</v>
      </c>
    </row>
    <row r="512" spans="1:15" ht="15" x14ac:dyDescent="0.2">
      <c r="A512" s="13">
        <v>56431</v>
      </c>
      <c r="B512" s="9">
        <f>7.3122 * CHOOSE(CONTROL!$C$32, $C$9, 100%, $E$9)</f>
        <v>7.3121999999999998</v>
      </c>
      <c r="C512" s="9">
        <f>7.3122 * CHOOSE(CONTROL!$C$32, $C$9, 100%, $E$9)</f>
        <v>7.3121999999999998</v>
      </c>
      <c r="D512" s="9">
        <f>7.3138 * CHOOSE(CONTROL!$C$32, $C$9, 100%, $E$9)</f>
        <v>7.3137999999999996</v>
      </c>
      <c r="E512" s="11">
        <f>8.3075 * CHOOSE(CONTROL!$C$32, $C$9, 100%, $E$9)</f>
        <v>8.3074999999999992</v>
      </c>
      <c r="F512" s="11">
        <f>8.3075 * CHOOSE(CONTROL!$C$32, $C$9, 100%, $E$9)</f>
        <v>8.3074999999999992</v>
      </c>
      <c r="G512" s="11">
        <f>8.3128 * CHOOSE(CONTROL!$C$32, $C$9, 100%, $E$9)</f>
        <v>8.3127999999999993</v>
      </c>
      <c r="H512" s="11">
        <f>15.6317 * CHOOSE(CONTROL!$C$32, $C$9, 100%, $E$9)</f>
        <v>15.6317</v>
      </c>
      <c r="I512" s="11">
        <f>15.637 * CHOOSE(CONTROL!$C$32, $C$9, 100%, $E$9)</f>
        <v>15.637</v>
      </c>
      <c r="J512" s="11">
        <f>15.6317 * CHOOSE(CONTROL!$C$32, $C$9, 100%, $E$9)</f>
        <v>15.6317</v>
      </c>
      <c r="K512" s="11">
        <f>15.637 * CHOOSE(CONTROL!$C$32, $C$9, 100%, $E$9)</f>
        <v>15.637</v>
      </c>
      <c r="L512" s="11">
        <f>8.3075 * CHOOSE(CONTROL!$C$32, $C$9, 100%, $E$9)</f>
        <v>8.3074999999999992</v>
      </c>
      <c r="M512" s="11">
        <f>8.3128 * CHOOSE(CONTROL!$C$32, $C$9, 100%, $E$9)</f>
        <v>8.3127999999999993</v>
      </c>
      <c r="N512" s="11">
        <f>8.3075 * CHOOSE(CONTROL!$C$32, $C$9, 100%, $E$9)</f>
        <v>8.3074999999999992</v>
      </c>
      <c r="O512" s="11">
        <f>8.3128 * CHOOSE(CONTROL!$C$32, $C$9, 100%, $E$9)</f>
        <v>8.3127999999999993</v>
      </c>
    </row>
    <row r="513" spans="1:15" ht="15" x14ac:dyDescent="0.2">
      <c r="A513" s="13">
        <v>56462</v>
      </c>
      <c r="B513" s="9">
        <f>7.3189 * CHOOSE(CONTROL!$C$32, $C$9, 100%, $E$9)</f>
        <v>7.3189000000000002</v>
      </c>
      <c r="C513" s="9">
        <f>7.3189 * CHOOSE(CONTROL!$C$32, $C$9, 100%, $E$9)</f>
        <v>7.3189000000000002</v>
      </c>
      <c r="D513" s="9">
        <f>7.3205 * CHOOSE(CONTROL!$C$32, $C$9, 100%, $E$9)</f>
        <v>7.3205</v>
      </c>
      <c r="E513" s="11">
        <f>8.1407 * CHOOSE(CONTROL!$C$32, $C$9, 100%, $E$9)</f>
        <v>8.1407000000000007</v>
      </c>
      <c r="F513" s="11">
        <f>8.1407 * CHOOSE(CONTROL!$C$32, $C$9, 100%, $E$9)</f>
        <v>8.1407000000000007</v>
      </c>
      <c r="G513" s="11">
        <f>8.146 * CHOOSE(CONTROL!$C$32, $C$9, 100%, $E$9)</f>
        <v>8.1460000000000008</v>
      </c>
      <c r="H513" s="11">
        <f>15.6643 * CHOOSE(CONTROL!$C$32, $C$9, 100%, $E$9)</f>
        <v>15.664300000000001</v>
      </c>
      <c r="I513" s="11">
        <f>15.6696 * CHOOSE(CONTROL!$C$32, $C$9, 100%, $E$9)</f>
        <v>15.669600000000001</v>
      </c>
      <c r="J513" s="11">
        <f>15.6643 * CHOOSE(CONTROL!$C$32, $C$9, 100%, $E$9)</f>
        <v>15.664300000000001</v>
      </c>
      <c r="K513" s="11">
        <f>15.6696 * CHOOSE(CONTROL!$C$32, $C$9, 100%, $E$9)</f>
        <v>15.669600000000001</v>
      </c>
      <c r="L513" s="11">
        <f>8.1407 * CHOOSE(CONTROL!$C$32, $C$9, 100%, $E$9)</f>
        <v>8.1407000000000007</v>
      </c>
      <c r="M513" s="11">
        <f>8.146 * CHOOSE(CONTROL!$C$32, $C$9, 100%, $E$9)</f>
        <v>8.1460000000000008</v>
      </c>
      <c r="N513" s="11">
        <f>8.1407 * CHOOSE(CONTROL!$C$32, $C$9, 100%, $E$9)</f>
        <v>8.1407000000000007</v>
      </c>
      <c r="O513" s="11">
        <f>8.146 * CHOOSE(CONTROL!$C$32, $C$9, 100%, $E$9)</f>
        <v>8.1460000000000008</v>
      </c>
    </row>
    <row r="514" spans="1:15" ht="15" x14ac:dyDescent="0.2">
      <c r="A514" s="13">
        <v>56493</v>
      </c>
      <c r="B514" s="9">
        <f>7.3159 * CHOOSE(CONTROL!$C$32, $C$9, 100%, $E$9)</f>
        <v>7.3159000000000001</v>
      </c>
      <c r="C514" s="9">
        <f>7.3159 * CHOOSE(CONTROL!$C$32, $C$9, 100%, $E$9)</f>
        <v>7.3159000000000001</v>
      </c>
      <c r="D514" s="9">
        <f>7.3174 * CHOOSE(CONTROL!$C$32, $C$9, 100%, $E$9)</f>
        <v>7.3174000000000001</v>
      </c>
      <c r="E514" s="11">
        <f>8.1196 * CHOOSE(CONTROL!$C$32, $C$9, 100%, $E$9)</f>
        <v>8.1196000000000002</v>
      </c>
      <c r="F514" s="11">
        <f>8.1196 * CHOOSE(CONTROL!$C$32, $C$9, 100%, $E$9)</f>
        <v>8.1196000000000002</v>
      </c>
      <c r="G514" s="11">
        <f>8.1249 * CHOOSE(CONTROL!$C$32, $C$9, 100%, $E$9)</f>
        <v>8.1249000000000002</v>
      </c>
      <c r="H514" s="11">
        <f>15.6969 * CHOOSE(CONTROL!$C$32, $C$9, 100%, $E$9)</f>
        <v>15.696899999999999</v>
      </c>
      <c r="I514" s="11">
        <f>15.7022 * CHOOSE(CONTROL!$C$32, $C$9, 100%, $E$9)</f>
        <v>15.702199999999999</v>
      </c>
      <c r="J514" s="11">
        <f>15.6969 * CHOOSE(CONTROL!$C$32, $C$9, 100%, $E$9)</f>
        <v>15.696899999999999</v>
      </c>
      <c r="K514" s="11">
        <f>15.7022 * CHOOSE(CONTROL!$C$32, $C$9, 100%, $E$9)</f>
        <v>15.702199999999999</v>
      </c>
      <c r="L514" s="11">
        <f>8.1196 * CHOOSE(CONTROL!$C$32, $C$9, 100%, $E$9)</f>
        <v>8.1196000000000002</v>
      </c>
      <c r="M514" s="11">
        <f>8.1249 * CHOOSE(CONTROL!$C$32, $C$9, 100%, $E$9)</f>
        <v>8.1249000000000002</v>
      </c>
      <c r="N514" s="11">
        <f>8.1196 * CHOOSE(CONTROL!$C$32, $C$9, 100%, $E$9)</f>
        <v>8.1196000000000002</v>
      </c>
      <c r="O514" s="11">
        <f>8.1249 * CHOOSE(CONTROL!$C$32, $C$9, 100%, $E$9)</f>
        <v>8.1249000000000002</v>
      </c>
    </row>
    <row r="515" spans="1:15" ht="15" x14ac:dyDescent="0.2">
      <c r="A515" s="13">
        <v>56523</v>
      </c>
      <c r="B515" s="9">
        <f>7.3233 * CHOOSE(CONTROL!$C$32, $C$9, 100%, $E$9)</f>
        <v>7.3232999999999997</v>
      </c>
      <c r="C515" s="9">
        <f>7.3233 * CHOOSE(CONTROL!$C$32, $C$9, 100%, $E$9)</f>
        <v>7.3232999999999997</v>
      </c>
      <c r="D515" s="9">
        <f>7.3243 * CHOOSE(CONTROL!$C$32, $C$9, 100%, $E$9)</f>
        <v>7.3243</v>
      </c>
      <c r="E515" s="11">
        <f>8.1823 * CHOOSE(CONTROL!$C$32, $C$9, 100%, $E$9)</f>
        <v>8.1822999999999997</v>
      </c>
      <c r="F515" s="11">
        <f>8.1823 * CHOOSE(CONTROL!$C$32, $C$9, 100%, $E$9)</f>
        <v>8.1822999999999997</v>
      </c>
      <c r="G515" s="11">
        <f>8.186 * CHOOSE(CONTROL!$C$32, $C$9, 100%, $E$9)</f>
        <v>8.1859999999999999</v>
      </c>
      <c r="H515" s="11">
        <f>15.7296 * CHOOSE(CONTROL!$C$32, $C$9, 100%, $E$9)</f>
        <v>15.7296</v>
      </c>
      <c r="I515" s="11">
        <f>15.7332 * CHOOSE(CONTROL!$C$32, $C$9, 100%, $E$9)</f>
        <v>15.7332</v>
      </c>
      <c r="J515" s="11">
        <f>15.7296 * CHOOSE(CONTROL!$C$32, $C$9, 100%, $E$9)</f>
        <v>15.7296</v>
      </c>
      <c r="K515" s="11">
        <f>15.7332 * CHOOSE(CONTROL!$C$32, $C$9, 100%, $E$9)</f>
        <v>15.7332</v>
      </c>
      <c r="L515" s="11">
        <f>8.1823 * CHOOSE(CONTROL!$C$32, $C$9, 100%, $E$9)</f>
        <v>8.1822999999999997</v>
      </c>
      <c r="M515" s="11">
        <f>8.186 * CHOOSE(CONTROL!$C$32, $C$9, 100%, $E$9)</f>
        <v>8.1859999999999999</v>
      </c>
      <c r="N515" s="11">
        <f>8.1823 * CHOOSE(CONTROL!$C$32, $C$9, 100%, $E$9)</f>
        <v>8.1822999999999997</v>
      </c>
      <c r="O515" s="11">
        <f>8.186 * CHOOSE(CONTROL!$C$32, $C$9, 100%, $E$9)</f>
        <v>8.1859999999999999</v>
      </c>
    </row>
    <row r="516" spans="1:15" ht="15" x14ac:dyDescent="0.2">
      <c r="A516" s="13">
        <v>56554</v>
      </c>
      <c r="B516" s="9">
        <f>7.3263 * CHOOSE(CONTROL!$C$32, $C$9, 100%, $E$9)</f>
        <v>7.3262999999999998</v>
      </c>
      <c r="C516" s="9">
        <f>7.3263 * CHOOSE(CONTROL!$C$32, $C$9, 100%, $E$9)</f>
        <v>7.3262999999999998</v>
      </c>
      <c r="D516" s="9">
        <f>7.3274 * CHOOSE(CONTROL!$C$32, $C$9, 100%, $E$9)</f>
        <v>7.3273999999999999</v>
      </c>
      <c r="E516" s="11">
        <f>8.2226 * CHOOSE(CONTROL!$C$32, $C$9, 100%, $E$9)</f>
        <v>8.2225999999999999</v>
      </c>
      <c r="F516" s="11">
        <f>8.2226 * CHOOSE(CONTROL!$C$32, $C$9, 100%, $E$9)</f>
        <v>8.2225999999999999</v>
      </c>
      <c r="G516" s="11">
        <f>8.2262 * CHOOSE(CONTROL!$C$32, $C$9, 100%, $E$9)</f>
        <v>8.2262000000000004</v>
      </c>
      <c r="H516" s="11">
        <f>15.7624 * CHOOSE(CONTROL!$C$32, $C$9, 100%, $E$9)</f>
        <v>15.7624</v>
      </c>
      <c r="I516" s="11">
        <f>15.766 * CHOOSE(CONTROL!$C$32, $C$9, 100%, $E$9)</f>
        <v>15.766</v>
      </c>
      <c r="J516" s="11">
        <f>15.7624 * CHOOSE(CONTROL!$C$32, $C$9, 100%, $E$9)</f>
        <v>15.7624</v>
      </c>
      <c r="K516" s="11">
        <f>15.766 * CHOOSE(CONTROL!$C$32, $C$9, 100%, $E$9)</f>
        <v>15.766</v>
      </c>
      <c r="L516" s="11">
        <f>8.2226 * CHOOSE(CONTROL!$C$32, $C$9, 100%, $E$9)</f>
        <v>8.2225999999999999</v>
      </c>
      <c r="M516" s="11">
        <f>8.2262 * CHOOSE(CONTROL!$C$32, $C$9, 100%, $E$9)</f>
        <v>8.2262000000000004</v>
      </c>
      <c r="N516" s="11">
        <f>8.2226 * CHOOSE(CONTROL!$C$32, $C$9, 100%, $E$9)</f>
        <v>8.2225999999999999</v>
      </c>
      <c r="O516" s="11">
        <f>8.2262 * CHOOSE(CONTROL!$C$32, $C$9, 100%, $E$9)</f>
        <v>8.2262000000000004</v>
      </c>
    </row>
    <row r="517" spans="1:15" ht="15" x14ac:dyDescent="0.2">
      <c r="A517" s="13">
        <v>56584</v>
      </c>
      <c r="B517" s="9">
        <f>7.3263 * CHOOSE(CONTROL!$C$32, $C$9, 100%, $E$9)</f>
        <v>7.3262999999999998</v>
      </c>
      <c r="C517" s="9">
        <f>7.3263 * CHOOSE(CONTROL!$C$32, $C$9, 100%, $E$9)</f>
        <v>7.3262999999999998</v>
      </c>
      <c r="D517" s="9">
        <f>7.3274 * CHOOSE(CONTROL!$C$32, $C$9, 100%, $E$9)</f>
        <v>7.3273999999999999</v>
      </c>
      <c r="E517" s="11">
        <f>8.1273 * CHOOSE(CONTROL!$C$32, $C$9, 100%, $E$9)</f>
        <v>8.1273</v>
      </c>
      <c r="F517" s="11">
        <f>8.1273 * CHOOSE(CONTROL!$C$32, $C$9, 100%, $E$9)</f>
        <v>8.1273</v>
      </c>
      <c r="G517" s="11">
        <f>8.1309 * CHOOSE(CONTROL!$C$32, $C$9, 100%, $E$9)</f>
        <v>8.1309000000000005</v>
      </c>
      <c r="H517" s="11">
        <f>15.7952 * CHOOSE(CONTROL!$C$32, $C$9, 100%, $E$9)</f>
        <v>15.795199999999999</v>
      </c>
      <c r="I517" s="11">
        <f>15.7988 * CHOOSE(CONTROL!$C$32, $C$9, 100%, $E$9)</f>
        <v>15.7988</v>
      </c>
      <c r="J517" s="11">
        <f>15.7952 * CHOOSE(CONTROL!$C$32, $C$9, 100%, $E$9)</f>
        <v>15.795199999999999</v>
      </c>
      <c r="K517" s="11">
        <f>15.7988 * CHOOSE(CONTROL!$C$32, $C$9, 100%, $E$9)</f>
        <v>15.7988</v>
      </c>
      <c r="L517" s="11">
        <f>8.1273 * CHOOSE(CONTROL!$C$32, $C$9, 100%, $E$9)</f>
        <v>8.1273</v>
      </c>
      <c r="M517" s="11">
        <f>8.1309 * CHOOSE(CONTROL!$C$32, $C$9, 100%, $E$9)</f>
        <v>8.1309000000000005</v>
      </c>
      <c r="N517" s="11">
        <f>8.1273 * CHOOSE(CONTROL!$C$32, $C$9, 100%, $E$9)</f>
        <v>8.1273</v>
      </c>
      <c r="O517" s="11">
        <f>8.1309 * CHOOSE(CONTROL!$C$32, $C$9, 100%, $E$9)</f>
        <v>8.1309000000000005</v>
      </c>
    </row>
    <row r="518" spans="1:15" ht="15" x14ac:dyDescent="0.2">
      <c r="A518" s="13">
        <v>56615</v>
      </c>
      <c r="B518" s="9">
        <f>7.3813 * CHOOSE(CONTROL!$C$32, $C$9, 100%, $E$9)</f>
        <v>7.3813000000000004</v>
      </c>
      <c r="C518" s="9">
        <f>7.3813 * CHOOSE(CONTROL!$C$32, $C$9, 100%, $E$9)</f>
        <v>7.3813000000000004</v>
      </c>
      <c r="D518" s="9">
        <f>7.3824 * CHOOSE(CONTROL!$C$32, $C$9, 100%, $E$9)</f>
        <v>7.3823999999999996</v>
      </c>
      <c r="E518" s="11">
        <f>8.2653 * CHOOSE(CONTROL!$C$32, $C$9, 100%, $E$9)</f>
        <v>8.2652999999999999</v>
      </c>
      <c r="F518" s="11">
        <f>8.2653 * CHOOSE(CONTROL!$C$32, $C$9, 100%, $E$9)</f>
        <v>8.2652999999999999</v>
      </c>
      <c r="G518" s="11">
        <f>8.2689 * CHOOSE(CONTROL!$C$32, $C$9, 100%, $E$9)</f>
        <v>8.2689000000000004</v>
      </c>
      <c r="H518" s="11">
        <f>15.8281 * CHOOSE(CONTROL!$C$32, $C$9, 100%, $E$9)</f>
        <v>15.828099999999999</v>
      </c>
      <c r="I518" s="11">
        <f>15.8317 * CHOOSE(CONTROL!$C$32, $C$9, 100%, $E$9)</f>
        <v>15.8317</v>
      </c>
      <c r="J518" s="11">
        <f>15.8281 * CHOOSE(CONTROL!$C$32, $C$9, 100%, $E$9)</f>
        <v>15.828099999999999</v>
      </c>
      <c r="K518" s="11">
        <f>15.8317 * CHOOSE(CONTROL!$C$32, $C$9, 100%, $E$9)</f>
        <v>15.8317</v>
      </c>
      <c r="L518" s="11">
        <f>8.2653 * CHOOSE(CONTROL!$C$32, $C$9, 100%, $E$9)</f>
        <v>8.2652999999999999</v>
      </c>
      <c r="M518" s="11">
        <f>8.2689 * CHOOSE(CONTROL!$C$32, $C$9, 100%, $E$9)</f>
        <v>8.2689000000000004</v>
      </c>
      <c r="N518" s="11">
        <f>8.2653 * CHOOSE(CONTROL!$C$32, $C$9, 100%, $E$9)</f>
        <v>8.2652999999999999</v>
      </c>
      <c r="O518" s="11">
        <f>8.2689 * CHOOSE(CONTROL!$C$32, $C$9, 100%, $E$9)</f>
        <v>8.2689000000000004</v>
      </c>
    </row>
    <row r="519" spans="1:15" ht="15" x14ac:dyDescent="0.2">
      <c r="A519" s="13">
        <v>56646</v>
      </c>
      <c r="B519" s="9">
        <f>7.3783 * CHOOSE(CONTROL!$C$32, $C$9, 100%, $E$9)</f>
        <v>7.3783000000000003</v>
      </c>
      <c r="C519" s="9">
        <f>7.3783 * CHOOSE(CONTROL!$C$32, $C$9, 100%, $E$9)</f>
        <v>7.3783000000000003</v>
      </c>
      <c r="D519" s="9">
        <f>7.3794 * CHOOSE(CONTROL!$C$32, $C$9, 100%, $E$9)</f>
        <v>7.3794000000000004</v>
      </c>
      <c r="E519" s="11">
        <f>8.0773 * CHOOSE(CONTROL!$C$32, $C$9, 100%, $E$9)</f>
        <v>8.0772999999999993</v>
      </c>
      <c r="F519" s="11">
        <f>8.0773 * CHOOSE(CONTROL!$C$32, $C$9, 100%, $E$9)</f>
        <v>8.0772999999999993</v>
      </c>
      <c r="G519" s="11">
        <f>8.0809 * CHOOSE(CONTROL!$C$32, $C$9, 100%, $E$9)</f>
        <v>8.0808999999999997</v>
      </c>
      <c r="H519" s="11">
        <f>15.8611 * CHOOSE(CONTROL!$C$32, $C$9, 100%, $E$9)</f>
        <v>15.8611</v>
      </c>
      <c r="I519" s="11">
        <f>15.8647 * CHOOSE(CONTROL!$C$32, $C$9, 100%, $E$9)</f>
        <v>15.864699999999999</v>
      </c>
      <c r="J519" s="11">
        <f>15.8611 * CHOOSE(CONTROL!$C$32, $C$9, 100%, $E$9)</f>
        <v>15.8611</v>
      </c>
      <c r="K519" s="11">
        <f>15.8647 * CHOOSE(CONTROL!$C$32, $C$9, 100%, $E$9)</f>
        <v>15.864699999999999</v>
      </c>
      <c r="L519" s="11">
        <f>8.0773 * CHOOSE(CONTROL!$C$32, $C$9, 100%, $E$9)</f>
        <v>8.0772999999999993</v>
      </c>
      <c r="M519" s="11">
        <f>8.0809 * CHOOSE(CONTROL!$C$32, $C$9, 100%, $E$9)</f>
        <v>8.0808999999999997</v>
      </c>
      <c r="N519" s="11">
        <f>8.0773 * CHOOSE(CONTROL!$C$32, $C$9, 100%, $E$9)</f>
        <v>8.0772999999999993</v>
      </c>
      <c r="O519" s="11">
        <f>8.0809 * CHOOSE(CONTROL!$C$32, $C$9, 100%, $E$9)</f>
        <v>8.0808999999999997</v>
      </c>
    </row>
    <row r="520" spans="1:15" ht="15" x14ac:dyDescent="0.2">
      <c r="A520" s="13">
        <v>56674</v>
      </c>
      <c r="B520" s="9">
        <f>7.3752 * CHOOSE(CONTROL!$C$32, $C$9, 100%, $E$9)</f>
        <v>7.3752000000000004</v>
      </c>
      <c r="C520" s="9">
        <f>7.3752 * CHOOSE(CONTROL!$C$32, $C$9, 100%, $E$9)</f>
        <v>7.3752000000000004</v>
      </c>
      <c r="D520" s="9">
        <f>7.3763 * CHOOSE(CONTROL!$C$32, $C$9, 100%, $E$9)</f>
        <v>7.3762999999999996</v>
      </c>
      <c r="E520" s="11">
        <f>8.2217 * CHOOSE(CONTROL!$C$32, $C$9, 100%, $E$9)</f>
        <v>8.2217000000000002</v>
      </c>
      <c r="F520" s="11">
        <f>8.2217 * CHOOSE(CONTROL!$C$32, $C$9, 100%, $E$9)</f>
        <v>8.2217000000000002</v>
      </c>
      <c r="G520" s="11">
        <f>8.2253 * CHOOSE(CONTROL!$C$32, $C$9, 100%, $E$9)</f>
        <v>8.2253000000000007</v>
      </c>
      <c r="H520" s="11">
        <f>15.8941 * CHOOSE(CONTROL!$C$32, $C$9, 100%, $E$9)</f>
        <v>15.8941</v>
      </c>
      <c r="I520" s="11">
        <f>15.8978 * CHOOSE(CONTROL!$C$32, $C$9, 100%, $E$9)</f>
        <v>15.8978</v>
      </c>
      <c r="J520" s="11">
        <f>15.8941 * CHOOSE(CONTROL!$C$32, $C$9, 100%, $E$9)</f>
        <v>15.8941</v>
      </c>
      <c r="K520" s="11">
        <f>15.8978 * CHOOSE(CONTROL!$C$32, $C$9, 100%, $E$9)</f>
        <v>15.8978</v>
      </c>
      <c r="L520" s="11">
        <f>8.2217 * CHOOSE(CONTROL!$C$32, $C$9, 100%, $E$9)</f>
        <v>8.2217000000000002</v>
      </c>
      <c r="M520" s="11">
        <f>8.2253 * CHOOSE(CONTROL!$C$32, $C$9, 100%, $E$9)</f>
        <v>8.2253000000000007</v>
      </c>
      <c r="N520" s="11">
        <f>8.2217 * CHOOSE(CONTROL!$C$32, $C$9, 100%, $E$9)</f>
        <v>8.2217000000000002</v>
      </c>
      <c r="O520" s="11">
        <f>8.2253 * CHOOSE(CONTROL!$C$32, $C$9, 100%, $E$9)</f>
        <v>8.2253000000000007</v>
      </c>
    </row>
    <row r="521" spans="1:15" ht="15" x14ac:dyDescent="0.2">
      <c r="A521" s="13">
        <v>56705</v>
      </c>
      <c r="B521" s="9">
        <f>7.3762 * CHOOSE(CONTROL!$C$32, $C$9, 100%, $E$9)</f>
        <v>7.3761999999999999</v>
      </c>
      <c r="C521" s="9">
        <f>7.3762 * CHOOSE(CONTROL!$C$32, $C$9, 100%, $E$9)</f>
        <v>7.3761999999999999</v>
      </c>
      <c r="D521" s="9">
        <f>7.3772 * CHOOSE(CONTROL!$C$32, $C$9, 100%, $E$9)</f>
        <v>7.3772000000000002</v>
      </c>
      <c r="E521" s="11">
        <f>8.3748 * CHOOSE(CONTROL!$C$32, $C$9, 100%, $E$9)</f>
        <v>8.3748000000000005</v>
      </c>
      <c r="F521" s="11">
        <f>8.3748 * CHOOSE(CONTROL!$C$32, $C$9, 100%, $E$9)</f>
        <v>8.3748000000000005</v>
      </c>
      <c r="G521" s="11">
        <f>8.3784 * CHOOSE(CONTROL!$C$32, $C$9, 100%, $E$9)</f>
        <v>8.3783999999999992</v>
      </c>
      <c r="H521" s="11">
        <f>15.9272 * CHOOSE(CONTROL!$C$32, $C$9, 100%, $E$9)</f>
        <v>15.927199999999999</v>
      </c>
      <c r="I521" s="11">
        <f>15.9309 * CHOOSE(CONTROL!$C$32, $C$9, 100%, $E$9)</f>
        <v>15.930899999999999</v>
      </c>
      <c r="J521" s="11">
        <f>15.9272 * CHOOSE(CONTROL!$C$32, $C$9, 100%, $E$9)</f>
        <v>15.927199999999999</v>
      </c>
      <c r="K521" s="11">
        <f>15.9309 * CHOOSE(CONTROL!$C$32, $C$9, 100%, $E$9)</f>
        <v>15.930899999999999</v>
      </c>
      <c r="L521" s="11">
        <f>8.3748 * CHOOSE(CONTROL!$C$32, $C$9, 100%, $E$9)</f>
        <v>8.3748000000000005</v>
      </c>
      <c r="M521" s="11">
        <f>8.3784 * CHOOSE(CONTROL!$C$32, $C$9, 100%, $E$9)</f>
        <v>8.3783999999999992</v>
      </c>
      <c r="N521" s="11">
        <f>8.3748 * CHOOSE(CONTROL!$C$32, $C$9, 100%, $E$9)</f>
        <v>8.3748000000000005</v>
      </c>
      <c r="O521" s="11">
        <f>8.3784 * CHOOSE(CONTROL!$C$32, $C$9, 100%, $E$9)</f>
        <v>8.3783999999999992</v>
      </c>
    </row>
    <row r="522" spans="1:15" ht="15" x14ac:dyDescent="0.2">
      <c r="A522" s="13">
        <v>56735</v>
      </c>
      <c r="B522" s="9">
        <f>7.3762 * CHOOSE(CONTROL!$C$32, $C$9, 100%, $E$9)</f>
        <v>7.3761999999999999</v>
      </c>
      <c r="C522" s="9">
        <f>7.3762 * CHOOSE(CONTROL!$C$32, $C$9, 100%, $E$9)</f>
        <v>7.3761999999999999</v>
      </c>
      <c r="D522" s="9">
        <f>7.3777 * CHOOSE(CONTROL!$C$32, $C$9, 100%, $E$9)</f>
        <v>7.3776999999999999</v>
      </c>
      <c r="E522" s="11">
        <f>8.4338 * CHOOSE(CONTROL!$C$32, $C$9, 100%, $E$9)</f>
        <v>8.4337999999999997</v>
      </c>
      <c r="F522" s="11">
        <f>8.4338 * CHOOSE(CONTROL!$C$32, $C$9, 100%, $E$9)</f>
        <v>8.4337999999999997</v>
      </c>
      <c r="G522" s="11">
        <f>8.4391 * CHOOSE(CONTROL!$C$32, $C$9, 100%, $E$9)</f>
        <v>8.4390999999999998</v>
      </c>
      <c r="H522" s="11">
        <f>15.9604 * CHOOSE(CONTROL!$C$32, $C$9, 100%, $E$9)</f>
        <v>15.9604</v>
      </c>
      <c r="I522" s="11">
        <f>15.9657 * CHOOSE(CONTROL!$C$32, $C$9, 100%, $E$9)</f>
        <v>15.9657</v>
      </c>
      <c r="J522" s="11">
        <f>15.9604 * CHOOSE(CONTROL!$C$32, $C$9, 100%, $E$9)</f>
        <v>15.9604</v>
      </c>
      <c r="K522" s="11">
        <f>15.9657 * CHOOSE(CONTROL!$C$32, $C$9, 100%, $E$9)</f>
        <v>15.9657</v>
      </c>
      <c r="L522" s="11">
        <f>8.4338 * CHOOSE(CONTROL!$C$32, $C$9, 100%, $E$9)</f>
        <v>8.4337999999999997</v>
      </c>
      <c r="M522" s="11">
        <f>8.4391 * CHOOSE(CONTROL!$C$32, $C$9, 100%, $E$9)</f>
        <v>8.4390999999999998</v>
      </c>
      <c r="N522" s="11">
        <f>8.4338 * CHOOSE(CONTROL!$C$32, $C$9, 100%, $E$9)</f>
        <v>8.4337999999999997</v>
      </c>
      <c r="O522" s="11">
        <f>8.4391 * CHOOSE(CONTROL!$C$32, $C$9, 100%, $E$9)</f>
        <v>8.4390999999999998</v>
      </c>
    </row>
    <row r="523" spans="1:15" ht="15" x14ac:dyDescent="0.2">
      <c r="A523" s="13">
        <v>56766</v>
      </c>
      <c r="B523" s="9">
        <f>7.3822 * CHOOSE(CONTROL!$C$32, $C$9, 100%, $E$9)</f>
        <v>7.3822000000000001</v>
      </c>
      <c r="C523" s="9">
        <f>7.3822 * CHOOSE(CONTROL!$C$32, $C$9, 100%, $E$9)</f>
        <v>7.3822000000000001</v>
      </c>
      <c r="D523" s="9">
        <f>7.3838 * CHOOSE(CONTROL!$C$32, $C$9, 100%, $E$9)</f>
        <v>7.3837999999999999</v>
      </c>
      <c r="E523" s="11">
        <f>8.379 * CHOOSE(CONTROL!$C$32, $C$9, 100%, $E$9)</f>
        <v>8.3789999999999996</v>
      </c>
      <c r="F523" s="11">
        <f>8.379 * CHOOSE(CONTROL!$C$32, $C$9, 100%, $E$9)</f>
        <v>8.3789999999999996</v>
      </c>
      <c r="G523" s="11">
        <f>8.3843 * CHOOSE(CONTROL!$C$32, $C$9, 100%, $E$9)</f>
        <v>8.3842999999999996</v>
      </c>
      <c r="H523" s="11">
        <f>15.9937 * CHOOSE(CONTROL!$C$32, $C$9, 100%, $E$9)</f>
        <v>15.9937</v>
      </c>
      <c r="I523" s="11">
        <f>15.999 * CHOOSE(CONTROL!$C$32, $C$9, 100%, $E$9)</f>
        <v>15.999000000000001</v>
      </c>
      <c r="J523" s="11">
        <f>15.9937 * CHOOSE(CONTROL!$C$32, $C$9, 100%, $E$9)</f>
        <v>15.9937</v>
      </c>
      <c r="K523" s="11">
        <f>15.999 * CHOOSE(CONTROL!$C$32, $C$9, 100%, $E$9)</f>
        <v>15.999000000000001</v>
      </c>
      <c r="L523" s="11">
        <f>8.379 * CHOOSE(CONTROL!$C$32, $C$9, 100%, $E$9)</f>
        <v>8.3789999999999996</v>
      </c>
      <c r="M523" s="11">
        <f>8.3843 * CHOOSE(CONTROL!$C$32, $C$9, 100%, $E$9)</f>
        <v>8.3842999999999996</v>
      </c>
      <c r="N523" s="11">
        <f>8.379 * CHOOSE(CONTROL!$C$32, $C$9, 100%, $E$9)</f>
        <v>8.3789999999999996</v>
      </c>
      <c r="O523" s="11">
        <f>8.3843 * CHOOSE(CONTROL!$C$32, $C$9, 100%, $E$9)</f>
        <v>8.3842999999999996</v>
      </c>
    </row>
    <row r="524" spans="1:15" ht="15" x14ac:dyDescent="0.2">
      <c r="A524" s="13">
        <v>56796</v>
      </c>
      <c r="B524" s="9">
        <f>7.4779 * CHOOSE(CONTROL!$C$32, $C$9, 100%, $E$9)</f>
        <v>7.4779</v>
      </c>
      <c r="C524" s="9">
        <f>7.4779 * CHOOSE(CONTROL!$C$32, $C$9, 100%, $E$9)</f>
        <v>7.4779</v>
      </c>
      <c r="D524" s="9">
        <f>7.4795 * CHOOSE(CONTROL!$C$32, $C$9, 100%, $E$9)</f>
        <v>7.4794999999999998</v>
      </c>
      <c r="E524" s="11">
        <f>8.4945 * CHOOSE(CONTROL!$C$32, $C$9, 100%, $E$9)</f>
        <v>8.4945000000000004</v>
      </c>
      <c r="F524" s="11">
        <f>8.4945 * CHOOSE(CONTROL!$C$32, $C$9, 100%, $E$9)</f>
        <v>8.4945000000000004</v>
      </c>
      <c r="G524" s="11">
        <f>8.4998 * CHOOSE(CONTROL!$C$32, $C$9, 100%, $E$9)</f>
        <v>8.4998000000000005</v>
      </c>
      <c r="H524" s="11">
        <f>16.027 * CHOOSE(CONTROL!$C$32, $C$9, 100%, $E$9)</f>
        <v>16.027000000000001</v>
      </c>
      <c r="I524" s="11">
        <f>16.0323 * CHOOSE(CONTROL!$C$32, $C$9, 100%, $E$9)</f>
        <v>16.032299999999999</v>
      </c>
      <c r="J524" s="11">
        <f>16.027 * CHOOSE(CONTROL!$C$32, $C$9, 100%, $E$9)</f>
        <v>16.027000000000001</v>
      </c>
      <c r="K524" s="11">
        <f>16.0323 * CHOOSE(CONTROL!$C$32, $C$9, 100%, $E$9)</f>
        <v>16.032299999999999</v>
      </c>
      <c r="L524" s="11">
        <f>8.4945 * CHOOSE(CONTROL!$C$32, $C$9, 100%, $E$9)</f>
        <v>8.4945000000000004</v>
      </c>
      <c r="M524" s="11">
        <f>8.4998 * CHOOSE(CONTROL!$C$32, $C$9, 100%, $E$9)</f>
        <v>8.4998000000000005</v>
      </c>
      <c r="N524" s="11">
        <f>8.4945 * CHOOSE(CONTROL!$C$32, $C$9, 100%, $E$9)</f>
        <v>8.4945000000000004</v>
      </c>
      <c r="O524" s="11">
        <f>8.4998 * CHOOSE(CONTROL!$C$32, $C$9, 100%, $E$9)</f>
        <v>8.4998000000000005</v>
      </c>
    </row>
    <row r="525" spans="1:15" ht="15" x14ac:dyDescent="0.2">
      <c r="A525" s="13">
        <v>56827</v>
      </c>
      <c r="B525" s="9">
        <f>7.4846 * CHOOSE(CONTROL!$C$32, $C$9, 100%, $E$9)</f>
        <v>7.4846000000000004</v>
      </c>
      <c r="C525" s="9">
        <f>7.4846 * CHOOSE(CONTROL!$C$32, $C$9, 100%, $E$9)</f>
        <v>7.4846000000000004</v>
      </c>
      <c r="D525" s="9">
        <f>7.4862 * CHOOSE(CONTROL!$C$32, $C$9, 100%, $E$9)</f>
        <v>7.4862000000000002</v>
      </c>
      <c r="E525" s="11">
        <f>8.3222 * CHOOSE(CONTROL!$C$32, $C$9, 100%, $E$9)</f>
        <v>8.3222000000000005</v>
      </c>
      <c r="F525" s="11">
        <f>8.3222 * CHOOSE(CONTROL!$C$32, $C$9, 100%, $E$9)</f>
        <v>8.3222000000000005</v>
      </c>
      <c r="G525" s="11">
        <f>8.3275 * CHOOSE(CONTROL!$C$32, $C$9, 100%, $E$9)</f>
        <v>8.3275000000000006</v>
      </c>
      <c r="H525" s="11">
        <f>16.0604 * CHOOSE(CONTROL!$C$32, $C$9, 100%, $E$9)</f>
        <v>16.060400000000001</v>
      </c>
      <c r="I525" s="11">
        <f>16.0657 * CHOOSE(CONTROL!$C$32, $C$9, 100%, $E$9)</f>
        <v>16.0657</v>
      </c>
      <c r="J525" s="11">
        <f>16.0604 * CHOOSE(CONTROL!$C$32, $C$9, 100%, $E$9)</f>
        <v>16.060400000000001</v>
      </c>
      <c r="K525" s="11">
        <f>16.0657 * CHOOSE(CONTROL!$C$32, $C$9, 100%, $E$9)</f>
        <v>16.0657</v>
      </c>
      <c r="L525" s="11">
        <f>8.3222 * CHOOSE(CONTROL!$C$32, $C$9, 100%, $E$9)</f>
        <v>8.3222000000000005</v>
      </c>
      <c r="M525" s="11">
        <f>8.3275 * CHOOSE(CONTROL!$C$32, $C$9, 100%, $E$9)</f>
        <v>8.3275000000000006</v>
      </c>
      <c r="N525" s="11">
        <f>8.3222 * CHOOSE(CONTROL!$C$32, $C$9, 100%, $E$9)</f>
        <v>8.3222000000000005</v>
      </c>
      <c r="O525" s="11">
        <f>8.3275 * CHOOSE(CONTROL!$C$32, $C$9, 100%, $E$9)</f>
        <v>8.3275000000000006</v>
      </c>
    </row>
    <row r="526" spans="1:15" ht="15" x14ac:dyDescent="0.2">
      <c r="A526" s="13">
        <v>56858</v>
      </c>
      <c r="B526" s="9">
        <f>7.4816 * CHOOSE(CONTROL!$C$32, $C$9, 100%, $E$9)</f>
        <v>7.4816000000000003</v>
      </c>
      <c r="C526" s="9">
        <f>7.4816 * CHOOSE(CONTROL!$C$32, $C$9, 100%, $E$9)</f>
        <v>7.4816000000000003</v>
      </c>
      <c r="D526" s="9">
        <f>7.4831 * CHOOSE(CONTROL!$C$32, $C$9, 100%, $E$9)</f>
        <v>7.4831000000000003</v>
      </c>
      <c r="E526" s="11">
        <f>8.3004 * CHOOSE(CONTROL!$C$32, $C$9, 100%, $E$9)</f>
        <v>8.3003999999999998</v>
      </c>
      <c r="F526" s="11">
        <f>8.3004 * CHOOSE(CONTROL!$C$32, $C$9, 100%, $E$9)</f>
        <v>8.3003999999999998</v>
      </c>
      <c r="G526" s="11">
        <f>8.3057 * CHOOSE(CONTROL!$C$32, $C$9, 100%, $E$9)</f>
        <v>8.3056999999999999</v>
      </c>
      <c r="H526" s="11">
        <f>16.0938 * CHOOSE(CONTROL!$C$32, $C$9, 100%, $E$9)</f>
        <v>16.093800000000002</v>
      </c>
      <c r="I526" s="11">
        <f>16.0991 * CHOOSE(CONTROL!$C$32, $C$9, 100%, $E$9)</f>
        <v>16.0991</v>
      </c>
      <c r="J526" s="11">
        <f>16.0938 * CHOOSE(CONTROL!$C$32, $C$9, 100%, $E$9)</f>
        <v>16.093800000000002</v>
      </c>
      <c r="K526" s="11">
        <f>16.0991 * CHOOSE(CONTROL!$C$32, $C$9, 100%, $E$9)</f>
        <v>16.0991</v>
      </c>
      <c r="L526" s="11">
        <f>8.3004 * CHOOSE(CONTROL!$C$32, $C$9, 100%, $E$9)</f>
        <v>8.3003999999999998</v>
      </c>
      <c r="M526" s="11">
        <f>8.3057 * CHOOSE(CONTROL!$C$32, $C$9, 100%, $E$9)</f>
        <v>8.3056999999999999</v>
      </c>
      <c r="N526" s="11">
        <f>8.3004 * CHOOSE(CONTROL!$C$32, $C$9, 100%, $E$9)</f>
        <v>8.3003999999999998</v>
      </c>
      <c r="O526" s="11">
        <f>8.3057 * CHOOSE(CONTROL!$C$32, $C$9, 100%, $E$9)</f>
        <v>8.3056999999999999</v>
      </c>
    </row>
    <row r="527" spans="1:15" ht="15" x14ac:dyDescent="0.2">
      <c r="A527" s="13">
        <v>56888</v>
      </c>
      <c r="B527" s="9">
        <f>7.4896 * CHOOSE(CONTROL!$C$32, $C$9, 100%, $E$9)</f>
        <v>7.4896000000000003</v>
      </c>
      <c r="C527" s="9">
        <f>7.4896 * CHOOSE(CONTROL!$C$32, $C$9, 100%, $E$9)</f>
        <v>7.4896000000000003</v>
      </c>
      <c r="D527" s="9">
        <f>7.4906 * CHOOSE(CONTROL!$C$32, $C$9, 100%, $E$9)</f>
        <v>7.4905999999999997</v>
      </c>
      <c r="E527" s="11">
        <f>8.3656 * CHOOSE(CONTROL!$C$32, $C$9, 100%, $E$9)</f>
        <v>8.3656000000000006</v>
      </c>
      <c r="F527" s="11">
        <f>8.3656 * CHOOSE(CONTROL!$C$32, $C$9, 100%, $E$9)</f>
        <v>8.3656000000000006</v>
      </c>
      <c r="G527" s="11">
        <f>8.3692 * CHOOSE(CONTROL!$C$32, $C$9, 100%, $E$9)</f>
        <v>8.3691999999999993</v>
      </c>
      <c r="H527" s="11">
        <f>16.1274 * CHOOSE(CONTROL!$C$32, $C$9, 100%, $E$9)</f>
        <v>16.127400000000002</v>
      </c>
      <c r="I527" s="11">
        <f>16.131 * CHOOSE(CONTROL!$C$32, $C$9, 100%, $E$9)</f>
        <v>16.131</v>
      </c>
      <c r="J527" s="11">
        <f>16.1274 * CHOOSE(CONTROL!$C$32, $C$9, 100%, $E$9)</f>
        <v>16.127400000000002</v>
      </c>
      <c r="K527" s="11">
        <f>16.131 * CHOOSE(CONTROL!$C$32, $C$9, 100%, $E$9)</f>
        <v>16.131</v>
      </c>
      <c r="L527" s="11">
        <f>8.3656 * CHOOSE(CONTROL!$C$32, $C$9, 100%, $E$9)</f>
        <v>8.3656000000000006</v>
      </c>
      <c r="M527" s="11">
        <f>8.3692 * CHOOSE(CONTROL!$C$32, $C$9, 100%, $E$9)</f>
        <v>8.3691999999999993</v>
      </c>
      <c r="N527" s="11">
        <f>8.3656 * CHOOSE(CONTROL!$C$32, $C$9, 100%, $E$9)</f>
        <v>8.3656000000000006</v>
      </c>
      <c r="O527" s="11">
        <f>8.3692 * CHOOSE(CONTROL!$C$32, $C$9, 100%, $E$9)</f>
        <v>8.3691999999999993</v>
      </c>
    </row>
    <row r="528" spans="1:15" ht="15" x14ac:dyDescent="0.2">
      <c r="A528" s="13">
        <v>56919</v>
      </c>
      <c r="B528" s="9">
        <f>7.4926 * CHOOSE(CONTROL!$C$32, $C$9, 100%, $E$9)</f>
        <v>7.4926000000000004</v>
      </c>
      <c r="C528" s="9">
        <f>7.4926 * CHOOSE(CONTROL!$C$32, $C$9, 100%, $E$9)</f>
        <v>7.4926000000000004</v>
      </c>
      <c r="D528" s="9">
        <f>7.4937 * CHOOSE(CONTROL!$C$32, $C$9, 100%, $E$9)</f>
        <v>7.4936999999999996</v>
      </c>
      <c r="E528" s="11">
        <f>8.4071 * CHOOSE(CONTROL!$C$32, $C$9, 100%, $E$9)</f>
        <v>8.4070999999999998</v>
      </c>
      <c r="F528" s="11">
        <f>8.4071 * CHOOSE(CONTROL!$C$32, $C$9, 100%, $E$9)</f>
        <v>8.4070999999999998</v>
      </c>
      <c r="G528" s="11">
        <f>8.4107 * CHOOSE(CONTROL!$C$32, $C$9, 100%, $E$9)</f>
        <v>8.4107000000000003</v>
      </c>
      <c r="H528" s="11">
        <f>16.161 * CHOOSE(CONTROL!$C$32, $C$9, 100%, $E$9)</f>
        <v>16.161000000000001</v>
      </c>
      <c r="I528" s="11">
        <f>16.1646 * CHOOSE(CONTROL!$C$32, $C$9, 100%, $E$9)</f>
        <v>16.1646</v>
      </c>
      <c r="J528" s="11">
        <f>16.161 * CHOOSE(CONTROL!$C$32, $C$9, 100%, $E$9)</f>
        <v>16.161000000000001</v>
      </c>
      <c r="K528" s="11">
        <f>16.1646 * CHOOSE(CONTROL!$C$32, $C$9, 100%, $E$9)</f>
        <v>16.1646</v>
      </c>
      <c r="L528" s="11">
        <f>8.4071 * CHOOSE(CONTROL!$C$32, $C$9, 100%, $E$9)</f>
        <v>8.4070999999999998</v>
      </c>
      <c r="M528" s="11">
        <f>8.4107 * CHOOSE(CONTROL!$C$32, $C$9, 100%, $E$9)</f>
        <v>8.4107000000000003</v>
      </c>
      <c r="N528" s="11">
        <f>8.4071 * CHOOSE(CONTROL!$C$32, $C$9, 100%, $E$9)</f>
        <v>8.4070999999999998</v>
      </c>
      <c r="O528" s="11">
        <f>8.4107 * CHOOSE(CONTROL!$C$32, $C$9, 100%, $E$9)</f>
        <v>8.4107000000000003</v>
      </c>
    </row>
    <row r="529" spans="1:15" ht="15" x14ac:dyDescent="0.2">
      <c r="A529" s="13">
        <v>56949</v>
      </c>
      <c r="B529" s="9">
        <f>7.4926 * CHOOSE(CONTROL!$C$32, $C$9, 100%, $E$9)</f>
        <v>7.4926000000000004</v>
      </c>
      <c r="C529" s="9">
        <f>7.4926 * CHOOSE(CONTROL!$C$32, $C$9, 100%, $E$9)</f>
        <v>7.4926000000000004</v>
      </c>
      <c r="D529" s="9">
        <f>7.4937 * CHOOSE(CONTROL!$C$32, $C$9, 100%, $E$9)</f>
        <v>7.4936999999999996</v>
      </c>
      <c r="E529" s="11">
        <f>8.3087 * CHOOSE(CONTROL!$C$32, $C$9, 100%, $E$9)</f>
        <v>8.3087</v>
      </c>
      <c r="F529" s="11">
        <f>8.3087 * CHOOSE(CONTROL!$C$32, $C$9, 100%, $E$9)</f>
        <v>8.3087</v>
      </c>
      <c r="G529" s="11">
        <f>8.3124 * CHOOSE(CONTROL!$C$32, $C$9, 100%, $E$9)</f>
        <v>8.3124000000000002</v>
      </c>
      <c r="H529" s="11">
        <f>16.1946 * CHOOSE(CONTROL!$C$32, $C$9, 100%, $E$9)</f>
        <v>16.194600000000001</v>
      </c>
      <c r="I529" s="11">
        <f>16.1983 * CHOOSE(CONTROL!$C$32, $C$9, 100%, $E$9)</f>
        <v>16.1983</v>
      </c>
      <c r="J529" s="11">
        <f>16.1946 * CHOOSE(CONTROL!$C$32, $C$9, 100%, $E$9)</f>
        <v>16.194600000000001</v>
      </c>
      <c r="K529" s="11">
        <f>16.1983 * CHOOSE(CONTROL!$C$32, $C$9, 100%, $E$9)</f>
        <v>16.1983</v>
      </c>
      <c r="L529" s="11">
        <f>8.3087 * CHOOSE(CONTROL!$C$32, $C$9, 100%, $E$9)</f>
        <v>8.3087</v>
      </c>
      <c r="M529" s="11">
        <f>8.3124 * CHOOSE(CONTROL!$C$32, $C$9, 100%, $E$9)</f>
        <v>8.3124000000000002</v>
      </c>
      <c r="N529" s="11">
        <f>8.3087 * CHOOSE(CONTROL!$C$32, $C$9, 100%, $E$9)</f>
        <v>8.3087</v>
      </c>
      <c r="O529" s="11">
        <f>8.3124 * CHOOSE(CONTROL!$C$32, $C$9, 100%, $E$9)</f>
        <v>8.3124000000000002</v>
      </c>
    </row>
    <row r="530" spans="1:15" ht="15" x14ac:dyDescent="0.2">
      <c r="A530" s="13">
        <v>56980</v>
      </c>
      <c r="B530" s="9">
        <f>7.5488 * CHOOSE(CONTROL!$C$32, $C$9, 100%, $E$9)</f>
        <v>7.5488</v>
      </c>
      <c r="C530" s="9">
        <f>7.5488 * CHOOSE(CONTROL!$C$32, $C$9, 100%, $E$9)</f>
        <v>7.5488</v>
      </c>
      <c r="D530" s="9">
        <f>7.5498 * CHOOSE(CONTROL!$C$32, $C$9, 100%, $E$9)</f>
        <v>7.5498000000000003</v>
      </c>
      <c r="E530" s="11">
        <f>8.4508 * CHOOSE(CONTROL!$C$32, $C$9, 100%, $E$9)</f>
        <v>8.4507999999999992</v>
      </c>
      <c r="F530" s="11">
        <f>8.4508 * CHOOSE(CONTROL!$C$32, $C$9, 100%, $E$9)</f>
        <v>8.4507999999999992</v>
      </c>
      <c r="G530" s="11">
        <f>8.4544 * CHOOSE(CONTROL!$C$32, $C$9, 100%, $E$9)</f>
        <v>8.4543999999999997</v>
      </c>
      <c r="H530" s="11">
        <f>16.2284 * CHOOSE(CONTROL!$C$32, $C$9, 100%, $E$9)</f>
        <v>16.228400000000001</v>
      </c>
      <c r="I530" s="11">
        <f>16.232 * CHOOSE(CONTROL!$C$32, $C$9, 100%, $E$9)</f>
        <v>16.231999999999999</v>
      </c>
      <c r="J530" s="11">
        <f>16.2284 * CHOOSE(CONTROL!$C$32, $C$9, 100%, $E$9)</f>
        <v>16.228400000000001</v>
      </c>
      <c r="K530" s="11">
        <f>16.232 * CHOOSE(CONTROL!$C$32, $C$9, 100%, $E$9)</f>
        <v>16.231999999999999</v>
      </c>
      <c r="L530" s="11">
        <f>8.4508 * CHOOSE(CONTROL!$C$32, $C$9, 100%, $E$9)</f>
        <v>8.4507999999999992</v>
      </c>
      <c r="M530" s="11">
        <f>8.4544 * CHOOSE(CONTROL!$C$32, $C$9, 100%, $E$9)</f>
        <v>8.4543999999999997</v>
      </c>
      <c r="N530" s="11">
        <f>8.4508 * CHOOSE(CONTROL!$C$32, $C$9, 100%, $E$9)</f>
        <v>8.4507999999999992</v>
      </c>
      <c r="O530" s="11">
        <f>8.4544 * CHOOSE(CONTROL!$C$32, $C$9, 100%, $E$9)</f>
        <v>8.4543999999999997</v>
      </c>
    </row>
    <row r="531" spans="1:15" ht="15" x14ac:dyDescent="0.2">
      <c r="A531" s="13">
        <v>57011</v>
      </c>
      <c r="B531" s="9">
        <f>7.5457 * CHOOSE(CONTROL!$C$32, $C$9, 100%, $E$9)</f>
        <v>7.5457000000000001</v>
      </c>
      <c r="C531" s="9">
        <f>7.5457 * CHOOSE(CONTROL!$C$32, $C$9, 100%, $E$9)</f>
        <v>7.5457000000000001</v>
      </c>
      <c r="D531" s="9">
        <f>7.5468 * CHOOSE(CONTROL!$C$32, $C$9, 100%, $E$9)</f>
        <v>7.5468000000000002</v>
      </c>
      <c r="E531" s="11">
        <f>8.2568 * CHOOSE(CONTROL!$C$32, $C$9, 100%, $E$9)</f>
        <v>8.2568000000000001</v>
      </c>
      <c r="F531" s="11">
        <f>8.2568 * CHOOSE(CONTROL!$C$32, $C$9, 100%, $E$9)</f>
        <v>8.2568000000000001</v>
      </c>
      <c r="G531" s="11">
        <f>8.2604 * CHOOSE(CONTROL!$C$32, $C$9, 100%, $E$9)</f>
        <v>8.2604000000000006</v>
      </c>
      <c r="H531" s="11">
        <f>16.2622 * CHOOSE(CONTROL!$C$32, $C$9, 100%, $E$9)</f>
        <v>16.2622</v>
      </c>
      <c r="I531" s="11">
        <f>16.2658 * CHOOSE(CONTROL!$C$32, $C$9, 100%, $E$9)</f>
        <v>16.265799999999999</v>
      </c>
      <c r="J531" s="11">
        <f>16.2622 * CHOOSE(CONTROL!$C$32, $C$9, 100%, $E$9)</f>
        <v>16.2622</v>
      </c>
      <c r="K531" s="11">
        <f>16.2658 * CHOOSE(CONTROL!$C$32, $C$9, 100%, $E$9)</f>
        <v>16.265799999999999</v>
      </c>
      <c r="L531" s="11">
        <f>8.2568 * CHOOSE(CONTROL!$C$32, $C$9, 100%, $E$9)</f>
        <v>8.2568000000000001</v>
      </c>
      <c r="M531" s="11">
        <f>8.2604 * CHOOSE(CONTROL!$C$32, $C$9, 100%, $E$9)</f>
        <v>8.2604000000000006</v>
      </c>
      <c r="N531" s="11">
        <f>8.2568 * CHOOSE(CONTROL!$C$32, $C$9, 100%, $E$9)</f>
        <v>8.2568000000000001</v>
      </c>
      <c r="O531" s="11">
        <f>8.2604 * CHOOSE(CONTROL!$C$32, $C$9, 100%, $E$9)</f>
        <v>8.2604000000000006</v>
      </c>
    </row>
    <row r="532" spans="1:15" ht="15" x14ac:dyDescent="0.2">
      <c r="A532" s="13">
        <v>57040</v>
      </c>
      <c r="B532" s="9">
        <f>7.5427 * CHOOSE(CONTROL!$C$32, $C$9, 100%, $E$9)</f>
        <v>7.5427</v>
      </c>
      <c r="C532" s="9">
        <f>7.5427 * CHOOSE(CONTROL!$C$32, $C$9, 100%, $E$9)</f>
        <v>7.5427</v>
      </c>
      <c r="D532" s="9">
        <f>7.5438 * CHOOSE(CONTROL!$C$32, $C$9, 100%, $E$9)</f>
        <v>7.5438000000000001</v>
      </c>
      <c r="E532" s="11">
        <f>8.406 * CHOOSE(CONTROL!$C$32, $C$9, 100%, $E$9)</f>
        <v>8.4060000000000006</v>
      </c>
      <c r="F532" s="11">
        <f>8.406 * CHOOSE(CONTROL!$C$32, $C$9, 100%, $E$9)</f>
        <v>8.4060000000000006</v>
      </c>
      <c r="G532" s="11">
        <f>8.4096 * CHOOSE(CONTROL!$C$32, $C$9, 100%, $E$9)</f>
        <v>8.4095999999999993</v>
      </c>
      <c r="H532" s="11">
        <f>16.2961 * CHOOSE(CONTROL!$C$32, $C$9, 100%, $E$9)</f>
        <v>16.296099999999999</v>
      </c>
      <c r="I532" s="11">
        <f>16.2997 * CHOOSE(CONTROL!$C$32, $C$9, 100%, $E$9)</f>
        <v>16.299700000000001</v>
      </c>
      <c r="J532" s="11">
        <f>16.2961 * CHOOSE(CONTROL!$C$32, $C$9, 100%, $E$9)</f>
        <v>16.296099999999999</v>
      </c>
      <c r="K532" s="11">
        <f>16.2997 * CHOOSE(CONTROL!$C$32, $C$9, 100%, $E$9)</f>
        <v>16.299700000000001</v>
      </c>
      <c r="L532" s="11">
        <f>8.406 * CHOOSE(CONTROL!$C$32, $C$9, 100%, $E$9)</f>
        <v>8.4060000000000006</v>
      </c>
      <c r="M532" s="11">
        <f>8.4096 * CHOOSE(CONTROL!$C$32, $C$9, 100%, $E$9)</f>
        <v>8.4095999999999993</v>
      </c>
      <c r="N532" s="11">
        <f>8.406 * CHOOSE(CONTROL!$C$32, $C$9, 100%, $E$9)</f>
        <v>8.4060000000000006</v>
      </c>
      <c r="O532" s="11">
        <f>8.4096 * CHOOSE(CONTROL!$C$32, $C$9, 100%, $E$9)</f>
        <v>8.4095999999999993</v>
      </c>
    </row>
    <row r="533" spans="1:15" ht="15" x14ac:dyDescent="0.2">
      <c r="A533" s="13">
        <v>57071</v>
      </c>
      <c r="B533" s="9">
        <f>7.5438 * CHOOSE(CONTROL!$C$32, $C$9, 100%, $E$9)</f>
        <v>7.5438000000000001</v>
      </c>
      <c r="C533" s="9">
        <f>7.5438 * CHOOSE(CONTROL!$C$32, $C$9, 100%, $E$9)</f>
        <v>7.5438000000000001</v>
      </c>
      <c r="D533" s="9">
        <f>7.5448 * CHOOSE(CONTROL!$C$32, $C$9, 100%, $E$9)</f>
        <v>7.5448000000000004</v>
      </c>
      <c r="E533" s="11">
        <f>8.5642 * CHOOSE(CONTROL!$C$32, $C$9, 100%, $E$9)</f>
        <v>8.5641999999999996</v>
      </c>
      <c r="F533" s="11">
        <f>8.5642 * CHOOSE(CONTROL!$C$32, $C$9, 100%, $E$9)</f>
        <v>8.5641999999999996</v>
      </c>
      <c r="G533" s="11">
        <f>8.5678 * CHOOSE(CONTROL!$C$32, $C$9, 100%, $E$9)</f>
        <v>8.5678000000000001</v>
      </c>
      <c r="H533" s="11">
        <f>16.33 * CHOOSE(CONTROL!$C$32, $C$9, 100%, $E$9)</f>
        <v>16.329999999999998</v>
      </c>
      <c r="I533" s="11">
        <f>16.3336 * CHOOSE(CONTROL!$C$32, $C$9, 100%, $E$9)</f>
        <v>16.333600000000001</v>
      </c>
      <c r="J533" s="11">
        <f>16.33 * CHOOSE(CONTROL!$C$32, $C$9, 100%, $E$9)</f>
        <v>16.329999999999998</v>
      </c>
      <c r="K533" s="11">
        <f>16.3336 * CHOOSE(CONTROL!$C$32, $C$9, 100%, $E$9)</f>
        <v>16.333600000000001</v>
      </c>
      <c r="L533" s="11">
        <f>8.5642 * CHOOSE(CONTROL!$C$32, $C$9, 100%, $E$9)</f>
        <v>8.5641999999999996</v>
      </c>
      <c r="M533" s="11">
        <f>8.5678 * CHOOSE(CONTROL!$C$32, $C$9, 100%, $E$9)</f>
        <v>8.5678000000000001</v>
      </c>
      <c r="N533" s="11">
        <f>8.5642 * CHOOSE(CONTROL!$C$32, $C$9, 100%, $E$9)</f>
        <v>8.5641999999999996</v>
      </c>
      <c r="O533" s="11">
        <f>8.5678 * CHOOSE(CONTROL!$C$32, $C$9, 100%, $E$9)</f>
        <v>8.5678000000000001</v>
      </c>
    </row>
    <row r="534" spans="1:15" ht="15" x14ac:dyDescent="0.2">
      <c r="A534" s="13">
        <v>57101</v>
      </c>
      <c r="B534" s="9">
        <f>7.5438 * CHOOSE(CONTROL!$C$32, $C$9, 100%, $E$9)</f>
        <v>7.5438000000000001</v>
      </c>
      <c r="C534" s="9">
        <f>7.5438 * CHOOSE(CONTROL!$C$32, $C$9, 100%, $E$9)</f>
        <v>7.5438000000000001</v>
      </c>
      <c r="D534" s="9">
        <f>7.5454 * CHOOSE(CONTROL!$C$32, $C$9, 100%, $E$9)</f>
        <v>7.5453999999999999</v>
      </c>
      <c r="E534" s="11">
        <f>8.6251 * CHOOSE(CONTROL!$C$32, $C$9, 100%, $E$9)</f>
        <v>8.6250999999999998</v>
      </c>
      <c r="F534" s="11">
        <f>8.6251 * CHOOSE(CONTROL!$C$32, $C$9, 100%, $E$9)</f>
        <v>8.6250999999999998</v>
      </c>
      <c r="G534" s="11">
        <f>8.6304 * CHOOSE(CONTROL!$C$32, $C$9, 100%, $E$9)</f>
        <v>8.6303999999999998</v>
      </c>
      <c r="H534" s="11">
        <f>16.364 * CHOOSE(CONTROL!$C$32, $C$9, 100%, $E$9)</f>
        <v>16.364000000000001</v>
      </c>
      <c r="I534" s="11">
        <f>16.3693 * CHOOSE(CONTROL!$C$32, $C$9, 100%, $E$9)</f>
        <v>16.369299999999999</v>
      </c>
      <c r="J534" s="11">
        <f>16.364 * CHOOSE(CONTROL!$C$32, $C$9, 100%, $E$9)</f>
        <v>16.364000000000001</v>
      </c>
      <c r="K534" s="11">
        <f>16.3693 * CHOOSE(CONTROL!$C$32, $C$9, 100%, $E$9)</f>
        <v>16.369299999999999</v>
      </c>
      <c r="L534" s="11">
        <f>8.6251 * CHOOSE(CONTROL!$C$32, $C$9, 100%, $E$9)</f>
        <v>8.6250999999999998</v>
      </c>
      <c r="M534" s="11">
        <f>8.6304 * CHOOSE(CONTROL!$C$32, $C$9, 100%, $E$9)</f>
        <v>8.6303999999999998</v>
      </c>
      <c r="N534" s="11">
        <f>8.6251 * CHOOSE(CONTROL!$C$32, $C$9, 100%, $E$9)</f>
        <v>8.6250999999999998</v>
      </c>
      <c r="O534" s="11">
        <f>8.6304 * CHOOSE(CONTROL!$C$32, $C$9, 100%, $E$9)</f>
        <v>8.6303999999999998</v>
      </c>
    </row>
    <row r="535" spans="1:15" ht="15" x14ac:dyDescent="0.2">
      <c r="A535" s="13">
        <v>57132</v>
      </c>
      <c r="B535" s="9">
        <f>7.5499 * CHOOSE(CONTROL!$C$32, $C$9, 100%, $E$9)</f>
        <v>7.5499000000000001</v>
      </c>
      <c r="C535" s="9">
        <f>7.5499 * CHOOSE(CONTROL!$C$32, $C$9, 100%, $E$9)</f>
        <v>7.5499000000000001</v>
      </c>
      <c r="D535" s="9">
        <f>7.5514 * CHOOSE(CONTROL!$C$32, $C$9, 100%, $E$9)</f>
        <v>7.5514000000000001</v>
      </c>
      <c r="E535" s="11">
        <f>8.5684 * CHOOSE(CONTROL!$C$32, $C$9, 100%, $E$9)</f>
        <v>8.5684000000000005</v>
      </c>
      <c r="F535" s="11">
        <f>8.5684 * CHOOSE(CONTROL!$C$32, $C$9, 100%, $E$9)</f>
        <v>8.5684000000000005</v>
      </c>
      <c r="G535" s="11">
        <f>8.5737 * CHOOSE(CONTROL!$C$32, $C$9, 100%, $E$9)</f>
        <v>8.5737000000000005</v>
      </c>
      <c r="H535" s="11">
        <f>16.3981 * CHOOSE(CONTROL!$C$32, $C$9, 100%, $E$9)</f>
        <v>16.398099999999999</v>
      </c>
      <c r="I535" s="11">
        <f>16.4034 * CHOOSE(CONTROL!$C$32, $C$9, 100%, $E$9)</f>
        <v>16.403400000000001</v>
      </c>
      <c r="J535" s="11">
        <f>16.3981 * CHOOSE(CONTROL!$C$32, $C$9, 100%, $E$9)</f>
        <v>16.398099999999999</v>
      </c>
      <c r="K535" s="11">
        <f>16.4034 * CHOOSE(CONTROL!$C$32, $C$9, 100%, $E$9)</f>
        <v>16.403400000000001</v>
      </c>
      <c r="L535" s="11">
        <f>8.5684 * CHOOSE(CONTROL!$C$32, $C$9, 100%, $E$9)</f>
        <v>8.5684000000000005</v>
      </c>
      <c r="M535" s="11">
        <f>8.5737 * CHOOSE(CONTROL!$C$32, $C$9, 100%, $E$9)</f>
        <v>8.5737000000000005</v>
      </c>
      <c r="N535" s="11">
        <f>8.5684 * CHOOSE(CONTROL!$C$32, $C$9, 100%, $E$9)</f>
        <v>8.5684000000000005</v>
      </c>
      <c r="O535" s="11">
        <f>8.5737 * CHOOSE(CONTROL!$C$32, $C$9, 100%, $E$9)</f>
        <v>8.5737000000000005</v>
      </c>
    </row>
    <row r="536" spans="1:15" ht="15" x14ac:dyDescent="0.2">
      <c r="A536" s="13">
        <v>57162</v>
      </c>
      <c r="B536" s="9">
        <f>7.6474 * CHOOSE(CONTROL!$C$32, $C$9, 100%, $E$9)</f>
        <v>7.6474000000000002</v>
      </c>
      <c r="C536" s="9">
        <f>7.6474 * CHOOSE(CONTROL!$C$32, $C$9, 100%, $E$9)</f>
        <v>7.6474000000000002</v>
      </c>
      <c r="D536" s="9">
        <f>7.6489 * CHOOSE(CONTROL!$C$32, $C$9, 100%, $E$9)</f>
        <v>7.6489000000000003</v>
      </c>
      <c r="E536" s="11">
        <f>8.6867 * CHOOSE(CONTROL!$C$32, $C$9, 100%, $E$9)</f>
        <v>8.6867000000000001</v>
      </c>
      <c r="F536" s="11">
        <f>8.6867 * CHOOSE(CONTROL!$C$32, $C$9, 100%, $E$9)</f>
        <v>8.6867000000000001</v>
      </c>
      <c r="G536" s="11">
        <f>8.692 * CHOOSE(CONTROL!$C$32, $C$9, 100%, $E$9)</f>
        <v>8.6920000000000002</v>
      </c>
      <c r="H536" s="11">
        <f>16.4323 * CHOOSE(CONTROL!$C$32, $C$9, 100%, $E$9)</f>
        <v>16.432300000000001</v>
      </c>
      <c r="I536" s="11">
        <f>16.4376 * CHOOSE(CONTROL!$C$32, $C$9, 100%, $E$9)</f>
        <v>16.4376</v>
      </c>
      <c r="J536" s="11">
        <f>16.4323 * CHOOSE(CONTROL!$C$32, $C$9, 100%, $E$9)</f>
        <v>16.432300000000001</v>
      </c>
      <c r="K536" s="11">
        <f>16.4376 * CHOOSE(CONTROL!$C$32, $C$9, 100%, $E$9)</f>
        <v>16.4376</v>
      </c>
      <c r="L536" s="11">
        <f>8.6867 * CHOOSE(CONTROL!$C$32, $C$9, 100%, $E$9)</f>
        <v>8.6867000000000001</v>
      </c>
      <c r="M536" s="11">
        <f>8.692 * CHOOSE(CONTROL!$C$32, $C$9, 100%, $E$9)</f>
        <v>8.6920000000000002</v>
      </c>
      <c r="N536" s="11">
        <f>8.6867 * CHOOSE(CONTROL!$C$32, $C$9, 100%, $E$9)</f>
        <v>8.6867000000000001</v>
      </c>
      <c r="O536" s="11">
        <f>8.692 * CHOOSE(CONTROL!$C$32, $C$9, 100%, $E$9)</f>
        <v>8.6920000000000002</v>
      </c>
    </row>
    <row r="537" spans="1:15" ht="15" x14ac:dyDescent="0.2">
      <c r="A537" s="13">
        <v>57193</v>
      </c>
      <c r="B537" s="9">
        <f>7.654 * CHOOSE(CONTROL!$C$32, $C$9, 100%, $E$9)</f>
        <v>7.6539999999999999</v>
      </c>
      <c r="C537" s="9">
        <f>7.654 * CHOOSE(CONTROL!$C$32, $C$9, 100%, $E$9)</f>
        <v>7.6539999999999999</v>
      </c>
      <c r="D537" s="9">
        <f>7.6556 * CHOOSE(CONTROL!$C$32, $C$9, 100%, $E$9)</f>
        <v>7.6555999999999997</v>
      </c>
      <c r="E537" s="11">
        <f>8.5087 * CHOOSE(CONTROL!$C$32, $C$9, 100%, $E$9)</f>
        <v>8.5086999999999993</v>
      </c>
      <c r="F537" s="11">
        <f>8.5087 * CHOOSE(CONTROL!$C$32, $C$9, 100%, $E$9)</f>
        <v>8.5086999999999993</v>
      </c>
      <c r="G537" s="11">
        <f>8.5139 * CHOOSE(CONTROL!$C$32, $C$9, 100%, $E$9)</f>
        <v>8.5138999999999996</v>
      </c>
      <c r="H537" s="11">
        <f>16.4665 * CHOOSE(CONTROL!$C$32, $C$9, 100%, $E$9)</f>
        <v>16.4665</v>
      </c>
      <c r="I537" s="11">
        <f>16.4718 * CHOOSE(CONTROL!$C$32, $C$9, 100%, $E$9)</f>
        <v>16.471800000000002</v>
      </c>
      <c r="J537" s="11">
        <f>16.4665 * CHOOSE(CONTROL!$C$32, $C$9, 100%, $E$9)</f>
        <v>16.4665</v>
      </c>
      <c r="K537" s="11">
        <f>16.4718 * CHOOSE(CONTROL!$C$32, $C$9, 100%, $E$9)</f>
        <v>16.471800000000002</v>
      </c>
      <c r="L537" s="11">
        <f>8.5087 * CHOOSE(CONTROL!$C$32, $C$9, 100%, $E$9)</f>
        <v>8.5086999999999993</v>
      </c>
      <c r="M537" s="11">
        <f>8.5139 * CHOOSE(CONTROL!$C$32, $C$9, 100%, $E$9)</f>
        <v>8.5138999999999996</v>
      </c>
      <c r="N537" s="11">
        <f>8.5087 * CHOOSE(CONTROL!$C$32, $C$9, 100%, $E$9)</f>
        <v>8.5086999999999993</v>
      </c>
      <c r="O537" s="11">
        <f>8.5139 * CHOOSE(CONTROL!$C$32, $C$9, 100%, $E$9)</f>
        <v>8.5138999999999996</v>
      </c>
    </row>
    <row r="538" spans="1:15" ht="15" x14ac:dyDescent="0.2">
      <c r="A538" s="13">
        <v>57224</v>
      </c>
      <c r="B538" s="9">
        <f>7.651 * CHOOSE(CONTROL!$C$32, $C$9, 100%, $E$9)</f>
        <v>7.6509999999999998</v>
      </c>
      <c r="C538" s="9">
        <f>7.651 * CHOOSE(CONTROL!$C$32, $C$9, 100%, $E$9)</f>
        <v>7.6509999999999998</v>
      </c>
      <c r="D538" s="9">
        <f>7.6526 * CHOOSE(CONTROL!$C$32, $C$9, 100%, $E$9)</f>
        <v>7.6525999999999996</v>
      </c>
      <c r="E538" s="11">
        <f>8.4862 * CHOOSE(CONTROL!$C$32, $C$9, 100%, $E$9)</f>
        <v>8.4862000000000002</v>
      </c>
      <c r="F538" s="11">
        <f>8.4862 * CHOOSE(CONTROL!$C$32, $C$9, 100%, $E$9)</f>
        <v>8.4862000000000002</v>
      </c>
      <c r="G538" s="11">
        <f>8.4915 * CHOOSE(CONTROL!$C$32, $C$9, 100%, $E$9)</f>
        <v>8.4915000000000003</v>
      </c>
      <c r="H538" s="11">
        <f>16.5008 * CHOOSE(CONTROL!$C$32, $C$9, 100%, $E$9)</f>
        <v>16.500800000000002</v>
      </c>
      <c r="I538" s="11">
        <f>16.5061 * CHOOSE(CONTROL!$C$32, $C$9, 100%, $E$9)</f>
        <v>16.5061</v>
      </c>
      <c r="J538" s="11">
        <f>16.5008 * CHOOSE(CONTROL!$C$32, $C$9, 100%, $E$9)</f>
        <v>16.500800000000002</v>
      </c>
      <c r="K538" s="11">
        <f>16.5061 * CHOOSE(CONTROL!$C$32, $C$9, 100%, $E$9)</f>
        <v>16.5061</v>
      </c>
      <c r="L538" s="11">
        <f>8.4862 * CHOOSE(CONTROL!$C$32, $C$9, 100%, $E$9)</f>
        <v>8.4862000000000002</v>
      </c>
      <c r="M538" s="11">
        <f>8.4915 * CHOOSE(CONTROL!$C$32, $C$9, 100%, $E$9)</f>
        <v>8.4915000000000003</v>
      </c>
      <c r="N538" s="11">
        <f>8.4862 * CHOOSE(CONTROL!$C$32, $C$9, 100%, $E$9)</f>
        <v>8.4862000000000002</v>
      </c>
      <c r="O538" s="11">
        <f>8.4915 * CHOOSE(CONTROL!$C$32, $C$9, 100%, $E$9)</f>
        <v>8.4915000000000003</v>
      </c>
    </row>
    <row r="539" spans="1:15" ht="15" x14ac:dyDescent="0.2">
      <c r="A539" s="13">
        <v>57254</v>
      </c>
      <c r="B539" s="9">
        <f>7.6597 * CHOOSE(CONTROL!$C$32, $C$9, 100%, $E$9)</f>
        <v>7.6597</v>
      </c>
      <c r="C539" s="9">
        <f>7.6597 * CHOOSE(CONTROL!$C$32, $C$9, 100%, $E$9)</f>
        <v>7.6597</v>
      </c>
      <c r="D539" s="9">
        <f>7.6607 * CHOOSE(CONTROL!$C$32, $C$9, 100%, $E$9)</f>
        <v>7.6607000000000003</v>
      </c>
      <c r="E539" s="11">
        <f>8.554 * CHOOSE(CONTROL!$C$32, $C$9, 100%, $E$9)</f>
        <v>8.5540000000000003</v>
      </c>
      <c r="F539" s="11">
        <f>8.554 * CHOOSE(CONTROL!$C$32, $C$9, 100%, $E$9)</f>
        <v>8.5540000000000003</v>
      </c>
      <c r="G539" s="11">
        <f>8.5577 * CHOOSE(CONTROL!$C$32, $C$9, 100%, $E$9)</f>
        <v>8.5577000000000005</v>
      </c>
      <c r="H539" s="11">
        <f>16.5352 * CHOOSE(CONTROL!$C$32, $C$9, 100%, $E$9)</f>
        <v>16.5352</v>
      </c>
      <c r="I539" s="11">
        <f>16.5388 * CHOOSE(CONTROL!$C$32, $C$9, 100%, $E$9)</f>
        <v>16.538799999999998</v>
      </c>
      <c r="J539" s="11">
        <f>16.5352 * CHOOSE(CONTROL!$C$32, $C$9, 100%, $E$9)</f>
        <v>16.5352</v>
      </c>
      <c r="K539" s="11">
        <f>16.5388 * CHOOSE(CONTROL!$C$32, $C$9, 100%, $E$9)</f>
        <v>16.538799999999998</v>
      </c>
      <c r="L539" s="11">
        <f>8.554 * CHOOSE(CONTROL!$C$32, $C$9, 100%, $E$9)</f>
        <v>8.5540000000000003</v>
      </c>
      <c r="M539" s="11">
        <f>8.5577 * CHOOSE(CONTROL!$C$32, $C$9, 100%, $E$9)</f>
        <v>8.5577000000000005</v>
      </c>
      <c r="N539" s="11">
        <f>8.554 * CHOOSE(CONTROL!$C$32, $C$9, 100%, $E$9)</f>
        <v>8.5540000000000003</v>
      </c>
      <c r="O539" s="11">
        <f>8.5577 * CHOOSE(CONTROL!$C$32, $C$9, 100%, $E$9)</f>
        <v>8.5577000000000005</v>
      </c>
    </row>
    <row r="540" spans="1:15" ht="15" x14ac:dyDescent="0.2">
      <c r="A540" s="13">
        <v>57285</v>
      </c>
      <c r="B540" s="9">
        <f>7.6627 * CHOOSE(CONTROL!$C$32, $C$9, 100%, $E$9)</f>
        <v>7.6627000000000001</v>
      </c>
      <c r="C540" s="9">
        <f>7.6627 * CHOOSE(CONTROL!$C$32, $C$9, 100%, $E$9)</f>
        <v>7.6627000000000001</v>
      </c>
      <c r="D540" s="9">
        <f>7.6638 * CHOOSE(CONTROL!$C$32, $C$9, 100%, $E$9)</f>
        <v>7.6638000000000002</v>
      </c>
      <c r="E540" s="11">
        <f>8.5968 * CHOOSE(CONTROL!$C$32, $C$9, 100%, $E$9)</f>
        <v>8.5968</v>
      </c>
      <c r="F540" s="11">
        <f>8.5968 * CHOOSE(CONTROL!$C$32, $C$9, 100%, $E$9)</f>
        <v>8.5968</v>
      </c>
      <c r="G540" s="11">
        <f>8.6004 * CHOOSE(CONTROL!$C$32, $C$9, 100%, $E$9)</f>
        <v>8.6004000000000005</v>
      </c>
      <c r="H540" s="11">
        <f>16.5697 * CHOOSE(CONTROL!$C$32, $C$9, 100%, $E$9)</f>
        <v>16.569700000000001</v>
      </c>
      <c r="I540" s="11">
        <f>16.5733 * CHOOSE(CONTROL!$C$32, $C$9, 100%, $E$9)</f>
        <v>16.5733</v>
      </c>
      <c r="J540" s="11">
        <f>16.5697 * CHOOSE(CONTROL!$C$32, $C$9, 100%, $E$9)</f>
        <v>16.569700000000001</v>
      </c>
      <c r="K540" s="11">
        <f>16.5733 * CHOOSE(CONTROL!$C$32, $C$9, 100%, $E$9)</f>
        <v>16.5733</v>
      </c>
      <c r="L540" s="11">
        <f>8.5968 * CHOOSE(CONTROL!$C$32, $C$9, 100%, $E$9)</f>
        <v>8.5968</v>
      </c>
      <c r="M540" s="11">
        <f>8.6004 * CHOOSE(CONTROL!$C$32, $C$9, 100%, $E$9)</f>
        <v>8.6004000000000005</v>
      </c>
      <c r="N540" s="11">
        <f>8.5968 * CHOOSE(CONTROL!$C$32, $C$9, 100%, $E$9)</f>
        <v>8.5968</v>
      </c>
      <c r="O540" s="11">
        <f>8.6004 * CHOOSE(CONTROL!$C$32, $C$9, 100%, $E$9)</f>
        <v>8.6004000000000005</v>
      </c>
    </row>
    <row r="541" spans="1:15" ht="15" x14ac:dyDescent="0.2">
      <c r="A541" s="13">
        <v>57315</v>
      </c>
      <c r="B541" s="9">
        <f>7.6627 * CHOOSE(CONTROL!$C$32, $C$9, 100%, $E$9)</f>
        <v>7.6627000000000001</v>
      </c>
      <c r="C541" s="9">
        <f>7.6627 * CHOOSE(CONTROL!$C$32, $C$9, 100%, $E$9)</f>
        <v>7.6627000000000001</v>
      </c>
      <c r="D541" s="9">
        <f>7.6638 * CHOOSE(CONTROL!$C$32, $C$9, 100%, $E$9)</f>
        <v>7.6638000000000002</v>
      </c>
      <c r="E541" s="11">
        <f>8.4952 * CHOOSE(CONTROL!$C$32, $C$9, 100%, $E$9)</f>
        <v>8.4952000000000005</v>
      </c>
      <c r="F541" s="11">
        <f>8.4952 * CHOOSE(CONTROL!$C$32, $C$9, 100%, $E$9)</f>
        <v>8.4952000000000005</v>
      </c>
      <c r="G541" s="11">
        <f>8.4989 * CHOOSE(CONTROL!$C$32, $C$9, 100%, $E$9)</f>
        <v>8.4989000000000008</v>
      </c>
      <c r="H541" s="11">
        <f>16.6042 * CHOOSE(CONTROL!$C$32, $C$9, 100%, $E$9)</f>
        <v>16.604199999999999</v>
      </c>
      <c r="I541" s="11">
        <f>16.6078 * CHOOSE(CONTROL!$C$32, $C$9, 100%, $E$9)</f>
        <v>16.607800000000001</v>
      </c>
      <c r="J541" s="11">
        <f>16.6042 * CHOOSE(CONTROL!$C$32, $C$9, 100%, $E$9)</f>
        <v>16.604199999999999</v>
      </c>
      <c r="K541" s="11">
        <f>16.6078 * CHOOSE(CONTROL!$C$32, $C$9, 100%, $E$9)</f>
        <v>16.607800000000001</v>
      </c>
      <c r="L541" s="11">
        <f>8.4952 * CHOOSE(CONTROL!$C$32, $C$9, 100%, $E$9)</f>
        <v>8.4952000000000005</v>
      </c>
      <c r="M541" s="11">
        <f>8.4989 * CHOOSE(CONTROL!$C$32, $C$9, 100%, $E$9)</f>
        <v>8.4989000000000008</v>
      </c>
      <c r="N541" s="11">
        <f>8.4952 * CHOOSE(CONTROL!$C$32, $C$9, 100%, $E$9)</f>
        <v>8.4952000000000005</v>
      </c>
      <c r="O541" s="11">
        <f>8.4989 * CHOOSE(CONTROL!$C$32, $C$9, 100%, $E$9)</f>
        <v>8.4989000000000008</v>
      </c>
    </row>
    <row r="542" spans="1:15" ht="15" x14ac:dyDescent="0.2">
      <c r="A542" s="13">
        <v>57346</v>
      </c>
      <c r="B542" s="9">
        <f>7.72 * CHOOSE(CONTROL!$C$32, $C$9, 100%, $E$9)</f>
        <v>7.72</v>
      </c>
      <c r="C542" s="9">
        <f>7.72 * CHOOSE(CONTROL!$C$32, $C$9, 100%, $E$9)</f>
        <v>7.72</v>
      </c>
      <c r="D542" s="9">
        <f>7.7211 * CHOOSE(CONTROL!$C$32, $C$9, 100%, $E$9)</f>
        <v>7.7210999999999999</v>
      </c>
      <c r="E542" s="11">
        <f>8.6415 * CHOOSE(CONTROL!$C$32, $C$9, 100%, $E$9)</f>
        <v>8.6415000000000006</v>
      </c>
      <c r="F542" s="11">
        <f>8.6415 * CHOOSE(CONTROL!$C$32, $C$9, 100%, $E$9)</f>
        <v>8.6415000000000006</v>
      </c>
      <c r="G542" s="11">
        <f>8.6451 * CHOOSE(CONTROL!$C$32, $C$9, 100%, $E$9)</f>
        <v>8.6450999999999993</v>
      </c>
      <c r="H542" s="11">
        <f>16.6388 * CHOOSE(CONTROL!$C$32, $C$9, 100%, $E$9)</f>
        <v>16.6388</v>
      </c>
      <c r="I542" s="11">
        <f>16.6424 * CHOOSE(CONTROL!$C$32, $C$9, 100%, $E$9)</f>
        <v>16.642399999999999</v>
      </c>
      <c r="J542" s="11">
        <f>16.6388 * CHOOSE(CONTROL!$C$32, $C$9, 100%, $E$9)</f>
        <v>16.6388</v>
      </c>
      <c r="K542" s="11">
        <f>16.6424 * CHOOSE(CONTROL!$C$32, $C$9, 100%, $E$9)</f>
        <v>16.642399999999999</v>
      </c>
      <c r="L542" s="11">
        <f>8.6415 * CHOOSE(CONTROL!$C$32, $C$9, 100%, $E$9)</f>
        <v>8.6415000000000006</v>
      </c>
      <c r="M542" s="11">
        <f>8.6451 * CHOOSE(CONTROL!$C$32, $C$9, 100%, $E$9)</f>
        <v>8.6450999999999993</v>
      </c>
      <c r="N542" s="11">
        <f>8.6415 * CHOOSE(CONTROL!$C$32, $C$9, 100%, $E$9)</f>
        <v>8.6415000000000006</v>
      </c>
      <c r="O542" s="11">
        <f>8.6451 * CHOOSE(CONTROL!$C$32, $C$9, 100%, $E$9)</f>
        <v>8.6450999999999993</v>
      </c>
    </row>
    <row r="543" spans="1:15" ht="15" x14ac:dyDescent="0.2">
      <c r="A543" s="13">
        <v>57377</v>
      </c>
      <c r="B543" s="9">
        <f>7.717 * CHOOSE(CONTROL!$C$32, $C$9, 100%, $E$9)</f>
        <v>7.7169999999999996</v>
      </c>
      <c r="C543" s="9">
        <f>7.717 * CHOOSE(CONTROL!$C$32, $C$9, 100%, $E$9)</f>
        <v>7.7169999999999996</v>
      </c>
      <c r="D543" s="9">
        <f>7.7181 * CHOOSE(CONTROL!$C$32, $C$9, 100%, $E$9)</f>
        <v>7.7180999999999997</v>
      </c>
      <c r="E543" s="11">
        <f>8.4413 * CHOOSE(CONTROL!$C$32, $C$9, 100%, $E$9)</f>
        <v>8.4413</v>
      </c>
      <c r="F543" s="11">
        <f>8.4413 * CHOOSE(CONTROL!$C$32, $C$9, 100%, $E$9)</f>
        <v>8.4413</v>
      </c>
      <c r="G543" s="11">
        <f>8.4449 * CHOOSE(CONTROL!$C$32, $C$9, 100%, $E$9)</f>
        <v>8.4449000000000005</v>
      </c>
      <c r="H543" s="11">
        <f>16.6734 * CHOOSE(CONTROL!$C$32, $C$9, 100%, $E$9)</f>
        <v>16.673400000000001</v>
      </c>
      <c r="I543" s="11">
        <f>16.6771 * CHOOSE(CONTROL!$C$32, $C$9, 100%, $E$9)</f>
        <v>16.677099999999999</v>
      </c>
      <c r="J543" s="11">
        <f>16.6734 * CHOOSE(CONTROL!$C$32, $C$9, 100%, $E$9)</f>
        <v>16.673400000000001</v>
      </c>
      <c r="K543" s="11">
        <f>16.6771 * CHOOSE(CONTROL!$C$32, $C$9, 100%, $E$9)</f>
        <v>16.677099999999999</v>
      </c>
      <c r="L543" s="11">
        <f>8.4413 * CHOOSE(CONTROL!$C$32, $C$9, 100%, $E$9)</f>
        <v>8.4413</v>
      </c>
      <c r="M543" s="11">
        <f>8.4449 * CHOOSE(CONTROL!$C$32, $C$9, 100%, $E$9)</f>
        <v>8.4449000000000005</v>
      </c>
      <c r="N543" s="11">
        <f>8.4413 * CHOOSE(CONTROL!$C$32, $C$9, 100%, $E$9)</f>
        <v>8.4413</v>
      </c>
      <c r="O543" s="11">
        <f>8.4449 * CHOOSE(CONTROL!$C$32, $C$9, 100%, $E$9)</f>
        <v>8.4449000000000005</v>
      </c>
    </row>
    <row r="544" spans="1:15" ht="15" x14ac:dyDescent="0.2">
      <c r="A544" s="13">
        <v>57405</v>
      </c>
      <c r="B544" s="9">
        <f>7.7139 * CHOOSE(CONTROL!$C$32, $C$9, 100%, $E$9)</f>
        <v>7.7138999999999998</v>
      </c>
      <c r="C544" s="9">
        <f>7.7139 * CHOOSE(CONTROL!$C$32, $C$9, 100%, $E$9)</f>
        <v>7.7138999999999998</v>
      </c>
      <c r="D544" s="9">
        <f>7.715 * CHOOSE(CONTROL!$C$32, $C$9, 100%, $E$9)</f>
        <v>7.7149999999999999</v>
      </c>
      <c r="E544" s="11">
        <f>8.5954 * CHOOSE(CONTROL!$C$32, $C$9, 100%, $E$9)</f>
        <v>8.5953999999999997</v>
      </c>
      <c r="F544" s="11">
        <f>8.5954 * CHOOSE(CONTROL!$C$32, $C$9, 100%, $E$9)</f>
        <v>8.5953999999999997</v>
      </c>
      <c r="G544" s="11">
        <f>8.599 * CHOOSE(CONTROL!$C$32, $C$9, 100%, $E$9)</f>
        <v>8.5990000000000002</v>
      </c>
      <c r="H544" s="11">
        <f>16.7082 * CHOOSE(CONTROL!$C$32, $C$9, 100%, $E$9)</f>
        <v>16.708200000000001</v>
      </c>
      <c r="I544" s="11">
        <f>16.7118 * CHOOSE(CONTROL!$C$32, $C$9, 100%, $E$9)</f>
        <v>16.7118</v>
      </c>
      <c r="J544" s="11">
        <f>16.7082 * CHOOSE(CONTROL!$C$32, $C$9, 100%, $E$9)</f>
        <v>16.708200000000001</v>
      </c>
      <c r="K544" s="11">
        <f>16.7118 * CHOOSE(CONTROL!$C$32, $C$9, 100%, $E$9)</f>
        <v>16.7118</v>
      </c>
      <c r="L544" s="11">
        <f>8.5954 * CHOOSE(CONTROL!$C$32, $C$9, 100%, $E$9)</f>
        <v>8.5953999999999997</v>
      </c>
      <c r="M544" s="11">
        <f>8.599 * CHOOSE(CONTROL!$C$32, $C$9, 100%, $E$9)</f>
        <v>8.5990000000000002</v>
      </c>
      <c r="N544" s="11">
        <f>8.5954 * CHOOSE(CONTROL!$C$32, $C$9, 100%, $E$9)</f>
        <v>8.5953999999999997</v>
      </c>
      <c r="O544" s="11">
        <f>8.599 * CHOOSE(CONTROL!$C$32, $C$9, 100%, $E$9)</f>
        <v>8.5990000000000002</v>
      </c>
    </row>
    <row r="545" spans="1:15" ht="15" x14ac:dyDescent="0.2">
      <c r="A545" s="13">
        <v>57436</v>
      </c>
      <c r="B545" s="9">
        <f>7.7152 * CHOOSE(CONTROL!$C$32, $C$9, 100%, $E$9)</f>
        <v>7.7152000000000003</v>
      </c>
      <c r="C545" s="9">
        <f>7.7152 * CHOOSE(CONTROL!$C$32, $C$9, 100%, $E$9)</f>
        <v>7.7152000000000003</v>
      </c>
      <c r="D545" s="9">
        <f>7.7163 * CHOOSE(CONTROL!$C$32, $C$9, 100%, $E$9)</f>
        <v>7.7163000000000004</v>
      </c>
      <c r="E545" s="11">
        <f>8.7588 * CHOOSE(CONTROL!$C$32, $C$9, 100%, $E$9)</f>
        <v>8.7588000000000008</v>
      </c>
      <c r="F545" s="11">
        <f>8.7588 * CHOOSE(CONTROL!$C$32, $C$9, 100%, $E$9)</f>
        <v>8.7588000000000008</v>
      </c>
      <c r="G545" s="11">
        <f>8.7625 * CHOOSE(CONTROL!$C$32, $C$9, 100%, $E$9)</f>
        <v>8.7624999999999993</v>
      </c>
      <c r="H545" s="11">
        <f>16.743 * CHOOSE(CONTROL!$C$32, $C$9, 100%, $E$9)</f>
        <v>16.742999999999999</v>
      </c>
      <c r="I545" s="11">
        <f>16.7466 * CHOOSE(CONTROL!$C$32, $C$9, 100%, $E$9)</f>
        <v>16.746600000000001</v>
      </c>
      <c r="J545" s="11">
        <f>16.743 * CHOOSE(CONTROL!$C$32, $C$9, 100%, $E$9)</f>
        <v>16.742999999999999</v>
      </c>
      <c r="K545" s="11">
        <f>16.7466 * CHOOSE(CONTROL!$C$32, $C$9, 100%, $E$9)</f>
        <v>16.746600000000001</v>
      </c>
      <c r="L545" s="11">
        <f>8.7588 * CHOOSE(CONTROL!$C$32, $C$9, 100%, $E$9)</f>
        <v>8.7588000000000008</v>
      </c>
      <c r="M545" s="11">
        <f>8.7625 * CHOOSE(CONTROL!$C$32, $C$9, 100%, $E$9)</f>
        <v>8.7624999999999993</v>
      </c>
      <c r="N545" s="11">
        <f>8.7588 * CHOOSE(CONTROL!$C$32, $C$9, 100%, $E$9)</f>
        <v>8.7588000000000008</v>
      </c>
      <c r="O545" s="11">
        <f>8.7625 * CHOOSE(CONTROL!$C$32, $C$9, 100%, $E$9)</f>
        <v>8.7624999999999993</v>
      </c>
    </row>
    <row r="546" spans="1:15" ht="15" x14ac:dyDescent="0.2">
      <c r="A546" s="13">
        <v>57466</v>
      </c>
      <c r="B546" s="9">
        <f>7.7152 * CHOOSE(CONTROL!$C$32, $C$9, 100%, $E$9)</f>
        <v>7.7152000000000003</v>
      </c>
      <c r="C546" s="9">
        <f>7.7152 * CHOOSE(CONTROL!$C$32, $C$9, 100%, $E$9)</f>
        <v>7.7152000000000003</v>
      </c>
      <c r="D546" s="9">
        <f>7.7168 * CHOOSE(CONTROL!$C$32, $C$9, 100%, $E$9)</f>
        <v>7.7168000000000001</v>
      </c>
      <c r="E546" s="11">
        <f>8.8217 * CHOOSE(CONTROL!$C$32, $C$9, 100%, $E$9)</f>
        <v>8.8216999999999999</v>
      </c>
      <c r="F546" s="11">
        <f>8.8217 * CHOOSE(CONTROL!$C$32, $C$9, 100%, $E$9)</f>
        <v>8.8216999999999999</v>
      </c>
      <c r="G546" s="11">
        <f>8.827 * CHOOSE(CONTROL!$C$32, $C$9, 100%, $E$9)</f>
        <v>8.827</v>
      </c>
      <c r="H546" s="11">
        <f>16.7779 * CHOOSE(CONTROL!$C$32, $C$9, 100%, $E$9)</f>
        <v>16.777899999999999</v>
      </c>
      <c r="I546" s="11">
        <f>16.7832 * CHOOSE(CONTROL!$C$32, $C$9, 100%, $E$9)</f>
        <v>16.783200000000001</v>
      </c>
      <c r="J546" s="11">
        <f>16.7779 * CHOOSE(CONTROL!$C$32, $C$9, 100%, $E$9)</f>
        <v>16.777899999999999</v>
      </c>
      <c r="K546" s="11">
        <f>16.7832 * CHOOSE(CONTROL!$C$32, $C$9, 100%, $E$9)</f>
        <v>16.783200000000001</v>
      </c>
      <c r="L546" s="11">
        <f>8.8217 * CHOOSE(CONTROL!$C$32, $C$9, 100%, $E$9)</f>
        <v>8.8216999999999999</v>
      </c>
      <c r="M546" s="11">
        <f>8.827 * CHOOSE(CONTROL!$C$32, $C$9, 100%, $E$9)</f>
        <v>8.827</v>
      </c>
      <c r="N546" s="11">
        <f>8.8217 * CHOOSE(CONTROL!$C$32, $C$9, 100%, $E$9)</f>
        <v>8.8216999999999999</v>
      </c>
      <c r="O546" s="11">
        <f>8.827 * CHOOSE(CONTROL!$C$32, $C$9, 100%, $E$9)</f>
        <v>8.827</v>
      </c>
    </row>
    <row r="547" spans="1:15" ht="15" x14ac:dyDescent="0.2">
      <c r="A547" s="13">
        <v>57497</v>
      </c>
      <c r="B547" s="9">
        <f>7.7213 * CHOOSE(CONTROL!$C$32, $C$9, 100%, $E$9)</f>
        <v>7.7213000000000003</v>
      </c>
      <c r="C547" s="9">
        <f>7.7213 * CHOOSE(CONTROL!$C$32, $C$9, 100%, $E$9)</f>
        <v>7.7213000000000003</v>
      </c>
      <c r="D547" s="9">
        <f>7.7228 * CHOOSE(CONTROL!$C$32, $C$9, 100%, $E$9)</f>
        <v>7.7228000000000003</v>
      </c>
      <c r="E547" s="11">
        <f>8.7631 * CHOOSE(CONTROL!$C$32, $C$9, 100%, $E$9)</f>
        <v>8.7630999999999997</v>
      </c>
      <c r="F547" s="11">
        <f>8.7631 * CHOOSE(CONTROL!$C$32, $C$9, 100%, $E$9)</f>
        <v>8.7630999999999997</v>
      </c>
      <c r="G547" s="11">
        <f>8.7684 * CHOOSE(CONTROL!$C$32, $C$9, 100%, $E$9)</f>
        <v>8.7683999999999997</v>
      </c>
      <c r="H547" s="11">
        <f>16.8128 * CHOOSE(CONTROL!$C$32, $C$9, 100%, $E$9)</f>
        <v>16.812799999999999</v>
      </c>
      <c r="I547" s="11">
        <f>16.8181 * CHOOSE(CONTROL!$C$32, $C$9, 100%, $E$9)</f>
        <v>16.818100000000001</v>
      </c>
      <c r="J547" s="11">
        <f>16.8128 * CHOOSE(CONTROL!$C$32, $C$9, 100%, $E$9)</f>
        <v>16.812799999999999</v>
      </c>
      <c r="K547" s="11">
        <f>16.8181 * CHOOSE(CONTROL!$C$32, $C$9, 100%, $E$9)</f>
        <v>16.818100000000001</v>
      </c>
      <c r="L547" s="11">
        <f>8.7631 * CHOOSE(CONTROL!$C$32, $C$9, 100%, $E$9)</f>
        <v>8.7630999999999997</v>
      </c>
      <c r="M547" s="11">
        <f>8.7684 * CHOOSE(CONTROL!$C$32, $C$9, 100%, $E$9)</f>
        <v>8.7683999999999997</v>
      </c>
      <c r="N547" s="11">
        <f>8.7631 * CHOOSE(CONTROL!$C$32, $C$9, 100%, $E$9)</f>
        <v>8.7630999999999997</v>
      </c>
      <c r="O547" s="11">
        <f>8.7684 * CHOOSE(CONTROL!$C$32, $C$9, 100%, $E$9)</f>
        <v>8.7683999999999997</v>
      </c>
    </row>
    <row r="548" spans="1:15" ht="15" x14ac:dyDescent="0.2">
      <c r="A548" s="13">
        <v>57527</v>
      </c>
      <c r="B548" s="9">
        <f>7.8207 * CHOOSE(CONTROL!$C$32, $C$9, 100%, $E$9)</f>
        <v>7.8207000000000004</v>
      </c>
      <c r="C548" s="9">
        <f>7.8207 * CHOOSE(CONTROL!$C$32, $C$9, 100%, $E$9)</f>
        <v>7.8207000000000004</v>
      </c>
      <c r="D548" s="9">
        <f>7.8222 * CHOOSE(CONTROL!$C$32, $C$9, 100%, $E$9)</f>
        <v>7.8221999999999996</v>
      </c>
      <c r="E548" s="11">
        <f>8.8842 * CHOOSE(CONTROL!$C$32, $C$9, 100%, $E$9)</f>
        <v>8.8841999999999999</v>
      </c>
      <c r="F548" s="11">
        <f>8.8842 * CHOOSE(CONTROL!$C$32, $C$9, 100%, $E$9)</f>
        <v>8.8841999999999999</v>
      </c>
      <c r="G548" s="11">
        <f>8.8895 * CHOOSE(CONTROL!$C$32, $C$9, 100%, $E$9)</f>
        <v>8.8895</v>
      </c>
      <c r="H548" s="11">
        <f>16.8478 * CHOOSE(CONTROL!$C$32, $C$9, 100%, $E$9)</f>
        <v>16.847799999999999</v>
      </c>
      <c r="I548" s="11">
        <f>16.8531 * CHOOSE(CONTROL!$C$32, $C$9, 100%, $E$9)</f>
        <v>16.853100000000001</v>
      </c>
      <c r="J548" s="11">
        <f>16.8478 * CHOOSE(CONTROL!$C$32, $C$9, 100%, $E$9)</f>
        <v>16.847799999999999</v>
      </c>
      <c r="K548" s="11">
        <f>16.8531 * CHOOSE(CONTROL!$C$32, $C$9, 100%, $E$9)</f>
        <v>16.853100000000001</v>
      </c>
      <c r="L548" s="11">
        <f>8.8842 * CHOOSE(CONTROL!$C$32, $C$9, 100%, $E$9)</f>
        <v>8.8841999999999999</v>
      </c>
      <c r="M548" s="11">
        <f>8.8895 * CHOOSE(CONTROL!$C$32, $C$9, 100%, $E$9)</f>
        <v>8.8895</v>
      </c>
      <c r="N548" s="11">
        <f>8.8842 * CHOOSE(CONTROL!$C$32, $C$9, 100%, $E$9)</f>
        <v>8.8841999999999999</v>
      </c>
      <c r="O548" s="11">
        <f>8.8895 * CHOOSE(CONTROL!$C$32, $C$9, 100%, $E$9)</f>
        <v>8.8895</v>
      </c>
    </row>
    <row r="549" spans="1:15" ht="15" x14ac:dyDescent="0.2">
      <c r="A549" s="13">
        <v>57558</v>
      </c>
      <c r="B549" s="9">
        <f>7.8273 * CHOOSE(CONTROL!$C$32, $C$9, 100%, $E$9)</f>
        <v>7.8273000000000001</v>
      </c>
      <c r="C549" s="9">
        <f>7.8273 * CHOOSE(CONTROL!$C$32, $C$9, 100%, $E$9)</f>
        <v>7.8273000000000001</v>
      </c>
      <c r="D549" s="9">
        <f>7.8289 * CHOOSE(CONTROL!$C$32, $C$9, 100%, $E$9)</f>
        <v>7.8289</v>
      </c>
      <c r="E549" s="11">
        <f>8.7002 * CHOOSE(CONTROL!$C$32, $C$9, 100%, $E$9)</f>
        <v>8.7002000000000006</v>
      </c>
      <c r="F549" s="11">
        <f>8.7002 * CHOOSE(CONTROL!$C$32, $C$9, 100%, $E$9)</f>
        <v>8.7002000000000006</v>
      </c>
      <c r="G549" s="11">
        <f>8.7055 * CHOOSE(CONTROL!$C$32, $C$9, 100%, $E$9)</f>
        <v>8.7055000000000007</v>
      </c>
      <c r="H549" s="11">
        <f>16.8829 * CHOOSE(CONTROL!$C$32, $C$9, 100%, $E$9)</f>
        <v>16.882899999999999</v>
      </c>
      <c r="I549" s="11">
        <f>16.8882 * CHOOSE(CONTROL!$C$32, $C$9, 100%, $E$9)</f>
        <v>16.888200000000001</v>
      </c>
      <c r="J549" s="11">
        <f>16.8829 * CHOOSE(CONTROL!$C$32, $C$9, 100%, $E$9)</f>
        <v>16.882899999999999</v>
      </c>
      <c r="K549" s="11">
        <f>16.8882 * CHOOSE(CONTROL!$C$32, $C$9, 100%, $E$9)</f>
        <v>16.888200000000001</v>
      </c>
      <c r="L549" s="11">
        <f>8.7002 * CHOOSE(CONTROL!$C$32, $C$9, 100%, $E$9)</f>
        <v>8.7002000000000006</v>
      </c>
      <c r="M549" s="11">
        <f>8.7055 * CHOOSE(CONTROL!$C$32, $C$9, 100%, $E$9)</f>
        <v>8.7055000000000007</v>
      </c>
      <c r="N549" s="11">
        <f>8.7002 * CHOOSE(CONTROL!$C$32, $C$9, 100%, $E$9)</f>
        <v>8.7002000000000006</v>
      </c>
      <c r="O549" s="11">
        <f>8.7055 * CHOOSE(CONTROL!$C$32, $C$9, 100%, $E$9)</f>
        <v>8.7055000000000007</v>
      </c>
    </row>
    <row r="550" spans="1:15" ht="15" x14ac:dyDescent="0.2">
      <c r="A550" s="13">
        <v>57589</v>
      </c>
      <c r="B550" s="9">
        <f>7.8243 * CHOOSE(CONTROL!$C$32, $C$9, 100%, $E$9)</f>
        <v>7.8243</v>
      </c>
      <c r="C550" s="9">
        <f>7.8243 * CHOOSE(CONTROL!$C$32, $C$9, 100%, $E$9)</f>
        <v>7.8243</v>
      </c>
      <c r="D550" s="9">
        <f>7.8259 * CHOOSE(CONTROL!$C$32, $C$9, 100%, $E$9)</f>
        <v>7.8258999999999999</v>
      </c>
      <c r="E550" s="11">
        <f>8.6771 * CHOOSE(CONTROL!$C$32, $C$9, 100%, $E$9)</f>
        <v>8.6770999999999994</v>
      </c>
      <c r="F550" s="11">
        <f>8.6771 * CHOOSE(CONTROL!$C$32, $C$9, 100%, $E$9)</f>
        <v>8.6770999999999994</v>
      </c>
      <c r="G550" s="11">
        <f>8.6824 * CHOOSE(CONTROL!$C$32, $C$9, 100%, $E$9)</f>
        <v>8.6823999999999995</v>
      </c>
      <c r="H550" s="11">
        <f>16.9181 * CHOOSE(CONTROL!$C$32, $C$9, 100%, $E$9)</f>
        <v>16.918099999999999</v>
      </c>
      <c r="I550" s="11">
        <f>16.9234 * CHOOSE(CONTROL!$C$32, $C$9, 100%, $E$9)</f>
        <v>16.923400000000001</v>
      </c>
      <c r="J550" s="11">
        <f>16.9181 * CHOOSE(CONTROL!$C$32, $C$9, 100%, $E$9)</f>
        <v>16.918099999999999</v>
      </c>
      <c r="K550" s="11">
        <f>16.9234 * CHOOSE(CONTROL!$C$32, $C$9, 100%, $E$9)</f>
        <v>16.923400000000001</v>
      </c>
      <c r="L550" s="11">
        <f>8.6771 * CHOOSE(CONTROL!$C$32, $C$9, 100%, $E$9)</f>
        <v>8.6770999999999994</v>
      </c>
      <c r="M550" s="11">
        <f>8.6824 * CHOOSE(CONTROL!$C$32, $C$9, 100%, $E$9)</f>
        <v>8.6823999999999995</v>
      </c>
      <c r="N550" s="11">
        <f>8.6771 * CHOOSE(CONTROL!$C$32, $C$9, 100%, $E$9)</f>
        <v>8.6770999999999994</v>
      </c>
      <c r="O550" s="11">
        <f>8.6824 * CHOOSE(CONTROL!$C$32, $C$9, 100%, $E$9)</f>
        <v>8.6823999999999995</v>
      </c>
    </row>
    <row r="551" spans="1:15" ht="15" x14ac:dyDescent="0.2">
      <c r="A551" s="13">
        <v>57619</v>
      </c>
      <c r="B551" s="9">
        <f>7.8336 * CHOOSE(CONTROL!$C$32, $C$9, 100%, $E$9)</f>
        <v>7.8335999999999997</v>
      </c>
      <c r="C551" s="9">
        <f>7.8336 * CHOOSE(CONTROL!$C$32, $C$9, 100%, $E$9)</f>
        <v>7.8335999999999997</v>
      </c>
      <c r="D551" s="9">
        <f>7.8347 * CHOOSE(CONTROL!$C$32, $C$9, 100%, $E$9)</f>
        <v>7.8346999999999998</v>
      </c>
      <c r="E551" s="11">
        <f>8.7475 * CHOOSE(CONTROL!$C$32, $C$9, 100%, $E$9)</f>
        <v>8.7475000000000005</v>
      </c>
      <c r="F551" s="11">
        <f>8.7475 * CHOOSE(CONTROL!$C$32, $C$9, 100%, $E$9)</f>
        <v>8.7475000000000005</v>
      </c>
      <c r="G551" s="11">
        <f>8.7511 * CHOOSE(CONTROL!$C$32, $C$9, 100%, $E$9)</f>
        <v>8.7510999999999992</v>
      </c>
      <c r="H551" s="11">
        <f>16.9534 * CHOOSE(CONTROL!$C$32, $C$9, 100%, $E$9)</f>
        <v>16.953399999999998</v>
      </c>
      <c r="I551" s="11">
        <f>16.957 * CHOOSE(CONTROL!$C$32, $C$9, 100%, $E$9)</f>
        <v>16.957000000000001</v>
      </c>
      <c r="J551" s="11">
        <f>16.9534 * CHOOSE(CONTROL!$C$32, $C$9, 100%, $E$9)</f>
        <v>16.953399999999998</v>
      </c>
      <c r="K551" s="11">
        <f>16.957 * CHOOSE(CONTROL!$C$32, $C$9, 100%, $E$9)</f>
        <v>16.957000000000001</v>
      </c>
      <c r="L551" s="11">
        <f>8.7475 * CHOOSE(CONTROL!$C$32, $C$9, 100%, $E$9)</f>
        <v>8.7475000000000005</v>
      </c>
      <c r="M551" s="11">
        <f>8.7511 * CHOOSE(CONTROL!$C$32, $C$9, 100%, $E$9)</f>
        <v>8.7510999999999992</v>
      </c>
      <c r="N551" s="11">
        <f>8.7475 * CHOOSE(CONTROL!$C$32, $C$9, 100%, $E$9)</f>
        <v>8.7475000000000005</v>
      </c>
      <c r="O551" s="11">
        <f>8.7511 * CHOOSE(CONTROL!$C$32, $C$9, 100%, $E$9)</f>
        <v>8.7510999999999992</v>
      </c>
    </row>
    <row r="552" spans="1:15" ht="15" x14ac:dyDescent="0.2">
      <c r="A552" s="13">
        <v>57650</v>
      </c>
      <c r="B552" s="9">
        <f>7.8366 * CHOOSE(CONTROL!$C$32, $C$9, 100%, $E$9)</f>
        <v>7.8365999999999998</v>
      </c>
      <c r="C552" s="9">
        <f>7.8366 * CHOOSE(CONTROL!$C$32, $C$9, 100%, $E$9)</f>
        <v>7.8365999999999998</v>
      </c>
      <c r="D552" s="9">
        <f>7.8377 * CHOOSE(CONTROL!$C$32, $C$9, 100%, $E$9)</f>
        <v>7.8376999999999999</v>
      </c>
      <c r="E552" s="11">
        <f>8.7916 * CHOOSE(CONTROL!$C$32, $C$9, 100%, $E$9)</f>
        <v>8.7916000000000007</v>
      </c>
      <c r="F552" s="11">
        <f>8.7916 * CHOOSE(CONTROL!$C$32, $C$9, 100%, $E$9)</f>
        <v>8.7916000000000007</v>
      </c>
      <c r="G552" s="11">
        <f>8.7952 * CHOOSE(CONTROL!$C$32, $C$9, 100%, $E$9)</f>
        <v>8.7951999999999995</v>
      </c>
      <c r="H552" s="11">
        <f>16.9887 * CHOOSE(CONTROL!$C$32, $C$9, 100%, $E$9)</f>
        <v>16.988700000000001</v>
      </c>
      <c r="I552" s="11">
        <f>16.9923 * CHOOSE(CONTROL!$C$32, $C$9, 100%, $E$9)</f>
        <v>16.9923</v>
      </c>
      <c r="J552" s="11">
        <f>16.9887 * CHOOSE(CONTROL!$C$32, $C$9, 100%, $E$9)</f>
        <v>16.988700000000001</v>
      </c>
      <c r="K552" s="11">
        <f>16.9923 * CHOOSE(CONTROL!$C$32, $C$9, 100%, $E$9)</f>
        <v>16.9923</v>
      </c>
      <c r="L552" s="11">
        <f>8.7916 * CHOOSE(CONTROL!$C$32, $C$9, 100%, $E$9)</f>
        <v>8.7916000000000007</v>
      </c>
      <c r="M552" s="11">
        <f>8.7952 * CHOOSE(CONTROL!$C$32, $C$9, 100%, $E$9)</f>
        <v>8.7951999999999995</v>
      </c>
      <c r="N552" s="11">
        <f>8.7916 * CHOOSE(CONTROL!$C$32, $C$9, 100%, $E$9)</f>
        <v>8.7916000000000007</v>
      </c>
      <c r="O552" s="11">
        <f>8.7952 * CHOOSE(CONTROL!$C$32, $C$9, 100%, $E$9)</f>
        <v>8.7951999999999995</v>
      </c>
    </row>
    <row r="553" spans="1:15" ht="15" x14ac:dyDescent="0.2">
      <c r="A553" s="13">
        <v>57680</v>
      </c>
      <c r="B553" s="9">
        <f>7.8366 * CHOOSE(CONTROL!$C$32, $C$9, 100%, $E$9)</f>
        <v>7.8365999999999998</v>
      </c>
      <c r="C553" s="9">
        <f>7.8366 * CHOOSE(CONTROL!$C$32, $C$9, 100%, $E$9)</f>
        <v>7.8365999999999998</v>
      </c>
      <c r="D553" s="9">
        <f>7.8377 * CHOOSE(CONTROL!$C$32, $C$9, 100%, $E$9)</f>
        <v>7.8376999999999999</v>
      </c>
      <c r="E553" s="11">
        <f>8.6867 * CHOOSE(CONTROL!$C$32, $C$9, 100%, $E$9)</f>
        <v>8.6867000000000001</v>
      </c>
      <c r="F553" s="11">
        <f>8.6867 * CHOOSE(CONTROL!$C$32, $C$9, 100%, $E$9)</f>
        <v>8.6867000000000001</v>
      </c>
      <c r="G553" s="11">
        <f>8.6904 * CHOOSE(CONTROL!$C$32, $C$9, 100%, $E$9)</f>
        <v>8.6904000000000003</v>
      </c>
      <c r="H553" s="11">
        <f>17.0241 * CHOOSE(CONTROL!$C$32, $C$9, 100%, $E$9)</f>
        <v>17.024100000000001</v>
      </c>
      <c r="I553" s="11">
        <f>17.0277 * CHOOSE(CONTROL!$C$32, $C$9, 100%, $E$9)</f>
        <v>17.027699999999999</v>
      </c>
      <c r="J553" s="11">
        <f>17.0241 * CHOOSE(CONTROL!$C$32, $C$9, 100%, $E$9)</f>
        <v>17.024100000000001</v>
      </c>
      <c r="K553" s="11">
        <f>17.0277 * CHOOSE(CONTROL!$C$32, $C$9, 100%, $E$9)</f>
        <v>17.027699999999999</v>
      </c>
      <c r="L553" s="11">
        <f>8.6867 * CHOOSE(CONTROL!$C$32, $C$9, 100%, $E$9)</f>
        <v>8.6867000000000001</v>
      </c>
      <c r="M553" s="11">
        <f>8.6904 * CHOOSE(CONTROL!$C$32, $C$9, 100%, $E$9)</f>
        <v>8.6904000000000003</v>
      </c>
      <c r="N553" s="11">
        <f>8.6867 * CHOOSE(CONTROL!$C$32, $C$9, 100%, $E$9)</f>
        <v>8.6867000000000001</v>
      </c>
      <c r="O553" s="11">
        <f>8.6904 * CHOOSE(CONTROL!$C$32, $C$9, 100%, $E$9)</f>
        <v>8.6904000000000003</v>
      </c>
    </row>
    <row r="554" spans="1:15" ht="15" x14ac:dyDescent="0.2">
      <c r="A554" s="13">
        <v>57711</v>
      </c>
      <c r="B554" s="9">
        <f>7.8952 * CHOOSE(CONTROL!$C$32, $C$9, 100%, $E$9)</f>
        <v>7.8952</v>
      </c>
      <c r="C554" s="9">
        <f>7.8952 * CHOOSE(CONTROL!$C$32, $C$9, 100%, $E$9)</f>
        <v>7.8952</v>
      </c>
      <c r="D554" s="9">
        <f>7.8962 * CHOOSE(CONTROL!$C$32, $C$9, 100%, $E$9)</f>
        <v>7.8962000000000003</v>
      </c>
      <c r="E554" s="11">
        <f>8.8374 * CHOOSE(CONTROL!$C$32, $C$9, 100%, $E$9)</f>
        <v>8.8374000000000006</v>
      </c>
      <c r="F554" s="11">
        <f>8.8374 * CHOOSE(CONTROL!$C$32, $C$9, 100%, $E$9)</f>
        <v>8.8374000000000006</v>
      </c>
      <c r="G554" s="11">
        <f>8.841 * CHOOSE(CONTROL!$C$32, $C$9, 100%, $E$9)</f>
        <v>8.8409999999999993</v>
      </c>
      <c r="H554" s="11">
        <f>17.0595 * CHOOSE(CONTROL!$C$32, $C$9, 100%, $E$9)</f>
        <v>17.0595</v>
      </c>
      <c r="I554" s="11">
        <f>17.0632 * CHOOSE(CONTROL!$C$32, $C$9, 100%, $E$9)</f>
        <v>17.063199999999998</v>
      </c>
      <c r="J554" s="11">
        <f>17.0595 * CHOOSE(CONTROL!$C$32, $C$9, 100%, $E$9)</f>
        <v>17.0595</v>
      </c>
      <c r="K554" s="11">
        <f>17.0632 * CHOOSE(CONTROL!$C$32, $C$9, 100%, $E$9)</f>
        <v>17.063199999999998</v>
      </c>
      <c r="L554" s="11">
        <f>8.8374 * CHOOSE(CONTROL!$C$32, $C$9, 100%, $E$9)</f>
        <v>8.8374000000000006</v>
      </c>
      <c r="M554" s="11">
        <f>8.841 * CHOOSE(CONTROL!$C$32, $C$9, 100%, $E$9)</f>
        <v>8.8409999999999993</v>
      </c>
      <c r="N554" s="11">
        <f>8.8374 * CHOOSE(CONTROL!$C$32, $C$9, 100%, $E$9)</f>
        <v>8.8374000000000006</v>
      </c>
      <c r="O554" s="11">
        <f>8.841 * CHOOSE(CONTROL!$C$32, $C$9, 100%, $E$9)</f>
        <v>8.8409999999999993</v>
      </c>
    </row>
    <row r="555" spans="1:15" ht="15" x14ac:dyDescent="0.2">
      <c r="A555" s="13">
        <v>57742</v>
      </c>
      <c r="B555" s="9">
        <f>7.8921 * CHOOSE(CONTROL!$C$32, $C$9, 100%, $E$9)</f>
        <v>7.8921000000000001</v>
      </c>
      <c r="C555" s="9">
        <f>7.8921 * CHOOSE(CONTROL!$C$32, $C$9, 100%, $E$9)</f>
        <v>7.8921000000000001</v>
      </c>
      <c r="D555" s="9">
        <f>7.8932 * CHOOSE(CONTROL!$C$32, $C$9, 100%, $E$9)</f>
        <v>7.8932000000000002</v>
      </c>
      <c r="E555" s="11">
        <f>8.6307 * CHOOSE(CONTROL!$C$32, $C$9, 100%, $E$9)</f>
        <v>8.6306999999999992</v>
      </c>
      <c r="F555" s="11">
        <f>8.6307 * CHOOSE(CONTROL!$C$32, $C$9, 100%, $E$9)</f>
        <v>8.6306999999999992</v>
      </c>
      <c r="G555" s="11">
        <f>8.6344 * CHOOSE(CONTROL!$C$32, $C$9, 100%, $E$9)</f>
        <v>8.6343999999999994</v>
      </c>
      <c r="H555" s="11">
        <f>17.0951 * CHOOSE(CONTROL!$C$32, $C$9, 100%, $E$9)</f>
        <v>17.095099999999999</v>
      </c>
      <c r="I555" s="11">
        <f>17.0987 * CHOOSE(CONTROL!$C$32, $C$9, 100%, $E$9)</f>
        <v>17.098700000000001</v>
      </c>
      <c r="J555" s="11">
        <f>17.0951 * CHOOSE(CONTROL!$C$32, $C$9, 100%, $E$9)</f>
        <v>17.095099999999999</v>
      </c>
      <c r="K555" s="11">
        <f>17.0987 * CHOOSE(CONTROL!$C$32, $C$9, 100%, $E$9)</f>
        <v>17.098700000000001</v>
      </c>
      <c r="L555" s="11">
        <f>8.6307 * CHOOSE(CONTROL!$C$32, $C$9, 100%, $E$9)</f>
        <v>8.6306999999999992</v>
      </c>
      <c r="M555" s="11">
        <f>8.6344 * CHOOSE(CONTROL!$C$32, $C$9, 100%, $E$9)</f>
        <v>8.6343999999999994</v>
      </c>
      <c r="N555" s="11">
        <f>8.6307 * CHOOSE(CONTROL!$C$32, $C$9, 100%, $E$9)</f>
        <v>8.6306999999999992</v>
      </c>
      <c r="O555" s="11">
        <f>8.6344 * CHOOSE(CONTROL!$C$32, $C$9, 100%, $E$9)</f>
        <v>8.6343999999999994</v>
      </c>
    </row>
    <row r="556" spans="1:15" ht="15" x14ac:dyDescent="0.2">
      <c r="A556" s="13">
        <v>57770</v>
      </c>
      <c r="B556" s="9">
        <f>7.8891 * CHOOSE(CONTROL!$C$32, $C$9, 100%, $E$9)</f>
        <v>7.8891</v>
      </c>
      <c r="C556" s="9">
        <f>7.8891 * CHOOSE(CONTROL!$C$32, $C$9, 100%, $E$9)</f>
        <v>7.8891</v>
      </c>
      <c r="D556" s="9">
        <f>7.8902 * CHOOSE(CONTROL!$C$32, $C$9, 100%, $E$9)</f>
        <v>7.8902000000000001</v>
      </c>
      <c r="E556" s="11">
        <f>8.7899 * CHOOSE(CONTROL!$C$32, $C$9, 100%, $E$9)</f>
        <v>8.7898999999999994</v>
      </c>
      <c r="F556" s="11">
        <f>8.7899 * CHOOSE(CONTROL!$C$32, $C$9, 100%, $E$9)</f>
        <v>8.7898999999999994</v>
      </c>
      <c r="G556" s="11">
        <f>8.7935 * CHOOSE(CONTROL!$C$32, $C$9, 100%, $E$9)</f>
        <v>8.7934999999999999</v>
      </c>
      <c r="H556" s="11">
        <f>17.1307 * CHOOSE(CONTROL!$C$32, $C$9, 100%, $E$9)</f>
        <v>17.130700000000001</v>
      </c>
      <c r="I556" s="11">
        <f>17.1343 * CHOOSE(CONTROL!$C$32, $C$9, 100%, $E$9)</f>
        <v>17.1343</v>
      </c>
      <c r="J556" s="11">
        <f>17.1307 * CHOOSE(CONTROL!$C$32, $C$9, 100%, $E$9)</f>
        <v>17.130700000000001</v>
      </c>
      <c r="K556" s="11">
        <f>17.1343 * CHOOSE(CONTROL!$C$32, $C$9, 100%, $E$9)</f>
        <v>17.1343</v>
      </c>
      <c r="L556" s="11">
        <f>8.7899 * CHOOSE(CONTROL!$C$32, $C$9, 100%, $E$9)</f>
        <v>8.7898999999999994</v>
      </c>
      <c r="M556" s="11">
        <f>8.7935 * CHOOSE(CONTROL!$C$32, $C$9, 100%, $E$9)</f>
        <v>8.7934999999999999</v>
      </c>
      <c r="N556" s="11">
        <f>8.7899 * CHOOSE(CONTROL!$C$32, $C$9, 100%, $E$9)</f>
        <v>8.7898999999999994</v>
      </c>
      <c r="O556" s="11">
        <f>8.7935 * CHOOSE(CONTROL!$C$32, $C$9, 100%, $E$9)</f>
        <v>8.7934999999999999</v>
      </c>
    </row>
    <row r="557" spans="1:15" ht="15" x14ac:dyDescent="0.2">
      <c r="A557" s="13">
        <v>57801</v>
      </c>
      <c r="B557" s="9">
        <f>7.8905 * CHOOSE(CONTROL!$C$32, $C$9, 100%, $E$9)</f>
        <v>7.8905000000000003</v>
      </c>
      <c r="C557" s="9">
        <f>7.8905 * CHOOSE(CONTROL!$C$32, $C$9, 100%, $E$9)</f>
        <v>7.8905000000000003</v>
      </c>
      <c r="D557" s="9">
        <f>7.8916 * CHOOSE(CONTROL!$C$32, $C$9, 100%, $E$9)</f>
        <v>7.8916000000000004</v>
      </c>
      <c r="E557" s="11">
        <f>8.9588 * CHOOSE(CONTROL!$C$32, $C$9, 100%, $E$9)</f>
        <v>8.9588000000000001</v>
      </c>
      <c r="F557" s="11">
        <f>8.9588 * CHOOSE(CONTROL!$C$32, $C$9, 100%, $E$9)</f>
        <v>8.9588000000000001</v>
      </c>
      <c r="G557" s="11">
        <f>8.9624 * CHOOSE(CONTROL!$C$32, $C$9, 100%, $E$9)</f>
        <v>8.9624000000000006</v>
      </c>
      <c r="H557" s="11">
        <f>17.1664 * CHOOSE(CONTROL!$C$32, $C$9, 100%, $E$9)</f>
        <v>17.166399999999999</v>
      </c>
      <c r="I557" s="11">
        <f>17.17 * CHOOSE(CONTROL!$C$32, $C$9, 100%, $E$9)</f>
        <v>17.170000000000002</v>
      </c>
      <c r="J557" s="11">
        <f>17.1664 * CHOOSE(CONTROL!$C$32, $C$9, 100%, $E$9)</f>
        <v>17.166399999999999</v>
      </c>
      <c r="K557" s="11">
        <f>17.17 * CHOOSE(CONTROL!$C$32, $C$9, 100%, $E$9)</f>
        <v>17.170000000000002</v>
      </c>
      <c r="L557" s="11">
        <f>8.9588 * CHOOSE(CONTROL!$C$32, $C$9, 100%, $E$9)</f>
        <v>8.9588000000000001</v>
      </c>
      <c r="M557" s="11">
        <f>8.9624 * CHOOSE(CONTROL!$C$32, $C$9, 100%, $E$9)</f>
        <v>8.9624000000000006</v>
      </c>
      <c r="N557" s="11">
        <f>8.9588 * CHOOSE(CONTROL!$C$32, $C$9, 100%, $E$9)</f>
        <v>8.9588000000000001</v>
      </c>
      <c r="O557" s="11">
        <f>8.9624 * CHOOSE(CONTROL!$C$32, $C$9, 100%, $E$9)</f>
        <v>8.9624000000000006</v>
      </c>
    </row>
    <row r="558" spans="1:15" ht="15" x14ac:dyDescent="0.2">
      <c r="A558" s="13">
        <v>57831</v>
      </c>
      <c r="B558" s="9">
        <f>7.8905 * CHOOSE(CONTROL!$C$32, $C$9, 100%, $E$9)</f>
        <v>7.8905000000000003</v>
      </c>
      <c r="C558" s="9">
        <f>7.8905 * CHOOSE(CONTROL!$C$32, $C$9, 100%, $E$9)</f>
        <v>7.8905000000000003</v>
      </c>
      <c r="D558" s="9">
        <f>7.8921 * CHOOSE(CONTROL!$C$32, $C$9, 100%, $E$9)</f>
        <v>7.8921000000000001</v>
      </c>
      <c r="E558" s="11">
        <f>9.0237 * CHOOSE(CONTROL!$C$32, $C$9, 100%, $E$9)</f>
        <v>9.0236999999999998</v>
      </c>
      <c r="F558" s="11">
        <f>9.0237 * CHOOSE(CONTROL!$C$32, $C$9, 100%, $E$9)</f>
        <v>9.0236999999999998</v>
      </c>
      <c r="G558" s="11">
        <f>9.029 * CHOOSE(CONTROL!$C$32, $C$9, 100%, $E$9)</f>
        <v>9.0289999999999999</v>
      </c>
      <c r="H558" s="11">
        <f>17.2022 * CHOOSE(CONTROL!$C$32, $C$9, 100%, $E$9)</f>
        <v>17.202200000000001</v>
      </c>
      <c r="I558" s="11">
        <f>17.2074 * CHOOSE(CONTROL!$C$32, $C$9, 100%, $E$9)</f>
        <v>17.2074</v>
      </c>
      <c r="J558" s="11">
        <f>17.2022 * CHOOSE(CONTROL!$C$32, $C$9, 100%, $E$9)</f>
        <v>17.202200000000001</v>
      </c>
      <c r="K558" s="11">
        <f>17.2074 * CHOOSE(CONTROL!$C$32, $C$9, 100%, $E$9)</f>
        <v>17.2074</v>
      </c>
      <c r="L558" s="11">
        <f>9.0237 * CHOOSE(CONTROL!$C$32, $C$9, 100%, $E$9)</f>
        <v>9.0236999999999998</v>
      </c>
      <c r="M558" s="11">
        <f>9.029 * CHOOSE(CONTROL!$C$32, $C$9, 100%, $E$9)</f>
        <v>9.0289999999999999</v>
      </c>
      <c r="N558" s="11">
        <f>9.0237 * CHOOSE(CONTROL!$C$32, $C$9, 100%, $E$9)</f>
        <v>9.0236999999999998</v>
      </c>
      <c r="O558" s="11">
        <f>9.029 * CHOOSE(CONTROL!$C$32, $C$9, 100%, $E$9)</f>
        <v>9.0289999999999999</v>
      </c>
    </row>
    <row r="559" spans="1:15" ht="15" x14ac:dyDescent="0.2">
      <c r="A559" s="13">
        <v>57862</v>
      </c>
      <c r="B559" s="9">
        <f>7.8966 * CHOOSE(CONTROL!$C$32, $C$9, 100%, $E$9)</f>
        <v>7.8966000000000003</v>
      </c>
      <c r="C559" s="9">
        <f>7.8966 * CHOOSE(CONTROL!$C$32, $C$9, 100%, $E$9)</f>
        <v>7.8966000000000003</v>
      </c>
      <c r="D559" s="9">
        <f>7.8982 * CHOOSE(CONTROL!$C$32, $C$9, 100%, $E$9)</f>
        <v>7.8982000000000001</v>
      </c>
      <c r="E559" s="11">
        <f>8.963 * CHOOSE(CONTROL!$C$32, $C$9, 100%, $E$9)</f>
        <v>8.9629999999999992</v>
      </c>
      <c r="F559" s="11">
        <f>8.963 * CHOOSE(CONTROL!$C$32, $C$9, 100%, $E$9)</f>
        <v>8.9629999999999992</v>
      </c>
      <c r="G559" s="11">
        <f>8.9683 * CHOOSE(CONTROL!$C$32, $C$9, 100%, $E$9)</f>
        <v>8.9682999999999993</v>
      </c>
      <c r="H559" s="11">
        <f>17.238 * CHOOSE(CONTROL!$C$32, $C$9, 100%, $E$9)</f>
        <v>17.238</v>
      </c>
      <c r="I559" s="11">
        <f>17.2433 * CHOOSE(CONTROL!$C$32, $C$9, 100%, $E$9)</f>
        <v>17.243300000000001</v>
      </c>
      <c r="J559" s="11">
        <f>17.238 * CHOOSE(CONTROL!$C$32, $C$9, 100%, $E$9)</f>
        <v>17.238</v>
      </c>
      <c r="K559" s="11">
        <f>17.2433 * CHOOSE(CONTROL!$C$32, $C$9, 100%, $E$9)</f>
        <v>17.243300000000001</v>
      </c>
      <c r="L559" s="11">
        <f>8.963 * CHOOSE(CONTROL!$C$32, $C$9, 100%, $E$9)</f>
        <v>8.9629999999999992</v>
      </c>
      <c r="M559" s="11">
        <f>8.9683 * CHOOSE(CONTROL!$C$32, $C$9, 100%, $E$9)</f>
        <v>8.9682999999999993</v>
      </c>
      <c r="N559" s="11">
        <f>8.963 * CHOOSE(CONTROL!$C$32, $C$9, 100%, $E$9)</f>
        <v>8.9629999999999992</v>
      </c>
      <c r="O559" s="11">
        <f>8.9683 * CHOOSE(CONTROL!$C$32, $C$9, 100%, $E$9)</f>
        <v>8.9682999999999993</v>
      </c>
    </row>
    <row r="560" spans="1:15" ht="15" x14ac:dyDescent="0.2">
      <c r="A560" s="13">
        <v>57892</v>
      </c>
      <c r="B560" s="9">
        <f>7.9979 * CHOOSE(CONTROL!$C$32, $C$9, 100%, $E$9)</f>
        <v>7.9978999999999996</v>
      </c>
      <c r="C560" s="9">
        <f>7.9979 * CHOOSE(CONTROL!$C$32, $C$9, 100%, $E$9)</f>
        <v>7.9978999999999996</v>
      </c>
      <c r="D560" s="9">
        <f>7.9995 * CHOOSE(CONTROL!$C$32, $C$9, 100%, $E$9)</f>
        <v>7.9995000000000003</v>
      </c>
      <c r="E560" s="11">
        <f>9.0871 * CHOOSE(CONTROL!$C$32, $C$9, 100%, $E$9)</f>
        <v>9.0870999999999995</v>
      </c>
      <c r="F560" s="11">
        <f>9.0871 * CHOOSE(CONTROL!$C$32, $C$9, 100%, $E$9)</f>
        <v>9.0870999999999995</v>
      </c>
      <c r="G560" s="11">
        <f>9.0924 * CHOOSE(CONTROL!$C$32, $C$9, 100%, $E$9)</f>
        <v>9.0923999999999996</v>
      </c>
      <c r="H560" s="11">
        <f>17.2739 * CHOOSE(CONTROL!$C$32, $C$9, 100%, $E$9)</f>
        <v>17.273900000000001</v>
      </c>
      <c r="I560" s="11">
        <f>17.2792 * CHOOSE(CONTROL!$C$32, $C$9, 100%, $E$9)</f>
        <v>17.279199999999999</v>
      </c>
      <c r="J560" s="11">
        <f>17.2739 * CHOOSE(CONTROL!$C$32, $C$9, 100%, $E$9)</f>
        <v>17.273900000000001</v>
      </c>
      <c r="K560" s="11">
        <f>17.2792 * CHOOSE(CONTROL!$C$32, $C$9, 100%, $E$9)</f>
        <v>17.279199999999999</v>
      </c>
      <c r="L560" s="11">
        <f>9.0871 * CHOOSE(CONTROL!$C$32, $C$9, 100%, $E$9)</f>
        <v>9.0870999999999995</v>
      </c>
      <c r="M560" s="11">
        <f>9.0924 * CHOOSE(CONTROL!$C$32, $C$9, 100%, $E$9)</f>
        <v>9.0923999999999996</v>
      </c>
      <c r="N560" s="11">
        <f>9.0871 * CHOOSE(CONTROL!$C$32, $C$9, 100%, $E$9)</f>
        <v>9.0870999999999995</v>
      </c>
      <c r="O560" s="11">
        <f>9.0924 * CHOOSE(CONTROL!$C$32, $C$9, 100%, $E$9)</f>
        <v>9.0923999999999996</v>
      </c>
    </row>
    <row r="561" spans="1:15" ht="15" x14ac:dyDescent="0.2">
      <c r="A561" s="13">
        <v>57923</v>
      </c>
      <c r="B561" s="9">
        <f>8.0046 * CHOOSE(CONTROL!$C$32, $C$9, 100%, $E$9)</f>
        <v>8.0045999999999999</v>
      </c>
      <c r="C561" s="9">
        <f>8.0046 * CHOOSE(CONTROL!$C$32, $C$9, 100%, $E$9)</f>
        <v>8.0045999999999999</v>
      </c>
      <c r="D561" s="9">
        <f>8.0062 * CHOOSE(CONTROL!$C$32, $C$9, 100%, $E$9)</f>
        <v>8.0061999999999998</v>
      </c>
      <c r="E561" s="11">
        <f>8.897 * CHOOSE(CONTROL!$C$32, $C$9, 100%, $E$9)</f>
        <v>8.8970000000000002</v>
      </c>
      <c r="F561" s="11">
        <f>8.897 * CHOOSE(CONTROL!$C$32, $C$9, 100%, $E$9)</f>
        <v>8.8970000000000002</v>
      </c>
      <c r="G561" s="11">
        <f>8.9022 * CHOOSE(CONTROL!$C$32, $C$9, 100%, $E$9)</f>
        <v>8.9022000000000006</v>
      </c>
      <c r="H561" s="11">
        <f>17.3099 * CHOOSE(CONTROL!$C$32, $C$9, 100%, $E$9)</f>
        <v>17.309899999999999</v>
      </c>
      <c r="I561" s="11">
        <f>17.3152 * CHOOSE(CONTROL!$C$32, $C$9, 100%, $E$9)</f>
        <v>17.315200000000001</v>
      </c>
      <c r="J561" s="11">
        <f>17.3099 * CHOOSE(CONTROL!$C$32, $C$9, 100%, $E$9)</f>
        <v>17.309899999999999</v>
      </c>
      <c r="K561" s="11">
        <f>17.3152 * CHOOSE(CONTROL!$C$32, $C$9, 100%, $E$9)</f>
        <v>17.315200000000001</v>
      </c>
      <c r="L561" s="11">
        <f>8.897 * CHOOSE(CONTROL!$C$32, $C$9, 100%, $E$9)</f>
        <v>8.8970000000000002</v>
      </c>
      <c r="M561" s="11">
        <f>8.9022 * CHOOSE(CONTROL!$C$32, $C$9, 100%, $E$9)</f>
        <v>8.9022000000000006</v>
      </c>
      <c r="N561" s="11">
        <f>8.897 * CHOOSE(CONTROL!$C$32, $C$9, 100%, $E$9)</f>
        <v>8.8970000000000002</v>
      </c>
      <c r="O561" s="11">
        <f>8.9022 * CHOOSE(CONTROL!$C$32, $C$9, 100%, $E$9)</f>
        <v>8.9022000000000006</v>
      </c>
    </row>
    <row r="562" spans="1:15" ht="15" x14ac:dyDescent="0.2">
      <c r="A562" s="13">
        <v>57954</v>
      </c>
      <c r="B562" s="9">
        <f>8.0015 * CHOOSE(CONTROL!$C$32, $C$9, 100%, $E$9)</f>
        <v>8.0015000000000001</v>
      </c>
      <c r="C562" s="9">
        <f>8.0015 * CHOOSE(CONTROL!$C$32, $C$9, 100%, $E$9)</f>
        <v>8.0015000000000001</v>
      </c>
      <c r="D562" s="9">
        <f>8.0031 * CHOOSE(CONTROL!$C$32, $C$9, 100%, $E$9)</f>
        <v>8.0030999999999999</v>
      </c>
      <c r="E562" s="11">
        <f>8.8732 * CHOOSE(CONTROL!$C$32, $C$9, 100%, $E$9)</f>
        <v>8.8732000000000006</v>
      </c>
      <c r="F562" s="11">
        <f>8.8732 * CHOOSE(CONTROL!$C$32, $C$9, 100%, $E$9)</f>
        <v>8.8732000000000006</v>
      </c>
      <c r="G562" s="11">
        <f>8.8785 * CHOOSE(CONTROL!$C$32, $C$9, 100%, $E$9)</f>
        <v>8.8785000000000007</v>
      </c>
      <c r="H562" s="11">
        <f>17.346 * CHOOSE(CONTROL!$C$32, $C$9, 100%, $E$9)</f>
        <v>17.346</v>
      </c>
      <c r="I562" s="11">
        <f>17.3512 * CHOOSE(CONTROL!$C$32, $C$9, 100%, $E$9)</f>
        <v>17.351199999999999</v>
      </c>
      <c r="J562" s="11">
        <f>17.346 * CHOOSE(CONTROL!$C$32, $C$9, 100%, $E$9)</f>
        <v>17.346</v>
      </c>
      <c r="K562" s="11">
        <f>17.3512 * CHOOSE(CONTROL!$C$32, $C$9, 100%, $E$9)</f>
        <v>17.351199999999999</v>
      </c>
      <c r="L562" s="11">
        <f>8.8732 * CHOOSE(CONTROL!$C$32, $C$9, 100%, $E$9)</f>
        <v>8.8732000000000006</v>
      </c>
      <c r="M562" s="11">
        <f>8.8785 * CHOOSE(CONTROL!$C$32, $C$9, 100%, $E$9)</f>
        <v>8.8785000000000007</v>
      </c>
      <c r="N562" s="11">
        <f>8.8732 * CHOOSE(CONTROL!$C$32, $C$9, 100%, $E$9)</f>
        <v>8.8732000000000006</v>
      </c>
      <c r="O562" s="11">
        <f>8.8785 * CHOOSE(CONTROL!$C$32, $C$9, 100%, $E$9)</f>
        <v>8.8785000000000007</v>
      </c>
    </row>
    <row r="563" spans="1:15" ht="15" x14ac:dyDescent="0.2">
      <c r="A563" s="13">
        <v>57984</v>
      </c>
      <c r="B563" s="9">
        <f>8.0115 * CHOOSE(CONTROL!$C$32, $C$9, 100%, $E$9)</f>
        <v>8.0114999999999998</v>
      </c>
      <c r="C563" s="9">
        <f>8.0115 * CHOOSE(CONTROL!$C$32, $C$9, 100%, $E$9)</f>
        <v>8.0114999999999998</v>
      </c>
      <c r="D563" s="9">
        <f>8.0126 * CHOOSE(CONTROL!$C$32, $C$9, 100%, $E$9)</f>
        <v>8.0126000000000008</v>
      </c>
      <c r="E563" s="11">
        <f>8.9464 * CHOOSE(CONTROL!$C$32, $C$9, 100%, $E$9)</f>
        <v>8.9464000000000006</v>
      </c>
      <c r="F563" s="11">
        <f>8.9464 * CHOOSE(CONTROL!$C$32, $C$9, 100%, $E$9)</f>
        <v>8.9464000000000006</v>
      </c>
      <c r="G563" s="11">
        <f>8.95 * CHOOSE(CONTROL!$C$32, $C$9, 100%, $E$9)</f>
        <v>8.9499999999999993</v>
      </c>
      <c r="H563" s="11">
        <f>17.3821 * CHOOSE(CONTROL!$C$32, $C$9, 100%, $E$9)</f>
        <v>17.382100000000001</v>
      </c>
      <c r="I563" s="11">
        <f>17.3857 * CHOOSE(CONTROL!$C$32, $C$9, 100%, $E$9)</f>
        <v>17.3857</v>
      </c>
      <c r="J563" s="11">
        <f>17.3821 * CHOOSE(CONTROL!$C$32, $C$9, 100%, $E$9)</f>
        <v>17.382100000000001</v>
      </c>
      <c r="K563" s="11">
        <f>17.3857 * CHOOSE(CONTROL!$C$32, $C$9, 100%, $E$9)</f>
        <v>17.3857</v>
      </c>
      <c r="L563" s="11">
        <f>8.9464 * CHOOSE(CONTROL!$C$32, $C$9, 100%, $E$9)</f>
        <v>8.9464000000000006</v>
      </c>
      <c r="M563" s="11">
        <f>8.95 * CHOOSE(CONTROL!$C$32, $C$9, 100%, $E$9)</f>
        <v>8.9499999999999993</v>
      </c>
      <c r="N563" s="11">
        <f>8.9464 * CHOOSE(CONTROL!$C$32, $C$9, 100%, $E$9)</f>
        <v>8.9464000000000006</v>
      </c>
      <c r="O563" s="11">
        <f>8.95 * CHOOSE(CONTROL!$C$32, $C$9, 100%, $E$9)</f>
        <v>8.9499999999999993</v>
      </c>
    </row>
    <row r="564" spans="1:15" ht="15" x14ac:dyDescent="0.2">
      <c r="A564" s="13">
        <v>58015</v>
      </c>
      <c r="B564" s="9">
        <f>8.0145 * CHOOSE(CONTROL!$C$32, $C$9, 100%, $E$9)</f>
        <v>8.0145</v>
      </c>
      <c r="C564" s="9">
        <f>8.0145 * CHOOSE(CONTROL!$C$32, $C$9, 100%, $E$9)</f>
        <v>8.0145</v>
      </c>
      <c r="D564" s="9">
        <f>8.0156 * CHOOSE(CONTROL!$C$32, $C$9, 100%, $E$9)</f>
        <v>8.0155999999999992</v>
      </c>
      <c r="E564" s="11">
        <f>8.9918 * CHOOSE(CONTROL!$C$32, $C$9, 100%, $E$9)</f>
        <v>8.9917999999999996</v>
      </c>
      <c r="F564" s="11">
        <f>8.9918 * CHOOSE(CONTROL!$C$32, $C$9, 100%, $E$9)</f>
        <v>8.9917999999999996</v>
      </c>
      <c r="G564" s="11">
        <f>8.9954 * CHOOSE(CONTROL!$C$32, $C$9, 100%, $E$9)</f>
        <v>8.9954000000000001</v>
      </c>
      <c r="H564" s="11">
        <f>17.4183 * CHOOSE(CONTROL!$C$32, $C$9, 100%, $E$9)</f>
        <v>17.418299999999999</v>
      </c>
      <c r="I564" s="11">
        <f>17.4219 * CHOOSE(CONTROL!$C$32, $C$9, 100%, $E$9)</f>
        <v>17.421900000000001</v>
      </c>
      <c r="J564" s="11">
        <f>17.4183 * CHOOSE(CONTROL!$C$32, $C$9, 100%, $E$9)</f>
        <v>17.418299999999999</v>
      </c>
      <c r="K564" s="11">
        <f>17.4219 * CHOOSE(CONTROL!$C$32, $C$9, 100%, $E$9)</f>
        <v>17.421900000000001</v>
      </c>
      <c r="L564" s="11">
        <f>8.9918 * CHOOSE(CONTROL!$C$32, $C$9, 100%, $E$9)</f>
        <v>8.9917999999999996</v>
      </c>
      <c r="M564" s="11">
        <f>8.9954 * CHOOSE(CONTROL!$C$32, $C$9, 100%, $E$9)</f>
        <v>8.9954000000000001</v>
      </c>
      <c r="N564" s="11">
        <f>8.9918 * CHOOSE(CONTROL!$C$32, $C$9, 100%, $E$9)</f>
        <v>8.9917999999999996</v>
      </c>
      <c r="O564" s="11">
        <f>8.9954 * CHOOSE(CONTROL!$C$32, $C$9, 100%, $E$9)</f>
        <v>8.9954000000000001</v>
      </c>
    </row>
    <row r="565" spans="1:15" ht="15" x14ac:dyDescent="0.2">
      <c r="A565" s="13">
        <v>58045</v>
      </c>
      <c r="B565" s="9">
        <f>8.0145 * CHOOSE(CONTROL!$C$32, $C$9, 100%, $E$9)</f>
        <v>8.0145</v>
      </c>
      <c r="C565" s="9">
        <f>8.0145 * CHOOSE(CONTROL!$C$32, $C$9, 100%, $E$9)</f>
        <v>8.0145</v>
      </c>
      <c r="D565" s="9">
        <f>8.0156 * CHOOSE(CONTROL!$C$32, $C$9, 100%, $E$9)</f>
        <v>8.0155999999999992</v>
      </c>
      <c r="E565" s="11">
        <f>8.8835 * CHOOSE(CONTROL!$C$32, $C$9, 100%, $E$9)</f>
        <v>8.8834999999999997</v>
      </c>
      <c r="F565" s="11">
        <f>8.8835 * CHOOSE(CONTROL!$C$32, $C$9, 100%, $E$9)</f>
        <v>8.8834999999999997</v>
      </c>
      <c r="G565" s="11">
        <f>8.8872 * CHOOSE(CONTROL!$C$32, $C$9, 100%, $E$9)</f>
        <v>8.8872</v>
      </c>
      <c r="H565" s="11">
        <f>17.4546 * CHOOSE(CONTROL!$C$32, $C$9, 100%, $E$9)</f>
        <v>17.454599999999999</v>
      </c>
      <c r="I565" s="11">
        <f>17.4582 * CHOOSE(CONTROL!$C$32, $C$9, 100%, $E$9)</f>
        <v>17.458200000000001</v>
      </c>
      <c r="J565" s="11">
        <f>17.4546 * CHOOSE(CONTROL!$C$32, $C$9, 100%, $E$9)</f>
        <v>17.454599999999999</v>
      </c>
      <c r="K565" s="11">
        <f>17.4582 * CHOOSE(CONTROL!$C$32, $C$9, 100%, $E$9)</f>
        <v>17.458200000000001</v>
      </c>
      <c r="L565" s="11">
        <f>8.8835 * CHOOSE(CONTROL!$C$32, $C$9, 100%, $E$9)</f>
        <v>8.8834999999999997</v>
      </c>
      <c r="M565" s="11">
        <f>8.8872 * CHOOSE(CONTROL!$C$32, $C$9, 100%, $E$9)</f>
        <v>8.8872</v>
      </c>
      <c r="N565" s="11">
        <f>8.8835 * CHOOSE(CONTROL!$C$32, $C$9, 100%, $E$9)</f>
        <v>8.8834999999999997</v>
      </c>
      <c r="O565" s="11">
        <f>8.8872 * CHOOSE(CONTROL!$C$32, $C$9, 100%, $E$9)</f>
        <v>8.8872</v>
      </c>
    </row>
    <row r="566" spans="1:15" ht="15" x14ac:dyDescent="0.2">
      <c r="A566" s="13">
        <v>58076</v>
      </c>
      <c r="B566" s="9">
        <f>8.0743 * CHOOSE(CONTROL!$C$32, $C$9, 100%, $E$9)</f>
        <v>8.0742999999999991</v>
      </c>
      <c r="C566" s="9">
        <f>8.0743 * CHOOSE(CONTROL!$C$32, $C$9, 100%, $E$9)</f>
        <v>8.0742999999999991</v>
      </c>
      <c r="D566" s="9">
        <f>8.0754 * CHOOSE(CONTROL!$C$32, $C$9, 100%, $E$9)</f>
        <v>8.0754000000000001</v>
      </c>
      <c r="E566" s="11">
        <f>9.0387 * CHOOSE(CONTROL!$C$32, $C$9, 100%, $E$9)</f>
        <v>9.0387000000000004</v>
      </c>
      <c r="F566" s="11">
        <f>9.0387 * CHOOSE(CONTROL!$C$32, $C$9, 100%, $E$9)</f>
        <v>9.0387000000000004</v>
      </c>
      <c r="G566" s="11">
        <f>9.0423 * CHOOSE(CONTROL!$C$32, $C$9, 100%, $E$9)</f>
        <v>9.0422999999999991</v>
      </c>
      <c r="H566" s="11">
        <f>17.491 * CHOOSE(CONTROL!$C$32, $C$9, 100%, $E$9)</f>
        <v>17.491</v>
      </c>
      <c r="I566" s="11">
        <f>17.4946 * CHOOSE(CONTROL!$C$32, $C$9, 100%, $E$9)</f>
        <v>17.494599999999998</v>
      </c>
      <c r="J566" s="11">
        <f>17.491 * CHOOSE(CONTROL!$C$32, $C$9, 100%, $E$9)</f>
        <v>17.491</v>
      </c>
      <c r="K566" s="11">
        <f>17.4946 * CHOOSE(CONTROL!$C$32, $C$9, 100%, $E$9)</f>
        <v>17.494599999999998</v>
      </c>
      <c r="L566" s="11">
        <f>9.0387 * CHOOSE(CONTROL!$C$32, $C$9, 100%, $E$9)</f>
        <v>9.0387000000000004</v>
      </c>
      <c r="M566" s="11">
        <f>9.0423 * CHOOSE(CONTROL!$C$32, $C$9, 100%, $E$9)</f>
        <v>9.0422999999999991</v>
      </c>
      <c r="N566" s="11">
        <f>9.0387 * CHOOSE(CONTROL!$C$32, $C$9, 100%, $E$9)</f>
        <v>9.0387000000000004</v>
      </c>
      <c r="O566" s="11">
        <f>9.0423 * CHOOSE(CONTROL!$C$32, $C$9, 100%, $E$9)</f>
        <v>9.0422999999999991</v>
      </c>
    </row>
    <row r="567" spans="1:15" ht="15" x14ac:dyDescent="0.2">
      <c r="A567" s="13">
        <v>58107</v>
      </c>
      <c r="B567" s="9">
        <f>8.0713 * CHOOSE(CONTROL!$C$32, $C$9, 100%, $E$9)</f>
        <v>8.0713000000000008</v>
      </c>
      <c r="C567" s="9">
        <f>8.0713 * CHOOSE(CONTROL!$C$32, $C$9, 100%, $E$9)</f>
        <v>8.0713000000000008</v>
      </c>
      <c r="D567" s="9">
        <f>8.0723 * CHOOSE(CONTROL!$C$32, $C$9, 100%, $E$9)</f>
        <v>8.0723000000000003</v>
      </c>
      <c r="E567" s="11">
        <f>8.8254 * CHOOSE(CONTROL!$C$32, $C$9, 100%, $E$9)</f>
        <v>8.8254000000000001</v>
      </c>
      <c r="F567" s="11">
        <f>8.8254 * CHOOSE(CONTROL!$C$32, $C$9, 100%, $E$9)</f>
        <v>8.8254000000000001</v>
      </c>
      <c r="G567" s="11">
        <f>8.829 * CHOOSE(CONTROL!$C$32, $C$9, 100%, $E$9)</f>
        <v>8.8290000000000006</v>
      </c>
      <c r="H567" s="11">
        <f>17.5274 * CHOOSE(CONTROL!$C$32, $C$9, 100%, $E$9)</f>
        <v>17.5274</v>
      </c>
      <c r="I567" s="11">
        <f>17.531 * CHOOSE(CONTROL!$C$32, $C$9, 100%, $E$9)</f>
        <v>17.530999999999999</v>
      </c>
      <c r="J567" s="11">
        <f>17.5274 * CHOOSE(CONTROL!$C$32, $C$9, 100%, $E$9)</f>
        <v>17.5274</v>
      </c>
      <c r="K567" s="11">
        <f>17.531 * CHOOSE(CONTROL!$C$32, $C$9, 100%, $E$9)</f>
        <v>17.530999999999999</v>
      </c>
      <c r="L567" s="11">
        <f>8.8254 * CHOOSE(CONTROL!$C$32, $C$9, 100%, $E$9)</f>
        <v>8.8254000000000001</v>
      </c>
      <c r="M567" s="11">
        <f>8.829 * CHOOSE(CONTROL!$C$32, $C$9, 100%, $E$9)</f>
        <v>8.8290000000000006</v>
      </c>
      <c r="N567" s="11">
        <f>8.8254 * CHOOSE(CONTROL!$C$32, $C$9, 100%, $E$9)</f>
        <v>8.8254000000000001</v>
      </c>
      <c r="O567" s="11">
        <f>8.829 * CHOOSE(CONTROL!$C$32, $C$9, 100%, $E$9)</f>
        <v>8.8290000000000006</v>
      </c>
    </row>
    <row r="568" spans="1:15" ht="15" x14ac:dyDescent="0.2">
      <c r="A568" s="13">
        <v>58135</v>
      </c>
      <c r="B568" s="9">
        <f>8.0682 * CHOOSE(CONTROL!$C$32, $C$9, 100%, $E$9)</f>
        <v>8.0681999999999992</v>
      </c>
      <c r="C568" s="9">
        <f>8.0682 * CHOOSE(CONTROL!$C$32, $C$9, 100%, $E$9)</f>
        <v>8.0681999999999992</v>
      </c>
      <c r="D568" s="9">
        <f>8.0693 * CHOOSE(CONTROL!$C$32, $C$9, 100%, $E$9)</f>
        <v>8.0693000000000001</v>
      </c>
      <c r="E568" s="11">
        <f>8.9897 * CHOOSE(CONTROL!$C$32, $C$9, 100%, $E$9)</f>
        <v>8.9896999999999991</v>
      </c>
      <c r="F568" s="11">
        <f>8.9897 * CHOOSE(CONTROL!$C$32, $C$9, 100%, $E$9)</f>
        <v>8.9896999999999991</v>
      </c>
      <c r="G568" s="11">
        <f>8.9934 * CHOOSE(CONTROL!$C$32, $C$9, 100%, $E$9)</f>
        <v>8.9933999999999994</v>
      </c>
      <c r="H568" s="11">
        <f>17.5639 * CHOOSE(CONTROL!$C$32, $C$9, 100%, $E$9)</f>
        <v>17.5639</v>
      </c>
      <c r="I568" s="11">
        <f>17.5675 * CHOOSE(CONTROL!$C$32, $C$9, 100%, $E$9)</f>
        <v>17.567499999999999</v>
      </c>
      <c r="J568" s="11">
        <f>17.5639 * CHOOSE(CONTROL!$C$32, $C$9, 100%, $E$9)</f>
        <v>17.5639</v>
      </c>
      <c r="K568" s="11">
        <f>17.5675 * CHOOSE(CONTROL!$C$32, $C$9, 100%, $E$9)</f>
        <v>17.567499999999999</v>
      </c>
      <c r="L568" s="11">
        <f>8.9897 * CHOOSE(CONTROL!$C$32, $C$9, 100%, $E$9)</f>
        <v>8.9896999999999991</v>
      </c>
      <c r="M568" s="11">
        <f>8.9934 * CHOOSE(CONTROL!$C$32, $C$9, 100%, $E$9)</f>
        <v>8.9933999999999994</v>
      </c>
      <c r="N568" s="11">
        <f>8.9897 * CHOOSE(CONTROL!$C$32, $C$9, 100%, $E$9)</f>
        <v>8.9896999999999991</v>
      </c>
      <c r="O568" s="11">
        <f>8.9934 * CHOOSE(CONTROL!$C$32, $C$9, 100%, $E$9)</f>
        <v>8.9933999999999994</v>
      </c>
    </row>
    <row r="569" spans="1:15" ht="15" x14ac:dyDescent="0.2">
      <c r="A569" s="13">
        <v>58166</v>
      </c>
      <c r="B569" s="9">
        <f>8.0698 * CHOOSE(CONTROL!$C$32, $C$9, 100%, $E$9)</f>
        <v>8.0698000000000008</v>
      </c>
      <c r="C569" s="9">
        <f>8.0698 * CHOOSE(CONTROL!$C$32, $C$9, 100%, $E$9)</f>
        <v>8.0698000000000008</v>
      </c>
      <c r="D569" s="9">
        <f>8.0709 * CHOOSE(CONTROL!$C$32, $C$9, 100%, $E$9)</f>
        <v>8.0709</v>
      </c>
      <c r="E569" s="11">
        <f>9.1643 * CHOOSE(CONTROL!$C$32, $C$9, 100%, $E$9)</f>
        <v>9.1643000000000008</v>
      </c>
      <c r="F569" s="11">
        <f>9.1643 * CHOOSE(CONTROL!$C$32, $C$9, 100%, $E$9)</f>
        <v>9.1643000000000008</v>
      </c>
      <c r="G569" s="11">
        <f>9.1679 * CHOOSE(CONTROL!$C$32, $C$9, 100%, $E$9)</f>
        <v>9.1678999999999995</v>
      </c>
      <c r="H569" s="11">
        <f>17.6005 * CHOOSE(CONTROL!$C$32, $C$9, 100%, $E$9)</f>
        <v>17.6005</v>
      </c>
      <c r="I569" s="11">
        <f>17.6041 * CHOOSE(CONTROL!$C$32, $C$9, 100%, $E$9)</f>
        <v>17.604099999999999</v>
      </c>
      <c r="J569" s="11">
        <f>17.6005 * CHOOSE(CONTROL!$C$32, $C$9, 100%, $E$9)</f>
        <v>17.6005</v>
      </c>
      <c r="K569" s="11">
        <f>17.6041 * CHOOSE(CONTROL!$C$32, $C$9, 100%, $E$9)</f>
        <v>17.604099999999999</v>
      </c>
      <c r="L569" s="11">
        <f>9.1643 * CHOOSE(CONTROL!$C$32, $C$9, 100%, $E$9)</f>
        <v>9.1643000000000008</v>
      </c>
      <c r="M569" s="11">
        <f>9.1679 * CHOOSE(CONTROL!$C$32, $C$9, 100%, $E$9)</f>
        <v>9.1678999999999995</v>
      </c>
      <c r="N569" s="11">
        <f>9.1643 * CHOOSE(CONTROL!$C$32, $C$9, 100%, $E$9)</f>
        <v>9.1643000000000008</v>
      </c>
      <c r="O569" s="11">
        <f>9.1679 * CHOOSE(CONTROL!$C$32, $C$9, 100%, $E$9)</f>
        <v>9.1678999999999995</v>
      </c>
    </row>
    <row r="570" spans="1:15" ht="15" x14ac:dyDescent="0.2">
      <c r="A570" s="13">
        <v>58196</v>
      </c>
      <c r="B570" s="9">
        <f>8.0698 * CHOOSE(CONTROL!$C$32, $C$9, 100%, $E$9)</f>
        <v>8.0698000000000008</v>
      </c>
      <c r="C570" s="9">
        <f>8.0698 * CHOOSE(CONTROL!$C$32, $C$9, 100%, $E$9)</f>
        <v>8.0698000000000008</v>
      </c>
      <c r="D570" s="9">
        <f>8.0714 * CHOOSE(CONTROL!$C$32, $C$9, 100%, $E$9)</f>
        <v>8.0714000000000006</v>
      </c>
      <c r="E570" s="11">
        <f>9.2313 * CHOOSE(CONTROL!$C$32, $C$9, 100%, $E$9)</f>
        <v>9.2312999999999992</v>
      </c>
      <c r="F570" s="11">
        <f>9.2313 * CHOOSE(CONTROL!$C$32, $C$9, 100%, $E$9)</f>
        <v>9.2312999999999992</v>
      </c>
      <c r="G570" s="11">
        <f>9.2366 * CHOOSE(CONTROL!$C$32, $C$9, 100%, $E$9)</f>
        <v>9.2365999999999993</v>
      </c>
      <c r="H570" s="11">
        <f>17.6372 * CHOOSE(CONTROL!$C$32, $C$9, 100%, $E$9)</f>
        <v>17.6372</v>
      </c>
      <c r="I570" s="11">
        <f>17.6425 * CHOOSE(CONTROL!$C$32, $C$9, 100%, $E$9)</f>
        <v>17.642499999999998</v>
      </c>
      <c r="J570" s="11">
        <f>17.6372 * CHOOSE(CONTROL!$C$32, $C$9, 100%, $E$9)</f>
        <v>17.6372</v>
      </c>
      <c r="K570" s="11">
        <f>17.6425 * CHOOSE(CONTROL!$C$32, $C$9, 100%, $E$9)</f>
        <v>17.642499999999998</v>
      </c>
      <c r="L570" s="11">
        <f>9.2313 * CHOOSE(CONTROL!$C$32, $C$9, 100%, $E$9)</f>
        <v>9.2312999999999992</v>
      </c>
      <c r="M570" s="11">
        <f>9.2366 * CHOOSE(CONTROL!$C$32, $C$9, 100%, $E$9)</f>
        <v>9.2365999999999993</v>
      </c>
      <c r="N570" s="11">
        <f>9.2313 * CHOOSE(CONTROL!$C$32, $C$9, 100%, $E$9)</f>
        <v>9.2312999999999992</v>
      </c>
      <c r="O570" s="11">
        <f>9.2366 * CHOOSE(CONTROL!$C$32, $C$9, 100%, $E$9)</f>
        <v>9.2365999999999993</v>
      </c>
    </row>
    <row r="571" spans="1:15" ht="15" x14ac:dyDescent="0.2">
      <c r="A571" s="13">
        <v>58227</v>
      </c>
      <c r="B571" s="9">
        <f>8.0759 * CHOOSE(CONTROL!$C$32, $C$9, 100%, $E$9)</f>
        <v>8.0759000000000007</v>
      </c>
      <c r="C571" s="9">
        <f>8.0759 * CHOOSE(CONTROL!$C$32, $C$9, 100%, $E$9)</f>
        <v>8.0759000000000007</v>
      </c>
      <c r="D571" s="9">
        <f>8.0775 * CHOOSE(CONTROL!$C$32, $C$9, 100%, $E$9)</f>
        <v>8.0775000000000006</v>
      </c>
      <c r="E571" s="11">
        <f>9.1685 * CHOOSE(CONTROL!$C$32, $C$9, 100%, $E$9)</f>
        <v>9.1684999999999999</v>
      </c>
      <c r="F571" s="11">
        <f>9.1685 * CHOOSE(CONTROL!$C$32, $C$9, 100%, $E$9)</f>
        <v>9.1684999999999999</v>
      </c>
      <c r="G571" s="11">
        <f>9.1738 * CHOOSE(CONTROL!$C$32, $C$9, 100%, $E$9)</f>
        <v>9.1738</v>
      </c>
      <c r="H571" s="11">
        <f>17.6739 * CHOOSE(CONTROL!$C$32, $C$9, 100%, $E$9)</f>
        <v>17.6739</v>
      </c>
      <c r="I571" s="11">
        <f>17.6792 * CHOOSE(CONTROL!$C$32, $C$9, 100%, $E$9)</f>
        <v>17.679200000000002</v>
      </c>
      <c r="J571" s="11">
        <f>17.6739 * CHOOSE(CONTROL!$C$32, $C$9, 100%, $E$9)</f>
        <v>17.6739</v>
      </c>
      <c r="K571" s="11">
        <f>17.6792 * CHOOSE(CONTROL!$C$32, $C$9, 100%, $E$9)</f>
        <v>17.679200000000002</v>
      </c>
      <c r="L571" s="11">
        <f>9.1685 * CHOOSE(CONTROL!$C$32, $C$9, 100%, $E$9)</f>
        <v>9.1684999999999999</v>
      </c>
      <c r="M571" s="11">
        <f>9.1738 * CHOOSE(CONTROL!$C$32, $C$9, 100%, $E$9)</f>
        <v>9.1738</v>
      </c>
      <c r="N571" s="11">
        <f>9.1685 * CHOOSE(CONTROL!$C$32, $C$9, 100%, $E$9)</f>
        <v>9.1684999999999999</v>
      </c>
      <c r="O571" s="11">
        <f>9.1738 * CHOOSE(CONTROL!$C$32, $C$9, 100%, $E$9)</f>
        <v>9.1738</v>
      </c>
    </row>
    <row r="572" spans="1:15" ht="15" x14ac:dyDescent="0.2">
      <c r="A572" s="13">
        <v>58257</v>
      </c>
      <c r="B572" s="9">
        <f>8.1792 * CHOOSE(CONTROL!$C$32, $C$9, 100%, $E$9)</f>
        <v>8.1791999999999998</v>
      </c>
      <c r="C572" s="9">
        <f>8.1792 * CHOOSE(CONTROL!$C$32, $C$9, 100%, $E$9)</f>
        <v>8.1791999999999998</v>
      </c>
      <c r="D572" s="9">
        <f>8.1807 * CHOOSE(CONTROL!$C$32, $C$9, 100%, $E$9)</f>
        <v>8.1806999999999999</v>
      </c>
      <c r="E572" s="11">
        <f>9.2956 * CHOOSE(CONTROL!$C$32, $C$9, 100%, $E$9)</f>
        <v>9.2956000000000003</v>
      </c>
      <c r="F572" s="11">
        <f>9.2956 * CHOOSE(CONTROL!$C$32, $C$9, 100%, $E$9)</f>
        <v>9.2956000000000003</v>
      </c>
      <c r="G572" s="11">
        <f>9.3009 * CHOOSE(CONTROL!$C$32, $C$9, 100%, $E$9)</f>
        <v>9.3009000000000004</v>
      </c>
      <c r="H572" s="11">
        <f>17.7107 * CHOOSE(CONTROL!$C$32, $C$9, 100%, $E$9)</f>
        <v>17.710699999999999</v>
      </c>
      <c r="I572" s="11">
        <f>17.716 * CHOOSE(CONTROL!$C$32, $C$9, 100%, $E$9)</f>
        <v>17.716000000000001</v>
      </c>
      <c r="J572" s="11">
        <f>17.7107 * CHOOSE(CONTROL!$C$32, $C$9, 100%, $E$9)</f>
        <v>17.710699999999999</v>
      </c>
      <c r="K572" s="11">
        <f>17.716 * CHOOSE(CONTROL!$C$32, $C$9, 100%, $E$9)</f>
        <v>17.716000000000001</v>
      </c>
      <c r="L572" s="11">
        <f>9.2956 * CHOOSE(CONTROL!$C$32, $C$9, 100%, $E$9)</f>
        <v>9.2956000000000003</v>
      </c>
      <c r="M572" s="11">
        <f>9.3009 * CHOOSE(CONTROL!$C$32, $C$9, 100%, $E$9)</f>
        <v>9.3009000000000004</v>
      </c>
      <c r="N572" s="11">
        <f>9.2956 * CHOOSE(CONTROL!$C$32, $C$9, 100%, $E$9)</f>
        <v>9.2956000000000003</v>
      </c>
      <c r="O572" s="11">
        <f>9.3009 * CHOOSE(CONTROL!$C$32, $C$9, 100%, $E$9)</f>
        <v>9.3009000000000004</v>
      </c>
    </row>
    <row r="573" spans="1:15" ht="15" x14ac:dyDescent="0.2">
      <c r="A573" s="13">
        <v>58288</v>
      </c>
      <c r="B573" s="9">
        <f>8.1858 * CHOOSE(CONTROL!$C$32, $C$9, 100%, $E$9)</f>
        <v>8.1858000000000004</v>
      </c>
      <c r="C573" s="9">
        <f>8.1858 * CHOOSE(CONTROL!$C$32, $C$9, 100%, $E$9)</f>
        <v>8.1858000000000004</v>
      </c>
      <c r="D573" s="9">
        <f>8.1874 * CHOOSE(CONTROL!$C$32, $C$9, 100%, $E$9)</f>
        <v>8.1874000000000002</v>
      </c>
      <c r="E573" s="11">
        <f>9.0991 * CHOOSE(CONTROL!$C$32, $C$9, 100%, $E$9)</f>
        <v>9.0991</v>
      </c>
      <c r="F573" s="11">
        <f>9.0991 * CHOOSE(CONTROL!$C$32, $C$9, 100%, $E$9)</f>
        <v>9.0991</v>
      </c>
      <c r="G573" s="11">
        <f>9.1044 * CHOOSE(CONTROL!$C$32, $C$9, 100%, $E$9)</f>
        <v>9.1044</v>
      </c>
      <c r="H573" s="11">
        <f>17.7476 * CHOOSE(CONTROL!$C$32, $C$9, 100%, $E$9)</f>
        <v>17.747599999999998</v>
      </c>
      <c r="I573" s="11">
        <f>17.7529 * CHOOSE(CONTROL!$C$32, $C$9, 100%, $E$9)</f>
        <v>17.7529</v>
      </c>
      <c r="J573" s="11">
        <f>17.7476 * CHOOSE(CONTROL!$C$32, $C$9, 100%, $E$9)</f>
        <v>17.747599999999998</v>
      </c>
      <c r="K573" s="11">
        <f>17.7529 * CHOOSE(CONTROL!$C$32, $C$9, 100%, $E$9)</f>
        <v>17.7529</v>
      </c>
      <c r="L573" s="11">
        <f>9.0991 * CHOOSE(CONTROL!$C$32, $C$9, 100%, $E$9)</f>
        <v>9.0991</v>
      </c>
      <c r="M573" s="11">
        <f>9.1044 * CHOOSE(CONTROL!$C$32, $C$9, 100%, $E$9)</f>
        <v>9.1044</v>
      </c>
      <c r="N573" s="11">
        <f>9.0991 * CHOOSE(CONTROL!$C$32, $C$9, 100%, $E$9)</f>
        <v>9.0991</v>
      </c>
      <c r="O573" s="11">
        <f>9.1044 * CHOOSE(CONTROL!$C$32, $C$9, 100%, $E$9)</f>
        <v>9.1044</v>
      </c>
    </row>
    <row r="574" spans="1:15" ht="15" x14ac:dyDescent="0.2">
      <c r="A574" s="13">
        <v>58319</v>
      </c>
      <c r="B574" s="9">
        <f>8.1828 * CHOOSE(CONTROL!$C$32, $C$9, 100%, $E$9)</f>
        <v>8.1828000000000003</v>
      </c>
      <c r="C574" s="9">
        <f>8.1828 * CHOOSE(CONTROL!$C$32, $C$9, 100%, $E$9)</f>
        <v>8.1828000000000003</v>
      </c>
      <c r="D574" s="9">
        <f>8.1844 * CHOOSE(CONTROL!$C$32, $C$9, 100%, $E$9)</f>
        <v>8.1844000000000001</v>
      </c>
      <c r="E574" s="11">
        <f>9.0746 * CHOOSE(CONTROL!$C$32, $C$9, 100%, $E$9)</f>
        <v>9.0746000000000002</v>
      </c>
      <c r="F574" s="11">
        <f>9.0746 * CHOOSE(CONTROL!$C$32, $C$9, 100%, $E$9)</f>
        <v>9.0746000000000002</v>
      </c>
      <c r="G574" s="11">
        <f>9.0799 * CHOOSE(CONTROL!$C$32, $C$9, 100%, $E$9)</f>
        <v>9.0799000000000003</v>
      </c>
      <c r="H574" s="11">
        <f>17.7846 * CHOOSE(CONTROL!$C$32, $C$9, 100%, $E$9)</f>
        <v>17.784600000000001</v>
      </c>
      <c r="I574" s="11">
        <f>17.7899 * CHOOSE(CONTROL!$C$32, $C$9, 100%, $E$9)</f>
        <v>17.789899999999999</v>
      </c>
      <c r="J574" s="11">
        <f>17.7846 * CHOOSE(CONTROL!$C$32, $C$9, 100%, $E$9)</f>
        <v>17.784600000000001</v>
      </c>
      <c r="K574" s="11">
        <f>17.7899 * CHOOSE(CONTROL!$C$32, $C$9, 100%, $E$9)</f>
        <v>17.789899999999999</v>
      </c>
      <c r="L574" s="11">
        <f>9.0746 * CHOOSE(CONTROL!$C$32, $C$9, 100%, $E$9)</f>
        <v>9.0746000000000002</v>
      </c>
      <c r="M574" s="11">
        <f>9.0799 * CHOOSE(CONTROL!$C$32, $C$9, 100%, $E$9)</f>
        <v>9.0799000000000003</v>
      </c>
      <c r="N574" s="11">
        <f>9.0746 * CHOOSE(CONTROL!$C$32, $C$9, 100%, $E$9)</f>
        <v>9.0746000000000002</v>
      </c>
      <c r="O574" s="11">
        <f>9.0799 * CHOOSE(CONTROL!$C$32, $C$9, 100%, $E$9)</f>
        <v>9.0799000000000003</v>
      </c>
    </row>
    <row r="575" spans="1:15" ht="15" x14ac:dyDescent="0.2">
      <c r="A575" s="13">
        <v>58349</v>
      </c>
      <c r="B575" s="9">
        <f>8.1934 * CHOOSE(CONTROL!$C$32, $C$9, 100%, $E$9)</f>
        <v>8.1934000000000005</v>
      </c>
      <c r="C575" s="9">
        <f>8.1934 * CHOOSE(CONTROL!$C$32, $C$9, 100%, $E$9)</f>
        <v>8.1934000000000005</v>
      </c>
      <c r="D575" s="9">
        <f>8.1945 * CHOOSE(CONTROL!$C$32, $C$9, 100%, $E$9)</f>
        <v>8.1944999999999997</v>
      </c>
      <c r="E575" s="11">
        <f>9.1506 * CHOOSE(CONTROL!$C$32, $C$9, 100%, $E$9)</f>
        <v>9.1506000000000007</v>
      </c>
      <c r="F575" s="11">
        <f>9.1506 * CHOOSE(CONTROL!$C$32, $C$9, 100%, $E$9)</f>
        <v>9.1506000000000007</v>
      </c>
      <c r="G575" s="11">
        <f>9.1542 * CHOOSE(CONTROL!$C$32, $C$9, 100%, $E$9)</f>
        <v>9.1541999999999994</v>
      </c>
      <c r="H575" s="11">
        <f>17.8217 * CHOOSE(CONTROL!$C$32, $C$9, 100%, $E$9)</f>
        <v>17.8217</v>
      </c>
      <c r="I575" s="11">
        <f>17.8253 * CHOOSE(CONTROL!$C$32, $C$9, 100%, $E$9)</f>
        <v>17.825299999999999</v>
      </c>
      <c r="J575" s="11">
        <f>17.8217 * CHOOSE(CONTROL!$C$32, $C$9, 100%, $E$9)</f>
        <v>17.8217</v>
      </c>
      <c r="K575" s="11">
        <f>17.8253 * CHOOSE(CONTROL!$C$32, $C$9, 100%, $E$9)</f>
        <v>17.825299999999999</v>
      </c>
      <c r="L575" s="11">
        <f>9.1506 * CHOOSE(CONTROL!$C$32, $C$9, 100%, $E$9)</f>
        <v>9.1506000000000007</v>
      </c>
      <c r="M575" s="11">
        <f>9.1542 * CHOOSE(CONTROL!$C$32, $C$9, 100%, $E$9)</f>
        <v>9.1541999999999994</v>
      </c>
      <c r="N575" s="11">
        <f>9.1506 * CHOOSE(CONTROL!$C$32, $C$9, 100%, $E$9)</f>
        <v>9.1506000000000007</v>
      </c>
      <c r="O575" s="11">
        <f>9.1542 * CHOOSE(CONTROL!$C$32, $C$9, 100%, $E$9)</f>
        <v>9.1541999999999994</v>
      </c>
    </row>
    <row r="576" spans="1:15" ht="15" x14ac:dyDescent="0.2">
      <c r="A576" s="13">
        <v>58380</v>
      </c>
      <c r="B576" s="9">
        <f>8.1965 * CHOOSE(CONTROL!$C$32, $C$9, 100%, $E$9)</f>
        <v>8.1965000000000003</v>
      </c>
      <c r="C576" s="9">
        <f>8.1965 * CHOOSE(CONTROL!$C$32, $C$9, 100%, $E$9)</f>
        <v>8.1965000000000003</v>
      </c>
      <c r="D576" s="9">
        <f>8.1976 * CHOOSE(CONTROL!$C$32, $C$9, 100%, $E$9)</f>
        <v>8.1975999999999996</v>
      </c>
      <c r="E576" s="11">
        <f>9.1974 * CHOOSE(CONTROL!$C$32, $C$9, 100%, $E$9)</f>
        <v>9.1974</v>
      </c>
      <c r="F576" s="11">
        <f>9.1974 * CHOOSE(CONTROL!$C$32, $C$9, 100%, $E$9)</f>
        <v>9.1974</v>
      </c>
      <c r="G576" s="11">
        <f>9.2011 * CHOOSE(CONTROL!$C$32, $C$9, 100%, $E$9)</f>
        <v>9.2011000000000003</v>
      </c>
      <c r="H576" s="11">
        <f>17.8588 * CHOOSE(CONTROL!$C$32, $C$9, 100%, $E$9)</f>
        <v>17.858799999999999</v>
      </c>
      <c r="I576" s="11">
        <f>17.8624 * CHOOSE(CONTROL!$C$32, $C$9, 100%, $E$9)</f>
        <v>17.862400000000001</v>
      </c>
      <c r="J576" s="11">
        <f>17.8588 * CHOOSE(CONTROL!$C$32, $C$9, 100%, $E$9)</f>
        <v>17.858799999999999</v>
      </c>
      <c r="K576" s="11">
        <f>17.8624 * CHOOSE(CONTROL!$C$32, $C$9, 100%, $E$9)</f>
        <v>17.862400000000001</v>
      </c>
      <c r="L576" s="11">
        <f>9.1974 * CHOOSE(CONTROL!$C$32, $C$9, 100%, $E$9)</f>
        <v>9.1974</v>
      </c>
      <c r="M576" s="11">
        <f>9.2011 * CHOOSE(CONTROL!$C$32, $C$9, 100%, $E$9)</f>
        <v>9.2011000000000003</v>
      </c>
      <c r="N576" s="11">
        <f>9.1974 * CHOOSE(CONTROL!$C$32, $C$9, 100%, $E$9)</f>
        <v>9.1974</v>
      </c>
      <c r="O576" s="11">
        <f>9.2011 * CHOOSE(CONTROL!$C$32, $C$9, 100%, $E$9)</f>
        <v>9.2011000000000003</v>
      </c>
    </row>
    <row r="577" spans="1:15" ht="15" x14ac:dyDescent="0.2">
      <c r="A577" s="13">
        <v>58410</v>
      </c>
      <c r="B577" s="9">
        <f>8.1965 * CHOOSE(CONTROL!$C$32, $C$9, 100%, $E$9)</f>
        <v>8.1965000000000003</v>
      </c>
      <c r="C577" s="9">
        <f>8.1965 * CHOOSE(CONTROL!$C$32, $C$9, 100%, $E$9)</f>
        <v>8.1965000000000003</v>
      </c>
      <c r="D577" s="9">
        <f>8.1976 * CHOOSE(CONTROL!$C$32, $C$9, 100%, $E$9)</f>
        <v>8.1975999999999996</v>
      </c>
      <c r="E577" s="11">
        <f>9.0857 * CHOOSE(CONTROL!$C$32, $C$9, 100%, $E$9)</f>
        <v>9.0856999999999992</v>
      </c>
      <c r="F577" s="11">
        <f>9.0857 * CHOOSE(CONTROL!$C$32, $C$9, 100%, $E$9)</f>
        <v>9.0856999999999992</v>
      </c>
      <c r="G577" s="11">
        <f>9.0893 * CHOOSE(CONTROL!$C$32, $C$9, 100%, $E$9)</f>
        <v>9.0892999999999997</v>
      </c>
      <c r="H577" s="11">
        <f>17.896 * CHOOSE(CONTROL!$C$32, $C$9, 100%, $E$9)</f>
        <v>17.896000000000001</v>
      </c>
      <c r="I577" s="11">
        <f>17.8996 * CHOOSE(CONTROL!$C$32, $C$9, 100%, $E$9)</f>
        <v>17.8996</v>
      </c>
      <c r="J577" s="11">
        <f>17.896 * CHOOSE(CONTROL!$C$32, $C$9, 100%, $E$9)</f>
        <v>17.896000000000001</v>
      </c>
      <c r="K577" s="11">
        <f>17.8996 * CHOOSE(CONTROL!$C$32, $C$9, 100%, $E$9)</f>
        <v>17.8996</v>
      </c>
      <c r="L577" s="11">
        <f>9.0857 * CHOOSE(CONTROL!$C$32, $C$9, 100%, $E$9)</f>
        <v>9.0856999999999992</v>
      </c>
      <c r="M577" s="11">
        <f>9.0893 * CHOOSE(CONTROL!$C$32, $C$9, 100%, $E$9)</f>
        <v>9.0892999999999997</v>
      </c>
      <c r="N577" s="11">
        <f>9.0857 * CHOOSE(CONTROL!$C$32, $C$9, 100%, $E$9)</f>
        <v>9.0856999999999992</v>
      </c>
      <c r="O577" s="11">
        <f>9.0893 * CHOOSE(CONTROL!$C$32, $C$9, 100%, $E$9)</f>
        <v>9.0892999999999997</v>
      </c>
    </row>
    <row r="578" spans="1:15" ht="15" x14ac:dyDescent="0.2">
      <c r="A578" s="13">
        <v>58441</v>
      </c>
      <c r="B578" s="9">
        <f>8.2575 * CHOOSE(CONTROL!$C$32, $C$9, 100%, $E$9)</f>
        <v>8.2575000000000003</v>
      </c>
      <c r="C578" s="9">
        <f>8.2575 * CHOOSE(CONTROL!$C$32, $C$9, 100%, $E$9)</f>
        <v>8.2575000000000003</v>
      </c>
      <c r="D578" s="9">
        <f>8.2586 * CHOOSE(CONTROL!$C$32, $C$9, 100%, $E$9)</f>
        <v>8.2585999999999995</v>
      </c>
      <c r="E578" s="11">
        <f>9.2455 * CHOOSE(CONTROL!$C$32, $C$9, 100%, $E$9)</f>
        <v>9.2454999999999998</v>
      </c>
      <c r="F578" s="11">
        <f>9.2455 * CHOOSE(CONTROL!$C$32, $C$9, 100%, $E$9)</f>
        <v>9.2454999999999998</v>
      </c>
      <c r="G578" s="11">
        <f>9.2491 * CHOOSE(CONTROL!$C$32, $C$9, 100%, $E$9)</f>
        <v>9.2491000000000003</v>
      </c>
      <c r="H578" s="11">
        <f>17.9333 * CHOOSE(CONTROL!$C$32, $C$9, 100%, $E$9)</f>
        <v>17.933299999999999</v>
      </c>
      <c r="I578" s="11">
        <f>17.9369 * CHOOSE(CONTROL!$C$32, $C$9, 100%, $E$9)</f>
        <v>17.936900000000001</v>
      </c>
      <c r="J578" s="11">
        <f>17.9333 * CHOOSE(CONTROL!$C$32, $C$9, 100%, $E$9)</f>
        <v>17.933299999999999</v>
      </c>
      <c r="K578" s="11">
        <f>17.9369 * CHOOSE(CONTROL!$C$32, $C$9, 100%, $E$9)</f>
        <v>17.936900000000001</v>
      </c>
      <c r="L578" s="11">
        <f>9.2455 * CHOOSE(CONTROL!$C$32, $C$9, 100%, $E$9)</f>
        <v>9.2454999999999998</v>
      </c>
      <c r="M578" s="11">
        <f>9.2491 * CHOOSE(CONTROL!$C$32, $C$9, 100%, $E$9)</f>
        <v>9.2491000000000003</v>
      </c>
      <c r="N578" s="11">
        <f>9.2455 * CHOOSE(CONTROL!$C$32, $C$9, 100%, $E$9)</f>
        <v>9.2454999999999998</v>
      </c>
      <c r="O578" s="11">
        <f>9.2491 * CHOOSE(CONTROL!$C$32, $C$9, 100%, $E$9)</f>
        <v>9.2491000000000003</v>
      </c>
    </row>
    <row r="579" spans="1:15" ht="15" x14ac:dyDescent="0.2">
      <c r="A579" s="13">
        <v>58472</v>
      </c>
      <c r="B579" s="9">
        <f>8.2544 * CHOOSE(CONTROL!$C$32, $C$9, 100%, $E$9)</f>
        <v>8.2544000000000004</v>
      </c>
      <c r="C579" s="9">
        <f>8.2544 * CHOOSE(CONTROL!$C$32, $C$9, 100%, $E$9)</f>
        <v>8.2544000000000004</v>
      </c>
      <c r="D579" s="9">
        <f>8.2555 * CHOOSE(CONTROL!$C$32, $C$9, 100%, $E$9)</f>
        <v>8.2554999999999996</v>
      </c>
      <c r="E579" s="11">
        <f>9.0253 * CHOOSE(CONTROL!$C$32, $C$9, 100%, $E$9)</f>
        <v>9.0252999999999997</v>
      </c>
      <c r="F579" s="11">
        <f>9.0253 * CHOOSE(CONTROL!$C$32, $C$9, 100%, $E$9)</f>
        <v>9.0252999999999997</v>
      </c>
      <c r="G579" s="11">
        <f>9.0289 * CHOOSE(CONTROL!$C$32, $C$9, 100%, $E$9)</f>
        <v>9.0289000000000001</v>
      </c>
      <c r="H579" s="11">
        <f>17.9706 * CHOOSE(CONTROL!$C$32, $C$9, 100%, $E$9)</f>
        <v>17.970600000000001</v>
      </c>
      <c r="I579" s="11">
        <f>17.9743 * CHOOSE(CONTROL!$C$32, $C$9, 100%, $E$9)</f>
        <v>17.974299999999999</v>
      </c>
      <c r="J579" s="11">
        <f>17.9706 * CHOOSE(CONTROL!$C$32, $C$9, 100%, $E$9)</f>
        <v>17.970600000000001</v>
      </c>
      <c r="K579" s="11">
        <f>17.9743 * CHOOSE(CONTROL!$C$32, $C$9, 100%, $E$9)</f>
        <v>17.974299999999999</v>
      </c>
      <c r="L579" s="11">
        <f>9.0253 * CHOOSE(CONTROL!$C$32, $C$9, 100%, $E$9)</f>
        <v>9.0252999999999997</v>
      </c>
      <c r="M579" s="11">
        <f>9.0289 * CHOOSE(CONTROL!$C$32, $C$9, 100%, $E$9)</f>
        <v>9.0289000000000001</v>
      </c>
      <c r="N579" s="11">
        <f>9.0253 * CHOOSE(CONTROL!$C$32, $C$9, 100%, $E$9)</f>
        <v>9.0252999999999997</v>
      </c>
      <c r="O579" s="11">
        <f>9.0289 * CHOOSE(CONTROL!$C$32, $C$9, 100%, $E$9)</f>
        <v>9.0289000000000001</v>
      </c>
    </row>
    <row r="580" spans="1:15" ht="15" x14ac:dyDescent="0.2">
      <c r="A580" s="13">
        <v>58501</v>
      </c>
      <c r="B580" s="9">
        <f>8.2514 * CHOOSE(CONTROL!$C$32, $C$9, 100%, $E$9)</f>
        <v>8.2514000000000003</v>
      </c>
      <c r="C580" s="9">
        <f>8.2514 * CHOOSE(CONTROL!$C$32, $C$9, 100%, $E$9)</f>
        <v>8.2514000000000003</v>
      </c>
      <c r="D580" s="9">
        <f>8.2525 * CHOOSE(CONTROL!$C$32, $C$9, 100%, $E$9)</f>
        <v>8.2524999999999995</v>
      </c>
      <c r="E580" s="11">
        <f>9.1951 * CHOOSE(CONTROL!$C$32, $C$9, 100%, $E$9)</f>
        <v>9.1951000000000001</v>
      </c>
      <c r="F580" s="11">
        <f>9.1951 * CHOOSE(CONTROL!$C$32, $C$9, 100%, $E$9)</f>
        <v>9.1951000000000001</v>
      </c>
      <c r="G580" s="11">
        <f>9.1987 * CHOOSE(CONTROL!$C$32, $C$9, 100%, $E$9)</f>
        <v>9.1987000000000005</v>
      </c>
      <c r="H580" s="11">
        <f>18.0081 * CHOOSE(CONTROL!$C$32, $C$9, 100%, $E$9)</f>
        <v>18.008099999999999</v>
      </c>
      <c r="I580" s="11">
        <f>18.0117 * CHOOSE(CONTROL!$C$32, $C$9, 100%, $E$9)</f>
        <v>18.011700000000001</v>
      </c>
      <c r="J580" s="11">
        <f>18.0081 * CHOOSE(CONTROL!$C$32, $C$9, 100%, $E$9)</f>
        <v>18.008099999999999</v>
      </c>
      <c r="K580" s="11">
        <f>18.0117 * CHOOSE(CONTROL!$C$32, $C$9, 100%, $E$9)</f>
        <v>18.011700000000001</v>
      </c>
      <c r="L580" s="11">
        <f>9.1951 * CHOOSE(CONTROL!$C$32, $C$9, 100%, $E$9)</f>
        <v>9.1951000000000001</v>
      </c>
      <c r="M580" s="11">
        <f>9.1987 * CHOOSE(CONTROL!$C$32, $C$9, 100%, $E$9)</f>
        <v>9.1987000000000005</v>
      </c>
      <c r="N580" s="11">
        <f>9.1951 * CHOOSE(CONTROL!$C$32, $C$9, 100%, $E$9)</f>
        <v>9.1951000000000001</v>
      </c>
      <c r="O580" s="11">
        <f>9.1987 * CHOOSE(CONTROL!$C$32, $C$9, 100%, $E$9)</f>
        <v>9.1987000000000005</v>
      </c>
    </row>
    <row r="581" spans="1:15" ht="15" x14ac:dyDescent="0.2">
      <c r="A581" s="13">
        <v>58532</v>
      </c>
      <c r="B581" s="9">
        <f>8.2532 * CHOOSE(CONTROL!$C$32, $C$9, 100%, $E$9)</f>
        <v>8.2531999999999996</v>
      </c>
      <c r="C581" s="9">
        <f>8.2532 * CHOOSE(CONTROL!$C$32, $C$9, 100%, $E$9)</f>
        <v>8.2531999999999996</v>
      </c>
      <c r="D581" s="9">
        <f>8.2542 * CHOOSE(CONTROL!$C$32, $C$9, 100%, $E$9)</f>
        <v>8.2542000000000009</v>
      </c>
      <c r="E581" s="11">
        <f>9.3755 * CHOOSE(CONTROL!$C$32, $C$9, 100%, $E$9)</f>
        <v>9.3755000000000006</v>
      </c>
      <c r="F581" s="11">
        <f>9.3755 * CHOOSE(CONTROL!$C$32, $C$9, 100%, $E$9)</f>
        <v>9.3755000000000006</v>
      </c>
      <c r="G581" s="11">
        <f>9.3791 * CHOOSE(CONTROL!$C$32, $C$9, 100%, $E$9)</f>
        <v>9.3790999999999993</v>
      </c>
      <c r="H581" s="11">
        <f>18.0456 * CHOOSE(CONTROL!$C$32, $C$9, 100%, $E$9)</f>
        <v>18.0456</v>
      </c>
      <c r="I581" s="11">
        <f>18.0492 * CHOOSE(CONTROL!$C$32, $C$9, 100%, $E$9)</f>
        <v>18.049199999999999</v>
      </c>
      <c r="J581" s="11">
        <f>18.0456 * CHOOSE(CONTROL!$C$32, $C$9, 100%, $E$9)</f>
        <v>18.0456</v>
      </c>
      <c r="K581" s="11">
        <f>18.0492 * CHOOSE(CONTROL!$C$32, $C$9, 100%, $E$9)</f>
        <v>18.049199999999999</v>
      </c>
      <c r="L581" s="11">
        <f>9.3755 * CHOOSE(CONTROL!$C$32, $C$9, 100%, $E$9)</f>
        <v>9.3755000000000006</v>
      </c>
      <c r="M581" s="11">
        <f>9.3791 * CHOOSE(CONTROL!$C$32, $C$9, 100%, $E$9)</f>
        <v>9.3790999999999993</v>
      </c>
      <c r="N581" s="11">
        <f>9.3755 * CHOOSE(CONTROL!$C$32, $C$9, 100%, $E$9)</f>
        <v>9.3755000000000006</v>
      </c>
      <c r="O581" s="11">
        <f>9.3791 * CHOOSE(CONTROL!$C$32, $C$9, 100%, $E$9)</f>
        <v>9.3790999999999993</v>
      </c>
    </row>
    <row r="582" spans="1:15" ht="15" x14ac:dyDescent="0.2">
      <c r="A582" s="13">
        <v>58562</v>
      </c>
      <c r="B582" s="9">
        <f>8.2532 * CHOOSE(CONTROL!$C$32, $C$9, 100%, $E$9)</f>
        <v>8.2531999999999996</v>
      </c>
      <c r="C582" s="9">
        <f>8.2532 * CHOOSE(CONTROL!$C$32, $C$9, 100%, $E$9)</f>
        <v>8.2531999999999996</v>
      </c>
      <c r="D582" s="9">
        <f>8.2548 * CHOOSE(CONTROL!$C$32, $C$9, 100%, $E$9)</f>
        <v>8.2547999999999995</v>
      </c>
      <c r="E582" s="11">
        <f>9.4447 * CHOOSE(CONTROL!$C$32, $C$9, 100%, $E$9)</f>
        <v>9.4446999999999992</v>
      </c>
      <c r="F582" s="11">
        <f>9.4447 * CHOOSE(CONTROL!$C$32, $C$9, 100%, $E$9)</f>
        <v>9.4446999999999992</v>
      </c>
      <c r="G582" s="11">
        <f>9.45 * CHOOSE(CONTROL!$C$32, $C$9, 100%, $E$9)</f>
        <v>9.4499999999999993</v>
      </c>
      <c r="H582" s="11">
        <f>18.0832 * CHOOSE(CONTROL!$C$32, $C$9, 100%, $E$9)</f>
        <v>18.083200000000001</v>
      </c>
      <c r="I582" s="11">
        <f>18.0885 * CHOOSE(CONTROL!$C$32, $C$9, 100%, $E$9)</f>
        <v>18.0885</v>
      </c>
      <c r="J582" s="11">
        <f>18.0832 * CHOOSE(CONTROL!$C$32, $C$9, 100%, $E$9)</f>
        <v>18.083200000000001</v>
      </c>
      <c r="K582" s="11">
        <f>18.0885 * CHOOSE(CONTROL!$C$32, $C$9, 100%, $E$9)</f>
        <v>18.0885</v>
      </c>
      <c r="L582" s="11">
        <f>9.4447 * CHOOSE(CONTROL!$C$32, $C$9, 100%, $E$9)</f>
        <v>9.4446999999999992</v>
      </c>
      <c r="M582" s="11">
        <f>9.45 * CHOOSE(CONTROL!$C$32, $C$9, 100%, $E$9)</f>
        <v>9.4499999999999993</v>
      </c>
      <c r="N582" s="11">
        <f>9.4447 * CHOOSE(CONTROL!$C$32, $C$9, 100%, $E$9)</f>
        <v>9.4446999999999992</v>
      </c>
      <c r="O582" s="11">
        <f>9.45 * CHOOSE(CONTROL!$C$32, $C$9, 100%, $E$9)</f>
        <v>9.4499999999999993</v>
      </c>
    </row>
    <row r="583" spans="1:15" ht="15" x14ac:dyDescent="0.2">
      <c r="A583" s="13">
        <v>58593</v>
      </c>
      <c r="B583" s="9">
        <f>8.2593 * CHOOSE(CONTROL!$C$32, $C$9, 100%, $E$9)</f>
        <v>8.2592999999999996</v>
      </c>
      <c r="C583" s="9">
        <f>8.2593 * CHOOSE(CONTROL!$C$32, $C$9, 100%, $E$9)</f>
        <v>8.2592999999999996</v>
      </c>
      <c r="D583" s="9">
        <f>8.2608 * CHOOSE(CONTROL!$C$32, $C$9, 100%, $E$9)</f>
        <v>8.2607999999999997</v>
      </c>
      <c r="E583" s="11">
        <f>9.3797 * CHOOSE(CONTROL!$C$32, $C$9, 100%, $E$9)</f>
        <v>9.3796999999999997</v>
      </c>
      <c r="F583" s="11">
        <f>9.3797 * CHOOSE(CONTROL!$C$32, $C$9, 100%, $E$9)</f>
        <v>9.3796999999999997</v>
      </c>
      <c r="G583" s="11">
        <f>9.385 * CHOOSE(CONTROL!$C$32, $C$9, 100%, $E$9)</f>
        <v>9.3849999999999998</v>
      </c>
      <c r="H583" s="11">
        <f>18.1209 * CHOOSE(CONTROL!$C$32, $C$9, 100%, $E$9)</f>
        <v>18.120899999999999</v>
      </c>
      <c r="I583" s="11">
        <f>18.1262 * CHOOSE(CONTROL!$C$32, $C$9, 100%, $E$9)</f>
        <v>18.126200000000001</v>
      </c>
      <c r="J583" s="11">
        <f>18.1209 * CHOOSE(CONTROL!$C$32, $C$9, 100%, $E$9)</f>
        <v>18.120899999999999</v>
      </c>
      <c r="K583" s="11">
        <f>18.1262 * CHOOSE(CONTROL!$C$32, $C$9, 100%, $E$9)</f>
        <v>18.126200000000001</v>
      </c>
      <c r="L583" s="11">
        <f>9.3797 * CHOOSE(CONTROL!$C$32, $C$9, 100%, $E$9)</f>
        <v>9.3796999999999997</v>
      </c>
      <c r="M583" s="11">
        <f>9.385 * CHOOSE(CONTROL!$C$32, $C$9, 100%, $E$9)</f>
        <v>9.3849999999999998</v>
      </c>
      <c r="N583" s="11">
        <f>9.3797 * CHOOSE(CONTROL!$C$32, $C$9, 100%, $E$9)</f>
        <v>9.3796999999999997</v>
      </c>
      <c r="O583" s="11">
        <f>9.385 * CHOOSE(CONTROL!$C$32, $C$9, 100%, $E$9)</f>
        <v>9.3849999999999998</v>
      </c>
    </row>
    <row r="584" spans="1:15" ht="15" x14ac:dyDescent="0.2">
      <c r="A584" s="13">
        <v>58623</v>
      </c>
      <c r="B584" s="9">
        <f>8.3645 * CHOOSE(CONTROL!$C$32, $C$9, 100%, $E$9)</f>
        <v>8.3644999999999996</v>
      </c>
      <c r="C584" s="9">
        <f>8.3645 * CHOOSE(CONTROL!$C$32, $C$9, 100%, $E$9)</f>
        <v>8.3644999999999996</v>
      </c>
      <c r="D584" s="9">
        <f>8.3661 * CHOOSE(CONTROL!$C$32, $C$9, 100%, $E$9)</f>
        <v>8.3660999999999994</v>
      </c>
      <c r="E584" s="11">
        <f>9.5099 * CHOOSE(CONTROL!$C$32, $C$9, 100%, $E$9)</f>
        <v>9.5099</v>
      </c>
      <c r="F584" s="11">
        <f>9.5099 * CHOOSE(CONTROL!$C$32, $C$9, 100%, $E$9)</f>
        <v>9.5099</v>
      </c>
      <c r="G584" s="11">
        <f>9.5151 * CHOOSE(CONTROL!$C$32, $C$9, 100%, $E$9)</f>
        <v>9.5151000000000003</v>
      </c>
      <c r="H584" s="11">
        <f>18.1586 * CHOOSE(CONTROL!$C$32, $C$9, 100%, $E$9)</f>
        <v>18.1586</v>
      </c>
      <c r="I584" s="11">
        <f>18.1639 * CHOOSE(CONTROL!$C$32, $C$9, 100%, $E$9)</f>
        <v>18.163900000000002</v>
      </c>
      <c r="J584" s="11">
        <f>18.1586 * CHOOSE(CONTROL!$C$32, $C$9, 100%, $E$9)</f>
        <v>18.1586</v>
      </c>
      <c r="K584" s="11">
        <f>18.1639 * CHOOSE(CONTROL!$C$32, $C$9, 100%, $E$9)</f>
        <v>18.163900000000002</v>
      </c>
      <c r="L584" s="11">
        <f>9.5099 * CHOOSE(CONTROL!$C$32, $C$9, 100%, $E$9)</f>
        <v>9.5099</v>
      </c>
      <c r="M584" s="11">
        <f>9.5151 * CHOOSE(CONTROL!$C$32, $C$9, 100%, $E$9)</f>
        <v>9.5151000000000003</v>
      </c>
      <c r="N584" s="11">
        <f>9.5099 * CHOOSE(CONTROL!$C$32, $C$9, 100%, $E$9)</f>
        <v>9.5099</v>
      </c>
      <c r="O584" s="11">
        <f>9.5151 * CHOOSE(CONTROL!$C$32, $C$9, 100%, $E$9)</f>
        <v>9.5151000000000003</v>
      </c>
    </row>
    <row r="585" spans="1:15" ht="15" x14ac:dyDescent="0.2">
      <c r="A585" s="13">
        <v>58654</v>
      </c>
      <c r="B585" s="9">
        <f>8.3712 * CHOOSE(CONTROL!$C$32, $C$9, 100%, $E$9)</f>
        <v>8.3712</v>
      </c>
      <c r="C585" s="9">
        <f>8.3712 * CHOOSE(CONTROL!$C$32, $C$9, 100%, $E$9)</f>
        <v>8.3712</v>
      </c>
      <c r="D585" s="9">
        <f>8.3728 * CHOOSE(CONTROL!$C$32, $C$9, 100%, $E$9)</f>
        <v>8.3727999999999998</v>
      </c>
      <c r="E585" s="11">
        <f>9.3068 * CHOOSE(CONTROL!$C$32, $C$9, 100%, $E$9)</f>
        <v>9.3068000000000008</v>
      </c>
      <c r="F585" s="11">
        <f>9.3068 * CHOOSE(CONTROL!$C$32, $C$9, 100%, $E$9)</f>
        <v>9.3068000000000008</v>
      </c>
      <c r="G585" s="11">
        <f>9.3121 * CHOOSE(CONTROL!$C$32, $C$9, 100%, $E$9)</f>
        <v>9.3120999999999992</v>
      </c>
      <c r="H585" s="11">
        <f>18.1964 * CHOOSE(CONTROL!$C$32, $C$9, 100%, $E$9)</f>
        <v>18.196400000000001</v>
      </c>
      <c r="I585" s="11">
        <f>18.2017 * CHOOSE(CONTROL!$C$32, $C$9, 100%, $E$9)</f>
        <v>18.201699999999999</v>
      </c>
      <c r="J585" s="11">
        <f>18.1964 * CHOOSE(CONTROL!$C$32, $C$9, 100%, $E$9)</f>
        <v>18.196400000000001</v>
      </c>
      <c r="K585" s="11">
        <f>18.2017 * CHOOSE(CONTROL!$C$32, $C$9, 100%, $E$9)</f>
        <v>18.201699999999999</v>
      </c>
      <c r="L585" s="11">
        <f>9.3068 * CHOOSE(CONTROL!$C$32, $C$9, 100%, $E$9)</f>
        <v>9.3068000000000008</v>
      </c>
      <c r="M585" s="11">
        <f>9.3121 * CHOOSE(CONTROL!$C$32, $C$9, 100%, $E$9)</f>
        <v>9.3120999999999992</v>
      </c>
      <c r="N585" s="11">
        <f>9.3068 * CHOOSE(CONTROL!$C$32, $C$9, 100%, $E$9)</f>
        <v>9.3068000000000008</v>
      </c>
      <c r="O585" s="11">
        <f>9.3121 * CHOOSE(CONTROL!$C$32, $C$9, 100%, $E$9)</f>
        <v>9.3120999999999992</v>
      </c>
    </row>
    <row r="586" spans="1:15" ht="15" x14ac:dyDescent="0.2">
      <c r="A586" s="13">
        <v>58685</v>
      </c>
      <c r="B586" s="9">
        <f>8.3682 * CHOOSE(CONTROL!$C$32, $C$9, 100%, $E$9)</f>
        <v>8.3681999999999999</v>
      </c>
      <c r="C586" s="9">
        <f>8.3682 * CHOOSE(CONTROL!$C$32, $C$9, 100%, $E$9)</f>
        <v>8.3681999999999999</v>
      </c>
      <c r="D586" s="9">
        <f>8.3698 * CHOOSE(CONTROL!$C$32, $C$9, 100%, $E$9)</f>
        <v>8.3697999999999997</v>
      </c>
      <c r="E586" s="11">
        <f>9.2816 * CHOOSE(CONTROL!$C$32, $C$9, 100%, $E$9)</f>
        <v>9.2815999999999992</v>
      </c>
      <c r="F586" s="11">
        <f>9.2816 * CHOOSE(CONTROL!$C$32, $C$9, 100%, $E$9)</f>
        <v>9.2815999999999992</v>
      </c>
      <c r="G586" s="11">
        <f>9.2869 * CHOOSE(CONTROL!$C$32, $C$9, 100%, $E$9)</f>
        <v>9.2868999999999993</v>
      </c>
      <c r="H586" s="11">
        <f>18.2343 * CHOOSE(CONTROL!$C$32, $C$9, 100%, $E$9)</f>
        <v>18.234300000000001</v>
      </c>
      <c r="I586" s="11">
        <f>18.2396 * CHOOSE(CONTROL!$C$32, $C$9, 100%, $E$9)</f>
        <v>18.239599999999999</v>
      </c>
      <c r="J586" s="11">
        <f>18.2343 * CHOOSE(CONTROL!$C$32, $C$9, 100%, $E$9)</f>
        <v>18.234300000000001</v>
      </c>
      <c r="K586" s="11">
        <f>18.2396 * CHOOSE(CONTROL!$C$32, $C$9, 100%, $E$9)</f>
        <v>18.239599999999999</v>
      </c>
      <c r="L586" s="11">
        <f>9.2816 * CHOOSE(CONTROL!$C$32, $C$9, 100%, $E$9)</f>
        <v>9.2815999999999992</v>
      </c>
      <c r="M586" s="11">
        <f>9.2869 * CHOOSE(CONTROL!$C$32, $C$9, 100%, $E$9)</f>
        <v>9.2868999999999993</v>
      </c>
      <c r="N586" s="11">
        <f>9.2816 * CHOOSE(CONTROL!$C$32, $C$9, 100%, $E$9)</f>
        <v>9.2815999999999992</v>
      </c>
      <c r="O586" s="11">
        <f>9.2869 * CHOOSE(CONTROL!$C$32, $C$9, 100%, $E$9)</f>
        <v>9.2868999999999993</v>
      </c>
    </row>
    <row r="587" spans="1:15" ht="15" x14ac:dyDescent="0.2">
      <c r="A587" s="13">
        <v>58715</v>
      </c>
      <c r="B587" s="9">
        <f>8.3795 * CHOOSE(CONTROL!$C$32, $C$9, 100%, $E$9)</f>
        <v>8.3795000000000002</v>
      </c>
      <c r="C587" s="9">
        <f>8.3795 * CHOOSE(CONTROL!$C$32, $C$9, 100%, $E$9)</f>
        <v>8.3795000000000002</v>
      </c>
      <c r="D587" s="9">
        <f>8.3806 * CHOOSE(CONTROL!$C$32, $C$9, 100%, $E$9)</f>
        <v>8.3805999999999994</v>
      </c>
      <c r="E587" s="11">
        <f>9.3605 * CHOOSE(CONTROL!$C$32, $C$9, 100%, $E$9)</f>
        <v>9.3605</v>
      </c>
      <c r="F587" s="11">
        <f>9.3605 * CHOOSE(CONTROL!$C$32, $C$9, 100%, $E$9)</f>
        <v>9.3605</v>
      </c>
      <c r="G587" s="11">
        <f>9.3641 * CHOOSE(CONTROL!$C$32, $C$9, 100%, $E$9)</f>
        <v>9.3641000000000005</v>
      </c>
      <c r="H587" s="11">
        <f>18.2723 * CHOOSE(CONTROL!$C$32, $C$9, 100%, $E$9)</f>
        <v>18.272300000000001</v>
      </c>
      <c r="I587" s="11">
        <f>18.276 * CHOOSE(CONTROL!$C$32, $C$9, 100%, $E$9)</f>
        <v>18.276</v>
      </c>
      <c r="J587" s="11">
        <f>18.2723 * CHOOSE(CONTROL!$C$32, $C$9, 100%, $E$9)</f>
        <v>18.272300000000001</v>
      </c>
      <c r="K587" s="11">
        <f>18.276 * CHOOSE(CONTROL!$C$32, $C$9, 100%, $E$9)</f>
        <v>18.276</v>
      </c>
      <c r="L587" s="11">
        <f>9.3605 * CHOOSE(CONTROL!$C$32, $C$9, 100%, $E$9)</f>
        <v>9.3605</v>
      </c>
      <c r="M587" s="11">
        <f>9.3641 * CHOOSE(CONTROL!$C$32, $C$9, 100%, $E$9)</f>
        <v>9.3641000000000005</v>
      </c>
      <c r="N587" s="11">
        <f>9.3605 * CHOOSE(CONTROL!$C$32, $C$9, 100%, $E$9)</f>
        <v>9.3605</v>
      </c>
      <c r="O587" s="11">
        <f>9.3641 * CHOOSE(CONTROL!$C$32, $C$9, 100%, $E$9)</f>
        <v>9.3641000000000005</v>
      </c>
    </row>
    <row r="588" spans="1:15" ht="15" x14ac:dyDescent="0.2">
      <c r="A588" s="13">
        <v>58746</v>
      </c>
      <c r="B588" s="9">
        <f>8.3826 * CHOOSE(CONTROL!$C$32, $C$9, 100%, $E$9)</f>
        <v>8.3826000000000001</v>
      </c>
      <c r="C588" s="9">
        <f>8.3826 * CHOOSE(CONTROL!$C$32, $C$9, 100%, $E$9)</f>
        <v>8.3826000000000001</v>
      </c>
      <c r="D588" s="9">
        <f>8.3836 * CHOOSE(CONTROL!$C$32, $C$9, 100%, $E$9)</f>
        <v>8.3835999999999995</v>
      </c>
      <c r="E588" s="11">
        <f>9.4088 * CHOOSE(CONTROL!$C$32, $C$9, 100%, $E$9)</f>
        <v>9.4087999999999994</v>
      </c>
      <c r="F588" s="11">
        <f>9.4088 * CHOOSE(CONTROL!$C$32, $C$9, 100%, $E$9)</f>
        <v>9.4087999999999994</v>
      </c>
      <c r="G588" s="11">
        <f>9.4124 * CHOOSE(CONTROL!$C$32, $C$9, 100%, $E$9)</f>
        <v>9.4123999999999999</v>
      </c>
      <c r="H588" s="11">
        <f>18.3104 * CHOOSE(CONTROL!$C$32, $C$9, 100%, $E$9)</f>
        <v>18.310400000000001</v>
      </c>
      <c r="I588" s="11">
        <f>18.314 * CHOOSE(CONTROL!$C$32, $C$9, 100%, $E$9)</f>
        <v>18.314</v>
      </c>
      <c r="J588" s="11">
        <f>18.3104 * CHOOSE(CONTROL!$C$32, $C$9, 100%, $E$9)</f>
        <v>18.310400000000001</v>
      </c>
      <c r="K588" s="11">
        <f>18.314 * CHOOSE(CONTROL!$C$32, $C$9, 100%, $E$9)</f>
        <v>18.314</v>
      </c>
      <c r="L588" s="11">
        <f>9.4088 * CHOOSE(CONTROL!$C$32, $C$9, 100%, $E$9)</f>
        <v>9.4087999999999994</v>
      </c>
      <c r="M588" s="11">
        <f>9.4124 * CHOOSE(CONTROL!$C$32, $C$9, 100%, $E$9)</f>
        <v>9.4123999999999999</v>
      </c>
      <c r="N588" s="11">
        <f>9.4088 * CHOOSE(CONTROL!$C$32, $C$9, 100%, $E$9)</f>
        <v>9.4087999999999994</v>
      </c>
      <c r="O588" s="11">
        <f>9.4124 * CHOOSE(CONTROL!$C$32, $C$9, 100%, $E$9)</f>
        <v>9.4123999999999999</v>
      </c>
    </row>
    <row r="589" spans="1:15" ht="15" x14ac:dyDescent="0.2">
      <c r="A589" s="13">
        <v>58776</v>
      </c>
      <c r="B589" s="9">
        <f>8.3826 * CHOOSE(CONTROL!$C$32, $C$9, 100%, $E$9)</f>
        <v>8.3826000000000001</v>
      </c>
      <c r="C589" s="9">
        <f>8.3826 * CHOOSE(CONTROL!$C$32, $C$9, 100%, $E$9)</f>
        <v>8.3826000000000001</v>
      </c>
      <c r="D589" s="9">
        <f>8.3836 * CHOOSE(CONTROL!$C$32, $C$9, 100%, $E$9)</f>
        <v>8.3835999999999995</v>
      </c>
      <c r="E589" s="11">
        <f>9.2934 * CHOOSE(CONTROL!$C$32, $C$9, 100%, $E$9)</f>
        <v>9.2934000000000001</v>
      </c>
      <c r="F589" s="11">
        <f>9.2934 * CHOOSE(CONTROL!$C$32, $C$9, 100%, $E$9)</f>
        <v>9.2934000000000001</v>
      </c>
      <c r="G589" s="11">
        <f>9.297 * CHOOSE(CONTROL!$C$32, $C$9, 100%, $E$9)</f>
        <v>9.2970000000000006</v>
      </c>
      <c r="H589" s="11">
        <f>18.3486 * CHOOSE(CONTROL!$C$32, $C$9, 100%, $E$9)</f>
        <v>18.348600000000001</v>
      </c>
      <c r="I589" s="11">
        <f>18.3522 * CHOOSE(CONTROL!$C$32, $C$9, 100%, $E$9)</f>
        <v>18.3522</v>
      </c>
      <c r="J589" s="11">
        <f>18.3486 * CHOOSE(CONTROL!$C$32, $C$9, 100%, $E$9)</f>
        <v>18.348600000000001</v>
      </c>
      <c r="K589" s="11">
        <f>18.3522 * CHOOSE(CONTROL!$C$32, $C$9, 100%, $E$9)</f>
        <v>18.3522</v>
      </c>
      <c r="L589" s="11">
        <f>9.2934 * CHOOSE(CONTROL!$C$32, $C$9, 100%, $E$9)</f>
        <v>9.2934000000000001</v>
      </c>
      <c r="M589" s="11">
        <f>9.297 * CHOOSE(CONTROL!$C$32, $C$9, 100%, $E$9)</f>
        <v>9.2970000000000006</v>
      </c>
      <c r="N589" s="11">
        <f>9.2934 * CHOOSE(CONTROL!$C$32, $C$9, 100%, $E$9)</f>
        <v>9.2934000000000001</v>
      </c>
      <c r="O589" s="11">
        <f>9.297 * CHOOSE(CONTROL!$C$32, $C$9, 100%, $E$9)</f>
        <v>9.2970000000000006</v>
      </c>
    </row>
    <row r="590" spans="1:15" ht="15" x14ac:dyDescent="0.2">
      <c r="A590" s="13">
        <v>58807</v>
      </c>
      <c r="B590" s="9">
        <f>8.4448 * CHOOSE(CONTROL!$C$32, $C$9, 100%, $E$9)</f>
        <v>8.4448000000000008</v>
      </c>
      <c r="C590" s="9">
        <f>8.4448 * CHOOSE(CONTROL!$C$32, $C$9, 100%, $E$9)</f>
        <v>8.4448000000000008</v>
      </c>
      <c r="D590" s="9">
        <f>8.4459 * CHOOSE(CONTROL!$C$32, $C$9, 100%, $E$9)</f>
        <v>8.4459</v>
      </c>
      <c r="E590" s="11">
        <f>9.458 * CHOOSE(CONTROL!$C$32, $C$9, 100%, $E$9)</f>
        <v>9.4580000000000002</v>
      </c>
      <c r="F590" s="11">
        <f>9.458 * CHOOSE(CONTROL!$C$32, $C$9, 100%, $E$9)</f>
        <v>9.4580000000000002</v>
      </c>
      <c r="G590" s="11">
        <f>9.4616 * CHOOSE(CONTROL!$C$32, $C$9, 100%, $E$9)</f>
        <v>9.4616000000000007</v>
      </c>
      <c r="H590" s="11">
        <f>18.3868 * CHOOSE(CONTROL!$C$32, $C$9, 100%, $E$9)</f>
        <v>18.386800000000001</v>
      </c>
      <c r="I590" s="11">
        <f>18.3904 * CHOOSE(CONTROL!$C$32, $C$9, 100%, $E$9)</f>
        <v>18.3904</v>
      </c>
      <c r="J590" s="11">
        <f>18.3868 * CHOOSE(CONTROL!$C$32, $C$9, 100%, $E$9)</f>
        <v>18.386800000000001</v>
      </c>
      <c r="K590" s="11">
        <f>18.3904 * CHOOSE(CONTROL!$C$32, $C$9, 100%, $E$9)</f>
        <v>18.3904</v>
      </c>
      <c r="L590" s="11">
        <f>9.458 * CHOOSE(CONTROL!$C$32, $C$9, 100%, $E$9)</f>
        <v>9.4580000000000002</v>
      </c>
      <c r="M590" s="11">
        <f>9.4616 * CHOOSE(CONTROL!$C$32, $C$9, 100%, $E$9)</f>
        <v>9.4616000000000007</v>
      </c>
      <c r="N590" s="11">
        <f>9.458 * CHOOSE(CONTROL!$C$32, $C$9, 100%, $E$9)</f>
        <v>9.4580000000000002</v>
      </c>
      <c r="O590" s="11">
        <f>9.4616 * CHOOSE(CONTROL!$C$32, $C$9, 100%, $E$9)</f>
        <v>9.4616000000000007</v>
      </c>
    </row>
    <row r="591" spans="1:15" ht="15" x14ac:dyDescent="0.2">
      <c r="A591" s="13">
        <v>58838</v>
      </c>
      <c r="B591" s="9">
        <f>8.4418 * CHOOSE(CONTROL!$C$32, $C$9, 100%, $E$9)</f>
        <v>8.4418000000000006</v>
      </c>
      <c r="C591" s="9">
        <f>8.4418 * CHOOSE(CONTROL!$C$32, $C$9, 100%, $E$9)</f>
        <v>8.4418000000000006</v>
      </c>
      <c r="D591" s="9">
        <f>8.4429 * CHOOSE(CONTROL!$C$32, $C$9, 100%, $E$9)</f>
        <v>8.4428999999999998</v>
      </c>
      <c r="E591" s="11">
        <f>9.2307 * CHOOSE(CONTROL!$C$32, $C$9, 100%, $E$9)</f>
        <v>9.2307000000000006</v>
      </c>
      <c r="F591" s="11">
        <f>9.2307 * CHOOSE(CONTROL!$C$32, $C$9, 100%, $E$9)</f>
        <v>9.2307000000000006</v>
      </c>
      <c r="G591" s="11">
        <f>9.2343 * CHOOSE(CONTROL!$C$32, $C$9, 100%, $E$9)</f>
        <v>9.2342999999999993</v>
      </c>
      <c r="H591" s="11">
        <f>18.4251 * CHOOSE(CONTROL!$C$32, $C$9, 100%, $E$9)</f>
        <v>18.4251</v>
      </c>
      <c r="I591" s="11">
        <f>18.4287 * CHOOSE(CONTROL!$C$32, $C$9, 100%, $E$9)</f>
        <v>18.428699999999999</v>
      </c>
      <c r="J591" s="11">
        <f>18.4251 * CHOOSE(CONTROL!$C$32, $C$9, 100%, $E$9)</f>
        <v>18.4251</v>
      </c>
      <c r="K591" s="11">
        <f>18.4287 * CHOOSE(CONTROL!$C$32, $C$9, 100%, $E$9)</f>
        <v>18.428699999999999</v>
      </c>
      <c r="L591" s="11">
        <f>9.2307 * CHOOSE(CONTROL!$C$32, $C$9, 100%, $E$9)</f>
        <v>9.2307000000000006</v>
      </c>
      <c r="M591" s="11">
        <f>9.2343 * CHOOSE(CONTROL!$C$32, $C$9, 100%, $E$9)</f>
        <v>9.2342999999999993</v>
      </c>
      <c r="N591" s="11">
        <f>9.2307 * CHOOSE(CONTROL!$C$32, $C$9, 100%, $E$9)</f>
        <v>9.2307000000000006</v>
      </c>
      <c r="O591" s="11">
        <f>9.2343 * CHOOSE(CONTROL!$C$32, $C$9, 100%, $E$9)</f>
        <v>9.2342999999999993</v>
      </c>
    </row>
    <row r="592" spans="1:15" ht="15" x14ac:dyDescent="0.2">
      <c r="A592" s="13">
        <v>58866</v>
      </c>
      <c r="B592" s="9">
        <f>8.4388 * CHOOSE(CONTROL!$C$32, $C$9, 100%, $E$9)</f>
        <v>8.4388000000000005</v>
      </c>
      <c r="C592" s="9">
        <f>8.4388 * CHOOSE(CONTROL!$C$32, $C$9, 100%, $E$9)</f>
        <v>8.4388000000000005</v>
      </c>
      <c r="D592" s="9">
        <f>8.4398 * CHOOSE(CONTROL!$C$32, $C$9, 100%, $E$9)</f>
        <v>8.4398</v>
      </c>
      <c r="E592" s="11">
        <f>9.4061 * CHOOSE(CONTROL!$C$32, $C$9, 100%, $E$9)</f>
        <v>9.4061000000000003</v>
      </c>
      <c r="F592" s="11">
        <f>9.4061 * CHOOSE(CONTROL!$C$32, $C$9, 100%, $E$9)</f>
        <v>9.4061000000000003</v>
      </c>
      <c r="G592" s="11">
        <f>9.4097 * CHOOSE(CONTROL!$C$32, $C$9, 100%, $E$9)</f>
        <v>9.4097000000000008</v>
      </c>
      <c r="H592" s="11">
        <f>18.4635 * CHOOSE(CONTROL!$C$32, $C$9, 100%, $E$9)</f>
        <v>18.4635</v>
      </c>
      <c r="I592" s="11">
        <f>18.4671 * CHOOSE(CONTROL!$C$32, $C$9, 100%, $E$9)</f>
        <v>18.467099999999999</v>
      </c>
      <c r="J592" s="11">
        <f>18.4635 * CHOOSE(CONTROL!$C$32, $C$9, 100%, $E$9)</f>
        <v>18.4635</v>
      </c>
      <c r="K592" s="11">
        <f>18.4671 * CHOOSE(CONTROL!$C$32, $C$9, 100%, $E$9)</f>
        <v>18.467099999999999</v>
      </c>
      <c r="L592" s="11">
        <f>9.4061 * CHOOSE(CONTROL!$C$32, $C$9, 100%, $E$9)</f>
        <v>9.4061000000000003</v>
      </c>
      <c r="M592" s="11">
        <f>9.4097 * CHOOSE(CONTROL!$C$32, $C$9, 100%, $E$9)</f>
        <v>9.4097000000000008</v>
      </c>
      <c r="N592" s="11">
        <f>9.4061 * CHOOSE(CONTROL!$C$32, $C$9, 100%, $E$9)</f>
        <v>9.4061000000000003</v>
      </c>
      <c r="O592" s="11">
        <f>9.4097 * CHOOSE(CONTROL!$C$32, $C$9, 100%, $E$9)</f>
        <v>9.4097000000000008</v>
      </c>
    </row>
    <row r="593" spans="1:15" ht="15" x14ac:dyDescent="0.2">
      <c r="A593" s="13">
        <v>58897</v>
      </c>
      <c r="B593" s="9">
        <f>8.4407 * CHOOSE(CONTROL!$C$32, $C$9, 100%, $E$9)</f>
        <v>8.4406999999999996</v>
      </c>
      <c r="C593" s="9">
        <f>8.4407 * CHOOSE(CONTROL!$C$32, $C$9, 100%, $E$9)</f>
        <v>8.4406999999999996</v>
      </c>
      <c r="D593" s="9">
        <f>8.4418 * CHOOSE(CONTROL!$C$32, $C$9, 100%, $E$9)</f>
        <v>8.4418000000000006</v>
      </c>
      <c r="E593" s="11">
        <f>9.5925 * CHOOSE(CONTROL!$C$32, $C$9, 100%, $E$9)</f>
        <v>9.5924999999999994</v>
      </c>
      <c r="F593" s="11">
        <f>9.5925 * CHOOSE(CONTROL!$C$32, $C$9, 100%, $E$9)</f>
        <v>9.5924999999999994</v>
      </c>
      <c r="G593" s="11">
        <f>9.5961 * CHOOSE(CONTROL!$C$32, $C$9, 100%, $E$9)</f>
        <v>9.5960999999999999</v>
      </c>
      <c r="H593" s="11">
        <f>18.5019 * CHOOSE(CONTROL!$C$32, $C$9, 100%, $E$9)</f>
        <v>18.501899999999999</v>
      </c>
      <c r="I593" s="11">
        <f>18.5056 * CHOOSE(CONTROL!$C$32, $C$9, 100%, $E$9)</f>
        <v>18.505600000000001</v>
      </c>
      <c r="J593" s="11">
        <f>18.5019 * CHOOSE(CONTROL!$C$32, $C$9, 100%, $E$9)</f>
        <v>18.501899999999999</v>
      </c>
      <c r="K593" s="11">
        <f>18.5056 * CHOOSE(CONTROL!$C$32, $C$9, 100%, $E$9)</f>
        <v>18.505600000000001</v>
      </c>
      <c r="L593" s="11">
        <f>9.5925 * CHOOSE(CONTROL!$C$32, $C$9, 100%, $E$9)</f>
        <v>9.5924999999999994</v>
      </c>
      <c r="M593" s="11">
        <f>9.5961 * CHOOSE(CONTROL!$C$32, $C$9, 100%, $E$9)</f>
        <v>9.5960999999999999</v>
      </c>
      <c r="N593" s="11">
        <f>9.5925 * CHOOSE(CONTROL!$C$32, $C$9, 100%, $E$9)</f>
        <v>9.5924999999999994</v>
      </c>
      <c r="O593" s="11">
        <f>9.5961 * CHOOSE(CONTROL!$C$32, $C$9, 100%, $E$9)</f>
        <v>9.5960999999999999</v>
      </c>
    </row>
    <row r="594" spans="1:15" ht="15" x14ac:dyDescent="0.2">
      <c r="A594" s="13">
        <v>58927</v>
      </c>
      <c r="B594" s="9">
        <f>8.4407 * CHOOSE(CONTROL!$C$32, $C$9, 100%, $E$9)</f>
        <v>8.4406999999999996</v>
      </c>
      <c r="C594" s="9">
        <f>8.4407 * CHOOSE(CONTROL!$C$32, $C$9, 100%, $E$9)</f>
        <v>8.4406999999999996</v>
      </c>
      <c r="D594" s="9">
        <f>8.4423 * CHOOSE(CONTROL!$C$32, $C$9, 100%, $E$9)</f>
        <v>8.4422999999999995</v>
      </c>
      <c r="E594" s="11">
        <f>9.6639 * CHOOSE(CONTROL!$C$32, $C$9, 100%, $E$9)</f>
        <v>9.6638999999999999</v>
      </c>
      <c r="F594" s="11">
        <f>9.6639 * CHOOSE(CONTROL!$C$32, $C$9, 100%, $E$9)</f>
        <v>9.6638999999999999</v>
      </c>
      <c r="G594" s="11">
        <f>9.6692 * CHOOSE(CONTROL!$C$32, $C$9, 100%, $E$9)</f>
        <v>9.6692</v>
      </c>
      <c r="H594" s="11">
        <f>18.5405 * CHOOSE(CONTROL!$C$32, $C$9, 100%, $E$9)</f>
        <v>18.540500000000002</v>
      </c>
      <c r="I594" s="11">
        <f>18.5458 * CHOOSE(CONTROL!$C$32, $C$9, 100%, $E$9)</f>
        <v>18.5458</v>
      </c>
      <c r="J594" s="11">
        <f>18.5405 * CHOOSE(CONTROL!$C$32, $C$9, 100%, $E$9)</f>
        <v>18.540500000000002</v>
      </c>
      <c r="K594" s="11">
        <f>18.5458 * CHOOSE(CONTROL!$C$32, $C$9, 100%, $E$9)</f>
        <v>18.5458</v>
      </c>
      <c r="L594" s="11">
        <f>9.6639 * CHOOSE(CONTROL!$C$32, $C$9, 100%, $E$9)</f>
        <v>9.6638999999999999</v>
      </c>
      <c r="M594" s="11">
        <f>9.6692 * CHOOSE(CONTROL!$C$32, $C$9, 100%, $E$9)</f>
        <v>9.6692</v>
      </c>
      <c r="N594" s="11">
        <f>9.6639 * CHOOSE(CONTROL!$C$32, $C$9, 100%, $E$9)</f>
        <v>9.6638999999999999</v>
      </c>
      <c r="O594" s="11">
        <f>9.6692 * CHOOSE(CONTROL!$C$32, $C$9, 100%, $E$9)</f>
        <v>9.6692</v>
      </c>
    </row>
    <row r="595" spans="1:15" ht="15" x14ac:dyDescent="0.2">
      <c r="A595" s="13">
        <v>58958</v>
      </c>
      <c r="B595" s="9">
        <f>8.4468 * CHOOSE(CONTROL!$C$32, $C$9, 100%, $E$9)</f>
        <v>8.4467999999999996</v>
      </c>
      <c r="C595" s="9">
        <f>8.4468 * CHOOSE(CONTROL!$C$32, $C$9, 100%, $E$9)</f>
        <v>8.4467999999999996</v>
      </c>
      <c r="D595" s="9">
        <f>8.4484 * CHOOSE(CONTROL!$C$32, $C$9, 100%, $E$9)</f>
        <v>8.4483999999999995</v>
      </c>
      <c r="E595" s="11">
        <f>9.5967 * CHOOSE(CONTROL!$C$32, $C$9, 100%, $E$9)</f>
        <v>9.5967000000000002</v>
      </c>
      <c r="F595" s="11">
        <f>9.5967 * CHOOSE(CONTROL!$C$32, $C$9, 100%, $E$9)</f>
        <v>9.5967000000000002</v>
      </c>
      <c r="G595" s="11">
        <f>9.602 * CHOOSE(CONTROL!$C$32, $C$9, 100%, $E$9)</f>
        <v>9.6020000000000003</v>
      </c>
      <c r="H595" s="11">
        <f>18.5791 * CHOOSE(CONTROL!$C$32, $C$9, 100%, $E$9)</f>
        <v>18.5791</v>
      </c>
      <c r="I595" s="11">
        <f>18.5844 * CHOOSE(CONTROL!$C$32, $C$9, 100%, $E$9)</f>
        <v>18.584399999999999</v>
      </c>
      <c r="J595" s="11">
        <f>18.5791 * CHOOSE(CONTROL!$C$32, $C$9, 100%, $E$9)</f>
        <v>18.5791</v>
      </c>
      <c r="K595" s="11">
        <f>18.5844 * CHOOSE(CONTROL!$C$32, $C$9, 100%, $E$9)</f>
        <v>18.584399999999999</v>
      </c>
      <c r="L595" s="11">
        <f>9.5967 * CHOOSE(CONTROL!$C$32, $C$9, 100%, $E$9)</f>
        <v>9.5967000000000002</v>
      </c>
      <c r="M595" s="11">
        <f>9.602 * CHOOSE(CONTROL!$C$32, $C$9, 100%, $E$9)</f>
        <v>9.6020000000000003</v>
      </c>
      <c r="N595" s="11">
        <f>9.5967 * CHOOSE(CONTROL!$C$32, $C$9, 100%, $E$9)</f>
        <v>9.5967000000000002</v>
      </c>
      <c r="O595" s="11">
        <f>9.602 * CHOOSE(CONTROL!$C$32, $C$9, 100%, $E$9)</f>
        <v>9.6020000000000003</v>
      </c>
    </row>
    <row r="596" spans="1:15" ht="15" x14ac:dyDescent="0.2">
      <c r="A596" s="13">
        <v>58988</v>
      </c>
      <c r="B596" s="9">
        <f>8.5541 * CHOOSE(CONTROL!$C$32, $C$9, 100%, $E$9)</f>
        <v>8.5541</v>
      </c>
      <c r="C596" s="9">
        <f>8.5541 * CHOOSE(CONTROL!$C$32, $C$9, 100%, $E$9)</f>
        <v>8.5541</v>
      </c>
      <c r="D596" s="9">
        <f>8.5557 * CHOOSE(CONTROL!$C$32, $C$9, 100%, $E$9)</f>
        <v>8.5556999999999999</v>
      </c>
      <c r="E596" s="11">
        <f>9.73 * CHOOSE(CONTROL!$C$32, $C$9, 100%, $E$9)</f>
        <v>9.73</v>
      </c>
      <c r="F596" s="11">
        <f>9.73 * CHOOSE(CONTROL!$C$32, $C$9, 100%, $E$9)</f>
        <v>9.73</v>
      </c>
      <c r="G596" s="11">
        <f>9.7353 * CHOOSE(CONTROL!$C$32, $C$9, 100%, $E$9)</f>
        <v>9.7353000000000005</v>
      </c>
      <c r="H596" s="11">
        <f>18.6178 * CHOOSE(CONTROL!$C$32, $C$9, 100%, $E$9)</f>
        <v>18.617799999999999</v>
      </c>
      <c r="I596" s="11">
        <f>18.6231 * CHOOSE(CONTROL!$C$32, $C$9, 100%, $E$9)</f>
        <v>18.623100000000001</v>
      </c>
      <c r="J596" s="11">
        <f>18.6178 * CHOOSE(CONTROL!$C$32, $C$9, 100%, $E$9)</f>
        <v>18.617799999999999</v>
      </c>
      <c r="K596" s="11">
        <f>18.6231 * CHOOSE(CONTROL!$C$32, $C$9, 100%, $E$9)</f>
        <v>18.623100000000001</v>
      </c>
      <c r="L596" s="11">
        <f>9.73 * CHOOSE(CONTROL!$C$32, $C$9, 100%, $E$9)</f>
        <v>9.73</v>
      </c>
      <c r="M596" s="11">
        <f>9.7353 * CHOOSE(CONTROL!$C$32, $C$9, 100%, $E$9)</f>
        <v>9.7353000000000005</v>
      </c>
      <c r="N596" s="11">
        <f>9.73 * CHOOSE(CONTROL!$C$32, $C$9, 100%, $E$9)</f>
        <v>9.73</v>
      </c>
      <c r="O596" s="11">
        <f>9.7353 * CHOOSE(CONTROL!$C$32, $C$9, 100%, $E$9)</f>
        <v>9.7353000000000005</v>
      </c>
    </row>
    <row r="597" spans="1:15" ht="15" x14ac:dyDescent="0.2">
      <c r="A597" s="13">
        <v>59019</v>
      </c>
      <c r="B597" s="9">
        <f>8.5608 * CHOOSE(CONTROL!$C$32, $C$9, 100%, $E$9)</f>
        <v>8.5608000000000004</v>
      </c>
      <c r="C597" s="9">
        <f>8.5608 * CHOOSE(CONTROL!$C$32, $C$9, 100%, $E$9)</f>
        <v>8.5608000000000004</v>
      </c>
      <c r="D597" s="9">
        <f>8.5624 * CHOOSE(CONTROL!$C$32, $C$9, 100%, $E$9)</f>
        <v>8.5624000000000002</v>
      </c>
      <c r="E597" s="11">
        <f>9.5203 * CHOOSE(CONTROL!$C$32, $C$9, 100%, $E$9)</f>
        <v>9.5203000000000007</v>
      </c>
      <c r="F597" s="11">
        <f>9.5203 * CHOOSE(CONTROL!$C$32, $C$9, 100%, $E$9)</f>
        <v>9.5203000000000007</v>
      </c>
      <c r="G597" s="11">
        <f>9.5256 * CHOOSE(CONTROL!$C$32, $C$9, 100%, $E$9)</f>
        <v>9.5256000000000007</v>
      </c>
      <c r="H597" s="11">
        <f>18.6566 * CHOOSE(CONTROL!$C$32, $C$9, 100%, $E$9)</f>
        <v>18.656600000000001</v>
      </c>
      <c r="I597" s="11">
        <f>18.6619 * CHOOSE(CONTROL!$C$32, $C$9, 100%, $E$9)</f>
        <v>18.661899999999999</v>
      </c>
      <c r="J597" s="11">
        <f>18.6566 * CHOOSE(CONTROL!$C$32, $C$9, 100%, $E$9)</f>
        <v>18.656600000000001</v>
      </c>
      <c r="K597" s="11">
        <f>18.6619 * CHOOSE(CONTROL!$C$32, $C$9, 100%, $E$9)</f>
        <v>18.661899999999999</v>
      </c>
      <c r="L597" s="11">
        <f>9.5203 * CHOOSE(CONTROL!$C$32, $C$9, 100%, $E$9)</f>
        <v>9.5203000000000007</v>
      </c>
      <c r="M597" s="11">
        <f>9.5256 * CHOOSE(CONTROL!$C$32, $C$9, 100%, $E$9)</f>
        <v>9.5256000000000007</v>
      </c>
      <c r="N597" s="11">
        <f>9.5203 * CHOOSE(CONTROL!$C$32, $C$9, 100%, $E$9)</f>
        <v>9.5203000000000007</v>
      </c>
      <c r="O597" s="11">
        <f>9.5256 * CHOOSE(CONTROL!$C$32, $C$9, 100%, $E$9)</f>
        <v>9.5256000000000007</v>
      </c>
    </row>
    <row r="598" spans="1:15" ht="15" x14ac:dyDescent="0.2">
      <c r="A598" s="13">
        <v>59050</v>
      </c>
      <c r="B598" s="9">
        <f>8.5578 * CHOOSE(CONTROL!$C$32, $C$9, 100%, $E$9)</f>
        <v>8.5578000000000003</v>
      </c>
      <c r="C598" s="9">
        <f>8.5578 * CHOOSE(CONTROL!$C$32, $C$9, 100%, $E$9)</f>
        <v>8.5578000000000003</v>
      </c>
      <c r="D598" s="9">
        <f>8.5594 * CHOOSE(CONTROL!$C$32, $C$9, 100%, $E$9)</f>
        <v>8.5594000000000001</v>
      </c>
      <c r="E598" s="11">
        <f>9.4943 * CHOOSE(CONTROL!$C$32, $C$9, 100%, $E$9)</f>
        <v>9.4943000000000008</v>
      </c>
      <c r="F598" s="11">
        <f>9.4943 * CHOOSE(CONTROL!$C$32, $C$9, 100%, $E$9)</f>
        <v>9.4943000000000008</v>
      </c>
      <c r="G598" s="11">
        <f>9.4996 * CHOOSE(CONTROL!$C$32, $C$9, 100%, $E$9)</f>
        <v>9.4995999999999992</v>
      </c>
      <c r="H598" s="11">
        <f>18.6955 * CHOOSE(CONTROL!$C$32, $C$9, 100%, $E$9)</f>
        <v>18.695499999999999</v>
      </c>
      <c r="I598" s="11">
        <f>18.7008 * CHOOSE(CONTROL!$C$32, $C$9, 100%, $E$9)</f>
        <v>18.700800000000001</v>
      </c>
      <c r="J598" s="11">
        <f>18.6955 * CHOOSE(CONTROL!$C$32, $C$9, 100%, $E$9)</f>
        <v>18.695499999999999</v>
      </c>
      <c r="K598" s="11">
        <f>18.7008 * CHOOSE(CONTROL!$C$32, $C$9, 100%, $E$9)</f>
        <v>18.700800000000001</v>
      </c>
      <c r="L598" s="11">
        <f>9.4943 * CHOOSE(CONTROL!$C$32, $C$9, 100%, $E$9)</f>
        <v>9.4943000000000008</v>
      </c>
      <c r="M598" s="11">
        <f>9.4996 * CHOOSE(CONTROL!$C$32, $C$9, 100%, $E$9)</f>
        <v>9.4995999999999992</v>
      </c>
      <c r="N598" s="11">
        <f>9.4943 * CHOOSE(CONTROL!$C$32, $C$9, 100%, $E$9)</f>
        <v>9.4943000000000008</v>
      </c>
      <c r="O598" s="11">
        <f>9.4996 * CHOOSE(CONTROL!$C$32, $C$9, 100%, $E$9)</f>
        <v>9.4995999999999992</v>
      </c>
    </row>
    <row r="599" spans="1:15" ht="15" x14ac:dyDescent="0.2">
      <c r="A599" s="13">
        <v>59080</v>
      </c>
      <c r="B599" s="9">
        <f>8.5698 * CHOOSE(CONTROL!$C$32, $C$9, 100%, $E$9)</f>
        <v>8.5698000000000008</v>
      </c>
      <c r="C599" s="9">
        <f>8.5698 * CHOOSE(CONTROL!$C$32, $C$9, 100%, $E$9)</f>
        <v>8.5698000000000008</v>
      </c>
      <c r="D599" s="9">
        <f>8.5709 * CHOOSE(CONTROL!$C$32, $C$9, 100%, $E$9)</f>
        <v>8.5709</v>
      </c>
      <c r="E599" s="11">
        <f>9.5762 * CHOOSE(CONTROL!$C$32, $C$9, 100%, $E$9)</f>
        <v>9.5762</v>
      </c>
      <c r="F599" s="11">
        <f>9.5762 * CHOOSE(CONTROL!$C$32, $C$9, 100%, $E$9)</f>
        <v>9.5762</v>
      </c>
      <c r="G599" s="11">
        <f>9.5798 * CHOOSE(CONTROL!$C$32, $C$9, 100%, $E$9)</f>
        <v>9.5798000000000005</v>
      </c>
      <c r="H599" s="11">
        <f>18.7344 * CHOOSE(CONTROL!$C$32, $C$9, 100%, $E$9)</f>
        <v>18.734400000000001</v>
      </c>
      <c r="I599" s="11">
        <f>18.738 * CHOOSE(CONTROL!$C$32, $C$9, 100%, $E$9)</f>
        <v>18.738</v>
      </c>
      <c r="J599" s="11">
        <f>18.7344 * CHOOSE(CONTROL!$C$32, $C$9, 100%, $E$9)</f>
        <v>18.734400000000001</v>
      </c>
      <c r="K599" s="11">
        <f>18.738 * CHOOSE(CONTROL!$C$32, $C$9, 100%, $E$9)</f>
        <v>18.738</v>
      </c>
      <c r="L599" s="11">
        <f>9.5762 * CHOOSE(CONTROL!$C$32, $C$9, 100%, $E$9)</f>
        <v>9.5762</v>
      </c>
      <c r="M599" s="11">
        <f>9.5798 * CHOOSE(CONTROL!$C$32, $C$9, 100%, $E$9)</f>
        <v>9.5798000000000005</v>
      </c>
      <c r="N599" s="11">
        <f>9.5762 * CHOOSE(CONTROL!$C$32, $C$9, 100%, $E$9)</f>
        <v>9.5762</v>
      </c>
      <c r="O599" s="11">
        <f>9.5798 * CHOOSE(CONTROL!$C$32, $C$9, 100%, $E$9)</f>
        <v>9.5798000000000005</v>
      </c>
    </row>
    <row r="600" spans="1:15" ht="15" x14ac:dyDescent="0.2">
      <c r="A600" s="13">
        <v>59111</v>
      </c>
      <c r="B600" s="9">
        <f>8.5729 * CHOOSE(CONTROL!$C$32, $C$9, 100%, $E$9)</f>
        <v>8.5729000000000006</v>
      </c>
      <c r="C600" s="9">
        <f>8.5729 * CHOOSE(CONTROL!$C$32, $C$9, 100%, $E$9)</f>
        <v>8.5729000000000006</v>
      </c>
      <c r="D600" s="9">
        <f>8.5739 * CHOOSE(CONTROL!$C$32, $C$9, 100%, $E$9)</f>
        <v>8.5739000000000001</v>
      </c>
      <c r="E600" s="11">
        <f>9.626 * CHOOSE(CONTROL!$C$32, $C$9, 100%, $E$9)</f>
        <v>9.6259999999999994</v>
      </c>
      <c r="F600" s="11">
        <f>9.626 * CHOOSE(CONTROL!$C$32, $C$9, 100%, $E$9)</f>
        <v>9.6259999999999994</v>
      </c>
      <c r="G600" s="11">
        <f>9.6296 * CHOOSE(CONTROL!$C$32, $C$9, 100%, $E$9)</f>
        <v>9.6295999999999999</v>
      </c>
      <c r="H600" s="11">
        <f>18.7734 * CHOOSE(CONTROL!$C$32, $C$9, 100%, $E$9)</f>
        <v>18.773399999999999</v>
      </c>
      <c r="I600" s="11">
        <f>18.7771 * CHOOSE(CONTROL!$C$32, $C$9, 100%, $E$9)</f>
        <v>18.777100000000001</v>
      </c>
      <c r="J600" s="11">
        <f>18.7734 * CHOOSE(CONTROL!$C$32, $C$9, 100%, $E$9)</f>
        <v>18.773399999999999</v>
      </c>
      <c r="K600" s="11">
        <f>18.7771 * CHOOSE(CONTROL!$C$32, $C$9, 100%, $E$9)</f>
        <v>18.777100000000001</v>
      </c>
      <c r="L600" s="11">
        <f>9.626 * CHOOSE(CONTROL!$C$32, $C$9, 100%, $E$9)</f>
        <v>9.6259999999999994</v>
      </c>
      <c r="M600" s="11">
        <f>9.6296 * CHOOSE(CONTROL!$C$32, $C$9, 100%, $E$9)</f>
        <v>9.6295999999999999</v>
      </c>
      <c r="N600" s="11">
        <f>9.626 * CHOOSE(CONTROL!$C$32, $C$9, 100%, $E$9)</f>
        <v>9.6259999999999994</v>
      </c>
      <c r="O600" s="11">
        <f>9.6296 * CHOOSE(CONTROL!$C$32, $C$9, 100%, $E$9)</f>
        <v>9.6295999999999999</v>
      </c>
    </row>
    <row r="601" spans="1:15" ht="15" x14ac:dyDescent="0.2">
      <c r="A601" s="13">
        <v>59141</v>
      </c>
      <c r="B601" s="9">
        <f>8.5729 * CHOOSE(CONTROL!$C$32, $C$9, 100%, $E$9)</f>
        <v>8.5729000000000006</v>
      </c>
      <c r="C601" s="9">
        <f>8.5729 * CHOOSE(CONTROL!$C$32, $C$9, 100%, $E$9)</f>
        <v>8.5729000000000006</v>
      </c>
      <c r="D601" s="9">
        <f>8.5739 * CHOOSE(CONTROL!$C$32, $C$9, 100%, $E$9)</f>
        <v>8.5739000000000001</v>
      </c>
      <c r="E601" s="11">
        <f>9.5068 * CHOOSE(CONTROL!$C$32, $C$9, 100%, $E$9)</f>
        <v>9.5068000000000001</v>
      </c>
      <c r="F601" s="11">
        <f>9.5068 * CHOOSE(CONTROL!$C$32, $C$9, 100%, $E$9)</f>
        <v>9.5068000000000001</v>
      </c>
      <c r="G601" s="11">
        <f>9.5105 * CHOOSE(CONTROL!$C$32, $C$9, 100%, $E$9)</f>
        <v>9.5105000000000004</v>
      </c>
      <c r="H601" s="11">
        <f>18.8126 * CHOOSE(CONTROL!$C$32, $C$9, 100%, $E$9)</f>
        <v>18.8126</v>
      </c>
      <c r="I601" s="11">
        <f>18.8162 * CHOOSE(CONTROL!$C$32, $C$9, 100%, $E$9)</f>
        <v>18.816199999999998</v>
      </c>
      <c r="J601" s="11">
        <f>18.8126 * CHOOSE(CONTROL!$C$32, $C$9, 100%, $E$9)</f>
        <v>18.8126</v>
      </c>
      <c r="K601" s="11">
        <f>18.8162 * CHOOSE(CONTROL!$C$32, $C$9, 100%, $E$9)</f>
        <v>18.816199999999998</v>
      </c>
      <c r="L601" s="11">
        <f>9.5068 * CHOOSE(CONTROL!$C$32, $C$9, 100%, $E$9)</f>
        <v>9.5068000000000001</v>
      </c>
      <c r="M601" s="11">
        <f>9.5105 * CHOOSE(CONTROL!$C$32, $C$9, 100%, $E$9)</f>
        <v>9.5105000000000004</v>
      </c>
      <c r="N601" s="11">
        <f>9.5068 * CHOOSE(CONTROL!$C$32, $C$9, 100%, $E$9)</f>
        <v>9.5068000000000001</v>
      </c>
      <c r="O601" s="11">
        <f>9.5105 * CHOOSE(CONTROL!$C$32, $C$9, 100%, $E$9)</f>
        <v>9.5105000000000004</v>
      </c>
    </row>
    <row r="602" spans="1:15" ht="15" x14ac:dyDescent="0.2">
      <c r="A602" s="13">
        <v>59172</v>
      </c>
      <c r="B602" s="9">
        <f>8.6322 * CHOOSE(CONTROL!$C$32, $C$9, 100%, $E$9)</f>
        <v>8.6321999999999992</v>
      </c>
      <c r="C602" s="9">
        <f>8.6322 * CHOOSE(CONTROL!$C$32, $C$9, 100%, $E$9)</f>
        <v>8.6321999999999992</v>
      </c>
      <c r="D602" s="9">
        <f>8.6333 * CHOOSE(CONTROL!$C$32, $C$9, 100%, $E$9)</f>
        <v>8.6333000000000002</v>
      </c>
      <c r="E602" s="11">
        <f>9.6705 * CHOOSE(CONTROL!$C$32, $C$9, 100%, $E$9)</f>
        <v>9.6705000000000005</v>
      </c>
      <c r="F602" s="11">
        <f>9.6705 * CHOOSE(CONTROL!$C$32, $C$9, 100%, $E$9)</f>
        <v>9.6705000000000005</v>
      </c>
      <c r="G602" s="11">
        <f>9.6741 * CHOOSE(CONTROL!$C$32, $C$9, 100%, $E$9)</f>
        <v>9.6740999999999993</v>
      </c>
      <c r="H602" s="11">
        <f>18.8403 * CHOOSE(CONTROL!$C$32, $C$9, 100%, $E$9)</f>
        <v>18.840299999999999</v>
      </c>
      <c r="I602" s="11">
        <f>18.8439 * CHOOSE(CONTROL!$C$32, $C$9, 100%, $E$9)</f>
        <v>18.843900000000001</v>
      </c>
      <c r="J602" s="11">
        <f>18.8403 * CHOOSE(CONTROL!$C$32, $C$9, 100%, $E$9)</f>
        <v>18.840299999999999</v>
      </c>
      <c r="K602" s="11">
        <f>18.8439 * CHOOSE(CONTROL!$C$32, $C$9, 100%, $E$9)</f>
        <v>18.843900000000001</v>
      </c>
      <c r="L602" s="11">
        <f>9.6705 * CHOOSE(CONTROL!$C$32, $C$9, 100%, $E$9)</f>
        <v>9.6705000000000005</v>
      </c>
      <c r="M602" s="11">
        <f>9.6741 * CHOOSE(CONTROL!$C$32, $C$9, 100%, $E$9)</f>
        <v>9.6740999999999993</v>
      </c>
      <c r="N602" s="11">
        <f>9.6705 * CHOOSE(CONTROL!$C$32, $C$9, 100%, $E$9)</f>
        <v>9.6705000000000005</v>
      </c>
      <c r="O602" s="11">
        <f>9.6741 * CHOOSE(CONTROL!$C$32, $C$9, 100%, $E$9)</f>
        <v>9.6740999999999993</v>
      </c>
    </row>
    <row r="603" spans="1:15" ht="15" x14ac:dyDescent="0.2">
      <c r="A603" s="13">
        <v>59203</v>
      </c>
      <c r="B603" s="9">
        <f>8.6292 * CHOOSE(CONTROL!$C$32, $C$9, 100%, $E$9)</f>
        <v>8.6292000000000009</v>
      </c>
      <c r="C603" s="9">
        <f>8.6292 * CHOOSE(CONTROL!$C$32, $C$9, 100%, $E$9)</f>
        <v>8.6292000000000009</v>
      </c>
      <c r="D603" s="9">
        <f>8.6302 * CHOOSE(CONTROL!$C$32, $C$9, 100%, $E$9)</f>
        <v>8.6302000000000003</v>
      </c>
      <c r="E603" s="11">
        <f>9.4361 * CHOOSE(CONTROL!$C$32, $C$9, 100%, $E$9)</f>
        <v>9.4360999999999997</v>
      </c>
      <c r="F603" s="11">
        <f>9.4361 * CHOOSE(CONTROL!$C$32, $C$9, 100%, $E$9)</f>
        <v>9.4360999999999997</v>
      </c>
      <c r="G603" s="11">
        <f>9.4398 * CHOOSE(CONTROL!$C$32, $C$9, 100%, $E$9)</f>
        <v>9.4398</v>
      </c>
      <c r="H603" s="11">
        <f>18.8795 * CHOOSE(CONTROL!$C$32, $C$9, 100%, $E$9)</f>
        <v>18.8795</v>
      </c>
      <c r="I603" s="11">
        <f>18.8831 * CHOOSE(CONTROL!$C$32, $C$9, 100%, $E$9)</f>
        <v>18.883099999999999</v>
      </c>
      <c r="J603" s="11">
        <f>18.8795 * CHOOSE(CONTROL!$C$32, $C$9, 100%, $E$9)</f>
        <v>18.8795</v>
      </c>
      <c r="K603" s="11">
        <f>18.8831 * CHOOSE(CONTROL!$C$32, $C$9, 100%, $E$9)</f>
        <v>18.883099999999999</v>
      </c>
      <c r="L603" s="11">
        <f>9.4361 * CHOOSE(CONTROL!$C$32, $C$9, 100%, $E$9)</f>
        <v>9.4360999999999997</v>
      </c>
      <c r="M603" s="11">
        <f>9.4398 * CHOOSE(CONTROL!$C$32, $C$9, 100%, $E$9)</f>
        <v>9.4398</v>
      </c>
      <c r="N603" s="11">
        <f>9.4361 * CHOOSE(CONTROL!$C$32, $C$9, 100%, $E$9)</f>
        <v>9.4360999999999997</v>
      </c>
      <c r="O603" s="11">
        <f>9.4398 * CHOOSE(CONTROL!$C$32, $C$9, 100%, $E$9)</f>
        <v>9.4398</v>
      </c>
    </row>
    <row r="604" spans="1:15" ht="15" x14ac:dyDescent="0.2">
      <c r="A604" s="13">
        <v>59231</v>
      </c>
      <c r="B604" s="9">
        <f>8.6261 * CHOOSE(CONTROL!$C$32, $C$9, 100%, $E$9)</f>
        <v>8.6260999999999992</v>
      </c>
      <c r="C604" s="9">
        <f>8.6261 * CHOOSE(CONTROL!$C$32, $C$9, 100%, $E$9)</f>
        <v>8.6260999999999992</v>
      </c>
      <c r="D604" s="9">
        <f>8.6272 * CHOOSE(CONTROL!$C$32, $C$9, 100%, $E$9)</f>
        <v>8.6272000000000002</v>
      </c>
      <c r="E604" s="11">
        <f>9.6171 * CHOOSE(CONTROL!$C$32, $C$9, 100%, $E$9)</f>
        <v>9.6171000000000006</v>
      </c>
      <c r="F604" s="11">
        <f>9.6171 * CHOOSE(CONTROL!$C$32, $C$9, 100%, $E$9)</f>
        <v>9.6171000000000006</v>
      </c>
      <c r="G604" s="11">
        <f>9.6207 * CHOOSE(CONTROL!$C$32, $C$9, 100%, $E$9)</f>
        <v>9.6206999999999994</v>
      </c>
      <c r="H604" s="11">
        <f>18.9189 * CHOOSE(CONTROL!$C$32, $C$9, 100%, $E$9)</f>
        <v>18.918900000000001</v>
      </c>
      <c r="I604" s="11">
        <f>18.9225 * CHOOSE(CONTROL!$C$32, $C$9, 100%, $E$9)</f>
        <v>18.922499999999999</v>
      </c>
      <c r="J604" s="11">
        <f>18.9189 * CHOOSE(CONTROL!$C$32, $C$9, 100%, $E$9)</f>
        <v>18.918900000000001</v>
      </c>
      <c r="K604" s="11">
        <f>18.9225 * CHOOSE(CONTROL!$C$32, $C$9, 100%, $E$9)</f>
        <v>18.922499999999999</v>
      </c>
      <c r="L604" s="11">
        <f>9.6171 * CHOOSE(CONTROL!$C$32, $C$9, 100%, $E$9)</f>
        <v>9.6171000000000006</v>
      </c>
      <c r="M604" s="11">
        <f>9.6207 * CHOOSE(CONTROL!$C$32, $C$9, 100%, $E$9)</f>
        <v>9.6206999999999994</v>
      </c>
      <c r="N604" s="11">
        <f>9.6171 * CHOOSE(CONTROL!$C$32, $C$9, 100%, $E$9)</f>
        <v>9.6171000000000006</v>
      </c>
      <c r="O604" s="11">
        <f>9.6207 * CHOOSE(CONTROL!$C$32, $C$9, 100%, $E$9)</f>
        <v>9.6206999999999994</v>
      </c>
    </row>
    <row r="605" spans="1:15" ht="15" x14ac:dyDescent="0.2">
      <c r="A605" s="13">
        <v>59262</v>
      </c>
      <c r="B605" s="9">
        <f>8.6283 * CHOOSE(CONTROL!$C$32, $C$9, 100%, $E$9)</f>
        <v>8.6282999999999994</v>
      </c>
      <c r="C605" s="9">
        <f>8.6283 * CHOOSE(CONTROL!$C$32, $C$9, 100%, $E$9)</f>
        <v>8.6282999999999994</v>
      </c>
      <c r="D605" s="9">
        <f>8.6293 * CHOOSE(CONTROL!$C$32, $C$9, 100%, $E$9)</f>
        <v>8.6293000000000006</v>
      </c>
      <c r="E605" s="11">
        <f>9.8095 * CHOOSE(CONTROL!$C$32, $C$9, 100%, $E$9)</f>
        <v>9.8094999999999999</v>
      </c>
      <c r="F605" s="11">
        <f>9.8095 * CHOOSE(CONTROL!$C$32, $C$9, 100%, $E$9)</f>
        <v>9.8094999999999999</v>
      </c>
      <c r="G605" s="11">
        <f>9.8131 * CHOOSE(CONTROL!$C$32, $C$9, 100%, $E$9)</f>
        <v>9.8131000000000004</v>
      </c>
      <c r="H605" s="11">
        <f>18.9583 * CHOOSE(CONTROL!$C$32, $C$9, 100%, $E$9)</f>
        <v>18.958300000000001</v>
      </c>
      <c r="I605" s="11">
        <f>18.9619 * CHOOSE(CONTROL!$C$32, $C$9, 100%, $E$9)</f>
        <v>18.9619</v>
      </c>
      <c r="J605" s="11">
        <f>18.9583 * CHOOSE(CONTROL!$C$32, $C$9, 100%, $E$9)</f>
        <v>18.958300000000001</v>
      </c>
      <c r="K605" s="11">
        <f>18.9619 * CHOOSE(CONTROL!$C$32, $C$9, 100%, $E$9)</f>
        <v>18.9619</v>
      </c>
      <c r="L605" s="11">
        <f>9.8095 * CHOOSE(CONTROL!$C$32, $C$9, 100%, $E$9)</f>
        <v>9.8094999999999999</v>
      </c>
      <c r="M605" s="11">
        <f>9.8131 * CHOOSE(CONTROL!$C$32, $C$9, 100%, $E$9)</f>
        <v>9.8131000000000004</v>
      </c>
      <c r="N605" s="11">
        <f>9.8095 * CHOOSE(CONTROL!$C$32, $C$9, 100%, $E$9)</f>
        <v>9.8094999999999999</v>
      </c>
      <c r="O605" s="11">
        <f>9.8131 * CHOOSE(CONTROL!$C$32, $C$9, 100%, $E$9)</f>
        <v>9.8131000000000004</v>
      </c>
    </row>
    <row r="606" spans="1:15" ht="15" x14ac:dyDescent="0.2">
      <c r="A606" s="13">
        <v>59292</v>
      </c>
      <c r="B606" s="9">
        <f>8.6283 * CHOOSE(CONTROL!$C$32, $C$9, 100%, $E$9)</f>
        <v>8.6282999999999994</v>
      </c>
      <c r="C606" s="9">
        <f>8.6283 * CHOOSE(CONTROL!$C$32, $C$9, 100%, $E$9)</f>
        <v>8.6282999999999994</v>
      </c>
      <c r="D606" s="9">
        <f>8.6298 * CHOOSE(CONTROL!$C$32, $C$9, 100%, $E$9)</f>
        <v>8.6297999999999995</v>
      </c>
      <c r="E606" s="11">
        <f>9.8832 * CHOOSE(CONTROL!$C$32, $C$9, 100%, $E$9)</f>
        <v>9.8832000000000004</v>
      </c>
      <c r="F606" s="11">
        <f>9.8832 * CHOOSE(CONTROL!$C$32, $C$9, 100%, $E$9)</f>
        <v>9.8832000000000004</v>
      </c>
      <c r="G606" s="11">
        <f>9.8885 * CHOOSE(CONTROL!$C$32, $C$9, 100%, $E$9)</f>
        <v>9.8885000000000005</v>
      </c>
      <c r="H606" s="11">
        <f>18.9978 * CHOOSE(CONTROL!$C$32, $C$9, 100%, $E$9)</f>
        <v>18.997800000000002</v>
      </c>
      <c r="I606" s="11">
        <f>19.0031 * CHOOSE(CONTROL!$C$32, $C$9, 100%, $E$9)</f>
        <v>19.0031</v>
      </c>
      <c r="J606" s="11">
        <f>18.9978 * CHOOSE(CONTROL!$C$32, $C$9, 100%, $E$9)</f>
        <v>18.997800000000002</v>
      </c>
      <c r="K606" s="11">
        <f>19.0031 * CHOOSE(CONTROL!$C$32, $C$9, 100%, $E$9)</f>
        <v>19.0031</v>
      </c>
      <c r="L606" s="11">
        <f>9.8832 * CHOOSE(CONTROL!$C$32, $C$9, 100%, $E$9)</f>
        <v>9.8832000000000004</v>
      </c>
      <c r="M606" s="11">
        <f>9.8885 * CHOOSE(CONTROL!$C$32, $C$9, 100%, $E$9)</f>
        <v>9.8885000000000005</v>
      </c>
      <c r="N606" s="11">
        <f>9.8832 * CHOOSE(CONTROL!$C$32, $C$9, 100%, $E$9)</f>
        <v>9.8832000000000004</v>
      </c>
      <c r="O606" s="11">
        <f>9.8885 * CHOOSE(CONTROL!$C$32, $C$9, 100%, $E$9)</f>
        <v>9.8885000000000005</v>
      </c>
    </row>
    <row r="607" spans="1:15" ht="15" x14ac:dyDescent="0.2">
      <c r="A607" s="13">
        <v>59323</v>
      </c>
      <c r="B607" s="9">
        <f>8.6343 * CHOOSE(CONTROL!$C$32, $C$9, 100%, $E$9)</f>
        <v>8.6342999999999996</v>
      </c>
      <c r="C607" s="9">
        <f>8.6343 * CHOOSE(CONTROL!$C$32, $C$9, 100%, $E$9)</f>
        <v>8.6342999999999996</v>
      </c>
      <c r="D607" s="9">
        <f>8.6359 * CHOOSE(CONTROL!$C$32, $C$9, 100%, $E$9)</f>
        <v>8.6358999999999995</v>
      </c>
      <c r="E607" s="11">
        <f>9.8137 * CHOOSE(CONTROL!$C$32, $C$9, 100%, $E$9)</f>
        <v>9.8137000000000008</v>
      </c>
      <c r="F607" s="11">
        <f>9.8137 * CHOOSE(CONTROL!$C$32, $C$9, 100%, $E$9)</f>
        <v>9.8137000000000008</v>
      </c>
      <c r="G607" s="11">
        <f>9.819 * CHOOSE(CONTROL!$C$32, $C$9, 100%, $E$9)</f>
        <v>9.8190000000000008</v>
      </c>
      <c r="H607" s="11">
        <f>19.0374 * CHOOSE(CONTROL!$C$32, $C$9, 100%, $E$9)</f>
        <v>19.037400000000002</v>
      </c>
      <c r="I607" s="11">
        <f>19.0426 * CHOOSE(CONTROL!$C$32, $C$9, 100%, $E$9)</f>
        <v>19.0426</v>
      </c>
      <c r="J607" s="11">
        <f>19.0374 * CHOOSE(CONTROL!$C$32, $C$9, 100%, $E$9)</f>
        <v>19.037400000000002</v>
      </c>
      <c r="K607" s="11">
        <f>19.0426 * CHOOSE(CONTROL!$C$32, $C$9, 100%, $E$9)</f>
        <v>19.0426</v>
      </c>
      <c r="L607" s="11">
        <f>9.8137 * CHOOSE(CONTROL!$C$32, $C$9, 100%, $E$9)</f>
        <v>9.8137000000000008</v>
      </c>
      <c r="M607" s="11">
        <f>9.819 * CHOOSE(CONTROL!$C$32, $C$9, 100%, $E$9)</f>
        <v>9.8190000000000008</v>
      </c>
      <c r="N607" s="11">
        <f>9.8137 * CHOOSE(CONTROL!$C$32, $C$9, 100%, $E$9)</f>
        <v>9.8137000000000008</v>
      </c>
      <c r="O607" s="11">
        <f>9.819 * CHOOSE(CONTROL!$C$32, $C$9, 100%, $E$9)</f>
        <v>9.8190000000000008</v>
      </c>
    </row>
    <row r="608" spans="1:15" ht="15" x14ac:dyDescent="0.2">
      <c r="A608" s="13">
        <v>59353</v>
      </c>
      <c r="B608" s="9">
        <f>8.7437 * CHOOSE(CONTROL!$C$32, $C$9, 100%, $E$9)</f>
        <v>8.7437000000000005</v>
      </c>
      <c r="C608" s="9">
        <f>8.7437 * CHOOSE(CONTROL!$C$32, $C$9, 100%, $E$9)</f>
        <v>8.7437000000000005</v>
      </c>
      <c r="D608" s="9">
        <f>8.7453 * CHOOSE(CONTROL!$C$32, $C$9, 100%, $E$9)</f>
        <v>8.7453000000000003</v>
      </c>
      <c r="E608" s="11">
        <f>9.9502 * CHOOSE(CONTROL!$C$32, $C$9, 100%, $E$9)</f>
        <v>9.9502000000000006</v>
      </c>
      <c r="F608" s="11">
        <f>9.9502 * CHOOSE(CONTROL!$C$32, $C$9, 100%, $E$9)</f>
        <v>9.9502000000000006</v>
      </c>
      <c r="G608" s="11">
        <f>9.9555 * CHOOSE(CONTROL!$C$32, $C$9, 100%, $E$9)</f>
        <v>9.9555000000000007</v>
      </c>
      <c r="H608" s="11">
        <f>19.077 * CHOOSE(CONTROL!$C$32, $C$9, 100%, $E$9)</f>
        <v>19.077000000000002</v>
      </c>
      <c r="I608" s="11">
        <f>19.0823 * CHOOSE(CONTROL!$C$32, $C$9, 100%, $E$9)</f>
        <v>19.0823</v>
      </c>
      <c r="J608" s="11">
        <f>19.077 * CHOOSE(CONTROL!$C$32, $C$9, 100%, $E$9)</f>
        <v>19.077000000000002</v>
      </c>
      <c r="K608" s="11">
        <f>19.0823 * CHOOSE(CONTROL!$C$32, $C$9, 100%, $E$9)</f>
        <v>19.0823</v>
      </c>
      <c r="L608" s="11">
        <f>9.9502 * CHOOSE(CONTROL!$C$32, $C$9, 100%, $E$9)</f>
        <v>9.9502000000000006</v>
      </c>
      <c r="M608" s="11">
        <f>9.9555 * CHOOSE(CONTROL!$C$32, $C$9, 100%, $E$9)</f>
        <v>9.9555000000000007</v>
      </c>
      <c r="N608" s="11">
        <f>9.9502 * CHOOSE(CONTROL!$C$32, $C$9, 100%, $E$9)</f>
        <v>9.9502000000000006</v>
      </c>
      <c r="O608" s="11">
        <f>9.9555 * CHOOSE(CONTROL!$C$32, $C$9, 100%, $E$9)</f>
        <v>9.9555000000000007</v>
      </c>
    </row>
    <row r="609" spans="1:15" ht="15" x14ac:dyDescent="0.2">
      <c r="A609" s="13">
        <v>59384</v>
      </c>
      <c r="B609" s="9">
        <f>8.7504 * CHOOSE(CONTROL!$C$32, $C$9, 100%, $E$9)</f>
        <v>8.7504000000000008</v>
      </c>
      <c r="C609" s="9">
        <f>8.7504 * CHOOSE(CONTROL!$C$32, $C$9, 100%, $E$9)</f>
        <v>8.7504000000000008</v>
      </c>
      <c r="D609" s="9">
        <f>8.752 * CHOOSE(CONTROL!$C$32, $C$9, 100%, $E$9)</f>
        <v>8.7520000000000007</v>
      </c>
      <c r="E609" s="11">
        <f>9.7337 * CHOOSE(CONTROL!$C$32, $C$9, 100%, $E$9)</f>
        <v>9.7337000000000007</v>
      </c>
      <c r="F609" s="11">
        <f>9.7337 * CHOOSE(CONTROL!$C$32, $C$9, 100%, $E$9)</f>
        <v>9.7337000000000007</v>
      </c>
      <c r="G609" s="11">
        <f>9.739 * CHOOSE(CONTROL!$C$32, $C$9, 100%, $E$9)</f>
        <v>9.7390000000000008</v>
      </c>
      <c r="H609" s="11">
        <f>19.1168 * CHOOSE(CONTROL!$C$32, $C$9, 100%, $E$9)</f>
        <v>19.116800000000001</v>
      </c>
      <c r="I609" s="11">
        <f>19.1221 * CHOOSE(CONTROL!$C$32, $C$9, 100%, $E$9)</f>
        <v>19.1221</v>
      </c>
      <c r="J609" s="11">
        <f>19.1168 * CHOOSE(CONTROL!$C$32, $C$9, 100%, $E$9)</f>
        <v>19.116800000000001</v>
      </c>
      <c r="K609" s="11">
        <f>19.1221 * CHOOSE(CONTROL!$C$32, $C$9, 100%, $E$9)</f>
        <v>19.1221</v>
      </c>
      <c r="L609" s="11">
        <f>9.7337 * CHOOSE(CONTROL!$C$32, $C$9, 100%, $E$9)</f>
        <v>9.7337000000000007</v>
      </c>
      <c r="M609" s="11">
        <f>9.739 * CHOOSE(CONTROL!$C$32, $C$9, 100%, $E$9)</f>
        <v>9.7390000000000008</v>
      </c>
      <c r="N609" s="11">
        <f>9.7337 * CHOOSE(CONTROL!$C$32, $C$9, 100%, $E$9)</f>
        <v>9.7337000000000007</v>
      </c>
      <c r="O609" s="11">
        <f>9.739 * CHOOSE(CONTROL!$C$32, $C$9, 100%, $E$9)</f>
        <v>9.7390000000000008</v>
      </c>
    </row>
    <row r="610" spans="1:15" ht="15" x14ac:dyDescent="0.2">
      <c r="A610" s="13">
        <v>59415</v>
      </c>
      <c r="B610" s="9">
        <f>8.7474 * CHOOSE(CONTROL!$C$32, $C$9, 100%, $E$9)</f>
        <v>8.7474000000000007</v>
      </c>
      <c r="C610" s="9">
        <f>8.7474 * CHOOSE(CONTROL!$C$32, $C$9, 100%, $E$9)</f>
        <v>8.7474000000000007</v>
      </c>
      <c r="D610" s="9">
        <f>8.749 * CHOOSE(CONTROL!$C$32, $C$9, 100%, $E$9)</f>
        <v>8.7490000000000006</v>
      </c>
      <c r="E610" s="11">
        <f>9.707 * CHOOSE(CONTROL!$C$32, $C$9, 100%, $E$9)</f>
        <v>9.7070000000000007</v>
      </c>
      <c r="F610" s="11">
        <f>9.707 * CHOOSE(CONTROL!$C$32, $C$9, 100%, $E$9)</f>
        <v>9.7070000000000007</v>
      </c>
      <c r="G610" s="11">
        <f>9.7123 * CHOOSE(CONTROL!$C$32, $C$9, 100%, $E$9)</f>
        <v>9.7123000000000008</v>
      </c>
      <c r="H610" s="11">
        <f>19.1566 * CHOOSE(CONTROL!$C$32, $C$9, 100%, $E$9)</f>
        <v>19.156600000000001</v>
      </c>
      <c r="I610" s="11">
        <f>19.1619 * CHOOSE(CONTROL!$C$32, $C$9, 100%, $E$9)</f>
        <v>19.161899999999999</v>
      </c>
      <c r="J610" s="11">
        <f>19.1566 * CHOOSE(CONTROL!$C$32, $C$9, 100%, $E$9)</f>
        <v>19.156600000000001</v>
      </c>
      <c r="K610" s="11">
        <f>19.1619 * CHOOSE(CONTROL!$C$32, $C$9, 100%, $E$9)</f>
        <v>19.161899999999999</v>
      </c>
      <c r="L610" s="11">
        <f>9.707 * CHOOSE(CONTROL!$C$32, $C$9, 100%, $E$9)</f>
        <v>9.7070000000000007</v>
      </c>
      <c r="M610" s="11">
        <f>9.7123 * CHOOSE(CONTROL!$C$32, $C$9, 100%, $E$9)</f>
        <v>9.7123000000000008</v>
      </c>
      <c r="N610" s="11">
        <f>9.707 * CHOOSE(CONTROL!$C$32, $C$9, 100%, $E$9)</f>
        <v>9.7070000000000007</v>
      </c>
      <c r="O610" s="11">
        <f>9.7123 * CHOOSE(CONTROL!$C$32, $C$9, 100%, $E$9)</f>
        <v>9.7123000000000008</v>
      </c>
    </row>
    <row r="611" spans="1:15" ht="15" x14ac:dyDescent="0.2">
      <c r="A611" s="13">
        <v>59445</v>
      </c>
      <c r="B611" s="9">
        <f>8.7601 * CHOOSE(CONTROL!$C$32, $C$9, 100%, $E$9)</f>
        <v>8.7600999999999996</v>
      </c>
      <c r="C611" s="9">
        <f>8.7601 * CHOOSE(CONTROL!$C$32, $C$9, 100%, $E$9)</f>
        <v>8.7600999999999996</v>
      </c>
      <c r="D611" s="9">
        <f>8.7612 * CHOOSE(CONTROL!$C$32, $C$9, 100%, $E$9)</f>
        <v>8.7612000000000005</v>
      </c>
      <c r="E611" s="11">
        <f>9.7919 * CHOOSE(CONTROL!$C$32, $C$9, 100%, $E$9)</f>
        <v>9.7919</v>
      </c>
      <c r="F611" s="11">
        <f>9.7919 * CHOOSE(CONTROL!$C$32, $C$9, 100%, $E$9)</f>
        <v>9.7919</v>
      </c>
      <c r="G611" s="11">
        <f>9.7955 * CHOOSE(CONTROL!$C$32, $C$9, 100%, $E$9)</f>
        <v>9.7955000000000005</v>
      </c>
      <c r="H611" s="11">
        <f>19.1965 * CHOOSE(CONTROL!$C$32, $C$9, 100%, $E$9)</f>
        <v>19.1965</v>
      </c>
      <c r="I611" s="11">
        <f>19.2001 * CHOOSE(CONTROL!$C$32, $C$9, 100%, $E$9)</f>
        <v>19.200099999999999</v>
      </c>
      <c r="J611" s="11">
        <f>19.1965 * CHOOSE(CONTROL!$C$32, $C$9, 100%, $E$9)</f>
        <v>19.1965</v>
      </c>
      <c r="K611" s="11">
        <f>19.2001 * CHOOSE(CONTROL!$C$32, $C$9, 100%, $E$9)</f>
        <v>19.200099999999999</v>
      </c>
      <c r="L611" s="11">
        <f>9.7919 * CHOOSE(CONTROL!$C$32, $C$9, 100%, $E$9)</f>
        <v>9.7919</v>
      </c>
      <c r="M611" s="11">
        <f>9.7955 * CHOOSE(CONTROL!$C$32, $C$9, 100%, $E$9)</f>
        <v>9.7955000000000005</v>
      </c>
      <c r="N611" s="11">
        <f>9.7919 * CHOOSE(CONTROL!$C$32, $C$9, 100%, $E$9)</f>
        <v>9.7919</v>
      </c>
      <c r="O611" s="11">
        <f>9.7955 * CHOOSE(CONTROL!$C$32, $C$9, 100%, $E$9)</f>
        <v>9.7955000000000005</v>
      </c>
    </row>
    <row r="612" spans="1:15" ht="15" x14ac:dyDescent="0.2">
      <c r="A612" s="13">
        <v>59476</v>
      </c>
      <c r="B612" s="9">
        <f>8.7632 * CHOOSE(CONTROL!$C$32, $C$9, 100%, $E$9)</f>
        <v>8.7631999999999994</v>
      </c>
      <c r="C612" s="9">
        <f>8.7632 * CHOOSE(CONTROL!$C$32, $C$9, 100%, $E$9)</f>
        <v>8.7631999999999994</v>
      </c>
      <c r="D612" s="9">
        <f>8.7643 * CHOOSE(CONTROL!$C$32, $C$9, 100%, $E$9)</f>
        <v>8.7643000000000004</v>
      </c>
      <c r="E612" s="11">
        <f>9.8432 * CHOOSE(CONTROL!$C$32, $C$9, 100%, $E$9)</f>
        <v>9.8431999999999995</v>
      </c>
      <c r="F612" s="11">
        <f>9.8432 * CHOOSE(CONTROL!$C$32, $C$9, 100%, $E$9)</f>
        <v>9.8431999999999995</v>
      </c>
      <c r="G612" s="11">
        <f>9.8468 * CHOOSE(CONTROL!$C$32, $C$9, 100%, $E$9)</f>
        <v>9.8468</v>
      </c>
      <c r="H612" s="11">
        <f>19.2365 * CHOOSE(CONTROL!$C$32, $C$9, 100%, $E$9)</f>
        <v>19.236499999999999</v>
      </c>
      <c r="I612" s="11">
        <f>19.2401 * CHOOSE(CONTROL!$C$32, $C$9, 100%, $E$9)</f>
        <v>19.240100000000002</v>
      </c>
      <c r="J612" s="11">
        <f>19.2365 * CHOOSE(CONTROL!$C$32, $C$9, 100%, $E$9)</f>
        <v>19.236499999999999</v>
      </c>
      <c r="K612" s="11">
        <f>19.2401 * CHOOSE(CONTROL!$C$32, $C$9, 100%, $E$9)</f>
        <v>19.240100000000002</v>
      </c>
      <c r="L612" s="11">
        <f>9.8432 * CHOOSE(CONTROL!$C$32, $C$9, 100%, $E$9)</f>
        <v>9.8431999999999995</v>
      </c>
      <c r="M612" s="11">
        <f>9.8468 * CHOOSE(CONTROL!$C$32, $C$9, 100%, $E$9)</f>
        <v>9.8468</v>
      </c>
      <c r="N612" s="11">
        <f>9.8432 * CHOOSE(CONTROL!$C$32, $C$9, 100%, $E$9)</f>
        <v>9.8431999999999995</v>
      </c>
      <c r="O612" s="11">
        <f>9.8468 * CHOOSE(CONTROL!$C$32, $C$9, 100%, $E$9)</f>
        <v>9.8468</v>
      </c>
    </row>
    <row r="613" spans="1:15" ht="15" x14ac:dyDescent="0.2">
      <c r="A613" s="13">
        <v>59506</v>
      </c>
      <c r="B613" s="9">
        <f>8.7632 * CHOOSE(CONTROL!$C$32, $C$9, 100%, $E$9)</f>
        <v>8.7631999999999994</v>
      </c>
      <c r="C613" s="9">
        <f>8.7632 * CHOOSE(CONTROL!$C$32, $C$9, 100%, $E$9)</f>
        <v>8.7631999999999994</v>
      </c>
      <c r="D613" s="9">
        <f>8.7643 * CHOOSE(CONTROL!$C$32, $C$9, 100%, $E$9)</f>
        <v>8.7643000000000004</v>
      </c>
      <c r="E613" s="11">
        <f>9.7203 * CHOOSE(CONTROL!$C$32, $C$9, 100%, $E$9)</f>
        <v>9.7202999999999999</v>
      </c>
      <c r="F613" s="11">
        <f>9.7203 * CHOOSE(CONTROL!$C$32, $C$9, 100%, $E$9)</f>
        <v>9.7202999999999999</v>
      </c>
      <c r="G613" s="11">
        <f>9.7239 * CHOOSE(CONTROL!$C$32, $C$9, 100%, $E$9)</f>
        <v>9.7239000000000004</v>
      </c>
      <c r="H613" s="11">
        <f>19.2766 * CHOOSE(CONTROL!$C$32, $C$9, 100%, $E$9)</f>
        <v>19.276599999999998</v>
      </c>
      <c r="I613" s="11">
        <f>19.2802 * CHOOSE(CONTROL!$C$32, $C$9, 100%, $E$9)</f>
        <v>19.280200000000001</v>
      </c>
      <c r="J613" s="11">
        <f>19.2766 * CHOOSE(CONTROL!$C$32, $C$9, 100%, $E$9)</f>
        <v>19.276599999999998</v>
      </c>
      <c r="K613" s="11">
        <f>19.2802 * CHOOSE(CONTROL!$C$32, $C$9, 100%, $E$9)</f>
        <v>19.280200000000001</v>
      </c>
      <c r="L613" s="11">
        <f>9.7203 * CHOOSE(CONTROL!$C$32, $C$9, 100%, $E$9)</f>
        <v>9.7202999999999999</v>
      </c>
      <c r="M613" s="11">
        <f>9.7239 * CHOOSE(CONTROL!$C$32, $C$9, 100%, $E$9)</f>
        <v>9.7239000000000004</v>
      </c>
      <c r="N613" s="11">
        <f>9.7203 * CHOOSE(CONTROL!$C$32, $C$9, 100%, $E$9)</f>
        <v>9.7202999999999999</v>
      </c>
      <c r="O613" s="11">
        <f>9.7239 * CHOOSE(CONTROL!$C$32, $C$9, 100%, $E$9)</f>
        <v>9.7239000000000004</v>
      </c>
    </row>
    <row r="614" spans="1:15" ht="15" x14ac:dyDescent="0.2">
      <c r="A614" s="13">
        <v>59537</v>
      </c>
      <c r="B614" s="9">
        <f>8.8196 * CHOOSE(CONTROL!$C$32, $C$9, 100%, $E$9)</f>
        <v>8.8195999999999994</v>
      </c>
      <c r="C614" s="9">
        <f>8.8196 * CHOOSE(CONTROL!$C$32, $C$9, 100%, $E$9)</f>
        <v>8.8195999999999994</v>
      </c>
      <c r="D614" s="9">
        <f>8.8206 * CHOOSE(CONTROL!$C$32, $C$9, 100%, $E$9)</f>
        <v>8.8206000000000007</v>
      </c>
      <c r="E614" s="11">
        <f>9.883 * CHOOSE(CONTROL!$C$32, $C$9, 100%, $E$9)</f>
        <v>9.8829999999999991</v>
      </c>
      <c r="F614" s="11">
        <f>9.883 * CHOOSE(CONTROL!$C$32, $C$9, 100%, $E$9)</f>
        <v>9.8829999999999991</v>
      </c>
      <c r="G614" s="11">
        <f>9.8866 * CHOOSE(CONTROL!$C$32, $C$9, 100%, $E$9)</f>
        <v>9.8865999999999996</v>
      </c>
      <c r="H614" s="11">
        <f>19.2938 * CHOOSE(CONTROL!$C$32, $C$9, 100%, $E$9)</f>
        <v>19.293800000000001</v>
      </c>
      <c r="I614" s="11">
        <f>19.2974 * CHOOSE(CONTROL!$C$32, $C$9, 100%, $E$9)</f>
        <v>19.2974</v>
      </c>
      <c r="J614" s="11">
        <f>19.2938 * CHOOSE(CONTROL!$C$32, $C$9, 100%, $E$9)</f>
        <v>19.293800000000001</v>
      </c>
      <c r="K614" s="11">
        <f>19.2974 * CHOOSE(CONTROL!$C$32, $C$9, 100%, $E$9)</f>
        <v>19.2974</v>
      </c>
      <c r="L614" s="11">
        <f>9.883 * CHOOSE(CONTROL!$C$32, $C$9, 100%, $E$9)</f>
        <v>9.8829999999999991</v>
      </c>
      <c r="M614" s="11">
        <f>9.8866 * CHOOSE(CONTROL!$C$32, $C$9, 100%, $E$9)</f>
        <v>9.8865999999999996</v>
      </c>
      <c r="N614" s="11">
        <f>9.883 * CHOOSE(CONTROL!$C$32, $C$9, 100%, $E$9)</f>
        <v>9.8829999999999991</v>
      </c>
      <c r="O614" s="11">
        <f>9.8866 * CHOOSE(CONTROL!$C$32, $C$9, 100%, $E$9)</f>
        <v>9.8865999999999996</v>
      </c>
    </row>
    <row r="615" spans="1:15" ht="15" x14ac:dyDescent="0.2">
      <c r="A615" s="13">
        <v>59568</v>
      </c>
      <c r="B615" s="9">
        <f>8.8165 * CHOOSE(CONTROL!$C$32, $C$9, 100%, $E$9)</f>
        <v>8.8164999999999996</v>
      </c>
      <c r="C615" s="9">
        <f>8.8165 * CHOOSE(CONTROL!$C$32, $C$9, 100%, $E$9)</f>
        <v>8.8164999999999996</v>
      </c>
      <c r="D615" s="9">
        <f>8.8176 * CHOOSE(CONTROL!$C$32, $C$9, 100%, $E$9)</f>
        <v>8.8176000000000005</v>
      </c>
      <c r="E615" s="11">
        <f>9.6416 * CHOOSE(CONTROL!$C$32, $C$9, 100%, $E$9)</f>
        <v>9.6416000000000004</v>
      </c>
      <c r="F615" s="11">
        <f>9.6416 * CHOOSE(CONTROL!$C$32, $C$9, 100%, $E$9)</f>
        <v>9.6416000000000004</v>
      </c>
      <c r="G615" s="11">
        <f>9.6452 * CHOOSE(CONTROL!$C$32, $C$9, 100%, $E$9)</f>
        <v>9.6452000000000009</v>
      </c>
      <c r="H615" s="11">
        <f>19.334 * CHOOSE(CONTROL!$C$32, $C$9, 100%, $E$9)</f>
        <v>19.334</v>
      </c>
      <c r="I615" s="11">
        <f>19.3376 * CHOOSE(CONTROL!$C$32, $C$9, 100%, $E$9)</f>
        <v>19.337599999999998</v>
      </c>
      <c r="J615" s="11">
        <f>19.334 * CHOOSE(CONTROL!$C$32, $C$9, 100%, $E$9)</f>
        <v>19.334</v>
      </c>
      <c r="K615" s="11">
        <f>19.3376 * CHOOSE(CONTROL!$C$32, $C$9, 100%, $E$9)</f>
        <v>19.337599999999998</v>
      </c>
      <c r="L615" s="11">
        <f>9.6416 * CHOOSE(CONTROL!$C$32, $C$9, 100%, $E$9)</f>
        <v>9.6416000000000004</v>
      </c>
      <c r="M615" s="11">
        <f>9.6452 * CHOOSE(CONTROL!$C$32, $C$9, 100%, $E$9)</f>
        <v>9.6452000000000009</v>
      </c>
      <c r="N615" s="11">
        <f>9.6416 * CHOOSE(CONTROL!$C$32, $C$9, 100%, $E$9)</f>
        <v>9.6416000000000004</v>
      </c>
      <c r="O615" s="11">
        <f>9.6452 * CHOOSE(CONTROL!$C$32, $C$9, 100%, $E$9)</f>
        <v>9.6452000000000009</v>
      </c>
    </row>
    <row r="616" spans="1:15" ht="15" x14ac:dyDescent="0.2">
      <c r="A616" s="13">
        <v>59596</v>
      </c>
      <c r="B616" s="9">
        <f>8.8135 * CHOOSE(CONTROL!$C$32, $C$9, 100%, $E$9)</f>
        <v>8.8134999999999994</v>
      </c>
      <c r="C616" s="9">
        <f>8.8135 * CHOOSE(CONTROL!$C$32, $C$9, 100%, $E$9)</f>
        <v>8.8134999999999994</v>
      </c>
      <c r="D616" s="9">
        <f>8.8146 * CHOOSE(CONTROL!$C$32, $C$9, 100%, $E$9)</f>
        <v>8.8146000000000004</v>
      </c>
      <c r="E616" s="11">
        <f>9.8281 * CHOOSE(CONTROL!$C$32, $C$9, 100%, $E$9)</f>
        <v>9.8280999999999992</v>
      </c>
      <c r="F616" s="11">
        <f>9.8281 * CHOOSE(CONTROL!$C$32, $C$9, 100%, $E$9)</f>
        <v>9.8280999999999992</v>
      </c>
      <c r="G616" s="11">
        <f>9.8317 * CHOOSE(CONTROL!$C$32, $C$9, 100%, $E$9)</f>
        <v>9.8316999999999997</v>
      </c>
      <c r="H616" s="11">
        <f>19.3743 * CHOOSE(CONTROL!$C$32, $C$9, 100%, $E$9)</f>
        <v>19.374300000000002</v>
      </c>
      <c r="I616" s="11">
        <f>19.3779 * CHOOSE(CONTROL!$C$32, $C$9, 100%, $E$9)</f>
        <v>19.3779</v>
      </c>
      <c r="J616" s="11">
        <f>19.3743 * CHOOSE(CONTROL!$C$32, $C$9, 100%, $E$9)</f>
        <v>19.374300000000002</v>
      </c>
      <c r="K616" s="11">
        <f>19.3779 * CHOOSE(CONTROL!$C$32, $C$9, 100%, $E$9)</f>
        <v>19.3779</v>
      </c>
      <c r="L616" s="11">
        <f>9.8281 * CHOOSE(CONTROL!$C$32, $C$9, 100%, $E$9)</f>
        <v>9.8280999999999992</v>
      </c>
      <c r="M616" s="11">
        <f>9.8317 * CHOOSE(CONTROL!$C$32, $C$9, 100%, $E$9)</f>
        <v>9.8316999999999997</v>
      </c>
      <c r="N616" s="11">
        <f>9.8281 * CHOOSE(CONTROL!$C$32, $C$9, 100%, $E$9)</f>
        <v>9.8280999999999992</v>
      </c>
      <c r="O616" s="11">
        <f>9.8317 * CHOOSE(CONTROL!$C$32, $C$9, 100%, $E$9)</f>
        <v>9.8316999999999997</v>
      </c>
    </row>
    <row r="617" spans="1:15" ht="15" x14ac:dyDescent="0.2">
      <c r="A617" s="13">
        <v>59627</v>
      </c>
      <c r="B617" s="9">
        <f>8.8158 * CHOOSE(CONTROL!$C$32, $C$9, 100%, $E$9)</f>
        <v>8.8157999999999994</v>
      </c>
      <c r="C617" s="9">
        <f>8.8158 * CHOOSE(CONTROL!$C$32, $C$9, 100%, $E$9)</f>
        <v>8.8157999999999994</v>
      </c>
      <c r="D617" s="9">
        <f>8.8169 * CHOOSE(CONTROL!$C$32, $C$9, 100%, $E$9)</f>
        <v>8.8169000000000004</v>
      </c>
      <c r="E617" s="11">
        <f>10.0265 * CHOOSE(CONTROL!$C$32, $C$9, 100%, $E$9)</f>
        <v>10.0265</v>
      </c>
      <c r="F617" s="11">
        <f>10.0265 * CHOOSE(CONTROL!$C$32, $C$9, 100%, $E$9)</f>
        <v>10.0265</v>
      </c>
      <c r="G617" s="11">
        <f>10.0301 * CHOOSE(CONTROL!$C$32, $C$9, 100%, $E$9)</f>
        <v>10.030099999999999</v>
      </c>
      <c r="H617" s="11">
        <f>19.4146 * CHOOSE(CONTROL!$C$32, $C$9, 100%, $E$9)</f>
        <v>19.4146</v>
      </c>
      <c r="I617" s="11">
        <f>19.4182 * CHOOSE(CONTROL!$C$32, $C$9, 100%, $E$9)</f>
        <v>19.418199999999999</v>
      </c>
      <c r="J617" s="11">
        <f>19.4146 * CHOOSE(CONTROL!$C$32, $C$9, 100%, $E$9)</f>
        <v>19.4146</v>
      </c>
      <c r="K617" s="11">
        <f>19.4182 * CHOOSE(CONTROL!$C$32, $C$9, 100%, $E$9)</f>
        <v>19.418199999999999</v>
      </c>
      <c r="L617" s="11">
        <f>10.0265 * CHOOSE(CONTROL!$C$32, $C$9, 100%, $E$9)</f>
        <v>10.0265</v>
      </c>
      <c r="M617" s="11">
        <f>10.0301 * CHOOSE(CONTROL!$C$32, $C$9, 100%, $E$9)</f>
        <v>10.030099999999999</v>
      </c>
      <c r="N617" s="11">
        <f>10.0265 * CHOOSE(CONTROL!$C$32, $C$9, 100%, $E$9)</f>
        <v>10.0265</v>
      </c>
      <c r="O617" s="11">
        <f>10.0301 * CHOOSE(CONTROL!$C$32, $C$9, 100%, $E$9)</f>
        <v>10.030099999999999</v>
      </c>
    </row>
    <row r="618" spans="1:15" ht="15" x14ac:dyDescent="0.2">
      <c r="A618" s="13">
        <v>59657</v>
      </c>
      <c r="B618" s="9">
        <f>8.8158 * CHOOSE(CONTROL!$C$32, $C$9, 100%, $E$9)</f>
        <v>8.8157999999999994</v>
      </c>
      <c r="C618" s="9">
        <f>8.8158 * CHOOSE(CONTROL!$C$32, $C$9, 100%, $E$9)</f>
        <v>8.8157999999999994</v>
      </c>
      <c r="D618" s="9">
        <f>8.8174 * CHOOSE(CONTROL!$C$32, $C$9, 100%, $E$9)</f>
        <v>8.8173999999999992</v>
      </c>
      <c r="E618" s="11">
        <f>10.1024 * CHOOSE(CONTROL!$C$32, $C$9, 100%, $E$9)</f>
        <v>10.102399999999999</v>
      </c>
      <c r="F618" s="11">
        <f>10.1024 * CHOOSE(CONTROL!$C$32, $C$9, 100%, $E$9)</f>
        <v>10.102399999999999</v>
      </c>
      <c r="G618" s="11">
        <f>10.1077 * CHOOSE(CONTROL!$C$32, $C$9, 100%, $E$9)</f>
        <v>10.107699999999999</v>
      </c>
      <c r="H618" s="11">
        <f>19.4551 * CHOOSE(CONTROL!$C$32, $C$9, 100%, $E$9)</f>
        <v>19.455100000000002</v>
      </c>
      <c r="I618" s="11">
        <f>19.4604 * CHOOSE(CONTROL!$C$32, $C$9, 100%, $E$9)</f>
        <v>19.4604</v>
      </c>
      <c r="J618" s="11">
        <f>19.4551 * CHOOSE(CONTROL!$C$32, $C$9, 100%, $E$9)</f>
        <v>19.455100000000002</v>
      </c>
      <c r="K618" s="11">
        <f>19.4604 * CHOOSE(CONTROL!$C$32, $C$9, 100%, $E$9)</f>
        <v>19.4604</v>
      </c>
      <c r="L618" s="11">
        <f>10.1024 * CHOOSE(CONTROL!$C$32, $C$9, 100%, $E$9)</f>
        <v>10.102399999999999</v>
      </c>
      <c r="M618" s="11">
        <f>10.1077 * CHOOSE(CONTROL!$C$32, $C$9, 100%, $E$9)</f>
        <v>10.107699999999999</v>
      </c>
      <c r="N618" s="11">
        <f>10.1024 * CHOOSE(CONTROL!$C$32, $C$9, 100%, $E$9)</f>
        <v>10.102399999999999</v>
      </c>
      <c r="O618" s="11">
        <f>10.1077 * CHOOSE(CONTROL!$C$32, $C$9, 100%, $E$9)</f>
        <v>10.107699999999999</v>
      </c>
    </row>
    <row r="619" spans="1:15" ht="15" x14ac:dyDescent="0.2">
      <c r="A619" s="13">
        <v>59688</v>
      </c>
      <c r="B619" s="9">
        <f>8.8219 * CHOOSE(CONTROL!$C$32, $C$9, 100%, $E$9)</f>
        <v>8.8218999999999994</v>
      </c>
      <c r="C619" s="9">
        <f>8.8219 * CHOOSE(CONTROL!$C$32, $C$9, 100%, $E$9)</f>
        <v>8.8218999999999994</v>
      </c>
      <c r="D619" s="9">
        <f>8.8235 * CHOOSE(CONTROL!$C$32, $C$9, 100%, $E$9)</f>
        <v>8.8234999999999992</v>
      </c>
      <c r="E619" s="11">
        <f>10.0307 * CHOOSE(CONTROL!$C$32, $C$9, 100%, $E$9)</f>
        <v>10.0307</v>
      </c>
      <c r="F619" s="11">
        <f>10.0307 * CHOOSE(CONTROL!$C$32, $C$9, 100%, $E$9)</f>
        <v>10.0307</v>
      </c>
      <c r="G619" s="11">
        <f>10.036 * CHOOSE(CONTROL!$C$32, $C$9, 100%, $E$9)</f>
        <v>10.036</v>
      </c>
      <c r="H619" s="11">
        <f>19.4956 * CHOOSE(CONTROL!$C$32, $C$9, 100%, $E$9)</f>
        <v>19.4956</v>
      </c>
      <c r="I619" s="11">
        <f>19.5009 * CHOOSE(CONTROL!$C$32, $C$9, 100%, $E$9)</f>
        <v>19.500900000000001</v>
      </c>
      <c r="J619" s="11">
        <f>19.4956 * CHOOSE(CONTROL!$C$32, $C$9, 100%, $E$9)</f>
        <v>19.4956</v>
      </c>
      <c r="K619" s="11">
        <f>19.5009 * CHOOSE(CONTROL!$C$32, $C$9, 100%, $E$9)</f>
        <v>19.500900000000001</v>
      </c>
      <c r="L619" s="11">
        <f>10.0307 * CHOOSE(CONTROL!$C$32, $C$9, 100%, $E$9)</f>
        <v>10.0307</v>
      </c>
      <c r="M619" s="11">
        <f>10.036 * CHOOSE(CONTROL!$C$32, $C$9, 100%, $E$9)</f>
        <v>10.036</v>
      </c>
      <c r="N619" s="11">
        <f>10.0307 * CHOOSE(CONTROL!$C$32, $C$9, 100%, $E$9)</f>
        <v>10.0307</v>
      </c>
      <c r="O619" s="11">
        <f>10.036 * CHOOSE(CONTROL!$C$32, $C$9, 100%, $E$9)</f>
        <v>10.036</v>
      </c>
    </row>
    <row r="620" spans="1:15" ht="15" x14ac:dyDescent="0.2">
      <c r="A620" s="13">
        <v>59718</v>
      </c>
      <c r="B620" s="9">
        <f>8.9333 * CHOOSE(CONTROL!$C$32, $C$9, 100%, $E$9)</f>
        <v>8.9332999999999991</v>
      </c>
      <c r="C620" s="9">
        <f>8.9333 * CHOOSE(CONTROL!$C$32, $C$9, 100%, $E$9)</f>
        <v>8.9332999999999991</v>
      </c>
      <c r="D620" s="9">
        <f>8.9349 * CHOOSE(CONTROL!$C$32, $C$9, 100%, $E$9)</f>
        <v>8.9349000000000007</v>
      </c>
      <c r="E620" s="11">
        <f>10.1704 * CHOOSE(CONTROL!$C$32, $C$9, 100%, $E$9)</f>
        <v>10.170400000000001</v>
      </c>
      <c r="F620" s="11">
        <f>10.1704 * CHOOSE(CONTROL!$C$32, $C$9, 100%, $E$9)</f>
        <v>10.170400000000001</v>
      </c>
      <c r="G620" s="11">
        <f>10.1757 * CHOOSE(CONTROL!$C$32, $C$9, 100%, $E$9)</f>
        <v>10.175700000000001</v>
      </c>
      <c r="H620" s="11">
        <f>19.5362 * CHOOSE(CONTROL!$C$32, $C$9, 100%, $E$9)</f>
        <v>19.536200000000001</v>
      </c>
      <c r="I620" s="11">
        <f>19.5415 * CHOOSE(CONTROL!$C$32, $C$9, 100%, $E$9)</f>
        <v>19.541499999999999</v>
      </c>
      <c r="J620" s="11">
        <f>19.5362 * CHOOSE(CONTROL!$C$32, $C$9, 100%, $E$9)</f>
        <v>19.536200000000001</v>
      </c>
      <c r="K620" s="11">
        <f>19.5415 * CHOOSE(CONTROL!$C$32, $C$9, 100%, $E$9)</f>
        <v>19.541499999999999</v>
      </c>
      <c r="L620" s="11">
        <f>10.1704 * CHOOSE(CONTROL!$C$32, $C$9, 100%, $E$9)</f>
        <v>10.170400000000001</v>
      </c>
      <c r="M620" s="11">
        <f>10.1757 * CHOOSE(CONTROL!$C$32, $C$9, 100%, $E$9)</f>
        <v>10.175700000000001</v>
      </c>
      <c r="N620" s="11">
        <f>10.1704 * CHOOSE(CONTROL!$C$32, $C$9, 100%, $E$9)</f>
        <v>10.170400000000001</v>
      </c>
      <c r="O620" s="11">
        <f>10.1757 * CHOOSE(CONTROL!$C$32, $C$9, 100%, $E$9)</f>
        <v>10.175700000000001</v>
      </c>
    </row>
    <row r="621" spans="1:15" ht="15" x14ac:dyDescent="0.2">
      <c r="A621" s="13">
        <v>59749</v>
      </c>
      <c r="B621" s="9">
        <f>8.94 * CHOOSE(CONTROL!$C$32, $C$9, 100%, $E$9)</f>
        <v>8.94</v>
      </c>
      <c r="C621" s="9">
        <f>8.94 * CHOOSE(CONTROL!$C$32, $C$9, 100%, $E$9)</f>
        <v>8.94</v>
      </c>
      <c r="D621" s="9">
        <f>8.9416 * CHOOSE(CONTROL!$C$32, $C$9, 100%, $E$9)</f>
        <v>8.9415999999999993</v>
      </c>
      <c r="E621" s="11">
        <f>9.9471 * CHOOSE(CONTROL!$C$32, $C$9, 100%, $E$9)</f>
        <v>9.9471000000000007</v>
      </c>
      <c r="F621" s="11">
        <f>9.9471 * CHOOSE(CONTROL!$C$32, $C$9, 100%, $E$9)</f>
        <v>9.9471000000000007</v>
      </c>
      <c r="G621" s="11">
        <f>9.9524 * CHOOSE(CONTROL!$C$32, $C$9, 100%, $E$9)</f>
        <v>9.9524000000000008</v>
      </c>
      <c r="H621" s="11">
        <f>19.5769 * CHOOSE(CONTROL!$C$32, $C$9, 100%, $E$9)</f>
        <v>19.576899999999998</v>
      </c>
      <c r="I621" s="11">
        <f>19.5822 * CHOOSE(CONTROL!$C$32, $C$9, 100%, $E$9)</f>
        <v>19.5822</v>
      </c>
      <c r="J621" s="11">
        <f>19.5769 * CHOOSE(CONTROL!$C$32, $C$9, 100%, $E$9)</f>
        <v>19.576899999999998</v>
      </c>
      <c r="K621" s="11">
        <f>19.5822 * CHOOSE(CONTROL!$C$32, $C$9, 100%, $E$9)</f>
        <v>19.5822</v>
      </c>
      <c r="L621" s="11">
        <f>9.9471 * CHOOSE(CONTROL!$C$32, $C$9, 100%, $E$9)</f>
        <v>9.9471000000000007</v>
      </c>
      <c r="M621" s="11">
        <f>9.9524 * CHOOSE(CONTROL!$C$32, $C$9, 100%, $E$9)</f>
        <v>9.9524000000000008</v>
      </c>
      <c r="N621" s="11">
        <f>9.9471 * CHOOSE(CONTROL!$C$32, $C$9, 100%, $E$9)</f>
        <v>9.9471000000000007</v>
      </c>
      <c r="O621" s="11">
        <f>9.9524 * CHOOSE(CONTROL!$C$32, $C$9, 100%, $E$9)</f>
        <v>9.9524000000000008</v>
      </c>
    </row>
    <row r="622" spans="1:15" ht="15" x14ac:dyDescent="0.2">
      <c r="A622" s="13">
        <v>59780</v>
      </c>
      <c r="B622" s="9">
        <f>8.937 * CHOOSE(CONTROL!$C$32, $C$9, 100%, $E$9)</f>
        <v>8.9369999999999994</v>
      </c>
      <c r="C622" s="9">
        <f>8.937 * CHOOSE(CONTROL!$C$32, $C$9, 100%, $E$9)</f>
        <v>8.9369999999999994</v>
      </c>
      <c r="D622" s="9">
        <f>8.9386 * CHOOSE(CONTROL!$C$32, $C$9, 100%, $E$9)</f>
        <v>8.9385999999999992</v>
      </c>
      <c r="E622" s="11">
        <f>9.9197 * CHOOSE(CONTROL!$C$32, $C$9, 100%, $E$9)</f>
        <v>9.9197000000000006</v>
      </c>
      <c r="F622" s="11">
        <f>9.9197 * CHOOSE(CONTROL!$C$32, $C$9, 100%, $E$9)</f>
        <v>9.9197000000000006</v>
      </c>
      <c r="G622" s="11">
        <f>9.925 * CHOOSE(CONTROL!$C$32, $C$9, 100%, $E$9)</f>
        <v>9.9250000000000007</v>
      </c>
      <c r="H622" s="11">
        <f>19.6177 * CHOOSE(CONTROL!$C$32, $C$9, 100%, $E$9)</f>
        <v>19.617699999999999</v>
      </c>
      <c r="I622" s="11">
        <f>19.623 * CHOOSE(CONTROL!$C$32, $C$9, 100%, $E$9)</f>
        <v>19.623000000000001</v>
      </c>
      <c r="J622" s="11">
        <f>19.6177 * CHOOSE(CONTROL!$C$32, $C$9, 100%, $E$9)</f>
        <v>19.617699999999999</v>
      </c>
      <c r="K622" s="11">
        <f>19.623 * CHOOSE(CONTROL!$C$32, $C$9, 100%, $E$9)</f>
        <v>19.623000000000001</v>
      </c>
      <c r="L622" s="11">
        <f>9.9197 * CHOOSE(CONTROL!$C$32, $C$9, 100%, $E$9)</f>
        <v>9.9197000000000006</v>
      </c>
      <c r="M622" s="11">
        <f>9.925 * CHOOSE(CONTROL!$C$32, $C$9, 100%, $E$9)</f>
        <v>9.9250000000000007</v>
      </c>
      <c r="N622" s="11">
        <f>9.9197 * CHOOSE(CONTROL!$C$32, $C$9, 100%, $E$9)</f>
        <v>9.9197000000000006</v>
      </c>
      <c r="O622" s="11">
        <f>9.925 * CHOOSE(CONTROL!$C$32, $C$9, 100%, $E$9)</f>
        <v>9.9250000000000007</v>
      </c>
    </row>
    <row r="623" spans="1:15" ht="15" x14ac:dyDescent="0.2">
      <c r="A623" s="13">
        <v>59810</v>
      </c>
      <c r="B623" s="9">
        <f>8.9505 * CHOOSE(CONTROL!$C$32, $C$9, 100%, $E$9)</f>
        <v>8.9504999999999999</v>
      </c>
      <c r="C623" s="9">
        <f>8.9505 * CHOOSE(CONTROL!$C$32, $C$9, 100%, $E$9)</f>
        <v>8.9504999999999999</v>
      </c>
      <c r="D623" s="9">
        <f>8.9515 * CHOOSE(CONTROL!$C$32, $C$9, 100%, $E$9)</f>
        <v>8.9514999999999993</v>
      </c>
      <c r="E623" s="11">
        <f>10.0076 * CHOOSE(CONTROL!$C$32, $C$9, 100%, $E$9)</f>
        <v>10.0076</v>
      </c>
      <c r="F623" s="11">
        <f>10.0076 * CHOOSE(CONTROL!$C$32, $C$9, 100%, $E$9)</f>
        <v>10.0076</v>
      </c>
      <c r="G623" s="11">
        <f>10.0112 * CHOOSE(CONTROL!$C$32, $C$9, 100%, $E$9)</f>
        <v>10.011200000000001</v>
      </c>
      <c r="H623" s="11">
        <f>19.6586 * CHOOSE(CONTROL!$C$32, $C$9, 100%, $E$9)</f>
        <v>19.6586</v>
      </c>
      <c r="I623" s="11">
        <f>19.6622 * CHOOSE(CONTROL!$C$32, $C$9, 100%, $E$9)</f>
        <v>19.662199999999999</v>
      </c>
      <c r="J623" s="11">
        <f>19.6586 * CHOOSE(CONTROL!$C$32, $C$9, 100%, $E$9)</f>
        <v>19.6586</v>
      </c>
      <c r="K623" s="11">
        <f>19.6622 * CHOOSE(CONTROL!$C$32, $C$9, 100%, $E$9)</f>
        <v>19.662199999999999</v>
      </c>
      <c r="L623" s="11">
        <f>10.0076 * CHOOSE(CONTROL!$C$32, $C$9, 100%, $E$9)</f>
        <v>10.0076</v>
      </c>
      <c r="M623" s="11">
        <f>10.0112 * CHOOSE(CONTROL!$C$32, $C$9, 100%, $E$9)</f>
        <v>10.011200000000001</v>
      </c>
      <c r="N623" s="11">
        <f>10.0076 * CHOOSE(CONTROL!$C$32, $C$9, 100%, $E$9)</f>
        <v>10.0076</v>
      </c>
      <c r="O623" s="11">
        <f>10.0112 * CHOOSE(CONTROL!$C$32, $C$9, 100%, $E$9)</f>
        <v>10.011200000000001</v>
      </c>
    </row>
    <row r="624" spans="1:15" ht="15" x14ac:dyDescent="0.2">
      <c r="A624" s="13">
        <v>59841</v>
      </c>
      <c r="B624" s="9">
        <f>8.9535 * CHOOSE(CONTROL!$C$32, $C$9, 100%, $E$9)</f>
        <v>8.9535</v>
      </c>
      <c r="C624" s="9">
        <f>8.9535 * CHOOSE(CONTROL!$C$32, $C$9, 100%, $E$9)</f>
        <v>8.9535</v>
      </c>
      <c r="D624" s="9">
        <f>8.9546 * CHOOSE(CONTROL!$C$32, $C$9, 100%, $E$9)</f>
        <v>8.9545999999999992</v>
      </c>
      <c r="E624" s="11">
        <f>10.0603 * CHOOSE(CONTROL!$C$32, $C$9, 100%, $E$9)</f>
        <v>10.0603</v>
      </c>
      <c r="F624" s="11">
        <f>10.0603 * CHOOSE(CONTROL!$C$32, $C$9, 100%, $E$9)</f>
        <v>10.0603</v>
      </c>
      <c r="G624" s="11">
        <f>10.064 * CHOOSE(CONTROL!$C$32, $C$9, 100%, $E$9)</f>
        <v>10.064</v>
      </c>
      <c r="H624" s="11">
        <f>19.6995 * CHOOSE(CONTROL!$C$32, $C$9, 100%, $E$9)</f>
        <v>19.6995</v>
      </c>
      <c r="I624" s="11">
        <f>19.7031 * CHOOSE(CONTROL!$C$32, $C$9, 100%, $E$9)</f>
        <v>19.703099999999999</v>
      </c>
      <c r="J624" s="11">
        <f>19.6995 * CHOOSE(CONTROL!$C$32, $C$9, 100%, $E$9)</f>
        <v>19.6995</v>
      </c>
      <c r="K624" s="11">
        <f>19.7031 * CHOOSE(CONTROL!$C$32, $C$9, 100%, $E$9)</f>
        <v>19.703099999999999</v>
      </c>
      <c r="L624" s="11">
        <f>10.0603 * CHOOSE(CONTROL!$C$32, $C$9, 100%, $E$9)</f>
        <v>10.0603</v>
      </c>
      <c r="M624" s="11">
        <f>10.064 * CHOOSE(CONTROL!$C$32, $C$9, 100%, $E$9)</f>
        <v>10.064</v>
      </c>
      <c r="N624" s="11">
        <f>10.0603 * CHOOSE(CONTROL!$C$32, $C$9, 100%, $E$9)</f>
        <v>10.0603</v>
      </c>
      <c r="O624" s="11">
        <f>10.064 * CHOOSE(CONTROL!$C$32, $C$9, 100%, $E$9)</f>
        <v>10.064</v>
      </c>
    </row>
    <row r="625" spans="1:15" ht="15" x14ac:dyDescent="0.2">
      <c r="A625" s="13">
        <v>59871</v>
      </c>
      <c r="B625" s="9">
        <f>8.9535 * CHOOSE(CONTROL!$C$32, $C$9, 100%, $E$9)</f>
        <v>8.9535</v>
      </c>
      <c r="C625" s="9">
        <f>8.9535 * CHOOSE(CONTROL!$C$32, $C$9, 100%, $E$9)</f>
        <v>8.9535</v>
      </c>
      <c r="D625" s="9">
        <f>8.9546 * CHOOSE(CONTROL!$C$32, $C$9, 100%, $E$9)</f>
        <v>8.9545999999999992</v>
      </c>
      <c r="E625" s="11">
        <f>9.9337 * CHOOSE(CONTROL!$C$32, $C$9, 100%, $E$9)</f>
        <v>9.9337</v>
      </c>
      <c r="F625" s="11">
        <f>9.9337 * CHOOSE(CONTROL!$C$32, $C$9, 100%, $E$9)</f>
        <v>9.9337</v>
      </c>
      <c r="G625" s="11">
        <f>9.9373 * CHOOSE(CONTROL!$C$32, $C$9, 100%, $E$9)</f>
        <v>9.9373000000000005</v>
      </c>
      <c r="H625" s="11">
        <f>19.7406 * CHOOSE(CONTROL!$C$32, $C$9, 100%, $E$9)</f>
        <v>19.740600000000001</v>
      </c>
      <c r="I625" s="11">
        <f>19.7442 * CHOOSE(CONTROL!$C$32, $C$9, 100%, $E$9)</f>
        <v>19.744199999999999</v>
      </c>
      <c r="J625" s="11">
        <f>19.7406 * CHOOSE(CONTROL!$C$32, $C$9, 100%, $E$9)</f>
        <v>19.740600000000001</v>
      </c>
      <c r="K625" s="11">
        <f>19.7442 * CHOOSE(CONTROL!$C$32, $C$9, 100%, $E$9)</f>
        <v>19.744199999999999</v>
      </c>
      <c r="L625" s="11">
        <f>9.9337 * CHOOSE(CONTROL!$C$32, $C$9, 100%, $E$9)</f>
        <v>9.9337</v>
      </c>
      <c r="M625" s="11">
        <f>9.9373 * CHOOSE(CONTROL!$C$32, $C$9, 100%, $E$9)</f>
        <v>9.9373000000000005</v>
      </c>
      <c r="N625" s="11">
        <f>9.9337 * CHOOSE(CONTROL!$C$32, $C$9, 100%, $E$9)</f>
        <v>9.9337</v>
      </c>
      <c r="O625" s="11">
        <f>9.9373 * CHOOSE(CONTROL!$C$32, $C$9, 100%, $E$9)</f>
        <v>9.9373000000000005</v>
      </c>
    </row>
    <row r="626" spans="1:15" ht="15" x14ac:dyDescent="0.2">
      <c r="A626" s="13">
        <v>59902</v>
      </c>
      <c r="B626" s="9">
        <f>9.0069 * CHOOSE(CONTROL!$C$32, $C$9, 100%, $E$9)</f>
        <v>9.0068999999999999</v>
      </c>
      <c r="C626" s="9">
        <f>9.0069 * CHOOSE(CONTROL!$C$32, $C$9, 100%, $E$9)</f>
        <v>9.0068999999999999</v>
      </c>
      <c r="D626" s="9">
        <f>9.008 * CHOOSE(CONTROL!$C$32, $C$9, 100%, $E$9)</f>
        <v>9.0079999999999991</v>
      </c>
      <c r="E626" s="11">
        <f>10.0955 * CHOOSE(CONTROL!$C$32, $C$9, 100%, $E$9)</f>
        <v>10.095499999999999</v>
      </c>
      <c r="F626" s="11">
        <f>10.0955 * CHOOSE(CONTROL!$C$32, $C$9, 100%, $E$9)</f>
        <v>10.095499999999999</v>
      </c>
      <c r="G626" s="11">
        <f>10.0991 * CHOOSE(CONTROL!$C$32, $C$9, 100%, $E$9)</f>
        <v>10.0991</v>
      </c>
      <c r="H626" s="11">
        <f>19.7473 * CHOOSE(CONTROL!$C$32, $C$9, 100%, $E$9)</f>
        <v>19.747299999999999</v>
      </c>
      <c r="I626" s="11">
        <f>19.7509 * CHOOSE(CONTROL!$C$32, $C$9, 100%, $E$9)</f>
        <v>19.750900000000001</v>
      </c>
      <c r="J626" s="11">
        <f>19.7473 * CHOOSE(CONTROL!$C$32, $C$9, 100%, $E$9)</f>
        <v>19.747299999999999</v>
      </c>
      <c r="K626" s="11">
        <f>19.7509 * CHOOSE(CONTROL!$C$32, $C$9, 100%, $E$9)</f>
        <v>19.750900000000001</v>
      </c>
      <c r="L626" s="11">
        <f>10.0955 * CHOOSE(CONTROL!$C$32, $C$9, 100%, $E$9)</f>
        <v>10.095499999999999</v>
      </c>
      <c r="M626" s="11">
        <f>10.0991 * CHOOSE(CONTROL!$C$32, $C$9, 100%, $E$9)</f>
        <v>10.0991</v>
      </c>
      <c r="N626" s="11">
        <f>10.0955 * CHOOSE(CONTROL!$C$32, $C$9, 100%, $E$9)</f>
        <v>10.095499999999999</v>
      </c>
      <c r="O626" s="11">
        <f>10.0991 * CHOOSE(CONTROL!$C$32, $C$9, 100%, $E$9)</f>
        <v>10.0991</v>
      </c>
    </row>
    <row r="627" spans="1:15" ht="15" x14ac:dyDescent="0.2">
      <c r="A627" s="13">
        <v>59933</v>
      </c>
      <c r="B627" s="9">
        <f>9.0039 * CHOOSE(CONTROL!$C$32, $C$9, 100%, $E$9)</f>
        <v>9.0038999999999998</v>
      </c>
      <c r="C627" s="9">
        <f>9.0039 * CHOOSE(CONTROL!$C$32, $C$9, 100%, $E$9)</f>
        <v>9.0038999999999998</v>
      </c>
      <c r="D627" s="9">
        <f>9.005 * CHOOSE(CONTROL!$C$32, $C$9, 100%, $E$9)</f>
        <v>9.0050000000000008</v>
      </c>
      <c r="E627" s="11">
        <f>9.847 * CHOOSE(CONTROL!$C$32, $C$9, 100%, $E$9)</f>
        <v>9.8469999999999995</v>
      </c>
      <c r="F627" s="11">
        <f>9.847 * CHOOSE(CONTROL!$C$32, $C$9, 100%, $E$9)</f>
        <v>9.8469999999999995</v>
      </c>
      <c r="G627" s="11">
        <f>9.8506 * CHOOSE(CONTROL!$C$32, $C$9, 100%, $E$9)</f>
        <v>9.8506</v>
      </c>
      <c r="H627" s="11">
        <f>19.7884 * CHOOSE(CONTROL!$C$32, $C$9, 100%, $E$9)</f>
        <v>19.788399999999999</v>
      </c>
      <c r="I627" s="11">
        <f>19.792 * CHOOSE(CONTROL!$C$32, $C$9, 100%, $E$9)</f>
        <v>19.792000000000002</v>
      </c>
      <c r="J627" s="11">
        <f>19.7884 * CHOOSE(CONTROL!$C$32, $C$9, 100%, $E$9)</f>
        <v>19.788399999999999</v>
      </c>
      <c r="K627" s="11">
        <f>19.792 * CHOOSE(CONTROL!$C$32, $C$9, 100%, $E$9)</f>
        <v>19.792000000000002</v>
      </c>
      <c r="L627" s="11">
        <f>9.847 * CHOOSE(CONTROL!$C$32, $C$9, 100%, $E$9)</f>
        <v>9.8469999999999995</v>
      </c>
      <c r="M627" s="11">
        <f>9.8506 * CHOOSE(CONTROL!$C$32, $C$9, 100%, $E$9)</f>
        <v>9.8506</v>
      </c>
      <c r="N627" s="11">
        <f>9.847 * CHOOSE(CONTROL!$C$32, $C$9, 100%, $E$9)</f>
        <v>9.8469999999999995</v>
      </c>
      <c r="O627" s="11">
        <f>9.8506 * CHOOSE(CONTROL!$C$32, $C$9, 100%, $E$9)</f>
        <v>9.8506</v>
      </c>
    </row>
    <row r="628" spans="1:15" ht="15" x14ac:dyDescent="0.2">
      <c r="A628" s="13">
        <v>59962</v>
      </c>
      <c r="B628" s="9">
        <f>9.0008 * CHOOSE(CONTROL!$C$32, $C$9, 100%, $E$9)</f>
        <v>9.0007999999999999</v>
      </c>
      <c r="C628" s="9">
        <f>9.0008 * CHOOSE(CONTROL!$C$32, $C$9, 100%, $E$9)</f>
        <v>9.0007999999999999</v>
      </c>
      <c r="D628" s="9">
        <f>9.0019 * CHOOSE(CONTROL!$C$32, $C$9, 100%, $E$9)</f>
        <v>9.0018999999999991</v>
      </c>
      <c r="E628" s="11">
        <f>10.0391 * CHOOSE(CONTROL!$C$32, $C$9, 100%, $E$9)</f>
        <v>10.039099999999999</v>
      </c>
      <c r="F628" s="11">
        <f>10.0391 * CHOOSE(CONTROL!$C$32, $C$9, 100%, $E$9)</f>
        <v>10.039099999999999</v>
      </c>
      <c r="G628" s="11">
        <f>10.0427 * CHOOSE(CONTROL!$C$32, $C$9, 100%, $E$9)</f>
        <v>10.0427</v>
      </c>
      <c r="H628" s="11">
        <f>19.8297 * CHOOSE(CONTROL!$C$32, $C$9, 100%, $E$9)</f>
        <v>19.829699999999999</v>
      </c>
      <c r="I628" s="11">
        <f>19.8333 * CHOOSE(CONTROL!$C$32, $C$9, 100%, $E$9)</f>
        <v>19.833300000000001</v>
      </c>
      <c r="J628" s="11">
        <f>19.8297 * CHOOSE(CONTROL!$C$32, $C$9, 100%, $E$9)</f>
        <v>19.829699999999999</v>
      </c>
      <c r="K628" s="11">
        <f>19.8333 * CHOOSE(CONTROL!$C$32, $C$9, 100%, $E$9)</f>
        <v>19.833300000000001</v>
      </c>
      <c r="L628" s="11">
        <f>10.0391 * CHOOSE(CONTROL!$C$32, $C$9, 100%, $E$9)</f>
        <v>10.039099999999999</v>
      </c>
      <c r="M628" s="11">
        <f>10.0427 * CHOOSE(CONTROL!$C$32, $C$9, 100%, $E$9)</f>
        <v>10.0427</v>
      </c>
      <c r="N628" s="11">
        <f>10.0391 * CHOOSE(CONTROL!$C$32, $C$9, 100%, $E$9)</f>
        <v>10.039099999999999</v>
      </c>
      <c r="O628" s="11">
        <f>10.0427 * CHOOSE(CONTROL!$C$32, $C$9, 100%, $E$9)</f>
        <v>10.0427</v>
      </c>
    </row>
    <row r="629" spans="1:15" ht="15" x14ac:dyDescent="0.2">
      <c r="A629" s="13">
        <v>59993</v>
      </c>
      <c r="B629" s="9">
        <f>9.0033 * CHOOSE(CONTROL!$C$32, $C$9, 100%, $E$9)</f>
        <v>9.0032999999999994</v>
      </c>
      <c r="C629" s="9">
        <f>9.0033 * CHOOSE(CONTROL!$C$32, $C$9, 100%, $E$9)</f>
        <v>9.0032999999999994</v>
      </c>
      <c r="D629" s="9">
        <f>9.0044 * CHOOSE(CONTROL!$C$32, $C$9, 100%, $E$9)</f>
        <v>9.0044000000000004</v>
      </c>
      <c r="E629" s="11">
        <f>10.2435 * CHOOSE(CONTROL!$C$32, $C$9, 100%, $E$9)</f>
        <v>10.243499999999999</v>
      </c>
      <c r="F629" s="11">
        <f>10.2435 * CHOOSE(CONTROL!$C$32, $C$9, 100%, $E$9)</f>
        <v>10.243499999999999</v>
      </c>
      <c r="G629" s="11">
        <f>10.2471 * CHOOSE(CONTROL!$C$32, $C$9, 100%, $E$9)</f>
        <v>10.2471</v>
      </c>
      <c r="H629" s="11">
        <f>19.871 * CHOOSE(CONTROL!$C$32, $C$9, 100%, $E$9)</f>
        <v>19.870999999999999</v>
      </c>
      <c r="I629" s="11">
        <f>19.8746 * CHOOSE(CONTROL!$C$32, $C$9, 100%, $E$9)</f>
        <v>19.874600000000001</v>
      </c>
      <c r="J629" s="11">
        <f>19.871 * CHOOSE(CONTROL!$C$32, $C$9, 100%, $E$9)</f>
        <v>19.870999999999999</v>
      </c>
      <c r="K629" s="11">
        <f>19.8746 * CHOOSE(CONTROL!$C$32, $C$9, 100%, $E$9)</f>
        <v>19.874600000000001</v>
      </c>
      <c r="L629" s="11">
        <f>10.2435 * CHOOSE(CONTROL!$C$32, $C$9, 100%, $E$9)</f>
        <v>10.243499999999999</v>
      </c>
      <c r="M629" s="11">
        <f>10.2471 * CHOOSE(CONTROL!$C$32, $C$9, 100%, $E$9)</f>
        <v>10.2471</v>
      </c>
      <c r="N629" s="11">
        <f>10.2435 * CHOOSE(CONTROL!$C$32, $C$9, 100%, $E$9)</f>
        <v>10.243499999999999</v>
      </c>
      <c r="O629" s="11">
        <f>10.2471 * CHOOSE(CONTROL!$C$32, $C$9, 100%, $E$9)</f>
        <v>10.2471</v>
      </c>
    </row>
    <row r="630" spans="1:15" ht="15" x14ac:dyDescent="0.2">
      <c r="A630" s="13">
        <v>60023</v>
      </c>
      <c r="B630" s="9">
        <f>9.0033 * CHOOSE(CONTROL!$C$32, $C$9, 100%, $E$9)</f>
        <v>9.0032999999999994</v>
      </c>
      <c r="C630" s="9">
        <f>9.0033 * CHOOSE(CONTROL!$C$32, $C$9, 100%, $E$9)</f>
        <v>9.0032999999999994</v>
      </c>
      <c r="D630" s="9">
        <f>9.0049 * CHOOSE(CONTROL!$C$32, $C$9, 100%, $E$9)</f>
        <v>9.0048999999999992</v>
      </c>
      <c r="E630" s="11">
        <f>10.3217 * CHOOSE(CONTROL!$C$32, $C$9, 100%, $E$9)</f>
        <v>10.3217</v>
      </c>
      <c r="F630" s="11">
        <f>10.3217 * CHOOSE(CONTROL!$C$32, $C$9, 100%, $E$9)</f>
        <v>10.3217</v>
      </c>
      <c r="G630" s="11">
        <f>10.327 * CHOOSE(CONTROL!$C$32, $C$9, 100%, $E$9)</f>
        <v>10.327</v>
      </c>
      <c r="H630" s="11">
        <f>19.9124 * CHOOSE(CONTROL!$C$32, $C$9, 100%, $E$9)</f>
        <v>19.912400000000002</v>
      </c>
      <c r="I630" s="11">
        <f>19.9177 * CHOOSE(CONTROL!$C$32, $C$9, 100%, $E$9)</f>
        <v>19.9177</v>
      </c>
      <c r="J630" s="11">
        <f>19.9124 * CHOOSE(CONTROL!$C$32, $C$9, 100%, $E$9)</f>
        <v>19.912400000000002</v>
      </c>
      <c r="K630" s="11">
        <f>19.9177 * CHOOSE(CONTROL!$C$32, $C$9, 100%, $E$9)</f>
        <v>19.9177</v>
      </c>
      <c r="L630" s="11">
        <f>10.3217 * CHOOSE(CONTROL!$C$32, $C$9, 100%, $E$9)</f>
        <v>10.3217</v>
      </c>
      <c r="M630" s="11">
        <f>10.327 * CHOOSE(CONTROL!$C$32, $C$9, 100%, $E$9)</f>
        <v>10.327</v>
      </c>
      <c r="N630" s="11">
        <f>10.3217 * CHOOSE(CONTROL!$C$32, $C$9, 100%, $E$9)</f>
        <v>10.3217</v>
      </c>
      <c r="O630" s="11">
        <f>10.327 * CHOOSE(CONTROL!$C$32, $C$9, 100%, $E$9)</f>
        <v>10.327</v>
      </c>
    </row>
    <row r="631" spans="1:15" ht="15" x14ac:dyDescent="0.2">
      <c r="A631" s="13">
        <v>60054</v>
      </c>
      <c r="B631" s="9">
        <f>9.0094 * CHOOSE(CONTROL!$C$32, $C$9, 100%, $E$9)</f>
        <v>9.0093999999999994</v>
      </c>
      <c r="C631" s="9">
        <f>9.0094 * CHOOSE(CONTROL!$C$32, $C$9, 100%, $E$9)</f>
        <v>9.0093999999999994</v>
      </c>
      <c r="D631" s="9">
        <f>9.011 * CHOOSE(CONTROL!$C$32, $C$9, 100%, $E$9)</f>
        <v>9.0109999999999992</v>
      </c>
      <c r="E631" s="11">
        <f>10.2477 * CHOOSE(CONTROL!$C$32, $C$9, 100%, $E$9)</f>
        <v>10.2477</v>
      </c>
      <c r="F631" s="11">
        <f>10.2477 * CHOOSE(CONTROL!$C$32, $C$9, 100%, $E$9)</f>
        <v>10.2477</v>
      </c>
      <c r="G631" s="11">
        <f>10.253 * CHOOSE(CONTROL!$C$32, $C$9, 100%, $E$9)</f>
        <v>10.253</v>
      </c>
      <c r="H631" s="11">
        <f>19.9539 * CHOOSE(CONTROL!$C$32, $C$9, 100%, $E$9)</f>
        <v>19.953900000000001</v>
      </c>
      <c r="I631" s="11">
        <f>19.9591 * CHOOSE(CONTROL!$C$32, $C$9, 100%, $E$9)</f>
        <v>19.959099999999999</v>
      </c>
      <c r="J631" s="11">
        <f>19.9539 * CHOOSE(CONTROL!$C$32, $C$9, 100%, $E$9)</f>
        <v>19.953900000000001</v>
      </c>
      <c r="K631" s="11">
        <f>19.9591 * CHOOSE(CONTROL!$C$32, $C$9, 100%, $E$9)</f>
        <v>19.959099999999999</v>
      </c>
      <c r="L631" s="11">
        <f>10.2477 * CHOOSE(CONTROL!$C$32, $C$9, 100%, $E$9)</f>
        <v>10.2477</v>
      </c>
      <c r="M631" s="11">
        <f>10.253 * CHOOSE(CONTROL!$C$32, $C$9, 100%, $E$9)</f>
        <v>10.253</v>
      </c>
      <c r="N631" s="11">
        <f>10.2477 * CHOOSE(CONTROL!$C$32, $C$9, 100%, $E$9)</f>
        <v>10.2477</v>
      </c>
      <c r="O631" s="11">
        <f>10.253 * CHOOSE(CONTROL!$C$32, $C$9, 100%, $E$9)</f>
        <v>10.253</v>
      </c>
    </row>
    <row r="632" spans="1:15" ht="15" x14ac:dyDescent="0.2">
      <c r="A632" s="13">
        <v>60084</v>
      </c>
      <c r="B632" s="9">
        <f>9.1229 * CHOOSE(CONTROL!$C$32, $C$9, 100%, $E$9)</f>
        <v>9.1228999999999996</v>
      </c>
      <c r="C632" s="9">
        <f>9.1229 * CHOOSE(CONTROL!$C$32, $C$9, 100%, $E$9)</f>
        <v>9.1228999999999996</v>
      </c>
      <c r="D632" s="9">
        <f>9.1245 * CHOOSE(CONTROL!$C$32, $C$9, 100%, $E$9)</f>
        <v>9.1244999999999994</v>
      </c>
      <c r="E632" s="11">
        <f>10.3906 * CHOOSE(CONTROL!$C$32, $C$9, 100%, $E$9)</f>
        <v>10.390599999999999</v>
      </c>
      <c r="F632" s="11">
        <f>10.3906 * CHOOSE(CONTROL!$C$32, $C$9, 100%, $E$9)</f>
        <v>10.390599999999999</v>
      </c>
      <c r="G632" s="11">
        <f>10.3959 * CHOOSE(CONTROL!$C$32, $C$9, 100%, $E$9)</f>
        <v>10.395899999999999</v>
      </c>
      <c r="H632" s="11">
        <f>19.9954 * CHOOSE(CONTROL!$C$32, $C$9, 100%, $E$9)</f>
        <v>19.9954</v>
      </c>
      <c r="I632" s="11">
        <f>20.0007 * CHOOSE(CONTROL!$C$32, $C$9, 100%, $E$9)</f>
        <v>20.000699999999998</v>
      </c>
      <c r="J632" s="11">
        <f>19.9954 * CHOOSE(CONTROL!$C$32, $C$9, 100%, $E$9)</f>
        <v>19.9954</v>
      </c>
      <c r="K632" s="11">
        <f>20.0007 * CHOOSE(CONTROL!$C$32, $C$9, 100%, $E$9)</f>
        <v>20.000699999999998</v>
      </c>
      <c r="L632" s="11">
        <f>10.3906 * CHOOSE(CONTROL!$C$32, $C$9, 100%, $E$9)</f>
        <v>10.390599999999999</v>
      </c>
      <c r="M632" s="11">
        <f>10.3959 * CHOOSE(CONTROL!$C$32, $C$9, 100%, $E$9)</f>
        <v>10.395899999999999</v>
      </c>
      <c r="N632" s="11">
        <f>10.3906 * CHOOSE(CONTROL!$C$32, $C$9, 100%, $E$9)</f>
        <v>10.390599999999999</v>
      </c>
      <c r="O632" s="11">
        <f>10.3959 * CHOOSE(CONTROL!$C$32, $C$9, 100%, $E$9)</f>
        <v>10.395899999999999</v>
      </c>
    </row>
    <row r="633" spans="1:15" ht="15" x14ac:dyDescent="0.2">
      <c r="A633" s="13">
        <v>60115</v>
      </c>
      <c r="B633" s="9">
        <f>9.1296 * CHOOSE(CONTROL!$C$32, $C$9, 100%, $E$9)</f>
        <v>9.1295999999999999</v>
      </c>
      <c r="C633" s="9">
        <f>9.1296 * CHOOSE(CONTROL!$C$32, $C$9, 100%, $E$9)</f>
        <v>9.1295999999999999</v>
      </c>
      <c r="D633" s="9">
        <f>9.1312 * CHOOSE(CONTROL!$C$32, $C$9, 100%, $E$9)</f>
        <v>9.1311999999999998</v>
      </c>
      <c r="E633" s="11">
        <f>10.1606 * CHOOSE(CONTROL!$C$32, $C$9, 100%, $E$9)</f>
        <v>10.160600000000001</v>
      </c>
      <c r="F633" s="11">
        <f>10.1606 * CHOOSE(CONTROL!$C$32, $C$9, 100%, $E$9)</f>
        <v>10.160600000000001</v>
      </c>
      <c r="G633" s="11">
        <f>10.1659 * CHOOSE(CONTROL!$C$32, $C$9, 100%, $E$9)</f>
        <v>10.165900000000001</v>
      </c>
      <c r="H633" s="11">
        <f>20.0371 * CHOOSE(CONTROL!$C$32, $C$9, 100%, $E$9)</f>
        <v>20.037099999999999</v>
      </c>
      <c r="I633" s="11">
        <f>20.0424 * CHOOSE(CONTROL!$C$32, $C$9, 100%, $E$9)</f>
        <v>20.042400000000001</v>
      </c>
      <c r="J633" s="11">
        <f>20.0371 * CHOOSE(CONTROL!$C$32, $C$9, 100%, $E$9)</f>
        <v>20.037099999999999</v>
      </c>
      <c r="K633" s="11">
        <f>20.0424 * CHOOSE(CONTROL!$C$32, $C$9, 100%, $E$9)</f>
        <v>20.042400000000001</v>
      </c>
      <c r="L633" s="11">
        <f>10.1606 * CHOOSE(CONTROL!$C$32, $C$9, 100%, $E$9)</f>
        <v>10.160600000000001</v>
      </c>
      <c r="M633" s="11">
        <f>10.1659 * CHOOSE(CONTROL!$C$32, $C$9, 100%, $E$9)</f>
        <v>10.165900000000001</v>
      </c>
      <c r="N633" s="11">
        <f>10.1606 * CHOOSE(CONTROL!$C$32, $C$9, 100%, $E$9)</f>
        <v>10.160600000000001</v>
      </c>
      <c r="O633" s="11">
        <f>10.1659 * CHOOSE(CONTROL!$C$32, $C$9, 100%, $E$9)</f>
        <v>10.165900000000001</v>
      </c>
    </row>
    <row r="634" spans="1:15" ht="15" x14ac:dyDescent="0.2">
      <c r="A634" s="13">
        <v>60146</v>
      </c>
      <c r="B634" s="9">
        <f>9.1266 * CHOOSE(CONTROL!$C$32, $C$9, 100%, $E$9)</f>
        <v>9.1265999999999998</v>
      </c>
      <c r="C634" s="9">
        <f>9.1266 * CHOOSE(CONTROL!$C$32, $C$9, 100%, $E$9)</f>
        <v>9.1265999999999998</v>
      </c>
      <c r="D634" s="9">
        <f>9.1282 * CHOOSE(CONTROL!$C$32, $C$9, 100%, $E$9)</f>
        <v>9.1281999999999996</v>
      </c>
      <c r="E634" s="11">
        <f>10.1324 * CHOOSE(CONTROL!$C$32, $C$9, 100%, $E$9)</f>
        <v>10.132400000000001</v>
      </c>
      <c r="F634" s="11">
        <f>10.1324 * CHOOSE(CONTROL!$C$32, $C$9, 100%, $E$9)</f>
        <v>10.132400000000001</v>
      </c>
      <c r="G634" s="11">
        <f>10.1377 * CHOOSE(CONTROL!$C$32, $C$9, 100%, $E$9)</f>
        <v>10.137700000000001</v>
      </c>
      <c r="H634" s="11">
        <f>20.0788 * CHOOSE(CONTROL!$C$32, $C$9, 100%, $E$9)</f>
        <v>20.078800000000001</v>
      </c>
      <c r="I634" s="11">
        <f>20.0841 * CHOOSE(CONTROL!$C$32, $C$9, 100%, $E$9)</f>
        <v>20.084099999999999</v>
      </c>
      <c r="J634" s="11">
        <f>20.0788 * CHOOSE(CONTROL!$C$32, $C$9, 100%, $E$9)</f>
        <v>20.078800000000001</v>
      </c>
      <c r="K634" s="11">
        <f>20.0841 * CHOOSE(CONTROL!$C$32, $C$9, 100%, $E$9)</f>
        <v>20.084099999999999</v>
      </c>
      <c r="L634" s="11">
        <f>10.1324 * CHOOSE(CONTROL!$C$32, $C$9, 100%, $E$9)</f>
        <v>10.132400000000001</v>
      </c>
      <c r="M634" s="11">
        <f>10.1377 * CHOOSE(CONTROL!$C$32, $C$9, 100%, $E$9)</f>
        <v>10.137700000000001</v>
      </c>
      <c r="N634" s="11">
        <f>10.1324 * CHOOSE(CONTROL!$C$32, $C$9, 100%, $E$9)</f>
        <v>10.132400000000001</v>
      </c>
      <c r="O634" s="11">
        <f>10.1377 * CHOOSE(CONTROL!$C$32, $C$9, 100%, $E$9)</f>
        <v>10.137700000000001</v>
      </c>
    </row>
    <row r="635" spans="1:15" ht="15" x14ac:dyDescent="0.2">
      <c r="A635" s="13">
        <v>60176</v>
      </c>
      <c r="B635" s="9">
        <f>9.1408 * CHOOSE(CONTROL!$C$32, $C$9, 100%, $E$9)</f>
        <v>9.1408000000000005</v>
      </c>
      <c r="C635" s="9">
        <f>9.1408 * CHOOSE(CONTROL!$C$32, $C$9, 100%, $E$9)</f>
        <v>9.1408000000000005</v>
      </c>
      <c r="D635" s="9">
        <f>9.1418 * CHOOSE(CONTROL!$C$32, $C$9, 100%, $E$9)</f>
        <v>9.1417999999999999</v>
      </c>
      <c r="E635" s="11">
        <f>10.2233 * CHOOSE(CONTROL!$C$32, $C$9, 100%, $E$9)</f>
        <v>10.2233</v>
      </c>
      <c r="F635" s="11">
        <f>10.2233 * CHOOSE(CONTROL!$C$32, $C$9, 100%, $E$9)</f>
        <v>10.2233</v>
      </c>
      <c r="G635" s="11">
        <f>10.2269 * CHOOSE(CONTROL!$C$32, $C$9, 100%, $E$9)</f>
        <v>10.226900000000001</v>
      </c>
      <c r="H635" s="11">
        <f>20.1207 * CHOOSE(CONTROL!$C$32, $C$9, 100%, $E$9)</f>
        <v>20.120699999999999</v>
      </c>
      <c r="I635" s="11">
        <f>20.1243 * CHOOSE(CONTROL!$C$32, $C$9, 100%, $E$9)</f>
        <v>20.124300000000002</v>
      </c>
      <c r="J635" s="11">
        <f>20.1207 * CHOOSE(CONTROL!$C$32, $C$9, 100%, $E$9)</f>
        <v>20.120699999999999</v>
      </c>
      <c r="K635" s="11">
        <f>20.1243 * CHOOSE(CONTROL!$C$32, $C$9, 100%, $E$9)</f>
        <v>20.124300000000002</v>
      </c>
      <c r="L635" s="11">
        <f>10.2233 * CHOOSE(CONTROL!$C$32, $C$9, 100%, $E$9)</f>
        <v>10.2233</v>
      </c>
      <c r="M635" s="11">
        <f>10.2269 * CHOOSE(CONTROL!$C$32, $C$9, 100%, $E$9)</f>
        <v>10.226900000000001</v>
      </c>
      <c r="N635" s="11">
        <f>10.2233 * CHOOSE(CONTROL!$C$32, $C$9, 100%, $E$9)</f>
        <v>10.2233</v>
      </c>
      <c r="O635" s="11">
        <f>10.2269 * CHOOSE(CONTROL!$C$32, $C$9, 100%, $E$9)</f>
        <v>10.226900000000001</v>
      </c>
    </row>
    <row r="636" spans="1:15" ht="15" x14ac:dyDescent="0.2">
      <c r="A636" s="13">
        <v>60207</v>
      </c>
      <c r="B636" s="9">
        <f>9.1438 * CHOOSE(CONTROL!$C$32, $C$9, 100%, $E$9)</f>
        <v>9.1438000000000006</v>
      </c>
      <c r="C636" s="9">
        <f>9.1438 * CHOOSE(CONTROL!$C$32, $C$9, 100%, $E$9)</f>
        <v>9.1438000000000006</v>
      </c>
      <c r="D636" s="9">
        <f>9.1449 * CHOOSE(CONTROL!$C$32, $C$9, 100%, $E$9)</f>
        <v>9.1448999999999998</v>
      </c>
      <c r="E636" s="11">
        <f>10.2775 * CHOOSE(CONTROL!$C$32, $C$9, 100%, $E$9)</f>
        <v>10.2775</v>
      </c>
      <c r="F636" s="11">
        <f>10.2775 * CHOOSE(CONTROL!$C$32, $C$9, 100%, $E$9)</f>
        <v>10.2775</v>
      </c>
      <c r="G636" s="11">
        <f>10.2811 * CHOOSE(CONTROL!$C$32, $C$9, 100%, $E$9)</f>
        <v>10.2811</v>
      </c>
      <c r="H636" s="11">
        <f>20.1626 * CHOOSE(CONTROL!$C$32, $C$9, 100%, $E$9)</f>
        <v>20.162600000000001</v>
      </c>
      <c r="I636" s="11">
        <f>20.1662 * CHOOSE(CONTROL!$C$32, $C$9, 100%, $E$9)</f>
        <v>20.1662</v>
      </c>
      <c r="J636" s="11">
        <f>20.1626 * CHOOSE(CONTROL!$C$32, $C$9, 100%, $E$9)</f>
        <v>20.162600000000001</v>
      </c>
      <c r="K636" s="11">
        <f>20.1662 * CHOOSE(CONTROL!$C$32, $C$9, 100%, $E$9)</f>
        <v>20.1662</v>
      </c>
      <c r="L636" s="11">
        <f>10.2775 * CHOOSE(CONTROL!$C$32, $C$9, 100%, $E$9)</f>
        <v>10.2775</v>
      </c>
      <c r="M636" s="11">
        <f>10.2811 * CHOOSE(CONTROL!$C$32, $C$9, 100%, $E$9)</f>
        <v>10.2811</v>
      </c>
      <c r="N636" s="11">
        <f>10.2775 * CHOOSE(CONTROL!$C$32, $C$9, 100%, $E$9)</f>
        <v>10.2775</v>
      </c>
      <c r="O636" s="11">
        <f>10.2811 * CHOOSE(CONTROL!$C$32, $C$9, 100%, $E$9)</f>
        <v>10.2811</v>
      </c>
    </row>
    <row r="637" spans="1:15" ht="15" x14ac:dyDescent="0.2">
      <c r="A637" s="13">
        <v>60237</v>
      </c>
      <c r="B637" s="9">
        <f>9.1438 * CHOOSE(CONTROL!$C$32, $C$9, 100%, $E$9)</f>
        <v>9.1438000000000006</v>
      </c>
      <c r="C637" s="9">
        <f>9.1438 * CHOOSE(CONTROL!$C$32, $C$9, 100%, $E$9)</f>
        <v>9.1438000000000006</v>
      </c>
      <c r="D637" s="9">
        <f>9.1449 * CHOOSE(CONTROL!$C$32, $C$9, 100%, $E$9)</f>
        <v>9.1448999999999998</v>
      </c>
      <c r="E637" s="11">
        <f>10.1471 * CHOOSE(CONTROL!$C$32, $C$9, 100%, $E$9)</f>
        <v>10.1471</v>
      </c>
      <c r="F637" s="11">
        <f>10.1471 * CHOOSE(CONTROL!$C$32, $C$9, 100%, $E$9)</f>
        <v>10.1471</v>
      </c>
      <c r="G637" s="11">
        <f>10.1508 * CHOOSE(CONTROL!$C$32, $C$9, 100%, $E$9)</f>
        <v>10.1508</v>
      </c>
      <c r="H637" s="11">
        <f>20.2046 * CHOOSE(CONTROL!$C$32, $C$9, 100%, $E$9)</f>
        <v>20.204599999999999</v>
      </c>
      <c r="I637" s="11">
        <f>20.2082 * CHOOSE(CONTROL!$C$32, $C$9, 100%, $E$9)</f>
        <v>20.208200000000001</v>
      </c>
      <c r="J637" s="11">
        <f>20.2046 * CHOOSE(CONTROL!$C$32, $C$9, 100%, $E$9)</f>
        <v>20.204599999999999</v>
      </c>
      <c r="K637" s="11">
        <f>20.2082 * CHOOSE(CONTROL!$C$32, $C$9, 100%, $E$9)</f>
        <v>20.208200000000001</v>
      </c>
      <c r="L637" s="11">
        <f>10.1471 * CHOOSE(CONTROL!$C$32, $C$9, 100%, $E$9)</f>
        <v>10.1471</v>
      </c>
      <c r="M637" s="11">
        <f>10.1508 * CHOOSE(CONTROL!$C$32, $C$9, 100%, $E$9)</f>
        <v>10.1508</v>
      </c>
      <c r="N637" s="11">
        <f>10.1471 * CHOOSE(CONTROL!$C$32, $C$9, 100%, $E$9)</f>
        <v>10.1471</v>
      </c>
      <c r="O637" s="11">
        <f>10.1508 * CHOOSE(CONTROL!$C$32, $C$9, 100%, $E$9)</f>
        <v>10.1508</v>
      </c>
    </row>
    <row r="638" spans="1:15" ht="15" x14ac:dyDescent="0.2">
      <c r="A638" s="13">
        <v>60268</v>
      </c>
      <c r="B638" s="9">
        <f>9.1943 * CHOOSE(CONTROL!$C$32, $C$9, 100%, $E$9)</f>
        <v>9.1943000000000001</v>
      </c>
      <c r="C638" s="9">
        <f>9.1943 * CHOOSE(CONTROL!$C$32, $C$9, 100%, $E$9)</f>
        <v>9.1943000000000001</v>
      </c>
      <c r="D638" s="9">
        <f>9.1954 * CHOOSE(CONTROL!$C$32, $C$9, 100%, $E$9)</f>
        <v>9.1953999999999994</v>
      </c>
      <c r="E638" s="11">
        <f>10.308 * CHOOSE(CONTROL!$C$32, $C$9, 100%, $E$9)</f>
        <v>10.308</v>
      </c>
      <c r="F638" s="11">
        <f>10.308 * CHOOSE(CONTROL!$C$32, $C$9, 100%, $E$9)</f>
        <v>10.308</v>
      </c>
      <c r="G638" s="11">
        <f>10.3116 * CHOOSE(CONTROL!$C$32, $C$9, 100%, $E$9)</f>
        <v>10.3116</v>
      </c>
      <c r="H638" s="11">
        <f>20.2008 * CHOOSE(CONTROL!$C$32, $C$9, 100%, $E$9)</f>
        <v>20.200800000000001</v>
      </c>
      <c r="I638" s="11">
        <f>20.2044 * CHOOSE(CONTROL!$C$32, $C$9, 100%, $E$9)</f>
        <v>20.2044</v>
      </c>
      <c r="J638" s="11">
        <f>20.2008 * CHOOSE(CONTROL!$C$32, $C$9, 100%, $E$9)</f>
        <v>20.200800000000001</v>
      </c>
      <c r="K638" s="11">
        <f>20.2044 * CHOOSE(CONTROL!$C$32, $C$9, 100%, $E$9)</f>
        <v>20.2044</v>
      </c>
      <c r="L638" s="11">
        <f>10.308 * CHOOSE(CONTROL!$C$32, $C$9, 100%, $E$9)</f>
        <v>10.308</v>
      </c>
      <c r="M638" s="11">
        <f>10.3116 * CHOOSE(CONTROL!$C$32, $C$9, 100%, $E$9)</f>
        <v>10.3116</v>
      </c>
      <c r="N638" s="11">
        <f>10.308 * CHOOSE(CONTROL!$C$32, $C$9, 100%, $E$9)</f>
        <v>10.308</v>
      </c>
      <c r="O638" s="11">
        <f>10.3116 * CHOOSE(CONTROL!$C$32, $C$9, 100%, $E$9)</f>
        <v>10.3116</v>
      </c>
    </row>
    <row r="639" spans="1:15" ht="15" x14ac:dyDescent="0.2">
      <c r="A639" s="13">
        <v>60299</v>
      </c>
      <c r="B639" s="9">
        <f>9.1912 * CHOOSE(CONTROL!$C$32, $C$9, 100%, $E$9)</f>
        <v>9.1912000000000003</v>
      </c>
      <c r="C639" s="9">
        <f>9.1912 * CHOOSE(CONTROL!$C$32, $C$9, 100%, $E$9)</f>
        <v>9.1912000000000003</v>
      </c>
      <c r="D639" s="9">
        <f>9.1923 * CHOOSE(CONTROL!$C$32, $C$9, 100%, $E$9)</f>
        <v>9.1922999999999995</v>
      </c>
      <c r="E639" s="11">
        <f>10.0524 * CHOOSE(CONTROL!$C$32, $C$9, 100%, $E$9)</f>
        <v>10.0524</v>
      </c>
      <c r="F639" s="11">
        <f>10.0524 * CHOOSE(CONTROL!$C$32, $C$9, 100%, $E$9)</f>
        <v>10.0524</v>
      </c>
      <c r="G639" s="11">
        <f>10.056 * CHOOSE(CONTROL!$C$32, $C$9, 100%, $E$9)</f>
        <v>10.055999999999999</v>
      </c>
      <c r="H639" s="11">
        <f>20.2429 * CHOOSE(CONTROL!$C$32, $C$9, 100%, $E$9)</f>
        <v>20.242899999999999</v>
      </c>
      <c r="I639" s="11">
        <f>20.2465 * CHOOSE(CONTROL!$C$32, $C$9, 100%, $E$9)</f>
        <v>20.246500000000001</v>
      </c>
      <c r="J639" s="11">
        <f>20.2429 * CHOOSE(CONTROL!$C$32, $C$9, 100%, $E$9)</f>
        <v>20.242899999999999</v>
      </c>
      <c r="K639" s="11">
        <f>20.2465 * CHOOSE(CONTROL!$C$32, $C$9, 100%, $E$9)</f>
        <v>20.246500000000001</v>
      </c>
      <c r="L639" s="11">
        <f>10.0524 * CHOOSE(CONTROL!$C$32, $C$9, 100%, $E$9)</f>
        <v>10.0524</v>
      </c>
      <c r="M639" s="11">
        <f>10.056 * CHOOSE(CONTROL!$C$32, $C$9, 100%, $E$9)</f>
        <v>10.055999999999999</v>
      </c>
      <c r="N639" s="11">
        <f>10.0524 * CHOOSE(CONTROL!$C$32, $C$9, 100%, $E$9)</f>
        <v>10.0524</v>
      </c>
      <c r="O639" s="11">
        <f>10.056 * CHOOSE(CONTROL!$C$32, $C$9, 100%, $E$9)</f>
        <v>10.055999999999999</v>
      </c>
    </row>
    <row r="640" spans="1:15" ht="15" x14ac:dyDescent="0.2">
      <c r="A640" s="13">
        <v>60327</v>
      </c>
      <c r="B640" s="9">
        <f>9.1882 * CHOOSE(CONTROL!$C$32, $C$9, 100%, $E$9)</f>
        <v>9.1882000000000001</v>
      </c>
      <c r="C640" s="9">
        <f>9.1882 * CHOOSE(CONTROL!$C$32, $C$9, 100%, $E$9)</f>
        <v>9.1882000000000001</v>
      </c>
      <c r="D640" s="9">
        <f>9.1893 * CHOOSE(CONTROL!$C$32, $C$9, 100%, $E$9)</f>
        <v>9.1892999999999994</v>
      </c>
      <c r="E640" s="11">
        <f>10.2501 * CHOOSE(CONTROL!$C$32, $C$9, 100%, $E$9)</f>
        <v>10.2501</v>
      </c>
      <c r="F640" s="11">
        <f>10.2501 * CHOOSE(CONTROL!$C$32, $C$9, 100%, $E$9)</f>
        <v>10.2501</v>
      </c>
      <c r="G640" s="11">
        <f>10.2537 * CHOOSE(CONTROL!$C$32, $C$9, 100%, $E$9)</f>
        <v>10.2537</v>
      </c>
      <c r="H640" s="11">
        <f>20.2851 * CHOOSE(CONTROL!$C$32, $C$9, 100%, $E$9)</f>
        <v>20.2851</v>
      </c>
      <c r="I640" s="11">
        <f>20.2887 * CHOOSE(CONTROL!$C$32, $C$9, 100%, $E$9)</f>
        <v>20.288699999999999</v>
      </c>
      <c r="J640" s="11">
        <f>20.2851 * CHOOSE(CONTROL!$C$32, $C$9, 100%, $E$9)</f>
        <v>20.2851</v>
      </c>
      <c r="K640" s="11">
        <f>20.2887 * CHOOSE(CONTROL!$C$32, $C$9, 100%, $E$9)</f>
        <v>20.288699999999999</v>
      </c>
      <c r="L640" s="11">
        <f>10.2501 * CHOOSE(CONTROL!$C$32, $C$9, 100%, $E$9)</f>
        <v>10.2501</v>
      </c>
      <c r="M640" s="11">
        <f>10.2537 * CHOOSE(CONTROL!$C$32, $C$9, 100%, $E$9)</f>
        <v>10.2537</v>
      </c>
      <c r="N640" s="11">
        <f>10.2501 * CHOOSE(CONTROL!$C$32, $C$9, 100%, $E$9)</f>
        <v>10.2501</v>
      </c>
      <c r="O640" s="11">
        <f>10.2537 * CHOOSE(CONTROL!$C$32, $C$9, 100%, $E$9)</f>
        <v>10.2537</v>
      </c>
    </row>
    <row r="641" spans="1:15" ht="15" x14ac:dyDescent="0.2">
      <c r="A641" s="13">
        <v>60358</v>
      </c>
      <c r="B641" s="9">
        <f>9.1909 * CHOOSE(CONTROL!$C$32, $C$9, 100%, $E$9)</f>
        <v>9.1908999999999992</v>
      </c>
      <c r="C641" s="9">
        <f>9.1909 * CHOOSE(CONTROL!$C$32, $C$9, 100%, $E$9)</f>
        <v>9.1908999999999992</v>
      </c>
      <c r="D641" s="9">
        <f>9.192 * CHOOSE(CONTROL!$C$32, $C$9, 100%, $E$9)</f>
        <v>9.1920000000000002</v>
      </c>
      <c r="E641" s="11">
        <f>10.4605 * CHOOSE(CONTROL!$C$32, $C$9, 100%, $E$9)</f>
        <v>10.4605</v>
      </c>
      <c r="F641" s="11">
        <f>10.4605 * CHOOSE(CONTROL!$C$32, $C$9, 100%, $E$9)</f>
        <v>10.4605</v>
      </c>
      <c r="G641" s="11">
        <f>10.4641 * CHOOSE(CONTROL!$C$32, $C$9, 100%, $E$9)</f>
        <v>10.4641</v>
      </c>
      <c r="H641" s="11">
        <f>20.3273 * CHOOSE(CONTROL!$C$32, $C$9, 100%, $E$9)</f>
        <v>20.327300000000001</v>
      </c>
      <c r="I641" s="11">
        <f>20.3309 * CHOOSE(CONTROL!$C$32, $C$9, 100%, $E$9)</f>
        <v>20.3309</v>
      </c>
      <c r="J641" s="11">
        <f>20.3273 * CHOOSE(CONTROL!$C$32, $C$9, 100%, $E$9)</f>
        <v>20.327300000000001</v>
      </c>
      <c r="K641" s="11">
        <f>20.3309 * CHOOSE(CONTROL!$C$32, $C$9, 100%, $E$9)</f>
        <v>20.3309</v>
      </c>
      <c r="L641" s="11">
        <f>10.4605 * CHOOSE(CONTROL!$C$32, $C$9, 100%, $E$9)</f>
        <v>10.4605</v>
      </c>
      <c r="M641" s="11">
        <f>10.4641 * CHOOSE(CONTROL!$C$32, $C$9, 100%, $E$9)</f>
        <v>10.4641</v>
      </c>
      <c r="N641" s="11">
        <f>10.4605 * CHOOSE(CONTROL!$C$32, $C$9, 100%, $E$9)</f>
        <v>10.4605</v>
      </c>
      <c r="O641" s="11">
        <f>10.4641 * CHOOSE(CONTROL!$C$32, $C$9, 100%, $E$9)</f>
        <v>10.4641</v>
      </c>
    </row>
    <row r="642" spans="1:15" ht="15" x14ac:dyDescent="0.2">
      <c r="A642" s="13">
        <v>60388</v>
      </c>
      <c r="B642" s="9">
        <f>9.1909 * CHOOSE(CONTROL!$C$32, $C$9, 100%, $E$9)</f>
        <v>9.1908999999999992</v>
      </c>
      <c r="C642" s="9">
        <f>9.1909 * CHOOSE(CONTROL!$C$32, $C$9, 100%, $E$9)</f>
        <v>9.1908999999999992</v>
      </c>
      <c r="D642" s="9">
        <f>9.1925 * CHOOSE(CONTROL!$C$32, $C$9, 100%, $E$9)</f>
        <v>9.1925000000000008</v>
      </c>
      <c r="E642" s="11">
        <f>10.541 * CHOOSE(CONTROL!$C$32, $C$9, 100%, $E$9)</f>
        <v>10.541</v>
      </c>
      <c r="F642" s="11">
        <f>10.541 * CHOOSE(CONTROL!$C$32, $C$9, 100%, $E$9)</f>
        <v>10.541</v>
      </c>
      <c r="G642" s="11">
        <f>10.5462 * CHOOSE(CONTROL!$C$32, $C$9, 100%, $E$9)</f>
        <v>10.546200000000001</v>
      </c>
      <c r="H642" s="11">
        <f>20.3697 * CHOOSE(CONTROL!$C$32, $C$9, 100%, $E$9)</f>
        <v>20.369700000000002</v>
      </c>
      <c r="I642" s="11">
        <f>20.375 * CHOOSE(CONTROL!$C$32, $C$9, 100%, $E$9)</f>
        <v>20.375</v>
      </c>
      <c r="J642" s="11">
        <f>20.3697 * CHOOSE(CONTROL!$C$32, $C$9, 100%, $E$9)</f>
        <v>20.369700000000002</v>
      </c>
      <c r="K642" s="11">
        <f>20.375 * CHOOSE(CONTROL!$C$32, $C$9, 100%, $E$9)</f>
        <v>20.375</v>
      </c>
      <c r="L642" s="11">
        <f>10.541 * CHOOSE(CONTROL!$C$32, $C$9, 100%, $E$9)</f>
        <v>10.541</v>
      </c>
      <c r="M642" s="11">
        <f>10.5462 * CHOOSE(CONTROL!$C$32, $C$9, 100%, $E$9)</f>
        <v>10.546200000000001</v>
      </c>
      <c r="N642" s="11">
        <f>10.541 * CHOOSE(CONTROL!$C$32, $C$9, 100%, $E$9)</f>
        <v>10.541</v>
      </c>
      <c r="O642" s="11">
        <f>10.5462 * CHOOSE(CONTROL!$C$32, $C$9, 100%, $E$9)</f>
        <v>10.546200000000001</v>
      </c>
    </row>
    <row r="643" spans="1:15" ht="15" x14ac:dyDescent="0.2">
      <c r="A643" s="13">
        <v>60419</v>
      </c>
      <c r="B643" s="9">
        <f>9.197 * CHOOSE(CONTROL!$C$32, $C$9, 100%, $E$9)</f>
        <v>9.1969999999999992</v>
      </c>
      <c r="C643" s="9">
        <f>9.197 * CHOOSE(CONTROL!$C$32, $C$9, 100%, $E$9)</f>
        <v>9.1969999999999992</v>
      </c>
      <c r="D643" s="9">
        <f>9.1985 * CHOOSE(CONTROL!$C$32, $C$9, 100%, $E$9)</f>
        <v>9.1984999999999992</v>
      </c>
      <c r="E643" s="11">
        <f>10.4647 * CHOOSE(CONTROL!$C$32, $C$9, 100%, $E$9)</f>
        <v>10.464700000000001</v>
      </c>
      <c r="F643" s="11">
        <f>10.4647 * CHOOSE(CONTROL!$C$32, $C$9, 100%, $E$9)</f>
        <v>10.464700000000001</v>
      </c>
      <c r="G643" s="11">
        <f>10.47 * CHOOSE(CONTROL!$C$32, $C$9, 100%, $E$9)</f>
        <v>10.47</v>
      </c>
      <c r="H643" s="11">
        <f>20.4121 * CHOOSE(CONTROL!$C$32, $C$9, 100%, $E$9)</f>
        <v>20.412099999999999</v>
      </c>
      <c r="I643" s="11">
        <f>20.4174 * CHOOSE(CONTROL!$C$32, $C$9, 100%, $E$9)</f>
        <v>20.417400000000001</v>
      </c>
      <c r="J643" s="11">
        <f>20.4121 * CHOOSE(CONTROL!$C$32, $C$9, 100%, $E$9)</f>
        <v>20.412099999999999</v>
      </c>
      <c r="K643" s="11">
        <f>20.4174 * CHOOSE(CONTROL!$C$32, $C$9, 100%, $E$9)</f>
        <v>20.417400000000001</v>
      </c>
      <c r="L643" s="11">
        <f>10.4647 * CHOOSE(CONTROL!$C$32, $C$9, 100%, $E$9)</f>
        <v>10.464700000000001</v>
      </c>
      <c r="M643" s="11">
        <f>10.47 * CHOOSE(CONTROL!$C$32, $C$9, 100%, $E$9)</f>
        <v>10.47</v>
      </c>
      <c r="N643" s="11">
        <f>10.4647 * CHOOSE(CONTROL!$C$32, $C$9, 100%, $E$9)</f>
        <v>10.464700000000001</v>
      </c>
      <c r="O643" s="11">
        <f>10.47 * CHOOSE(CONTROL!$C$32, $C$9, 100%, $E$9)</f>
        <v>10.47</v>
      </c>
    </row>
    <row r="644" spans="1:15" ht="15" x14ac:dyDescent="0.2">
      <c r="A644" s="13">
        <v>60449</v>
      </c>
      <c r="B644" s="9">
        <f>9.3125 * CHOOSE(CONTROL!$C$32, $C$9, 100%, $E$9)</f>
        <v>9.3125</v>
      </c>
      <c r="C644" s="9">
        <f>9.3125 * CHOOSE(CONTROL!$C$32, $C$9, 100%, $E$9)</f>
        <v>9.3125</v>
      </c>
      <c r="D644" s="9">
        <f>9.3141 * CHOOSE(CONTROL!$C$32, $C$9, 100%, $E$9)</f>
        <v>9.3140999999999998</v>
      </c>
      <c r="E644" s="11">
        <f>10.6108 * CHOOSE(CONTROL!$C$32, $C$9, 100%, $E$9)</f>
        <v>10.610799999999999</v>
      </c>
      <c r="F644" s="11">
        <f>10.6108 * CHOOSE(CONTROL!$C$32, $C$9, 100%, $E$9)</f>
        <v>10.610799999999999</v>
      </c>
      <c r="G644" s="11">
        <f>10.6161 * CHOOSE(CONTROL!$C$32, $C$9, 100%, $E$9)</f>
        <v>10.616099999999999</v>
      </c>
      <c r="H644" s="11">
        <f>20.4546 * CHOOSE(CONTROL!$C$32, $C$9, 100%, $E$9)</f>
        <v>20.454599999999999</v>
      </c>
      <c r="I644" s="11">
        <f>20.4599 * CHOOSE(CONTROL!$C$32, $C$9, 100%, $E$9)</f>
        <v>20.459900000000001</v>
      </c>
      <c r="J644" s="11">
        <f>20.4546 * CHOOSE(CONTROL!$C$32, $C$9, 100%, $E$9)</f>
        <v>20.454599999999999</v>
      </c>
      <c r="K644" s="11">
        <f>20.4599 * CHOOSE(CONTROL!$C$32, $C$9, 100%, $E$9)</f>
        <v>20.459900000000001</v>
      </c>
      <c r="L644" s="11">
        <f>10.6108 * CHOOSE(CONTROL!$C$32, $C$9, 100%, $E$9)</f>
        <v>10.610799999999999</v>
      </c>
      <c r="M644" s="11">
        <f>10.6161 * CHOOSE(CONTROL!$C$32, $C$9, 100%, $E$9)</f>
        <v>10.616099999999999</v>
      </c>
      <c r="N644" s="11">
        <f>10.6108 * CHOOSE(CONTROL!$C$32, $C$9, 100%, $E$9)</f>
        <v>10.610799999999999</v>
      </c>
      <c r="O644" s="11">
        <f>10.6161 * CHOOSE(CONTROL!$C$32, $C$9, 100%, $E$9)</f>
        <v>10.616099999999999</v>
      </c>
    </row>
    <row r="645" spans="1:15" ht="15" x14ac:dyDescent="0.2">
      <c r="A645" s="13">
        <v>60480</v>
      </c>
      <c r="B645" s="9">
        <f>9.3192 * CHOOSE(CONTROL!$C$32, $C$9, 100%, $E$9)</f>
        <v>9.3192000000000004</v>
      </c>
      <c r="C645" s="9">
        <f>9.3192 * CHOOSE(CONTROL!$C$32, $C$9, 100%, $E$9)</f>
        <v>9.3192000000000004</v>
      </c>
      <c r="D645" s="9">
        <f>9.3208 * CHOOSE(CONTROL!$C$32, $C$9, 100%, $E$9)</f>
        <v>9.3208000000000002</v>
      </c>
      <c r="E645" s="11">
        <f>10.374 * CHOOSE(CONTROL!$C$32, $C$9, 100%, $E$9)</f>
        <v>10.374000000000001</v>
      </c>
      <c r="F645" s="11">
        <f>10.374 * CHOOSE(CONTROL!$C$32, $C$9, 100%, $E$9)</f>
        <v>10.374000000000001</v>
      </c>
      <c r="G645" s="11">
        <f>10.3793 * CHOOSE(CONTROL!$C$32, $C$9, 100%, $E$9)</f>
        <v>10.379300000000001</v>
      </c>
      <c r="H645" s="11">
        <f>20.4972 * CHOOSE(CONTROL!$C$32, $C$9, 100%, $E$9)</f>
        <v>20.497199999999999</v>
      </c>
      <c r="I645" s="11">
        <f>20.5025 * CHOOSE(CONTROL!$C$32, $C$9, 100%, $E$9)</f>
        <v>20.502500000000001</v>
      </c>
      <c r="J645" s="11">
        <f>20.4972 * CHOOSE(CONTROL!$C$32, $C$9, 100%, $E$9)</f>
        <v>20.497199999999999</v>
      </c>
      <c r="K645" s="11">
        <f>20.5025 * CHOOSE(CONTROL!$C$32, $C$9, 100%, $E$9)</f>
        <v>20.502500000000001</v>
      </c>
      <c r="L645" s="11">
        <f>10.374 * CHOOSE(CONTROL!$C$32, $C$9, 100%, $E$9)</f>
        <v>10.374000000000001</v>
      </c>
      <c r="M645" s="11">
        <f>10.3793 * CHOOSE(CONTROL!$C$32, $C$9, 100%, $E$9)</f>
        <v>10.379300000000001</v>
      </c>
      <c r="N645" s="11">
        <f>10.374 * CHOOSE(CONTROL!$C$32, $C$9, 100%, $E$9)</f>
        <v>10.374000000000001</v>
      </c>
      <c r="O645" s="11">
        <f>10.3793 * CHOOSE(CONTROL!$C$32, $C$9, 100%, $E$9)</f>
        <v>10.379300000000001</v>
      </c>
    </row>
    <row r="646" spans="1:15" ht="15" x14ac:dyDescent="0.2">
      <c r="A646" s="13">
        <v>60511</v>
      </c>
      <c r="B646" s="9">
        <f>9.3162 * CHOOSE(CONTROL!$C$32, $C$9, 100%, $E$9)</f>
        <v>9.3162000000000003</v>
      </c>
      <c r="C646" s="9">
        <f>9.3162 * CHOOSE(CONTROL!$C$32, $C$9, 100%, $E$9)</f>
        <v>9.3162000000000003</v>
      </c>
      <c r="D646" s="9">
        <f>9.3178 * CHOOSE(CONTROL!$C$32, $C$9, 100%, $E$9)</f>
        <v>9.3178000000000001</v>
      </c>
      <c r="E646" s="11">
        <f>10.345 * CHOOSE(CONTROL!$C$32, $C$9, 100%, $E$9)</f>
        <v>10.345000000000001</v>
      </c>
      <c r="F646" s="11">
        <f>10.345 * CHOOSE(CONTROL!$C$32, $C$9, 100%, $E$9)</f>
        <v>10.345000000000001</v>
      </c>
      <c r="G646" s="11">
        <f>10.3503 * CHOOSE(CONTROL!$C$32, $C$9, 100%, $E$9)</f>
        <v>10.350300000000001</v>
      </c>
      <c r="H646" s="11">
        <f>20.5399 * CHOOSE(CONTROL!$C$32, $C$9, 100%, $E$9)</f>
        <v>20.539899999999999</v>
      </c>
      <c r="I646" s="11">
        <f>20.5452 * CHOOSE(CONTROL!$C$32, $C$9, 100%, $E$9)</f>
        <v>20.545200000000001</v>
      </c>
      <c r="J646" s="11">
        <f>20.5399 * CHOOSE(CONTROL!$C$32, $C$9, 100%, $E$9)</f>
        <v>20.539899999999999</v>
      </c>
      <c r="K646" s="11">
        <f>20.5452 * CHOOSE(CONTROL!$C$32, $C$9, 100%, $E$9)</f>
        <v>20.545200000000001</v>
      </c>
      <c r="L646" s="11">
        <f>10.345 * CHOOSE(CONTROL!$C$32, $C$9, 100%, $E$9)</f>
        <v>10.345000000000001</v>
      </c>
      <c r="M646" s="11">
        <f>10.3503 * CHOOSE(CONTROL!$C$32, $C$9, 100%, $E$9)</f>
        <v>10.350300000000001</v>
      </c>
      <c r="N646" s="11">
        <f>10.345 * CHOOSE(CONTROL!$C$32, $C$9, 100%, $E$9)</f>
        <v>10.345000000000001</v>
      </c>
      <c r="O646" s="11">
        <f>10.3503 * CHOOSE(CONTROL!$C$32, $C$9, 100%, $E$9)</f>
        <v>10.350300000000001</v>
      </c>
    </row>
    <row r="647" spans="1:15" ht="15" x14ac:dyDescent="0.2">
      <c r="A647" s="13">
        <v>60541</v>
      </c>
      <c r="B647" s="9">
        <f>9.3311 * CHOOSE(CONTROL!$C$32, $C$9, 100%, $E$9)</f>
        <v>9.3310999999999993</v>
      </c>
      <c r="C647" s="9">
        <f>9.3311 * CHOOSE(CONTROL!$C$32, $C$9, 100%, $E$9)</f>
        <v>9.3310999999999993</v>
      </c>
      <c r="D647" s="9">
        <f>9.3321 * CHOOSE(CONTROL!$C$32, $C$9, 100%, $E$9)</f>
        <v>9.3321000000000005</v>
      </c>
      <c r="E647" s="11">
        <f>10.4389 * CHOOSE(CONTROL!$C$32, $C$9, 100%, $E$9)</f>
        <v>10.4389</v>
      </c>
      <c r="F647" s="11">
        <f>10.4389 * CHOOSE(CONTROL!$C$32, $C$9, 100%, $E$9)</f>
        <v>10.4389</v>
      </c>
      <c r="G647" s="11">
        <f>10.4426 * CHOOSE(CONTROL!$C$32, $C$9, 100%, $E$9)</f>
        <v>10.442600000000001</v>
      </c>
      <c r="H647" s="11">
        <f>20.5827 * CHOOSE(CONTROL!$C$32, $C$9, 100%, $E$9)</f>
        <v>20.582699999999999</v>
      </c>
      <c r="I647" s="11">
        <f>20.5864 * CHOOSE(CONTROL!$C$32, $C$9, 100%, $E$9)</f>
        <v>20.586400000000001</v>
      </c>
      <c r="J647" s="11">
        <f>20.5827 * CHOOSE(CONTROL!$C$32, $C$9, 100%, $E$9)</f>
        <v>20.582699999999999</v>
      </c>
      <c r="K647" s="11">
        <f>20.5864 * CHOOSE(CONTROL!$C$32, $C$9, 100%, $E$9)</f>
        <v>20.586400000000001</v>
      </c>
      <c r="L647" s="11">
        <f>10.4389 * CHOOSE(CONTROL!$C$32, $C$9, 100%, $E$9)</f>
        <v>10.4389</v>
      </c>
      <c r="M647" s="11">
        <f>10.4426 * CHOOSE(CONTROL!$C$32, $C$9, 100%, $E$9)</f>
        <v>10.442600000000001</v>
      </c>
      <c r="N647" s="11">
        <f>10.4389 * CHOOSE(CONTROL!$C$32, $C$9, 100%, $E$9)</f>
        <v>10.4389</v>
      </c>
      <c r="O647" s="11">
        <f>10.4426 * CHOOSE(CONTROL!$C$32, $C$9, 100%, $E$9)</f>
        <v>10.442600000000001</v>
      </c>
    </row>
    <row r="648" spans="1:15" ht="15" x14ac:dyDescent="0.2">
      <c r="A648" s="13">
        <v>60572</v>
      </c>
      <c r="B648" s="9">
        <f>9.3341 * CHOOSE(CONTROL!$C$32, $C$9, 100%, $E$9)</f>
        <v>9.3340999999999994</v>
      </c>
      <c r="C648" s="9">
        <f>9.3341 * CHOOSE(CONTROL!$C$32, $C$9, 100%, $E$9)</f>
        <v>9.3340999999999994</v>
      </c>
      <c r="D648" s="9">
        <f>9.3352 * CHOOSE(CONTROL!$C$32, $C$9, 100%, $E$9)</f>
        <v>9.3352000000000004</v>
      </c>
      <c r="E648" s="11">
        <f>10.4947 * CHOOSE(CONTROL!$C$32, $C$9, 100%, $E$9)</f>
        <v>10.4947</v>
      </c>
      <c r="F648" s="11">
        <f>10.4947 * CHOOSE(CONTROL!$C$32, $C$9, 100%, $E$9)</f>
        <v>10.4947</v>
      </c>
      <c r="G648" s="11">
        <f>10.4983 * CHOOSE(CONTROL!$C$32, $C$9, 100%, $E$9)</f>
        <v>10.4983</v>
      </c>
      <c r="H648" s="11">
        <f>20.6256 * CHOOSE(CONTROL!$C$32, $C$9, 100%, $E$9)</f>
        <v>20.625599999999999</v>
      </c>
      <c r="I648" s="11">
        <f>20.6292 * CHOOSE(CONTROL!$C$32, $C$9, 100%, $E$9)</f>
        <v>20.629200000000001</v>
      </c>
      <c r="J648" s="11">
        <f>20.6256 * CHOOSE(CONTROL!$C$32, $C$9, 100%, $E$9)</f>
        <v>20.625599999999999</v>
      </c>
      <c r="K648" s="11">
        <f>20.6292 * CHOOSE(CONTROL!$C$32, $C$9, 100%, $E$9)</f>
        <v>20.629200000000001</v>
      </c>
      <c r="L648" s="11">
        <f>10.4947 * CHOOSE(CONTROL!$C$32, $C$9, 100%, $E$9)</f>
        <v>10.4947</v>
      </c>
      <c r="M648" s="11">
        <f>10.4983 * CHOOSE(CONTROL!$C$32, $C$9, 100%, $E$9)</f>
        <v>10.4983</v>
      </c>
      <c r="N648" s="11">
        <f>10.4947 * CHOOSE(CONTROL!$C$32, $C$9, 100%, $E$9)</f>
        <v>10.4947</v>
      </c>
      <c r="O648" s="11">
        <f>10.4983 * CHOOSE(CONTROL!$C$32, $C$9, 100%, $E$9)</f>
        <v>10.4983</v>
      </c>
    </row>
    <row r="649" spans="1:15" ht="15" x14ac:dyDescent="0.2">
      <c r="A649" s="13">
        <v>60602</v>
      </c>
      <c r="B649" s="9">
        <f>9.3341 * CHOOSE(CONTROL!$C$32, $C$9, 100%, $E$9)</f>
        <v>9.3340999999999994</v>
      </c>
      <c r="C649" s="9">
        <f>9.3341 * CHOOSE(CONTROL!$C$32, $C$9, 100%, $E$9)</f>
        <v>9.3340999999999994</v>
      </c>
      <c r="D649" s="9">
        <f>9.3352 * CHOOSE(CONTROL!$C$32, $C$9, 100%, $E$9)</f>
        <v>9.3352000000000004</v>
      </c>
      <c r="E649" s="11">
        <f>10.3606 * CHOOSE(CONTROL!$C$32, $C$9, 100%, $E$9)</f>
        <v>10.3606</v>
      </c>
      <c r="F649" s="11">
        <f>10.3606 * CHOOSE(CONTROL!$C$32, $C$9, 100%, $E$9)</f>
        <v>10.3606</v>
      </c>
      <c r="G649" s="11">
        <f>10.3642 * CHOOSE(CONTROL!$C$32, $C$9, 100%, $E$9)</f>
        <v>10.3642</v>
      </c>
      <c r="H649" s="11">
        <f>20.6686 * CHOOSE(CONTROL!$C$32, $C$9, 100%, $E$9)</f>
        <v>20.668600000000001</v>
      </c>
      <c r="I649" s="11">
        <f>20.6722 * CHOOSE(CONTROL!$C$32, $C$9, 100%, $E$9)</f>
        <v>20.6722</v>
      </c>
      <c r="J649" s="11">
        <f>20.6686 * CHOOSE(CONTROL!$C$32, $C$9, 100%, $E$9)</f>
        <v>20.668600000000001</v>
      </c>
      <c r="K649" s="11">
        <f>20.6722 * CHOOSE(CONTROL!$C$32, $C$9, 100%, $E$9)</f>
        <v>20.6722</v>
      </c>
      <c r="L649" s="11">
        <f>10.3606 * CHOOSE(CONTROL!$C$32, $C$9, 100%, $E$9)</f>
        <v>10.3606</v>
      </c>
      <c r="M649" s="11">
        <f>10.3642 * CHOOSE(CONTROL!$C$32, $C$9, 100%, $E$9)</f>
        <v>10.3642</v>
      </c>
      <c r="N649" s="11">
        <f>10.3606 * CHOOSE(CONTROL!$C$32, $C$9, 100%, $E$9)</f>
        <v>10.3606</v>
      </c>
      <c r="O649" s="11">
        <f>10.3642 * CHOOSE(CONTROL!$C$32, $C$9, 100%, $E$9)</f>
        <v>10.3642</v>
      </c>
    </row>
    <row r="650" spans="1:15" ht="15" x14ac:dyDescent="0.2">
      <c r="A650" s="13">
        <v>60633</v>
      </c>
      <c r="B650" s="9">
        <f>9.3816 * CHOOSE(CONTROL!$C$32, $C$9, 100%, $E$9)</f>
        <v>9.3816000000000006</v>
      </c>
      <c r="C650" s="9">
        <f>9.3816 * CHOOSE(CONTROL!$C$32, $C$9, 100%, $E$9)</f>
        <v>9.3816000000000006</v>
      </c>
      <c r="D650" s="9">
        <f>9.3827 * CHOOSE(CONTROL!$C$32, $C$9, 100%, $E$9)</f>
        <v>9.3826999999999998</v>
      </c>
      <c r="E650" s="11">
        <f>10.5205 * CHOOSE(CONTROL!$C$32, $C$9, 100%, $E$9)</f>
        <v>10.5205</v>
      </c>
      <c r="F650" s="11">
        <f>10.5205 * CHOOSE(CONTROL!$C$32, $C$9, 100%, $E$9)</f>
        <v>10.5205</v>
      </c>
      <c r="G650" s="11">
        <f>10.5241 * CHOOSE(CONTROL!$C$32, $C$9, 100%, $E$9)</f>
        <v>10.524100000000001</v>
      </c>
      <c r="H650" s="11">
        <f>20.6543 * CHOOSE(CONTROL!$C$32, $C$9, 100%, $E$9)</f>
        <v>20.654299999999999</v>
      </c>
      <c r="I650" s="11">
        <f>20.6579 * CHOOSE(CONTROL!$C$32, $C$9, 100%, $E$9)</f>
        <v>20.657900000000001</v>
      </c>
      <c r="J650" s="11">
        <f>20.6543 * CHOOSE(CONTROL!$C$32, $C$9, 100%, $E$9)</f>
        <v>20.654299999999999</v>
      </c>
      <c r="K650" s="11">
        <f>20.6579 * CHOOSE(CONTROL!$C$32, $C$9, 100%, $E$9)</f>
        <v>20.657900000000001</v>
      </c>
      <c r="L650" s="11">
        <f>10.5205 * CHOOSE(CONTROL!$C$32, $C$9, 100%, $E$9)</f>
        <v>10.5205</v>
      </c>
      <c r="M650" s="11">
        <f>10.5241 * CHOOSE(CONTROL!$C$32, $C$9, 100%, $E$9)</f>
        <v>10.524100000000001</v>
      </c>
      <c r="N650" s="11">
        <f>10.5205 * CHOOSE(CONTROL!$C$32, $C$9, 100%, $E$9)</f>
        <v>10.5205</v>
      </c>
      <c r="O650" s="11">
        <f>10.5241 * CHOOSE(CONTROL!$C$32, $C$9, 100%, $E$9)</f>
        <v>10.524100000000001</v>
      </c>
    </row>
    <row r="651" spans="1:15" ht="15" x14ac:dyDescent="0.2">
      <c r="A651" s="13">
        <v>60664</v>
      </c>
      <c r="B651" s="9">
        <f>9.3786 * CHOOSE(CONTROL!$C$32, $C$9, 100%, $E$9)</f>
        <v>9.3786000000000005</v>
      </c>
      <c r="C651" s="9">
        <f>9.3786 * CHOOSE(CONTROL!$C$32, $C$9, 100%, $E$9)</f>
        <v>9.3786000000000005</v>
      </c>
      <c r="D651" s="9">
        <f>9.3797 * CHOOSE(CONTROL!$C$32, $C$9, 100%, $E$9)</f>
        <v>9.3796999999999997</v>
      </c>
      <c r="E651" s="11">
        <f>10.2578 * CHOOSE(CONTROL!$C$32, $C$9, 100%, $E$9)</f>
        <v>10.2578</v>
      </c>
      <c r="F651" s="11">
        <f>10.2578 * CHOOSE(CONTROL!$C$32, $C$9, 100%, $E$9)</f>
        <v>10.2578</v>
      </c>
      <c r="G651" s="11">
        <f>10.2614 * CHOOSE(CONTROL!$C$32, $C$9, 100%, $E$9)</f>
        <v>10.2614</v>
      </c>
      <c r="H651" s="11">
        <f>20.6973 * CHOOSE(CONTROL!$C$32, $C$9, 100%, $E$9)</f>
        <v>20.697299999999998</v>
      </c>
      <c r="I651" s="11">
        <f>20.7009 * CHOOSE(CONTROL!$C$32, $C$9, 100%, $E$9)</f>
        <v>20.700900000000001</v>
      </c>
      <c r="J651" s="11">
        <f>20.6973 * CHOOSE(CONTROL!$C$32, $C$9, 100%, $E$9)</f>
        <v>20.697299999999998</v>
      </c>
      <c r="K651" s="11">
        <f>20.7009 * CHOOSE(CONTROL!$C$32, $C$9, 100%, $E$9)</f>
        <v>20.700900000000001</v>
      </c>
      <c r="L651" s="11">
        <f>10.2578 * CHOOSE(CONTROL!$C$32, $C$9, 100%, $E$9)</f>
        <v>10.2578</v>
      </c>
      <c r="M651" s="11">
        <f>10.2614 * CHOOSE(CONTROL!$C$32, $C$9, 100%, $E$9)</f>
        <v>10.2614</v>
      </c>
      <c r="N651" s="11">
        <f>10.2578 * CHOOSE(CONTROL!$C$32, $C$9, 100%, $E$9)</f>
        <v>10.2578</v>
      </c>
      <c r="O651" s="11">
        <f>10.2614 * CHOOSE(CONTROL!$C$32, $C$9, 100%, $E$9)</f>
        <v>10.2614</v>
      </c>
    </row>
    <row r="652" spans="1:15" ht="15" x14ac:dyDescent="0.2">
      <c r="A652" s="13">
        <v>60692</v>
      </c>
      <c r="B652" s="9">
        <f>9.3756 * CHOOSE(CONTROL!$C$32, $C$9, 100%, $E$9)</f>
        <v>9.3756000000000004</v>
      </c>
      <c r="C652" s="9">
        <f>9.3756 * CHOOSE(CONTROL!$C$32, $C$9, 100%, $E$9)</f>
        <v>9.3756000000000004</v>
      </c>
      <c r="D652" s="9">
        <f>9.3766 * CHOOSE(CONTROL!$C$32, $C$9, 100%, $E$9)</f>
        <v>9.3765999999999998</v>
      </c>
      <c r="E652" s="11">
        <f>10.4611 * CHOOSE(CONTROL!$C$32, $C$9, 100%, $E$9)</f>
        <v>10.4611</v>
      </c>
      <c r="F652" s="11">
        <f>10.4611 * CHOOSE(CONTROL!$C$32, $C$9, 100%, $E$9)</f>
        <v>10.4611</v>
      </c>
      <c r="G652" s="11">
        <f>10.4647 * CHOOSE(CONTROL!$C$32, $C$9, 100%, $E$9)</f>
        <v>10.464700000000001</v>
      </c>
      <c r="H652" s="11">
        <f>20.7405 * CHOOSE(CONTROL!$C$32, $C$9, 100%, $E$9)</f>
        <v>20.740500000000001</v>
      </c>
      <c r="I652" s="11">
        <f>20.7441 * CHOOSE(CONTROL!$C$32, $C$9, 100%, $E$9)</f>
        <v>20.7441</v>
      </c>
      <c r="J652" s="11">
        <f>20.7405 * CHOOSE(CONTROL!$C$32, $C$9, 100%, $E$9)</f>
        <v>20.740500000000001</v>
      </c>
      <c r="K652" s="11">
        <f>20.7441 * CHOOSE(CONTROL!$C$32, $C$9, 100%, $E$9)</f>
        <v>20.7441</v>
      </c>
      <c r="L652" s="11">
        <f>10.4611 * CHOOSE(CONTROL!$C$32, $C$9, 100%, $E$9)</f>
        <v>10.4611</v>
      </c>
      <c r="M652" s="11">
        <f>10.4647 * CHOOSE(CONTROL!$C$32, $C$9, 100%, $E$9)</f>
        <v>10.464700000000001</v>
      </c>
      <c r="N652" s="11">
        <f>10.4611 * CHOOSE(CONTROL!$C$32, $C$9, 100%, $E$9)</f>
        <v>10.4611</v>
      </c>
      <c r="O652" s="11">
        <f>10.4647 * CHOOSE(CONTROL!$C$32, $C$9, 100%, $E$9)</f>
        <v>10.464700000000001</v>
      </c>
    </row>
    <row r="653" spans="1:15" ht="15" x14ac:dyDescent="0.2">
      <c r="A653" s="13">
        <v>60723</v>
      </c>
      <c r="B653" s="9">
        <f>9.3784 * CHOOSE(CONTROL!$C$32, $C$9, 100%, $E$9)</f>
        <v>9.3783999999999992</v>
      </c>
      <c r="C653" s="9">
        <f>9.3784 * CHOOSE(CONTROL!$C$32, $C$9, 100%, $E$9)</f>
        <v>9.3783999999999992</v>
      </c>
      <c r="D653" s="9">
        <f>9.3795 * CHOOSE(CONTROL!$C$32, $C$9, 100%, $E$9)</f>
        <v>9.3795000000000002</v>
      </c>
      <c r="E653" s="11">
        <f>10.6775 * CHOOSE(CONTROL!$C$32, $C$9, 100%, $E$9)</f>
        <v>10.6775</v>
      </c>
      <c r="F653" s="11">
        <f>10.6775 * CHOOSE(CONTROL!$C$32, $C$9, 100%, $E$9)</f>
        <v>10.6775</v>
      </c>
      <c r="G653" s="11">
        <f>10.6811 * CHOOSE(CONTROL!$C$32, $C$9, 100%, $E$9)</f>
        <v>10.681100000000001</v>
      </c>
      <c r="H653" s="11">
        <f>20.7837 * CHOOSE(CONTROL!$C$32, $C$9, 100%, $E$9)</f>
        <v>20.7837</v>
      </c>
      <c r="I653" s="11">
        <f>20.7873 * CHOOSE(CONTROL!$C$32, $C$9, 100%, $E$9)</f>
        <v>20.787299999999998</v>
      </c>
      <c r="J653" s="11">
        <f>20.7837 * CHOOSE(CONTROL!$C$32, $C$9, 100%, $E$9)</f>
        <v>20.7837</v>
      </c>
      <c r="K653" s="11">
        <f>20.7873 * CHOOSE(CONTROL!$C$32, $C$9, 100%, $E$9)</f>
        <v>20.787299999999998</v>
      </c>
      <c r="L653" s="11">
        <f>10.6775 * CHOOSE(CONTROL!$C$32, $C$9, 100%, $E$9)</f>
        <v>10.6775</v>
      </c>
      <c r="M653" s="11">
        <f>10.6811 * CHOOSE(CONTROL!$C$32, $C$9, 100%, $E$9)</f>
        <v>10.681100000000001</v>
      </c>
      <c r="N653" s="11">
        <f>10.6775 * CHOOSE(CONTROL!$C$32, $C$9, 100%, $E$9)</f>
        <v>10.6775</v>
      </c>
      <c r="O653" s="11">
        <f>10.6811 * CHOOSE(CONTROL!$C$32, $C$9, 100%, $E$9)</f>
        <v>10.681100000000001</v>
      </c>
    </row>
    <row r="654" spans="1:15" ht="15" x14ac:dyDescent="0.2">
      <c r="A654" s="13">
        <v>60753</v>
      </c>
      <c r="B654" s="9">
        <f>9.3784 * CHOOSE(CONTROL!$C$32, $C$9, 100%, $E$9)</f>
        <v>9.3783999999999992</v>
      </c>
      <c r="C654" s="9">
        <f>9.3784 * CHOOSE(CONTROL!$C$32, $C$9, 100%, $E$9)</f>
        <v>9.3783999999999992</v>
      </c>
      <c r="D654" s="9">
        <f>9.38 * CHOOSE(CONTROL!$C$32, $C$9, 100%, $E$9)</f>
        <v>9.3800000000000008</v>
      </c>
      <c r="E654" s="11">
        <f>10.7602 * CHOOSE(CONTROL!$C$32, $C$9, 100%, $E$9)</f>
        <v>10.760199999999999</v>
      </c>
      <c r="F654" s="11">
        <f>10.7602 * CHOOSE(CONTROL!$C$32, $C$9, 100%, $E$9)</f>
        <v>10.760199999999999</v>
      </c>
      <c r="G654" s="11">
        <f>10.7655 * CHOOSE(CONTROL!$C$32, $C$9, 100%, $E$9)</f>
        <v>10.765499999999999</v>
      </c>
      <c r="H654" s="11">
        <f>20.827 * CHOOSE(CONTROL!$C$32, $C$9, 100%, $E$9)</f>
        <v>20.827000000000002</v>
      </c>
      <c r="I654" s="11">
        <f>20.8323 * CHOOSE(CONTROL!$C$32, $C$9, 100%, $E$9)</f>
        <v>20.8323</v>
      </c>
      <c r="J654" s="11">
        <f>20.827 * CHOOSE(CONTROL!$C$32, $C$9, 100%, $E$9)</f>
        <v>20.827000000000002</v>
      </c>
      <c r="K654" s="11">
        <f>20.8323 * CHOOSE(CONTROL!$C$32, $C$9, 100%, $E$9)</f>
        <v>20.8323</v>
      </c>
      <c r="L654" s="11">
        <f>10.7602 * CHOOSE(CONTROL!$C$32, $C$9, 100%, $E$9)</f>
        <v>10.760199999999999</v>
      </c>
      <c r="M654" s="11">
        <f>10.7655 * CHOOSE(CONTROL!$C$32, $C$9, 100%, $E$9)</f>
        <v>10.765499999999999</v>
      </c>
      <c r="N654" s="11">
        <f>10.7602 * CHOOSE(CONTROL!$C$32, $C$9, 100%, $E$9)</f>
        <v>10.760199999999999</v>
      </c>
      <c r="O654" s="11">
        <f>10.7655 * CHOOSE(CONTROL!$C$32, $C$9, 100%, $E$9)</f>
        <v>10.765499999999999</v>
      </c>
    </row>
    <row r="655" spans="1:15" ht="15" x14ac:dyDescent="0.2">
      <c r="A655" s="13">
        <v>60784</v>
      </c>
      <c r="B655" s="9">
        <f>9.3845 * CHOOSE(CONTROL!$C$32, $C$9, 100%, $E$9)</f>
        <v>9.3844999999999992</v>
      </c>
      <c r="C655" s="9">
        <f>9.3845 * CHOOSE(CONTROL!$C$32, $C$9, 100%, $E$9)</f>
        <v>9.3844999999999992</v>
      </c>
      <c r="D655" s="9">
        <f>9.3861 * CHOOSE(CONTROL!$C$32, $C$9, 100%, $E$9)</f>
        <v>9.3861000000000008</v>
      </c>
      <c r="E655" s="11">
        <f>10.6817 * CHOOSE(CONTROL!$C$32, $C$9, 100%, $E$9)</f>
        <v>10.681699999999999</v>
      </c>
      <c r="F655" s="11">
        <f>10.6817 * CHOOSE(CONTROL!$C$32, $C$9, 100%, $E$9)</f>
        <v>10.681699999999999</v>
      </c>
      <c r="G655" s="11">
        <f>10.687 * CHOOSE(CONTROL!$C$32, $C$9, 100%, $E$9)</f>
        <v>10.686999999999999</v>
      </c>
      <c r="H655" s="11">
        <f>20.8703 * CHOOSE(CONTROL!$C$32, $C$9, 100%, $E$9)</f>
        <v>20.8703</v>
      </c>
      <c r="I655" s="11">
        <f>20.8756 * CHOOSE(CONTROL!$C$32, $C$9, 100%, $E$9)</f>
        <v>20.875599999999999</v>
      </c>
      <c r="J655" s="11">
        <f>20.8703 * CHOOSE(CONTROL!$C$32, $C$9, 100%, $E$9)</f>
        <v>20.8703</v>
      </c>
      <c r="K655" s="11">
        <f>20.8756 * CHOOSE(CONTROL!$C$32, $C$9, 100%, $E$9)</f>
        <v>20.875599999999999</v>
      </c>
      <c r="L655" s="11">
        <f>10.6817 * CHOOSE(CONTROL!$C$32, $C$9, 100%, $E$9)</f>
        <v>10.681699999999999</v>
      </c>
      <c r="M655" s="11">
        <f>10.687 * CHOOSE(CONTROL!$C$32, $C$9, 100%, $E$9)</f>
        <v>10.686999999999999</v>
      </c>
      <c r="N655" s="11">
        <f>10.6817 * CHOOSE(CONTROL!$C$32, $C$9, 100%, $E$9)</f>
        <v>10.681699999999999</v>
      </c>
      <c r="O655" s="11">
        <f>10.687 * CHOOSE(CONTROL!$C$32, $C$9, 100%, $E$9)</f>
        <v>10.686999999999999</v>
      </c>
    </row>
    <row r="656" spans="1:15" ht="15" x14ac:dyDescent="0.2">
      <c r="A656" s="13">
        <v>60814</v>
      </c>
      <c r="B656" s="9">
        <f>9.5021 * CHOOSE(CONTROL!$C$32, $C$9, 100%, $E$9)</f>
        <v>9.5021000000000004</v>
      </c>
      <c r="C656" s="9">
        <f>9.5021 * CHOOSE(CONTROL!$C$32, $C$9, 100%, $E$9)</f>
        <v>9.5021000000000004</v>
      </c>
      <c r="D656" s="9">
        <f>9.5037 * CHOOSE(CONTROL!$C$32, $C$9, 100%, $E$9)</f>
        <v>9.5037000000000003</v>
      </c>
      <c r="E656" s="11">
        <f>10.8309 * CHOOSE(CONTROL!$C$32, $C$9, 100%, $E$9)</f>
        <v>10.8309</v>
      </c>
      <c r="F656" s="11">
        <f>10.8309 * CHOOSE(CONTROL!$C$32, $C$9, 100%, $E$9)</f>
        <v>10.8309</v>
      </c>
      <c r="G656" s="11">
        <f>10.8362 * CHOOSE(CONTROL!$C$32, $C$9, 100%, $E$9)</f>
        <v>10.8362</v>
      </c>
      <c r="H656" s="11">
        <f>20.9138 * CHOOSE(CONTROL!$C$32, $C$9, 100%, $E$9)</f>
        <v>20.913799999999998</v>
      </c>
      <c r="I656" s="11">
        <f>20.9191 * CHOOSE(CONTROL!$C$32, $C$9, 100%, $E$9)</f>
        <v>20.9191</v>
      </c>
      <c r="J656" s="11">
        <f>20.9138 * CHOOSE(CONTROL!$C$32, $C$9, 100%, $E$9)</f>
        <v>20.913799999999998</v>
      </c>
      <c r="K656" s="11">
        <f>20.9191 * CHOOSE(CONTROL!$C$32, $C$9, 100%, $E$9)</f>
        <v>20.9191</v>
      </c>
      <c r="L656" s="11">
        <f>10.8309 * CHOOSE(CONTROL!$C$32, $C$9, 100%, $E$9)</f>
        <v>10.8309</v>
      </c>
      <c r="M656" s="11">
        <f>10.8362 * CHOOSE(CONTROL!$C$32, $C$9, 100%, $E$9)</f>
        <v>10.8362</v>
      </c>
      <c r="N656" s="11">
        <f>10.8309 * CHOOSE(CONTROL!$C$32, $C$9, 100%, $E$9)</f>
        <v>10.8309</v>
      </c>
      <c r="O656" s="11">
        <f>10.8362 * CHOOSE(CONTROL!$C$32, $C$9, 100%, $E$9)</f>
        <v>10.8362</v>
      </c>
    </row>
    <row r="657" spans="1:15" ht="15" x14ac:dyDescent="0.2">
      <c r="A657" s="13">
        <v>60845</v>
      </c>
      <c r="B657" s="9">
        <f>9.5088 * CHOOSE(CONTROL!$C$32, $C$9, 100%, $E$9)</f>
        <v>9.5088000000000008</v>
      </c>
      <c r="C657" s="9">
        <f>9.5088 * CHOOSE(CONTROL!$C$32, $C$9, 100%, $E$9)</f>
        <v>9.5088000000000008</v>
      </c>
      <c r="D657" s="9">
        <f>9.5104 * CHOOSE(CONTROL!$C$32, $C$9, 100%, $E$9)</f>
        <v>9.5104000000000006</v>
      </c>
      <c r="E657" s="11">
        <f>10.5874 * CHOOSE(CONTROL!$C$32, $C$9, 100%, $E$9)</f>
        <v>10.587400000000001</v>
      </c>
      <c r="F657" s="11">
        <f>10.5874 * CHOOSE(CONTROL!$C$32, $C$9, 100%, $E$9)</f>
        <v>10.587400000000001</v>
      </c>
      <c r="G657" s="11">
        <f>10.5927 * CHOOSE(CONTROL!$C$32, $C$9, 100%, $E$9)</f>
        <v>10.592700000000001</v>
      </c>
      <c r="H657" s="11">
        <f>20.9574 * CHOOSE(CONTROL!$C$32, $C$9, 100%, $E$9)</f>
        <v>20.9574</v>
      </c>
      <c r="I657" s="11">
        <f>20.9627 * CHOOSE(CONTROL!$C$32, $C$9, 100%, $E$9)</f>
        <v>20.962700000000002</v>
      </c>
      <c r="J657" s="11">
        <f>20.9574 * CHOOSE(CONTROL!$C$32, $C$9, 100%, $E$9)</f>
        <v>20.9574</v>
      </c>
      <c r="K657" s="11">
        <f>20.9627 * CHOOSE(CONTROL!$C$32, $C$9, 100%, $E$9)</f>
        <v>20.962700000000002</v>
      </c>
      <c r="L657" s="11">
        <f>10.5874 * CHOOSE(CONTROL!$C$32, $C$9, 100%, $E$9)</f>
        <v>10.587400000000001</v>
      </c>
      <c r="M657" s="11">
        <f>10.5927 * CHOOSE(CONTROL!$C$32, $C$9, 100%, $E$9)</f>
        <v>10.592700000000001</v>
      </c>
      <c r="N657" s="11">
        <f>10.5874 * CHOOSE(CONTROL!$C$32, $C$9, 100%, $E$9)</f>
        <v>10.587400000000001</v>
      </c>
      <c r="O657" s="11">
        <f>10.5927 * CHOOSE(CONTROL!$C$32, $C$9, 100%, $E$9)</f>
        <v>10.592700000000001</v>
      </c>
    </row>
    <row r="658" spans="1:15" ht="15" x14ac:dyDescent="0.2">
      <c r="A658" s="13">
        <v>60876</v>
      </c>
      <c r="B658" s="9">
        <f>9.5058 * CHOOSE(CONTROL!$C$32, $C$9, 100%, $E$9)</f>
        <v>9.5058000000000007</v>
      </c>
      <c r="C658" s="9">
        <f>9.5058 * CHOOSE(CONTROL!$C$32, $C$9, 100%, $E$9)</f>
        <v>9.5058000000000007</v>
      </c>
      <c r="D658" s="9">
        <f>9.5074 * CHOOSE(CONTROL!$C$32, $C$9, 100%, $E$9)</f>
        <v>9.5074000000000005</v>
      </c>
      <c r="E658" s="11">
        <f>10.5577 * CHOOSE(CONTROL!$C$32, $C$9, 100%, $E$9)</f>
        <v>10.557700000000001</v>
      </c>
      <c r="F658" s="11">
        <f>10.5577 * CHOOSE(CONTROL!$C$32, $C$9, 100%, $E$9)</f>
        <v>10.557700000000001</v>
      </c>
      <c r="G658" s="11">
        <f>10.563 * CHOOSE(CONTROL!$C$32, $C$9, 100%, $E$9)</f>
        <v>10.563000000000001</v>
      </c>
      <c r="H658" s="11">
        <f>21.0011 * CHOOSE(CONTROL!$C$32, $C$9, 100%, $E$9)</f>
        <v>21.001100000000001</v>
      </c>
      <c r="I658" s="11">
        <f>21.0064 * CHOOSE(CONTROL!$C$32, $C$9, 100%, $E$9)</f>
        <v>21.006399999999999</v>
      </c>
      <c r="J658" s="11">
        <f>21.0011 * CHOOSE(CONTROL!$C$32, $C$9, 100%, $E$9)</f>
        <v>21.001100000000001</v>
      </c>
      <c r="K658" s="11">
        <f>21.0064 * CHOOSE(CONTROL!$C$32, $C$9, 100%, $E$9)</f>
        <v>21.006399999999999</v>
      </c>
      <c r="L658" s="11">
        <f>10.5577 * CHOOSE(CONTROL!$C$32, $C$9, 100%, $E$9)</f>
        <v>10.557700000000001</v>
      </c>
      <c r="M658" s="11">
        <f>10.563 * CHOOSE(CONTROL!$C$32, $C$9, 100%, $E$9)</f>
        <v>10.563000000000001</v>
      </c>
      <c r="N658" s="11">
        <f>10.5577 * CHOOSE(CONTROL!$C$32, $C$9, 100%, $E$9)</f>
        <v>10.557700000000001</v>
      </c>
      <c r="O658" s="11">
        <f>10.563 * CHOOSE(CONTROL!$C$32, $C$9, 100%, $E$9)</f>
        <v>10.563000000000001</v>
      </c>
    </row>
    <row r="659" spans="1:15" ht="15" x14ac:dyDescent="0.2">
      <c r="A659" s="13">
        <v>60906</v>
      </c>
      <c r="B659" s="9">
        <f>9.5214 * CHOOSE(CONTROL!$C$32, $C$9, 100%, $E$9)</f>
        <v>9.5213999999999999</v>
      </c>
      <c r="C659" s="9">
        <f>9.5214 * CHOOSE(CONTROL!$C$32, $C$9, 100%, $E$9)</f>
        <v>9.5213999999999999</v>
      </c>
      <c r="D659" s="9">
        <f>9.5225 * CHOOSE(CONTROL!$C$32, $C$9, 100%, $E$9)</f>
        <v>9.5225000000000009</v>
      </c>
      <c r="E659" s="11">
        <f>10.6546 * CHOOSE(CONTROL!$C$32, $C$9, 100%, $E$9)</f>
        <v>10.6546</v>
      </c>
      <c r="F659" s="11">
        <f>10.6546 * CHOOSE(CONTROL!$C$32, $C$9, 100%, $E$9)</f>
        <v>10.6546</v>
      </c>
      <c r="G659" s="11">
        <f>10.6582 * CHOOSE(CONTROL!$C$32, $C$9, 100%, $E$9)</f>
        <v>10.658200000000001</v>
      </c>
      <c r="H659" s="11">
        <f>21.0448 * CHOOSE(CONTROL!$C$32, $C$9, 100%, $E$9)</f>
        <v>21.044799999999999</v>
      </c>
      <c r="I659" s="11">
        <f>21.0484 * CHOOSE(CONTROL!$C$32, $C$9, 100%, $E$9)</f>
        <v>21.048400000000001</v>
      </c>
      <c r="J659" s="11">
        <f>21.0448 * CHOOSE(CONTROL!$C$32, $C$9, 100%, $E$9)</f>
        <v>21.044799999999999</v>
      </c>
      <c r="K659" s="11">
        <f>21.0484 * CHOOSE(CONTROL!$C$32, $C$9, 100%, $E$9)</f>
        <v>21.048400000000001</v>
      </c>
      <c r="L659" s="11">
        <f>10.6546 * CHOOSE(CONTROL!$C$32, $C$9, 100%, $E$9)</f>
        <v>10.6546</v>
      </c>
      <c r="M659" s="11">
        <f>10.6582 * CHOOSE(CONTROL!$C$32, $C$9, 100%, $E$9)</f>
        <v>10.658200000000001</v>
      </c>
      <c r="N659" s="11">
        <f>10.6546 * CHOOSE(CONTROL!$C$32, $C$9, 100%, $E$9)</f>
        <v>10.6546</v>
      </c>
      <c r="O659" s="11">
        <f>10.6582 * CHOOSE(CONTROL!$C$32, $C$9, 100%, $E$9)</f>
        <v>10.658200000000001</v>
      </c>
    </row>
    <row r="660" spans="1:15" ht="15" x14ac:dyDescent="0.2">
      <c r="A660" s="13">
        <v>60937</v>
      </c>
      <c r="B660" s="9">
        <f>9.5244 * CHOOSE(CONTROL!$C$32, $C$9, 100%, $E$9)</f>
        <v>9.5244</v>
      </c>
      <c r="C660" s="9">
        <f>9.5244 * CHOOSE(CONTROL!$C$32, $C$9, 100%, $E$9)</f>
        <v>9.5244</v>
      </c>
      <c r="D660" s="9">
        <f>9.5255 * CHOOSE(CONTROL!$C$32, $C$9, 100%, $E$9)</f>
        <v>9.5254999999999992</v>
      </c>
      <c r="E660" s="11">
        <f>10.7119 * CHOOSE(CONTROL!$C$32, $C$9, 100%, $E$9)</f>
        <v>10.7119</v>
      </c>
      <c r="F660" s="11">
        <f>10.7119 * CHOOSE(CONTROL!$C$32, $C$9, 100%, $E$9)</f>
        <v>10.7119</v>
      </c>
      <c r="G660" s="11">
        <f>10.7155 * CHOOSE(CONTROL!$C$32, $C$9, 100%, $E$9)</f>
        <v>10.7155</v>
      </c>
      <c r="H660" s="11">
        <f>21.0887 * CHOOSE(CONTROL!$C$32, $C$9, 100%, $E$9)</f>
        <v>21.088699999999999</v>
      </c>
      <c r="I660" s="11">
        <f>21.0923 * CHOOSE(CONTROL!$C$32, $C$9, 100%, $E$9)</f>
        <v>21.092300000000002</v>
      </c>
      <c r="J660" s="11">
        <f>21.0887 * CHOOSE(CONTROL!$C$32, $C$9, 100%, $E$9)</f>
        <v>21.088699999999999</v>
      </c>
      <c r="K660" s="11">
        <f>21.0923 * CHOOSE(CONTROL!$C$32, $C$9, 100%, $E$9)</f>
        <v>21.092300000000002</v>
      </c>
      <c r="L660" s="11">
        <f>10.7119 * CHOOSE(CONTROL!$C$32, $C$9, 100%, $E$9)</f>
        <v>10.7119</v>
      </c>
      <c r="M660" s="11">
        <f>10.7155 * CHOOSE(CONTROL!$C$32, $C$9, 100%, $E$9)</f>
        <v>10.7155</v>
      </c>
      <c r="N660" s="11">
        <f>10.7119 * CHOOSE(CONTROL!$C$32, $C$9, 100%, $E$9)</f>
        <v>10.7119</v>
      </c>
      <c r="O660" s="11">
        <f>10.7155 * CHOOSE(CONTROL!$C$32, $C$9, 100%, $E$9)</f>
        <v>10.7155</v>
      </c>
    </row>
    <row r="661" spans="1:15" ht="15" x14ac:dyDescent="0.2">
      <c r="A661" s="13">
        <v>60967</v>
      </c>
      <c r="B661" s="9">
        <f>9.5244 * CHOOSE(CONTROL!$C$32, $C$9, 100%, $E$9)</f>
        <v>9.5244</v>
      </c>
      <c r="C661" s="9">
        <f>9.5244 * CHOOSE(CONTROL!$C$32, $C$9, 100%, $E$9)</f>
        <v>9.5244</v>
      </c>
      <c r="D661" s="9">
        <f>9.5255 * CHOOSE(CONTROL!$C$32, $C$9, 100%, $E$9)</f>
        <v>9.5254999999999992</v>
      </c>
      <c r="E661" s="11">
        <f>10.574 * CHOOSE(CONTROL!$C$32, $C$9, 100%, $E$9)</f>
        <v>10.574</v>
      </c>
      <c r="F661" s="11">
        <f>10.574 * CHOOSE(CONTROL!$C$32, $C$9, 100%, $E$9)</f>
        <v>10.574</v>
      </c>
      <c r="G661" s="11">
        <f>10.5776 * CHOOSE(CONTROL!$C$32, $C$9, 100%, $E$9)</f>
        <v>10.5776</v>
      </c>
      <c r="H661" s="11">
        <f>21.1326 * CHOOSE(CONTROL!$C$32, $C$9, 100%, $E$9)</f>
        <v>21.1326</v>
      </c>
      <c r="I661" s="11">
        <f>21.1362 * CHOOSE(CONTROL!$C$32, $C$9, 100%, $E$9)</f>
        <v>21.136199999999999</v>
      </c>
      <c r="J661" s="11">
        <f>21.1326 * CHOOSE(CONTROL!$C$32, $C$9, 100%, $E$9)</f>
        <v>21.1326</v>
      </c>
      <c r="K661" s="11">
        <f>21.1362 * CHOOSE(CONTROL!$C$32, $C$9, 100%, $E$9)</f>
        <v>21.136199999999999</v>
      </c>
      <c r="L661" s="11">
        <f>10.574 * CHOOSE(CONTROL!$C$32, $C$9, 100%, $E$9)</f>
        <v>10.574</v>
      </c>
      <c r="M661" s="11">
        <f>10.5776 * CHOOSE(CONTROL!$C$32, $C$9, 100%, $E$9)</f>
        <v>10.5776</v>
      </c>
      <c r="N661" s="11">
        <f>10.574 * CHOOSE(CONTROL!$C$32, $C$9, 100%, $E$9)</f>
        <v>10.574</v>
      </c>
      <c r="O661" s="11">
        <f>10.5776 * CHOOSE(CONTROL!$C$32, $C$9, 100%, $E$9)</f>
        <v>10.5776</v>
      </c>
    </row>
    <row r="662" spans="1:15" ht="15" x14ac:dyDescent="0.2">
      <c r="A662" s="13">
        <v>60998</v>
      </c>
      <c r="B662" s="9">
        <f>9.569 * CHOOSE(CONTROL!$C$32, $C$9, 100%, $E$9)</f>
        <v>9.5690000000000008</v>
      </c>
      <c r="C662" s="9">
        <f>9.569 * CHOOSE(CONTROL!$C$32, $C$9, 100%, $E$9)</f>
        <v>9.5690000000000008</v>
      </c>
      <c r="D662" s="9">
        <f>9.5701 * CHOOSE(CONTROL!$C$32, $C$9, 100%, $E$9)</f>
        <v>9.5701000000000001</v>
      </c>
      <c r="E662" s="11">
        <f>10.733 * CHOOSE(CONTROL!$C$32, $C$9, 100%, $E$9)</f>
        <v>10.733000000000001</v>
      </c>
      <c r="F662" s="11">
        <f>10.733 * CHOOSE(CONTROL!$C$32, $C$9, 100%, $E$9)</f>
        <v>10.733000000000001</v>
      </c>
      <c r="G662" s="11">
        <f>10.7366 * CHOOSE(CONTROL!$C$32, $C$9, 100%, $E$9)</f>
        <v>10.736599999999999</v>
      </c>
      <c r="H662" s="11">
        <f>21.1078 * CHOOSE(CONTROL!$C$32, $C$9, 100%, $E$9)</f>
        <v>21.107800000000001</v>
      </c>
      <c r="I662" s="11">
        <f>21.1114 * CHOOSE(CONTROL!$C$32, $C$9, 100%, $E$9)</f>
        <v>21.1114</v>
      </c>
      <c r="J662" s="11">
        <f>21.1078 * CHOOSE(CONTROL!$C$32, $C$9, 100%, $E$9)</f>
        <v>21.107800000000001</v>
      </c>
      <c r="K662" s="11">
        <f>21.1114 * CHOOSE(CONTROL!$C$32, $C$9, 100%, $E$9)</f>
        <v>21.1114</v>
      </c>
      <c r="L662" s="11">
        <f>10.733 * CHOOSE(CONTROL!$C$32, $C$9, 100%, $E$9)</f>
        <v>10.733000000000001</v>
      </c>
      <c r="M662" s="11">
        <f>10.7366 * CHOOSE(CONTROL!$C$32, $C$9, 100%, $E$9)</f>
        <v>10.736599999999999</v>
      </c>
      <c r="N662" s="11">
        <f>10.733 * CHOOSE(CONTROL!$C$32, $C$9, 100%, $E$9)</f>
        <v>10.733000000000001</v>
      </c>
      <c r="O662" s="11">
        <f>10.7366 * CHOOSE(CONTROL!$C$32, $C$9, 100%, $E$9)</f>
        <v>10.736599999999999</v>
      </c>
    </row>
    <row r="663" spans="1:15" ht="15" x14ac:dyDescent="0.2">
      <c r="A663" s="13">
        <v>61029</v>
      </c>
      <c r="B663" s="9">
        <f>9.566 * CHOOSE(CONTROL!$C$32, $C$9, 100%, $E$9)</f>
        <v>9.5660000000000007</v>
      </c>
      <c r="C663" s="9">
        <f>9.566 * CHOOSE(CONTROL!$C$32, $C$9, 100%, $E$9)</f>
        <v>9.5660000000000007</v>
      </c>
      <c r="D663" s="9">
        <f>9.567 * CHOOSE(CONTROL!$C$32, $C$9, 100%, $E$9)</f>
        <v>9.5670000000000002</v>
      </c>
      <c r="E663" s="11">
        <f>10.4632 * CHOOSE(CONTROL!$C$32, $C$9, 100%, $E$9)</f>
        <v>10.463200000000001</v>
      </c>
      <c r="F663" s="11">
        <f>10.4632 * CHOOSE(CONTROL!$C$32, $C$9, 100%, $E$9)</f>
        <v>10.463200000000001</v>
      </c>
      <c r="G663" s="11">
        <f>10.4669 * CHOOSE(CONTROL!$C$32, $C$9, 100%, $E$9)</f>
        <v>10.466900000000001</v>
      </c>
      <c r="H663" s="11">
        <f>21.1518 * CHOOSE(CONTROL!$C$32, $C$9, 100%, $E$9)</f>
        <v>21.151800000000001</v>
      </c>
      <c r="I663" s="11">
        <f>21.1554 * CHOOSE(CONTROL!$C$32, $C$9, 100%, $E$9)</f>
        <v>21.1554</v>
      </c>
      <c r="J663" s="11">
        <f>21.1518 * CHOOSE(CONTROL!$C$32, $C$9, 100%, $E$9)</f>
        <v>21.151800000000001</v>
      </c>
      <c r="K663" s="11">
        <f>21.1554 * CHOOSE(CONTROL!$C$32, $C$9, 100%, $E$9)</f>
        <v>21.1554</v>
      </c>
      <c r="L663" s="11">
        <f>10.4632 * CHOOSE(CONTROL!$C$32, $C$9, 100%, $E$9)</f>
        <v>10.463200000000001</v>
      </c>
      <c r="M663" s="11">
        <f>10.4669 * CHOOSE(CONTROL!$C$32, $C$9, 100%, $E$9)</f>
        <v>10.466900000000001</v>
      </c>
      <c r="N663" s="11">
        <f>10.4632 * CHOOSE(CONTROL!$C$32, $C$9, 100%, $E$9)</f>
        <v>10.463200000000001</v>
      </c>
      <c r="O663" s="11">
        <f>10.4669 * CHOOSE(CONTROL!$C$32, $C$9, 100%, $E$9)</f>
        <v>10.466900000000001</v>
      </c>
    </row>
    <row r="664" spans="1:15" ht="15" x14ac:dyDescent="0.2">
      <c r="A664" s="13">
        <v>61057</v>
      </c>
      <c r="B664" s="9">
        <f>9.5629 * CHOOSE(CONTROL!$C$32, $C$9, 100%, $E$9)</f>
        <v>9.5629000000000008</v>
      </c>
      <c r="C664" s="9">
        <f>9.5629 * CHOOSE(CONTROL!$C$32, $C$9, 100%, $E$9)</f>
        <v>9.5629000000000008</v>
      </c>
      <c r="D664" s="9">
        <f>9.564 * CHOOSE(CONTROL!$C$32, $C$9, 100%, $E$9)</f>
        <v>9.5640000000000001</v>
      </c>
      <c r="E664" s="11">
        <f>10.6721 * CHOOSE(CONTROL!$C$32, $C$9, 100%, $E$9)</f>
        <v>10.6721</v>
      </c>
      <c r="F664" s="11">
        <f>10.6721 * CHOOSE(CONTROL!$C$32, $C$9, 100%, $E$9)</f>
        <v>10.6721</v>
      </c>
      <c r="G664" s="11">
        <f>10.6757 * CHOOSE(CONTROL!$C$32, $C$9, 100%, $E$9)</f>
        <v>10.675700000000001</v>
      </c>
      <c r="H664" s="11">
        <f>21.1958 * CHOOSE(CONTROL!$C$32, $C$9, 100%, $E$9)</f>
        <v>21.195799999999998</v>
      </c>
      <c r="I664" s="11">
        <f>21.1995 * CHOOSE(CONTROL!$C$32, $C$9, 100%, $E$9)</f>
        <v>21.1995</v>
      </c>
      <c r="J664" s="11">
        <f>21.1958 * CHOOSE(CONTROL!$C$32, $C$9, 100%, $E$9)</f>
        <v>21.195799999999998</v>
      </c>
      <c r="K664" s="11">
        <f>21.1995 * CHOOSE(CONTROL!$C$32, $C$9, 100%, $E$9)</f>
        <v>21.1995</v>
      </c>
      <c r="L664" s="11">
        <f>10.6721 * CHOOSE(CONTROL!$C$32, $C$9, 100%, $E$9)</f>
        <v>10.6721</v>
      </c>
      <c r="M664" s="11">
        <f>10.6757 * CHOOSE(CONTROL!$C$32, $C$9, 100%, $E$9)</f>
        <v>10.675700000000001</v>
      </c>
      <c r="N664" s="11">
        <f>10.6721 * CHOOSE(CONTROL!$C$32, $C$9, 100%, $E$9)</f>
        <v>10.6721</v>
      </c>
      <c r="O664" s="11">
        <f>10.6757 * CHOOSE(CONTROL!$C$32, $C$9, 100%, $E$9)</f>
        <v>10.675700000000001</v>
      </c>
    </row>
    <row r="665" spans="1:15" ht="15" x14ac:dyDescent="0.2">
      <c r="A665" s="13">
        <v>61088</v>
      </c>
      <c r="B665" s="9">
        <f>9.566 * CHOOSE(CONTROL!$C$32, $C$9, 100%, $E$9)</f>
        <v>9.5660000000000007</v>
      </c>
      <c r="C665" s="9">
        <f>9.566 * CHOOSE(CONTROL!$C$32, $C$9, 100%, $E$9)</f>
        <v>9.5660000000000007</v>
      </c>
      <c r="D665" s="9">
        <f>9.567 * CHOOSE(CONTROL!$C$32, $C$9, 100%, $E$9)</f>
        <v>9.5670000000000002</v>
      </c>
      <c r="E665" s="11">
        <f>10.8945 * CHOOSE(CONTROL!$C$32, $C$9, 100%, $E$9)</f>
        <v>10.894500000000001</v>
      </c>
      <c r="F665" s="11">
        <f>10.8945 * CHOOSE(CONTROL!$C$32, $C$9, 100%, $E$9)</f>
        <v>10.894500000000001</v>
      </c>
      <c r="G665" s="11">
        <f>10.8981 * CHOOSE(CONTROL!$C$32, $C$9, 100%, $E$9)</f>
        <v>10.898099999999999</v>
      </c>
      <c r="H665" s="11">
        <f>21.24 * CHOOSE(CONTROL!$C$32, $C$9, 100%, $E$9)</f>
        <v>21.24</v>
      </c>
      <c r="I665" s="11">
        <f>21.2436 * CHOOSE(CONTROL!$C$32, $C$9, 100%, $E$9)</f>
        <v>21.243600000000001</v>
      </c>
      <c r="J665" s="11">
        <f>21.24 * CHOOSE(CONTROL!$C$32, $C$9, 100%, $E$9)</f>
        <v>21.24</v>
      </c>
      <c r="K665" s="11">
        <f>21.2436 * CHOOSE(CONTROL!$C$32, $C$9, 100%, $E$9)</f>
        <v>21.243600000000001</v>
      </c>
      <c r="L665" s="11">
        <f>10.8945 * CHOOSE(CONTROL!$C$32, $C$9, 100%, $E$9)</f>
        <v>10.894500000000001</v>
      </c>
      <c r="M665" s="11">
        <f>10.8981 * CHOOSE(CONTROL!$C$32, $C$9, 100%, $E$9)</f>
        <v>10.898099999999999</v>
      </c>
      <c r="N665" s="11">
        <f>10.8945 * CHOOSE(CONTROL!$C$32, $C$9, 100%, $E$9)</f>
        <v>10.894500000000001</v>
      </c>
      <c r="O665" s="11">
        <f>10.8981 * CHOOSE(CONTROL!$C$32, $C$9, 100%, $E$9)</f>
        <v>10.898099999999999</v>
      </c>
    </row>
    <row r="666" spans="1:15" ht="15" x14ac:dyDescent="0.2">
      <c r="A666" s="13">
        <v>61118</v>
      </c>
      <c r="B666" s="9">
        <f>9.566 * CHOOSE(CONTROL!$C$32, $C$9, 100%, $E$9)</f>
        <v>9.5660000000000007</v>
      </c>
      <c r="C666" s="9">
        <f>9.566 * CHOOSE(CONTROL!$C$32, $C$9, 100%, $E$9)</f>
        <v>9.5660000000000007</v>
      </c>
      <c r="D666" s="9">
        <f>9.5675 * CHOOSE(CONTROL!$C$32, $C$9, 100%, $E$9)</f>
        <v>9.5675000000000008</v>
      </c>
      <c r="E666" s="11">
        <f>10.9795 * CHOOSE(CONTROL!$C$32, $C$9, 100%, $E$9)</f>
        <v>10.9795</v>
      </c>
      <c r="F666" s="11">
        <f>10.9795 * CHOOSE(CONTROL!$C$32, $C$9, 100%, $E$9)</f>
        <v>10.9795</v>
      </c>
      <c r="G666" s="11">
        <f>10.9848 * CHOOSE(CONTROL!$C$32, $C$9, 100%, $E$9)</f>
        <v>10.9848</v>
      </c>
      <c r="H666" s="11">
        <f>21.2843 * CHOOSE(CONTROL!$C$32, $C$9, 100%, $E$9)</f>
        <v>21.284300000000002</v>
      </c>
      <c r="I666" s="11">
        <f>21.2895 * CHOOSE(CONTROL!$C$32, $C$9, 100%, $E$9)</f>
        <v>21.2895</v>
      </c>
      <c r="J666" s="11">
        <f>21.2843 * CHOOSE(CONTROL!$C$32, $C$9, 100%, $E$9)</f>
        <v>21.284300000000002</v>
      </c>
      <c r="K666" s="11">
        <f>21.2895 * CHOOSE(CONTROL!$C$32, $C$9, 100%, $E$9)</f>
        <v>21.2895</v>
      </c>
      <c r="L666" s="11">
        <f>10.9795 * CHOOSE(CONTROL!$C$32, $C$9, 100%, $E$9)</f>
        <v>10.9795</v>
      </c>
      <c r="M666" s="11">
        <f>10.9848 * CHOOSE(CONTROL!$C$32, $C$9, 100%, $E$9)</f>
        <v>10.9848</v>
      </c>
      <c r="N666" s="11">
        <f>10.9795 * CHOOSE(CONTROL!$C$32, $C$9, 100%, $E$9)</f>
        <v>10.9795</v>
      </c>
      <c r="O666" s="11">
        <f>10.9848 * CHOOSE(CONTROL!$C$32, $C$9, 100%, $E$9)</f>
        <v>10.9848</v>
      </c>
    </row>
    <row r="667" spans="1:15" ht="15" x14ac:dyDescent="0.2">
      <c r="A667" s="13">
        <v>61149</v>
      </c>
      <c r="B667" s="9">
        <f>9.572 * CHOOSE(CONTROL!$C$32, $C$9, 100%, $E$9)</f>
        <v>9.5719999999999992</v>
      </c>
      <c r="C667" s="9">
        <f>9.572 * CHOOSE(CONTROL!$C$32, $C$9, 100%, $E$9)</f>
        <v>9.5719999999999992</v>
      </c>
      <c r="D667" s="9">
        <f>9.5736 * CHOOSE(CONTROL!$C$32, $C$9, 100%, $E$9)</f>
        <v>9.5736000000000008</v>
      </c>
      <c r="E667" s="11">
        <f>10.8987 * CHOOSE(CONTROL!$C$32, $C$9, 100%, $E$9)</f>
        <v>10.8987</v>
      </c>
      <c r="F667" s="11">
        <f>10.8987 * CHOOSE(CONTROL!$C$32, $C$9, 100%, $E$9)</f>
        <v>10.8987</v>
      </c>
      <c r="G667" s="11">
        <f>10.904 * CHOOSE(CONTROL!$C$32, $C$9, 100%, $E$9)</f>
        <v>10.904</v>
      </c>
      <c r="H667" s="11">
        <f>21.3286 * CHOOSE(CONTROL!$C$32, $C$9, 100%, $E$9)</f>
        <v>21.328600000000002</v>
      </c>
      <c r="I667" s="11">
        <f>21.3339 * CHOOSE(CONTROL!$C$32, $C$9, 100%, $E$9)</f>
        <v>21.3339</v>
      </c>
      <c r="J667" s="11">
        <f>21.3286 * CHOOSE(CONTROL!$C$32, $C$9, 100%, $E$9)</f>
        <v>21.328600000000002</v>
      </c>
      <c r="K667" s="11">
        <f>21.3339 * CHOOSE(CONTROL!$C$32, $C$9, 100%, $E$9)</f>
        <v>21.3339</v>
      </c>
      <c r="L667" s="11">
        <f>10.8987 * CHOOSE(CONTROL!$C$32, $C$9, 100%, $E$9)</f>
        <v>10.8987</v>
      </c>
      <c r="M667" s="11">
        <f>10.904 * CHOOSE(CONTROL!$C$32, $C$9, 100%, $E$9)</f>
        <v>10.904</v>
      </c>
      <c r="N667" s="11">
        <f>10.8987 * CHOOSE(CONTROL!$C$32, $C$9, 100%, $E$9)</f>
        <v>10.8987</v>
      </c>
      <c r="O667" s="11">
        <f>10.904 * CHOOSE(CONTROL!$C$32, $C$9, 100%, $E$9)</f>
        <v>10.904</v>
      </c>
    </row>
    <row r="668" spans="1:15" ht="15" x14ac:dyDescent="0.2">
      <c r="A668" s="13">
        <v>61179</v>
      </c>
      <c r="B668" s="9">
        <f>9.6917 * CHOOSE(CONTROL!$C$32, $C$9, 100%, $E$9)</f>
        <v>9.6917000000000009</v>
      </c>
      <c r="C668" s="9">
        <f>9.6917 * CHOOSE(CONTROL!$C$32, $C$9, 100%, $E$9)</f>
        <v>9.6917000000000009</v>
      </c>
      <c r="D668" s="9">
        <f>9.6933 * CHOOSE(CONTROL!$C$32, $C$9, 100%, $E$9)</f>
        <v>9.6933000000000007</v>
      </c>
      <c r="E668" s="11">
        <f>11.0511 * CHOOSE(CONTROL!$C$32, $C$9, 100%, $E$9)</f>
        <v>11.0511</v>
      </c>
      <c r="F668" s="11">
        <f>11.0511 * CHOOSE(CONTROL!$C$32, $C$9, 100%, $E$9)</f>
        <v>11.0511</v>
      </c>
      <c r="G668" s="11">
        <f>11.0564 * CHOOSE(CONTROL!$C$32, $C$9, 100%, $E$9)</f>
        <v>11.0564</v>
      </c>
      <c r="H668" s="11">
        <f>21.373 * CHOOSE(CONTROL!$C$32, $C$9, 100%, $E$9)</f>
        <v>21.373000000000001</v>
      </c>
      <c r="I668" s="11">
        <f>21.3783 * CHOOSE(CONTROL!$C$32, $C$9, 100%, $E$9)</f>
        <v>21.378299999999999</v>
      </c>
      <c r="J668" s="11">
        <f>21.373 * CHOOSE(CONTROL!$C$32, $C$9, 100%, $E$9)</f>
        <v>21.373000000000001</v>
      </c>
      <c r="K668" s="11">
        <f>21.3783 * CHOOSE(CONTROL!$C$32, $C$9, 100%, $E$9)</f>
        <v>21.378299999999999</v>
      </c>
      <c r="L668" s="11">
        <f>11.0511 * CHOOSE(CONTROL!$C$32, $C$9, 100%, $E$9)</f>
        <v>11.0511</v>
      </c>
      <c r="M668" s="11">
        <f>11.0564 * CHOOSE(CONTROL!$C$32, $C$9, 100%, $E$9)</f>
        <v>11.0564</v>
      </c>
      <c r="N668" s="11">
        <f>11.0511 * CHOOSE(CONTROL!$C$32, $C$9, 100%, $E$9)</f>
        <v>11.0511</v>
      </c>
      <c r="O668" s="11">
        <f>11.0564 * CHOOSE(CONTROL!$C$32, $C$9, 100%, $E$9)</f>
        <v>11.0564</v>
      </c>
    </row>
    <row r="669" spans="1:15" ht="15" x14ac:dyDescent="0.2">
      <c r="A669" s="13">
        <v>61210</v>
      </c>
      <c r="B669" s="9">
        <f>9.6984 * CHOOSE(CONTROL!$C$32, $C$9, 100%, $E$9)</f>
        <v>9.6983999999999995</v>
      </c>
      <c r="C669" s="9">
        <f>9.6984 * CHOOSE(CONTROL!$C$32, $C$9, 100%, $E$9)</f>
        <v>9.6983999999999995</v>
      </c>
      <c r="D669" s="9">
        <f>9.7 * CHOOSE(CONTROL!$C$32, $C$9, 100%, $E$9)</f>
        <v>9.6999999999999993</v>
      </c>
      <c r="E669" s="11">
        <f>10.8009 * CHOOSE(CONTROL!$C$32, $C$9, 100%, $E$9)</f>
        <v>10.8009</v>
      </c>
      <c r="F669" s="11">
        <f>10.8009 * CHOOSE(CONTROL!$C$32, $C$9, 100%, $E$9)</f>
        <v>10.8009</v>
      </c>
      <c r="G669" s="11">
        <f>10.8062 * CHOOSE(CONTROL!$C$32, $C$9, 100%, $E$9)</f>
        <v>10.8062</v>
      </c>
      <c r="H669" s="11">
        <f>21.4176 * CHOOSE(CONTROL!$C$32, $C$9, 100%, $E$9)</f>
        <v>21.4176</v>
      </c>
      <c r="I669" s="11">
        <f>21.4229 * CHOOSE(CONTROL!$C$32, $C$9, 100%, $E$9)</f>
        <v>21.422899999999998</v>
      </c>
      <c r="J669" s="11">
        <f>21.4176 * CHOOSE(CONTROL!$C$32, $C$9, 100%, $E$9)</f>
        <v>21.4176</v>
      </c>
      <c r="K669" s="11">
        <f>21.4229 * CHOOSE(CONTROL!$C$32, $C$9, 100%, $E$9)</f>
        <v>21.422899999999998</v>
      </c>
      <c r="L669" s="11">
        <f>10.8009 * CHOOSE(CONTROL!$C$32, $C$9, 100%, $E$9)</f>
        <v>10.8009</v>
      </c>
      <c r="M669" s="11">
        <f>10.8062 * CHOOSE(CONTROL!$C$32, $C$9, 100%, $E$9)</f>
        <v>10.8062</v>
      </c>
      <c r="N669" s="11">
        <f>10.8009 * CHOOSE(CONTROL!$C$32, $C$9, 100%, $E$9)</f>
        <v>10.8009</v>
      </c>
      <c r="O669" s="11">
        <f>10.8062 * CHOOSE(CONTROL!$C$32, $C$9, 100%, $E$9)</f>
        <v>10.8062</v>
      </c>
    </row>
    <row r="670" spans="1:15" ht="15" x14ac:dyDescent="0.2">
      <c r="A670" s="13">
        <v>61241</v>
      </c>
      <c r="B670" s="9">
        <f>9.6954 * CHOOSE(CONTROL!$C$32, $C$9, 100%, $E$9)</f>
        <v>9.6953999999999994</v>
      </c>
      <c r="C670" s="9">
        <f>9.6954 * CHOOSE(CONTROL!$C$32, $C$9, 100%, $E$9)</f>
        <v>9.6953999999999994</v>
      </c>
      <c r="D670" s="9">
        <f>9.697 * CHOOSE(CONTROL!$C$32, $C$9, 100%, $E$9)</f>
        <v>9.6969999999999992</v>
      </c>
      <c r="E670" s="11">
        <f>10.7704 * CHOOSE(CONTROL!$C$32, $C$9, 100%, $E$9)</f>
        <v>10.7704</v>
      </c>
      <c r="F670" s="11">
        <f>10.7704 * CHOOSE(CONTROL!$C$32, $C$9, 100%, $E$9)</f>
        <v>10.7704</v>
      </c>
      <c r="G670" s="11">
        <f>10.7757 * CHOOSE(CONTROL!$C$32, $C$9, 100%, $E$9)</f>
        <v>10.775700000000001</v>
      </c>
      <c r="H670" s="11">
        <f>21.4622 * CHOOSE(CONTROL!$C$32, $C$9, 100%, $E$9)</f>
        <v>21.462199999999999</v>
      </c>
      <c r="I670" s="11">
        <f>21.4675 * CHOOSE(CONTROL!$C$32, $C$9, 100%, $E$9)</f>
        <v>21.467500000000001</v>
      </c>
      <c r="J670" s="11">
        <f>21.4622 * CHOOSE(CONTROL!$C$32, $C$9, 100%, $E$9)</f>
        <v>21.462199999999999</v>
      </c>
      <c r="K670" s="11">
        <f>21.4675 * CHOOSE(CONTROL!$C$32, $C$9, 100%, $E$9)</f>
        <v>21.467500000000001</v>
      </c>
      <c r="L670" s="11">
        <f>10.7704 * CHOOSE(CONTROL!$C$32, $C$9, 100%, $E$9)</f>
        <v>10.7704</v>
      </c>
      <c r="M670" s="11">
        <f>10.7757 * CHOOSE(CONTROL!$C$32, $C$9, 100%, $E$9)</f>
        <v>10.775700000000001</v>
      </c>
      <c r="N670" s="11">
        <f>10.7704 * CHOOSE(CONTROL!$C$32, $C$9, 100%, $E$9)</f>
        <v>10.7704</v>
      </c>
      <c r="O670" s="11">
        <f>10.7757 * CHOOSE(CONTROL!$C$32, $C$9, 100%, $E$9)</f>
        <v>10.775700000000001</v>
      </c>
    </row>
    <row r="671" spans="1:15" ht="15" x14ac:dyDescent="0.2">
      <c r="A671" s="13">
        <v>61271</v>
      </c>
      <c r="B671" s="9">
        <f>9.7117 * CHOOSE(CONTROL!$C$32, $C$9, 100%, $E$9)</f>
        <v>9.7117000000000004</v>
      </c>
      <c r="C671" s="9">
        <f>9.7117 * CHOOSE(CONTROL!$C$32, $C$9, 100%, $E$9)</f>
        <v>9.7117000000000004</v>
      </c>
      <c r="D671" s="9">
        <f>9.7128 * CHOOSE(CONTROL!$C$32, $C$9, 100%, $E$9)</f>
        <v>9.7127999999999997</v>
      </c>
      <c r="E671" s="11">
        <f>10.8703 * CHOOSE(CONTROL!$C$32, $C$9, 100%, $E$9)</f>
        <v>10.8703</v>
      </c>
      <c r="F671" s="11">
        <f>10.8703 * CHOOSE(CONTROL!$C$32, $C$9, 100%, $E$9)</f>
        <v>10.8703</v>
      </c>
      <c r="G671" s="11">
        <f>10.8739 * CHOOSE(CONTROL!$C$32, $C$9, 100%, $E$9)</f>
        <v>10.873900000000001</v>
      </c>
      <c r="H671" s="11">
        <f>21.5069 * CHOOSE(CONTROL!$C$32, $C$9, 100%, $E$9)</f>
        <v>21.506900000000002</v>
      </c>
      <c r="I671" s="11">
        <f>21.5105 * CHOOSE(CONTROL!$C$32, $C$9, 100%, $E$9)</f>
        <v>21.5105</v>
      </c>
      <c r="J671" s="11">
        <f>21.5069 * CHOOSE(CONTROL!$C$32, $C$9, 100%, $E$9)</f>
        <v>21.506900000000002</v>
      </c>
      <c r="K671" s="11">
        <f>21.5105 * CHOOSE(CONTROL!$C$32, $C$9, 100%, $E$9)</f>
        <v>21.5105</v>
      </c>
      <c r="L671" s="11">
        <f>10.8703 * CHOOSE(CONTROL!$C$32, $C$9, 100%, $E$9)</f>
        <v>10.8703</v>
      </c>
      <c r="M671" s="11">
        <f>10.8739 * CHOOSE(CONTROL!$C$32, $C$9, 100%, $E$9)</f>
        <v>10.873900000000001</v>
      </c>
      <c r="N671" s="11">
        <f>10.8703 * CHOOSE(CONTROL!$C$32, $C$9, 100%, $E$9)</f>
        <v>10.8703</v>
      </c>
      <c r="O671" s="11">
        <f>10.8739 * CHOOSE(CONTROL!$C$32, $C$9, 100%, $E$9)</f>
        <v>10.873900000000001</v>
      </c>
    </row>
    <row r="672" spans="1:15" ht="15" x14ac:dyDescent="0.2">
      <c r="A672" s="13">
        <v>61302</v>
      </c>
      <c r="B672" s="9">
        <f>9.7147 * CHOOSE(CONTROL!$C$32, $C$9, 100%, $E$9)</f>
        <v>9.7147000000000006</v>
      </c>
      <c r="C672" s="9">
        <f>9.7147 * CHOOSE(CONTROL!$C$32, $C$9, 100%, $E$9)</f>
        <v>9.7147000000000006</v>
      </c>
      <c r="D672" s="9">
        <f>9.7158 * CHOOSE(CONTROL!$C$32, $C$9, 100%, $E$9)</f>
        <v>9.7157999999999998</v>
      </c>
      <c r="E672" s="11">
        <f>10.9291 * CHOOSE(CONTROL!$C$32, $C$9, 100%, $E$9)</f>
        <v>10.9291</v>
      </c>
      <c r="F672" s="11">
        <f>10.9291 * CHOOSE(CONTROL!$C$32, $C$9, 100%, $E$9)</f>
        <v>10.9291</v>
      </c>
      <c r="G672" s="11">
        <f>10.9327 * CHOOSE(CONTROL!$C$32, $C$9, 100%, $E$9)</f>
        <v>10.932700000000001</v>
      </c>
      <c r="H672" s="11">
        <f>21.5517 * CHOOSE(CONTROL!$C$32, $C$9, 100%, $E$9)</f>
        <v>21.5517</v>
      </c>
      <c r="I672" s="11">
        <f>21.5553 * CHOOSE(CONTROL!$C$32, $C$9, 100%, $E$9)</f>
        <v>21.555299999999999</v>
      </c>
      <c r="J672" s="11">
        <f>21.5517 * CHOOSE(CONTROL!$C$32, $C$9, 100%, $E$9)</f>
        <v>21.5517</v>
      </c>
      <c r="K672" s="11">
        <f>21.5553 * CHOOSE(CONTROL!$C$32, $C$9, 100%, $E$9)</f>
        <v>21.555299999999999</v>
      </c>
      <c r="L672" s="11">
        <f>10.9291 * CHOOSE(CONTROL!$C$32, $C$9, 100%, $E$9)</f>
        <v>10.9291</v>
      </c>
      <c r="M672" s="11">
        <f>10.9327 * CHOOSE(CONTROL!$C$32, $C$9, 100%, $E$9)</f>
        <v>10.932700000000001</v>
      </c>
      <c r="N672" s="11">
        <f>10.9291 * CHOOSE(CONTROL!$C$32, $C$9, 100%, $E$9)</f>
        <v>10.9291</v>
      </c>
      <c r="O672" s="11">
        <f>10.9327 * CHOOSE(CONTROL!$C$32, $C$9, 100%, $E$9)</f>
        <v>10.932700000000001</v>
      </c>
    </row>
    <row r="673" spans="1:15" ht="15" x14ac:dyDescent="0.2">
      <c r="A673" s="13">
        <v>61332</v>
      </c>
      <c r="B673" s="9">
        <f>9.7147 * CHOOSE(CONTROL!$C$32, $C$9, 100%, $E$9)</f>
        <v>9.7147000000000006</v>
      </c>
      <c r="C673" s="9">
        <f>9.7147 * CHOOSE(CONTROL!$C$32, $C$9, 100%, $E$9)</f>
        <v>9.7147000000000006</v>
      </c>
      <c r="D673" s="9">
        <f>9.7158 * CHOOSE(CONTROL!$C$32, $C$9, 100%, $E$9)</f>
        <v>9.7157999999999998</v>
      </c>
      <c r="E673" s="11">
        <f>10.7874 * CHOOSE(CONTROL!$C$32, $C$9, 100%, $E$9)</f>
        <v>10.7874</v>
      </c>
      <c r="F673" s="11">
        <f>10.7874 * CHOOSE(CONTROL!$C$32, $C$9, 100%, $E$9)</f>
        <v>10.7874</v>
      </c>
      <c r="G673" s="11">
        <f>10.7911 * CHOOSE(CONTROL!$C$32, $C$9, 100%, $E$9)</f>
        <v>10.7911</v>
      </c>
      <c r="H673" s="11">
        <f>21.5966 * CHOOSE(CONTROL!$C$32, $C$9, 100%, $E$9)</f>
        <v>21.596599999999999</v>
      </c>
      <c r="I673" s="11">
        <f>21.6002 * CHOOSE(CONTROL!$C$32, $C$9, 100%, $E$9)</f>
        <v>21.600200000000001</v>
      </c>
      <c r="J673" s="11">
        <f>21.5966 * CHOOSE(CONTROL!$C$32, $C$9, 100%, $E$9)</f>
        <v>21.596599999999999</v>
      </c>
      <c r="K673" s="11">
        <f>21.6002 * CHOOSE(CONTROL!$C$32, $C$9, 100%, $E$9)</f>
        <v>21.600200000000001</v>
      </c>
      <c r="L673" s="11">
        <f>10.7874 * CHOOSE(CONTROL!$C$32, $C$9, 100%, $E$9)</f>
        <v>10.7874</v>
      </c>
      <c r="M673" s="11">
        <f>10.7911 * CHOOSE(CONTROL!$C$32, $C$9, 100%, $E$9)</f>
        <v>10.7911</v>
      </c>
      <c r="N673" s="11">
        <f>10.7874 * CHOOSE(CONTROL!$C$32, $C$9, 100%, $E$9)</f>
        <v>10.7874</v>
      </c>
      <c r="O673" s="11">
        <f>10.7911 * CHOOSE(CONTROL!$C$32, $C$9, 100%, $E$9)</f>
        <v>10.7911</v>
      </c>
    </row>
    <row r="674" spans="1:15" ht="15" x14ac:dyDescent="0.2">
      <c r="A674" s="13">
        <v>61363</v>
      </c>
      <c r="B674" s="9">
        <f>9.7564 * CHOOSE(CONTROL!$C$32, $C$9, 100%, $E$9)</f>
        <v>9.7563999999999993</v>
      </c>
      <c r="C674" s="9">
        <f>9.7564 * CHOOSE(CONTROL!$C$32, $C$9, 100%, $E$9)</f>
        <v>9.7563999999999993</v>
      </c>
      <c r="D674" s="9">
        <f>9.7574 * CHOOSE(CONTROL!$C$32, $C$9, 100%, $E$9)</f>
        <v>9.7574000000000005</v>
      </c>
      <c r="E674" s="11">
        <f>10.9455 * CHOOSE(CONTROL!$C$32, $C$9, 100%, $E$9)</f>
        <v>10.945499999999999</v>
      </c>
      <c r="F674" s="11">
        <f>10.9455 * CHOOSE(CONTROL!$C$32, $C$9, 100%, $E$9)</f>
        <v>10.945499999999999</v>
      </c>
      <c r="G674" s="11">
        <f>10.9491 * CHOOSE(CONTROL!$C$32, $C$9, 100%, $E$9)</f>
        <v>10.9491</v>
      </c>
      <c r="H674" s="11">
        <f>21.5613 * CHOOSE(CONTROL!$C$32, $C$9, 100%, $E$9)</f>
        <v>21.561299999999999</v>
      </c>
      <c r="I674" s="11">
        <f>21.5649 * CHOOSE(CONTROL!$C$32, $C$9, 100%, $E$9)</f>
        <v>21.564900000000002</v>
      </c>
      <c r="J674" s="11">
        <f>21.5613 * CHOOSE(CONTROL!$C$32, $C$9, 100%, $E$9)</f>
        <v>21.561299999999999</v>
      </c>
      <c r="K674" s="11">
        <f>21.5649 * CHOOSE(CONTROL!$C$32, $C$9, 100%, $E$9)</f>
        <v>21.564900000000002</v>
      </c>
      <c r="L674" s="11">
        <f>10.9455 * CHOOSE(CONTROL!$C$32, $C$9, 100%, $E$9)</f>
        <v>10.945499999999999</v>
      </c>
      <c r="M674" s="11">
        <f>10.9491 * CHOOSE(CONTROL!$C$32, $C$9, 100%, $E$9)</f>
        <v>10.9491</v>
      </c>
      <c r="N674" s="11">
        <f>10.9455 * CHOOSE(CONTROL!$C$32, $C$9, 100%, $E$9)</f>
        <v>10.945499999999999</v>
      </c>
      <c r="O674" s="11">
        <f>10.9491 * CHOOSE(CONTROL!$C$32, $C$9, 100%, $E$9)</f>
        <v>10.9491</v>
      </c>
    </row>
    <row r="675" spans="1:15" ht="15" x14ac:dyDescent="0.2">
      <c r="A675" s="13">
        <v>61394</v>
      </c>
      <c r="B675" s="9">
        <f>9.7533 * CHOOSE(CONTROL!$C$32, $C$9, 100%, $E$9)</f>
        <v>9.7532999999999994</v>
      </c>
      <c r="C675" s="9">
        <f>9.7533 * CHOOSE(CONTROL!$C$32, $C$9, 100%, $E$9)</f>
        <v>9.7532999999999994</v>
      </c>
      <c r="D675" s="9">
        <f>9.7544 * CHOOSE(CONTROL!$C$32, $C$9, 100%, $E$9)</f>
        <v>9.7544000000000004</v>
      </c>
      <c r="E675" s="11">
        <f>10.6687 * CHOOSE(CONTROL!$C$32, $C$9, 100%, $E$9)</f>
        <v>10.668699999999999</v>
      </c>
      <c r="F675" s="11">
        <f>10.6687 * CHOOSE(CONTROL!$C$32, $C$9, 100%, $E$9)</f>
        <v>10.668699999999999</v>
      </c>
      <c r="G675" s="11">
        <f>10.6723 * CHOOSE(CONTROL!$C$32, $C$9, 100%, $E$9)</f>
        <v>10.6723</v>
      </c>
      <c r="H675" s="11">
        <f>21.6062 * CHOOSE(CONTROL!$C$32, $C$9, 100%, $E$9)</f>
        <v>21.606200000000001</v>
      </c>
      <c r="I675" s="11">
        <f>21.6098 * CHOOSE(CONTROL!$C$32, $C$9, 100%, $E$9)</f>
        <v>21.6098</v>
      </c>
      <c r="J675" s="11">
        <f>21.6062 * CHOOSE(CONTROL!$C$32, $C$9, 100%, $E$9)</f>
        <v>21.606200000000001</v>
      </c>
      <c r="K675" s="11">
        <f>21.6098 * CHOOSE(CONTROL!$C$32, $C$9, 100%, $E$9)</f>
        <v>21.6098</v>
      </c>
      <c r="L675" s="11">
        <f>10.6687 * CHOOSE(CONTROL!$C$32, $C$9, 100%, $E$9)</f>
        <v>10.668699999999999</v>
      </c>
      <c r="M675" s="11">
        <f>10.6723 * CHOOSE(CONTROL!$C$32, $C$9, 100%, $E$9)</f>
        <v>10.6723</v>
      </c>
      <c r="N675" s="11">
        <f>10.6687 * CHOOSE(CONTROL!$C$32, $C$9, 100%, $E$9)</f>
        <v>10.668699999999999</v>
      </c>
      <c r="O675" s="11">
        <f>10.6723 * CHOOSE(CONTROL!$C$32, $C$9, 100%, $E$9)</f>
        <v>10.6723</v>
      </c>
    </row>
    <row r="676" spans="1:15" ht="15" x14ac:dyDescent="0.2">
      <c r="A676" s="13">
        <v>61423</v>
      </c>
      <c r="B676" s="9">
        <f>9.7503 * CHOOSE(CONTROL!$C$32, $C$9, 100%, $E$9)</f>
        <v>9.7502999999999993</v>
      </c>
      <c r="C676" s="9">
        <f>9.7503 * CHOOSE(CONTROL!$C$32, $C$9, 100%, $E$9)</f>
        <v>9.7502999999999993</v>
      </c>
      <c r="D676" s="9">
        <f>9.7513 * CHOOSE(CONTROL!$C$32, $C$9, 100%, $E$9)</f>
        <v>9.7513000000000005</v>
      </c>
      <c r="E676" s="11">
        <f>10.8831 * CHOOSE(CONTROL!$C$32, $C$9, 100%, $E$9)</f>
        <v>10.883100000000001</v>
      </c>
      <c r="F676" s="11">
        <f>10.8831 * CHOOSE(CONTROL!$C$32, $C$9, 100%, $E$9)</f>
        <v>10.883100000000001</v>
      </c>
      <c r="G676" s="11">
        <f>10.8867 * CHOOSE(CONTROL!$C$32, $C$9, 100%, $E$9)</f>
        <v>10.886699999999999</v>
      </c>
      <c r="H676" s="11">
        <f>21.6512 * CHOOSE(CONTROL!$C$32, $C$9, 100%, $E$9)</f>
        <v>21.651199999999999</v>
      </c>
      <c r="I676" s="11">
        <f>21.6549 * CHOOSE(CONTROL!$C$32, $C$9, 100%, $E$9)</f>
        <v>21.654900000000001</v>
      </c>
      <c r="J676" s="11">
        <f>21.6512 * CHOOSE(CONTROL!$C$32, $C$9, 100%, $E$9)</f>
        <v>21.651199999999999</v>
      </c>
      <c r="K676" s="11">
        <f>21.6549 * CHOOSE(CONTROL!$C$32, $C$9, 100%, $E$9)</f>
        <v>21.654900000000001</v>
      </c>
      <c r="L676" s="11">
        <f>10.8831 * CHOOSE(CONTROL!$C$32, $C$9, 100%, $E$9)</f>
        <v>10.883100000000001</v>
      </c>
      <c r="M676" s="11">
        <f>10.8867 * CHOOSE(CONTROL!$C$32, $C$9, 100%, $E$9)</f>
        <v>10.886699999999999</v>
      </c>
      <c r="N676" s="11">
        <f>10.8831 * CHOOSE(CONTROL!$C$32, $C$9, 100%, $E$9)</f>
        <v>10.883100000000001</v>
      </c>
      <c r="O676" s="11">
        <f>10.8867 * CHOOSE(CONTROL!$C$32, $C$9, 100%, $E$9)</f>
        <v>10.886699999999999</v>
      </c>
    </row>
    <row r="677" spans="1:15" ht="15" x14ac:dyDescent="0.2">
      <c r="A677" s="13">
        <v>61454</v>
      </c>
      <c r="B677" s="9">
        <f>9.7535 * CHOOSE(CONTROL!$C$32, $C$9, 100%, $E$9)</f>
        <v>9.7535000000000007</v>
      </c>
      <c r="C677" s="9">
        <f>9.7535 * CHOOSE(CONTROL!$C$32, $C$9, 100%, $E$9)</f>
        <v>9.7535000000000007</v>
      </c>
      <c r="D677" s="9">
        <f>9.7546 * CHOOSE(CONTROL!$C$32, $C$9, 100%, $E$9)</f>
        <v>9.7545999999999999</v>
      </c>
      <c r="E677" s="11">
        <f>11.1115 * CHOOSE(CONTROL!$C$32, $C$9, 100%, $E$9)</f>
        <v>11.111499999999999</v>
      </c>
      <c r="F677" s="11">
        <f>11.1115 * CHOOSE(CONTROL!$C$32, $C$9, 100%, $E$9)</f>
        <v>11.111499999999999</v>
      </c>
      <c r="G677" s="11">
        <f>11.1151 * CHOOSE(CONTROL!$C$32, $C$9, 100%, $E$9)</f>
        <v>11.1151</v>
      </c>
      <c r="H677" s="11">
        <f>21.6964 * CHOOSE(CONTROL!$C$32, $C$9, 100%, $E$9)</f>
        <v>21.696400000000001</v>
      </c>
      <c r="I677" s="11">
        <f>21.7 * CHOOSE(CONTROL!$C$32, $C$9, 100%, $E$9)</f>
        <v>21.7</v>
      </c>
      <c r="J677" s="11">
        <f>21.6964 * CHOOSE(CONTROL!$C$32, $C$9, 100%, $E$9)</f>
        <v>21.696400000000001</v>
      </c>
      <c r="K677" s="11">
        <f>21.7 * CHOOSE(CONTROL!$C$32, $C$9, 100%, $E$9)</f>
        <v>21.7</v>
      </c>
      <c r="L677" s="11">
        <f>11.1115 * CHOOSE(CONTROL!$C$32, $C$9, 100%, $E$9)</f>
        <v>11.111499999999999</v>
      </c>
      <c r="M677" s="11">
        <f>11.1151 * CHOOSE(CONTROL!$C$32, $C$9, 100%, $E$9)</f>
        <v>11.1151</v>
      </c>
      <c r="N677" s="11">
        <f>11.1115 * CHOOSE(CONTROL!$C$32, $C$9, 100%, $E$9)</f>
        <v>11.111499999999999</v>
      </c>
      <c r="O677" s="11">
        <f>11.1151 * CHOOSE(CONTROL!$C$32, $C$9, 100%, $E$9)</f>
        <v>11.1151</v>
      </c>
    </row>
    <row r="678" spans="1:15" ht="15" x14ac:dyDescent="0.2">
      <c r="A678" s="13">
        <v>61484</v>
      </c>
      <c r="B678" s="9">
        <f>9.7535 * CHOOSE(CONTROL!$C$32, $C$9, 100%, $E$9)</f>
        <v>9.7535000000000007</v>
      </c>
      <c r="C678" s="9">
        <f>9.7535 * CHOOSE(CONTROL!$C$32, $C$9, 100%, $E$9)</f>
        <v>9.7535000000000007</v>
      </c>
      <c r="D678" s="9">
        <f>9.7551 * CHOOSE(CONTROL!$C$32, $C$9, 100%, $E$9)</f>
        <v>9.7551000000000005</v>
      </c>
      <c r="E678" s="11">
        <f>11.1987 * CHOOSE(CONTROL!$C$32, $C$9, 100%, $E$9)</f>
        <v>11.198700000000001</v>
      </c>
      <c r="F678" s="11">
        <f>11.1987 * CHOOSE(CONTROL!$C$32, $C$9, 100%, $E$9)</f>
        <v>11.198700000000001</v>
      </c>
      <c r="G678" s="11">
        <f>11.204 * CHOOSE(CONTROL!$C$32, $C$9, 100%, $E$9)</f>
        <v>11.204000000000001</v>
      </c>
      <c r="H678" s="11">
        <f>21.7416 * CHOOSE(CONTROL!$C$32, $C$9, 100%, $E$9)</f>
        <v>21.741599999999998</v>
      </c>
      <c r="I678" s="11">
        <f>21.7468 * CHOOSE(CONTROL!$C$32, $C$9, 100%, $E$9)</f>
        <v>21.7468</v>
      </c>
      <c r="J678" s="11">
        <f>21.7416 * CHOOSE(CONTROL!$C$32, $C$9, 100%, $E$9)</f>
        <v>21.741599999999998</v>
      </c>
      <c r="K678" s="11">
        <f>21.7468 * CHOOSE(CONTROL!$C$32, $C$9, 100%, $E$9)</f>
        <v>21.7468</v>
      </c>
      <c r="L678" s="11">
        <f>11.1987 * CHOOSE(CONTROL!$C$32, $C$9, 100%, $E$9)</f>
        <v>11.198700000000001</v>
      </c>
      <c r="M678" s="11">
        <f>11.204 * CHOOSE(CONTROL!$C$32, $C$9, 100%, $E$9)</f>
        <v>11.204000000000001</v>
      </c>
      <c r="N678" s="11">
        <f>11.1987 * CHOOSE(CONTROL!$C$32, $C$9, 100%, $E$9)</f>
        <v>11.198700000000001</v>
      </c>
      <c r="O678" s="11">
        <f>11.204 * CHOOSE(CONTROL!$C$32, $C$9, 100%, $E$9)</f>
        <v>11.204000000000001</v>
      </c>
    </row>
    <row r="679" spans="1:15" ht="15" x14ac:dyDescent="0.2">
      <c r="A679" s="13">
        <v>61515</v>
      </c>
      <c r="B679" s="9">
        <f>9.7596 * CHOOSE(CONTROL!$C$32, $C$9, 100%, $E$9)</f>
        <v>9.7596000000000007</v>
      </c>
      <c r="C679" s="9">
        <f>9.7596 * CHOOSE(CONTROL!$C$32, $C$9, 100%, $E$9)</f>
        <v>9.7596000000000007</v>
      </c>
      <c r="D679" s="9">
        <f>9.7612 * CHOOSE(CONTROL!$C$32, $C$9, 100%, $E$9)</f>
        <v>9.7612000000000005</v>
      </c>
      <c r="E679" s="11">
        <f>11.1157 * CHOOSE(CONTROL!$C$32, $C$9, 100%, $E$9)</f>
        <v>11.1157</v>
      </c>
      <c r="F679" s="11">
        <f>11.1157 * CHOOSE(CONTROL!$C$32, $C$9, 100%, $E$9)</f>
        <v>11.1157</v>
      </c>
      <c r="G679" s="11">
        <f>11.121 * CHOOSE(CONTROL!$C$32, $C$9, 100%, $E$9)</f>
        <v>11.121</v>
      </c>
      <c r="H679" s="11">
        <f>21.7868 * CHOOSE(CONTROL!$C$32, $C$9, 100%, $E$9)</f>
        <v>21.786799999999999</v>
      </c>
      <c r="I679" s="11">
        <f>21.7921 * CHOOSE(CONTROL!$C$32, $C$9, 100%, $E$9)</f>
        <v>21.792100000000001</v>
      </c>
      <c r="J679" s="11">
        <f>21.7868 * CHOOSE(CONTROL!$C$32, $C$9, 100%, $E$9)</f>
        <v>21.786799999999999</v>
      </c>
      <c r="K679" s="11">
        <f>21.7921 * CHOOSE(CONTROL!$C$32, $C$9, 100%, $E$9)</f>
        <v>21.792100000000001</v>
      </c>
      <c r="L679" s="11">
        <f>11.1157 * CHOOSE(CONTROL!$C$32, $C$9, 100%, $E$9)</f>
        <v>11.1157</v>
      </c>
      <c r="M679" s="11">
        <f>11.121 * CHOOSE(CONTROL!$C$32, $C$9, 100%, $E$9)</f>
        <v>11.121</v>
      </c>
      <c r="N679" s="11">
        <f>11.1157 * CHOOSE(CONTROL!$C$32, $C$9, 100%, $E$9)</f>
        <v>11.1157</v>
      </c>
      <c r="O679" s="11">
        <f>11.121 * CHOOSE(CONTROL!$C$32, $C$9, 100%, $E$9)</f>
        <v>11.121</v>
      </c>
    </row>
    <row r="680" spans="1:15" ht="15" x14ac:dyDescent="0.2">
      <c r="A680" s="13">
        <v>61545</v>
      </c>
      <c r="B680" s="9">
        <f>9.8813 * CHOOSE(CONTROL!$C$32, $C$9, 100%, $E$9)</f>
        <v>9.8812999999999995</v>
      </c>
      <c r="C680" s="9">
        <f>9.8813 * CHOOSE(CONTROL!$C$32, $C$9, 100%, $E$9)</f>
        <v>9.8812999999999995</v>
      </c>
      <c r="D680" s="9">
        <f>9.8829 * CHOOSE(CONTROL!$C$32, $C$9, 100%, $E$9)</f>
        <v>9.8828999999999994</v>
      </c>
      <c r="E680" s="11">
        <f>11.2713 * CHOOSE(CONTROL!$C$32, $C$9, 100%, $E$9)</f>
        <v>11.2713</v>
      </c>
      <c r="F680" s="11">
        <f>11.2713 * CHOOSE(CONTROL!$C$32, $C$9, 100%, $E$9)</f>
        <v>11.2713</v>
      </c>
      <c r="G680" s="11">
        <f>11.2766 * CHOOSE(CONTROL!$C$32, $C$9, 100%, $E$9)</f>
        <v>11.2766</v>
      </c>
      <c r="H680" s="11">
        <f>21.8322 * CHOOSE(CONTROL!$C$32, $C$9, 100%, $E$9)</f>
        <v>21.8322</v>
      </c>
      <c r="I680" s="11">
        <f>21.8375 * CHOOSE(CONTROL!$C$32, $C$9, 100%, $E$9)</f>
        <v>21.837499999999999</v>
      </c>
      <c r="J680" s="11">
        <f>21.8322 * CHOOSE(CONTROL!$C$32, $C$9, 100%, $E$9)</f>
        <v>21.8322</v>
      </c>
      <c r="K680" s="11">
        <f>21.8375 * CHOOSE(CONTROL!$C$32, $C$9, 100%, $E$9)</f>
        <v>21.837499999999999</v>
      </c>
      <c r="L680" s="11">
        <f>11.2713 * CHOOSE(CONTROL!$C$32, $C$9, 100%, $E$9)</f>
        <v>11.2713</v>
      </c>
      <c r="M680" s="11">
        <f>11.2766 * CHOOSE(CONTROL!$C$32, $C$9, 100%, $E$9)</f>
        <v>11.2766</v>
      </c>
      <c r="N680" s="11">
        <f>11.2713 * CHOOSE(CONTROL!$C$32, $C$9, 100%, $E$9)</f>
        <v>11.2713</v>
      </c>
      <c r="O680" s="11">
        <f>11.2766 * CHOOSE(CONTROL!$C$32, $C$9, 100%, $E$9)</f>
        <v>11.2766</v>
      </c>
    </row>
    <row r="681" spans="1:15" ht="15" x14ac:dyDescent="0.2">
      <c r="A681" s="13">
        <v>61576</v>
      </c>
      <c r="B681" s="9">
        <f>9.888 * CHOOSE(CONTROL!$C$32, $C$9, 100%, $E$9)</f>
        <v>9.8879999999999999</v>
      </c>
      <c r="C681" s="9">
        <f>9.888 * CHOOSE(CONTROL!$C$32, $C$9, 100%, $E$9)</f>
        <v>9.8879999999999999</v>
      </c>
      <c r="D681" s="9">
        <f>9.8896 * CHOOSE(CONTROL!$C$32, $C$9, 100%, $E$9)</f>
        <v>9.8895999999999997</v>
      </c>
      <c r="E681" s="11">
        <f>11.0143 * CHOOSE(CONTROL!$C$32, $C$9, 100%, $E$9)</f>
        <v>11.0143</v>
      </c>
      <c r="F681" s="11">
        <f>11.0143 * CHOOSE(CONTROL!$C$32, $C$9, 100%, $E$9)</f>
        <v>11.0143</v>
      </c>
      <c r="G681" s="11">
        <f>11.0196 * CHOOSE(CONTROL!$C$32, $C$9, 100%, $E$9)</f>
        <v>11.019600000000001</v>
      </c>
      <c r="H681" s="11">
        <f>21.8777 * CHOOSE(CONTROL!$C$32, $C$9, 100%, $E$9)</f>
        <v>21.877700000000001</v>
      </c>
      <c r="I681" s="11">
        <f>21.883 * CHOOSE(CONTROL!$C$32, $C$9, 100%, $E$9)</f>
        <v>21.882999999999999</v>
      </c>
      <c r="J681" s="11">
        <f>21.8777 * CHOOSE(CONTROL!$C$32, $C$9, 100%, $E$9)</f>
        <v>21.877700000000001</v>
      </c>
      <c r="K681" s="11">
        <f>21.883 * CHOOSE(CONTROL!$C$32, $C$9, 100%, $E$9)</f>
        <v>21.882999999999999</v>
      </c>
      <c r="L681" s="11">
        <f>11.0143 * CHOOSE(CONTROL!$C$32, $C$9, 100%, $E$9)</f>
        <v>11.0143</v>
      </c>
      <c r="M681" s="11">
        <f>11.0196 * CHOOSE(CONTROL!$C$32, $C$9, 100%, $E$9)</f>
        <v>11.019600000000001</v>
      </c>
      <c r="N681" s="11">
        <f>11.0143 * CHOOSE(CONTROL!$C$32, $C$9, 100%, $E$9)</f>
        <v>11.0143</v>
      </c>
      <c r="O681" s="11">
        <f>11.0196 * CHOOSE(CONTROL!$C$32, $C$9, 100%, $E$9)</f>
        <v>11.019600000000001</v>
      </c>
    </row>
    <row r="682" spans="1:15" ht="15" x14ac:dyDescent="0.2">
      <c r="A682" s="13">
        <v>61607</v>
      </c>
      <c r="B682" s="9">
        <f>9.885 * CHOOSE(CONTROL!$C$32, $C$9, 100%, $E$9)</f>
        <v>9.8849999999999998</v>
      </c>
      <c r="C682" s="9">
        <f>9.885 * CHOOSE(CONTROL!$C$32, $C$9, 100%, $E$9)</f>
        <v>9.8849999999999998</v>
      </c>
      <c r="D682" s="9">
        <f>9.8865 * CHOOSE(CONTROL!$C$32, $C$9, 100%, $E$9)</f>
        <v>9.8864999999999998</v>
      </c>
      <c r="E682" s="11">
        <f>10.9831 * CHOOSE(CONTROL!$C$32, $C$9, 100%, $E$9)</f>
        <v>10.9831</v>
      </c>
      <c r="F682" s="11">
        <f>10.9831 * CHOOSE(CONTROL!$C$32, $C$9, 100%, $E$9)</f>
        <v>10.9831</v>
      </c>
      <c r="G682" s="11">
        <f>10.9884 * CHOOSE(CONTROL!$C$32, $C$9, 100%, $E$9)</f>
        <v>10.9884</v>
      </c>
      <c r="H682" s="11">
        <f>21.9233 * CHOOSE(CONTROL!$C$32, $C$9, 100%, $E$9)</f>
        <v>21.923300000000001</v>
      </c>
      <c r="I682" s="11">
        <f>21.9286 * CHOOSE(CONTROL!$C$32, $C$9, 100%, $E$9)</f>
        <v>21.928599999999999</v>
      </c>
      <c r="J682" s="11">
        <f>21.9233 * CHOOSE(CONTROL!$C$32, $C$9, 100%, $E$9)</f>
        <v>21.923300000000001</v>
      </c>
      <c r="K682" s="11">
        <f>21.9286 * CHOOSE(CONTROL!$C$32, $C$9, 100%, $E$9)</f>
        <v>21.928599999999999</v>
      </c>
      <c r="L682" s="11">
        <f>10.9831 * CHOOSE(CONTROL!$C$32, $C$9, 100%, $E$9)</f>
        <v>10.9831</v>
      </c>
      <c r="M682" s="11">
        <f>10.9884 * CHOOSE(CONTROL!$C$32, $C$9, 100%, $E$9)</f>
        <v>10.9884</v>
      </c>
      <c r="N682" s="11">
        <f>10.9831 * CHOOSE(CONTROL!$C$32, $C$9, 100%, $E$9)</f>
        <v>10.9831</v>
      </c>
      <c r="O682" s="11">
        <f>10.9884 * CHOOSE(CONTROL!$C$32, $C$9, 100%, $E$9)</f>
        <v>10.9884</v>
      </c>
    </row>
    <row r="683" spans="1:15" ht="15" x14ac:dyDescent="0.2">
      <c r="A683" s="13">
        <v>61637</v>
      </c>
      <c r="B683" s="9">
        <f>9.902 * CHOOSE(CONTROL!$C$32, $C$9, 100%, $E$9)</f>
        <v>9.9019999999999992</v>
      </c>
      <c r="C683" s="9">
        <f>9.902 * CHOOSE(CONTROL!$C$32, $C$9, 100%, $E$9)</f>
        <v>9.9019999999999992</v>
      </c>
      <c r="D683" s="9">
        <f>9.9031 * CHOOSE(CONTROL!$C$32, $C$9, 100%, $E$9)</f>
        <v>9.9031000000000002</v>
      </c>
      <c r="E683" s="11">
        <f>11.086 * CHOOSE(CONTROL!$C$32, $C$9, 100%, $E$9)</f>
        <v>11.086</v>
      </c>
      <c r="F683" s="11">
        <f>11.086 * CHOOSE(CONTROL!$C$32, $C$9, 100%, $E$9)</f>
        <v>11.086</v>
      </c>
      <c r="G683" s="11">
        <f>11.0896 * CHOOSE(CONTROL!$C$32, $C$9, 100%, $E$9)</f>
        <v>11.089600000000001</v>
      </c>
      <c r="H683" s="11">
        <f>21.969 * CHOOSE(CONTROL!$C$32, $C$9, 100%, $E$9)</f>
        <v>21.969000000000001</v>
      </c>
      <c r="I683" s="11">
        <f>21.9726 * CHOOSE(CONTROL!$C$32, $C$9, 100%, $E$9)</f>
        <v>21.9726</v>
      </c>
      <c r="J683" s="11">
        <f>21.969 * CHOOSE(CONTROL!$C$32, $C$9, 100%, $E$9)</f>
        <v>21.969000000000001</v>
      </c>
      <c r="K683" s="11">
        <f>21.9726 * CHOOSE(CONTROL!$C$32, $C$9, 100%, $E$9)</f>
        <v>21.9726</v>
      </c>
      <c r="L683" s="11">
        <f>11.086 * CHOOSE(CONTROL!$C$32, $C$9, 100%, $E$9)</f>
        <v>11.086</v>
      </c>
      <c r="M683" s="11">
        <f>11.0896 * CHOOSE(CONTROL!$C$32, $C$9, 100%, $E$9)</f>
        <v>11.089600000000001</v>
      </c>
      <c r="N683" s="11">
        <f>11.086 * CHOOSE(CONTROL!$C$32, $C$9, 100%, $E$9)</f>
        <v>11.086</v>
      </c>
      <c r="O683" s="11">
        <f>11.0896 * CHOOSE(CONTROL!$C$32, $C$9, 100%, $E$9)</f>
        <v>11.089600000000001</v>
      </c>
    </row>
    <row r="684" spans="1:15" ht="15" x14ac:dyDescent="0.2">
      <c r="A684" s="13">
        <v>61668</v>
      </c>
      <c r="B684" s="9">
        <f>9.905 * CHOOSE(CONTROL!$C$32, $C$9, 100%, $E$9)</f>
        <v>9.9049999999999994</v>
      </c>
      <c r="C684" s="9">
        <f>9.905 * CHOOSE(CONTROL!$C$32, $C$9, 100%, $E$9)</f>
        <v>9.9049999999999994</v>
      </c>
      <c r="D684" s="9">
        <f>9.9061 * CHOOSE(CONTROL!$C$32, $C$9, 100%, $E$9)</f>
        <v>9.9061000000000003</v>
      </c>
      <c r="E684" s="11">
        <f>11.1463 * CHOOSE(CONTROL!$C$32, $C$9, 100%, $E$9)</f>
        <v>11.1463</v>
      </c>
      <c r="F684" s="11">
        <f>11.1463 * CHOOSE(CONTROL!$C$32, $C$9, 100%, $E$9)</f>
        <v>11.1463</v>
      </c>
      <c r="G684" s="11">
        <f>11.1499 * CHOOSE(CONTROL!$C$32, $C$9, 100%, $E$9)</f>
        <v>11.149900000000001</v>
      </c>
      <c r="H684" s="11">
        <f>22.0147 * CHOOSE(CONTROL!$C$32, $C$9, 100%, $E$9)</f>
        <v>22.014700000000001</v>
      </c>
      <c r="I684" s="11">
        <f>22.0184 * CHOOSE(CONTROL!$C$32, $C$9, 100%, $E$9)</f>
        <v>22.0184</v>
      </c>
      <c r="J684" s="11">
        <f>22.0147 * CHOOSE(CONTROL!$C$32, $C$9, 100%, $E$9)</f>
        <v>22.014700000000001</v>
      </c>
      <c r="K684" s="11">
        <f>22.0184 * CHOOSE(CONTROL!$C$32, $C$9, 100%, $E$9)</f>
        <v>22.0184</v>
      </c>
      <c r="L684" s="11">
        <f>11.1463 * CHOOSE(CONTROL!$C$32, $C$9, 100%, $E$9)</f>
        <v>11.1463</v>
      </c>
      <c r="M684" s="11">
        <f>11.1499 * CHOOSE(CONTROL!$C$32, $C$9, 100%, $E$9)</f>
        <v>11.149900000000001</v>
      </c>
      <c r="N684" s="11">
        <f>11.1463 * CHOOSE(CONTROL!$C$32, $C$9, 100%, $E$9)</f>
        <v>11.1463</v>
      </c>
      <c r="O684" s="11">
        <f>11.1499 * CHOOSE(CONTROL!$C$32, $C$9, 100%, $E$9)</f>
        <v>11.149900000000001</v>
      </c>
    </row>
    <row r="685" spans="1:15" ht="15" x14ac:dyDescent="0.2">
      <c r="A685" s="13">
        <v>61698</v>
      </c>
      <c r="B685" s="9">
        <f>9.905 * CHOOSE(CONTROL!$C$32, $C$9, 100%, $E$9)</f>
        <v>9.9049999999999994</v>
      </c>
      <c r="C685" s="9">
        <f>9.905 * CHOOSE(CONTROL!$C$32, $C$9, 100%, $E$9)</f>
        <v>9.9049999999999994</v>
      </c>
      <c r="D685" s="9">
        <f>9.9061 * CHOOSE(CONTROL!$C$32, $C$9, 100%, $E$9)</f>
        <v>9.9061000000000003</v>
      </c>
      <c r="E685" s="11">
        <f>11.0009 * CHOOSE(CONTROL!$C$32, $C$9, 100%, $E$9)</f>
        <v>11.0009</v>
      </c>
      <c r="F685" s="11">
        <f>11.0009 * CHOOSE(CONTROL!$C$32, $C$9, 100%, $E$9)</f>
        <v>11.0009</v>
      </c>
      <c r="G685" s="11">
        <f>11.0045 * CHOOSE(CONTROL!$C$32, $C$9, 100%, $E$9)</f>
        <v>11.0045</v>
      </c>
      <c r="H685" s="11">
        <f>22.0606 * CHOOSE(CONTROL!$C$32, $C$9, 100%, $E$9)</f>
        <v>22.060600000000001</v>
      </c>
      <c r="I685" s="11">
        <f>22.0642 * CHOOSE(CONTROL!$C$32, $C$9, 100%, $E$9)</f>
        <v>22.0642</v>
      </c>
      <c r="J685" s="11">
        <f>22.0606 * CHOOSE(CONTROL!$C$32, $C$9, 100%, $E$9)</f>
        <v>22.060600000000001</v>
      </c>
      <c r="K685" s="11">
        <f>22.0642 * CHOOSE(CONTROL!$C$32, $C$9, 100%, $E$9)</f>
        <v>22.0642</v>
      </c>
      <c r="L685" s="11">
        <f>11.0009 * CHOOSE(CONTROL!$C$32, $C$9, 100%, $E$9)</f>
        <v>11.0009</v>
      </c>
      <c r="M685" s="11">
        <f>11.0045 * CHOOSE(CONTROL!$C$32, $C$9, 100%, $E$9)</f>
        <v>11.0045</v>
      </c>
      <c r="N685" s="11">
        <f>11.0009 * CHOOSE(CONTROL!$C$32, $C$9, 100%, $E$9)</f>
        <v>11.0009</v>
      </c>
      <c r="O685" s="11">
        <f>11.0045 * CHOOSE(CONTROL!$C$32, $C$9, 100%, $E$9)</f>
        <v>11.0045</v>
      </c>
    </row>
    <row r="686" spans="1:15" ht="15" x14ac:dyDescent="0.2">
      <c r="A686" s="13">
        <v>61729</v>
      </c>
      <c r="B686" s="9">
        <f>9.9437 * CHOOSE(CONTROL!$C$32, $C$9, 100%, $E$9)</f>
        <v>9.9436999999999998</v>
      </c>
      <c r="C686" s="9">
        <f>9.9437 * CHOOSE(CONTROL!$C$32, $C$9, 100%, $E$9)</f>
        <v>9.9436999999999998</v>
      </c>
      <c r="D686" s="9">
        <f>9.9448 * CHOOSE(CONTROL!$C$32, $C$9, 100%, $E$9)</f>
        <v>9.9448000000000008</v>
      </c>
      <c r="E686" s="11">
        <f>11.158 * CHOOSE(CONTROL!$C$32, $C$9, 100%, $E$9)</f>
        <v>11.157999999999999</v>
      </c>
      <c r="F686" s="11">
        <f>11.158 * CHOOSE(CONTROL!$C$32, $C$9, 100%, $E$9)</f>
        <v>11.157999999999999</v>
      </c>
      <c r="G686" s="11">
        <f>11.1616 * CHOOSE(CONTROL!$C$32, $C$9, 100%, $E$9)</f>
        <v>11.1616</v>
      </c>
      <c r="H686" s="11">
        <f>22.0148 * CHOOSE(CONTROL!$C$32, $C$9, 100%, $E$9)</f>
        <v>22.014800000000001</v>
      </c>
      <c r="I686" s="11">
        <f>22.0184 * CHOOSE(CONTROL!$C$32, $C$9, 100%, $E$9)</f>
        <v>22.0184</v>
      </c>
      <c r="J686" s="11">
        <f>22.0148 * CHOOSE(CONTROL!$C$32, $C$9, 100%, $E$9)</f>
        <v>22.014800000000001</v>
      </c>
      <c r="K686" s="11">
        <f>22.0184 * CHOOSE(CONTROL!$C$32, $C$9, 100%, $E$9)</f>
        <v>22.0184</v>
      </c>
      <c r="L686" s="11">
        <f>11.158 * CHOOSE(CONTROL!$C$32, $C$9, 100%, $E$9)</f>
        <v>11.157999999999999</v>
      </c>
      <c r="M686" s="11">
        <f>11.1616 * CHOOSE(CONTROL!$C$32, $C$9, 100%, $E$9)</f>
        <v>11.1616</v>
      </c>
      <c r="N686" s="11">
        <f>11.158 * CHOOSE(CONTROL!$C$32, $C$9, 100%, $E$9)</f>
        <v>11.157999999999999</v>
      </c>
      <c r="O686" s="11">
        <f>11.1616 * CHOOSE(CONTROL!$C$32, $C$9, 100%, $E$9)</f>
        <v>11.1616</v>
      </c>
    </row>
    <row r="687" spans="1:15" ht="15" x14ac:dyDescent="0.2">
      <c r="A687" s="13">
        <v>61760</v>
      </c>
      <c r="B687" s="9">
        <f>9.9407 * CHOOSE(CONTROL!$C$32, $C$9, 100%, $E$9)</f>
        <v>9.9406999999999996</v>
      </c>
      <c r="C687" s="9">
        <f>9.9407 * CHOOSE(CONTROL!$C$32, $C$9, 100%, $E$9)</f>
        <v>9.9406999999999996</v>
      </c>
      <c r="D687" s="9">
        <f>9.9417 * CHOOSE(CONTROL!$C$32, $C$9, 100%, $E$9)</f>
        <v>9.9417000000000009</v>
      </c>
      <c r="E687" s="11">
        <f>10.8741 * CHOOSE(CONTROL!$C$32, $C$9, 100%, $E$9)</f>
        <v>10.8741</v>
      </c>
      <c r="F687" s="11">
        <f>10.8741 * CHOOSE(CONTROL!$C$32, $C$9, 100%, $E$9)</f>
        <v>10.8741</v>
      </c>
      <c r="G687" s="11">
        <f>10.8777 * CHOOSE(CONTROL!$C$32, $C$9, 100%, $E$9)</f>
        <v>10.877700000000001</v>
      </c>
      <c r="H687" s="11">
        <f>22.0607 * CHOOSE(CONTROL!$C$32, $C$9, 100%, $E$9)</f>
        <v>22.060700000000001</v>
      </c>
      <c r="I687" s="11">
        <f>22.0643 * CHOOSE(CONTROL!$C$32, $C$9, 100%, $E$9)</f>
        <v>22.064299999999999</v>
      </c>
      <c r="J687" s="11">
        <f>22.0607 * CHOOSE(CONTROL!$C$32, $C$9, 100%, $E$9)</f>
        <v>22.060700000000001</v>
      </c>
      <c r="K687" s="11">
        <f>22.0643 * CHOOSE(CONTROL!$C$32, $C$9, 100%, $E$9)</f>
        <v>22.064299999999999</v>
      </c>
      <c r="L687" s="11">
        <f>10.8741 * CHOOSE(CONTROL!$C$32, $C$9, 100%, $E$9)</f>
        <v>10.8741</v>
      </c>
      <c r="M687" s="11">
        <f>10.8777 * CHOOSE(CONTROL!$C$32, $C$9, 100%, $E$9)</f>
        <v>10.877700000000001</v>
      </c>
      <c r="N687" s="11">
        <f>10.8741 * CHOOSE(CONTROL!$C$32, $C$9, 100%, $E$9)</f>
        <v>10.8741</v>
      </c>
      <c r="O687" s="11">
        <f>10.8777 * CHOOSE(CONTROL!$C$32, $C$9, 100%, $E$9)</f>
        <v>10.877700000000001</v>
      </c>
    </row>
    <row r="688" spans="1:15" ht="15" x14ac:dyDescent="0.2">
      <c r="A688" s="13">
        <v>61788</v>
      </c>
      <c r="B688" s="9">
        <f>9.9376 * CHOOSE(CONTROL!$C$32, $C$9, 100%, $E$9)</f>
        <v>9.9375999999999998</v>
      </c>
      <c r="C688" s="9">
        <f>9.9376 * CHOOSE(CONTROL!$C$32, $C$9, 100%, $E$9)</f>
        <v>9.9375999999999998</v>
      </c>
      <c r="D688" s="9">
        <f>9.9387 * CHOOSE(CONTROL!$C$32, $C$9, 100%, $E$9)</f>
        <v>9.9387000000000008</v>
      </c>
      <c r="E688" s="11">
        <f>11.0941 * CHOOSE(CONTROL!$C$32, $C$9, 100%, $E$9)</f>
        <v>11.094099999999999</v>
      </c>
      <c r="F688" s="11">
        <f>11.0941 * CHOOSE(CONTROL!$C$32, $C$9, 100%, $E$9)</f>
        <v>11.094099999999999</v>
      </c>
      <c r="G688" s="11">
        <f>11.0977 * CHOOSE(CONTROL!$C$32, $C$9, 100%, $E$9)</f>
        <v>11.0977</v>
      </c>
      <c r="H688" s="11">
        <f>22.1066 * CHOOSE(CONTROL!$C$32, $C$9, 100%, $E$9)</f>
        <v>22.1066</v>
      </c>
      <c r="I688" s="11">
        <f>22.1103 * CHOOSE(CONTROL!$C$32, $C$9, 100%, $E$9)</f>
        <v>22.110299999999999</v>
      </c>
      <c r="J688" s="11">
        <f>22.1066 * CHOOSE(CONTROL!$C$32, $C$9, 100%, $E$9)</f>
        <v>22.1066</v>
      </c>
      <c r="K688" s="11">
        <f>22.1103 * CHOOSE(CONTROL!$C$32, $C$9, 100%, $E$9)</f>
        <v>22.110299999999999</v>
      </c>
      <c r="L688" s="11">
        <f>11.0941 * CHOOSE(CONTROL!$C$32, $C$9, 100%, $E$9)</f>
        <v>11.094099999999999</v>
      </c>
      <c r="M688" s="11">
        <f>11.0977 * CHOOSE(CONTROL!$C$32, $C$9, 100%, $E$9)</f>
        <v>11.0977</v>
      </c>
      <c r="N688" s="11">
        <f>11.0941 * CHOOSE(CONTROL!$C$32, $C$9, 100%, $E$9)</f>
        <v>11.094099999999999</v>
      </c>
      <c r="O688" s="11">
        <f>11.0977 * CHOOSE(CONTROL!$C$32, $C$9, 100%, $E$9)</f>
        <v>11.0977</v>
      </c>
    </row>
    <row r="689" spans="1:15" ht="15" x14ac:dyDescent="0.2">
      <c r="A689" s="13">
        <v>61819</v>
      </c>
      <c r="B689" s="9">
        <f>9.941 * CHOOSE(CONTROL!$C$32, $C$9, 100%, $E$9)</f>
        <v>9.9410000000000007</v>
      </c>
      <c r="C689" s="9">
        <f>9.941 * CHOOSE(CONTROL!$C$32, $C$9, 100%, $E$9)</f>
        <v>9.9410000000000007</v>
      </c>
      <c r="D689" s="9">
        <f>9.9421 * CHOOSE(CONTROL!$C$32, $C$9, 100%, $E$9)</f>
        <v>9.9420999999999999</v>
      </c>
      <c r="E689" s="11">
        <f>11.3285 * CHOOSE(CONTROL!$C$32, $C$9, 100%, $E$9)</f>
        <v>11.3285</v>
      </c>
      <c r="F689" s="11">
        <f>11.3285 * CHOOSE(CONTROL!$C$32, $C$9, 100%, $E$9)</f>
        <v>11.3285</v>
      </c>
      <c r="G689" s="11">
        <f>11.3321 * CHOOSE(CONTROL!$C$32, $C$9, 100%, $E$9)</f>
        <v>11.332100000000001</v>
      </c>
      <c r="H689" s="11">
        <f>22.1527 * CHOOSE(CONTROL!$C$32, $C$9, 100%, $E$9)</f>
        <v>22.152699999999999</v>
      </c>
      <c r="I689" s="11">
        <f>22.1563 * CHOOSE(CONTROL!$C$32, $C$9, 100%, $E$9)</f>
        <v>22.156300000000002</v>
      </c>
      <c r="J689" s="11">
        <f>22.1527 * CHOOSE(CONTROL!$C$32, $C$9, 100%, $E$9)</f>
        <v>22.152699999999999</v>
      </c>
      <c r="K689" s="11">
        <f>22.1563 * CHOOSE(CONTROL!$C$32, $C$9, 100%, $E$9)</f>
        <v>22.156300000000002</v>
      </c>
      <c r="L689" s="11">
        <f>11.3285 * CHOOSE(CONTROL!$C$32, $C$9, 100%, $E$9)</f>
        <v>11.3285</v>
      </c>
      <c r="M689" s="11">
        <f>11.3321 * CHOOSE(CONTROL!$C$32, $C$9, 100%, $E$9)</f>
        <v>11.332100000000001</v>
      </c>
      <c r="N689" s="11">
        <f>11.3285 * CHOOSE(CONTROL!$C$32, $C$9, 100%, $E$9)</f>
        <v>11.3285</v>
      </c>
      <c r="O689" s="11">
        <f>11.3321 * CHOOSE(CONTROL!$C$32, $C$9, 100%, $E$9)</f>
        <v>11.332100000000001</v>
      </c>
    </row>
    <row r="690" spans="1:15" ht="15" x14ac:dyDescent="0.2">
      <c r="A690" s="13">
        <v>61849</v>
      </c>
      <c r="B690" s="9">
        <f>9.941 * CHOOSE(CONTROL!$C$32, $C$9, 100%, $E$9)</f>
        <v>9.9410000000000007</v>
      </c>
      <c r="C690" s="9">
        <f>9.941 * CHOOSE(CONTROL!$C$32, $C$9, 100%, $E$9)</f>
        <v>9.9410000000000007</v>
      </c>
      <c r="D690" s="9">
        <f>9.9426 * CHOOSE(CONTROL!$C$32, $C$9, 100%, $E$9)</f>
        <v>9.9426000000000005</v>
      </c>
      <c r="E690" s="11">
        <f>11.418 * CHOOSE(CONTROL!$C$32, $C$9, 100%, $E$9)</f>
        <v>11.417999999999999</v>
      </c>
      <c r="F690" s="11">
        <f>11.418 * CHOOSE(CONTROL!$C$32, $C$9, 100%, $E$9)</f>
        <v>11.417999999999999</v>
      </c>
      <c r="G690" s="11">
        <f>11.4233 * CHOOSE(CONTROL!$C$32, $C$9, 100%, $E$9)</f>
        <v>11.423299999999999</v>
      </c>
      <c r="H690" s="11">
        <f>22.1988 * CHOOSE(CONTROL!$C$32, $C$9, 100%, $E$9)</f>
        <v>22.198799999999999</v>
      </c>
      <c r="I690" s="11">
        <f>22.2041 * CHOOSE(CONTROL!$C$32, $C$9, 100%, $E$9)</f>
        <v>22.2041</v>
      </c>
      <c r="J690" s="11">
        <f>22.1988 * CHOOSE(CONTROL!$C$32, $C$9, 100%, $E$9)</f>
        <v>22.198799999999999</v>
      </c>
      <c r="K690" s="11">
        <f>22.2041 * CHOOSE(CONTROL!$C$32, $C$9, 100%, $E$9)</f>
        <v>22.2041</v>
      </c>
      <c r="L690" s="11">
        <f>11.418 * CHOOSE(CONTROL!$C$32, $C$9, 100%, $E$9)</f>
        <v>11.417999999999999</v>
      </c>
      <c r="M690" s="11">
        <f>11.4233 * CHOOSE(CONTROL!$C$32, $C$9, 100%, $E$9)</f>
        <v>11.423299999999999</v>
      </c>
      <c r="N690" s="11">
        <f>11.418 * CHOOSE(CONTROL!$C$32, $C$9, 100%, $E$9)</f>
        <v>11.417999999999999</v>
      </c>
      <c r="O690" s="11">
        <f>11.4233 * CHOOSE(CONTROL!$C$32, $C$9, 100%, $E$9)</f>
        <v>11.423299999999999</v>
      </c>
    </row>
    <row r="691" spans="1:15" ht="15" x14ac:dyDescent="0.2">
      <c r="A691" s="13">
        <v>61880</v>
      </c>
      <c r="B691" s="9">
        <f>9.9471 * CHOOSE(CONTROL!$C$32, $C$9, 100%, $E$9)</f>
        <v>9.9471000000000007</v>
      </c>
      <c r="C691" s="9">
        <f>9.9471 * CHOOSE(CONTROL!$C$32, $C$9, 100%, $E$9)</f>
        <v>9.9471000000000007</v>
      </c>
      <c r="D691" s="9">
        <f>9.9487 * CHOOSE(CONTROL!$C$32, $C$9, 100%, $E$9)</f>
        <v>9.9487000000000005</v>
      </c>
      <c r="E691" s="11">
        <f>11.3327 * CHOOSE(CONTROL!$C$32, $C$9, 100%, $E$9)</f>
        <v>11.332700000000001</v>
      </c>
      <c r="F691" s="11">
        <f>11.3327 * CHOOSE(CONTROL!$C$32, $C$9, 100%, $E$9)</f>
        <v>11.332700000000001</v>
      </c>
      <c r="G691" s="11">
        <f>11.338 * CHOOSE(CONTROL!$C$32, $C$9, 100%, $E$9)</f>
        <v>11.337999999999999</v>
      </c>
      <c r="H691" s="11">
        <f>22.2451 * CHOOSE(CONTROL!$C$32, $C$9, 100%, $E$9)</f>
        <v>22.245100000000001</v>
      </c>
      <c r="I691" s="11">
        <f>22.2504 * CHOOSE(CONTROL!$C$32, $C$9, 100%, $E$9)</f>
        <v>22.250399999999999</v>
      </c>
      <c r="J691" s="11">
        <f>22.2451 * CHOOSE(CONTROL!$C$32, $C$9, 100%, $E$9)</f>
        <v>22.245100000000001</v>
      </c>
      <c r="K691" s="11">
        <f>22.2504 * CHOOSE(CONTROL!$C$32, $C$9, 100%, $E$9)</f>
        <v>22.250399999999999</v>
      </c>
      <c r="L691" s="11">
        <f>11.3327 * CHOOSE(CONTROL!$C$32, $C$9, 100%, $E$9)</f>
        <v>11.332700000000001</v>
      </c>
      <c r="M691" s="11">
        <f>11.338 * CHOOSE(CONTROL!$C$32, $C$9, 100%, $E$9)</f>
        <v>11.337999999999999</v>
      </c>
      <c r="N691" s="11">
        <f>11.3327 * CHOOSE(CONTROL!$C$32, $C$9, 100%, $E$9)</f>
        <v>11.332700000000001</v>
      </c>
      <c r="O691" s="11">
        <f>11.338 * CHOOSE(CONTROL!$C$32, $C$9, 100%, $E$9)</f>
        <v>11.337999999999999</v>
      </c>
    </row>
    <row r="692" spans="1:15" ht="15" x14ac:dyDescent="0.2">
      <c r="A692" s="13">
        <v>61910</v>
      </c>
      <c r="B692" s="9">
        <f>10.0709 * CHOOSE(CONTROL!$C$32, $C$9, 100%, $E$9)</f>
        <v>10.0709</v>
      </c>
      <c r="C692" s="9">
        <f>10.0709 * CHOOSE(CONTROL!$C$32, $C$9, 100%, $E$9)</f>
        <v>10.0709</v>
      </c>
      <c r="D692" s="9">
        <f>10.0725 * CHOOSE(CONTROL!$C$32, $C$9, 100%, $E$9)</f>
        <v>10.0725</v>
      </c>
      <c r="E692" s="11">
        <f>11.4915 * CHOOSE(CONTROL!$C$32, $C$9, 100%, $E$9)</f>
        <v>11.4915</v>
      </c>
      <c r="F692" s="11">
        <f>11.4915 * CHOOSE(CONTROL!$C$32, $C$9, 100%, $E$9)</f>
        <v>11.4915</v>
      </c>
      <c r="G692" s="11">
        <f>11.4968 * CHOOSE(CONTROL!$C$32, $C$9, 100%, $E$9)</f>
        <v>11.4968</v>
      </c>
      <c r="H692" s="11">
        <f>22.2914 * CHOOSE(CONTROL!$C$32, $C$9, 100%, $E$9)</f>
        <v>22.291399999999999</v>
      </c>
      <c r="I692" s="11">
        <f>22.2967 * CHOOSE(CONTROL!$C$32, $C$9, 100%, $E$9)</f>
        <v>22.296700000000001</v>
      </c>
      <c r="J692" s="11">
        <f>22.2914 * CHOOSE(CONTROL!$C$32, $C$9, 100%, $E$9)</f>
        <v>22.291399999999999</v>
      </c>
      <c r="K692" s="11">
        <f>22.2967 * CHOOSE(CONTROL!$C$32, $C$9, 100%, $E$9)</f>
        <v>22.296700000000001</v>
      </c>
      <c r="L692" s="11">
        <f>11.4915 * CHOOSE(CONTROL!$C$32, $C$9, 100%, $E$9)</f>
        <v>11.4915</v>
      </c>
      <c r="M692" s="11">
        <f>11.4968 * CHOOSE(CONTROL!$C$32, $C$9, 100%, $E$9)</f>
        <v>11.4968</v>
      </c>
      <c r="N692" s="11">
        <f>11.4915 * CHOOSE(CONTROL!$C$32, $C$9, 100%, $E$9)</f>
        <v>11.4915</v>
      </c>
      <c r="O692" s="11">
        <f>11.4968 * CHOOSE(CONTROL!$C$32, $C$9, 100%, $E$9)</f>
        <v>11.4968</v>
      </c>
    </row>
    <row r="693" spans="1:15" ht="15" x14ac:dyDescent="0.2">
      <c r="A693" s="13">
        <v>61941</v>
      </c>
      <c r="B693" s="9">
        <f>10.0776 * CHOOSE(CONTROL!$C$32, $C$9, 100%, $E$9)</f>
        <v>10.0776</v>
      </c>
      <c r="C693" s="9">
        <f>10.0776 * CHOOSE(CONTROL!$C$32, $C$9, 100%, $E$9)</f>
        <v>10.0776</v>
      </c>
      <c r="D693" s="9">
        <f>10.0792 * CHOOSE(CONTROL!$C$32, $C$9, 100%, $E$9)</f>
        <v>10.0792</v>
      </c>
      <c r="E693" s="11">
        <f>11.2277 * CHOOSE(CONTROL!$C$32, $C$9, 100%, $E$9)</f>
        <v>11.2277</v>
      </c>
      <c r="F693" s="11">
        <f>11.2277 * CHOOSE(CONTROL!$C$32, $C$9, 100%, $E$9)</f>
        <v>11.2277</v>
      </c>
      <c r="G693" s="11">
        <f>11.233 * CHOOSE(CONTROL!$C$32, $C$9, 100%, $E$9)</f>
        <v>11.233000000000001</v>
      </c>
      <c r="H693" s="11">
        <f>22.3379 * CHOOSE(CONTROL!$C$32, $C$9, 100%, $E$9)</f>
        <v>22.337900000000001</v>
      </c>
      <c r="I693" s="11">
        <f>22.3432 * CHOOSE(CONTROL!$C$32, $C$9, 100%, $E$9)</f>
        <v>22.3432</v>
      </c>
      <c r="J693" s="11">
        <f>22.3379 * CHOOSE(CONTROL!$C$32, $C$9, 100%, $E$9)</f>
        <v>22.337900000000001</v>
      </c>
      <c r="K693" s="11">
        <f>22.3432 * CHOOSE(CONTROL!$C$32, $C$9, 100%, $E$9)</f>
        <v>22.3432</v>
      </c>
      <c r="L693" s="11">
        <f>11.2277 * CHOOSE(CONTROL!$C$32, $C$9, 100%, $E$9)</f>
        <v>11.2277</v>
      </c>
      <c r="M693" s="11">
        <f>11.233 * CHOOSE(CONTROL!$C$32, $C$9, 100%, $E$9)</f>
        <v>11.233000000000001</v>
      </c>
      <c r="N693" s="11">
        <f>11.2277 * CHOOSE(CONTROL!$C$32, $C$9, 100%, $E$9)</f>
        <v>11.2277</v>
      </c>
      <c r="O693" s="11">
        <f>11.233 * CHOOSE(CONTROL!$C$32, $C$9, 100%, $E$9)</f>
        <v>11.233000000000001</v>
      </c>
    </row>
    <row r="694" spans="1:15" ht="15" x14ac:dyDescent="0.2">
      <c r="A694" s="13">
        <v>61972</v>
      </c>
      <c r="B694" s="9">
        <f>10.0746 * CHOOSE(CONTROL!$C$32, $C$9, 100%, $E$9)</f>
        <v>10.0746</v>
      </c>
      <c r="C694" s="9">
        <f>10.0746 * CHOOSE(CONTROL!$C$32, $C$9, 100%, $E$9)</f>
        <v>10.0746</v>
      </c>
      <c r="D694" s="9">
        <f>10.0761 * CHOOSE(CONTROL!$C$32, $C$9, 100%, $E$9)</f>
        <v>10.0761</v>
      </c>
      <c r="E694" s="11">
        <f>11.1958 * CHOOSE(CONTROL!$C$32, $C$9, 100%, $E$9)</f>
        <v>11.1958</v>
      </c>
      <c r="F694" s="11">
        <f>11.1958 * CHOOSE(CONTROL!$C$32, $C$9, 100%, $E$9)</f>
        <v>11.1958</v>
      </c>
      <c r="G694" s="11">
        <f>11.2011 * CHOOSE(CONTROL!$C$32, $C$9, 100%, $E$9)</f>
        <v>11.2011</v>
      </c>
      <c r="H694" s="11">
        <f>22.3844 * CHOOSE(CONTROL!$C$32, $C$9, 100%, $E$9)</f>
        <v>22.384399999999999</v>
      </c>
      <c r="I694" s="11">
        <f>22.3897 * CHOOSE(CONTROL!$C$32, $C$9, 100%, $E$9)</f>
        <v>22.389700000000001</v>
      </c>
      <c r="J694" s="11">
        <f>22.3844 * CHOOSE(CONTROL!$C$32, $C$9, 100%, $E$9)</f>
        <v>22.384399999999999</v>
      </c>
      <c r="K694" s="11">
        <f>22.3897 * CHOOSE(CONTROL!$C$32, $C$9, 100%, $E$9)</f>
        <v>22.389700000000001</v>
      </c>
      <c r="L694" s="11">
        <f>11.1958 * CHOOSE(CONTROL!$C$32, $C$9, 100%, $E$9)</f>
        <v>11.1958</v>
      </c>
      <c r="M694" s="11">
        <f>11.2011 * CHOOSE(CONTROL!$C$32, $C$9, 100%, $E$9)</f>
        <v>11.2011</v>
      </c>
      <c r="N694" s="11">
        <f>11.1958 * CHOOSE(CONTROL!$C$32, $C$9, 100%, $E$9)</f>
        <v>11.1958</v>
      </c>
      <c r="O694" s="11">
        <f>11.2011 * CHOOSE(CONTROL!$C$32, $C$9, 100%, $E$9)</f>
        <v>11.2011</v>
      </c>
    </row>
    <row r="695" spans="1:15" ht="15" x14ac:dyDescent="0.2">
      <c r="A695" s="13">
        <v>62002</v>
      </c>
      <c r="B695" s="9">
        <f>10.0923 * CHOOSE(CONTROL!$C$32, $C$9, 100%, $E$9)</f>
        <v>10.0923</v>
      </c>
      <c r="C695" s="9">
        <f>10.0923 * CHOOSE(CONTROL!$C$32, $C$9, 100%, $E$9)</f>
        <v>10.0923</v>
      </c>
      <c r="D695" s="9">
        <f>10.0934 * CHOOSE(CONTROL!$C$32, $C$9, 100%, $E$9)</f>
        <v>10.093400000000001</v>
      </c>
      <c r="E695" s="11">
        <f>11.3017 * CHOOSE(CONTROL!$C$32, $C$9, 100%, $E$9)</f>
        <v>11.3017</v>
      </c>
      <c r="F695" s="11">
        <f>11.3017 * CHOOSE(CONTROL!$C$32, $C$9, 100%, $E$9)</f>
        <v>11.3017</v>
      </c>
      <c r="G695" s="11">
        <f>11.3053 * CHOOSE(CONTROL!$C$32, $C$9, 100%, $E$9)</f>
        <v>11.305300000000001</v>
      </c>
      <c r="H695" s="11">
        <f>22.4311 * CHOOSE(CONTROL!$C$32, $C$9, 100%, $E$9)</f>
        <v>22.431100000000001</v>
      </c>
      <c r="I695" s="11">
        <f>22.4347 * CHOOSE(CONTROL!$C$32, $C$9, 100%, $E$9)</f>
        <v>22.434699999999999</v>
      </c>
      <c r="J695" s="11">
        <f>22.4311 * CHOOSE(CONTROL!$C$32, $C$9, 100%, $E$9)</f>
        <v>22.431100000000001</v>
      </c>
      <c r="K695" s="11">
        <f>22.4347 * CHOOSE(CONTROL!$C$32, $C$9, 100%, $E$9)</f>
        <v>22.434699999999999</v>
      </c>
      <c r="L695" s="11">
        <f>11.3017 * CHOOSE(CONTROL!$C$32, $C$9, 100%, $E$9)</f>
        <v>11.3017</v>
      </c>
      <c r="M695" s="11">
        <f>11.3053 * CHOOSE(CONTROL!$C$32, $C$9, 100%, $E$9)</f>
        <v>11.305300000000001</v>
      </c>
      <c r="N695" s="11">
        <f>11.3017 * CHOOSE(CONTROL!$C$32, $C$9, 100%, $E$9)</f>
        <v>11.3017</v>
      </c>
      <c r="O695" s="11">
        <f>11.3053 * CHOOSE(CONTROL!$C$32, $C$9, 100%, $E$9)</f>
        <v>11.305300000000001</v>
      </c>
    </row>
    <row r="696" spans="1:15" ht="15" x14ac:dyDescent="0.2">
      <c r="A696" s="13">
        <v>62033</v>
      </c>
      <c r="B696" s="9">
        <f>10.0953 * CHOOSE(CONTROL!$C$32, $C$9, 100%, $E$9)</f>
        <v>10.0953</v>
      </c>
      <c r="C696" s="9">
        <f>10.0953 * CHOOSE(CONTROL!$C$32, $C$9, 100%, $E$9)</f>
        <v>10.0953</v>
      </c>
      <c r="D696" s="9">
        <f>10.0964 * CHOOSE(CONTROL!$C$32, $C$9, 100%, $E$9)</f>
        <v>10.096399999999999</v>
      </c>
      <c r="E696" s="11">
        <f>11.3634 * CHOOSE(CONTROL!$C$32, $C$9, 100%, $E$9)</f>
        <v>11.3634</v>
      </c>
      <c r="F696" s="11">
        <f>11.3634 * CHOOSE(CONTROL!$C$32, $C$9, 100%, $E$9)</f>
        <v>11.3634</v>
      </c>
      <c r="G696" s="11">
        <f>11.3671 * CHOOSE(CONTROL!$C$32, $C$9, 100%, $E$9)</f>
        <v>11.367100000000001</v>
      </c>
      <c r="H696" s="11">
        <f>22.4778 * CHOOSE(CONTROL!$C$32, $C$9, 100%, $E$9)</f>
        <v>22.477799999999998</v>
      </c>
      <c r="I696" s="11">
        <f>22.4814 * CHOOSE(CONTROL!$C$32, $C$9, 100%, $E$9)</f>
        <v>22.481400000000001</v>
      </c>
      <c r="J696" s="11">
        <f>22.4778 * CHOOSE(CONTROL!$C$32, $C$9, 100%, $E$9)</f>
        <v>22.477799999999998</v>
      </c>
      <c r="K696" s="11">
        <f>22.4814 * CHOOSE(CONTROL!$C$32, $C$9, 100%, $E$9)</f>
        <v>22.481400000000001</v>
      </c>
      <c r="L696" s="11">
        <f>11.3634 * CHOOSE(CONTROL!$C$32, $C$9, 100%, $E$9)</f>
        <v>11.3634</v>
      </c>
      <c r="M696" s="11">
        <f>11.3671 * CHOOSE(CONTROL!$C$32, $C$9, 100%, $E$9)</f>
        <v>11.367100000000001</v>
      </c>
      <c r="N696" s="11">
        <f>11.3634 * CHOOSE(CONTROL!$C$32, $C$9, 100%, $E$9)</f>
        <v>11.3634</v>
      </c>
      <c r="O696" s="11">
        <f>11.3671 * CHOOSE(CONTROL!$C$32, $C$9, 100%, $E$9)</f>
        <v>11.367100000000001</v>
      </c>
    </row>
    <row r="697" spans="1:15" ht="15" x14ac:dyDescent="0.2">
      <c r="A697" s="13">
        <v>62063</v>
      </c>
      <c r="B697" s="9">
        <f>10.0953 * CHOOSE(CONTROL!$C$32, $C$9, 100%, $E$9)</f>
        <v>10.0953</v>
      </c>
      <c r="C697" s="9">
        <f>10.0953 * CHOOSE(CONTROL!$C$32, $C$9, 100%, $E$9)</f>
        <v>10.0953</v>
      </c>
      <c r="D697" s="9">
        <f>10.0964 * CHOOSE(CONTROL!$C$32, $C$9, 100%, $E$9)</f>
        <v>10.096399999999999</v>
      </c>
      <c r="E697" s="11">
        <f>11.2143 * CHOOSE(CONTROL!$C$32, $C$9, 100%, $E$9)</f>
        <v>11.2143</v>
      </c>
      <c r="F697" s="11">
        <f>11.2143 * CHOOSE(CONTROL!$C$32, $C$9, 100%, $E$9)</f>
        <v>11.2143</v>
      </c>
      <c r="G697" s="11">
        <f>11.2179 * CHOOSE(CONTROL!$C$32, $C$9, 100%, $E$9)</f>
        <v>11.2179</v>
      </c>
      <c r="H697" s="11">
        <f>22.5246 * CHOOSE(CONTROL!$C$32, $C$9, 100%, $E$9)</f>
        <v>22.5246</v>
      </c>
      <c r="I697" s="11">
        <f>22.5282 * CHOOSE(CONTROL!$C$32, $C$9, 100%, $E$9)</f>
        <v>22.528199999999998</v>
      </c>
      <c r="J697" s="11">
        <f>22.5246 * CHOOSE(CONTROL!$C$32, $C$9, 100%, $E$9)</f>
        <v>22.5246</v>
      </c>
      <c r="K697" s="11">
        <f>22.5282 * CHOOSE(CONTROL!$C$32, $C$9, 100%, $E$9)</f>
        <v>22.528199999999998</v>
      </c>
      <c r="L697" s="11">
        <f>11.2143 * CHOOSE(CONTROL!$C$32, $C$9, 100%, $E$9)</f>
        <v>11.2143</v>
      </c>
      <c r="M697" s="11">
        <f>11.2179 * CHOOSE(CONTROL!$C$32, $C$9, 100%, $E$9)</f>
        <v>11.2179</v>
      </c>
      <c r="N697" s="11">
        <f>11.2143 * CHOOSE(CONTROL!$C$32, $C$9, 100%, $E$9)</f>
        <v>11.2143</v>
      </c>
      <c r="O697" s="11">
        <f>11.2179 * CHOOSE(CONTROL!$C$32, $C$9, 100%, $E$9)</f>
        <v>11.2179</v>
      </c>
    </row>
    <row r="698" spans="1:15" ht="15" x14ac:dyDescent="0.2">
      <c r="A698" s="13">
        <v>62094</v>
      </c>
      <c r="B698" s="9">
        <f>10.1311 * CHOOSE(CONTROL!$C$32, $C$9, 100%, $E$9)</f>
        <v>10.1311</v>
      </c>
      <c r="C698" s="9">
        <f>10.1311 * CHOOSE(CONTROL!$C$32, $C$9, 100%, $E$9)</f>
        <v>10.1311</v>
      </c>
      <c r="D698" s="9">
        <f>10.1321 * CHOOSE(CONTROL!$C$32, $C$9, 100%, $E$9)</f>
        <v>10.132099999999999</v>
      </c>
      <c r="E698" s="11">
        <f>11.3705 * CHOOSE(CONTROL!$C$32, $C$9, 100%, $E$9)</f>
        <v>11.3705</v>
      </c>
      <c r="F698" s="11">
        <f>11.3705 * CHOOSE(CONTROL!$C$32, $C$9, 100%, $E$9)</f>
        <v>11.3705</v>
      </c>
      <c r="G698" s="11">
        <f>11.3741 * CHOOSE(CONTROL!$C$32, $C$9, 100%, $E$9)</f>
        <v>11.3741</v>
      </c>
      <c r="H698" s="11">
        <f>22.4683 * CHOOSE(CONTROL!$C$32, $C$9, 100%, $E$9)</f>
        <v>22.468299999999999</v>
      </c>
      <c r="I698" s="11">
        <f>22.4719 * CHOOSE(CONTROL!$C$32, $C$9, 100%, $E$9)</f>
        <v>22.471900000000002</v>
      </c>
      <c r="J698" s="11">
        <f>22.4683 * CHOOSE(CONTROL!$C$32, $C$9, 100%, $E$9)</f>
        <v>22.468299999999999</v>
      </c>
      <c r="K698" s="11">
        <f>22.4719 * CHOOSE(CONTROL!$C$32, $C$9, 100%, $E$9)</f>
        <v>22.471900000000002</v>
      </c>
      <c r="L698" s="11">
        <f>11.3705 * CHOOSE(CONTROL!$C$32, $C$9, 100%, $E$9)</f>
        <v>11.3705</v>
      </c>
      <c r="M698" s="11">
        <f>11.3741 * CHOOSE(CONTROL!$C$32, $C$9, 100%, $E$9)</f>
        <v>11.3741</v>
      </c>
      <c r="N698" s="11">
        <f>11.3705 * CHOOSE(CONTROL!$C$32, $C$9, 100%, $E$9)</f>
        <v>11.3705</v>
      </c>
      <c r="O698" s="11">
        <f>11.3741 * CHOOSE(CONTROL!$C$32, $C$9, 100%, $E$9)</f>
        <v>11.3741</v>
      </c>
    </row>
    <row r="699" spans="1:15" ht="15" x14ac:dyDescent="0.2">
      <c r="A699" s="13">
        <v>62125</v>
      </c>
      <c r="B699" s="9">
        <f>10.128 * CHOOSE(CONTROL!$C$32, $C$9, 100%, $E$9)</f>
        <v>10.128</v>
      </c>
      <c r="C699" s="9">
        <f>10.128 * CHOOSE(CONTROL!$C$32, $C$9, 100%, $E$9)</f>
        <v>10.128</v>
      </c>
      <c r="D699" s="9">
        <f>10.1291 * CHOOSE(CONTROL!$C$32, $C$9, 100%, $E$9)</f>
        <v>10.129099999999999</v>
      </c>
      <c r="E699" s="11">
        <f>11.0795 * CHOOSE(CONTROL!$C$32, $C$9, 100%, $E$9)</f>
        <v>11.079499999999999</v>
      </c>
      <c r="F699" s="11">
        <f>11.0795 * CHOOSE(CONTROL!$C$32, $C$9, 100%, $E$9)</f>
        <v>11.079499999999999</v>
      </c>
      <c r="G699" s="11">
        <f>11.0831 * CHOOSE(CONTROL!$C$32, $C$9, 100%, $E$9)</f>
        <v>11.0831</v>
      </c>
      <c r="H699" s="11">
        <f>22.5151 * CHOOSE(CONTROL!$C$32, $C$9, 100%, $E$9)</f>
        <v>22.5151</v>
      </c>
      <c r="I699" s="11">
        <f>22.5187 * CHOOSE(CONTROL!$C$32, $C$9, 100%, $E$9)</f>
        <v>22.518699999999999</v>
      </c>
      <c r="J699" s="11">
        <f>22.5151 * CHOOSE(CONTROL!$C$32, $C$9, 100%, $E$9)</f>
        <v>22.5151</v>
      </c>
      <c r="K699" s="11">
        <f>22.5187 * CHOOSE(CONTROL!$C$32, $C$9, 100%, $E$9)</f>
        <v>22.518699999999999</v>
      </c>
      <c r="L699" s="11">
        <f>11.0795 * CHOOSE(CONTROL!$C$32, $C$9, 100%, $E$9)</f>
        <v>11.079499999999999</v>
      </c>
      <c r="M699" s="11">
        <f>11.0831 * CHOOSE(CONTROL!$C$32, $C$9, 100%, $E$9)</f>
        <v>11.0831</v>
      </c>
      <c r="N699" s="11">
        <f>11.0795 * CHOOSE(CONTROL!$C$32, $C$9, 100%, $E$9)</f>
        <v>11.079499999999999</v>
      </c>
      <c r="O699" s="11">
        <f>11.0831 * CHOOSE(CONTROL!$C$32, $C$9, 100%, $E$9)</f>
        <v>11.0831</v>
      </c>
    </row>
    <row r="700" spans="1:15" ht="15" x14ac:dyDescent="0.2">
      <c r="A700" s="13">
        <v>62153</v>
      </c>
      <c r="B700" s="9">
        <f>10.125 * CHOOSE(CONTROL!$C$32, $C$9, 100%, $E$9)</f>
        <v>10.125</v>
      </c>
      <c r="C700" s="9">
        <f>10.125 * CHOOSE(CONTROL!$C$32, $C$9, 100%, $E$9)</f>
        <v>10.125</v>
      </c>
      <c r="D700" s="9">
        <f>10.1261 * CHOOSE(CONTROL!$C$32, $C$9, 100%, $E$9)</f>
        <v>10.126099999999999</v>
      </c>
      <c r="E700" s="11">
        <f>11.3051 * CHOOSE(CONTROL!$C$32, $C$9, 100%, $E$9)</f>
        <v>11.305099999999999</v>
      </c>
      <c r="F700" s="11">
        <f>11.3051 * CHOOSE(CONTROL!$C$32, $C$9, 100%, $E$9)</f>
        <v>11.305099999999999</v>
      </c>
      <c r="G700" s="11">
        <f>11.3087 * CHOOSE(CONTROL!$C$32, $C$9, 100%, $E$9)</f>
        <v>11.3087</v>
      </c>
      <c r="H700" s="11">
        <f>22.562 * CHOOSE(CONTROL!$C$32, $C$9, 100%, $E$9)</f>
        <v>22.562000000000001</v>
      </c>
      <c r="I700" s="11">
        <f>22.5657 * CHOOSE(CONTROL!$C$32, $C$9, 100%, $E$9)</f>
        <v>22.5657</v>
      </c>
      <c r="J700" s="11">
        <f>22.562 * CHOOSE(CONTROL!$C$32, $C$9, 100%, $E$9)</f>
        <v>22.562000000000001</v>
      </c>
      <c r="K700" s="11">
        <f>22.5657 * CHOOSE(CONTROL!$C$32, $C$9, 100%, $E$9)</f>
        <v>22.5657</v>
      </c>
      <c r="L700" s="11">
        <f>11.3051 * CHOOSE(CONTROL!$C$32, $C$9, 100%, $E$9)</f>
        <v>11.305099999999999</v>
      </c>
      <c r="M700" s="11">
        <f>11.3087 * CHOOSE(CONTROL!$C$32, $C$9, 100%, $E$9)</f>
        <v>11.3087</v>
      </c>
      <c r="N700" s="11">
        <f>11.3051 * CHOOSE(CONTROL!$C$32, $C$9, 100%, $E$9)</f>
        <v>11.305099999999999</v>
      </c>
      <c r="O700" s="11">
        <f>11.3087 * CHOOSE(CONTROL!$C$32, $C$9, 100%, $E$9)</f>
        <v>11.3087</v>
      </c>
    </row>
    <row r="701" spans="1:15" ht="15" x14ac:dyDescent="0.2">
      <c r="A701" s="13">
        <v>62184</v>
      </c>
      <c r="B701" s="9">
        <f>10.1286 * CHOOSE(CONTROL!$C$32, $C$9, 100%, $E$9)</f>
        <v>10.1286</v>
      </c>
      <c r="C701" s="9">
        <f>10.1286 * CHOOSE(CONTROL!$C$32, $C$9, 100%, $E$9)</f>
        <v>10.1286</v>
      </c>
      <c r="D701" s="9">
        <f>10.1297 * CHOOSE(CONTROL!$C$32, $C$9, 100%, $E$9)</f>
        <v>10.1297</v>
      </c>
      <c r="E701" s="11">
        <f>11.5455 * CHOOSE(CONTROL!$C$32, $C$9, 100%, $E$9)</f>
        <v>11.545500000000001</v>
      </c>
      <c r="F701" s="11">
        <f>11.5455 * CHOOSE(CONTROL!$C$32, $C$9, 100%, $E$9)</f>
        <v>11.545500000000001</v>
      </c>
      <c r="G701" s="11">
        <f>11.5491 * CHOOSE(CONTROL!$C$32, $C$9, 100%, $E$9)</f>
        <v>11.549099999999999</v>
      </c>
      <c r="H701" s="11">
        <f>22.609 * CHOOSE(CONTROL!$C$32, $C$9, 100%, $E$9)</f>
        <v>22.609000000000002</v>
      </c>
      <c r="I701" s="11">
        <f>22.6127 * CHOOSE(CONTROL!$C$32, $C$9, 100%, $E$9)</f>
        <v>22.6127</v>
      </c>
      <c r="J701" s="11">
        <f>22.609 * CHOOSE(CONTROL!$C$32, $C$9, 100%, $E$9)</f>
        <v>22.609000000000002</v>
      </c>
      <c r="K701" s="11">
        <f>22.6127 * CHOOSE(CONTROL!$C$32, $C$9, 100%, $E$9)</f>
        <v>22.6127</v>
      </c>
      <c r="L701" s="11">
        <f>11.5455 * CHOOSE(CONTROL!$C$32, $C$9, 100%, $E$9)</f>
        <v>11.545500000000001</v>
      </c>
      <c r="M701" s="11">
        <f>11.5491 * CHOOSE(CONTROL!$C$32, $C$9, 100%, $E$9)</f>
        <v>11.549099999999999</v>
      </c>
      <c r="N701" s="11">
        <f>11.5455 * CHOOSE(CONTROL!$C$32, $C$9, 100%, $E$9)</f>
        <v>11.545500000000001</v>
      </c>
      <c r="O701" s="11">
        <f>11.5491 * CHOOSE(CONTROL!$C$32, $C$9, 100%, $E$9)</f>
        <v>11.549099999999999</v>
      </c>
    </row>
    <row r="702" spans="1:15" ht="15" x14ac:dyDescent="0.2">
      <c r="A702" s="13">
        <v>62214</v>
      </c>
      <c r="B702" s="9">
        <f>10.1286 * CHOOSE(CONTROL!$C$32, $C$9, 100%, $E$9)</f>
        <v>10.1286</v>
      </c>
      <c r="C702" s="9">
        <f>10.1286 * CHOOSE(CONTROL!$C$32, $C$9, 100%, $E$9)</f>
        <v>10.1286</v>
      </c>
      <c r="D702" s="9">
        <f>10.1302 * CHOOSE(CONTROL!$C$32, $C$9, 100%, $E$9)</f>
        <v>10.1302</v>
      </c>
      <c r="E702" s="11">
        <f>11.6372 * CHOOSE(CONTROL!$C$32, $C$9, 100%, $E$9)</f>
        <v>11.6372</v>
      </c>
      <c r="F702" s="11">
        <f>11.6372 * CHOOSE(CONTROL!$C$32, $C$9, 100%, $E$9)</f>
        <v>11.6372</v>
      </c>
      <c r="G702" s="11">
        <f>11.6425 * CHOOSE(CONTROL!$C$32, $C$9, 100%, $E$9)</f>
        <v>11.6425</v>
      </c>
      <c r="H702" s="11">
        <f>22.6561 * CHOOSE(CONTROL!$C$32, $C$9, 100%, $E$9)</f>
        <v>22.656099999999999</v>
      </c>
      <c r="I702" s="11">
        <f>22.6614 * CHOOSE(CONTROL!$C$32, $C$9, 100%, $E$9)</f>
        <v>22.6614</v>
      </c>
      <c r="J702" s="11">
        <f>22.6561 * CHOOSE(CONTROL!$C$32, $C$9, 100%, $E$9)</f>
        <v>22.656099999999999</v>
      </c>
      <c r="K702" s="11">
        <f>22.6614 * CHOOSE(CONTROL!$C$32, $C$9, 100%, $E$9)</f>
        <v>22.6614</v>
      </c>
      <c r="L702" s="11">
        <f>11.6372 * CHOOSE(CONTROL!$C$32, $C$9, 100%, $E$9)</f>
        <v>11.6372</v>
      </c>
      <c r="M702" s="11">
        <f>11.6425 * CHOOSE(CONTROL!$C$32, $C$9, 100%, $E$9)</f>
        <v>11.6425</v>
      </c>
      <c r="N702" s="11">
        <f>11.6372 * CHOOSE(CONTROL!$C$32, $C$9, 100%, $E$9)</f>
        <v>11.6372</v>
      </c>
      <c r="O702" s="11">
        <f>11.6425 * CHOOSE(CONTROL!$C$32, $C$9, 100%, $E$9)</f>
        <v>11.6425</v>
      </c>
    </row>
    <row r="703" spans="1:15" ht="15" x14ac:dyDescent="0.2">
      <c r="A703" s="13">
        <v>62245</v>
      </c>
      <c r="B703" s="9">
        <f>10.1347 * CHOOSE(CONTROL!$C$32, $C$9, 100%, $E$9)</f>
        <v>10.1347</v>
      </c>
      <c r="C703" s="9">
        <f>10.1347 * CHOOSE(CONTROL!$C$32, $C$9, 100%, $E$9)</f>
        <v>10.1347</v>
      </c>
      <c r="D703" s="9">
        <f>10.1362 * CHOOSE(CONTROL!$C$32, $C$9, 100%, $E$9)</f>
        <v>10.136200000000001</v>
      </c>
      <c r="E703" s="11">
        <f>11.5497 * CHOOSE(CONTROL!$C$32, $C$9, 100%, $E$9)</f>
        <v>11.5497</v>
      </c>
      <c r="F703" s="11">
        <f>11.5497 * CHOOSE(CONTROL!$C$32, $C$9, 100%, $E$9)</f>
        <v>11.5497</v>
      </c>
      <c r="G703" s="11">
        <f>11.555 * CHOOSE(CONTROL!$C$32, $C$9, 100%, $E$9)</f>
        <v>11.555</v>
      </c>
      <c r="H703" s="11">
        <f>22.7033 * CHOOSE(CONTROL!$C$32, $C$9, 100%, $E$9)</f>
        <v>22.703299999999999</v>
      </c>
      <c r="I703" s="11">
        <f>22.7086 * CHOOSE(CONTROL!$C$32, $C$9, 100%, $E$9)</f>
        <v>22.708600000000001</v>
      </c>
      <c r="J703" s="11">
        <f>22.7033 * CHOOSE(CONTROL!$C$32, $C$9, 100%, $E$9)</f>
        <v>22.703299999999999</v>
      </c>
      <c r="K703" s="11">
        <f>22.7086 * CHOOSE(CONTROL!$C$32, $C$9, 100%, $E$9)</f>
        <v>22.708600000000001</v>
      </c>
      <c r="L703" s="11">
        <f>11.5497 * CHOOSE(CONTROL!$C$32, $C$9, 100%, $E$9)</f>
        <v>11.5497</v>
      </c>
      <c r="M703" s="11">
        <f>11.555 * CHOOSE(CONTROL!$C$32, $C$9, 100%, $E$9)</f>
        <v>11.555</v>
      </c>
      <c r="N703" s="11">
        <f>11.5497 * CHOOSE(CONTROL!$C$32, $C$9, 100%, $E$9)</f>
        <v>11.5497</v>
      </c>
      <c r="O703" s="11">
        <f>11.555 * CHOOSE(CONTROL!$C$32, $C$9, 100%, $E$9)</f>
        <v>11.555</v>
      </c>
    </row>
    <row r="704" spans="1:15" ht="15" x14ac:dyDescent="0.2">
      <c r="A704" s="13">
        <v>62275</v>
      </c>
      <c r="B704" s="9">
        <f>10.2605 * CHOOSE(CONTROL!$C$32, $C$9, 100%, $E$9)</f>
        <v>10.2605</v>
      </c>
      <c r="C704" s="9">
        <f>10.2605 * CHOOSE(CONTROL!$C$32, $C$9, 100%, $E$9)</f>
        <v>10.2605</v>
      </c>
      <c r="D704" s="9">
        <f>10.2621 * CHOOSE(CONTROL!$C$32, $C$9, 100%, $E$9)</f>
        <v>10.2621</v>
      </c>
      <c r="E704" s="11">
        <f>11.7117 * CHOOSE(CONTROL!$C$32, $C$9, 100%, $E$9)</f>
        <v>11.7117</v>
      </c>
      <c r="F704" s="11">
        <f>11.7117 * CHOOSE(CONTROL!$C$32, $C$9, 100%, $E$9)</f>
        <v>11.7117</v>
      </c>
      <c r="G704" s="11">
        <f>11.717 * CHOOSE(CONTROL!$C$32, $C$9, 100%, $E$9)</f>
        <v>11.717000000000001</v>
      </c>
      <c r="H704" s="11">
        <f>22.7506 * CHOOSE(CONTROL!$C$32, $C$9, 100%, $E$9)</f>
        <v>22.750599999999999</v>
      </c>
      <c r="I704" s="11">
        <f>22.7559 * CHOOSE(CONTROL!$C$32, $C$9, 100%, $E$9)</f>
        <v>22.7559</v>
      </c>
      <c r="J704" s="11">
        <f>22.7506 * CHOOSE(CONTROL!$C$32, $C$9, 100%, $E$9)</f>
        <v>22.750599999999999</v>
      </c>
      <c r="K704" s="11">
        <f>22.7559 * CHOOSE(CONTROL!$C$32, $C$9, 100%, $E$9)</f>
        <v>22.7559</v>
      </c>
      <c r="L704" s="11">
        <f>11.7117 * CHOOSE(CONTROL!$C$32, $C$9, 100%, $E$9)</f>
        <v>11.7117</v>
      </c>
      <c r="M704" s="11">
        <f>11.717 * CHOOSE(CONTROL!$C$32, $C$9, 100%, $E$9)</f>
        <v>11.717000000000001</v>
      </c>
      <c r="N704" s="11">
        <f>11.7117 * CHOOSE(CONTROL!$C$32, $C$9, 100%, $E$9)</f>
        <v>11.7117</v>
      </c>
      <c r="O704" s="11">
        <f>11.717 * CHOOSE(CONTROL!$C$32, $C$9, 100%, $E$9)</f>
        <v>11.717000000000001</v>
      </c>
    </row>
    <row r="705" spans="1:15" ht="15" x14ac:dyDescent="0.2">
      <c r="A705" s="13">
        <v>62306</v>
      </c>
      <c r="B705" s="9">
        <f>10.2672 * CHOOSE(CONTROL!$C$32, $C$9, 100%, $E$9)</f>
        <v>10.267200000000001</v>
      </c>
      <c r="C705" s="9">
        <f>10.2672 * CHOOSE(CONTROL!$C$32, $C$9, 100%, $E$9)</f>
        <v>10.267200000000001</v>
      </c>
      <c r="D705" s="9">
        <f>10.2688 * CHOOSE(CONTROL!$C$32, $C$9, 100%, $E$9)</f>
        <v>10.268800000000001</v>
      </c>
      <c r="E705" s="11">
        <f>11.4412 * CHOOSE(CONTROL!$C$32, $C$9, 100%, $E$9)</f>
        <v>11.4412</v>
      </c>
      <c r="F705" s="11">
        <f>11.4412 * CHOOSE(CONTROL!$C$32, $C$9, 100%, $E$9)</f>
        <v>11.4412</v>
      </c>
      <c r="G705" s="11">
        <f>11.4465 * CHOOSE(CONTROL!$C$32, $C$9, 100%, $E$9)</f>
        <v>11.4465</v>
      </c>
      <c r="H705" s="11">
        <f>22.798 * CHOOSE(CONTROL!$C$32, $C$9, 100%, $E$9)</f>
        <v>22.797999999999998</v>
      </c>
      <c r="I705" s="11">
        <f>22.8033 * CHOOSE(CONTROL!$C$32, $C$9, 100%, $E$9)</f>
        <v>22.8033</v>
      </c>
      <c r="J705" s="11">
        <f>22.798 * CHOOSE(CONTROL!$C$32, $C$9, 100%, $E$9)</f>
        <v>22.797999999999998</v>
      </c>
      <c r="K705" s="11">
        <f>22.8033 * CHOOSE(CONTROL!$C$32, $C$9, 100%, $E$9)</f>
        <v>22.8033</v>
      </c>
      <c r="L705" s="11">
        <f>11.4412 * CHOOSE(CONTROL!$C$32, $C$9, 100%, $E$9)</f>
        <v>11.4412</v>
      </c>
      <c r="M705" s="11">
        <f>11.4465 * CHOOSE(CONTROL!$C$32, $C$9, 100%, $E$9)</f>
        <v>11.4465</v>
      </c>
      <c r="N705" s="11">
        <f>11.4412 * CHOOSE(CONTROL!$C$32, $C$9, 100%, $E$9)</f>
        <v>11.4412</v>
      </c>
      <c r="O705" s="11">
        <f>11.4465 * CHOOSE(CONTROL!$C$32, $C$9, 100%, $E$9)</f>
        <v>11.4465</v>
      </c>
    </row>
    <row r="706" spans="1:15" ht="15" x14ac:dyDescent="0.2">
      <c r="A706" s="13">
        <v>62337</v>
      </c>
      <c r="B706" s="9">
        <f>10.2642 * CHOOSE(CONTROL!$C$32, $C$9, 100%, $E$9)</f>
        <v>10.264200000000001</v>
      </c>
      <c r="C706" s="9">
        <f>10.2642 * CHOOSE(CONTROL!$C$32, $C$9, 100%, $E$9)</f>
        <v>10.264200000000001</v>
      </c>
      <c r="D706" s="9">
        <f>10.2657 * CHOOSE(CONTROL!$C$32, $C$9, 100%, $E$9)</f>
        <v>10.265700000000001</v>
      </c>
      <c r="E706" s="11">
        <f>11.4085 * CHOOSE(CONTROL!$C$32, $C$9, 100%, $E$9)</f>
        <v>11.4085</v>
      </c>
      <c r="F706" s="11">
        <f>11.4085 * CHOOSE(CONTROL!$C$32, $C$9, 100%, $E$9)</f>
        <v>11.4085</v>
      </c>
      <c r="G706" s="11">
        <f>11.4138 * CHOOSE(CONTROL!$C$32, $C$9, 100%, $E$9)</f>
        <v>11.4138</v>
      </c>
      <c r="H706" s="11">
        <f>22.8455 * CHOOSE(CONTROL!$C$32, $C$9, 100%, $E$9)</f>
        <v>22.845500000000001</v>
      </c>
      <c r="I706" s="11">
        <f>22.8508 * CHOOSE(CONTROL!$C$32, $C$9, 100%, $E$9)</f>
        <v>22.8508</v>
      </c>
      <c r="J706" s="11">
        <f>22.8455 * CHOOSE(CONTROL!$C$32, $C$9, 100%, $E$9)</f>
        <v>22.845500000000001</v>
      </c>
      <c r="K706" s="11">
        <f>22.8508 * CHOOSE(CONTROL!$C$32, $C$9, 100%, $E$9)</f>
        <v>22.8508</v>
      </c>
      <c r="L706" s="11">
        <f>11.4085 * CHOOSE(CONTROL!$C$32, $C$9, 100%, $E$9)</f>
        <v>11.4085</v>
      </c>
      <c r="M706" s="11">
        <f>11.4138 * CHOOSE(CONTROL!$C$32, $C$9, 100%, $E$9)</f>
        <v>11.4138</v>
      </c>
      <c r="N706" s="11">
        <f>11.4085 * CHOOSE(CONTROL!$C$32, $C$9, 100%, $E$9)</f>
        <v>11.4085</v>
      </c>
      <c r="O706" s="11">
        <f>11.4138 * CHOOSE(CONTROL!$C$32, $C$9, 100%, $E$9)</f>
        <v>11.4138</v>
      </c>
    </row>
    <row r="707" spans="1:15" ht="15" x14ac:dyDescent="0.2">
      <c r="A707" s="13">
        <v>62367</v>
      </c>
      <c r="B707" s="9">
        <f>10.2826 * CHOOSE(CONTROL!$C$32, $C$9, 100%, $E$9)</f>
        <v>10.2826</v>
      </c>
      <c r="C707" s="9">
        <f>10.2826 * CHOOSE(CONTROL!$C$32, $C$9, 100%, $E$9)</f>
        <v>10.2826</v>
      </c>
      <c r="D707" s="9">
        <f>10.2837 * CHOOSE(CONTROL!$C$32, $C$9, 100%, $E$9)</f>
        <v>10.2837</v>
      </c>
      <c r="E707" s="11">
        <f>11.5173 * CHOOSE(CONTROL!$C$32, $C$9, 100%, $E$9)</f>
        <v>11.517300000000001</v>
      </c>
      <c r="F707" s="11">
        <f>11.5173 * CHOOSE(CONTROL!$C$32, $C$9, 100%, $E$9)</f>
        <v>11.517300000000001</v>
      </c>
      <c r="G707" s="11">
        <f>11.521 * CHOOSE(CONTROL!$C$32, $C$9, 100%, $E$9)</f>
        <v>11.521000000000001</v>
      </c>
      <c r="H707" s="11">
        <f>22.8931 * CHOOSE(CONTROL!$C$32, $C$9, 100%, $E$9)</f>
        <v>22.8931</v>
      </c>
      <c r="I707" s="11">
        <f>22.8967 * CHOOSE(CONTROL!$C$32, $C$9, 100%, $E$9)</f>
        <v>22.896699999999999</v>
      </c>
      <c r="J707" s="11">
        <f>22.8931 * CHOOSE(CONTROL!$C$32, $C$9, 100%, $E$9)</f>
        <v>22.8931</v>
      </c>
      <c r="K707" s="11">
        <f>22.8967 * CHOOSE(CONTROL!$C$32, $C$9, 100%, $E$9)</f>
        <v>22.896699999999999</v>
      </c>
      <c r="L707" s="11">
        <f>11.5173 * CHOOSE(CONTROL!$C$32, $C$9, 100%, $E$9)</f>
        <v>11.517300000000001</v>
      </c>
      <c r="M707" s="11">
        <f>11.521 * CHOOSE(CONTROL!$C$32, $C$9, 100%, $E$9)</f>
        <v>11.521000000000001</v>
      </c>
      <c r="N707" s="11">
        <f>11.5173 * CHOOSE(CONTROL!$C$32, $C$9, 100%, $E$9)</f>
        <v>11.517300000000001</v>
      </c>
      <c r="O707" s="11">
        <f>11.521 * CHOOSE(CONTROL!$C$32, $C$9, 100%, $E$9)</f>
        <v>11.521000000000001</v>
      </c>
    </row>
    <row r="708" spans="1:15" ht="15" x14ac:dyDescent="0.2">
      <c r="A708" s="13">
        <v>62398</v>
      </c>
      <c r="B708" s="9">
        <f>10.2857 * CHOOSE(CONTROL!$C$32, $C$9, 100%, $E$9)</f>
        <v>10.2857</v>
      </c>
      <c r="C708" s="9">
        <f>10.2857 * CHOOSE(CONTROL!$C$32, $C$9, 100%, $E$9)</f>
        <v>10.2857</v>
      </c>
      <c r="D708" s="9">
        <f>10.2867 * CHOOSE(CONTROL!$C$32, $C$9, 100%, $E$9)</f>
        <v>10.2867</v>
      </c>
      <c r="E708" s="11">
        <f>11.5806 * CHOOSE(CONTROL!$C$32, $C$9, 100%, $E$9)</f>
        <v>11.5806</v>
      </c>
      <c r="F708" s="11">
        <f>11.5806 * CHOOSE(CONTROL!$C$32, $C$9, 100%, $E$9)</f>
        <v>11.5806</v>
      </c>
      <c r="G708" s="11">
        <f>11.5842 * CHOOSE(CONTROL!$C$32, $C$9, 100%, $E$9)</f>
        <v>11.584199999999999</v>
      </c>
      <c r="H708" s="11">
        <f>22.9408 * CHOOSE(CONTROL!$C$32, $C$9, 100%, $E$9)</f>
        <v>22.940799999999999</v>
      </c>
      <c r="I708" s="11">
        <f>22.9444 * CHOOSE(CONTROL!$C$32, $C$9, 100%, $E$9)</f>
        <v>22.944400000000002</v>
      </c>
      <c r="J708" s="11">
        <f>22.9408 * CHOOSE(CONTROL!$C$32, $C$9, 100%, $E$9)</f>
        <v>22.940799999999999</v>
      </c>
      <c r="K708" s="11">
        <f>22.9444 * CHOOSE(CONTROL!$C$32, $C$9, 100%, $E$9)</f>
        <v>22.944400000000002</v>
      </c>
      <c r="L708" s="11">
        <f>11.5806 * CHOOSE(CONTROL!$C$32, $C$9, 100%, $E$9)</f>
        <v>11.5806</v>
      </c>
      <c r="M708" s="11">
        <f>11.5842 * CHOOSE(CONTROL!$C$32, $C$9, 100%, $E$9)</f>
        <v>11.584199999999999</v>
      </c>
      <c r="N708" s="11">
        <f>11.5806 * CHOOSE(CONTROL!$C$32, $C$9, 100%, $E$9)</f>
        <v>11.5806</v>
      </c>
      <c r="O708" s="11">
        <f>11.5842 * CHOOSE(CONTROL!$C$32, $C$9, 100%, $E$9)</f>
        <v>11.584199999999999</v>
      </c>
    </row>
    <row r="709" spans="1:15" ht="15" x14ac:dyDescent="0.2">
      <c r="A709" s="13">
        <v>62428</v>
      </c>
      <c r="B709" s="9">
        <f>10.2857 * CHOOSE(CONTROL!$C$32, $C$9, 100%, $E$9)</f>
        <v>10.2857</v>
      </c>
      <c r="C709" s="9">
        <f>10.2857 * CHOOSE(CONTROL!$C$32, $C$9, 100%, $E$9)</f>
        <v>10.2857</v>
      </c>
      <c r="D709" s="9">
        <f>10.2867 * CHOOSE(CONTROL!$C$32, $C$9, 100%, $E$9)</f>
        <v>10.2867</v>
      </c>
      <c r="E709" s="11">
        <f>11.4277 * CHOOSE(CONTROL!$C$32, $C$9, 100%, $E$9)</f>
        <v>11.4277</v>
      </c>
      <c r="F709" s="11">
        <f>11.4277 * CHOOSE(CONTROL!$C$32, $C$9, 100%, $E$9)</f>
        <v>11.4277</v>
      </c>
      <c r="G709" s="11">
        <f>11.4314 * CHOOSE(CONTROL!$C$32, $C$9, 100%, $E$9)</f>
        <v>11.4314</v>
      </c>
      <c r="H709" s="11">
        <f>22.9886 * CHOOSE(CONTROL!$C$32, $C$9, 100%, $E$9)</f>
        <v>22.988600000000002</v>
      </c>
      <c r="I709" s="11">
        <f>22.9922 * CHOOSE(CONTROL!$C$32, $C$9, 100%, $E$9)</f>
        <v>22.9922</v>
      </c>
      <c r="J709" s="11">
        <f>22.9886 * CHOOSE(CONTROL!$C$32, $C$9, 100%, $E$9)</f>
        <v>22.988600000000002</v>
      </c>
      <c r="K709" s="11">
        <f>22.9922 * CHOOSE(CONTROL!$C$32, $C$9, 100%, $E$9)</f>
        <v>22.9922</v>
      </c>
      <c r="L709" s="11">
        <f>11.4277 * CHOOSE(CONTROL!$C$32, $C$9, 100%, $E$9)</f>
        <v>11.4277</v>
      </c>
      <c r="M709" s="11">
        <f>11.4314 * CHOOSE(CONTROL!$C$32, $C$9, 100%, $E$9)</f>
        <v>11.4314</v>
      </c>
      <c r="N709" s="11">
        <f>11.4277 * CHOOSE(CONTROL!$C$32, $C$9, 100%, $E$9)</f>
        <v>11.4277</v>
      </c>
      <c r="O709" s="11">
        <f>11.4314 * CHOOSE(CONTROL!$C$32, $C$9, 100%, $E$9)</f>
        <v>11.4314</v>
      </c>
    </row>
    <row r="710" spans="1:15" ht="15" x14ac:dyDescent="0.2">
      <c r="A710" s="13">
        <v>62459</v>
      </c>
      <c r="B710" s="9">
        <f>10.3184 * CHOOSE(CONTROL!$C$32, $C$9, 100%, $E$9)</f>
        <v>10.3184</v>
      </c>
      <c r="C710" s="9">
        <f>10.3184 * CHOOSE(CONTROL!$C$32, $C$9, 100%, $E$9)</f>
        <v>10.3184</v>
      </c>
      <c r="D710" s="9">
        <f>10.3195 * CHOOSE(CONTROL!$C$32, $C$9, 100%, $E$9)</f>
        <v>10.3195</v>
      </c>
      <c r="E710" s="11">
        <f>11.583 * CHOOSE(CONTROL!$C$32, $C$9, 100%, $E$9)</f>
        <v>11.583</v>
      </c>
      <c r="F710" s="11">
        <f>11.583 * CHOOSE(CONTROL!$C$32, $C$9, 100%, $E$9)</f>
        <v>11.583</v>
      </c>
      <c r="G710" s="11">
        <f>11.5866 * CHOOSE(CONTROL!$C$32, $C$9, 100%, $E$9)</f>
        <v>11.586600000000001</v>
      </c>
      <c r="H710" s="11">
        <f>22.9218 * CHOOSE(CONTROL!$C$32, $C$9, 100%, $E$9)</f>
        <v>22.921800000000001</v>
      </c>
      <c r="I710" s="11">
        <f>22.9254 * CHOOSE(CONTROL!$C$32, $C$9, 100%, $E$9)</f>
        <v>22.9254</v>
      </c>
      <c r="J710" s="11">
        <f>22.9218 * CHOOSE(CONTROL!$C$32, $C$9, 100%, $E$9)</f>
        <v>22.921800000000001</v>
      </c>
      <c r="K710" s="11">
        <f>22.9254 * CHOOSE(CONTROL!$C$32, $C$9, 100%, $E$9)</f>
        <v>22.9254</v>
      </c>
      <c r="L710" s="11">
        <f>11.583 * CHOOSE(CONTROL!$C$32, $C$9, 100%, $E$9)</f>
        <v>11.583</v>
      </c>
      <c r="M710" s="11">
        <f>11.5866 * CHOOSE(CONTROL!$C$32, $C$9, 100%, $E$9)</f>
        <v>11.586600000000001</v>
      </c>
      <c r="N710" s="11">
        <f>11.583 * CHOOSE(CONTROL!$C$32, $C$9, 100%, $E$9)</f>
        <v>11.583</v>
      </c>
      <c r="O710" s="11">
        <f>11.5866 * CHOOSE(CONTROL!$C$32, $C$9, 100%, $E$9)</f>
        <v>11.586600000000001</v>
      </c>
    </row>
    <row r="711" spans="1:15" ht="15" x14ac:dyDescent="0.2">
      <c r="A711" s="13">
        <v>62490</v>
      </c>
      <c r="B711" s="9">
        <f>10.3154 * CHOOSE(CONTROL!$C$32, $C$9, 100%, $E$9)</f>
        <v>10.3154</v>
      </c>
      <c r="C711" s="9">
        <f>10.3154 * CHOOSE(CONTROL!$C$32, $C$9, 100%, $E$9)</f>
        <v>10.3154</v>
      </c>
      <c r="D711" s="9">
        <f>10.3165 * CHOOSE(CONTROL!$C$32, $C$9, 100%, $E$9)</f>
        <v>10.3165</v>
      </c>
      <c r="E711" s="11">
        <f>11.2849 * CHOOSE(CONTROL!$C$32, $C$9, 100%, $E$9)</f>
        <v>11.2849</v>
      </c>
      <c r="F711" s="11">
        <f>11.2849 * CHOOSE(CONTROL!$C$32, $C$9, 100%, $E$9)</f>
        <v>11.2849</v>
      </c>
      <c r="G711" s="11">
        <f>11.2885 * CHOOSE(CONTROL!$C$32, $C$9, 100%, $E$9)</f>
        <v>11.288500000000001</v>
      </c>
      <c r="H711" s="11">
        <f>22.9696 * CHOOSE(CONTROL!$C$32, $C$9, 100%, $E$9)</f>
        <v>22.9696</v>
      </c>
      <c r="I711" s="11">
        <f>22.9732 * CHOOSE(CONTROL!$C$32, $C$9, 100%, $E$9)</f>
        <v>22.973199999999999</v>
      </c>
      <c r="J711" s="11">
        <f>22.9696 * CHOOSE(CONTROL!$C$32, $C$9, 100%, $E$9)</f>
        <v>22.9696</v>
      </c>
      <c r="K711" s="11">
        <f>22.9732 * CHOOSE(CONTROL!$C$32, $C$9, 100%, $E$9)</f>
        <v>22.973199999999999</v>
      </c>
      <c r="L711" s="11">
        <f>11.2849 * CHOOSE(CONTROL!$C$32, $C$9, 100%, $E$9)</f>
        <v>11.2849</v>
      </c>
      <c r="M711" s="11">
        <f>11.2885 * CHOOSE(CONTROL!$C$32, $C$9, 100%, $E$9)</f>
        <v>11.288500000000001</v>
      </c>
      <c r="N711" s="11">
        <f>11.2849 * CHOOSE(CONTROL!$C$32, $C$9, 100%, $E$9)</f>
        <v>11.2849</v>
      </c>
      <c r="O711" s="11">
        <f>11.2885 * CHOOSE(CONTROL!$C$32, $C$9, 100%, $E$9)</f>
        <v>11.288500000000001</v>
      </c>
    </row>
    <row r="712" spans="1:15" ht="15" x14ac:dyDescent="0.2">
      <c r="A712" s="13">
        <v>62518</v>
      </c>
      <c r="B712" s="9">
        <f>10.3123 * CHOOSE(CONTROL!$C$32, $C$9, 100%, $E$9)</f>
        <v>10.3123</v>
      </c>
      <c r="C712" s="9">
        <f>10.3123 * CHOOSE(CONTROL!$C$32, $C$9, 100%, $E$9)</f>
        <v>10.3123</v>
      </c>
      <c r="D712" s="9">
        <f>10.3134 * CHOOSE(CONTROL!$C$32, $C$9, 100%, $E$9)</f>
        <v>10.3134</v>
      </c>
      <c r="E712" s="11">
        <f>11.5161 * CHOOSE(CONTROL!$C$32, $C$9, 100%, $E$9)</f>
        <v>11.5161</v>
      </c>
      <c r="F712" s="11">
        <f>11.5161 * CHOOSE(CONTROL!$C$32, $C$9, 100%, $E$9)</f>
        <v>11.5161</v>
      </c>
      <c r="G712" s="11">
        <f>11.5198 * CHOOSE(CONTROL!$C$32, $C$9, 100%, $E$9)</f>
        <v>11.5198</v>
      </c>
      <c r="H712" s="11">
        <f>23.0174 * CHOOSE(CONTROL!$C$32, $C$9, 100%, $E$9)</f>
        <v>23.017399999999999</v>
      </c>
      <c r="I712" s="11">
        <f>23.021 * CHOOSE(CONTROL!$C$32, $C$9, 100%, $E$9)</f>
        <v>23.021000000000001</v>
      </c>
      <c r="J712" s="11">
        <f>23.0174 * CHOOSE(CONTROL!$C$32, $C$9, 100%, $E$9)</f>
        <v>23.017399999999999</v>
      </c>
      <c r="K712" s="11">
        <f>23.021 * CHOOSE(CONTROL!$C$32, $C$9, 100%, $E$9)</f>
        <v>23.021000000000001</v>
      </c>
      <c r="L712" s="11">
        <f>11.5161 * CHOOSE(CONTROL!$C$32, $C$9, 100%, $E$9)</f>
        <v>11.5161</v>
      </c>
      <c r="M712" s="11">
        <f>11.5198 * CHOOSE(CONTROL!$C$32, $C$9, 100%, $E$9)</f>
        <v>11.5198</v>
      </c>
      <c r="N712" s="11">
        <f>11.5161 * CHOOSE(CONTROL!$C$32, $C$9, 100%, $E$9)</f>
        <v>11.5161</v>
      </c>
      <c r="O712" s="11">
        <f>11.5198 * CHOOSE(CONTROL!$C$32, $C$9, 100%, $E$9)</f>
        <v>11.5198</v>
      </c>
    </row>
    <row r="713" spans="1:15" ht="15" x14ac:dyDescent="0.2">
      <c r="A713" s="13">
        <v>62549</v>
      </c>
      <c r="B713" s="9">
        <f>10.3161 * CHOOSE(CONTROL!$C$32, $C$9, 100%, $E$9)</f>
        <v>10.3161</v>
      </c>
      <c r="C713" s="9">
        <f>10.3161 * CHOOSE(CONTROL!$C$32, $C$9, 100%, $E$9)</f>
        <v>10.3161</v>
      </c>
      <c r="D713" s="9">
        <f>10.3172 * CHOOSE(CONTROL!$C$32, $C$9, 100%, $E$9)</f>
        <v>10.3172</v>
      </c>
      <c r="E713" s="11">
        <f>11.7625 * CHOOSE(CONTROL!$C$32, $C$9, 100%, $E$9)</f>
        <v>11.762499999999999</v>
      </c>
      <c r="F713" s="11">
        <f>11.7625 * CHOOSE(CONTROL!$C$32, $C$9, 100%, $E$9)</f>
        <v>11.762499999999999</v>
      </c>
      <c r="G713" s="11">
        <f>11.7661 * CHOOSE(CONTROL!$C$32, $C$9, 100%, $E$9)</f>
        <v>11.7661</v>
      </c>
      <c r="H713" s="11">
        <f>23.0654 * CHOOSE(CONTROL!$C$32, $C$9, 100%, $E$9)</f>
        <v>23.0654</v>
      </c>
      <c r="I713" s="11">
        <f>23.069 * CHOOSE(CONTROL!$C$32, $C$9, 100%, $E$9)</f>
        <v>23.068999999999999</v>
      </c>
      <c r="J713" s="11">
        <f>23.0654 * CHOOSE(CONTROL!$C$32, $C$9, 100%, $E$9)</f>
        <v>23.0654</v>
      </c>
      <c r="K713" s="11">
        <f>23.069 * CHOOSE(CONTROL!$C$32, $C$9, 100%, $E$9)</f>
        <v>23.068999999999999</v>
      </c>
      <c r="L713" s="11">
        <f>11.7625 * CHOOSE(CONTROL!$C$32, $C$9, 100%, $E$9)</f>
        <v>11.762499999999999</v>
      </c>
      <c r="M713" s="11">
        <f>11.7661 * CHOOSE(CONTROL!$C$32, $C$9, 100%, $E$9)</f>
        <v>11.7661</v>
      </c>
      <c r="N713" s="11">
        <f>11.7625 * CHOOSE(CONTROL!$C$32, $C$9, 100%, $E$9)</f>
        <v>11.762499999999999</v>
      </c>
      <c r="O713" s="11">
        <f>11.7661 * CHOOSE(CONTROL!$C$32, $C$9, 100%, $E$9)</f>
        <v>11.7661</v>
      </c>
    </row>
    <row r="714" spans="1:15" ht="15" x14ac:dyDescent="0.2">
      <c r="A714" s="13">
        <v>62579</v>
      </c>
      <c r="B714" s="9">
        <f>10.3161 * CHOOSE(CONTROL!$C$32, $C$9, 100%, $E$9)</f>
        <v>10.3161</v>
      </c>
      <c r="C714" s="9">
        <f>10.3161 * CHOOSE(CONTROL!$C$32, $C$9, 100%, $E$9)</f>
        <v>10.3161</v>
      </c>
      <c r="D714" s="9">
        <f>10.3177 * CHOOSE(CONTROL!$C$32, $C$9, 100%, $E$9)</f>
        <v>10.3177</v>
      </c>
      <c r="E714" s="11">
        <f>11.8565 * CHOOSE(CONTROL!$C$32, $C$9, 100%, $E$9)</f>
        <v>11.8565</v>
      </c>
      <c r="F714" s="11">
        <f>11.8565 * CHOOSE(CONTROL!$C$32, $C$9, 100%, $E$9)</f>
        <v>11.8565</v>
      </c>
      <c r="G714" s="11">
        <f>11.8618 * CHOOSE(CONTROL!$C$32, $C$9, 100%, $E$9)</f>
        <v>11.861800000000001</v>
      </c>
      <c r="H714" s="11">
        <f>23.1134 * CHOOSE(CONTROL!$C$32, $C$9, 100%, $E$9)</f>
        <v>23.113399999999999</v>
      </c>
      <c r="I714" s="11">
        <f>23.1187 * CHOOSE(CONTROL!$C$32, $C$9, 100%, $E$9)</f>
        <v>23.1187</v>
      </c>
      <c r="J714" s="11">
        <f>23.1134 * CHOOSE(CONTROL!$C$32, $C$9, 100%, $E$9)</f>
        <v>23.113399999999999</v>
      </c>
      <c r="K714" s="11">
        <f>23.1187 * CHOOSE(CONTROL!$C$32, $C$9, 100%, $E$9)</f>
        <v>23.1187</v>
      </c>
      <c r="L714" s="11">
        <f>11.8565 * CHOOSE(CONTROL!$C$32, $C$9, 100%, $E$9)</f>
        <v>11.8565</v>
      </c>
      <c r="M714" s="11">
        <f>11.8618 * CHOOSE(CONTROL!$C$32, $C$9, 100%, $E$9)</f>
        <v>11.861800000000001</v>
      </c>
      <c r="N714" s="11">
        <f>11.8565 * CHOOSE(CONTROL!$C$32, $C$9, 100%, $E$9)</f>
        <v>11.8565</v>
      </c>
      <c r="O714" s="11">
        <f>11.8618 * CHOOSE(CONTROL!$C$32, $C$9, 100%, $E$9)</f>
        <v>11.861800000000001</v>
      </c>
    </row>
    <row r="715" spans="1:15" ht="15" x14ac:dyDescent="0.2">
      <c r="A715" s="13">
        <v>62610</v>
      </c>
      <c r="B715" s="9">
        <f>10.3222 * CHOOSE(CONTROL!$C$32, $C$9, 100%, $E$9)</f>
        <v>10.3222</v>
      </c>
      <c r="C715" s="9">
        <f>10.3222 * CHOOSE(CONTROL!$C$32, $C$9, 100%, $E$9)</f>
        <v>10.3222</v>
      </c>
      <c r="D715" s="9">
        <f>10.3238 * CHOOSE(CONTROL!$C$32, $C$9, 100%, $E$9)</f>
        <v>10.3238</v>
      </c>
      <c r="E715" s="11">
        <f>11.7667 * CHOOSE(CONTROL!$C$32, $C$9, 100%, $E$9)</f>
        <v>11.7667</v>
      </c>
      <c r="F715" s="11">
        <f>11.7667 * CHOOSE(CONTROL!$C$32, $C$9, 100%, $E$9)</f>
        <v>11.7667</v>
      </c>
      <c r="G715" s="11">
        <f>11.772 * CHOOSE(CONTROL!$C$32, $C$9, 100%, $E$9)</f>
        <v>11.772</v>
      </c>
      <c r="H715" s="11">
        <f>23.1616 * CHOOSE(CONTROL!$C$32, $C$9, 100%, $E$9)</f>
        <v>23.1616</v>
      </c>
      <c r="I715" s="11">
        <f>23.1669 * CHOOSE(CONTROL!$C$32, $C$9, 100%, $E$9)</f>
        <v>23.166899999999998</v>
      </c>
      <c r="J715" s="11">
        <f>23.1616 * CHOOSE(CONTROL!$C$32, $C$9, 100%, $E$9)</f>
        <v>23.1616</v>
      </c>
      <c r="K715" s="11">
        <f>23.1669 * CHOOSE(CONTROL!$C$32, $C$9, 100%, $E$9)</f>
        <v>23.166899999999998</v>
      </c>
      <c r="L715" s="11">
        <f>11.7667 * CHOOSE(CONTROL!$C$32, $C$9, 100%, $E$9)</f>
        <v>11.7667</v>
      </c>
      <c r="M715" s="11">
        <f>11.772 * CHOOSE(CONTROL!$C$32, $C$9, 100%, $E$9)</f>
        <v>11.772</v>
      </c>
      <c r="N715" s="11">
        <f>11.7667 * CHOOSE(CONTROL!$C$32, $C$9, 100%, $E$9)</f>
        <v>11.7667</v>
      </c>
      <c r="O715" s="11">
        <f>11.772 * CHOOSE(CONTROL!$C$32, $C$9, 100%, $E$9)</f>
        <v>11.772</v>
      </c>
    </row>
    <row r="716" spans="1:15" ht="15" x14ac:dyDescent="0.2">
      <c r="A716" s="13">
        <v>62640</v>
      </c>
      <c r="B716" s="9">
        <f>10.4501 * CHOOSE(CONTROL!$C$32, $C$9, 100%, $E$9)</f>
        <v>10.450100000000001</v>
      </c>
      <c r="C716" s="9">
        <f>10.4501 * CHOOSE(CONTROL!$C$32, $C$9, 100%, $E$9)</f>
        <v>10.450100000000001</v>
      </c>
      <c r="D716" s="9">
        <f>10.4517 * CHOOSE(CONTROL!$C$32, $C$9, 100%, $E$9)</f>
        <v>10.451700000000001</v>
      </c>
      <c r="E716" s="11">
        <f>11.9319 * CHOOSE(CONTROL!$C$32, $C$9, 100%, $E$9)</f>
        <v>11.931900000000001</v>
      </c>
      <c r="F716" s="11">
        <f>11.9319 * CHOOSE(CONTROL!$C$32, $C$9, 100%, $E$9)</f>
        <v>11.931900000000001</v>
      </c>
      <c r="G716" s="11">
        <f>11.9371 * CHOOSE(CONTROL!$C$32, $C$9, 100%, $E$9)</f>
        <v>11.937099999999999</v>
      </c>
      <c r="H716" s="11">
        <f>23.2098 * CHOOSE(CONTROL!$C$32, $C$9, 100%, $E$9)</f>
        <v>23.209800000000001</v>
      </c>
      <c r="I716" s="11">
        <f>23.2151 * CHOOSE(CONTROL!$C$32, $C$9, 100%, $E$9)</f>
        <v>23.2151</v>
      </c>
      <c r="J716" s="11">
        <f>23.2098 * CHOOSE(CONTROL!$C$32, $C$9, 100%, $E$9)</f>
        <v>23.209800000000001</v>
      </c>
      <c r="K716" s="11">
        <f>23.2151 * CHOOSE(CONTROL!$C$32, $C$9, 100%, $E$9)</f>
        <v>23.2151</v>
      </c>
      <c r="L716" s="11">
        <f>11.9319 * CHOOSE(CONTROL!$C$32, $C$9, 100%, $E$9)</f>
        <v>11.931900000000001</v>
      </c>
      <c r="M716" s="11">
        <f>11.9371 * CHOOSE(CONTROL!$C$32, $C$9, 100%, $E$9)</f>
        <v>11.937099999999999</v>
      </c>
      <c r="N716" s="11">
        <f>11.9319 * CHOOSE(CONTROL!$C$32, $C$9, 100%, $E$9)</f>
        <v>11.931900000000001</v>
      </c>
      <c r="O716" s="11">
        <f>11.9371 * CHOOSE(CONTROL!$C$32, $C$9, 100%, $E$9)</f>
        <v>11.937099999999999</v>
      </c>
    </row>
    <row r="717" spans="1:15" ht="15" x14ac:dyDescent="0.2">
      <c r="A717" s="13">
        <v>62671</v>
      </c>
      <c r="B717" s="9">
        <f>10.4568 * CHOOSE(CONTROL!$C$32, $C$9, 100%, $E$9)</f>
        <v>10.456799999999999</v>
      </c>
      <c r="C717" s="9">
        <f>10.4568 * CHOOSE(CONTROL!$C$32, $C$9, 100%, $E$9)</f>
        <v>10.456799999999999</v>
      </c>
      <c r="D717" s="9">
        <f>10.4584 * CHOOSE(CONTROL!$C$32, $C$9, 100%, $E$9)</f>
        <v>10.458399999999999</v>
      </c>
      <c r="E717" s="11">
        <f>11.6546 * CHOOSE(CONTROL!$C$32, $C$9, 100%, $E$9)</f>
        <v>11.6546</v>
      </c>
      <c r="F717" s="11">
        <f>11.6546 * CHOOSE(CONTROL!$C$32, $C$9, 100%, $E$9)</f>
        <v>11.6546</v>
      </c>
      <c r="G717" s="11">
        <f>11.6599 * CHOOSE(CONTROL!$C$32, $C$9, 100%, $E$9)</f>
        <v>11.6599</v>
      </c>
      <c r="H717" s="11">
        <f>23.2582 * CHOOSE(CONTROL!$C$32, $C$9, 100%, $E$9)</f>
        <v>23.258199999999999</v>
      </c>
      <c r="I717" s="11">
        <f>23.2635 * CHOOSE(CONTROL!$C$32, $C$9, 100%, $E$9)</f>
        <v>23.263500000000001</v>
      </c>
      <c r="J717" s="11">
        <f>23.2582 * CHOOSE(CONTROL!$C$32, $C$9, 100%, $E$9)</f>
        <v>23.258199999999999</v>
      </c>
      <c r="K717" s="11">
        <f>23.2635 * CHOOSE(CONTROL!$C$32, $C$9, 100%, $E$9)</f>
        <v>23.263500000000001</v>
      </c>
      <c r="L717" s="11">
        <f>11.6546 * CHOOSE(CONTROL!$C$32, $C$9, 100%, $E$9)</f>
        <v>11.6546</v>
      </c>
      <c r="M717" s="11">
        <f>11.6599 * CHOOSE(CONTROL!$C$32, $C$9, 100%, $E$9)</f>
        <v>11.6599</v>
      </c>
      <c r="N717" s="11">
        <f>11.6546 * CHOOSE(CONTROL!$C$32, $C$9, 100%, $E$9)</f>
        <v>11.6546</v>
      </c>
      <c r="O717" s="11">
        <f>11.6599 * CHOOSE(CONTROL!$C$32, $C$9, 100%, $E$9)</f>
        <v>11.6599</v>
      </c>
    </row>
    <row r="718" spans="1:15" ht="15" x14ac:dyDescent="0.2">
      <c r="A718" s="13">
        <v>62702</v>
      </c>
      <c r="B718" s="9">
        <f>10.4538 * CHOOSE(CONTROL!$C$32, $C$9, 100%, $E$9)</f>
        <v>10.453799999999999</v>
      </c>
      <c r="C718" s="9">
        <f>10.4538 * CHOOSE(CONTROL!$C$32, $C$9, 100%, $E$9)</f>
        <v>10.453799999999999</v>
      </c>
      <c r="D718" s="9">
        <f>10.4553 * CHOOSE(CONTROL!$C$32, $C$9, 100%, $E$9)</f>
        <v>10.455299999999999</v>
      </c>
      <c r="E718" s="11">
        <f>11.6211 * CHOOSE(CONTROL!$C$32, $C$9, 100%, $E$9)</f>
        <v>11.6211</v>
      </c>
      <c r="F718" s="11">
        <f>11.6211 * CHOOSE(CONTROL!$C$32, $C$9, 100%, $E$9)</f>
        <v>11.6211</v>
      </c>
      <c r="G718" s="11">
        <f>11.6264 * CHOOSE(CONTROL!$C$32, $C$9, 100%, $E$9)</f>
        <v>11.6264</v>
      </c>
      <c r="H718" s="11">
        <f>23.3067 * CHOOSE(CONTROL!$C$32, $C$9, 100%, $E$9)</f>
        <v>23.306699999999999</v>
      </c>
      <c r="I718" s="11">
        <f>23.3119 * CHOOSE(CONTROL!$C$32, $C$9, 100%, $E$9)</f>
        <v>23.311900000000001</v>
      </c>
      <c r="J718" s="11">
        <f>23.3067 * CHOOSE(CONTROL!$C$32, $C$9, 100%, $E$9)</f>
        <v>23.306699999999999</v>
      </c>
      <c r="K718" s="11">
        <f>23.3119 * CHOOSE(CONTROL!$C$32, $C$9, 100%, $E$9)</f>
        <v>23.311900000000001</v>
      </c>
      <c r="L718" s="11">
        <f>11.6211 * CHOOSE(CONTROL!$C$32, $C$9, 100%, $E$9)</f>
        <v>11.6211</v>
      </c>
      <c r="M718" s="11">
        <f>11.6264 * CHOOSE(CONTROL!$C$32, $C$9, 100%, $E$9)</f>
        <v>11.6264</v>
      </c>
      <c r="N718" s="11">
        <f>11.6211 * CHOOSE(CONTROL!$C$32, $C$9, 100%, $E$9)</f>
        <v>11.6211</v>
      </c>
      <c r="O718" s="11">
        <f>11.6264 * CHOOSE(CONTROL!$C$32, $C$9, 100%, $E$9)</f>
        <v>11.6264</v>
      </c>
    </row>
    <row r="719" spans="1:15" ht="15" x14ac:dyDescent="0.2">
      <c r="A719" s="13">
        <v>62732</v>
      </c>
      <c r="B719" s="9">
        <f>10.4729 * CHOOSE(CONTROL!$C$32, $C$9, 100%, $E$9)</f>
        <v>10.472899999999999</v>
      </c>
      <c r="C719" s="9">
        <f>10.4729 * CHOOSE(CONTROL!$C$32, $C$9, 100%, $E$9)</f>
        <v>10.472899999999999</v>
      </c>
      <c r="D719" s="9">
        <f>10.474 * CHOOSE(CONTROL!$C$32, $C$9, 100%, $E$9)</f>
        <v>10.474</v>
      </c>
      <c r="E719" s="11">
        <f>11.733 * CHOOSE(CONTROL!$C$32, $C$9, 100%, $E$9)</f>
        <v>11.733000000000001</v>
      </c>
      <c r="F719" s="11">
        <f>11.733 * CHOOSE(CONTROL!$C$32, $C$9, 100%, $E$9)</f>
        <v>11.733000000000001</v>
      </c>
      <c r="G719" s="11">
        <f>11.7366 * CHOOSE(CONTROL!$C$32, $C$9, 100%, $E$9)</f>
        <v>11.736599999999999</v>
      </c>
      <c r="H719" s="11">
        <f>23.3552 * CHOOSE(CONTROL!$C$32, $C$9, 100%, $E$9)</f>
        <v>23.3552</v>
      </c>
      <c r="I719" s="11">
        <f>23.3588 * CHOOSE(CONTROL!$C$32, $C$9, 100%, $E$9)</f>
        <v>23.358799999999999</v>
      </c>
      <c r="J719" s="11">
        <f>23.3552 * CHOOSE(CONTROL!$C$32, $C$9, 100%, $E$9)</f>
        <v>23.3552</v>
      </c>
      <c r="K719" s="11">
        <f>23.3588 * CHOOSE(CONTROL!$C$32, $C$9, 100%, $E$9)</f>
        <v>23.358799999999999</v>
      </c>
      <c r="L719" s="11">
        <f>11.733 * CHOOSE(CONTROL!$C$32, $C$9, 100%, $E$9)</f>
        <v>11.733000000000001</v>
      </c>
      <c r="M719" s="11">
        <f>11.7366 * CHOOSE(CONTROL!$C$32, $C$9, 100%, $E$9)</f>
        <v>11.736599999999999</v>
      </c>
      <c r="N719" s="11">
        <f>11.733 * CHOOSE(CONTROL!$C$32, $C$9, 100%, $E$9)</f>
        <v>11.733000000000001</v>
      </c>
      <c r="O719" s="11">
        <f>11.7366 * CHOOSE(CONTROL!$C$32, $C$9, 100%, $E$9)</f>
        <v>11.736599999999999</v>
      </c>
    </row>
    <row r="720" spans="1:15" ht="15" x14ac:dyDescent="0.2">
      <c r="A720" s="13">
        <v>62763</v>
      </c>
      <c r="B720" s="9">
        <f>10.476 * CHOOSE(CONTROL!$C$32, $C$9, 100%, $E$9)</f>
        <v>10.476000000000001</v>
      </c>
      <c r="C720" s="9">
        <f>10.476 * CHOOSE(CONTROL!$C$32, $C$9, 100%, $E$9)</f>
        <v>10.476000000000001</v>
      </c>
      <c r="D720" s="9">
        <f>10.477 * CHOOSE(CONTROL!$C$32, $C$9, 100%, $E$9)</f>
        <v>10.477</v>
      </c>
      <c r="E720" s="11">
        <f>11.7978 * CHOOSE(CONTROL!$C$32, $C$9, 100%, $E$9)</f>
        <v>11.797800000000001</v>
      </c>
      <c r="F720" s="11">
        <f>11.7978 * CHOOSE(CONTROL!$C$32, $C$9, 100%, $E$9)</f>
        <v>11.797800000000001</v>
      </c>
      <c r="G720" s="11">
        <f>11.8014 * CHOOSE(CONTROL!$C$32, $C$9, 100%, $E$9)</f>
        <v>11.801399999999999</v>
      </c>
      <c r="H720" s="11">
        <f>23.4039 * CHOOSE(CONTROL!$C$32, $C$9, 100%, $E$9)</f>
        <v>23.4039</v>
      </c>
      <c r="I720" s="11">
        <f>23.4075 * CHOOSE(CONTROL!$C$32, $C$9, 100%, $E$9)</f>
        <v>23.407499999999999</v>
      </c>
      <c r="J720" s="11">
        <f>23.4039 * CHOOSE(CONTROL!$C$32, $C$9, 100%, $E$9)</f>
        <v>23.4039</v>
      </c>
      <c r="K720" s="11">
        <f>23.4075 * CHOOSE(CONTROL!$C$32, $C$9, 100%, $E$9)</f>
        <v>23.407499999999999</v>
      </c>
      <c r="L720" s="11">
        <f>11.7978 * CHOOSE(CONTROL!$C$32, $C$9, 100%, $E$9)</f>
        <v>11.797800000000001</v>
      </c>
      <c r="M720" s="11">
        <f>11.8014 * CHOOSE(CONTROL!$C$32, $C$9, 100%, $E$9)</f>
        <v>11.801399999999999</v>
      </c>
      <c r="N720" s="11">
        <f>11.7978 * CHOOSE(CONTROL!$C$32, $C$9, 100%, $E$9)</f>
        <v>11.797800000000001</v>
      </c>
      <c r="O720" s="11">
        <f>11.8014 * CHOOSE(CONTROL!$C$32, $C$9, 100%, $E$9)</f>
        <v>11.801399999999999</v>
      </c>
    </row>
    <row r="721" spans="1:15" ht="15" x14ac:dyDescent="0.2">
      <c r="A721" s="13">
        <v>62793</v>
      </c>
      <c r="B721" s="9">
        <f>10.476 * CHOOSE(CONTROL!$C$32, $C$9, 100%, $E$9)</f>
        <v>10.476000000000001</v>
      </c>
      <c r="C721" s="9">
        <f>10.476 * CHOOSE(CONTROL!$C$32, $C$9, 100%, $E$9)</f>
        <v>10.476000000000001</v>
      </c>
      <c r="D721" s="9">
        <f>10.477 * CHOOSE(CONTROL!$C$32, $C$9, 100%, $E$9)</f>
        <v>10.477</v>
      </c>
      <c r="E721" s="11">
        <f>11.6412 * CHOOSE(CONTROL!$C$32, $C$9, 100%, $E$9)</f>
        <v>11.6412</v>
      </c>
      <c r="F721" s="11">
        <f>11.6412 * CHOOSE(CONTROL!$C$32, $C$9, 100%, $E$9)</f>
        <v>11.6412</v>
      </c>
      <c r="G721" s="11">
        <f>11.6448 * CHOOSE(CONTROL!$C$32, $C$9, 100%, $E$9)</f>
        <v>11.6448</v>
      </c>
      <c r="H721" s="11">
        <f>23.4526 * CHOOSE(CONTROL!$C$32, $C$9, 100%, $E$9)</f>
        <v>23.4526</v>
      </c>
      <c r="I721" s="11">
        <f>23.4562 * CHOOSE(CONTROL!$C$32, $C$9, 100%, $E$9)</f>
        <v>23.456199999999999</v>
      </c>
      <c r="J721" s="11">
        <f>23.4526 * CHOOSE(CONTROL!$C$32, $C$9, 100%, $E$9)</f>
        <v>23.4526</v>
      </c>
      <c r="K721" s="11">
        <f>23.4562 * CHOOSE(CONTROL!$C$32, $C$9, 100%, $E$9)</f>
        <v>23.456199999999999</v>
      </c>
      <c r="L721" s="11">
        <f>11.6412 * CHOOSE(CONTROL!$C$32, $C$9, 100%, $E$9)</f>
        <v>11.6412</v>
      </c>
      <c r="M721" s="11">
        <f>11.6448 * CHOOSE(CONTROL!$C$32, $C$9, 100%, $E$9)</f>
        <v>11.6448</v>
      </c>
      <c r="N721" s="11">
        <f>11.6412 * CHOOSE(CONTROL!$C$32, $C$9, 100%, $E$9)</f>
        <v>11.6412</v>
      </c>
      <c r="O721" s="11">
        <f>11.6448 * CHOOSE(CONTROL!$C$32, $C$9, 100%, $E$9)</f>
        <v>11.6448</v>
      </c>
    </row>
    <row r="722" spans="1:15" ht="15" x14ac:dyDescent="0.2">
      <c r="A722" s="13">
        <v>62824</v>
      </c>
      <c r="B722" s="9">
        <f>10.5058 * CHOOSE(CONTROL!$C$32, $C$9, 100%, $E$9)</f>
        <v>10.505800000000001</v>
      </c>
      <c r="C722" s="9">
        <f>10.5058 * CHOOSE(CONTROL!$C$32, $C$9, 100%, $E$9)</f>
        <v>10.505800000000001</v>
      </c>
      <c r="D722" s="9">
        <f>10.5069 * CHOOSE(CONTROL!$C$32, $C$9, 100%, $E$9)</f>
        <v>10.5069</v>
      </c>
      <c r="E722" s="11">
        <f>11.7955 * CHOOSE(CONTROL!$C$32, $C$9, 100%, $E$9)</f>
        <v>11.795500000000001</v>
      </c>
      <c r="F722" s="11">
        <f>11.7955 * CHOOSE(CONTROL!$C$32, $C$9, 100%, $E$9)</f>
        <v>11.795500000000001</v>
      </c>
      <c r="G722" s="11">
        <f>11.7991 * CHOOSE(CONTROL!$C$32, $C$9, 100%, $E$9)</f>
        <v>11.799099999999999</v>
      </c>
      <c r="H722" s="11">
        <f>23.3753 * CHOOSE(CONTROL!$C$32, $C$9, 100%, $E$9)</f>
        <v>23.375299999999999</v>
      </c>
      <c r="I722" s="11">
        <f>23.3789 * CHOOSE(CONTROL!$C$32, $C$9, 100%, $E$9)</f>
        <v>23.378900000000002</v>
      </c>
      <c r="J722" s="11">
        <f>23.3753 * CHOOSE(CONTROL!$C$32, $C$9, 100%, $E$9)</f>
        <v>23.375299999999999</v>
      </c>
      <c r="K722" s="11">
        <f>23.3789 * CHOOSE(CONTROL!$C$32, $C$9, 100%, $E$9)</f>
        <v>23.378900000000002</v>
      </c>
      <c r="L722" s="11">
        <f>11.7955 * CHOOSE(CONTROL!$C$32, $C$9, 100%, $E$9)</f>
        <v>11.795500000000001</v>
      </c>
      <c r="M722" s="11">
        <f>11.7991 * CHOOSE(CONTROL!$C$32, $C$9, 100%, $E$9)</f>
        <v>11.799099999999999</v>
      </c>
      <c r="N722" s="11">
        <f>11.7955 * CHOOSE(CONTROL!$C$32, $C$9, 100%, $E$9)</f>
        <v>11.795500000000001</v>
      </c>
      <c r="O722" s="11">
        <f>11.7991 * CHOOSE(CONTROL!$C$32, $C$9, 100%, $E$9)</f>
        <v>11.799099999999999</v>
      </c>
    </row>
    <row r="723" spans="1:15" ht="15" x14ac:dyDescent="0.2">
      <c r="A723" s="13">
        <v>62855</v>
      </c>
      <c r="B723" s="9">
        <f>10.5027 * CHOOSE(CONTROL!$C$32, $C$9, 100%, $E$9)</f>
        <v>10.502700000000001</v>
      </c>
      <c r="C723" s="9">
        <f>10.5027 * CHOOSE(CONTROL!$C$32, $C$9, 100%, $E$9)</f>
        <v>10.502700000000001</v>
      </c>
      <c r="D723" s="9">
        <f>10.5038 * CHOOSE(CONTROL!$C$32, $C$9, 100%, $E$9)</f>
        <v>10.5038</v>
      </c>
      <c r="E723" s="11">
        <f>11.4903 * CHOOSE(CONTROL!$C$32, $C$9, 100%, $E$9)</f>
        <v>11.4903</v>
      </c>
      <c r="F723" s="11">
        <f>11.4903 * CHOOSE(CONTROL!$C$32, $C$9, 100%, $E$9)</f>
        <v>11.4903</v>
      </c>
      <c r="G723" s="11">
        <f>11.4939 * CHOOSE(CONTROL!$C$32, $C$9, 100%, $E$9)</f>
        <v>11.4939</v>
      </c>
      <c r="H723" s="11">
        <f>23.424 * CHOOSE(CONTROL!$C$32, $C$9, 100%, $E$9)</f>
        <v>23.423999999999999</v>
      </c>
      <c r="I723" s="11">
        <f>23.4276 * CHOOSE(CONTROL!$C$32, $C$9, 100%, $E$9)</f>
        <v>23.427600000000002</v>
      </c>
      <c r="J723" s="11">
        <f>23.424 * CHOOSE(CONTROL!$C$32, $C$9, 100%, $E$9)</f>
        <v>23.423999999999999</v>
      </c>
      <c r="K723" s="11">
        <f>23.4276 * CHOOSE(CONTROL!$C$32, $C$9, 100%, $E$9)</f>
        <v>23.427600000000002</v>
      </c>
      <c r="L723" s="11">
        <f>11.4903 * CHOOSE(CONTROL!$C$32, $C$9, 100%, $E$9)</f>
        <v>11.4903</v>
      </c>
      <c r="M723" s="11">
        <f>11.4939 * CHOOSE(CONTROL!$C$32, $C$9, 100%, $E$9)</f>
        <v>11.4939</v>
      </c>
      <c r="N723" s="11">
        <f>11.4903 * CHOOSE(CONTROL!$C$32, $C$9, 100%, $E$9)</f>
        <v>11.4903</v>
      </c>
      <c r="O723" s="11">
        <f>11.4939 * CHOOSE(CONTROL!$C$32, $C$9, 100%, $E$9)</f>
        <v>11.4939</v>
      </c>
    </row>
    <row r="724" spans="1:15" ht="15" x14ac:dyDescent="0.2">
      <c r="A724" s="13">
        <v>62884</v>
      </c>
      <c r="B724" s="9">
        <f>10.4997 * CHOOSE(CONTROL!$C$32, $C$9, 100%, $E$9)</f>
        <v>10.499700000000001</v>
      </c>
      <c r="C724" s="9">
        <f>10.4997 * CHOOSE(CONTROL!$C$32, $C$9, 100%, $E$9)</f>
        <v>10.499700000000001</v>
      </c>
      <c r="D724" s="9">
        <f>10.5008 * CHOOSE(CONTROL!$C$32, $C$9, 100%, $E$9)</f>
        <v>10.5008</v>
      </c>
      <c r="E724" s="11">
        <f>11.7271 * CHOOSE(CONTROL!$C$32, $C$9, 100%, $E$9)</f>
        <v>11.7271</v>
      </c>
      <c r="F724" s="11">
        <f>11.7271 * CHOOSE(CONTROL!$C$32, $C$9, 100%, $E$9)</f>
        <v>11.7271</v>
      </c>
      <c r="G724" s="11">
        <f>11.7308 * CHOOSE(CONTROL!$C$32, $C$9, 100%, $E$9)</f>
        <v>11.7308</v>
      </c>
      <c r="H724" s="11">
        <f>23.4728 * CHOOSE(CONTROL!$C$32, $C$9, 100%, $E$9)</f>
        <v>23.472799999999999</v>
      </c>
      <c r="I724" s="11">
        <f>23.4764 * CHOOSE(CONTROL!$C$32, $C$9, 100%, $E$9)</f>
        <v>23.476400000000002</v>
      </c>
      <c r="J724" s="11">
        <f>23.4728 * CHOOSE(CONTROL!$C$32, $C$9, 100%, $E$9)</f>
        <v>23.472799999999999</v>
      </c>
      <c r="K724" s="11">
        <f>23.4764 * CHOOSE(CONTROL!$C$32, $C$9, 100%, $E$9)</f>
        <v>23.476400000000002</v>
      </c>
      <c r="L724" s="11">
        <f>11.7271 * CHOOSE(CONTROL!$C$32, $C$9, 100%, $E$9)</f>
        <v>11.7271</v>
      </c>
      <c r="M724" s="11">
        <f>11.7308 * CHOOSE(CONTROL!$C$32, $C$9, 100%, $E$9)</f>
        <v>11.7308</v>
      </c>
      <c r="N724" s="11">
        <f>11.7271 * CHOOSE(CONTROL!$C$32, $C$9, 100%, $E$9)</f>
        <v>11.7271</v>
      </c>
      <c r="O724" s="11">
        <f>11.7308 * CHOOSE(CONTROL!$C$32, $C$9, 100%, $E$9)</f>
        <v>11.7308</v>
      </c>
    </row>
    <row r="725" spans="1:15" ht="15" x14ac:dyDescent="0.2">
      <c r="A725" s="13">
        <v>62915</v>
      </c>
      <c r="B725" s="9">
        <f>10.5037 * CHOOSE(CONTROL!$C$32, $C$9, 100%, $E$9)</f>
        <v>10.5037</v>
      </c>
      <c r="C725" s="9">
        <f>10.5037 * CHOOSE(CONTROL!$C$32, $C$9, 100%, $E$9)</f>
        <v>10.5037</v>
      </c>
      <c r="D725" s="9">
        <f>10.5047 * CHOOSE(CONTROL!$C$32, $C$9, 100%, $E$9)</f>
        <v>10.5047</v>
      </c>
      <c r="E725" s="11">
        <f>11.9795 * CHOOSE(CONTROL!$C$32, $C$9, 100%, $E$9)</f>
        <v>11.9795</v>
      </c>
      <c r="F725" s="11">
        <f>11.9795 * CHOOSE(CONTROL!$C$32, $C$9, 100%, $E$9)</f>
        <v>11.9795</v>
      </c>
      <c r="G725" s="11">
        <f>11.9831 * CHOOSE(CONTROL!$C$32, $C$9, 100%, $E$9)</f>
        <v>11.9831</v>
      </c>
      <c r="H725" s="11">
        <f>23.5217 * CHOOSE(CONTROL!$C$32, $C$9, 100%, $E$9)</f>
        <v>23.521699999999999</v>
      </c>
      <c r="I725" s="11">
        <f>23.5253 * CHOOSE(CONTROL!$C$32, $C$9, 100%, $E$9)</f>
        <v>23.525300000000001</v>
      </c>
      <c r="J725" s="11">
        <f>23.5217 * CHOOSE(CONTROL!$C$32, $C$9, 100%, $E$9)</f>
        <v>23.521699999999999</v>
      </c>
      <c r="K725" s="11">
        <f>23.5253 * CHOOSE(CONTROL!$C$32, $C$9, 100%, $E$9)</f>
        <v>23.525300000000001</v>
      </c>
      <c r="L725" s="11">
        <f>11.9795 * CHOOSE(CONTROL!$C$32, $C$9, 100%, $E$9)</f>
        <v>11.9795</v>
      </c>
      <c r="M725" s="11">
        <f>11.9831 * CHOOSE(CONTROL!$C$32, $C$9, 100%, $E$9)</f>
        <v>11.9831</v>
      </c>
      <c r="N725" s="11">
        <f>11.9795 * CHOOSE(CONTROL!$C$32, $C$9, 100%, $E$9)</f>
        <v>11.9795</v>
      </c>
      <c r="O725" s="11">
        <f>11.9831 * CHOOSE(CONTROL!$C$32, $C$9, 100%, $E$9)</f>
        <v>11.9831</v>
      </c>
    </row>
    <row r="726" spans="1:15" ht="15" x14ac:dyDescent="0.2">
      <c r="A726" s="13">
        <v>62945</v>
      </c>
      <c r="B726" s="9">
        <f>10.5037 * CHOOSE(CONTROL!$C$32, $C$9, 100%, $E$9)</f>
        <v>10.5037</v>
      </c>
      <c r="C726" s="9">
        <f>10.5037 * CHOOSE(CONTROL!$C$32, $C$9, 100%, $E$9)</f>
        <v>10.5037</v>
      </c>
      <c r="D726" s="9">
        <f>10.5052 * CHOOSE(CONTROL!$C$32, $C$9, 100%, $E$9)</f>
        <v>10.5052</v>
      </c>
      <c r="E726" s="11">
        <f>12.0757 * CHOOSE(CONTROL!$C$32, $C$9, 100%, $E$9)</f>
        <v>12.075699999999999</v>
      </c>
      <c r="F726" s="11">
        <f>12.0757 * CHOOSE(CONTROL!$C$32, $C$9, 100%, $E$9)</f>
        <v>12.075699999999999</v>
      </c>
      <c r="G726" s="11">
        <f>12.081 * CHOOSE(CONTROL!$C$32, $C$9, 100%, $E$9)</f>
        <v>12.081</v>
      </c>
      <c r="H726" s="11">
        <f>23.5707 * CHOOSE(CONTROL!$C$32, $C$9, 100%, $E$9)</f>
        <v>23.570699999999999</v>
      </c>
      <c r="I726" s="11">
        <f>23.576 * CHOOSE(CONTROL!$C$32, $C$9, 100%, $E$9)</f>
        <v>23.576000000000001</v>
      </c>
      <c r="J726" s="11">
        <f>23.5707 * CHOOSE(CONTROL!$C$32, $C$9, 100%, $E$9)</f>
        <v>23.570699999999999</v>
      </c>
      <c r="K726" s="11">
        <f>23.576 * CHOOSE(CONTROL!$C$32, $C$9, 100%, $E$9)</f>
        <v>23.576000000000001</v>
      </c>
      <c r="L726" s="11">
        <f>12.0757 * CHOOSE(CONTROL!$C$32, $C$9, 100%, $E$9)</f>
        <v>12.075699999999999</v>
      </c>
      <c r="M726" s="11">
        <f>12.081 * CHOOSE(CONTROL!$C$32, $C$9, 100%, $E$9)</f>
        <v>12.081</v>
      </c>
      <c r="N726" s="11">
        <f>12.0757 * CHOOSE(CONTROL!$C$32, $C$9, 100%, $E$9)</f>
        <v>12.075699999999999</v>
      </c>
      <c r="O726" s="11">
        <f>12.081 * CHOOSE(CONTROL!$C$32, $C$9, 100%, $E$9)</f>
        <v>12.081</v>
      </c>
    </row>
    <row r="727" spans="1:15" ht="15" x14ac:dyDescent="0.2">
      <c r="A727" s="13">
        <v>62976</v>
      </c>
      <c r="B727" s="9">
        <f>10.5097 * CHOOSE(CONTROL!$C$32, $C$9, 100%, $E$9)</f>
        <v>10.5097</v>
      </c>
      <c r="C727" s="9">
        <f>10.5097 * CHOOSE(CONTROL!$C$32, $C$9, 100%, $E$9)</f>
        <v>10.5097</v>
      </c>
      <c r="D727" s="9">
        <f>10.5113 * CHOOSE(CONTROL!$C$32, $C$9, 100%, $E$9)</f>
        <v>10.5113</v>
      </c>
      <c r="E727" s="11">
        <f>11.9837 * CHOOSE(CONTROL!$C$32, $C$9, 100%, $E$9)</f>
        <v>11.983700000000001</v>
      </c>
      <c r="F727" s="11">
        <f>11.9837 * CHOOSE(CONTROL!$C$32, $C$9, 100%, $E$9)</f>
        <v>11.983700000000001</v>
      </c>
      <c r="G727" s="11">
        <f>11.989 * CHOOSE(CONTROL!$C$32, $C$9, 100%, $E$9)</f>
        <v>11.989000000000001</v>
      </c>
      <c r="H727" s="11">
        <f>23.6198 * CHOOSE(CONTROL!$C$32, $C$9, 100%, $E$9)</f>
        <v>23.619800000000001</v>
      </c>
      <c r="I727" s="11">
        <f>23.6251 * CHOOSE(CONTROL!$C$32, $C$9, 100%, $E$9)</f>
        <v>23.6251</v>
      </c>
      <c r="J727" s="11">
        <f>23.6198 * CHOOSE(CONTROL!$C$32, $C$9, 100%, $E$9)</f>
        <v>23.619800000000001</v>
      </c>
      <c r="K727" s="11">
        <f>23.6251 * CHOOSE(CONTROL!$C$32, $C$9, 100%, $E$9)</f>
        <v>23.6251</v>
      </c>
      <c r="L727" s="11">
        <f>11.9837 * CHOOSE(CONTROL!$C$32, $C$9, 100%, $E$9)</f>
        <v>11.983700000000001</v>
      </c>
      <c r="M727" s="11">
        <f>11.989 * CHOOSE(CONTROL!$C$32, $C$9, 100%, $E$9)</f>
        <v>11.989000000000001</v>
      </c>
      <c r="N727" s="11">
        <f>11.9837 * CHOOSE(CONTROL!$C$32, $C$9, 100%, $E$9)</f>
        <v>11.983700000000001</v>
      </c>
      <c r="O727" s="11">
        <f>11.989 * CHOOSE(CONTROL!$C$32, $C$9, 100%, $E$9)</f>
        <v>11.989000000000001</v>
      </c>
    </row>
    <row r="728" spans="1:15" ht="15" x14ac:dyDescent="0.2">
      <c r="A728" s="13">
        <v>63006</v>
      </c>
      <c r="B728" s="9">
        <f>10.6397 * CHOOSE(CONTROL!$C$32, $C$9, 100%, $E$9)</f>
        <v>10.639699999999999</v>
      </c>
      <c r="C728" s="9">
        <f>10.6397 * CHOOSE(CONTROL!$C$32, $C$9, 100%, $E$9)</f>
        <v>10.639699999999999</v>
      </c>
      <c r="D728" s="9">
        <f>10.6413 * CHOOSE(CONTROL!$C$32, $C$9, 100%, $E$9)</f>
        <v>10.641299999999999</v>
      </c>
      <c r="E728" s="11">
        <f>12.152 * CHOOSE(CONTROL!$C$32, $C$9, 100%, $E$9)</f>
        <v>12.151999999999999</v>
      </c>
      <c r="F728" s="11">
        <f>12.152 * CHOOSE(CONTROL!$C$32, $C$9, 100%, $E$9)</f>
        <v>12.151999999999999</v>
      </c>
      <c r="G728" s="11">
        <f>12.1573 * CHOOSE(CONTROL!$C$32, $C$9, 100%, $E$9)</f>
        <v>12.157299999999999</v>
      </c>
      <c r="H728" s="11">
        <f>23.669 * CHOOSE(CONTROL!$C$32, $C$9, 100%, $E$9)</f>
        <v>23.669</v>
      </c>
      <c r="I728" s="11">
        <f>23.6743 * CHOOSE(CONTROL!$C$32, $C$9, 100%, $E$9)</f>
        <v>23.674299999999999</v>
      </c>
      <c r="J728" s="11">
        <f>23.669 * CHOOSE(CONTROL!$C$32, $C$9, 100%, $E$9)</f>
        <v>23.669</v>
      </c>
      <c r="K728" s="11">
        <f>23.6743 * CHOOSE(CONTROL!$C$32, $C$9, 100%, $E$9)</f>
        <v>23.674299999999999</v>
      </c>
      <c r="L728" s="11">
        <f>12.152 * CHOOSE(CONTROL!$C$32, $C$9, 100%, $E$9)</f>
        <v>12.151999999999999</v>
      </c>
      <c r="M728" s="11">
        <f>12.1573 * CHOOSE(CONTROL!$C$32, $C$9, 100%, $E$9)</f>
        <v>12.157299999999999</v>
      </c>
      <c r="N728" s="11">
        <f>12.152 * CHOOSE(CONTROL!$C$32, $C$9, 100%, $E$9)</f>
        <v>12.151999999999999</v>
      </c>
      <c r="O728" s="11">
        <f>12.1573 * CHOOSE(CONTROL!$C$32, $C$9, 100%, $E$9)</f>
        <v>12.157299999999999</v>
      </c>
    </row>
    <row r="729" spans="1:15" ht="15" x14ac:dyDescent="0.2">
      <c r="A729" s="13">
        <v>63037</v>
      </c>
      <c r="B729" s="9">
        <f>10.6464 * CHOOSE(CONTROL!$C$32, $C$9, 100%, $E$9)</f>
        <v>10.6464</v>
      </c>
      <c r="C729" s="9">
        <f>10.6464 * CHOOSE(CONTROL!$C$32, $C$9, 100%, $E$9)</f>
        <v>10.6464</v>
      </c>
      <c r="D729" s="9">
        <f>10.648 * CHOOSE(CONTROL!$C$32, $C$9, 100%, $E$9)</f>
        <v>10.648</v>
      </c>
      <c r="E729" s="11">
        <f>11.868 * CHOOSE(CONTROL!$C$32, $C$9, 100%, $E$9)</f>
        <v>11.868</v>
      </c>
      <c r="F729" s="11">
        <f>11.868 * CHOOSE(CONTROL!$C$32, $C$9, 100%, $E$9)</f>
        <v>11.868</v>
      </c>
      <c r="G729" s="11">
        <f>11.8733 * CHOOSE(CONTROL!$C$32, $C$9, 100%, $E$9)</f>
        <v>11.8733</v>
      </c>
      <c r="H729" s="11">
        <f>23.7184 * CHOOSE(CONTROL!$C$32, $C$9, 100%, $E$9)</f>
        <v>23.718399999999999</v>
      </c>
      <c r="I729" s="11">
        <f>23.7237 * CHOOSE(CONTROL!$C$32, $C$9, 100%, $E$9)</f>
        <v>23.723700000000001</v>
      </c>
      <c r="J729" s="11">
        <f>23.7184 * CHOOSE(CONTROL!$C$32, $C$9, 100%, $E$9)</f>
        <v>23.718399999999999</v>
      </c>
      <c r="K729" s="11">
        <f>23.7237 * CHOOSE(CONTROL!$C$32, $C$9, 100%, $E$9)</f>
        <v>23.723700000000001</v>
      </c>
      <c r="L729" s="11">
        <f>11.868 * CHOOSE(CONTROL!$C$32, $C$9, 100%, $E$9)</f>
        <v>11.868</v>
      </c>
      <c r="M729" s="11">
        <f>11.8733 * CHOOSE(CONTROL!$C$32, $C$9, 100%, $E$9)</f>
        <v>11.8733</v>
      </c>
      <c r="N729" s="11">
        <f>11.868 * CHOOSE(CONTROL!$C$32, $C$9, 100%, $E$9)</f>
        <v>11.868</v>
      </c>
      <c r="O729" s="11">
        <f>11.8733 * CHOOSE(CONTROL!$C$32, $C$9, 100%, $E$9)</f>
        <v>11.8733</v>
      </c>
    </row>
    <row r="730" spans="1:15" ht="15" x14ac:dyDescent="0.2">
      <c r="A730" s="13">
        <v>63068</v>
      </c>
      <c r="B730" s="9">
        <f>10.6434 * CHOOSE(CONTROL!$C$32, $C$9, 100%, $E$9)</f>
        <v>10.6434</v>
      </c>
      <c r="C730" s="9">
        <f>10.6434 * CHOOSE(CONTROL!$C$32, $C$9, 100%, $E$9)</f>
        <v>10.6434</v>
      </c>
      <c r="D730" s="9">
        <f>10.6449 * CHOOSE(CONTROL!$C$32, $C$9, 100%, $E$9)</f>
        <v>10.6449</v>
      </c>
      <c r="E730" s="11">
        <f>11.8338 * CHOOSE(CONTROL!$C$32, $C$9, 100%, $E$9)</f>
        <v>11.8338</v>
      </c>
      <c r="F730" s="11">
        <f>11.8338 * CHOOSE(CONTROL!$C$32, $C$9, 100%, $E$9)</f>
        <v>11.8338</v>
      </c>
      <c r="G730" s="11">
        <f>11.8391 * CHOOSE(CONTROL!$C$32, $C$9, 100%, $E$9)</f>
        <v>11.8391</v>
      </c>
      <c r="H730" s="11">
        <f>23.7678 * CHOOSE(CONTROL!$C$32, $C$9, 100%, $E$9)</f>
        <v>23.767800000000001</v>
      </c>
      <c r="I730" s="11">
        <f>23.7731 * CHOOSE(CONTROL!$C$32, $C$9, 100%, $E$9)</f>
        <v>23.773099999999999</v>
      </c>
      <c r="J730" s="11">
        <f>23.7678 * CHOOSE(CONTROL!$C$32, $C$9, 100%, $E$9)</f>
        <v>23.767800000000001</v>
      </c>
      <c r="K730" s="11">
        <f>23.7731 * CHOOSE(CONTROL!$C$32, $C$9, 100%, $E$9)</f>
        <v>23.773099999999999</v>
      </c>
      <c r="L730" s="11">
        <f>11.8338 * CHOOSE(CONTROL!$C$32, $C$9, 100%, $E$9)</f>
        <v>11.8338</v>
      </c>
      <c r="M730" s="11">
        <f>11.8391 * CHOOSE(CONTROL!$C$32, $C$9, 100%, $E$9)</f>
        <v>11.8391</v>
      </c>
      <c r="N730" s="11">
        <f>11.8338 * CHOOSE(CONTROL!$C$32, $C$9, 100%, $E$9)</f>
        <v>11.8338</v>
      </c>
      <c r="O730" s="11">
        <f>11.8391 * CHOOSE(CONTROL!$C$32, $C$9, 100%, $E$9)</f>
        <v>11.8391</v>
      </c>
    </row>
    <row r="731" spans="1:15" ht="15" x14ac:dyDescent="0.2">
      <c r="A731" s="13">
        <v>63098</v>
      </c>
      <c r="B731" s="9">
        <f>10.6632 * CHOOSE(CONTROL!$C$32, $C$9, 100%, $E$9)</f>
        <v>10.6632</v>
      </c>
      <c r="C731" s="9">
        <f>10.6632 * CHOOSE(CONTROL!$C$32, $C$9, 100%, $E$9)</f>
        <v>10.6632</v>
      </c>
      <c r="D731" s="9">
        <f>10.6643 * CHOOSE(CONTROL!$C$32, $C$9, 100%, $E$9)</f>
        <v>10.664300000000001</v>
      </c>
      <c r="E731" s="11">
        <f>11.9487 * CHOOSE(CONTROL!$C$32, $C$9, 100%, $E$9)</f>
        <v>11.948700000000001</v>
      </c>
      <c r="F731" s="11">
        <f>11.9487 * CHOOSE(CONTROL!$C$32, $C$9, 100%, $E$9)</f>
        <v>11.948700000000001</v>
      </c>
      <c r="G731" s="11">
        <f>11.9523 * CHOOSE(CONTROL!$C$32, $C$9, 100%, $E$9)</f>
        <v>11.952299999999999</v>
      </c>
      <c r="H731" s="11">
        <f>23.8173 * CHOOSE(CONTROL!$C$32, $C$9, 100%, $E$9)</f>
        <v>23.817299999999999</v>
      </c>
      <c r="I731" s="11">
        <f>23.8209 * CHOOSE(CONTROL!$C$32, $C$9, 100%, $E$9)</f>
        <v>23.820900000000002</v>
      </c>
      <c r="J731" s="11">
        <f>23.8173 * CHOOSE(CONTROL!$C$32, $C$9, 100%, $E$9)</f>
        <v>23.817299999999999</v>
      </c>
      <c r="K731" s="11">
        <f>23.8209 * CHOOSE(CONTROL!$C$32, $C$9, 100%, $E$9)</f>
        <v>23.820900000000002</v>
      </c>
      <c r="L731" s="11">
        <f>11.9487 * CHOOSE(CONTROL!$C$32, $C$9, 100%, $E$9)</f>
        <v>11.948700000000001</v>
      </c>
      <c r="M731" s="11">
        <f>11.9523 * CHOOSE(CONTROL!$C$32, $C$9, 100%, $E$9)</f>
        <v>11.952299999999999</v>
      </c>
      <c r="N731" s="11">
        <f>11.9487 * CHOOSE(CONTROL!$C$32, $C$9, 100%, $E$9)</f>
        <v>11.948700000000001</v>
      </c>
      <c r="O731" s="11">
        <f>11.9523 * CHOOSE(CONTROL!$C$32, $C$9, 100%, $E$9)</f>
        <v>11.952299999999999</v>
      </c>
    </row>
    <row r="732" spans="1:15" ht="15" x14ac:dyDescent="0.2">
      <c r="A732" s="13">
        <v>63129</v>
      </c>
      <c r="B732" s="9">
        <f>10.6663 * CHOOSE(CONTROL!$C$32, $C$9, 100%, $E$9)</f>
        <v>10.6663</v>
      </c>
      <c r="C732" s="9">
        <f>10.6663 * CHOOSE(CONTROL!$C$32, $C$9, 100%, $E$9)</f>
        <v>10.6663</v>
      </c>
      <c r="D732" s="9">
        <f>10.6673 * CHOOSE(CONTROL!$C$32, $C$9, 100%, $E$9)</f>
        <v>10.667299999999999</v>
      </c>
      <c r="E732" s="11">
        <f>12.015 * CHOOSE(CONTROL!$C$32, $C$9, 100%, $E$9)</f>
        <v>12.015000000000001</v>
      </c>
      <c r="F732" s="11">
        <f>12.015 * CHOOSE(CONTROL!$C$32, $C$9, 100%, $E$9)</f>
        <v>12.015000000000001</v>
      </c>
      <c r="G732" s="11">
        <f>12.0186 * CHOOSE(CONTROL!$C$32, $C$9, 100%, $E$9)</f>
        <v>12.018599999999999</v>
      </c>
      <c r="H732" s="11">
        <f>23.8669 * CHOOSE(CONTROL!$C$32, $C$9, 100%, $E$9)</f>
        <v>23.866900000000001</v>
      </c>
      <c r="I732" s="11">
        <f>23.8705 * CHOOSE(CONTROL!$C$32, $C$9, 100%, $E$9)</f>
        <v>23.8705</v>
      </c>
      <c r="J732" s="11">
        <f>23.8669 * CHOOSE(CONTROL!$C$32, $C$9, 100%, $E$9)</f>
        <v>23.866900000000001</v>
      </c>
      <c r="K732" s="11">
        <f>23.8705 * CHOOSE(CONTROL!$C$32, $C$9, 100%, $E$9)</f>
        <v>23.8705</v>
      </c>
      <c r="L732" s="11">
        <f>12.015 * CHOOSE(CONTROL!$C$32, $C$9, 100%, $E$9)</f>
        <v>12.015000000000001</v>
      </c>
      <c r="M732" s="11">
        <f>12.0186 * CHOOSE(CONTROL!$C$32, $C$9, 100%, $E$9)</f>
        <v>12.018599999999999</v>
      </c>
      <c r="N732" s="11">
        <f>12.015 * CHOOSE(CONTROL!$C$32, $C$9, 100%, $E$9)</f>
        <v>12.015000000000001</v>
      </c>
      <c r="O732" s="11">
        <f>12.0186 * CHOOSE(CONTROL!$C$32, $C$9, 100%, $E$9)</f>
        <v>12.018599999999999</v>
      </c>
    </row>
    <row r="733" spans="1:15" ht="15" x14ac:dyDescent="0.2">
      <c r="A733" s="13">
        <v>63159</v>
      </c>
      <c r="B733" s="9">
        <f>10.6663 * CHOOSE(CONTROL!$C$32, $C$9, 100%, $E$9)</f>
        <v>10.6663</v>
      </c>
      <c r="C733" s="9">
        <f>10.6663 * CHOOSE(CONTROL!$C$32, $C$9, 100%, $E$9)</f>
        <v>10.6663</v>
      </c>
      <c r="D733" s="9">
        <f>10.6673 * CHOOSE(CONTROL!$C$32, $C$9, 100%, $E$9)</f>
        <v>10.667299999999999</v>
      </c>
      <c r="E733" s="11">
        <f>11.8546 * CHOOSE(CONTROL!$C$32, $C$9, 100%, $E$9)</f>
        <v>11.8546</v>
      </c>
      <c r="F733" s="11">
        <f>11.8546 * CHOOSE(CONTROL!$C$32, $C$9, 100%, $E$9)</f>
        <v>11.8546</v>
      </c>
      <c r="G733" s="11">
        <f>11.8582 * CHOOSE(CONTROL!$C$32, $C$9, 100%, $E$9)</f>
        <v>11.8582</v>
      </c>
      <c r="H733" s="11">
        <f>23.9166 * CHOOSE(CONTROL!$C$32, $C$9, 100%, $E$9)</f>
        <v>23.916599999999999</v>
      </c>
      <c r="I733" s="11">
        <f>23.9202 * CHOOSE(CONTROL!$C$32, $C$9, 100%, $E$9)</f>
        <v>23.920200000000001</v>
      </c>
      <c r="J733" s="11">
        <f>23.9166 * CHOOSE(CONTROL!$C$32, $C$9, 100%, $E$9)</f>
        <v>23.916599999999999</v>
      </c>
      <c r="K733" s="11">
        <f>23.9202 * CHOOSE(CONTROL!$C$32, $C$9, 100%, $E$9)</f>
        <v>23.920200000000001</v>
      </c>
      <c r="L733" s="11">
        <f>11.8546 * CHOOSE(CONTROL!$C$32, $C$9, 100%, $E$9)</f>
        <v>11.8546</v>
      </c>
      <c r="M733" s="11">
        <f>11.8582 * CHOOSE(CONTROL!$C$32, $C$9, 100%, $E$9)</f>
        <v>11.8582</v>
      </c>
      <c r="N733" s="11">
        <f>11.8546 * CHOOSE(CONTROL!$C$32, $C$9, 100%, $E$9)</f>
        <v>11.8546</v>
      </c>
      <c r="O733" s="11">
        <f>11.8582 * CHOOSE(CONTROL!$C$32, $C$9, 100%, $E$9)</f>
        <v>11.8582</v>
      </c>
    </row>
    <row r="734" spans="1:15" ht="15" x14ac:dyDescent="0.2">
      <c r="A734" s="13">
        <v>63190</v>
      </c>
      <c r="B734" s="9">
        <f>10.6931 * CHOOSE(CONTROL!$C$32, $C$9, 100%, $E$9)</f>
        <v>10.693099999999999</v>
      </c>
      <c r="C734" s="9">
        <f>10.6931 * CHOOSE(CONTROL!$C$32, $C$9, 100%, $E$9)</f>
        <v>10.693099999999999</v>
      </c>
      <c r="D734" s="9">
        <f>10.6942 * CHOOSE(CONTROL!$C$32, $C$9, 100%, $E$9)</f>
        <v>10.6942</v>
      </c>
      <c r="E734" s="11">
        <f>12.008 * CHOOSE(CONTROL!$C$32, $C$9, 100%, $E$9)</f>
        <v>12.007999999999999</v>
      </c>
      <c r="F734" s="11">
        <f>12.008 * CHOOSE(CONTROL!$C$32, $C$9, 100%, $E$9)</f>
        <v>12.007999999999999</v>
      </c>
      <c r="G734" s="11">
        <f>12.0116 * CHOOSE(CONTROL!$C$32, $C$9, 100%, $E$9)</f>
        <v>12.0116</v>
      </c>
      <c r="H734" s="11">
        <f>23.8288 * CHOOSE(CONTROL!$C$32, $C$9, 100%, $E$9)</f>
        <v>23.828800000000001</v>
      </c>
      <c r="I734" s="11">
        <f>23.8325 * CHOOSE(CONTROL!$C$32, $C$9, 100%, $E$9)</f>
        <v>23.8325</v>
      </c>
      <c r="J734" s="11">
        <f>23.8288 * CHOOSE(CONTROL!$C$32, $C$9, 100%, $E$9)</f>
        <v>23.828800000000001</v>
      </c>
      <c r="K734" s="11">
        <f>23.8325 * CHOOSE(CONTROL!$C$32, $C$9, 100%, $E$9)</f>
        <v>23.8325</v>
      </c>
      <c r="L734" s="11">
        <f>12.008 * CHOOSE(CONTROL!$C$32, $C$9, 100%, $E$9)</f>
        <v>12.007999999999999</v>
      </c>
      <c r="M734" s="11">
        <f>12.0116 * CHOOSE(CONTROL!$C$32, $C$9, 100%, $E$9)</f>
        <v>12.0116</v>
      </c>
      <c r="N734" s="11">
        <f>12.008 * CHOOSE(CONTROL!$C$32, $C$9, 100%, $E$9)</f>
        <v>12.007999999999999</v>
      </c>
      <c r="O734" s="11">
        <f>12.0116 * CHOOSE(CONTROL!$C$32, $C$9, 100%, $E$9)</f>
        <v>12.0116</v>
      </c>
    </row>
    <row r="735" spans="1:15" ht="15" x14ac:dyDescent="0.2">
      <c r="A735" s="13">
        <v>63221</v>
      </c>
      <c r="B735" s="9">
        <f>10.6901 * CHOOSE(CONTROL!$C$32, $C$9, 100%, $E$9)</f>
        <v>10.690099999999999</v>
      </c>
      <c r="C735" s="9">
        <f>10.6901 * CHOOSE(CONTROL!$C$32, $C$9, 100%, $E$9)</f>
        <v>10.690099999999999</v>
      </c>
      <c r="D735" s="9">
        <f>10.6912 * CHOOSE(CONTROL!$C$32, $C$9, 100%, $E$9)</f>
        <v>10.6912</v>
      </c>
      <c r="E735" s="11">
        <f>11.6957 * CHOOSE(CONTROL!$C$32, $C$9, 100%, $E$9)</f>
        <v>11.6957</v>
      </c>
      <c r="F735" s="11">
        <f>11.6957 * CHOOSE(CONTROL!$C$32, $C$9, 100%, $E$9)</f>
        <v>11.6957</v>
      </c>
      <c r="G735" s="11">
        <f>11.6994 * CHOOSE(CONTROL!$C$32, $C$9, 100%, $E$9)</f>
        <v>11.699400000000001</v>
      </c>
      <c r="H735" s="11">
        <f>23.8785 * CHOOSE(CONTROL!$C$32, $C$9, 100%, $E$9)</f>
        <v>23.878499999999999</v>
      </c>
      <c r="I735" s="11">
        <f>23.8821 * CHOOSE(CONTROL!$C$32, $C$9, 100%, $E$9)</f>
        <v>23.882100000000001</v>
      </c>
      <c r="J735" s="11">
        <f>23.8785 * CHOOSE(CONTROL!$C$32, $C$9, 100%, $E$9)</f>
        <v>23.878499999999999</v>
      </c>
      <c r="K735" s="11">
        <f>23.8821 * CHOOSE(CONTROL!$C$32, $C$9, 100%, $E$9)</f>
        <v>23.882100000000001</v>
      </c>
      <c r="L735" s="11">
        <f>11.6957 * CHOOSE(CONTROL!$C$32, $C$9, 100%, $E$9)</f>
        <v>11.6957</v>
      </c>
      <c r="M735" s="11">
        <f>11.6994 * CHOOSE(CONTROL!$C$32, $C$9, 100%, $E$9)</f>
        <v>11.699400000000001</v>
      </c>
      <c r="N735" s="11">
        <f>11.6957 * CHOOSE(CONTROL!$C$32, $C$9, 100%, $E$9)</f>
        <v>11.6957</v>
      </c>
      <c r="O735" s="11">
        <f>11.6994 * CHOOSE(CONTROL!$C$32, $C$9, 100%, $E$9)</f>
        <v>11.699400000000001</v>
      </c>
    </row>
    <row r="736" spans="1:15" ht="15" x14ac:dyDescent="0.2">
      <c r="A736" s="13">
        <v>63249</v>
      </c>
      <c r="B736" s="9">
        <f>10.6871 * CHOOSE(CONTROL!$C$32, $C$9, 100%, $E$9)</f>
        <v>10.687099999999999</v>
      </c>
      <c r="C736" s="9">
        <f>10.6871 * CHOOSE(CONTROL!$C$32, $C$9, 100%, $E$9)</f>
        <v>10.687099999999999</v>
      </c>
      <c r="D736" s="9">
        <f>10.6881 * CHOOSE(CONTROL!$C$32, $C$9, 100%, $E$9)</f>
        <v>10.6881</v>
      </c>
      <c r="E736" s="11">
        <f>11.9381 * CHOOSE(CONTROL!$C$32, $C$9, 100%, $E$9)</f>
        <v>11.9381</v>
      </c>
      <c r="F736" s="11">
        <f>11.9381 * CHOOSE(CONTROL!$C$32, $C$9, 100%, $E$9)</f>
        <v>11.9381</v>
      </c>
      <c r="G736" s="11">
        <f>11.9418 * CHOOSE(CONTROL!$C$32, $C$9, 100%, $E$9)</f>
        <v>11.941800000000001</v>
      </c>
      <c r="H736" s="11">
        <f>23.9282 * CHOOSE(CONTROL!$C$32, $C$9, 100%, $E$9)</f>
        <v>23.9282</v>
      </c>
      <c r="I736" s="11">
        <f>23.9318 * CHOOSE(CONTROL!$C$32, $C$9, 100%, $E$9)</f>
        <v>23.931799999999999</v>
      </c>
      <c r="J736" s="11">
        <f>23.9282 * CHOOSE(CONTROL!$C$32, $C$9, 100%, $E$9)</f>
        <v>23.9282</v>
      </c>
      <c r="K736" s="11">
        <f>23.9318 * CHOOSE(CONTROL!$C$32, $C$9, 100%, $E$9)</f>
        <v>23.931799999999999</v>
      </c>
      <c r="L736" s="11">
        <f>11.9381 * CHOOSE(CONTROL!$C$32, $C$9, 100%, $E$9)</f>
        <v>11.9381</v>
      </c>
      <c r="M736" s="11">
        <f>11.9418 * CHOOSE(CONTROL!$C$32, $C$9, 100%, $E$9)</f>
        <v>11.941800000000001</v>
      </c>
      <c r="N736" s="11">
        <f>11.9381 * CHOOSE(CONTROL!$C$32, $C$9, 100%, $E$9)</f>
        <v>11.9381</v>
      </c>
      <c r="O736" s="11">
        <f>11.9418 * CHOOSE(CONTROL!$C$32, $C$9, 100%, $E$9)</f>
        <v>11.941800000000001</v>
      </c>
    </row>
    <row r="737" spans="1:15" ht="15" x14ac:dyDescent="0.2">
      <c r="A737" s="13">
        <v>63280</v>
      </c>
      <c r="B737" s="9">
        <f>10.6912 * CHOOSE(CONTROL!$C$32, $C$9, 100%, $E$9)</f>
        <v>10.6912</v>
      </c>
      <c r="C737" s="9">
        <f>10.6912 * CHOOSE(CONTROL!$C$32, $C$9, 100%, $E$9)</f>
        <v>10.6912</v>
      </c>
      <c r="D737" s="9">
        <f>10.6923 * CHOOSE(CONTROL!$C$32, $C$9, 100%, $E$9)</f>
        <v>10.692299999999999</v>
      </c>
      <c r="E737" s="11">
        <f>12.1965 * CHOOSE(CONTROL!$C$32, $C$9, 100%, $E$9)</f>
        <v>12.1965</v>
      </c>
      <c r="F737" s="11">
        <f>12.1965 * CHOOSE(CONTROL!$C$32, $C$9, 100%, $E$9)</f>
        <v>12.1965</v>
      </c>
      <c r="G737" s="11">
        <f>12.2001 * CHOOSE(CONTROL!$C$32, $C$9, 100%, $E$9)</f>
        <v>12.200100000000001</v>
      </c>
      <c r="H737" s="11">
        <f>23.9781 * CHOOSE(CONTROL!$C$32, $C$9, 100%, $E$9)</f>
        <v>23.978100000000001</v>
      </c>
      <c r="I737" s="11">
        <f>23.9817 * CHOOSE(CONTROL!$C$32, $C$9, 100%, $E$9)</f>
        <v>23.9817</v>
      </c>
      <c r="J737" s="11">
        <f>23.9781 * CHOOSE(CONTROL!$C$32, $C$9, 100%, $E$9)</f>
        <v>23.978100000000001</v>
      </c>
      <c r="K737" s="11">
        <f>23.9817 * CHOOSE(CONTROL!$C$32, $C$9, 100%, $E$9)</f>
        <v>23.9817</v>
      </c>
      <c r="L737" s="11">
        <f>12.1965 * CHOOSE(CONTROL!$C$32, $C$9, 100%, $E$9)</f>
        <v>12.1965</v>
      </c>
      <c r="M737" s="11">
        <f>12.2001 * CHOOSE(CONTROL!$C$32, $C$9, 100%, $E$9)</f>
        <v>12.200100000000001</v>
      </c>
      <c r="N737" s="11">
        <f>12.1965 * CHOOSE(CONTROL!$C$32, $C$9, 100%, $E$9)</f>
        <v>12.1965</v>
      </c>
      <c r="O737" s="11">
        <f>12.2001 * CHOOSE(CONTROL!$C$32, $C$9, 100%, $E$9)</f>
        <v>12.200100000000001</v>
      </c>
    </row>
    <row r="738" spans="1:15" ht="15" x14ac:dyDescent="0.2">
      <c r="A738" s="13">
        <v>63310</v>
      </c>
      <c r="B738" s="9">
        <f>10.6912 * CHOOSE(CONTROL!$C$32, $C$9, 100%, $E$9)</f>
        <v>10.6912</v>
      </c>
      <c r="C738" s="9">
        <f>10.6912 * CHOOSE(CONTROL!$C$32, $C$9, 100%, $E$9)</f>
        <v>10.6912</v>
      </c>
      <c r="D738" s="9">
        <f>10.6928 * CHOOSE(CONTROL!$C$32, $C$9, 100%, $E$9)</f>
        <v>10.6928</v>
      </c>
      <c r="E738" s="11">
        <f>12.295 * CHOOSE(CONTROL!$C$32, $C$9, 100%, $E$9)</f>
        <v>12.295</v>
      </c>
      <c r="F738" s="11">
        <f>12.295 * CHOOSE(CONTROL!$C$32, $C$9, 100%, $E$9)</f>
        <v>12.295</v>
      </c>
      <c r="G738" s="11">
        <f>12.3003 * CHOOSE(CONTROL!$C$32, $C$9, 100%, $E$9)</f>
        <v>12.3003</v>
      </c>
      <c r="H738" s="11">
        <f>24.028 * CHOOSE(CONTROL!$C$32, $C$9, 100%, $E$9)</f>
        <v>24.027999999999999</v>
      </c>
      <c r="I738" s="11">
        <f>24.0333 * CHOOSE(CONTROL!$C$32, $C$9, 100%, $E$9)</f>
        <v>24.033300000000001</v>
      </c>
      <c r="J738" s="11">
        <f>24.028 * CHOOSE(CONTROL!$C$32, $C$9, 100%, $E$9)</f>
        <v>24.027999999999999</v>
      </c>
      <c r="K738" s="11">
        <f>24.0333 * CHOOSE(CONTROL!$C$32, $C$9, 100%, $E$9)</f>
        <v>24.033300000000001</v>
      </c>
      <c r="L738" s="11">
        <f>12.295 * CHOOSE(CONTROL!$C$32, $C$9, 100%, $E$9)</f>
        <v>12.295</v>
      </c>
      <c r="M738" s="11">
        <f>12.3003 * CHOOSE(CONTROL!$C$32, $C$9, 100%, $E$9)</f>
        <v>12.3003</v>
      </c>
      <c r="N738" s="11">
        <f>12.295 * CHOOSE(CONTROL!$C$32, $C$9, 100%, $E$9)</f>
        <v>12.295</v>
      </c>
      <c r="O738" s="11">
        <f>12.3003 * CHOOSE(CONTROL!$C$32, $C$9, 100%, $E$9)</f>
        <v>12.3003</v>
      </c>
    </row>
    <row r="739" spans="1:15" ht="15" x14ac:dyDescent="0.2">
      <c r="A739" s="13">
        <v>63341</v>
      </c>
      <c r="B739" s="9">
        <f>10.6973 * CHOOSE(CONTROL!$C$32, $C$9, 100%, $E$9)</f>
        <v>10.6973</v>
      </c>
      <c r="C739" s="9">
        <f>10.6973 * CHOOSE(CONTROL!$C$32, $C$9, 100%, $E$9)</f>
        <v>10.6973</v>
      </c>
      <c r="D739" s="9">
        <f>10.6989 * CHOOSE(CONTROL!$C$32, $C$9, 100%, $E$9)</f>
        <v>10.6989</v>
      </c>
      <c r="E739" s="11">
        <f>12.2007 * CHOOSE(CONTROL!$C$32, $C$9, 100%, $E$9)</f>
        <v>12.200699999999999</v>
      </c>
      <c r="F739" s="11">
        <f>12.2007 * CHOOSE(CONTROL!$C$32, $C$9, 100%, $E$9)</f>
        <v>12.200699999999999</v>
      </c>
      <c r="G739" s="11">
        <f>12.206 * CHOOSE(CONTROL!$C$32, $C$9, 100%, $E$9)</f>
        <v>12.206</v>
      </c>
      <c r="H739" s="11">
        <f>24.0781 * CHOOSE(CONTROL!$C$32, $C$9, 100%, $E$9)</f>
        <v>24.078099999999999</v>
      </c>
      <c r="I739" s="11">
        <f>24.0834 * CHOOSE(CONTROL!$C$32, $C$9, 100%, $E$9)</f>
        <v>24.083400000000001</v>
      </c>
      <c r="J739" s="11">
        <f>24.0781 * CHOOSE(CONTROL!$C$32, $C$9, 100%, $E$9)</f>
        <v>24.078099999999999</v>
      </c>
      <c r="K739" s="11">
        <f>24.0834 * CHOOSE(CONTROL!$C$32, $C$9, 100%, $E$9)</f>
        <v>24.083400000000001</v>
      </c>
      <c r="L739" s="11">
        <f>12.2007 * CHOOSE(CONTROL!$C$32, $C$9, 100%, $E$9)</f>
        <v>12.200699999999999</v>
      </c>
      <c r="M739" s="11">
        <f>12.206 * CHOOSE(CONTROL!$C$32, $C$9, 100%, $E$9)</f>
        <v>12.206</v>
      </c>
      <c r="N739" s="11">
        <f>12.2007 * CHOOSE(CONTROL!$C$32, $C$9, 100%, $E$9)</f>
        <v>12.200699999999999</v>
      </c>
      <c r="O739" s="11">
        <f>12.206 * CHOOSE(CONTROL!$C$32, $C$9, 100%, $E$9)</f>
        <v>12.206</v>
      </c>
    </row>
    <row r="740" spans="1:15" ht="15" x14ac:dyDescent="0.2">
      <c r="A740" s="13">
        <v>63371</v>
      </c>
      <c r="B740" s="9">
        <f>10.8293 * CHOOSE(CONTROL!$C$32, $C$9, 100%, $E$9)</f>
        <v>10.8293</v>
      </c>
      <c r="C740" s="9">
        <f>10.8293 * CHOOSE(CONTROL!$C$32, $C$9, 100%, $E$9)</f>
        <v>10.8293</v>
      </c>
      <c r="D740" s="9">
        <f>10.8309 * CHOOSE(CONTROL!$C$32, $C$9, 100%, $E$9)</f>
        <v>10.8309</v>
      </c>
      <c r="E740" s="11">
        <f>12.3722 * CHOOSE(CONTROL!$C$32, $C$9, 100%, $E$9)</f>
        <v>12.372199999999999</v>
      </c>
      <c r="F740" s="11">
        <f>12.3722 * CHOOSE(CONTROL!$C$32, $C$9, 100%, $E$9)</f>
        <v>12.372199999999999</v>
      </c>
      <c r="G740" s="11">
        <f>12.3775 * CHOOSE(CONTROL!$C$32, $C$9, 100%, $E$9)</f>
        <v>12.3775</v>
      </c>
      <c r="H740" s="11">
        <f>24.1283 * CHOOSE(CONTROL!$C$32, $C$9, 100%, $E$9)</f>
        <v>24.128299999999999</v>
      </c>
      <c r="I740" s="11">
        <f>24.1335 * CHOOSE(CONTROL!$C$32, $C$9, 100%, $E$9)</f>
        <v>24.133500000000002</v>
      </c>
      <c r="J740" s="11">
        <f>24.1283 * CHOOSE(CONTROL!$C$32, $C$9, 100%, $E$9)</f>
        <v>24.128299999999999</v>
      </c>
      <c r="K740" s="11">
        <f>24.1335 * CHOOSE(CONTROL!$C$32, $C$9, 100%, $E$9)</f>
        <v>24.133500000000002</v>
      </c>
      <c r="L740" s="11">
        <f>12.3722 * CHOOSE(CONTROL!$C$32, $C$9, 100%, $E$9)</f>
        <v>12.372199999999999</v>
      </c>
      <c r="M740" s="11">
        <f>12.3775 * CHOOSE(CONTROL!$C$32, $C$9, 100%, $E$9)</f>
        <v>12.3775</v>
      </c>
      <c r="N740" s="11">
        <f>12.3722 * CHOOSE(CONTROL!$C$32, $C$9, 100%, $E$9)</f>
        <v>12.372199999999999</v>
      </c>
      <c r="O740" s="11">
        <f>12.3775 * CHOOSE(CONTROL!$C$32, $C$9, 100%, $E$9)</f>
        <v>12.3775</v>
      </c>
    </row>
    <row r="741" spans="1:15" ht="15" x14ac:dyDescent="0.2">
      <c r="A741" s="13">
        <v>63402</v>
      </c>
      <c r="B741" s="9">
        <f>10.836 * CHOOSE(CONTROL!$C$32, $C$9, 100%, $E$9)</f>
        <v>10.836</v>
      </c>
      <c r="C741" s="9">
        <f>10.836 * CHOOSE(CONTROL!$C$32, $C$9, 100%, $E$9)</f>
        <v>10.836</v>
      </c>
      <c r="D741" s="9">
        <f>10.8376 * CHOOSE(CONTROL!$C$32, $C$9, 100%, $E$9)</f>
        <v>10.8376</v>
      </c>
      <c r="E741" s="11">
        <f>12.0815 * CHOOSE(CONTROL!$C$32, $C$9, 100%, $E$9)</f>
        <v>12.0815</v>
      </c>
      <c r="F741" s="11">
        <f>12.0815 * CHOOSE(CONTROL!$C$32, $C$9, 100%, $E$9)</f>
        <v>12.0815</v>
      </c>
      <c r="G741" s="11">
        <f>12.0868 * CHOOSE(CONTROL!$C$32, $C$9, 100%, $E$9)</f>
        <v>12.0868</v>
      </c>
      <c r="H741" s="11">
        <f>24.1785 * CHOOSE(CONTROL!$C$32, $C$9, 100%, $E$9)</f>
        <v>24.1785</v>
      </c>
      <c r="I741" s="11">
        <f>24.1838 * CHOOSE(CONTROL!$C$32, $C$9, 100%, $E$9)</f>
        <v>24.183800000000002</v>
      </c>
      <c r="J741" s="11">
        <f>24.1785 * CHOOSE(CONTROL!$C$32, $C$9, 100%, $E$9)</f>
        <v>24.1785</v>
      </c>
      <c r="K741" s="11">
        <f>24.1838 * CHOOSE(CONTROL!$C$32, $C$9, 100%, $E$9)</f>
        <v>24.183800000000002</v>
      </c>
      <c r="L741" s="11">
        <f>12.0815 * CHOOSE(CONTROL!$C$32, $C$9, 100%, $E$9)</f>
        <v>12.0815</v>
      </c>
      <c r="M741" s="11">
        <f>12.0868 * CHOOSE(CONTROL!$C$32, $C$9, 100%, $E$9)</f>
        <v>12.0868</v>
      </c>
      <c r="N741" s="11">
        <f>12.0815 * CHOOSE(CONTROL!$C$32, $C$9, 100%, $E$9)</f>
        <v>12.0815</v>
      </c>
      <c r="O741" s="11">
        <f>12.0868 * CHOOSE(CONTROL!$C$32, $C$9, 100%, $E$9)</f>
        <v>12.0868</v>
      </c>
    </row>
    <row r="742" spans="1:15" ht="15" x14ac:dyDescent="0.2">
      <c r="A742" s="13">
        <v>63433</v>
      </c>
      <c r="B742" s="9">
        <f>10.833 * CHOOSE(CONTROL!$C$32, $C$9, 100%, $E$9)</f>
        <v>10.833</v>
      </c>
      <c r="C742" s="9">
        <f>10.833 * CHOOSE(CONTROL!$C$32, $C$9, 100%, $E$9)</f>
        <v>10.833</v>
      </c>
      <c r="D742" s="9">
        <f>10.8345 * CHOOSE(CONTROL!$C$32, $C$9, 100%, $E$9)</f>
        <v>10.8345</v>
      </c>
      <c r="E742" s="11">
        <f>12.0465 * CHOOSE(CONTROL!$C$32, $C$9, 100%, $E$9)</f>
        <v>12.0465</v>
      </c>
      <c r="F742" s="11">
        <f>12.0465 * CHOOSE(CONTROL!$C$32, $C$9, 100%, $E$9)</f>
        <v>12.0465</v>
      </c>
      <c r="G742" s="11">
        <f>12.0518 * CHOOSE(CONTROL!$C$32, $C$9, 100%, $E$9)</f>
        <v>12.0518</v>
      </c>
      <c r="H742" s="11">
        <f>24.2289 * CHOOSE(CONTROL!$C$32, $C$9, 100%, $E$9)</f>
        <v>24.228899999999999</v>
      </c>
      <c r="I742" s="11">
        <f>24.2342 * CHOOSE(CONTROL!$C$32, $C$9, 100%, $E$9)</f>
        <v>24.234200000000001</v>
      </c>
      <c r="J742" s="11">
        <f>24.2289 * CHOOSE(CONTROL!$C$32, $C$9, 100%, $E$9)</f>
        <v>24.228899999999999</v>
      </c>
      <c r="K742" s="11">
        <f>24.2342 * CHOOSE(CONTROL!$C$32, $C$9, 100%, $E$9)</f>
        <v>24.234200000000001</v>
      </c>
      <c r="L742" s="11">
        <f>12.0465 * CHOOSE(CONTROL!$C$32, $C$9, 100%, $E$9)</f>
        <v>12.0465</v>
      </c>
      <c r="M742" s="11">
        <f>12.0518 * CHOOSE(CONTROL!$C$32, $C$9, 100%, $E$9)</f>
        <v>12.0518</v>
      </c>
      <c r="N742" s="11">
        <f>12.0465 * CHOOSE(CONTROL!$C$32, $C$9, 100%, $E$9)</f>
        <v>12.0465</v>
      </c>
      <c r="O742" s="11">
        <f>12.0518 * CHOOSE(CONTROL!$C$32, $C$9, 100%, $E$9)</f>
        <v>12.0518</v>
      </c>
    </row>
    <row r="743" spans="1:15" ht="15" x14ac:dyDescent="0.2">
      <c r="A743" s="13">
        <v>63463</v>
      </c>
      <c r="B743" s="9">
        <f>10.8535 * CHOOSE(CONTROL!$C$32, $C$9, 100%, $E$9)</f>
        <v>10.8535</v>
      </c>
      <c r="C743" s="9">
        <f>10.8535 * CHOOSE(CONTROL!$C$32, $C$9, 100%, $E$9)</f>
        <v>10.8535</v>
      </c>
      <c r="D743" s="9">
        <f>10.8546 * CHOOSE(CONTROL!$C$32, $C$9, 100%, $E$9)</f>
        <v>10.8546</v>
      </c>
      <c r="E743" s="11">
        <f>12.1644 * CHOOSE(CONTROL!$C$32, $C$9, 100%, $E$9)</f>
        <v>12.164400000000001</v>
      </c>
      <c r="F743" s="11">
        <f>12.1644 * CHOOSE(CONTROL!$C$32, $C$9, 100%, $E$9)</f>
        <v>12.164400000000001</v>
      </c>
      <c r="G743" s="11">
        <f>12.168 * CHOOSE(CONTROL!$C$32, $C$9, 100%, $E$9)</f>
        <v>12.167999999999999</v>
      </c>
      <c r="H743" s="11">
        <f>24.2794 * CHOOSE(CONTROL!$C$32, $C$9, 100%, $E$9)</f>
        <v>24.279399999999999</v>
      </c>
      <c r="I743" s="11">
        <f>24.283 * CHOOSE(CONTROL!$C$32, $C$9, 100%, $E$9)</f>
        <v>24.283000000000001</v>
      </c>
      <c r="J743" s="11">
        <f>24.2794 * CHOOSE(CONTROL!$C$32, $C$9, 100%, $E$9)</f>
        <v>24.279399999999999</v>
      </c>
      <c r="K743" s="11">
        <f>24.283 * CHOOSE(CONTROL!$C$32, $C$9, 100%, $E$9)</f>
        <v>24.283000000000001</v>
      </c>
      <c r="L743" s="11">
        <f>12.1644 * CHOOSE(CONTROL!$C$32, $C$9, 100%, $E$9)</f>
        <v>12.164400000000001</v>
      </c>
      <c r="M743" s="11">
        <f>12.168 * CHOOSE(CONTROL!$C$32, $C$9, 100%, $E$9)</f>
        <v>12.167999999999999</v>
      </c>
      <c r="N743" s="11">
        <f>12.1644 * CHOOSE(CONTROL!$C$32, $C$9, 100%, $E$9)</f>
        <v>12.164400000000001</v>
      </c>
      <c r="O743" s="11">
        <f>12.168 * CHOOSE(CONTROL!$C$32, $C$9, 100%, $E$9)</f>
        <v>12.167999999999999</v>
      </c>
    </row>
    <row r="744" spans="1:15" ht="15" x14ac:dyDescent="0.2">
      <c r="A744" s="13">
        <v>63494</v>
      </c>
      <c r="B744" s="9">
        <f>10.8566 * CHOOSE(CONTROL!$C$32, $C$9, 100%, $E$9)</f>
        <v>10.8566</v>
      </c>
      <c r="C744" s="9">
        <f>10.8566 * CHOOSE(CONTROL!$C$32, $C$9, 100%, $E$9)</f>
        <v>10.8566</v>
      </c>
      <c r="D744" s="9">
        <f>10.8576 * CHOOSE(CONTROL!$C$32, $C$9, 100%, $E$9)</f>
        <v>10.8576</v>
      </c>
      <c r="E744" s="11">
        <f>12.2322 * CHOOSE(CONTROL!$C$32, $C$9, 100%, $E$9)</f>
        <v>12.232200000000001</v>
      </c>
      <c r="F744" s="11">
        <f>12.2322 * CHOOSE(CONTROL!$C$32, $C$9, 100%, $E$9)</f>
        <v>12.232200000000001</v>
      </c>
      <c r="G744" s="11">
        <f>12.2358 * CHOOSE(CONTROL!$C$32, $C$9, 100%, $E$9)</f>
        <v>12.235799999999999</v>
      </c>
      <c r="H744" s="11">
        <f>24.3299 * CHOOSE(CONTROL!$C$32, $C$9, 100%, $E$9)</f>
        <v>24.329899999999999</v>
      </c>
      <c r="I744" s="11">
        <f>24.3336 * CHOOSE(CONTROL!$C$32, $C$9, 100%, $E$9)</f>
        <v>24.333600000000001</v>
      </c>
      <c r="J744" s="11">
        <f>24.3299 * CHOOSE(CONTROL!$C$32, $C$9, 100%, $E$9)</f>
        <v>24.329899999999999</v>
      </c>
      <c r="K744" s="11">
        <f>24.3336 * CHOOSE(CONTROL!$C$32, $C$9, 100%, $E$9)</f>
        <v>24.333600000000001</v>
      </c>
      <c r="L744" s="11">
        <f>12.2322 * CHOOSE(CONTROL!$C$32, $C$9, 100%, $E$9)</f>
        <v>12.232200000000001</v>
      </c>
      <c r="M744" s="11">
        <f>12.2358 * CHOOSE(CONTROL!$C$32, $C$9, 100%, $E$9)</f>
        <v>12.235799999999999</v>
      </c>
      <c r="N744" s="11">
        <f>12.2322 * CHOOSE(CONTROL!$C$32, $C$9, 100%, $E$9)</f>
        <v>12.232200000000001</v>
      </c>
      <c r="O744" s="11">
        <f>12.2358 * CHOOSE(CONTROL!$C$32, $C$9, 100%, $E$9)</f>
        <v>12.235799999999999</v>
      </c>
    </row>
    <row r="745" spans="1:15" ht="15" x14ac:dyDescent="0.2">
      <c r="A745" s="13">
        <v>63524</v>
      </c>
      <c r="B745" s="9">
        <f>10.8566 * CHOOSE(CONTROL!$C$32, $C$9, 100%, $E$9)</f>
        <v>10.8566</v>
      </c>
      <c r="C745" s="9">
        <f>10.8566 * CHOOSE(CONTROL!$C$32, $C$9, 100%, $E$9)</f>
        <v>10.8566</v>
      </c>
      <c r="D745" s="9">
        <f>10.8576 * CHOOSE(CONTROL!$C$32, $C$9, 100%, $E$9)</f>
        <v>10.8576</v>
      </c>
      <c r="E745" s="11">
        <f>12.068 * CHOOSE(CONTROL!$C$32, $C$9, 100%, $E$9)</f>
        <v>12.068</v>
      </c>
      <c r="F745" s="11">
        <f>12.068 * CHOOSE(CONTROL!$C$32, $C$9, 100%, $E$9)</f>
        <v>12.068</v>
      </c>
      <c r="G745" s="11">
        <f>12.0717 * CHOOSE(CONTROL!$C$32, $C$9, 100%, $E$9)</f>
        <v>12.0717</v>
      </c>
      <c r="H745" s="11">
        <f>24.3806 * CHOOSE(CONTROL!$C$32, $C$9, 100%, $E$9)</f>
        <v>24.380600000000001</v>
      </c>
      <c r="I745" s="11">
        <f>24.3843 * CHOOSE(CONTROL!$C$32, $C$9, 100%, $E$9)</f>
        <v>24.3843</v>
      </c>
      <c r="J745" s="11">
        <f>24.3806 * CHOOSE(CONTROL!$C$32, $C$9, 100%, $E$9)</f>
        <v>24.380600000000001</v>
      </c>
      <c r="K745" s="11">
        <f>24.3843 * CHOOSE(CONTROL!$C$32, $C$9, 100%, $E$9)</f>
        <v>24.3843</v>
      </c>
      <c r="L745" s="11">
        <f>12.068 * CHOOSE(CONTROL!$C$32, $C$9, 100%, $E$9)</f>
        <v>12.068</v>
      </c>
      <c r="M745" s="11">
        <f>12.0717 * CHOOSE(CONTROL!$C$32, $C$9, 100%, $E$9)</f>
        <v>12.0717</v>
      </c>
      <c r="N745" s="11">
        <f>12.068 * CHOOSE(CONTROL!$C$32, $C$9, 100%, $E$9)</f>
        <v>12.068</v>
      </c>
      <c r="O745" s="11">
        <f>12.0717 * CHOOSE(CONTROL!$C$32, $C$9, 100%, $E$9)</f>
        <v>12.0717</v>
      </c>
    </row>
    <row r="746" spans="1:15" ht="15" x14ac:dyDescent="0.2">
      <c r="A746" s="13">
        <v>63555</v>
      </c>
      <c r="B746" s="9">
        <f>10.8805 * CHOOSE(CONTROL!$C$32, $C$9, 100%, $E$9)</f>
        <v>10.8805</v>
      </c>
      <c r="C746" s="9">
        <f>10.8805 * CHOOSE(CONTROL!$C$32, $C$9, 100%, $E$9)</f>
        <v>10.8805</v>
      </c>
      <c r="D746" s="9">
        <f>10.8816 * CHOOSE(CONTROL!$C$32, $C$9, 100%, $E$9)</f>
        <v>10.881600000000001</v>
      </c>
      <c r="E746" s="11">
        <f>12.2205 * CHOOSE(CONTROL!$C$32, $C$9, 100%, $E$9)</f>
        <v>12.220499999999999</v>
      </c>
      <c r="F746" s="11">
        <f>12.2205 * CHOOSE(CONTROL!$C$32, $C$9, 100%, $E$9)</f>
        <v>12.220499999999999</v>
      </c>
      <c r="G746" s="11">
        <f>12.2242 * CHOOSE(CONTROL!$C$32, $C$9, 100%, $E$9)</f>
        <v>12.2242</v>
      </c>
      <c r="H746" s="11">
        <f>24.2823 * CHOOSE(CONTROL!$C$32, $C$9, 100%, $E$9)</f>
        <v>24.282299999999999</v>
      </c>
      <c r="I746" s="11">
        <f>24.286 * CHOOSE(CONTROL!$C$32, $C$9, 100%, $E$9)</f>
        <v>24.286000000000001</v>
      </c>
      <c r="J746" s="11">
        <f>24.2823 * CHOOSE(CONTROL!$C$32, $C$9, 100%, $E$9)</f>
        <v>24.282299999999999</v>
      </c>
      <c r="K746" s="11">
        <f>24.286 * CHOOSE(CONTROL!$C$32, $C$9, 100%, $E$9)</f>
        <v>24.286000000000001</v>
      </c>
      <c r="L746" s="11">
        <f>12.2205 * CHOOSE(CONTROL!$C$32, $C$9, 100%, $E$9)</f>
        <v>12.220499999999999</v>
      </c>
      <c r="M746" s="11">
        <f>12.2242 * CHOOSE(CONTROL!$C$32, $C$9, 100%, $E$9)</f>
        <v>12.2242</v>
      </c>
      <c r="N746" s="11">
        <f>12.2205 * CHOOSE(CONTROL!$C$32, $C$9, 100%, $E$9)</f>
        <v>12.220499999999999</v>
      </c>
      <c r="O746" s="11">
        <f>12.2242 * CHOOSE(CONTROL!$C$32, $C$9, 100%, $E$9)</f>
        <v>12.2242</v>
      </c>
    </row>
    <row r="747" spans="1:15" ht="15" x14ac:dyDescent="0.2">
      <c r="A747" s="13">
        <v>63586</v>
      </c>
      <c r="B747" s="9">
        <f>10.8775 * CHOOSE(CONTROL!$C$32, $C$9, 100%, $E$9)</f>
        <v>10.8775</v>
      </c>
      <c r="C747" s="9">
        <f>10.8775 * CHOOSE(CONTROL!$C$32, $C$9, 100%, $E$9)</f>
        <v>10.8775</v>
      </c>
      <c r="D747" s="9">
        <f>10.8785 * CHOOSE(CONTROL!$C$32, $C$9, 100%, $E$9)</f>
        <v>10.878500000000001</v>
      </c>
      <c r="E747" s="11">
        <f>11.9012 * CHOOSE(CONTROL!$C$32, $C$9, 100%, $E$9)</f>
        <v>11.901199999999999</v>
      </c>
      <c r="F747" s="11">
        <f>11.9012 * CHOOSE(CONTROL!$C$32, $C$9, 100%, $E$9)</f>
        <v>11.901199999999999</v>
      </c>
      <c r="G747" s="11">
        <f>11.9048 * CHOOSE(CONTROL!$C$32, $C$9, 100%, $E$9)</f>
        <v>11.9048</v>
      </c>
      <c r="H747" s="11">
        <f>24.3329 * CHOOSE(CONTROL!$C$32, $C$9, 100%, $E$9)</f>
        <v>24.332899999999999</v>
      </c>
      <c r="I747" s="11">
        <f>24.3365 * CHOOSE(CONTROL!$C$32, $C$9, 100%, $E$9)</f>
        <v>24.336500000000001</v>
      </c>
      <c r="J747" s="11">
        <f>24.3329 * CHOOSE(CONTROL!$C$32, $C$9, 100%, $E$9)</f>
        <v>24.332899999999999</v>
      </c>
      <c r="K747" s="11">
        <f>24.3365 * CHOOSE(CONTROL!$C$32, $C$9, 100%, $E$9)</f>
        <v>24.336500000000001</v>
      </c>
      <c r="L747" s="11">
        <f>11.9012 * CHOOSE(CONTROL!$C$32, $C$9, 100%, $E$9)</f>
        <v>11.901199999999999</v>
      </c>
      <c r="M747" s="11">
        <f>11.9048 * CHOOSE(CONTROL!$C$32, $C$9, 100%, $E$9)</f>
        <v>11.9048</v>
      </c>
      <c r="N747" s="11">
        <f>11.9012 * CHOOSE(CONTROL!$C$32, $C$9, 100%, $E$9)</f>
        <v>11.901199999999999</v>
      </c>
      <c r="O747" s="11">
        <f>11.9048 * CHOOSE(CONTROL!$C$32, $C$9, 100%, $E$9)</f>
        <v>11.9048</v>
      </c>
    </row>
    <row r="748" spans="1:15" ht="15" x14ac:dyDescent="0.2">
      <c r="A748" s="13">
        <v>63614</v>
      </c>
      <c r="B748" s="9">
        <f>10.8744 * CHOOSE(CONTROL!$C$32, $C$9, 100%, $E$9)</f>
        <v>10.8744</v>
      </c>
      <c r="C748" s="9">
        <f>10.8744 * CHOOSE(CONTROL!$C$32, $C$9, 100%, $E$9)</f>
        <v>10.8744</v>
      </c>
      <c r="D748" s="9">
        <f>10.8755 * CHOOSE(CONTROL!$C$32, $C$9, 100%, $E$9)</f>
        <v>10.875500000000001</v>
      </c>
      <c r="E748" s="11">
        <f>12.1491 * CHOOSE(CONTROL!$C$32, $C$9, 100%, $E$9)</f>
        <v>12.149100000000001</v>
      </c>
      <c r="F748" s="11">
        <f>12.1491 * CHOOSE(CONTROL!$C$32, $C$9, 100%, $E$9)</f>
        <v>12.149100000000001</v>
      </c>
      <c r="G748" s="11">
        <f>12.1528 * CHOOSE(CONTROL!$C$32, $C$9, 100%, $E$9)</f>
        <v>12.152799999999999</v>
      </c>
      <c r="H748" s="11">
        <f>24.3836 * CHOOSE(CONTROL!$C$32, $C$9, 100%, $E$9)</f>
        <v>24.383600000000001</v>
      </c>
      <c r="I748" s="11">
        <f>24.3872 * CHOOSE(CONTROL!$C$32, $C$9, 100%, $E$9)</f>
        <v>24.3872</v>
      </c>
      <c r="J748" s="11">
        <f>24.3836 * CHOOSE(CONTROL!$C$32, $C$9, 100%, $E$9)</f>
        <v>24.383600000000001</v>
      </c>
      <c r="K748" s="11">
        <f>24.3872 * CHOOSE(CONTROL!$C$32, $C$9, 100%, $E$9)</f>
        <v>24.3872</v>
      </c>
      <c r="L748" s="11">
        <f>12.1491 * CHOOSE(CONTROL!$C$32, $C$9, 100%, $E$9)</f>
        <v>12.149100000000001</v>
      </c>
      <c r="M748" s="11">
        <f>12.1528 * CHOOSE(CONTROL!$C$32, $C$9, 100%, $E$9)</f>
        <v>12.152799999999999</v>
      </c>
      <c r="N748" s="11">
        <f>12.1491 * CHOOSE(CONTROL!$C$32, $C$9, 100%, $E$9)</f>
        <v>12.149100000000001</v>
      </c>
      <c r="O748" s="11">
        <f>12.1528 * CHOOSE(CONTROL!$C$32, $C$9, 100%, $E$9)</f>
        <v>12.152799999999999</v>
      </c>
    </row>
    <row r="749" spans="1:15" ht="15" x14ac:dyDescent="0.2">
      <c r="A749" s="13">
        <v>63645</v>
      </c>
      <c r="B749" s="9">
        <f>10.8787 * CHOOSE(CONTROL!$C$32, $C$9, 100%, $E$9)</f>
        <v>10.8787</v>
      </c>
      <c r="C749" s="9">
        <f>10.8787 * CHOOSE(CONTROL!$C$32, $C$9, 100%, $E$9)</f>
        <v>10.8787</v>
      </c>
      <c r="D749" s="9">
        <f>10.8798 * CHOOSE(CONTROL!$C$32, $C$9, 100%, $E$9)</f>
        <v>10.879799999999999</v>
      </c>
      <c r="E749" s="11">
        <f>12.4135 * CHOOSE(CONTROL!$C$32, $C$9, 100%, $E$9)</f>
        <v>12.413500000000001</v>
      </c>
      <c r="F749" s="11">
        <f>12.4135 * CHOOSE(CONTROL!$C$32, $C$9, 100%, $E$9)</f>
        <v>12.413500000000001</v>
      </c>
      <c r="G749" s="11">
        <f>12.4171 * CHOOSE(CONTROL!$C$32, $C$9, 100%, $E$9)</f>
        <v>12.4171</v>
      </c>
      <c r="H749" s="11">
        <f>24.4344 * CHOOSE(CONTROL!$C$32, $C$9, 100%, $E$9)</f>
        <v>24.4344</v>
      </c>
      <c r="I749" s="11">
        <f>24.438 * CHOOSE(CONTROL!$C$32, $C$9, 100%, $E$9)</f>
        <v>24.437999999999999</v>
      </c>
      <c r="J749" s="11">
        <f>24.4344 * CHOOSE(CONTROL!$C$32, $C$9, 100%, $E$9)</f>
        <v>24.4344</v>
      </c>
      <c r="K749" s="11">
        <f>24.438 * CHOOSE(CONTROL!$C$32, $C$9, 100%, $E$9)</f>
        <v>24.437999999999999</v>
      </c>
      <c r="L749" s="11">
        <f>12.4135 * CHOOSE(CONTROL!$C$32, $C$9, 100%, $E$9)</f>
        <v>12.413500000000001</v>
      </c>
      <c r="M749" s="11">
        <f>12.4171 * CHOOSE(CONTROL!$C$32, $C$9, 100%, $E$9)</f>
        <v>12.4171</v>
      </c>
      <c r="N749" s="11">
        <f>12.4135 * CHOOSE(CONTROL!$C$32, $C$9, 100%, $E$9)</f>
        <v>12.413500000000001</v>
      </c>
      <c r="O749" s="11">
        <f>12.4171 * CHOOSE(CONTROL!$C$32, $C$9, 100%, $E$9)</f>
        <v>12.4171</v>
      </c>
    </row>
    <row r="750" spans="1:15" ht="15" x14ac:dyDescent="0.2">
      <c r="A750" s="13">
        <v>63675</v>
      </c>
      <c r="B750" s="9">
        <f>10.8787 * CHOOSE(CONTROL!$C$32, $C$9, 100%, $E$9)</f>
        <v>10.8787</v>
      </c>
      <c r="C750" s="9">
        <f>10.8787 * CHOOSE(CONTROL!$C$32, $C$9, 100%, $E$9)</f>
        <v>10.8787</v>
      </c>
      <c r="D750" s="9">
        <f>10.8803 * CHOOSE(CONTROL!$C$32, $C$9, 100%, $E$9)</f>
        <v>10.8803</v>
      </c>
      <c r="E750" s="11">
        <f>12.5142 * CHOOSE(CONTROL!$C$32, $C$9, 100%, $E$9)</f>
        <v>12.514200000000001</v>
      </c>
      <c r="F750" s="11">
        <f>12.5142 * CHOOSE(CONTROL!$C$32, $C$9, 100%, $E$9)</f>
        <v>12.514200000000001</v>
      </c>
      <c r="G750" s="11">
        <f>12.5195 * CHOOSE(CONTROL!$C$32, $C$9, 100%, $E$9)</f>
        <v>12.519500000000001</v>
      </c>
      <c r="H750" s="11">
        <f>24.4853 * CHOOSE(CONTROL!$C$32, $C$9, 100%, $E$9)</f>
        <v>24.485299999999999</v>
      </c>
      <c r="I750" s="11">
        <f>24.4906 * CHOOSE(CONTROL!$C$32, $C$9, 100%, $E$9)</f>
        <v>24.490600000000001</v>
      </c>
      <c r="J750" s="11">
        <f>24.4853 * CHOOSE(CONTROL!$C$32, $C$9, 100%, $E$9)</f>
        <v>24.485299999999999</v>
      </c>
      <c r="K750" s="11">
        <f>24.4906 * CHOOSE(CONTROL!$C$32, $C$9, 100%, $E$9)</f>
        <v>24.490600000000001</v>
      </c>
      <c r="L750" s="11">
        <f>12.5142 * CHOOSE(CONTROL!$C$32, $C$9, 100%, $E$9)</f>
        <v>12.514200000000001</v>
      </c>
      <c r="M750" s="11">
        <f>12.5195 * CHOOSE(CONTROL!$C$32, $C$9, 100%, $E$9)</f>
        <v>12.519500000000001</v>
      </c>
      <c r="N750" s="11">
        <f>12.5142 * CHOOSE(CONTROL!$C$32, $C$9, 100%, $E$9)</f>
        <v>12.514200000000001</v>
      </c>
      <c r="O750" s="11">
        <f>12.5195 * CHOOSE(CONTROL!$C$32, $C$9, 100%, $E$9)</f>
        <v>12.519500000000001</v>
      </c>
    </row>
    <row r="751" spans="1:15" ht="15" x14ac:dyDescent="0.2">
      <c r="A751" s="13">
        <v>63706</v>
      </c>
      <c r="B751" s="9">
        <f>10.8848 * CHOOSE(CONTROL!$C$32, $C$9, 100%, $E$9)</f>
        <v>10.8848</v>
      </c>
      <c r="C751" s="9">
        <f>10.8848 * CHOOSE(CONTROL!$C$32, $C$9, 100%, $E$9)</f>
        <v>10.8848</v>
      </c>
      <c r="D751" s="9">
        <f>10.8864 * CHOOSE(CONTROL!$C$32, $C$9, 100%, $E$9)</f>
        <v>10.8864</v>
      </c>
      <c r="E751" s="11">
        <f>12.4177 * CHOOSE(CONTROL!$C$32, $C$9, 100%, $E$9)</f>
        <v>12.4177</v>
      </c>
      <c r="F751" s="11">
        <f>12.4177 * CHOOSE(CONTROL!$C$32, $C$9, 100%, $E$9)</f>
        <v>12.4177</v>
      </c>
      <c r="G751" s="11">
        <f>12.423 * CHOOSE(CONTROL!$C$32, $C$9, 100%, $E$9)</f>
        <v>12.423</v>
      </c>
      <c r="H751" s="11">
        <f>24.5363 * CHOOSE(CONTROL!$C$32, $C$9, 100%, $E$9)</f>
        <v>24.536300000000001</v>
      </c>
      <c r="I751" s="11">
        <f>24.5416 * CHOOSE(CONTROL!$C$32, $C$9, 100%, $E$9)</f>
        <v>24.541599999999999</v>
      </c>
      <c r="J751" s="11">
        <f>24.5363 * CHOOSE(CONTROL!$C$32, $C$9, 100%, $E$9)</f>
        <v>24.536300000000001</v>
      </c>
      <c r="K751" s="11">
        <f>24.5416 * CHOOSE(CONTROL!$C$32, $C$9, 100%, $E$9)</f>
        <v>24.541599999999999</v>
      </c>
      <c r="L751" s="11">
        <f>12.4177 * CHOOSE(CONTROL!$C$32, $C$9, 100%, $E$9)</f>
        <v>12.4177</v>
      </c>
      <c r="M751" s="11">
        <f>12.423 * CHOOSE(CONTROL!$C$32, $C$9, 100%, $E$9)</f>
        <v>12.423</v>
      </c>
      <c r="N751" s="11">
        <f>12.4177 * CHOOSE(CONTROL!$C$32, $C$9, 100%, $E$9)</f>
        <v>12.4177</v>
      </c>
      <c r="O751" s="11">
        <f>12.423 * CHOOSE(CONTROL!$C$32, $C$9, 100%, $E$9)</f>
        <v>12.423</v>
      </c>
    </row>
    <row r="752" spans="1:15" ht="15" x14ac:dyDescent="0.2">
      <c r="A752" s="13">
        <v>63736</v>
      </c>
      <c r="B752" s="9">
        <f>11.0189 * CHOOSE(CONTROL!$C$32, $C$9, 100%, $E$9)</f>
        <v>11.0189</v>
      </c>
      <c r="C752" s="9">
        <f>11.0189 * CHOOSE(CONTROL!$C$32, $C$9, 100%, $E$9)</f>
        <v>11.0189</v>
      </c>
      <c r="D752" s="9">
        <f>11.0205 * CHOOSE(CONTROL!$C$32, $C$9, 100%, $E$9)</f>
        <v>11.0205</v>
      </c>
      <c r="E752" s="11">
        <f>12.5924 * CHOOSE(CONTROL!$C$32, $C$9, 100%, $E$9)</f>
        <v>12.5924</v>
      </c>
      <c r="F752" s="11">
        <f>12.5924 * CHOOSE(CONTROL!$C$32, $C$9, 100%, $E$9)</f>
        <v>12.5924</v>
      </c>
      <c r="G752" s="11">
        <f>12.5977 * CHOOSE(CONTROL!$C$32, $C$9, 100%, $E$9)</f>
        <v>12.5977</v>
      </c>
      <c r="H752" s="11">
        <f>24.5875 * CHOOSE(CONTROL!$C$32, $C$9, 100%, $E$9)</f>
        <v>24.587499999999999</v>
      </c>
      <c r="I752" s="11">
        <f>24.5927 * CHOOSE(CONTROL!$C$32, $C$9, 100%, $E$9)</f>
        <v>24.592700000000001</v>
      </c>
      <c r="J752" s="11">
        <f>24.5875 * CHOOSE(CONTROL!$C$32, $C$9, 100%, $E$9)</f>
        <v>24.587499999999999</v>
      </c>
      <c r="K752" s="11">
        <f>24.5927 * CHOOSE(CONTROL!$C$32, $C$9, 100%, $E$9)</f>
        <v>24.592700000000001</v>
      </c>
      <c r="L752" s="11">
        <f>12.5924 * CHOOSE(CONTROL!$C$32, $C$9, 100%, $E$9)</f>
        <v>12.5924</v>
      </c>
      <c r="M752" s="11">
        <f>12.5977 * CHOOSE(CONTROL!$C$32, $C$9, 100%, $E$9)</f>
        <v>12.5977</v>
      </c>
      <c r="N752" s="11">
        <f>12.5924 * CHOOSE(CONTROL!$C$32, $C$9, 100%, $E$9)</f>
        <v>12.5924</v>
      </c>
      <c r="O752" s="11">
        <f>12.5977 * CHOOSE(CONTROL!$C$32, $C$9, 100%, $E$9)</f>
        <v>12.5977</v>
      </c>
    </row>
    <row r="753" spans="1:15" ht="15" x14ac:dyDescent="0.2">
      <c r="A753" s="13">
        <v>63767</v>
      </c>
      <c r="B753" s="9">
        <f>11.0256 * CHOOSE(CONTROL!$C$32, $C$9, 100%, $E$9)</f>
        <v>11.025600000000001</v>
      </c>
      <c r="C753" s="9">
        <f>11.0256 * CHOOSE(CONTROL!$C$32, $C$9, 100%, $E$9)</f>
        <v>11.025600000000001</v>
      </c>
      <c r="D753" s="9">
        <f>11.0272 * CHOOSE(CONTROL!$C$32, $C$9, 100%, $E$9)</f>
        <v>11.027200000000001</v>
      </c>
      <c r="E753" s="11">
        <f>12.2949 * CHOOSE(CONTROL!$C$32, $C$9, 100%, $E$9)</f>
        <v>12.2949</v>
      </c>
      <c r="F753" s="11">
        <f>12.2949 * CHOOSE(CONTROL!$C$32, $C$9, 100%, $E$9)</f>
        <v>12.2949</v>
      </c>
      <c r="G753" s="11">
        <f>12.3002 * CHOOSE(CONTROL!$C$32, $C$9, 100%, $E$9)</f>
        <v>12.3002</v>
      </c>
      <c r="H753" s="11">
        <f>24.6387 * CHOOSE(CONTROL!$C$32, $C$9, 100%, $E$9)</f>
        <v>24.6387</v>
      </c>
      <c r="I753" s="11">
        <f>24.644 * CHOOSE(CONTROL!$C$32, $C$9, 100%, $E$9)</f>
        <v>24.643999999999998</v>
      </c>
      <c r="J753" s="11">
        <f>24.6387 * CHOOSE(CONTROL!$C$32, $C$9, 100%, $E$9)</f>
        <v>24.6387</v>
      </c>
      <c r="K753" s="11">
        <f>24.644 * CHOOSE(CONTROL!$C$32, $C$9, 100%, $E$9)</f>
        <v>24.643999999999998</v>
      </c>
      <c r="L753" s="11">
        <f>12.2949 * CHOOSE(CONTROL!$C$32, $C$9, 100%, $E$9)</f>
        <v>12.2949</v>
      </c>
      <c r="M753" s="11">
        <f>12.3002 * CHOOSE(CONTROL!$C$32, $C$9, 100%, $E$9)</f>
        <v>12.3002</v>
      </c>
      <c r="N753" s="11">
        <f>12.2949 * CHOOSE(CONTROL!$C$32, $C$9, 100%, $E$9)</f>
        <v>12.2949</v>
      </c>
      <c r="O753" s="11">
        <f>12.3002 * CHOOSE(CONTROL!$C$32, $C$9, 100%, $E$9)</f>
        <v>12.3002</v>
      </c>
    </row>
    <row r="754" spans="1:15" ht="15" x14ac:dyDescent="0.2">
      <c r="A754" s="13">
        <v>63798</v>
      </c>
      <c r="B754" s="9">
        <f>11.0226 * CHOOSE(CONTROL!$C$32, $C$9, 100%, $E$9)</f>
        <v>11.022600000000001</v>
      </c>
      <c r="C754" s="9">
        <f>11.0226 * CHOOSE(CONTROL!$C$32, $C$9, 100%, $E$9)</f>
        <v>11.022600000000001</v>
      </c>
      <c r="D754" s="9">
        <f>11.0241 * CHOOSE(CONTROL!$C$32, $C$9, 100%, $E$9)</f>
        <v>11.024100000000001</v>
      </c>
      <c r="E754" s="11">
        <f>12.2592 * CHOOSE(CONTROL!$C$32, $C$9, 100%, $E$9)</f>
        <v>12.2592</v>
      </c>
      <c r="F754" s="11">
        <f>12.2592 * CHOOSE(CONTROL!$C$32, $C$9, 100%, $E$9)</f>
        <v>12.2592</v>
      </c>
      <c r="G754" s="11">
        <f>12.2645 * CHOOSE(CONTROL!$C$32, $C$9, 100%, $E$9)</f>
        <v>12.2645</v>
      </c>
      <c r="H754" s="11">
        <f>24.69 * CHOOSE(CONTROL!$C$32, $C$9, 100%, $E$9)</f>
        <v>24.69</v>
      </c>
      <c r="I754" s="11">
        <f>24.6953 * CHOOSE(CONTROL!$C$32, $C$9, 100%, $E$9)</f>
        <v>24.6953</v>
      </c>
      <c r="J754" s="11">
        <f>24.69 * CHOOSE(CONTROL!$C$32, $C$9, 100%, $E$9)</f>
        <v>24.69</v>
      </c>
      <c r="K754" s="11">
        <f>24.6953 * CHOOSE(CONTROL!$C$32, $C$9, 100%, $E$9)</f>
        <v>24.6953</v>
      </c>
      <c r="L754" s="11">
        <f>12.2592 * CHOOSE(CONTROL!$C$32, $C$9, 100%, $E$9)</f>
        <v>12.2592</v>
      </c>
      <c r="M754" s="11">
        <f>12.2645 * CHOOSE(CONTROL!$C$32, $C$9, 100%, $E$9)</f>
        <v>12.2645</v>
      </c>
      <c r="N754" s="11">
        <f>12.2592 * CHOOSE(CONTROL!$C$32, $C$9, 100%, $E$9)</f>
        <v>12.2592</v>
      </c>
      <c r="O754" s="11">
        <f>12.2645 * CHOOSE(CONTROL!$C$32, $C$9, 100%, $E$9)</f>
        <v>12.2645</v>
      </c>
    </row>
    <row r="755" spans="1:15" ht="15" x14ac:dyDescent="0.2">
      <c r="A755" s="13">
        <v>63828</v>
      </c>
      <c r="B755" s="9">
        <f>11.0438 * CHOOSE(CONTROL!$C$32, $C$9, 100%, $E$9)</f>
        <v>11.043799999999999</v>
      </c>
      <c r="C755" s="9">
        <f>11.0438 * CHOOSE(CONTROL!$C$32, $C$9, 100%, $E$9)</f>
        <v>11.043799999999999</v>
      </c>
      <c r="D755" s="9">
        <f>11.0449 * CHOOSE(CONTROL!$C$32, $C$9, 100%, $E$9)</f>
        <v>11.0449</v>
      </c>
      <c r="E755" s="11">
        <f>12.3801 * CHOOSE(CONTROL!$C$32, $C$9, 100%, $E$9)</f>
        <v>12.380100000000001</v>
      </c>
      <c r="F755" s="11">
        <f>12.3801 * CHOOSE(CONTROL!$C$32, $C$9, 100%, $E$9)</f>
        <v>12.380100000000001</v>
      </c>
      <c r="G755" s="11">
        <f>12.3837 * CHOOSE(CONTROL!$C$32, $C$9, 100%, $E$9)</f>
        <v>12.383699999999999</v>
      </c>
      <c r="H755" s="11">
        <f>24.7414 * CHOOSE(CONTROL!$C$32, $C$9, 100%, $E$9)</f>
        <v>24.741399999999999</v>
      </c>
      <c r="I755" s="11">
        <f>24.7451 * CHOOSE(CONTROL!$C$32, $C$9, 100%, $E$9)</f>
        <v>24.745100000000001</v>
      </c>
      <c r="J755" s="11">
        <f>24.7414 * CHOOSE(CONTROL!$C$32, $C$9, 100%, $E$9)</f>
        <v>24.741399999999999</v>
      </c>
      <c r="K755" s="11">
        <f>24.7451 * CHOOSE(CONTROL!$C$32, $C$9, 100%, $E$9)</f>
        <v>24.745100000000001</v>
      </c>
      <c r="L755" s="11">
        <f>12.3801 * CHOOSE(CONTROL!$C$32, $C$9, 100%, $E$9)</f>
        <v>12.380100000000001</v>
      </c>
      <c r="M755" s="11">
        <f>12.3837 * CHOOSE(CONTROL!$C$32, $C$9, 100%, $E$9)</f>
        <v>12.383699999999999</v>
      </c>
      <c r="N755" s="11">
        <f>12.3801 * CHOOSE(CONTROL!$C$32, $C$9, 100%, $E$9)</f>
        <v>12.380100000000001</v>
      </c>
      <c r="O755" s="11">
        <f>12.3837 * CHOOSE(CONTROL!$C$32, $C$9, 100%, $E$9)</f>
        <v>12.383699999999999</v>
      </c>
    </row>
    <row r="756" spans="1:15" ht="15" x14ac:dyDescent="0.2">
      <c r="A756" s="13">
        <v>63859</v>
      </c>
      <c r="B756" s="9">
        <f>11.0469 * CHOOSE(CONTROL!$C$32, $C$9, 100%, $E$9)</f>
        <v>11.046900000000001</v>
      </c>
      <c r="C756" s="9">
        <f>11.0469 * CHOOSE(CONTROL!$C$32, $C$9, 100%, $E$9)</f>
        <v>11.046900000000001</v>
      </c>
      <c r="D756" s="9">
        <f>11.048 * CHOOSE(CONTROL!$C$32, $C$9, 100%, $E$9)</f>
        <v>11.048</v>
      </c>
      <c r="E756" s="11">
        <f>12.4493 * CHOOSE(CONTROL!$C$32, $C$9, 100%, $E$9)</f>
        <v>12.449299999999999</v>
      </c>
      <c r="F756" s="11">
        <f>12.4493 * CHOOSE(CONTROL!$C$32, $C$9, 100%, $E$9)</f>
        <v>12.449299999999999</v>
      </c>
      <c r="G756" s="11">
        <f>12.453 * CHOOSE(CONTROL!$C$32, $C$9, 100%, $E$9)</f>
        <v>12.452999999999999</v>
      </c>
      <c r="H756" s="11">
        <f>24.793 * CHOOSE(CONTROL!$C$32, $C$9, 100%, $E$9)</f>
        <v>24.792999999999999</v>
      </c>
      <c r="I756" s="11">
        <f>24.7966 * CHOOSE(CONTROL!$C$32, $C$9, 100%, $E$9)</f>
        <v>24.796600000000002</v>
      </c>
      <c r="J756" s="11">
        <f>24.793 * CHOOSE(CONTROL!$C$32, $C$9, 100%, $E$9)</f>
        <v>24.792999999999999</v>
      </c>
      <c r="K756" s="11">
        <f>24.7966 * CHOOSE(CONTROL!$C$32, $C$9, 100%, $E$9)</f>
        <v>24.796600000000002</v>
      </c>
      <c r="L756" s="11">
        <f>12.4493 * CHOOSE(CONTROL!$C$32, $C$9, 100%, $E$9)</f>
        <v>12.449299999999999</v>
      </c>
      <c r="M756" s="11">
        <f>12.453 * CHOOSE(CONTROL!$C$32, $C$9, 100%, $E$9)</f>
        <v>12.452999999999999</v>
      </c>
      <c r="N756" s="11">
        <f>12.4493 * CHOOSE(CONTROL!$C$32, $C$9, 100%, $E$9)</f>
        <v>12.449299999999999</v>
      </c>
      <c r="O756" s="11">
        <f>12.453 * CHOOSE(CONTROL!$C$32, $C$9, 100%, $E$9)</f>
        <v>12.452999999999999</v>
      </c>
    </row>
    <row r="757" spans="1:15" ht="15" x14ac:dyDescent="0.2">
      <c r="A757" s="13">
        <v>63889</v>
      </c>
      <c r="B757" s="9">
        <f>11.0469 * CHOOSE(CONTROL!$C$32, $C$9, 100%, $E$9)</f>
        <v>11.046900000000001</v>
      </c>
      <c r="C757" s="9">
        <f>11.0469 * CHOOSE(CONTROL!$C$32, $C$9, 100%, $E$9)</f>
        <v>11.046900000000001</v>
      </c>
      <c r="D757" s="9">
        <f>11.048 * CHOOSE(CONTROL!$C$32, $C$9, 100%, $E$9)</f>
        <v>11.048</v>
      </c>
      <c r="E757" s="11">
        <f>12.2815 * CHOOSE(CONTROL!$C$32, $C$9, 100%, $E$9)</f>
        <v>12.281499999999999</v>
      </c>
      <c r="F757" s="11">
        <f>12.2815 * CHOOSE(CONTROL!$C$32, $C$9, 100%, $E$9)</f>
        <v>12.281499999999999</v>
      </c>
      <c r="G757" s="11">
        <f>12.2851 * CHOOSE(CONTROL!$C$32, $C$9, 100%, $E$9)</f>
        <v>12.2851</v>
      </c>
      <c r="H757" s="11">
        <f>24.8446 * CHOOSE(CONTROL!$C$32, $C$9, 100%, $E$9)</f>
        <v>24.8446</v>
      </c>
      <c r="I757" s="11">
        <f>24.8483 * CHOOSE(CONTROL!$C$32, $C$9, 100%, $E$9)</f>
        <v>24.848299999999998</v>
      </c>
      <c r="J757" s="11">
        <f>24.8446 * CHOOSE(CONTROL!$C$32, $C$9, 100%, $E$9)</f>
        <v>24.8446</v>
      </c>
      <c r="K757" s="11">
        <f>24.8483 * CHOOSE(CONTROL!$C$32, $C$9, 100%, $E$9)</f>
        <v>24.848299999999998</v>
      </c>
      <c r="L757" s="11">
        <f>12.2815 * CHOOSE(CONTROL!$C$32, $C$9, 100%, $E$9)</f>
        <v>12.281499999999999</v>
      </c>
      <c r="M757" s="11">
        <f>12.2851 * CHOOSE(CONTROL!$C$32, $C$9, 100%, $E$9)</f>
        <v>12.2851</v>
      </c>
      <c r="N757" s="11">
        <f>12.2815 * CHOOSE(CONTROL!$C$32, $C$9, 100%, $E$9)</f>
        <v>12.281499999999999</v>
      </c>
      <c r="O757" s="11">
        <f>12.2851 * CHOOSE(CONTROL!$C$32, $C$9, 100%, $E$9)</f>
        <v>12.2851</v>
      </c>
    </row>
    <row r="758" spans="1:15" ht="15" x14ac:dyDescent="0.2">
      <c r="A758" s="13">
        <v>63920</v>
      </c>
      <c r="B758" s="9">
        <f>11.0679 * CHOOSE(CONTROL!$C$32, $C$9, 100%, $E$9)</f>
        <v>11.0679</v>
      </c>
      <c r="C758" s="9">
        <f>11.0679 * CHOOSE(CONTROL!$C$32, $C$9, 100%, $E$9)</f>
        <v>11.0679</v>
      </c>
      <c r="D758" s="9">
        <f>11.0689 * CHOOSE(CONTROL!$C$32, $C$9, 100%, $E$9)</f>
        <v>11.068899999999999</v>
      </c>
      <c r="E758" s="11">
        <f>12.433 * CHOOSE(CONTROL!$C$32, $C$9, 100%, $E$9)</f>
        <v>12.433</v>
      </c>
      <c r="F758" s="11">
        <f>12.433 * CHOOSE(CONTROL!$C$32, $C$9, 100%, $E$9)</f>
        <v>12.433</v>
      </c>
      <c r="G758" s="11">
        <f>12.4367 * CHOOSE(CONTROL!$C$32, $C$9, 100%, $E$9)</f>
        <v>12.4367</v>
      </c>
      <c r="H758" s="11">
        <f>24.7358 * CHOOSE(CONTROL!$C$32, $C$9, 100%, $E$9)</f>
        <v>24.735800000000001</v>
      </c>
      <c r="I758" s="11">
        <f>24.7395 * CHOOSE(CONTROL!$C$32, $C$9, 100%, $E$9)</f>
        <v>24.7395</v>
      </c>
      <c r="J758" s="11">
        <f>24.7358 * CHOOSE(CONTROL!$C$32, $C$9, 100%, $E$9)</f>
        <v>24.735800000000001</v>
      </c>
      <c r="K758" s="11">
        <f>24.7395 * CHOOSE(CONTROL!$C$32, $C$9, 100%, $E$9)</f>
        <v>24.7395</v>
      </c>
      <c r="L758" s="11">
        <f>12.433 * CHOOSE(CONTROL!$C$32, $C$9, 100%, $E$9)</f>
        <v>12.433</v>
      </c>
      <c r="M758" s="11">
        <f>12.4367 * CHOOSE(CONTROL!$C$32, $C$9, 100%, $E$9)</f>
        <v>12.4367</v>
      </c>
      <c r="N758" s="11">
        <f>12.433 * CHOOSE(CONTROL!$C$32, $C$9, 100%, $E$9)</f>
        <v>12.433</v>
      </c>
      <c r="O758" s="11">
        <f>12.4367 * CHOOSE(CONTROL!$C$32, $C$9, 100%, $E$9)</f>
        <v>12.4367</v>
      </c>
    </row>
    <row r="759" spans="1:15" ht="15" x14ac:dyDescent="0.2">
      <c r="A759" s="13">
        <v>63951</v>
      </c>
      <c r="B759" s="9">
        <f>11.0648 * CHOOSE(CONTROL!$C$32, $C$9, 100%, $E$9)</f>
        <v>11.0648</v>
      </c>
      <c r="C759" s="9">
        <f>11.0648 * CHOOSE(CONTROL!$C$32, $C$9, 100%, $E$9)</f>
        <v>11.0648</v>
      </c>
      <c r="D759" s="9">
        <f>11.0659 * CHOOSE(CONTROL!$C$32, $C$9, 100%, $E$9)</f>
        <v>11.065899999999999</v>
      </c>
      <c r="E759" s="11">
        <f>12.1066 * CHOOSE(CONTROL!$C$32, $C$9, 100%, $E$9)</f>
        <v>12.1066</v>
      </c>
      <c r="F759" s="11">
        <f>12.1066 * CHOOSE(CONTROL!$C$32, $C$9, 100%, $E$9)</f>
        <v>12.1066</v>
      </c>
      <c r="G759" s="11">
        <f>12.1102 * CHOOSE(CONTROL!$C$32, $C$9, 100%, $E$9)</f>
        <v>12.110200000000001</v>
      </c>
      <c r="H759" s="11">
        <f>24.7874 * CHOOSE(CONTROL!$C$32, $C$9, 100%, $E$9)</f>
        <v>24.787400000000002</v>
      </c>
      <c r="I759" s="11">
        <f>24.791 * CHOOSE(CONTROL!$C$32, $C$9, 100%, $E$9)</f>
        <v>24.791</v>
      </c>
      <c r="J759" s="11">
        <f>24.7874 * CHOOSE(CONTROL!$C$32, $C$9, 100%, $E$9)</f>
        <v>24.787400000000002</v>
      </c>
      <c r="K759" s="11">
        <f>24.791 * CHOOSE(CONTROL!$C$32, $C$9, 100%, $E$9)</f>
        <v>24.791</v>
      </c>
      <c r="L759" s="11">
        <f>12.1066 * CHOOSE(CONTROL!$C$32, $C$9, 100%, $E$9)</f>
        <v>12.1066</v>
      </c>
      <c r="M759" s="11">
        <f>12.1102 * CHOOSE(CONTROL!$C$32, $C$9, 100%, $E$9)</f>
        <v>12.110200000000001</v>
      </c>
      <c r="N759" s="11">
        <f>12.1066 * CHOOSE(CONTROL!$C$32, $C$9, 100%, $E$9)</f>
        <v>12.1066</v>
      </c>
      <c r="O759" s="11">
        <f>12.1102 * CHOOSE(CONTROL!$C$32, $C$9, 100%, $E$9)</f>
        <v>12.110200000000001</v>
      </c>
    </row>
    <row r="760" spans="1:15" ht="15" x14ac:dyDescent="0.2">
      <c r="A760" s="13">
        <v>63979</v>
      </c>
      <c r="B760" s="9">
        <f>11.0618 * CHOOSE(CONTROL!$C$32, $C$9, 100%, $E$9)</f>
        <v>11.0618</v>
      </c>
      <c r="C760" s="9">
        <f>11.0618 * CHOOSE(CONTROL!$C$32, $C$9, 100%, $E$9)</f>
        <v>11.0618</v>
      </c>
      <c r="D760" s="9">
        <f>11.0629 * CHOOSE(CONTROL!$C$32, $C$9, 100%, $E$9)</f>
        <v>11.062900000000001</v>
      </c>
      <c r="E760" s="11">
        <f>12.3602 * CHOOSE(CONTROL!$C$32, $C$9, 100%, $E$9)</f>
        <v>12.360200000000001</v>
      </c>
      <c r="F760" s="11">
        <f>12.3602 * CHOOSE(CONTROL!$C$32, $C$9, 100%, $E$9)</f>
        <v>12.360200000000001</v>
      </c>
      <c r="G760" s="11">
        <f>12.3638 * CHOOSE(CONTROL!$C$32, $C$9, 100%, $E$9)</f>
        <v>12.363799999999999</v>
      </c>
      <c r="H760" s="11">
        <f>24.839 * CHOOSE(CONTROL!$C$32, $C$9, 100%, $E$9)</f>
        <v>24.838999999999999</v>
      </c>
      <c r="I760" s="11">
        <f>24.8426 * CHOOSE(CONTROL!$C$32, $C$9, 100%, $E$9)</f>
        <v>24.842600000000001</v>
      </c>
      <c r="J760" s="11">
        <f>24.839 * CHOOSE(CONTROL!$C$32, $C$9, 100%, $E$9)</f>
        <v>24.838999999999999</v>
      </c>
      <c r="K760" s="11">
        <f>24.8426 * CHOOSE(CONTROL!$C$32, $C$9, 100%, $E$9)</f>
        <v>24.842600000000001</v>
      </c>
      <c r="L760" s="11">
        <f>12.3602 * CHOOSE(CONTROL!$C$32, $C$9, 100%, $E$9)</f>
        <v>12.360200000000001</v>
      </c>
      <c r="M760" s="11">
        <f>12.3638 * CHOOSE(CONTROL!$C$32, $C$9, 100%, $E$9)</f>
        <v>12.363799999999999</v>
      </c>
      <c r="N760" s="11">
        <f>12.3602 * CHOOSE(CONTROL!$C$32, $C$9, 100%, $E$9)</f>
        <v>12.360200000000001</v>
      </c>
      <c r="O760" s="11">
        <f>12.3638 * CHOOSE(CONTROL!$C$32, $C$9, 100%, $E$9)</f>
        <v>12.363799999999999</v>
      </c>
    </row>
    <row r="761" spans="1:15" ht="15" x14ac:dyDescent="0.2">
      <c r="A761" s="13">
        <v>64010</v>
      </c>
      <c r="B761" s="9">
        <f>11.0663 * CHOOSE(CONTROL!$C$32, $C$9, 100%, $E$9)</f>
        <v>11.0663</v>
      </c>
      <c r="C761" s="9">
        <f>11.0663 * CHOOSE(CONTROL!$C$32, $C$9, 100%, $E$9)</f>
        <v>11.0663</v>
      </c>
      <c r="D761" s="9">
        <f>11.0674 * CHOOSE(CONTROL!$C$32, $C$9, 100%, $E$9)</f>
        <v>11.067399999999999</v>
      </c>
      <c r="E761" s="11">
        <f>12.6305 * CHOOSE(CONTROL!$C$32, $C$9, 100%, $E$9)</f>
        <v>12.6305</v>
      </c>
      <c r="F761" s="11">
        <f>12.6305 * CHOOSE(CONTROL!$C$32, $C$9, 100%, $E$9)</f>
        <v>12.6305</v>
      </c>
      <c r="G761" s="11">
        <f>12.6341 * CHOOSE(CONTROL!$C$32, $C$9, 100%, $E$9)</f>
        <v>12.6341</v>
      </c>
      <c r="H761" s="11">
        <f>24.8908 * CHOOSE(CONTROL!$C$32, $C$9, 100%, $E$9)</f>
        <v>24.890799999999999</v>
      </c>
      <c r="I761" s="11">
        <f>24.8944 * CHOOSE(CONTROL!$C$32, $C$9, 100%, $E$9)</f>
        <v>24.894400000000001</v>
      </c>
      <c r="J761" s="11">
        <f>24.8908 * CHOOSE(CONTROL!$C$32, $C$9, 100%, $E$9)</f>
        <v>24.890799999999999</v>
      </c>
      <c r="K761" s="11">
        <f>24.8944 * CHOOSE(CONTROL!$C$32, $C$9, 100%, $E$9)</f>
        <v>24.894400000000001</v>
      </c>
      <c r="L761" s="11">
        <f>12.6305 * CHOOSE(CONTROL!$C$32, $C$9, 100%, $E$9)</f>
        <v>12.6305</v>
      </c>
      <c r="M761" s="11">
        <f>12.6341 * CHOOSE(CONTROL!$C$32, $C$9, 100%, $E$9)</f>
        <v>12.6341</v>
      </c>
      <c r="N761" s="11">
        <f>12.6305 * CHOOSE(CONTROL!$C$32, $C$9, 100%, $E$9)</f>
        <v>12.6305</v>
      </c>
      <c r="O761" s="11">
        <f>12.6341 * CHOOSE(CONTROL!$C$32, $C$9, 100%, $E$9)</f>
        <v>12.6341</v>
      </c>
    </row>
    <row r="762" spans="1:15" ht="15" x14ac:dyDescent="0.2">
      <c r="A762" s="13">
        <v>64040</v>
      </c>
      <c r="B762" s="9">
        <f>11.0663 * CHOOSE(CONTROL!$C$32, $C$9, 100%, $E$9)</f>
        <v>11.0663</v>
      </c>
      <c r="C762" s="9">
        <f>11.0663 * CHOOSE(CONTROL!$C$32, $C$9, 100%, $E$9)</f>
        <v>11.0663</v>
      </c>
      <c r="D762" s="9">
        <f>11.0679 * CHOOSE(CONTROL!$C$32, $C$9, 100%, $E$9)</f>
        <v>11.0679</v>
      </c>
      <c r="E762" s="11">
        <f>12.7335 * CHOOSE(CONTROL!$C$32, $C$9, 100%, $E$9)</f>
        <v>12.733499999999999</v>
      </c>
      <c r="F762" s="11">
        <f>12.7335 * CHOOSE(CONTROL!$C$32, $C$9, 100%, $E$9)</f>
        <v>12.733499999999999</v>
      </c>
      <c r="G762" s="11">
        <f>12.7388 * CHOOSE(CONTROL!$C$32, $C$9, 100%, $E$9)</f>
        <v>12.738799999999999</v>
      </c>
      <c r="H762" s="11">
        <f>24.9426 * CHOOSE(CONTROL!$C$32, $C$9, 100%, $E$9)</f>
        <v>24.942599999999999</v>
      </c>
      <c r="I762" s="11">
        <f>24.9479 * CHOOSE(CONTROL!$C$32, $C$9, 100%, $E$9)</f>
        <v>24.947900000000001</v>
      </c>
      <c r="J762" s="11">
        <f>24.9426 * CHOOSE(CONTROL!$C$32, $C$9, 100%, $E$9)</f>
        <v>24.942599999999999</v>
      </c>
      <c r="K762" s="11">
        <f>24.9479 * CHOOSE(CONTROL!$C$32, $C$9, 100%, $E$9)</f>
        <v>24.947900000000001</v>
      </c>
      <c r="L762" s="11">
        <f>12.7335 * CHOOSE(CONTROL!$C$32, $C$9, 100%, $E$9)</f>
        <v>12.733499999999999</v>
      </c>
      <c r="M762" s="11">
        <f>12.7388 * CHOOSE(CONTROL!$C$32, $C$9, 100%, $E$9)</f>
        <v>12.738799999999999</v>
      </c>
      <c r="N762" s="11">
        <f>12.7335 * CHOOSE(CONTROL!$C$32, $C$9, 100%, $E$9)</f>
        <v>12.733499999999999</v>
      </c>
      <c r="O762" s="11">
        <f>12.7388 * CHOOSE(CONTROL!$C$32, $C$9, 100%, $E$9)</f>
        <v>12.738799999999999</v>
      </c>
    </row>
    <row r="763" spans="1:15" ht="15" x14ac:dyDescent="0.2">
      <c r="A763" s="13">
        <v>64071</v>
      </c>
      <c r="B763" s="9">
        <f>11.0724 * CHOOSE(CONTROL!$C$32, $C$9, 100%, $E$9)</f>
        <v>11.0724</v>
      </c>
      <c r="C763" s="9">
        <f>11.0724 * CHOOSE(CONTROL!$C$32, $C$9, 100%, $E$9)</f>
        <v>11.0724</v>
      </c>
      <c r="D763" s="9">
        <f>11.0739 * CHOOSE(CONTROL!$C$32, $C$9, 100%, $E$9)</f>
        <v>11.0739</v>
      </c>
      <c r="E763" s="11">
        <f>12.6347 * CHOOSE(CONTROL!$C$32, $C$9, 100%, $E$9)</f>
        <v>12.6347</v>
      </c>
      <c r="F763" s="11">
        <f>12.6347 * CHOOSE(CONTROL!$C$32, $C$9, 100%, $E$9)</f>
        <v>12.6347</v>
      </c>
      <c r="G763" s="11">
        <f>12.64 * CHOOSE(CONTROL!$C$32, $C$9, 100%, $E$9)</f>
        <v>12.64</v>
      </c>
      <c r="H763" s="11">
        <f>24.9946 * CHOOSE(CONTROL!$C$32, $C$9, 100%, $E$9)</f>
        <v>24.994599999999998</v>
      </c>
      <c r="I763" s="11">
        <f>24.9999 * CHOOSE(CONTROL!$C$32, $C$9, 100%, $E$9)</f>
        <v>24.9999</v>
      </c>
      <c r="J763" s="11">
        <f>24.9946 * CHOOSE(CONTROL!$C$32, $C$9, 100%, $E$9)</f>
        <v>24.994599999999998</v>
      </c>
      <c r="K763" s="11">
        <f>24.9999 * CHOOSE(CONTROL!$C$32, $C$9, 100%, $E$9)</f>
        <v>24.9999</v>
      </c>
      <c r="L763" s="11">
        <f>12.6347 * CHOOSE(CONTROL!$C$32, $C$9, 100%, $E$9)</f>
        <v>12.6347</v>
      </c>
      <c r="M763" s="11">
        <f>12.64 * CHOOSE(CONTROL!$C$32, $C$9, 100%, $E$9)</f>
        <v>12.64</v>
      </c>
      <c r="N763" s="11">
        <f>12.6347 * CHOOSE(CONTROL!$C$32, $C$9, 100%, $E$9)</f>
        <v>12.6347</v>
      </c>
      <c r="O763" s="11">
        <f>12.64 * CHOOSE(CONTROL!$C$32, $C$9, 100%, $E$9)</f>
        <v>12.64</v>
      </c>
    </row>
    <row r="764" spans="1:15" ht="15" x14ac:dyDescent="0.2">
      <c r="A764" s="13">
        <v>64101</v>
      </c>
      <c r="B764" s="9">
        <f>11.2085 * CHOOSE(CONTROL!$C$32, $C$9, 100%, $E$9)</f>
        <v>11.208500000000001</v>
      </c>
      <c r="C764" s="9">
        <f>11.2085 * CHOOSE(CONTROL!$C$32, $C$9, 100%, $E$9)</f>
        <v>11.208500000000001</v>
      </c>
      <c r="D764" s="9">
        <f>11.2101 * CHOOSE(CONTROL!$C$32, $C$9, 100%, $E$9)</f>
        <v>11.210100000000001</v>
      </c>
      <c r="E764" s="11">
        <f>12.8126 * CHOOSE(CONTROL!$C$32, $C$9, 100%, $E$9)</f>
        <v>12.8126</v>
      </c>
      <c r="F764" s="11">
        <f>12.8126 * CHOOSE(CONTROL!$C$32, $C$9, 100%, $E$9)</f>
        <v>12.8126</v>
      </c>
      <c r="G764" s="11">
        <f>12.8179 * CHOOSE(CONTROL!$C$32, $C$9, 100%, $E$9)</f>
        <v>12.8179</v>
      </c>
      <c r="H764" s="11">
        <f>25.0467 * CHOOSE(CONTROL!$C$32, $C$9, 100%, $E$9)</f>
        <v>25.046700000000001</v>
      </c>
      <c r="I764" s="11">
        <f>25.052 * CHOOSE(CONTROL!$C$32, $C$9, 100%, $E$9)</f>
        <v>25.052</v>
      </c>
      <c r="J764" s="11">
        <f>25.0467 * CHOOSE(CONTROL!$C$32, $C$9, 100%, $E$9)</f>
        <v>25.046700000000001</v>
      </c>
      <c r="K764" s="11">
        <f>25.052 * CHOOSE(CONTROL!$C$32, $C$9, 100%, $E$9)</f>
        <v>25.052</v>
      </c>
      <c r="L764" s="11">
        <f>12.8126 * CHOOSE(CONTROL!$C$32, $C$9, 100%, $E$9)</f>
        <v>12.8126</v>
      </c>
      <c r="M764" s="11">
        <f>12.8179 * CHOOSE(CONTROL!$C$32, $C$9, 100%, $E$9)</f>
        <v>12.8179</v>
      </c>
      <c r="N764" s="11">
        <f>12.8126 * CHOOSE(CONTROL!$C$32, $C$9, 100%, $E$9)</f>
        <v>12.8126</v>
      </c>
      <c r="O764" s="11">
        <f>12.8179 * CHOOSE(CONTROL!$C$32, $C$9, 100%, $E$9)</f>
        <v>12.8179</v>
      </c>
    </row>
    <row r="765" spans="1:15" ht="15" x14ac:dyDescent="0.2">
      <c r="A765" s="13">
        <v>64132</v>
      </c>
      <c r="B765" s="9">
        <f>11.2152 * CHOOSE(CONTROL!$C$32, $C$9, 100%, $E$9)</f>
        <v>11.215199999999999</v>
      </c>
      <c r="C765" s="9">
        <f>11.2152 * CHOOSE(CONTROL!$C$32, $C$9, 100%, $E$9)</f>
        <v>11.215199999999999</v>
      </c>
      <c r="D765" s="9">
        <f>11.2168 * CHOOSE(CONTROL!$C$32, $C$9, 100%, $E$9)</f>
        <v>11.216799999999999</v>
      </c>
      <c r="E765" s="11">
        <f>12.5083 * CHOOSE(CONTROL!$C$32, $C$9, 100%, $E$9)</f>
        <v>12.5083</v>
      </c>
      <c r="F765" s="11">
        <f>12.5083 * CHOOSE(CONTROL!$C$32, $C$9, 100%, $E$9)</f>
        <v>12.5083</v>
      </c>
      <c r="G765" s="11">
        <f>12.5136 * CHOOSE(CONTROL!$C$32, $C$9, 100%, $E$9)</f>
        <v>12.5136</v>
      </c>
      <c r="H765" s="11">
        <f>25.0988 * CHOOSE(CONTROL!$C$32, $C$9, 100%, $E$9)</f>
        <v>25.098800000000001</v>
      </c>
      <c r="I765" s="11">
        <f>25.1041 * CHOOSE(CONTROL!$C$32, $C$9, 100%, $E$9)</f>
        <v>25.104099999999999</v>
      </c>
      <c r="J765" s="11">
        <f>25.0988 * CHOOSE(CONTROL!$C$32, $C$9, 100%, $E$9)</f>
        <v>25.098800000000001</v>
      </c>
      <c r="K765" s="11">
        <f>25.1041 * CHOOSE(CONTROL!$C$32, $C$9, 100%, $E$9)</f>
        <v>25.104099999999999</v>
      </c>
      <c r="L765" s="11">
        <f>12.5083 * CHOOSE(CONTROL!$C$32, $C$9, 100%, $E$9)</f>
        <v>12.5083</v>
      </c>
      <c r="M765" s="11">
        <f>12.5136 * CHOOSE(CONTROL!$C$32, $C$9, 100%, $E$9)</f>
        <v>12.5136</v>
      </c>
      <c r="N765" s="11">
        <f>12.5083 * CHOOSE(CONTROL!$C$32, $C$9, 100%, $E$9)</f>
        <v>12.5083</v>
      </c>
      <c r="O765" s="11">
        <f>12.5136 * CHOOSE(CONTROL!$C$32, $C$9, 100%, $E$9)</f>
        <v>12.5136</v>
      </c>
    </row>
    <row r="766" spans="1:15" ht="15" x14ac:dyDescent="0.2">
      <c r="A766" s="13">
        <v>64163</v>
      </c>
      <c r="B766" s="9">
        <f>11.2122 * CHOOSE(CONTROL!$C$32, $C$9, 100%, $E$9)</f>
        <v>11.212199999999999</v>
      </c>
      <c r="C766" s="9">
        <f>11.2122 * CHOOSE(CONTROL!$C$32, $C$9, 100%, $E$9)</f>
        <v>11.212199999999999</v>
      </c>
      <c r="D766" s="9">
        <f>11.2137 * CHOOSE(CONTROL!$C$32, $C$9, 100%, $E$9)</f>
        <v>11.213699999999999</v>
      </c>
      <c r="E766" s="11">
        <f>12.4719 * CHOOSE(CONTROL!$C$32, $C$9, 100%, $E$9)</f>
        <v>12.4719</v>
      </c>
      <c r="F766" s="11">
        <f>12.4719 * CHOOSE(CONTROL!$C$32, $C$9, 100%, $E$9)</f>
        <v>12.4719</v>
      </c>
      <c r="G766" s="11">
        <f>12.4772 * CHOOSE(CONTROL!$C$32, $C$9, 100%, $E$9)</f>
        <v>12.4772</v>
      </c>
      <c r="H766" s="11">
        <f>25.1511 * CHOOSE(CONTROL!$C$32, $C$9, 100%, $E$9)</f>
        <v>25.1511</v>
      </c>
      <c r="I766" s="11">
        <f>25.1564 * CHOOSE(CONTROL!$C$32, $C$9, 100%, $E$9)</f>
        <v>25.156400000000001</v>
      </c>
      <c r="J766" s="11">
        <f>25.1511 * CHOOSE(CONTROL!$C$32, $C$9, 100%, $E$9)</f>
        <v>25.1511</v>
      </c>
      <c r="K766" s="11">
        <f>25.1564 * CHOOSE(CONTROL!$C$32, $C$9, 100%, $E$9)</f>
        <v>25.156400000000001</v>
      </c>
      <c r="L766" s="11">
        <f>12.4719 * CHOOSE(CONTROL!$C$32, $C$9, 100%, $E$9)</f>
        <v>12.4719</v>
      </c>
      <c r="M766" s="11">
        <f>12.4772 * CHOOSE(CONTROL!$C$32, $C$9, 100%, $E$9)</f>
        <v>12.4772</v>
      </c>
      <c r="N766" s="11">
        <f>12.4719 * CHOOSE(CONTROL!$C$32, $C$9, 100%, $E$9)</f>
        <v>12.4719</v>
      </c>
      <c r="O766" s="11">
        <f>12.4772 * CHOOSE(CONTROL!$C$32, $C$9, 100%, $E$9)</f>
        <v>12.4772</v>
      </c>
    </row>
    <row r="767" spans="1:15" ht="15" x14ac:dyDescent="0.2">
      <c r="A767" s="13">
        <v>64193</v>
      </c>
      <c r="B767" s="9">
        <f>11.2342 * CHOOSE(CONTROL!$C$32, $C$9, 100%, $E$9)</f>
        <v>11.2342</v>
      </c>
      <c r="C767" s="9">
        <f>11.2342 * CHOOSE(CONTROL!$C$32, $C$9, 100%, $E$9)</f>
        <v>11.2342</v>
      </c>
      <c r="D767" s="9">
        <f>11.2352 * CHOOSE(CONTROL!$C$32, $C$9, 100%, $E$9)</f>
        <v>11.235200000000001</v>
      </c>
      <c r="E767" s="11">
        <f>12.5958 * CHOOSE(CONTROL!$C$32, $C$9, 100%, $E$9)</f>
        <v>12.595800000000001</v>
      </c>
      <c r="F767" s="11">
        <f>12.5958 * CHOOSE(CONTROL!$C$32, $C$9, 100%, $E$9)</f>
        <v>12.595800000000001</v>
      </c>
      <c r="G767" s="11">
        <f>12.5994 * CHOOSE(CONTROL!$C$32, $C$9, 100%, $E$9)</f>
        <v>12.599399999999999</v>
      </c>
      <c r="H767" s="11">
        <f>25.2035 * CHOOSE(CONTROL!$C$32, $C$9, 100%, $E$9)</f>
        <v>25.203499999999998</v>
      </c>
      <c r="I767" s="11">
        <f>25.2071 * CHOOSE(CONTROL!$C$32, $C$9, 100%, $E$9)</f>
        <v>25.207100000000001</v>
      </c>
      <c r="J767" s="11">
        <f>25.2035 * CHOOSE(CONTROL!$C$32, $C$9, 100%, $E$9)</f>
        <v>25.203499999999998</v>
      </c>
      <c r="K767" s="11">
        <f>25.2071 * CHOOSE(CONTROL!$C$32, $C$9, 100%, $E$9)</f>
        <v>25.207100000000001</v>
      </c>
      <c r="L767" s="11">
        <f>12.5958 * CHOOSE(CONTROL!$C$32, $C$9, 100%, $E$9)</f>
        <v>12.595800000000001</v>
      </c>
      <c r="M767" s="11">
        <f>12.5994 * CHOOSE(CONTROL!$C$32, $C$9, 100%, $E$9)</f>
        <v>12.599399999999999</v>
      </c>
      <c r="N767" s="11">
        <f>12.5958 * CHOOSE(CONTROL!$C$32, $C$9, 100%, $E$9)</f>
        <v>12.595800000000001</v>
      </c>
      <c r="O767" s="11">
        <f>12.5994 * CHOOSE(CONTROL!$C$32, $C$9, 100%, $E$9)</f>
        <v>12.599399999999999</v>
      </c>
    </row>
    <row r="768" spans="1:15" ht="15" x14ac:dyDescent="0.2">
      <c r="A768" s="13">
        <v>64224</v>
      </c>
      <c r="B768" s="9">
        <f>11.2372 * CHOOSE(CONTROL!$C$32, $C$9, 100%, $E$9)</f>
        <v>11.2372</v>
      </c>
      <c r="C768" s="9">
        <f>11.2372 * CHOOSE(CONTROL!$C$32, $C$9, 100%, $E$9)</f>
        <v>11.2372</v>
      </c>
      <c r="D768" s="9">
        <f>11.2383 * CHOOSE(CONTROL!$C$32, $C$9, 100%, $E$9)</f>
        <v>11.238300000000001</v>
      </c>
      <c r="E768" s="11">
        <f>12.6665 * CHOOSE(CONTROL!$C$32, $C$9, 100%, $E$9)</f>
        <v>12.666499999999999</v>
      </c>
      <c r="F768" s="11">
        <f>12.6665 * CHOOSE(CONTROL!$C$32, $C$9, 100%, $E$9)</f>
        <v>12.666499999999999</v>
      </c>
      <c r="G768" s="11">
        <f>12.6701 * CHOOSE(CONTROL!$C$32, $C$9, 100%, $E$9)</f>
        <v>12.6701</v>
      </c>
      <c r="H768" s="11">
        <f>25.256 * CHOOSE(CONTROL!$C$32, $C$9, 100%, $E$9)</f>
        <v>25.256</v>
      </c>
      <c r="I768" s="11">
        <f>25.2596 * CHOOSE(CONTROL!$C$32, $C$9, 100%, $E$9)</f>
        <v>25.259599999999999</v>
      </c>
      <c r="J768" s="11">
        <f>25.256 * CHOOSE(CONTROL!$C$32, $C$9, 100%, $E$9)</f>
        <v>25.256</v>
      </c>
      <c r="K768" s="11">
        <f>25.2596 * CHOOSE(CONTROL!$C$32, $C$9, 100%, $E$9)</f>
        <v>25.259599999999999</v>
      </c>
      <c r="L768" s="11">
        <f>12.6665 * CHOOSE(CONTROL!$C$32, $C$9, 100%, $E$9)</f>
        <v>12.666499999999999</v>
      </c>
      <c r="M768" s="11">
        <f>12.6701 * CHOOSE(CONTROL!$C$32, $C$9, 100%, $E$9)</f>
        <v>12.6701</v>
      </c>
      <c r="N768" s="11">
        <f>12.6665 * CHOOSE(CONTROL!$C$32, $C$9, 100%, $E$9)</f>
        <v>12.666499999999999</v>
      </c>
      <c r="O768" s="11">
        <f>12.6701 * CHOOSE(CONTROL!$C$32, $C$9, 100%, $E$9)</f>
        <v>12.6701</v>
      </c>
    </row>
    <row r="769" spans="1:15" ht="15" x14ac:dyDescent="0.2">
      <c r="A769" s="13">
        <v>64254</v>
      </c>
      <c r="B769" s="9">
        <f>11.2372 * CHOOSE(CONTROL!$C$32, $C$9, 100%, $E$9)</f>
        <v>11.2372</v>
      </c>
      <c r="C769" s="9">
        <f>11.2372 * CHOOSE(CONTROL!$C$32, $C$9, 100%, $E$9)</f>
        <v>11.2372</v>
      </c>
      <c r="D769" s="9">
        <f>11.2383 * CHOOSE(CONTROL!$C$32, $C$9, 100%, $E$9)</f>
        <v>11.238300000000001</v>
      </c>
      <c r="E769" s="11">
        <f>12.4949 * CHOOSE(CONTROL!$C$32, $C$9, 100%, $E$9)</f>
        <v>12.494899999999999</v>
      </c>
      <c r="F769" s="11">
        <f>12.4949 * CHOOSE(CONTROL!$C$32, $C$9, 100%, $E$9)</f>
        <v>12.494899999999999</v>
      </c>
      <c r="G769" s="11">
        <f>12.4985 * CHOOSE(CONTROL!$C$32, $C$9, 100%, $E$9)</f>
        <v>12.4985</v>
      </c>
      <c r="H769" s="11">
        <f>25.3086 * CHOOSE(CONTROL!$C$32, $C$9, 100%, $E$9)</f>
        <v>25.308599999999998</v>
      </c>
      <c r="I769" s="11">
        <f>25.3123 * CHOOSE(CONTROL!$C$32, $C$9, 100%, $E$9)</f>
        <v>25.3123</v>
      </c>
      <c r="J769" s="11">
        <f>25.3086 * CHOOSE(CONTROL!$C$32, $C$9, 100%, $E$9)</f>
        <v>25.308599999999998</v>
      </c>
      <c r="K769" s="11">
        <f>25.3123 * CHOOSE(CONTROL!$C$32, $C$9, 100%, $E$9)</f>
        <v>25.3123</v>
      </c>
      <c r="L769" s="11">
        <f>12.4949 * CHOOSE(CONTROL!$C$32, $C$9, 100%, $E$9)</f>
        <v>12.494899999999999</v>
      </c>
      <c r="M769" s="11">
        <f>12.4985 * CHOOSE(CONTROL!$C$32, $C$9, 100%, $E$9)</f>
        <v>12.4985</v>
      </c>
      <c r="N769" s="11">
        <f>12.4949 * CHOOSE(CONTROL!$C$32, $C$9, 100%, $E$9)</f>
        <v>12.494899999999999</v>
      </c>
      <c r="O769" s="11">
        <f>12.4985 * CHOOSE(CONTROL!$C$32, $C$9, 100%, $E$9)</f>
        <v>12.4985</v>
      </c>
    </row>
    <row r="770" spans="1:15" ht="15" x14ac:dyDescent="0.2">
      <c r="A770" s="13">
        <v>64285</v>
      </c>
      <c r="B770" s="9">
        <f>11.2552 * CHOOSE(CONTROL!$C$32, $C$9, 100%, $E$9)</f>
        <v>11.2552</v>
      </c>
      <c r="C770" s="9">
        <f>11.2552 * CHOOSE(CONTROL!$C$32, $C$9, 100%, $E$9)</f>
        <v>11.2552</v>
      </c>
      <c r="D770" s="9">
        <f>11.2563 * CHOOSE(CONTROL!$C$32, $C$9, 100%, $E$9)</f>
        <v>11.2563</v>
      </c>
      <c r="E770" s="11">
        <f>12.6455 * CHOOSE(CONTROL!$C$32, $C$9, 100%, $E$9)</f>
        <v>12.6455</v>
      </c>
      <c r="F770" s="11">
        <f>12.6455 * CHOOSE(CONTROL!$C$32, $C$9, 100%, $E$9)</f>
        <v>12.6455</v>
      </c>
      <c r="G770" s="11">
        <f>12.6492 * CHOOSE(CONTROL!$C$32, $C$9, 100%, $E$9)</f>
        <v>12.6492</v>
      </c>
      <c r="H770" s="11">
        <f>25.1893 * CHOOSE(CONTROL!$C$32, $C$9, 100%, $E$9)</f>
        <v>25.189299999999999</v>
      </c>
      <c r="I770" s="11">
        <f>25.193 * CHOOSE(CONTROL!$C$32, $C$9, 100%, $E$9)</f>
        <v>25.193000000000001</v>
      </c>
      <c r="J770" s="11">
        <f>25.1893 * CHOOSE(CONTROL!$C$32, $C$9, 100%, $E$9)</f>
        <v>25.189299999999999</v>
      </c>
      <c r="K770" s="11">
        <f>25.193 * CHOOSE(CONTROL!$C$32, $C$9, 100%, $E$9)</f>
        <v>25.193000000000001</v>
      </c>
      <c r="L770" s="11">
        <f>12.6455 * CHOOSE(CONTROL!$C$32, $C$9, 100%, $E$9)</f>
        <v>12.6455</v>
      </c>
      <c r="M770" s="11">
        <f>12.6492 * CHOOSE(CONTROL!$C$32, $C$9, 100%, $E$9)</f>
        <v>12.6492</v>
      </c>
      <c r="N770" s="11">
        <f>12.6455 * CHOOSE(CONTROL!$C$32, $C$9, 100%, $E$9)</f>
        <v>12.6455</v>
      </c>
      <c r="O770" s="11">
        <f>12.6492 * CHOOSE(CONTROL!$C$32, $C$9, 100%, $E$9)</f>
        <v>12.6492</v>
      </c>
    </row>
    <row r="771" spans="1:15" ht="15" x14ac:dyDescent="0.2">
      <c r="A771" s="13">
        <v>64316</v>
      </c>
      <c r="B771" s="9">
        <f>11.2522 * CHOOSE(CONTROL!$C$32, $C$9, 100%, $E$9)</f>
        <v>11.2522</v>
      </c>
      <c r="C771" s="9">
        <f>11.2522 * CHOOSE(CONTROL!$C$32, $C$9, 100%, $E$9)</f>
        <v>11.2522</v>
      </c>
      <c r="D771" s="9">
        <f>11.2533 * CHOOSE(CONTROL!$C$32, $C$9, 100%, $E$9)</f>
        <v>11.253299999999999</v>
      </c>
      <c r="E771" s="11">
        <f>12.312 * CHOOSE(CONTROL!$C$32, $C$9, 100%, $E$9)</f>
        <v>12.311999999999999</v>
      </c>
      <c r="F771" s="11">
        <f>12.312 * CHOOSE(CONTROL!$C$32, $C$9, 100%, $E$9)</f>
        <v>12.311999999999999</v>
      </c>
      <c r="G771" s="11">
        <f>12.3156 * CHOOSE(CONTROL!$C$32, $C$9, 100%, $E$9)</f>
        <v>12.3156</v>
      </c>
      <c r="H771" s="11">
        <f>25.2418 * CHOOSE(CONTROL!$C$32, $C$9, 100%, $E$9)</f>
        <v>25.241800000000001</v>
      </c>
      <c r="I771" s="11">
        <f>25.2454 * CHOOSE(CONTROL!$C$32, $C$9, 100%, $E$9)</f>
        <v>25.2454</v>
      </c>
      <c r="J771" s="11">
        <f>25.2418 * CHOOSE(CONTROL!$C$32, $C$9, 100%, $E$9)</f>
        <v>25.241800000000001</v>
      </c>
      <c r="K771" s="11">
        <f>25.2454 * CHOOSE(CONTROL!$C$32, $C$9, 100%, $E$9)</f>
        <v>25.2454</v>
      </c>
      <c r="L771" s="11">
        <f>12.312 * CHOOSE(CONTROL!$C$32, $C$9, 100%, $E$9)</f>
        <v>12.311999999999999</v>
      </c>
      <c r="M771" s="11">
        <f>12.3156 * CHOOSE(CONTROL!$C$32, $C$9, 100%, $E$9)</f>
        <v>12.3156</v>
      </c>
      <c r="N771" s="11">
        <f>12.312 * CHOOSE(CONTROL!$C$32, $C$9, 100%, $E$9)</f>
        <v>12.311999999999999</v>
      </c>
      <c r="O771" s="11">
        <f>12.3156 * CHOOSE(CONTROL!$C$32, $C$9, 100%, $E$9)</f>
        <v>12.3156</v>
      </c>
    </row>
    <row r="772" spans="1:15" ht="15" x14ac:dyDescent="0.2">
      <c r="A772" s="13">
        <v>64345</v>
      </c>
      <c r="B772" s="9">
        <f>11.2491 * CHOOSE(CONTROL!$C$32, $C$9, 100%, $E$9)</f>
        <v>11.2491</v>
      </c>
      <c r="C772" s="9">
        <f>11.2491 * CHOOSE(CONTROL!$C$32, $C$9, 100%, $E$9)</f>
        <v>11.2491</v>
      </c>
      <c r="D772" s="9">
        <f>11.2502 * CHOOSE(CONTROL!$C$32, $C$9, 100%, $E$9)</f>
        <v>11.2502</v>
      </c>
      <c r="E772" s="11">
        <f>12.5712 * CHOOSE(CONTROL!$C$32, $C$9, 100%, $E$9)</f>
        <v>12.571199999999999</v>
      </c>
      <c r="F772" s="11">
        <f>12.5712 * CHOOSE(CONTROL!$C$32, $C$9, 100%, $E$9)</f>
        <v>12.571199999999999</v>
      </c>
      <c r="G772" s="11">
        <f>12.5748 * CHOOSE(CONTROL!$C$32, $C$9, 100%, $E$9)</f>
        <v>12.5748</v>
      </c>
      <c r="H772" s="11">
        <f>25.2944 * CHOOSE(CONTROL!$C$32, $C$9, 100%, $E$9)</f>
        <v>25.2944</v>
      </c>
      <c r="I772" s="11">
        <f>25.298 * CHOOSE(CONTROL!$C$32, $C$9, 100%, $E$9)</f>
        <v>25.297999999999998</v>
      </c>
      <c r="J772" s="11">
        <f>25.2944 * CHOOSE(CONTROL!$C$32, $C$9, 100%, $E$9)</f>
        <v>25.2944</v>
      </c>
      <c r="K772" s="11">
        <f>25.298 * CHOOSE(CONTROL!$C$32, $C$9, 100%, $E$9)</f>
        <v>25.297999999999998</v>
      </c>
      <c r="L772" s="11">
        <f>12.5712 * CHOOSE(CONTROL!$C$32, $C$9, 100%, $E$9)</f>
        <v>12.571199999999999</v>
      </c>
      <c r="M772" s="11">
        <f>12.5748 * CHOOSE(CONTROL!$C$32, $C$9, 100%, $E$9)</f>
        <v>12.5748</v>
      </c>
      <c r="N772" s="11">
        <f>12.5712 * CHOOSE(CONTROL!$C$32, $C$9, 100%, $E$9)</f>
        <v>12.571199999999999</v>
      </c>
      <c r="O772" s="11">
        <f>12.5748 * CHOOSE(CONTROL!$C$32, $C$9, 100%, $E$9)</f>
        <v>12.5748</v>
      </c>
    </row>
    <row r="773" spans="1:15" ht="15" x14ac:dyDescent="0.2">
      <c r="A773" s="13">
        <v>64376</v>
      </c>
      <c r="B773" s="9">
        <f>11.2538 * CHOOSE(CONTROL!$C$32, $C$9, 100%, $E$9)</f>
        <v>11.2538</v>
      </c>
      <c r="C773" s="9">
        <f>11.2538 * CHOOSE(CONTROL!$C$32, $C$9, 100%, $E$9)</f>
        <v>11.2538</v>
      </c>
      <c r="D773" s="9">
        <f>11.2549 * CHOOSE(CONTROL!$C$32, $C$9, 100%, $E$9)</f>
        <v>11.254899999999999</v>
      </c>
      <c r="E773" s="11">
        <f>12.8475 * CHOOSE(CONTROL!$C$32, $C$9, 100%, $E$9)</f>
        <v>12.8475</v>
      </c>
      <c r="F773" s="11">
        <f>12.8475 * CHOOSE(CONTROL!$C$32, $C$9, 100%, $E$9)</f>
        <v>12.8475</v>
      </c>
      <c r="G773" s="11">
        <f>12.8511 * CHOOSE(CONTROL!$C$32, $C$9, 100%, $E$9)</f>
        <v>12.851100000000001</v>
      </c>
      <c r="H773" s="11">
        <f>25.3471 * CHOOSE(CONTROL!$C$32, $C$9, 100%, $E$9)</f>
        <v>25.347100000000001</v>
      </c>
      <c r="I773" s="11">
        <f>25.3507 * CHOOSE(CONTROL!$C$32, $C$9, 100%, $E$9)</f>
        <v>25.3507</v>
      </c>
      <c r="J773" s="11">
        <f>25.3471 * CHOOSE(CONTROL!$C$32, $C$9, 100%, $E$9)</f>
        <v>25.347100000000001</v>
      </c>
      <c r="K773" s="11">
        <f>25.3507 * CHOOSE(CONTROL!$C$32, $C$9, 100%, $E$9)</f>
        <v>25.3507</v>
      </c>
      <c r="L773" s="11">
        <f>12.8475 * CHOOSE(CONTROL!$C$32, $C$9, 100%, $E$9)</f>
        <v>12.8475</v>
      </c>
      <c r="M773" s="11">
        <f>12.8511 * CHOOSE(CONTROL!$C$32, $C$9, 100%, $E$9)</f>
        <v>12.851100000000001</v>
      </c>
      <c r="N773" s="11">
        <f>12.8475 * CHOOSE(CONTROL!$C$32, $C$9, 100%, $E$9)</f>
        <v>12.8475</v>
      </c>
      <c r="O773" s="11">
        <f>12.8511 * CHOOSE(CONTROL!$C$32, $C$9, 100%, $E$9)</f>
        <v>12.851100000000001</v>
      </c>
    </row>
    <row r="774" spans="1:15" ht="15" x14ac:dyDescent="0.2">
      <c r="A774" s="13">
        <v>64406</v>
      </c>
      <c r="B774" s="9">
        <f>11.2538 * CHOOSE(CONTROL!$C$32, $C$9, 100%, $E$9)</f>
        <v>11.2538</v>
      </c>
      <c r="C774" s="9">
        <f>11.2538 * CHOOSE(CONTROL!$C$32, $C$9, 100%, $E$9)</f>
        <v>11.2538</v>
      </c>
      <c r="D774" s="9">
        <f>11.2554 * CHOOSE(CONTROL!$C$32, $C$9, 100%, $E$9)</f>
        <v>11.2554</v>
      </c>
      <c r="E774" s="11">
        <f>12.9527 * CHOOSE(CONTROL!$C$32, $C$9, 100%, $E$9)</f>
        <v>12.9527</v>
      </c>
      <c r="F774" s="11">
        <f>12.9527 * CHOOSE(CONTROL!$C$32, $C$9, 100%, $E$9)</f>
        <v>12.9527</v>
      </c>
      <c r="G774" s="11">
        <f>12.958 * CHOOSE(CONTROL!$C$32, $C$9, 100%, $E$9)</f>
        <v>12.958</v>
      </c>
      <c r="H774" s="11">
        <f>25.3999 * CHOOSE(CONTROL!$C$32, $C$9, 100%, $E$9)</f>
        <v>25.399899999999999</v>
      </c>
      <c r="I774" s="11">
        <f>25.4052 * CHOOSE(CONTROL!$C$32, $C$9, 100%, $E$9)</f>
        <v>25.405200000000001</v>
      </c>
      <c r="J774" s="11">
        <f>25.3999 * CHOOSE(CONTROL!$C$32, $C$9, 100%, $E$9)</f>
        <v>25.399899999999999</v>
      </c>
      <c r="K774" s="11">
        <f>25.4052 * CHOOSE(CONTROL!$C$32, $C$9, 100%, $E$9)</f>
        <v>25.405200000000001</v>
      </c>
      <c r="L774" s="11">
        <f>12.9527 * CHOOSE(CONTROL!$C$32, $C$9, 100%, $E$9)</f>
        <v>12.9527</v>
      </c>
      <c r="M774" s="11">
        <f>12.958 * CHOOSE(CONTROL!$C$32, $C$9, 100%, $E$9)</f>
        <v>12.958</v>
      </c>
      <c r="N774" s="11">
        <f>12.9527 * CHOOSE(CONTROL!$C$32, $C$9, 100%, $E$9)</f>
        <v>12.9527</v>
      </c>
      <c r="O774" s="11">
        <f>12.958 * CHOOSE(CONTROL!$C$32, $C$9, 100%, $E$9)</f>
        <v>12.958</v>
      </c>
    </row>
    <row r="775" spans="1:15" ht="15" x14ac:dyDescent="0.2">
      <c r="A775" s="13">
        <v>64437</v>
      </c>
      <c r="B775" s="9">
        <f>11.2599 * CHOOSE(CONTROL!$C$32, $C$9, 100%, $E$9)</f>
        <v>11.2599</v>
      </c>
      <c r="C775" s="9">
        <f>11.2599 * CHOOSE(CONTROL!$C$32, $C$9, 100%, $E$9)</f>
        <v>11.2599</v>
      </c>
      <c r="D775" s="9">
        <f>11.2615 * CHOOSE(CONTROL!$C$32, $C$9, 100%, $E$9)</f>
        <v>11.2615</v>
      </c>
      <c r="E775" s="11">
        <f>12.8518 * CHOOSE(CONTROL!$C$32, $C$9, 100%, $E$9)</f>
        <v>12.851800000000001</v>
      </c>
      <c r="F775" s="11">
        <f>12.8518 * CHOOSE(CONTROL!$C$32, $C$9, 100%, $E$9)</f>
        <v>12.851800000000001</v>
      </c>
      <c r="G775" s="11">
        <f>12.857 * CHOOSE(CONTROL!$C$32, $C$9, 100%, $E$9)</f>
        <v>12.856999999999999</v>
      </c>
      <c r="H775" s="11">
        <f>25.4528 * CHOOSE(CONTROL!$C$32, $C$9, 100%, $E$9)</f>
        <v>25.4528</v>
      </c>
      <c r="I775" s="11">
        <f>25.4581 * CHOOSE(CONTROL!$C$32, $C$9, 100%, $E$9)</f>
        <v>25.458100000000002</v>
      </c>
      <c r="J775" s="11">
        <f>25.4528 * CHOOSE(CONTROL!$C$32, $C$9, 100%, $E$9)</f>
        <v>25.4528</v>
      </c>
      <c r="K775" s="11">
        <f>25.4581 * CHOOSE(CONTROL!$C$32, $C$9, 100%, $E$9)</f>
        <v>25.458100000000002</v>
      </c>
      <c r="L775" s="11">
        <f>12.8518 * CHOOSE(CONTROL!$C$32, $C$9, 100%, $E$9)</f>
        <v>12.851800000000001</v>
      </c>
      <c r="M775" s="11">
        <f>12.857 * CHOOSE(CONTROL!$C$32, $C$9, 100%, $E$9)</f>
        <v>12.856999999999999</v>
      </c>
      <c r="N775" s="11">
        <f>12.8518 * CHOOSE(CONTROL!$C$32, $C$9, 100%, $E$9)</f>
        <v>12.851800000000001</v>
      </c>
      <c r="O775" s="11">
        <f>12.857 * CHOOSE(CONTROL!$C$32, $C$9, 100%, $E$9)</f>
        <v>12.856999999999999</v>
      </c>
    </row>
    <row r="776" spans="1:15" ht="15" x14ac:dyDescent="0.2">
      <c r="A776" s="13">
        <v>64467</v>
      </c>
      <c r="B776" s="9">
        <f>11.3981 * CHOOSE(CONTROL!$C$32, $C$9, 100%, $E$9)</f>
        <v>11.398099999999999</v>
      </c>
      <c r="C776" s="9">
        <f>11.3981 * CHOOSE(CONTROL!$C$32, $C$9, 100%, $E$9)</f>
        <v>11.398099999999999</v>
      </c>
      <c r="D776" s="9">
        <f>11.3997 * CHOOSE(CONTROL!$C$32, $C$9, 100%, $E$9)</f>
        <v>11.399699999999999</v>
      </c>
      <c r="E776" s="11">
        <f>13.0328 * CHOOSE(CONTROL!$C$32, $C$9, 100%, $E$9)</f>
        <v>13.0328</v>
      </c>
      <c r="F776" s="11">
        <f>13.0328 * CHOOSE(CONTROL!$C$32, $C$9, 100%, $E$9)</f>
        <v>13.0328</v>
      </c>
      <c r="G776" s="11">
        <f>13.0381 * CHOOSE(CONTROL!$C$32, $C$9, 100%, $E$9)</f>
        <v>13.0381</v>
      </c>
      <c r="H776" s="11">
        <f>25.5059 * CHOOSE(CONTROL!$C$32, $C$9, 100%, $E$9)</f>
        <v>25.5059</v>
      </c>
      <c r="I776" s="11">
        <f>25.5112 * CHOOSE(CONTROL!$C$32, $C$9, 100%, $E$9)</f>
        <v>25.511199999999999</v>
      </c>
      <c r="J776" s="11">
        <f>25.5059 * CHOOSE(CONTROL!$C$32, $C$9, 100%, $E$9)</f>
        <v>25.5059</v>
      </c>
      <c r="K776" s="11">
        <f>25.5112 * CHOOSE(CONTROL!$C$32, $C$9, 100%, $E$9)</f>
        <v>25.511199999999999</v>
      </c>
      <c r="L776" s="11">
        <f>13.0328 * CHOOSE(CONTROL!$C$32, $C$9, 100%, $E$9)</f>
        <v>13.0328</v>
      </c>
      <c r="M776" s="11">
        <f>13.0381 * CHOOSE(CONTROL!$C$32, $C$9, 100%, $E$9)</f>
        <v>13.0381</v>
      </c>
      <c r="N776" s="11">
        <f>13.0328 * CHOOSE(CONTROL!$C$32, $C$9, 100%, $E$9)</f>
        <v>13.0328</v>
      </c>
      <c r="O776" s="11">
        <f>13.0381 * CHOOSE(CONTROL!$C$32, $C$9, 100%, $E$9)</f>
        <v>13.0381</v>
      </c>
    </row>
    <row r="777" spans="1:15" ht="15" x14ac:dyDescent="0.2">
      <c r="A777" s="13">
        <v>64498</v>
      </c>
      <c r="B777" s="9">
        <f>11.4048 * CHOOSE(CONTROL!$C$32, $C$9, 100%, $E$9)</f>
        <v>11.4048</v>
      </c>
      <c r="C777" s="9">
        <f>11.4048 * CHOOSE(CONTROL!$C$32, $C$9, 100%, $E$9)</f>
        <v>11.4048</v>
      </c>
      <c r="D777" s="9">
        <f>11.4064 * CHOOSE(CONTROL!$C$32, $C$9, 100%, $E$9)</f>
        <v>11.4064</v>
      </c>
      <c r="E777" s="11">
        <f>12.7218 * CHOOSE(CONTROL!$C$32, $C$9, 100%, $E$9)</f>
        <v>12.7218</v>
      </c>
      <c r="F777" s="11">
        <f>12.7218 * CHOOSE(CONTROL!$C$32, $C$9, 100%, $E$9)</f>
        <v>12.7218</v>
      </c>
      <c r="G777" s="11">
        <f>12.727 * CHOOSE(CONTROL!$C$32, $C$9, 100%, $E$9)</f>
        <v>12.727</v>
      </c>
      <c r="H777" s="11">
        <f>25.559 * CHOOSE(CONTROL!$C$32, $C$9, 100%, $E$9)</f>
        <v>25.559000000000001</v>
      </c>
      <c r="I777" s="11">
        <f>25.5643 * CHOOSE(CONTROL!$C$32, $C$9, 100%, $E$9)</f>
        <v>25.564299999999999</v>
      </c>
      <c r="J777" s="11">
        <f>25.559 * CHOOSE(CONTROL!$C$32, $C$9, 100%, $E$9)</f>
        <v>25.559000000000001</v>
      </c>
      <c r="K777" s="11">
        <f>25.5643 * CHOOSE(CONTROL!$C$32, $C$9, 100%, $E$9)</f>
        <v>25.564299999999999</v>
      </c>
      <c r="L777" s="11">
        <f>12.7218 * CHOOSE(CONTROL!$C$32, $C$9, 100%, $E$9)</f>
        <v>12.7218</v>
      </c>
      <c r="M777" s="11">
        <f>12.727 * CHOOSE(CONTROL!$C$32, $C$9, 100%, $E$9)</f>
        <v>12.727</v>
      </c>
      <c r="N777" s="11">
        <f>12.7218 * CHOOSE(CONTROL!$C$32, $C$9, 100%, $E$9)</f>
        <v>12.7218</v>
      </c>
      <c r="O777" s="11">
        <f>12.727 * CHOOSE(CONTROL!$C$32, $C$9, 100%, $E$9)</f>
        <v>12.727</v>
      </c>
    </row>
    <row r="778" spans="1:15" ht="15" x14ac:dyDescent="0.2">
      <c r="A778" s="13">
        <v>64529</v>
      </c>
      <c r="B778" s="9">
        <f>11.4018 * CHOOSE(CONTROL!$C$32, $C$9, 100%, $E$9)</f>
        <v>11.4018</v>
      </c>
      <c r="C778" s="9">
        <f>11.4018 * CHOOSE(CONTROL!$C$32, $C$9, 100%, $E$9)</f>
        <v>11.4018</v>
      </c>
      <c r="D778" s="9">
        <f>11.4033 * CHOOSE(CONTROL!$C$32, $C$9, 100%, $E$9)</f>
        <v>11.4033</v>
      </c>
      <c r="E778" s="11">
        <f>12.6846 * CHOOSE(CONTROL!$C$32, $C$9, 100%, $E$9)</f>
        <v>12.6846</v>
      </c>
      <c r="F778" s="11">
        <f>12.6846 * CHOOSE(CONTROL!$C$32, $C$9, 100%, $E$9)</f>
        <v>12.6846</v>
      </c>
      <c r="G778" s="11">
        <f>12.6899 * CHOOSE(CONTROL!$C$32, $C$9, 100%, $E$9)</f>
        <v>12.6899</v>
      </c>
      <c r="H778" s="11">
        <f>25.6122 * CHOOSE(CONTROL!$C$32, $C$9, 100%, $E$9)</f>
        <v>25.612200000000001</v>
      </c>
      <c r="I778" s="11">
        <f>25.6175 * CHOOSE(CONTROL!$C$32, $C$9, 100%, $E$9)</f>
        <v>25.6175</v>
      </c>
      <c r="J778" s="11">
        <f>25.6122 * CHOOSE(CONTROL!$C$32, $C$9, 100%, $E$9)</f>
        <v>25.612200000000001</v>
      </c>
      <c r="K778" s="11">
        <f>25.6175 * CHOOSE(CONTROL!$C$32, $C$9, 100%, $E$9)</f>
        <v>25.6175</v>
      </c>
      <c r="L778" s="11">
        <f>12.6846 * CHOOSE(CONTROL!$C$32, $C$9, 100%, $E$9)</f>
        <v>12.6846</v>
      </c>
      <c r="M778" s="11">
        <f>12.6899 * CHOOSE(CONTROL!$C$32, $C$9, 100%, $E$9)</f>
        <v>12.6899</v>
      </c>
      <c r="N778" s="11">
        <f>12.6846 * CHOOSE(CONTROL!$C$32, $C$9, 100%, $E$9)</f>
        <v>12.6846</v>
      </c>
      <c r="O778" s="11">
        <f>12.6899 * CHOOSE(CONTROL!$C$32, $C$9, 100%, $E$9)</f>
        <v>12.6899</v>
      </c>
    </row>
    <row r="779" spans="1:15" ht="15" x14ac:dyDescent="0.2">
      <c r="A779" s="13">
        <v>64559</v>
      </c>
      <c r="B779" s="9">
        <f>11.4245 * CHOOSE(CONTROL!$C$32, $C$9, 100%, $E$9)</f>
        <v>11.4245</v>
      </c>
      <c r="C779" s="9">
        <f>11.4245 * CHOOSE(CONTROL!$C$32, $C$9, 100%, $E$9)</f>
        <v>11.4245</v>
      </c>
      <c r="D779" s="9">
        <f>11.4255 * CHOOSE(CONTROL!$C$32, $C$9, 100%, $E$9)</f>
        <v>11.4255</v>
      </c>
      <c r="E779" s="11">
        <f>12.8114 * CHOOSE(CONTROL!$C$32, $C$9, 100%, $E$9)</f>
        <v>12.811400000000001</v>
      </c>
      <c r="F779" s="11">
        <f>12.8114 * CHOOSE(CONTROL!$C$32, $C$9, 100%, $E$9)</f>
        <v>12.811400000000001</v>
      </c>
      <c r="G779" s="11">
        <f>12.8151 * CHOOSE(CONTROL!$C$32, $C$9, 100%, $E$9)</f>
        <v>12.815099999999999</v>
      </c>
      <c r="H779" s="11">
        <f>25.6656 * CHOOSE(CONTROL!$C$32, $C$9, 100%, $E$9)</f>
        <v>25.665600000000001</v>
      </c>
      <c r="I779" s="11">
        <f>25.6692 * CHOOSE(CONTROL!$C$32, $C$9, 100%, $E$9)</f>
        <v>25.6692</v>
      </c>
      <c r="J779" s="11">
        <f>25.6656 * CHOOSE(CONTROL!$C$32, $C$9, 100%, $E$9)</f>
        <v>25.665600000000001</v>
      </c>
      <c r="K779" s="11">
        <f>25.6692 * CHOOSE(CONTROL!$C$32, $C$9, 100%, $E$9)</f>
        <v>25.6692</v>
      </c>
      <c r="L779" s="11">
        <f>12.8114 * CHOOSE(CONTROL!$C$32, $C$9, 100%, $E$9)</f>
        <v>12.811400000000001</v>
      </c>
      <c r="M779" s="11">
        <f>12.8151 * CHOOSE(CONTROL!$C$32, $C$9, 100%, $E$9)</f>
        <v>12.815099999999999</v>
      </c>
      <c r="N779" s="11">
        <f>12.8114 * CHOOSE(CONTROL!$C$32, $C$9, 100%, $E$9)</f>
        <v>12.811400000000001</v>
      </c>
      <c r="O779" s="11">
        <f>12.8151 * CHOOSE(CONTROL!$C$32, $C$9, 100%, $E$9)</f>
        <v>12.815099999999999</v>
      </c>
    </row>
    <row r="780" spans="1:15" ht="15" x14ac:dyDescent="0.2">
      <c r="A780" s="13">
        <v>64590</v>
      </c>
      <c r="B780" s="9">
        <f>11.4275 * CHOOSE(CONTROL!$C$32, $C$9, 100%, $E$9)</f>
        <v>11.4275</v>
      </c>
      <c r="C780" s="9">
        <f>11.4275 * CHOOSE(CONTROL!$C$32, $C$9, 100%, $E$9)</f>
        <v>11.4275</v>
      </c>
      <c r="D780" s="9">
        <f>11.4286 * CHOOSE(CONTROL!$C$32, $C$9, 100%, $E$9)</f>
        <v>11.428599999999999</v>
      </c>
      <c r="E780" s="11">
        <f>12.8837 * CHOOSE(CONTROL!$C$32, $C$9, 100%, $E$9)</f>
        <v>12.883699999999999</v>
      </c>
      <c r="F780" s="11">
        <f>12.8837 * CHOOSE(CONTROL!$C$32, $C$9, 100%, $E$9)</f>
        <v>12.883699999999999</v>
      </c>
      <c r="G780" s="11">
        <f>12.8873 * CHOOSE(CONTROL!$C$32, $C$9, 100%, $E$9)</f>
        <v>12.8873</v>
      </c>
      <c r="H780" s="11">
        <f>25.7191 * CHOOSE(CONTROL!$C$32, $C$9, 100%, $E$9)</f>
        <v>25.719100000000001</v>
      </c>
      <c r="I780" s="11">
        <f>25.7227 * CHOOSE(CONTROL!$C$32, $C$9, 100%, $E$9)</f>
        <v>25.7227</v>
      </c>
      <c r="J780" s="11">
        <f>25.7191 * CHOOSE(CONTROL!$C$32, $C$9, 100%, $E$9)</f>
        <v>25.719100000000001</v>
      </c>
      <c r="K780" s="11">
        <f>25.7227 * CHOOSE(CONTROL!$C$32, $C$9, 100%, $E$9)</f>
        <v>25.7227</v>
      </c>
      <c r="L780" s="11">
        <f>12.8837 * CHOOSE(CONTROL!$C$32, $C$9, 100%, $E$9)</f>
        <v>12.883699999999999</v>
      </c>
      <c r="M780" s="11">
        <f>12.8873 * CHOOSE(CONTROL!$C$32, $C$9, 100%, $E$9)</f>
        <v>12.8873</v>
      </c>
      <c r="N780" s="11">
        <f>12.8837 * CHOOSE(CONTROL!$C$32, $C$9, 100%, $E$9)</f>
        <v>12.883699999999999</v>
      </c>
      <c r="O780" s="11">
        <f>12.8873 * CHOOSE(CONTROL!$C$32, $C$9, 100%, $E$9)</f>
        <v>12.8873</v>
      </c>
    </row>
    <row r="781" spans="1:15" ht="15" x14ac:dyDescent="0.2">
      <c r="A781" s="13">
        <v>64620</v>
      </c>
      <c r="B781" s="9">
        <f>11.4275 * CHOOSE(CONTROL!$C$32, $C$9, 100%, $E$9)</f>
        <v>11.4275</v>
      </c>
      <c r="C781" s="9">
        <f>11.4275 * CHOOSE(CONTROL!$C$32, $C$9, 100%, $E$9)</f>
        <v>11.4275</v>
      </c>
      <c r="D781" s="9">
        <f>11.4286 * CHOOSE(CONTROL!$C$32, $C$9, 100%, $E$9)</f>
        <v>11.428599999999999</v>
      </c>
      <c r="E781" s="11">
        <f>12.7083 * CHOOSE(CONTROL!$C$32, $C$9, 100%, $E$9)</f>
        <v>12.708299999999999</v>
      </c>
      <c r="F781" s="11">
        <f>12.7083 * CHOOSE(CONTROL!$C$32, $C$9, 100%, $E$9)</f>
        <v>12.708299999999999</v>
      </c>
      <c r="G781" s="11">
        <f>12.712 * CHOOSE(CONTROL!$C$32, $C$9, 100%, $E$9)</f>
        <v>12.712</v>
      </c>
      <c r="H781" s="11">
        <f>25.7727 * CHOOSE(CONTROL!$C$32, $C$9, 100%, $E$9)</f>
        <v>25.7727</v>
      </c>
      <c r="I781" s="11">
        <f>25.7763 * CHOOSE(CONTROL!$C$32, $C$9, 100%, $E$9)</f>
        <v>25.776299999999999</v>
      </c>
      <c r="J781" s="11">
        <f>25.7727 * CHOOSE(CONTROL!$C$32, $C$9, 100%, $E$9)</f>
        <v>25.7727</v>
      </c>
      <c r="K781" s="11">
        <f>25.7763 * CHOOSE(CONTROL!$C$32, $C$9, 100%, $E$9)</f>
        <v>25.776299999999999</v>
      </c>
      <c r="L781" s="11">
        <f>12.7083 * CHOOSE(CONTROL!$C$32, $C$9, 100%, $E$9)</f>
        <v>12.708299999999999</v>
      </c>
      <c r="M781" s="11">
        <f>12.712 * CHOOSE(CONTROL!$C$32, $C$9, 100%, $E$9)</f>
        <v>12.712</v>
      </c>
      <c r="N781" s="11">
        <f>12.7083 * CHOOSE(CONTROL!$C$32, $C$9, 100%, $E$9)</f>
        <v>12.708299999999999</v>
      </c>
      <c r="O781" s="11">
        <f>12.712 * CHOOSE(CONTROL!$C$32, $C$9, 100%, $E$9)</f>
        <v>12.712</v>
      </c>
    </row>
    <row r="782" spans="1:15" ht="15" x14ac:dyDescent="0.2">
      <c r="A782" s="13">
        <v>64651</v>
      </c>
      <c r="B782" s="9">
        <f>11.4426 * CHOOSE(CONTROL!$C$32, $C$9, 100%, $E$9)</f>
        <v>11.442600000000001</v>
      </c>
      <c r="C782" s="9">
        <f>11.4426 * CHOOSE(CONTROL!$C$32, $C$9, 100%, $E$9)</f>
        <v>11.442600000000001</v>
      </c>
      <c r="D782" s="9">
        <f>11.4436 * CHOOSE(CONTROL!$C$32, $C$9, 100%, $E$9)</f>
        <v>11.4436</v>
      </c>
      <c r="E782" s="11">
        <f>12.858 * CHOOSE(CONTROL!$C$32, $C$9, 100%, $E$9)</f>
        <v>12.858000000000001</v>
      </c>
      <c r="F782" s="11">
        <f>12.858 * CHOOSE(CONTROL!$C$32, $C$9, 100%, $E$9)</f>
        <v>12.858000000000001</v>
      </c>
      <c r="G782" s="11">
        <f>12.8617 * CHOOSE(CONTROL!$C$32, $C$9, 100%, $E$9)</f>
        <v>12.861700000000001</v>
      </c>
      <c r="H782" s="11">
        <f>25.6429 * CHOOSE(CONTROL!$C$32, $C$9, 100%, $E$9)</f>
        <v>25.642900000000001</v>
      </c>
      <c r="I782" s="11">
        <f>25.6465 * CHOOSE(CONTROL!$C$32, $C$9, 100%, $E$9)</f>
        <v>25.6465</v>
      </c>
      <c r="J782" s="11">
        <f>25.6429 * CHOOSE(CONTROL!$C$32, $C$9, 100%, $E$9)</f>
        <v>25.642900000000001</v>
      </c>
      <c r="K782" s="11">
        <f>25.6465 * CHOOSE(CONTROL!$C$32, $C$9, 100%, $E$9)</f>
        <v>25.6465</v>
      </c>
      <c r="L782" s="11">
        <f>12.858 * CHOOSE(CONTROL!$C$32, $C$9, 100%, $E$9)</f>
        <v>12.858000000000001</v>
      </c>
      <c r="M782" s="11">
        <f>12.8617 * CHOOSE(CONTROL!$C$32, $C$9, 100%, $E$9)</f>
        <v>12.861700000000001</v>
      </c>
      <c r="N782" s="11">
        <f>12.858 * CHOOSE(CONTROL!$C$32, $C$9, 100%, $E$9)</f>
        <v>12.858000000000001</v>
      </c>
      <c r="O782" s="11">
        <f>12.8617 * CHOOSE(CONTROL!$C$32, $C$9, 100%, $E$9)</f>
        <v>12.861700000000001</v>
      </c>
    </row>
    <row r="783" spans="1:15" ht="15" x14ac:dyDescent="0.2">
      <c r="A783" s="13">
        <v>64682</v>
      </c>
      <c r="B783" s="9">
        <f>11.4395 * CHOOSE(CONTROL!$C$32, $C$9, 100%, $E$9)</f>
        <v>11.439500000000001</v>
      </c>
      <c r="C783" s="9">
        <f>11.4395 * CHOOSE(CONTROL!$C$32, $C$9, 100%, $E$9)</f>
        <v>11.439500000000001</v>
      </c>
      <c r="D783" s="9">
        <f>11.4406 * CHOOSE(CONTROL!$C$32, $C$9, 100%, $E$9)</f>
        <v>11.4406</v>
      </c>
      <c r="E783" s="11">
        <f>12.5174 * CHOOSE(CONTROL!$C$32, $C$9, 100%, $E$9)</f>
        <v>12.5174</v>
      </c>
      <c r="F783" s="11">
        <f>12.5174 * CHOOSE(CONTROL!$C$32, $C$9, 100%, $E$9)</f>
        <v>12.5174</v>
      </c>
      <c r="G783" s="11">
        <f>12.521 * CHOOSE(CONTROL!$C$32, $C$9, 100%, $E$9)</f>
        <v>12.521000000000001</v>
      </c>
      <c r="H783" s="11">
        <f>25.6963 * CHOOSE(CONTROL!$C$32, $C$9, 100%, $E$9)</f>
        <v>25.696300000000001</v>
      </c>
      <c r="I783" s="11">
        <f>25.6999 * CHOOSE(CONTROL!$C$32, $C$9, 100%, $E$9)</f>
        <v>25.6999</v>
      </c>
      <c r="J783" s="11">
        <f>25.6963 * CHOOSE(CONTROL!$C$32, $C$9, 100%, $E$9)</f>
        <v>25.696300000000001</v>
      </c>
      <c r="K783" s="11">
        <f>25.6999 * CHOOSE(CONTROL!$C$32, $C$9, 100%, $E$9)</f>
        <v>25.6999</v>
      </c>
      <c r="L783" s="11">
        <f>12.5174 * CHOOSE(CONTROL!$C$32, $C$9, 100%, $E$9)</f>
        <v>12.5174</v>
      </c>
      <c r="M783" s="11">
        <f>12.521 * CHOOSE(CONTROL!$C$32, $C$9, 100%, $E$9)</f>
        <v>12.521000000000001</v>
      </c>
      <c r="N783" s="11">
        <f>12.5174 * CHOOSE(CONTROL!$C$32, $C$9, 100%, $E$9)</f>
        <v>12.5174</v>
      </c>
      <c r="O783" s="11">
        <f>12.521 * CHOOSE(CONTROL!$C$32, $C$9, 100%, $E$9)</f>
        <v>12.521000000000001</v>
      </c>
    </row>
    <row r="784" spans="1:15" ht="15" x14ac:dyDescent="0.2">
      <c r="A784" s="13">
        <v>64710</v>
      </c>
      <c r="B784" s="9">
        <f>11.4365 * CHOOSE(CONTROL!$C$32, $C$9, 100%, $E$9)</f>
        <v>11.436500000000001</v>
      </c>
      <c r="C784" s="9">
        <f>11.4365 * CHOOSE(CONTROL!$C$32, $C$9, 100%, $E$9)</f>
        <v>11.436500000000001</v>
      </c>
      <c r="D784" s="9">
        <f>11.4376 * CHOOSE(CONTROL!$C$32, $C$9, 100%, $E$9)</f>
        <v>11.4376</v>
      </c>
      <c r="E784" s="11">
        <f>12.7822 * CHOOSE(CONTROL!$C$32, $C$9, 100%, $E$9)</f>
        <v>12.7822</v>
      </c>
      <c r="F784" s="11">
        <f>12.7822 * CHOOSE(CONTROL!$C$32, $C$9, 100%, $E$9)</f>
        <v>12.7822</v>
      </c>
      <c r="G784" s="11">
        <f>12.7858 * CHOOSE(CONTROL!$C$32, $C$9, 100%, $E$9)</f>
        <v>12.7858</v>
      </c>
      <c r="H784" s="11">
        <f>25.7498 * CHOOSE(CONTROL!$C$32, $C$9, 100%, $E$9)</f>
        <v>25.7498</v>
      </c>
      <c r="I784" s="11">
        <f>25.7534 * CHOOSE(CONTROL!$C$32, $C$9, 100%, $E$9)</f>
        <v>25.753399999999999</v>
      </c>
      <c r="J784" s="11">
        <f>25.7498 * CHOOSE(CONTROL!$C$32, $C$9, 100%, $E$9)</f>
        <v>25.7498</v>
      </c>
      <c r="K784" s="11">
        <f>25.7534 * CHOOSE(CONTROL!$C$32, $C$9, 100%, $E$9)</f>
        <v>25.753399999999999</v>
      </c>
      <c r="L784" s="11">
        <f>12.7822 * CHOOSE(CONTROL!$C$32, $C$9, 100%, $E$9)</f>
        <v>12.7822</v>
      </c>
      <c r="M784" s="11">
        <f>12.7858 * CHOOSE(CONTROL!$C$32, $C$9, 100%, $E$9)</f>
        <v>12.7858</v>
      </c>
      <c r="N784" s="11">
        <f>12.7822 * CHOOSE(CONTROL!$C$32, $C$9, 100%, $E$9)</f>
        <v>12.7822</v>
      </c>
      <c r="O784" s="11">
        <f>12.7858 * CHOOSE(CONTROL!$C$32, $C$9, 100%, $E$9)</f>
        <v>12.7858</v>
      </c>
    </row>
    <row r="785" spans="1:15" ht="15" x14ac:dyDescent="0.2">
      <c r="A785" s="13">
        <v>64741</v>
      </c>
      <c r="B785" s="9">
        <f>11.4414 * CHOOSE(CONTROL!$C$32, $C$9, 100%, $E$9)</f>
        <v>11.4414</v>
      </c>
      <c r="C785" s="9">
        <f>11.4414 * CHOOSE(CONTROL!$C$32, $C$9, 100%, $E$9)</f>
        <v>11.4414</v>
      </c>
      <c r="D785" s="9">
        <f>11.4424 * CHOOSE(CONTROL!$C$32, $C$9, 100%, $E$9)</f>
        <v>11.442399999999999</v>
      </c>
      <c r="E785" s="11">
        <f>13.0645 * CHOOSE(CONTROL!$C$32, $C$9, 100%, $E$9)</f>
        <v>13.064500000000001</v>
      </c>
      <c r="F785" s="11">
        <f>13.0645 * CHOOSE(CONTROL!$C$32, $C$9, 100%, $E$9)</f>
        <v>13.064500000000001</v>
      </c>
      <c r="G785" s="11">
        <f>13.0681 * CHOOSE(CONTROL!$C$32, $C$9, 100%, $E$9)</f>
        <v>13.068099999999999</v>
      </c>
      <c r="H785" s="11">
        <f>25.8035 * CHOOSE(CONTROL!$C$32, $C$9, 100%, $E$9)</f>
        <v>25.8035</v>
      </c>
      <c r="I785" s="11">
        <f>25.8071 * CHOOSE(CONTROL!$C$32, $C$9, 100%, $E$9)</f>
        <v>25.807099999999998</v>
      </c>
      <c r="J785" s="11">
        <f>25.8035 * CHOOSE(CONTROL!$C$32, $C$9, 100%, $E$9)</f>
        <v>25.8035</v>
      </c>
      <c r="K785" s="11">
        <f>25.8071 * CHOOSE(CONTROL!$C$32, $C$9, 100%, $E$9)</f>
        <v>25.807099999999998</v>
      </c>
      <c r="L785" s="11">
        <f>13.0645 * CHOOSE(CONTROL!$C$32, $C$9, 100%, $E$9)</f>
        <v>13.064500000000001</v>
      </c>
      <c r="M785" s="11">
        <f>13.0681 * CHOOSE(CONTROL!$C$32, $C$9, 100%, $E$9)</f>
        <v>13.068099999999999</v>
      </c>
      <c r="N785" s="11">
        <f>13.0645 * CHOOSE(CONTROL!$C$32, $C$9, 100%, $E$9)</f>
        <v>13.064500000000001</v>
      </c>
      <c r="O785" s="11">
        <f>13.0681 * CHOOSE(CONTROL!$C$32, $C$9, 100%, $E$9)</f>
        <v>13.068099999999999</v>
      </c>
    </row>
    <row r="786" spans="1:15" ht="15" x14ac:dyDescent="0.2">
      <c r="A786" s="13">
        <v>64771</v>
      </c>
      <c r="B786" s="9">
        <f>11.4414 * CHOOSE(CONTROL!$C$32, $C$9, 100%, $E$9)</f>
        <v>11.4414</v>
      </c>
      <c r="C786" s="9">
        <f>11.4414 * CHOOSE(CONTROL!$C$32, $C$9, 100%, $E$9)</f>
        <v>11.4414</v>
      </c>
      <c r="D786" s="9">
        <f>11.4429 * CHOOSE(CONTROL!$C$32, $C$9, 100%, $E$9)</f>
        <v>11.4429</v>
      </c>
      <c r="E786" s="11">
        <f>13.172 * CHOOSE(CONTROL!$C$32, $C$9, 100%, $E$9)</f>
        <v>13.172000000000001</v>
      </c>
      <c r="F786" s="11">
        <f>13.172 * CHOOSE(CONTROL!$C$32, $C$9, 100%, $E$9)</f>
        <v>13.172000000000001</v>
      </c>
      <c r="G786" s="11">
        <f>13.1773 * CHOOSE(CONTROL!$C$32, $C$9, 100%, $E$9)</f>
        <v>13.177300000000001</v>
      </c>
      <c r="H786" s="11">
        <f>25.8572 * CHOOSE(CONTROL!$C$32, $C$9, 100%, $E$9)</f>
        <v>25.857199999999999</v>
      </c>
      <c r="I786" s="11">
        <f>25.8625 * CHOOSE(CONTROL!$C$32, $C$9, 100%, $E$9)</f>
        <v>25.862500000000001</v>
      </c>
      <c r="J786" s="11">
        <f>25.8572 * CHOOSE(CONTROL!$C$32, $C$9, 100%, $E$9)</f>
        <v>25.857199999999999</v>
      </c>
      <c r="K786" s="11">
        <f>25.8625 * CHOOSE(CONTROL!$C$32, $C$9, 100%, $E$9)</f>
        <v>25.862500000000001</v>
      </c>
      <c r="L786" s="11">
        <f>13.172 * CHOOSE(CONTROL!$C$32, $C$9, 100%, $E$9)</f>
        <v>13.172000000000001</v>
      </c>
      <c r="M786" s="11">
        <f>13.1773 * CHOOSE(CONTROL!$C$32, $C$9, 100%, $E$9)</f>
        <v>13.177300000000001</v>
      </c>
      <c r="N786" s="11">
        <f>13.172 * CHOOSE(CONTROL!$C$32, $C$9, 100%, $E$9)</f>
        <v>13.172000000000001</v>
      </c>
      <c r="O786" s="11">
        <f>13.1773 * CHOOSE(CONTROL!$C$32, $C$9, 100%, $E$9)</f>
        <v>13.177300000000001</v>
      </c>
    </row>
    <row r="787" spans="1:15" ht="15" x14ac:dyDescent="0.2">
      <c r="A787" s="13">
        <v>64802</v>
      </c>
      <c r="B787" s="9">
        <f>11.4474 * CHOOSE(CONTROL!$C$32, $C$9, 100%, $E$9)</f>
        <v>11.4474</v>
      </c>
      <c r="C787" s="9">
        <f>11.4474 * CHOOSE(CONTROL!$C$32, $C$9, 100%, $E$9)</f>
        <v>11.4474</v>
      </c>
      <c r="D787" s="9">
        <f>11.449 * CHOOSE(CONTROL!$C$32, $C$9, 100%, $E$9)</f>
        <v>11.449</v>
      </c>
      <c r="E787" s="11">
        <f>13.0688 * CHOOSE(CONTROL!$C$32, $C$9, 100%, $E$9)</f>
        <v>13.0688</v>
      </c>
      <c r="F787" s="11">
        <f>13.0688 * CHOOSE(CONTROL!$C$32, $C$9, 100%, $E$9)</f>
        <v>13.0688</v>
      </c>
      <c r="G787" s="11">
        <f>13.074 * CHOOSE(CONTROL!$C$32, $C$9, 100%, $E$9)</f>
        <v>13.074</v>
      </c>
      <c r="H787" s="11">
        <f>25.9111 * CHOOSE(CONTROL!$C$32, $C$9, 100%, $E$9)</f>
        <v>25.911100000000001</v>
      </c>
      <c r="I787" s="11">
        <f>25.9164 * CHOOSE(CONTROL!$C$32, $C$9, 100%, $E$9)</f>
        <v>25.916399999999999</v>
      </c>
      <c r="J787" s="11">
        <f>25.9111 * CHOOSE(CONTROL!$C$32, $C$9, 100%, $E$9)</f>
        <v>25.911100000000001</v>
      </c>
      <c r="K787" s="11">
        <f>25.9164 * CHOOSE(CONTROL!$C$32, $C$9, 100%, $E$9)</f>
        <v>25.916399999999999</v>
      </c>
      <c r="L787" s="11">
        <f>13.0688 * CHOOSE(CONTROL!$C$32, $C$9, 100%, $E$9)</f>
        <v>13.0688</v>
      </c>
      <c r="M787" s="11">
        <f>13.074 * CHOOSE(CONTROL!$C$32, $C$9, 100%, $E$9)</f>
        <v>13.074</v>
      </c>
      <c r="N787" s="11">
        <f>13.0688 * CHOOSE(CONTROL!$C$32, $C$9, 100%, $E$9)</f>
        <v>13.0688</v>
      </c>
      <c r="O787" s="11">
        <f>13.074 * CHOOSE(CONTROL!$C$32, $C$9, 100%, $E$9)</f>
        <v>13.074</v>
      </c>
    </row>
    <row r="788" spans="1:15" ht="15" x14ac:dyDescent="0.2">
      <c r="A788" s="13">
        <v>64832</v>
      </c>
      <c r="B788" s="9">
        <f>11.5877 * CHOOSE(CONTROL!$C$32, $C$9, 100%, $E$9)</f>
        <v>11.5877</v>
      </c>
      <c r="C788" s="9">
        <f>11.5877 * CHOOSE(CONTROL!$C$32, $C$9, 100%, $E$9)</f>
        <v>11.5877</v>
      </c>
      <c r="D788" s="9">
        <f>11.5893 * CHOOSE(CONTROL!$C$32, $C$9, 100%, $E$9)</f>
        <v>11.5893</v>
      </c>
      <c r="E788" s="11">
        <f>13.2529 * CHOOSE(CONTROL!$C$32, $C$9, 100%, $E$9)</f>
        <v>13.2529</v>
      </c>
      <c r="F788" s="11">
        <f>13.2529 * CHOOSE(CONTROL!$C$32, $C$9, 100%, $E$9)</f>
        <v>13.2529</v>
      </c>
      <c r="G788" s="11">
        <f>13.2582 * CHOOSE(CONTROL!$C$32, $C$9, 100%, $E$9)</f>
        <v>13.2582</v>
      </c>
      <c r="H788" s="11">
        <f>25.9651 * CHOOSE(CONTROL!$C$32, $C$9, 100%, $E$9)</f>
        <v>25.9651</v>
      </c>
      <c r="I788" s="11">
        <f>25.9704 * CHOOSE(CONTROL!$C$32, $C$9, 100%, $E$9)</f>
        <v>25.970400000000001</v>
      </c>
      <c r="J788" s="11">
        <f>25.9651 * CHOOSE(CONTROL!$C$32, $C$9, 100%, $E$9)</f>
        <v>25.9651</v>
      </c>
      <c r="K788" s="11">
        <f>25.9704 * CHOOSE(CONTROL!$C$32, $C$9, 100%, $E$9)</f>
        <v>25.970400000000001</v>
      </c>
      <c r="L788" s="11">
        <f>13.2529 * CHOOSE(CONTROL!$C$32, $C$9, 100%, $E$9)</f>
        <v>13.2529</v>
      </c>
      <c r="M788" s="11">
        <f>13.2582 * CHOOSE(CONTROL!$C$32, $C$9, 100%, $E$9)</f>
        <v>13.2582</v>
      </c>
      <c r="N788" s="11">
        <f>13.2529 * CHOOSE(CONTROL!$C$32, $C$9, 100%, $E$9)</f>
        <v>13.2529</v>
      </c>
      <c r="O788" s="11">
        <f>13.2582 * CHOOSE(CONTROL!$C$32, $C$9, 100%, $E$9)</f>
        <v>13.2582</v>
      </c>
    </row>
    <row r="789" spans="1:15" ht="15" x14ac:dyDescent="0.2">
      <c r="A789" s="13">
        <v>64863</v>
      </c>
      <c r="B789" s="9">
        <f>11.5944 * CHOOSE(CONTROL!$C$32, $C$9, 100%, $E$9)</f>
        <v>11.5944</v>
      </c>
      <c r="C789" s="9">
        <f>11.5944 * CHOOSE(CONTROL!$C$32, $C$9, 100%, $E$9)</f>
        <v>11.5944</v>
      </c>
      <c r="D789" s="9">
        <f>11.596 * CHOOSE(CONTROL!$C$32, $C$9, 100%, $E$9)</f>
        <v>11.596</v>
      </c>
      <c r="E789" s="11">
        <f>12.9352 * CHOOSE(CONTROL!$C$32, $C$9, 100%, $E$9)</f>
        <v>12.9352</v>
      </c>
      <c r="F789" s="11">
        <f>12.9352 * CHOOSE(CONTROL!$C$32, $C$9, 100%, $E$9)</f>
        <v>12.9352</v>
      </c>
      <c r="G789" s="11">
        <f>12.9405 * CHOOSE(CONTROL!$C$32, $C$9, 100%, $E$9)</f>
        <v>12.9405</v>
      </c>
      <c r="H789" s="11">
        <f>26.0192 * CHOOSE(CONTROL!$C$32, $C$9, 100%, $E$9)</f>
        <v>26.019200000000001</v>
      </c>
      <c r="I789" s="11">
        <f>26.0245 * CHOOSE(CONTROL!$C$32, $C$9, 100%, $E$9)</f>
        <v>26.0245</v>
      </c>
      <c r="J789" s="11">
        <f>26.0192 * CHOOSE(CONTROL!$C$32, $C$9, 100%, $E$9)</f>
        <v>26.019200000000001</v>
      </c>
      <c r="K789" s="11">
        <f>26.0245 * CHOOSE(CONTROL!$C$32, $C$9, 100%, $E$9)</f>
        <v>26.0245</v>
      </c>
      <c r="L789" s="11">
        <f>12.9352 * CHOOSE(CONTROL!$C$32, $C$9, 100%, $E$9)</f>
        <v>12.9352</v>
      </c>
      <c r="M789" s="11">
        <f>12.9405 * CHOOSE(CONTROL!$C$32, $C$9, 100%, $E$9)</f>
        <v>12.9405</v>
      </c>
      <c r="N789" s="11">
        <f>12.9352 * CHOOSE(CONTROL!$C$32, $C$9, 100%, $E$9)</f>
        <v>12.9352</v>
      </c>
      <c r="O789" s="11">
        <f>12.9405 * CHOOSE(CONTROL!$C$32, $C$9, 100%, $E$9)</f>
        <v>12.9405</v>
      </c>
    </row>
    <row r="790" spans="1:15" ht="15" x14ac:dyDescent="0.2">
      <c r="A790" s="13">
        <v>64894</v>
      </c>
      <c r="B790" s="9">
        <f>11.5913 * CHOOSE(CONTROL!$C$32, $C$9, 100%, $E$9)</f>
        <v>11.5913</v>
      </c>
      <c r="C790" s="9">
        <f>11.5913 * CHOOSE(CONTROL!$C$32, $C$9, 100%, $E$9)</f>
        <v>11.5913</v>
      </c>
      <c r="D790" s="9">
        <f>11.5929 * CHOOSE(CONTROL!$C$32, $C$9, 100%, $E$9)</f>
        <v>11.5929</v>
      </c>
      <c r="E790" s="11">
        <f>12.8972 * CHOOSE(CONTROL!$C$32, $C$9, 100%, $E$9)</f>
        <v>12.8972</v>
      </c>
      <c r="F790" s="11">
        <f>12.8972 * CHOOSE(CONTROL!$C$32, $C$9, 100%, $E$9)</f>
        <v>12.8972</v>
      </c>
      <c r="G790" s="11">
        <f>12.9025 * CHOOSE(CONTROL!$C$32, $C$9, 100%, $E$9)</f>
        <v>12.9025</v>
      </c>
      <c r="H790" s="11">
        <f>26.0734 * CHOOSE(CONTROL!$C$32, $C$9, 100%, $E$9)</f>
        <v>26.073399999999999</v>
      </c>
      <c r="I790" s="11">
        <f>26.0787 * CHOOSE(CONTROL!$C$32, $C$9, 100%, $E$9)</f>
        <v>26.078700000000001</v>
      </c>
      <c r="J790" s="11">
        <f>26.0734 * CHOOSE(CONTROL!$C$32, $C$9, 100%, $E$9)</f>
        <v>26.073399999999999</v>
      </c>
      <c r="K790" s="11">
        <f>26.0787 * CHOOSE(CONTROL!$C$32, $C$9, 100%, $E$9)</f>
        <v>26.078700000000001</v>
      </c>
      <c r="L790" s="11">
        <f>12.8972 * CHOOSE(CONTROL!$C$32, $C$9, 100%, $E$9)</f>
        <v>12.8972</v>
      </c>
      <c r="M790" s="11">
        <f>12.9025 * CHOOSE(CONTROL!$C$32, $C$9, 100%, $E$9)</f>
        <v>12.9025</v>
      </c>
      <c r="N790" s="11">
        <f>12.8972 * CHOOSE(CONTROL!$C$32, $C$9, 100%, $E$9)</f>
        <v>12.8972</v>
      </c>
      <c r="O790" s="11">
        <f>12.9025 * CHOOSE(CONTROL!$C$32, $C$9, 100%, $E$9)</f>
        <v>12.9025</v>
      </c>
    </row>
    <row r="791" spans="1:15" ht="15" x14ac:dyDescent="0.2">
      <c r="A791" s="13">
        <v>64924</v>
      </c>
      <c r="B791" s="9">
        <f>11.6148 * CHOOSE(CONTROL!$C$32, $C$9, 100%, $E$9)</f>
        <v>11.614800000000001</v>
      </c>
      <c r="C791" s="9">
        <f>11.6148 * CHOOSE(CONTROL!$C$32, $C$9, 100%, $E$9)</f>
        <v>11.614800000000001</v>
      </c>
      <c r="D791" s="9">
        <f>11.6158 * CHOOSE(CONTROL!$C$32, $C$9, 100%, $E$9)</f>
        <v>11.6158</v>
      </c>
      <c r="E791" s="11">
        <f>13.0271 * CHOOSE(CONTROL!$C$32, $C$9, 100%, $E$9)</f>
        <v>13.027100000000001</v>
      </c>
      <c r="F791" s="11">
        <f>13.0271 * CHOOSE(CONTROL!$C$32, $C$9, 100%, $E$9)</f>
        <v>13.027100000000001</v>
      </c>
      <c r="G791" s="11">
        <f>13.0307 * CHOOSE(CONTROL!$C$32, $C$9, 100%, $E$9)</f>
        <v>13.0307</v>
      </c>
      <c r="H791" s="11">
        <f>26.1277 * CHOOSE(CONTROL!$C$32, $C$9, 100%, $E$9)</f>
        <v>26.127700000000001</v>
      </c>
      <c r="I791" s="11">
        <f>26.1313 * CHOOSE(CONTROL!$C$32, $C$9, 100%, $E$9)</f>
        <v>26.1313</v>
      </c>
      <c r="J791" s="11">
        <f>26.1277 * CHOOSE(CONTROL!$C$32, $C$9, 100%, $E$9)</f>
        <v>26.127700000000001</v>
      </c>
      <c r="K791" s="11">
        <f>26.1313 * CHOOSE(CONTROL!$C$32, $C$9, 100%, $E$9)</f>
        <v>26.1313</v>
      </c>
      <c r="L791" s="11">
        <f>13.0271 * CHOOSE(CONTROL!$C$32, $C$9, 100%, $E$9)</f>
        <v>13.027100000000001</v>
      </c>
      <c r="M791" s="11">
        <f>13.0307 * CHOOSE(CONTROL!$C$32, $C$9, 100%, $E$9)</f>
        <v>13.0307</v>
      </c>
      <c r="N791" s="11">
        <f>13.0271 * CHOOSE(CONTROL!$C$32, $C$9, 100%, $E$9)</f>
        <v>13.027100000000001</v>
      </c>
      <c r="O791" s="11">
        <f>13.0307 * CHOOSE(CONTROL!$C$32, $C$9, 100%, $E$9)</f>
        <v>13.0307</v>
      </c>
    </row>
    <row r="792" spans="1:15" ht="15" x14ac:dyDescent="0.2">
      <c r="A792" s="13">
        <v>64955</v>
      </c>
      <c r="B792" s="9">
        <f>11.6178 * CHOOSE(CONTROL!$C$32, $C$9, 100%, $E$9)</f>
        <v>11.617800000000001</v>
      </c>
      <c r="C792" s="9">
        <f>11.6178 * CHOOSE(CONTROL!$C$32, $C$9, 100%, $E$9)</f>
        <v>11.617800000000001</v>
      </c>
      <c r="D792" s="9">
        <f>11.6189 * CHOOSE(CONTROL!$C$32, $C$9, 100%, $E$9)</f>
        <v>11.6189</v>
      </c>
      <c r="E792" s="11">
        <f>13.1009 * CHOOSE(CONTROL!$C$32, $C$9, 100%, $E$9)</f>
        <v>13.100899999999999</v>
      </c>
      <c r="F792" s="11">
        <f>13.1009 * CHOOSE(CONTROL!$C$32, $C$9, 100%, $E$9)</f>
        <v>13.100899999999999</v>
      </c>
      <c r="G792" s="11">
        <f>13.1045 * CHOOSE(CONTROL!$C$32, $C$9, 100%, $E$9)</f>
        <v>13.1045</v>
      </c>
      <c r="H792" s="11">
        <f>26.1821 * CHOOSE(CONTROL!$C$32, $C$9, 100%, $E$9)</f>
        <v>26.182099999999998</v>
      </c>
      <c r="I792" s="11">
        <f>26.1857 * CHOOSE(CONTROL!$C$32, $C$9, 100%, $E$9)</f>
        <v>26.185700000000001</v>
      </c>
      <c r="J792" s="11">
        <f>26.1821 * CHOOSE(CONTROL!$C$32, $C$9, 100%, $E$9)</f>
        <v>26.182099999999998</v>
      </c>
      <c r="K792" s="11">
        <f>26.1857 * CHOOSE(CONTROL!$C$32, $C$9, 100%, $E$9)</f>
        <v>26.185700000000001</v>
      </c>
      <c r="L792" s="11">
        <f>13.1009 * CHOOSE(CONTROL!$C$32, $C$9, 100%, $E$9)</f>
        <v>13.100899999999999</v>
      </c>
      <c r="M792" s="11">
        <f>13.1045 * CHOOSE(CONTROL!$C$32, $C$9, 100%, $E$9)</f>
        <v>13.1045</v>
      </c>
      <c r="N792" s="11">
        <f>13.1009 * CHOOSE(CONTROL!$C$32, $C$9, 100%, $E$9)</f>
        <v>13.100899999999999</v>
      </c>
      <c r="O792" s="11">
        <f>13.1045 * CHOOSE(CONTROL!$C$32, $C$9, 100%, $E$9)</f>
        <v>13.1045</v>
      </c>
    </row>
    <row r="793" spans="1:15" ht="15" x14ac:dyDescent="0.2">
      <c r="A793" s="13">
        <v>64985</v>
      </c>
      <c r="B793" s="9">
        <f>11.6178 * CHOOSE(CONTROL!$C$32, $C$9, 100%, $E$9)</f>
        <v>11.617800000000001</v>
      </c>
      <c r="C793" s="9">
        <f>11.6178 * CHOOSE(CONTROL!$C$32, $C$9, 100%, $E$9)</f>
        <v>11.617800000000001</v>
      </c>
      <c r="D793" s="9">
        <f>11.6189 * CHOOSE(CONTROL!$C$32, $C$9, 100%, $E$9)</f>
        <v>11.6189</v>
      </c>
      <c r="E793" s="11">
        <f>12.9218 * CHOOSE(CONTROL!$C$32, $C$9, 100%, $E$9)</f>
        <v>12.921799999999999</v>
      </c>
      <c r="F793" s="11">
        <f>12.9218 * CHOOSE(CONTROL!$C$32, $C$9, 100%, $E$9)</f>
        <v>12.921799999999999</v>
      </c>
      <c r="G793" s="11">
        <f>12.9254 * CHOOSE(CONTROL!$C$32, $C$9, 100%, $E$9)</f>
        <v>12.9254</v>
      </c>
      <c r="H793" s="11">
        <f>26.2367 * CHOOSE(CONTROL!$C$32, $C$9, 100%, $E$9)</f>
        <v>26.236699999999999</v>
      </c>
      <c r="I793" s="11">
        <f>26.2403 * CHOOSE(CONTROL!$C$32, $C$9, 100%, $E$9)</f>
        <v>26.240300000000001</v>
      </c>
      <c r="J793" s="11">
        <f>26.2367 * CHOOSE(CONTROL!$C$32, $C$9, 100%, $E$9)</f>
        <v>26.236699999999999</v>
      </c>
      <c r="K793" s="11">
        <f>26.2403 * CHOOSE(CONTROL!$C$32, $C$9, 100%, $E$9)</f>
        <v>26.240300000000001</v>
      </c>
      <c r="L793" s="11">
        <f>12.9218 * CHOOSE(CONTROL!$C$32, $C$9, 100%, $E$9)</f>
        <v>12.921799999999999</v>
      </c>
      <c r="M793" s="11">
        <f>12.9254 * CHOOSE(CONTROL!$C$32, $C$9, 100%, $E$9)</f>
        <v>12.9254</v>
      </c>
      <c r="N793" s="11">
        <f>12.9218 * CHOOSE(CONTROL!$C$32, $C$9, 100%, $E$9)</f>
        <v>12.921799999999999</v>
      </c>
      <c r="O793" s="11">
        <f>12.9254 * CHOOSE(CONTROL!$C$32, $C$9, 100%, $E$9)</f>
        <v>12.9254</v>
      </c>
    </row>
    <row r="794" spans="1:15" ht="15" x14ac:dyDescent="0.2">
      <c r="A794" s="13">
        <v>65016</v>
      </c>
      <c r="B794" s="9">
        <f>11.6299 * CHOOSE(CONTROL!$C$32, $C$9, 100%, $E$9)</f>
        <v>11.629899999999999</v>
      </c>
      <c r="C794" s="9">
        <f>11.6299 * CHOOSE(CONTROL!$C$32, $C$9, 100%, $E$9)</f>
        <v>11.629899999999999</v>
      </c>
      <c r="D794" s="9">
        <f>11.631 * CHOOSE(CONTROL!$C$32, $C$9, 100%, $E$9)</f>
        <v>11.631</v>
      </c>
      <c r="E794" s="11">
        <f>13.0706 * CHOOSE(CONTROL!$C$32, $C$9, 100%, $E$9)</f>
        <v>13.070600000000001</v>
      </c>
      <c r="F794" s="11">
        <f>13.0706 * CHOOSE(CONTROL!$C$32, $C$9, 100%, $E$9)</f>
        <v>13.070600000000001</v>
      </c>
      <c r="G794" s="11">
        <f>13.0742 * CHOOSE(CONTROL!$C$32, $C$9, 100%, $E$9)</f>
        <v>13.074199999999999</v>
      </c>
      <c r="H794" s="11">
        <f>26.0964 * CHOOSE(CONTROL!$C$32, $C$9, 100%, $E$9)</f>
        <v>26.096399999999999</v>
      </c>
      <c r="I794" s="11">
        <f>26.1 * CHOOSE(CONTROL!$C$32, $C$9, 100%, $E$9)</f>
        <v>26.1</v>
      </c>
      <c r="J794" s="11">
        <f>26.0964 * CHOOSE(CONTROL!$C$32, $C$9, 100%, $E$9)</f>
        <v>26.096399999999999</v>
      </c>
      <c r="K794" s="11">
        <f>26.1 * CHOOSE(CONTROL!$C$32, $C$9, 100%, $E$9)</f>
        <v>26.1</v>
      </c>
      <c r="L794" s="11">
        <f>13.0706 * CHOOSE(CONTROL!$C$32, $C$9, 100%, $E$9)</f>
        <v>13.070600000000001</v>
      </c>
      <c r="M794" s="11">
        <f>13.0742 * CHOOSE(CONTROL!$C$32, $C$9, 100%, $E$9)</f>
        <v>13.074199999999999</v>
      </c>
      <c r="N794" s="11">
        <f>13.0706 * CHOOSE(CONTROL!$C$32, $C$9, 100%, $E$9)</f>
        <v>13.070600000000001</v>
      </c>
      <c r="O794" s="11">
        <f>13.0742 * CHOOSE(CONTROL!$C$32, $C$9, 100%, $E$9)</f>
        <v>13.074199999999999</v>
      </c>
    </row>
    <row r="795" spans="1:15" ht="15" x14ac:dyDescent="0.2">
      <c r="A795" s="13">
        <v>65047</v>
      </c>
      <c r="B795" s="9">
        <f>11.6269 * CHOOSE(CONTROL!$C$32, $C$9, 100%, $E$9)</f>
        <v>11.626899999999999</v>
      </c>
      <c r="C795" s="9">
        <f>11.6269 * CHOOSE(CONTROL!$C$32, $C$9, 100%, $E$9)</f>
        <v>11.626899999999999</v>
      </c>
      <c r="D795" s="9">
        <f>11.628 * CHOOSE(CONTROL!$C$32, $C$9, 100%, $E$9)</f>
        <v>11.628</v>
      </c>
      <c r="E795" s="11">
        <f>12.7228 * CHOOSE(CONTROL!$C$32, $C$9, 100%, $E$9)</f>
        <v>12.722799999999999</v>
      </c>
      <c r="F795" s="11">
        <f>12.7228 * CHOOSE(CONTROL!$C$32, $C$9, 100%, $E$9)</f>
        <v>12.722799999999999</v>
      </c>
      <c r="G795" s="11">
        <f>12.7265 * CHOOSE(CONTROL!$C$32, $C$9, 100%, $E$9)</f>
        <v>12.7265</v>
      </c>
      <c r="H795" s="11">
        <f>26.1507 * CHOOSE(CONTROL!$C$32, $C$9, 100%, $E$9)</f>
        <v>26.150700000000001</v>
      </c>
      <c r="I795" s="11">
        <f>26.1543 * CHOOSE(CONTROL!$C$32, $C$9, 100%, $E$9)</f>
        <v>26.154299999999999</v>
      </c>
      <c r="J795" s="11">
        <f>26.1507 * CHOOSE(CONTROL!$C$32, $C$9, 100%, $E$9)</f>
        <v>26.150700000000001</v>
      </c>
      <c r="K795" s="11">
        <f>26.1543 * CHOOSE(CONTROL!$C$32, $C$9, 100%, $E$9)</f>
        <v>26.154299999999999</v>
      </c>
      <c r="L795" s="11">
        <f>12.7228 * CHOOSE(CONTROL!$C$32, $C$9, 100%, $E$9)</f>
        <v>12.722799999999999</v>
      </c>
      <c r="M795" s="11">
        <f>12.7265 * CHOOSE(CONTROL!$C$32, $C$9, 100%, $E$9)</f>
        <v>12.7265</v>
      </c>
      <c r="N795" s="11">
        <f>12.7228 * CHOOSE(CONTROL!$C$32, $C$9, 100%, $E$9)</f>
        <v>12.722799999999999</v>
      </c>
      <c r="O795" s="11">
        <f>12.7265 * CHOOSE(CONTROL!$C$32, $C$9, 100%, $E$9)</f>
        <v>12.7265</v>
      </c>
    </row>
    <row r="796" spans="1:15" ht="15" x14ac:dyDescent="0.2">
      <c r="A796" s="13">
        <v>65075</v>
      </c>
      <c r="B796" s="9">
        <f>11.6239 * CHOOSE(CONTROL!$C$32, $C$9, 100%, $E$9)</f>
        <v>11.623900000000001</v>
      </c>
      <c r="C796" s="9">
        <f>11.6239 * CHOOSE(CONTROL!$C$32, $C$9, 100%, $E$9)</f>
        <v>11.623900000000001</v>
      </c>
      <c r="D796" s="9">
        <f>11.6249 * CHOOSE(CONTROL!$C$32, $C$9, 100%, $E$9)</f>
        <v>11.6249</v>
      </c>
      <c r="E796" s="11">
        <f>12.9932 * CHOOSE(CONTROL!$C$32, $C$9, 100%, $E$9)</f>
        <v>12.9932</v>
      </c>
      <c r="F796" s="11">
        <f>12.9932 * CHOOSE(CONTROL!$C$32, $C$9, 100%, $E$9)</f>
        <v>12.9932</v>
      </c>
      <c r="G796" s="11">
        <f>12.9968 * CHOOSE(CONTROL!$C$32, $C$9, 100%, $E$9)</f>
        <v>12.9968</v>
      </c>
      <c r="H796" s="11">
        <f>26.2052 * CHOOSE(CONTROL!$C$32, $C$9, 100%, $E$9)</f>
        <v>26.205200000000001</v>
      </c>
      <c r="I796" s="11">
        <f>26.2088 * CHOOSE(CONTROL!$C$32, $C$9, 100%, $E$9)</f>
        <v>26.2088</v>
      </c>
      <c r="J796" s="11">
        <f>26.2052 * CHOOSE(CONTROL!$C$32, $C$9, 100%, $E$9)</f>
        <v>26.205200000000001</v>
      </c>
      <c r="K796" s="11">
        <f>26.2088 * CHOOSE(CONTROL!$C$32, $C$9, 100%, $E$9)</f>
        <v>26.2088</v>
      </c>
      <c r="L796" s="11">
        <f>12.9932 * CHOOSE(CONTROL!$C$32, $C$9, 100%, $E$9)</f>
        <v>12.9932</v>
      </c>
      <c r="M796" s="11">
        <f>12.9968 * CHOOSE(CONTROL!$C$32, $C$9, 100%, $E$9)</f>
        <v>12.9968</v>
      </c>
      <c r="N796" s="11">
        <f>12.9932 * CHOOSE(CONTROL!$C$32, $C$9, 100%, $E$9)</f>
        <v>12.9932</v>
      </c>
      <c r="O796" s="11">
        <f>12.9968 * CHOOSE(CONTROL!$C$32, $C$9, 100%, $E$9)</f>
        <v>12.9968</v>
      </c>
    </row>
    <row r="797" spans="1:15" ht="15" x14ac:dyDescent="0.2">
      <c r="A797" s="13">
        <v>65106</v>
      </c>
      <c r="B797" s="9">
        <f>11.6289 * CHOOSE(CONTROL!$C$32, $C$9, 100%, $E$9)</f>
        <v>11.6289</v>
      </c>
      <c r="C797" s="9">
        <f>11.6289 * CHOOSE(CONTROL!$C$32, $C$9, 100%, $E$9)</f>
        <v>11.6289</v>
      </c>
      <c r="D797" s="9">
        <f>11.63 * CHOOSE(CONTROL!$C$32, $C$9, 100%, $E$9)</f>
        <v>11.63</v>
      </c>
      <c r="E797" s="11">
        <f>13.2815 * CHOOSE(CONTROL!$C$32, $C$9, 100%, $E$9)</f>
        <v>13.281499999999999</v>
      </c>
      <c r="F797" s="11">
        <f>13.2815 * CHOOSE(CONTROL!$C$32, $C$9, 100%, $E$9)</f>
        <v>13.281499999999999</v>
      </c>
      <c r="G797" s="11">
        <f>13.2851 * CHOOSE(CONTROL!$C$32, $C$9, 100%, $E$9)</f>
        <v>13.2851</v>
      </c>
      <c r="H797" s="11">
        <f>26.2598 * CHOOSE(CONTROL!$C$32, $C$9, 100%, $E$9)</f>
        <v>26.259799999999998</v>
      </c>
      <c r="I797" s="11">
        <f>26.2634 * CHOOSE(CONTROL!$C$32, $C$9, 100%, $E$9)</f>
        <v>26.263400000000001</v>
      </c>
      <c r="J797" s="11">
        <f>26.2598 * CHOOSE(CONTROL!$C$32, $C$9, 100%, $E$9)</f>
        <v>26.259799999999998</v>
      </c>
      <c r="K797" s="11">
        <f>26.2634 * CHOOSE(CONTROL!$C$32, $C$9, 100%, $E$9)</f>
        <v>26.263400000000001</v>
      </c>
      <c r="L797" s="11">
        <f>13.2815 * CHOOSE(CONTROL!$C$32, $C$9, 100%, $E$9)</f>
        <v>13.281499999999999</v>
      </c>
      <c r="M797" s="11">
        <f>13.2851 * CHOOSE(CONTROL!$C$32, $C$9, 100%, $E$9)</f>
        <v>13.2851</v>
      </c>
      <c r="N797" s="11">
        <f>13.2815 * CHOOSE(CONTROL!$C$32, $C$9, 100%, $E$9)</f>
        <v>13.281499999999999</v>
      </c>
      <c r="O797" s="11">
        <f>13.2851 * CHOOSE(CONTROL!$C$32, $C$9, 100%, $E$9)</f>
        <v>13.2851</v>
      </c>
    </row>
    <row r="798" spans="1:15" ht="15" x14ac:dyDescent="0.2">
      <c r="A798" s="13">
        <v>65136</v>
      </c>
      <c r="B798" s="9">
        <f>11.6289 * CHOOSE(CONTROL!$C$32, $C$9, 100%, $E$9)</f>
        <v>11.6289</v>
      </c>
      <c r="C798" s="9">
        <f>11.6289 * CHOOSE(CONTROL!$C$32, $C$9, 100%, $E$9)</f>
        <v>11.6289</v>
      </c>
      <c r="D798" s="9">
        <f>11.6305 * CHOOSE(CONTROL!$C$32, $C$9, 100%, $E$9)</f>
        <v>11.6305</v>
      </c>
      <c r="E798" s="11">
        <f>13.3912 * CHOOSE(CONTROL!$C$32, $C$9, 100%, $E$9)</f>
        <v>13.3912</v>
      </c>
      <c r="F798" s="11">
        <f>13.3912 * CHOOSE(CONTROL!$C$32, $C$9, 100%, $E$9)</f>
        <v>13.3912</v>
      </c>
      <c r="G798" s="11">
        <f>13.3965 * CHOOSE(CONTROL!$C$32, $C$9, 100%, $E$9)</f>
        <v>13.3965</v>
      </c>
      <c r="H798" s="11">
        <f>26.3145 * CHOOSE(CONTROL!$C$32, $C$9, 100%, $E$9)</f>
        <v>26.314499999999999</v>
      </c>
      <c r="I798" s="11">
        <f>26.3198 * CHOOSE(CONTROL!$C$32, $C$9, 100%, $E$9)</f>
        <v>26.319800000000001</v>
      </c>
      <c r="J798" s="11">
        <f>26.3145 * CHOOSE(CONTROL!$C$32, $C$9, 100%, $E$9)</f>
        <v>26.314499999999999</v>
      </c>
      <c r="K798" s="11">
        <f>26.3198 * CHOOSE(CONTROL!$C$32, $C$9, 100%, $E$9)</f>
        <v>26.319800000000001</v>
      </c>
      <c r="L798" s="11">
        <f>13.3912 * CHOOSE(CONTROL!$C$32, $C$9, 100%, $E$9)</f>
        <v>13.3912</v>
      </c>
      <c r="M798" s="11">
        <f>13.3965 * CHOOSE(CONTROL!$C$32, $C$9, 100%, $E$9)</f>
        <v>13.3965</v>
      </c>
      <c r="N798" s="11">
        <f>13.3912 * CHOOSE(CONTROL!$C$32, $C$9, 100%, $E$9)</f>
        <v>13.3912</v>
      </c>
      <c r="O798" s="11">
        <f>13.3965 * CHOOSE(CONTROL!$C$32, $C$9, 100%, $E$9)</f>
        <v>13.3965</v>
      </c>
    </row>
    <row r="799" spans="1:15" ht="15" x14ac:dyDescent="0.2">
      <c r="A799" s="13">
        <v>65167</v>
      </c>
      <c r="B799" s="9">
        <f>11.635 * CHOOSE(CONTROL!$C$32, $C$9, 100%, $E$9)</f>
        <v>11.635</v>
      </c>
      <c r="C799" s="9">
        <f>11.635 * CHOOSE(CONTROL!$C$32, $C$9, 100%, $E$9)</f>
        <v>11.635</v>
      </c>
      <c r="D799" s="9">
        <f>11.6366 * CHOOSE(CONTROL!$C$32, $C$9, 100%, $E$9)</f>
        <v>11.6366</v>
      </c>
      <c r="E799" s="11">
        <f>13.2858 * CHOOSE(CONTROL!$C$32, $C$9, 100%, $E$9)</f>
        <v>13.2858</v>
      </c>
      <c r="F799" s="11">
        <f>13.2858 * CHOOSE(CONTROL!$C$32, $C$9, 100%, $E$9)</f>
        <v>13.2858</v>
      </c>
      <c r="G799" s="11">
        <f>13.2911 * CHOOSE(CONTROL!$C$32, $C$9, 100%, $E$9)</f>
        <v>13.2911</v>
      </c>
      <c r="H799" s="11">
        <f>26.3693 * CHOOSE(CONTROL!$C$32, $C$9, 100%, $E$9)</f>
        <v>26.369299999999999</v>
      </c>
      <c r="I799" s="11">
        <f>26.3746 * CHOOSE(CONTROL!$C$32, $C$9, 100%, $E$9)</f>
        <v>26.374600000000001</v>
      </c>
      <c r="J799" s="11">
        <f>26.3693 * CHOOSE(CONTROL!$C$32, $C$9, 100%, $E$9)</f>
        <v>26.369299999999999</v>
      </c>
      <c r="K799" s="11">
        <f>26.3746 * CHOOSE(CONTROL!$C$32, $C$9, 100%, $E$9)</f>
        <v>26.374600000000001</v>
      </c>
      <c r="L799" s="11">
        <f>13.2858 * CHOOSE(CONTROL!$C$32, $C$9, 100%, $E$9)</f>
        <v>13.2858</v>
      </c>
      <c r="M799" s="11">
        <f>13.2911 * CHOOSE(CONTROL!$C$32, $C$9, 100%, $E$9)</f>
        <v>13.2911</v>
      </c>
      <c r="N799" s="11">
        <f>13.2858 * CHOOSE(CONTROL!$C$32, $C$9, 100%, $E$9)</f>
        <v>13.2858</v>
      </c>
      <c r="O799" s="11">
        <f>13.2911 * CHOOSE(CONTROL!$C$32, $C$9, 100%, $E$9)</f>
        <v>13.2911</v>
      </c>
    </row>
    <row r="800" spans="1:15" ht="15" x14ac:dyDescent="0.2">
      <c r="A800" s="13">
        <v>65197</v>
      </c>
      <c r="B800" s="9">
        <f>11.7773 * CHOOSE(CONTROL!$C$32, $C$9, 100%, $E$9)</f>
        <v>11.7773</v>
      </c>
      <c r="C800" s="9">
        <f>11.7773 * CHOOSE(CONTROL!$C$32, $C$9, 100%, $E$9)</f>
        <v>11.7773</v>
      </c>
      <c r="D800" s="9">
        <f>11.7789 * CHOOSE(CONTROL!$C$32, $C$9, 100%, $E$9)</f>
        <v>11.7789</v>
      </c>
      <c r="E800" s="11">
        <f>13.4731 * CHOOSE(CONTROL!$C$32, $C$9, 100%, $E$9)</f>
        <v>13.473100000000001</v>
      </c>
      <c r="F800" s="11">
        <f>13.4731 * CHOOSE(CONTROL!$C$32, $C$9, 100%, $E$9)</f>
        <v>13.473100000000001</v>
      </c>
      <c r="G800" s="11">
        <f>13.4784 * CHOOSE(CONTROL!$C$32, $C$9, 100%, $E$9)</f>
        <v>13.478400000000001</v>
      </c>
      <c r="H800" s="11">
        <f>26.4243 * CHOOSE(CONTROL!$C$32, $C$9, 100%, $E$9)</f>
        <v>26.424299999999999</v>
      </c>
      <c r="I800" s="11">
        <f>26.4296 * CHOOSE(CONTROL!$C$32, $C$9, 100%, $E$9)</f>
        <v>26.429600000000001</v>
      </c>
      <c r="J800" s="11">
        <f>26.4243 * CHOOSE(CONTROL!$C$32, $C$9, 100%, $E$9)</f>
        <v>26.424299999999999</v>
      </c>
      <c r="K800" s="11">
        <f>26.4296 * CHOOSE(CONTROL!$C$32, $C$9, 100%, $E$9)</f>
        <v>26.429600000000001</v>
      </c>
      <c r="L800" s="11">
        <f>13.4731 * CHOOSE(CONTROL!$C$32, $C$9, 100%, $E$9)</f>
        <v>13.473100000000001</v>
      </c>
      <c r="M800" s="11">
        <f>13.4784 * CHOOSE(CONTROL!$C$32, $C$9, 100%, $E$9)</f>
        <v>13.478400000000001</v>
      </c>
      <c r="N800" s="11">
        <f>13.4731 * CHOOSE(CONTROL!$C$32, $C$9, 100%, $E$9)</f>
        <v>13.473100000000001</v>
      </c>
      <c r="O800" s="11">
        <f>13.4784 * CHOOSE(CONTROL!$C$32, $C$9, 100%, $E$9)</f>
        <v>13.478400000000001</v>
      </c>
    </row>
    <row r="801" spans="1:15" ht="15" x14ac:dyDescent="0.2">
      <c r="A801" s="13">
        <v>65228</v>
      </c>
      <c r="B801" s="9">
        <f>11.784 * CHOOSE(CONTROL!$C$32, $C$9, 100%, $E$9)</f>
        <v>11.784000000000001</v>
      </c>
      <c r="C801" s="9">
        <f>11.784 * CHOOSE(CONTROL!$C$32, $C$9, 100%, $E$9)</f>
        <v>11.784000000000001</v>
      </c>
      <c r="D801" s="9">
        <f>11.7856 * CHOOSE(CONTROL!$C$32, $C$9, 100%, $E$9)</f>
        <v>11.785600000000001</v>
      </c>
      <c r="E801" s="11">
        <f>13.1486 * CHOOSE(CONTROL!$C$32, $C$9, 100%, $E$9)</f>
        <v>13.1486</v>
      </c>
      <c r="F801" s="11">
        <f>13.1486 * CHOOSE(CONTROL!$C$32, $C$9, 100%, $E$9)</f>
        <v>13.1486</v>
      </c>
      <c r="G801" s="11">
        <f>13.1539 * CHOOSE(CONTROL!$C$32, $C$9, 100%, $E$9)</f>
        <v>13.1539</v>
      </c>
      <c r="H801" s="11">
        <f>26.4793 * CHOOSE(CONTROL!$C$32, $C$9, 100%, $E$9)</f>
        <v>26.479299999999999</v>
      </c>
      <c r="I801" s="11">
        <f>26.4846 * CHOOSE(CONTROL!$C$32, $C$9, 100%, $E$9)</f>
        <v>26.4846</v>
      </c>
      <c r="J801" s="11">
        <f>26.4793 * CHOOSE(CONTROL!$C$32, $C$9, 100%, $E$9)</f>
        <v>26.479299999999999</v>
      </c>
      <c r="K801" s="11">
        <f>26.4846 * CHOOSE(CONTROL!$C$32, $C$9, 100%, $E$9)</f>
        <v>26.4846</v>
      </c>
      <c r="L801" s="11">
        <f>13.1486 * CHOOSE(CONTROL!$C$32, $C$9, 100%, $E$9)</f>
        <v>13.1486</v>
      </c>
      <c r="M801" s="11">
        <f>13.1539 * CHOOSE(CONTROL!$C$32, $C$9, 100%, $E$9)</f>
        <v>13.1539</v>
      </c>
      <c r="N801" s="11">
        <f>13.1486 * CHOOSE(CONTROL!$C$32, $C$9, 100%, $E$9)</f>
        <v>13.1486</v>
      </c>
      <c r="O801" s="11">
        <f>13.1539 * CHOOSE(CONTROL!$C$32, $C$9, 100%, $E$9)</f>
        <v>13.1539</v>
      </c>
    </row>
    <row r="802" spans="1:15" ht="15" x14ac:dyDescent="0.2">
      <c r="A802" s="13">
        <v>65259</v>
      </c>
      <c r="B802" s="9">
        <f>11.7809 * CHOOSE(CONTROL!$C$32, $C$9, 100%, $E$9)</f>
        <v>11.780900000000001</v>
      </c>
      <c r="C802" s="9">
        <f>11.7809 * CHOOSE(CONTROL!$C$32, $C$9, 100%, $E$9)</f>
        <v>11.780900000000001</v>
      </c>
      <c r="D802" s="9">
        <f>11.7825 * CHOOSE(CONTROL!$C$32, $C$9, 100%, $E$9)</f>
        <v>11.782500000000001</v>
      </c>
      <c r="E802" s="11">
        <f>13.1099 * CHOOSE(CONTROL!$C$32, $C$9, 100%, $E$9)</f>
        <v>13.1099</v>
      </c>
      <c r="F802" s="11">
        <f>13.1099 * CHOOSE(CONTROL!$C$32, $C$9, 100%, $E$9)</f>
        <v>13.1099</v>
      </c>
      <c r="G802" s="11">
        <f>13.1152 * CHOOSE(CONTROL!$C$32, $C$9, 100%, $E$9)</f>
        <v>13.1152</v>
      </c>
      <c r="H802" s="11">
        <f>26.5345 * CHOOSE(CONTROL!$C$32, $C$9, 100%, $E$9)</f>
        <v>26.534500000000001</v>
      </c>
      <c r="I802" s="11">
        <f>26.5398 * CHOOSE(CONTROL!$C$32, $C$9, 100%, $E$9)</f>
        <v>26.5398</v>
      </c>
      <c r="J802" s="11">
        <f>26.5345 * CHOOSE(CONTROL!$C$32, $C$9, 100%, $E$9)</f>
        <v>26.534500000000001</v>
      </c>
      <c r="K802" s="11">
        <f>26.5398 * CHOOSE(CONTROL!$C$32, $C$9, 100%, $E$9)</f>
        <v>26.5398</v>
      </c>
      <c r="L802" s="11">
        <f>13.1099 * CHOOSE(CONTROL!$C$32, $C$9, 100%, $E$9)</f>
        <v>13.1099</v>
      </c>
      <c r="M802" s="11">
        <f>13.1152 * CHOOSE(CONTROL!$C$32, $C$9, 100%, $E$9)</f>
        <v>13.1152</v>
      </c>
      <c r="N802" s="11">
        <f>13.1099 * CHOOSE(CONTROL!$C$32, $C$9, 100%, $E$9)</f>
        <v>13.1099</v>
      </c>
      <c r="O802" s="11">
        <f>13.1152 * CHOOSE(CONTROL!$C$32, $C$9, 100%, $E$9)</f>
        <v>13.1152</v>
      </c>
    </row>
    <row r="803" spans="1:15" ht="15" x14ac:dyDescent="0.2">
      <c r="A803" s="13">
        <v>65289</v>
      </c>
      <c r="B803" s="9">
        <f>11.8051 * CHOOSE(CONTROL!$C$32, $C$9, 100%, $E$9)</f>
        <v>11.805099999999999</v>
      </c>
      <c r="C803" s="9">
        <f>11.8051 * CHOOSE(CONTROL!$C$32, $C$9, 100%, $E$9)</f>
        <v>11.805099999999999</v>
      </c>
      <c r="D803" s="9">
        <f>11.8062 * CHOOSE(CONTROL!$C$32, $C$9, 100%, $E$9)</f>
        <v>11.8062</v>
      </c>
      <c r="E803" s="11">
        <f>13.2428 * CHOOSE(CONTROL!$C$32, $C$9, 100%, $E$9)</f>
        <v>13.242800000000001</v>
      </c>
      <c r="F803" s="11">
        <f>13.2428 * CHOOSE(CONTROL!$C$32, $C$9, 100%, $E$9)</f>
        <v>13.242800000000001</v>
      </c>
      <c r="G803" s="11">
        <f>13.2464 * CHOOSE(CONTROL!$C$32, $C$9, 100%, $E$9)</f>
        <v>13.2464</v>
      </c>
      <c r="H803" s="11">
        <f>26.5898 * CHOOSE(CONTROL!$C$32, $C$9, 100%, $E$9)</f>
        <v>26.5898</v>
      </c>
      <c r="I803" s="11">
        <f>26.5934 * CHOOSE(CONTROL!$C$32, $C$9, 100%, $E$9)</f>
        <v>26.593399999999999</v>
      </c>
      <c r="J803" s="11">
        <f>26.5898 * CHOOSE(CONTROL!$C$32, $C$9, 100%, $E$9)</f>
        <v>26.5898</v>
      </c>
      <c r="K803" s="11">
        <f>26.5934 * CHOOSE(CONTROL!$C$32, $C$9, 100%, $E$9)</f>
        <v>26.593399999999999</v>
      </c>
      <c r="L803" s="11">
        <f>13.2428 * CHOOSE(CONTROL!$C$32, $C$9, 100%, $E$9)</f>
        <v>13.242800000000001</v>
      </c>
      <c r="M803" s="11">
        <f>13.2464 * CHOOSE(CONTROL!$C$32, $C$9, 100%, $E$9)</f>
        <v>13.2464</v>
      </c>
      <c r="N803" s="11">
        <f>13.2428 * CHOOSE(CONTROL!$C$32, $C$9, 100%, $E$9)</f>
        <v>13.242800000000001</v>
      </c>
      <c r="O803" s="11">
        <f>13.2464 * CHOOSE(CONTROL!$C$32, $C$9, 100%, $E$9)</f>
        <v>13.2464</v>
      </c>
    </row>
    <row r="804" spans="1:15" ht="15" x14ac:dyDescent="0.2">
      <c r="A804" s="13">
        <v>65320</v>
      </c>
      <c r="B804" s="9">
        <f>11.8081 * CHOOSE(CONTROL!$C$32, $C$9, 100%, $E$9)</f>
        <v>11.8081</v>
      </c>
      <c r="C804" s="9">
        <f>11.8081 * CHOOSE(CONTROL!$C$32, $C$9, 100%, $E$9)</f>
        <v>11.8081</v>
      </c>
      <c r="D804" s="9">
        <f>11.8092 * CHOOSE(CONTROL!$C$32, $C$9, 100%, $E$9)</f>
        <v>11.809200000000001</v>
      </c>
      <c r="E804" s="11">
        <f>13.3181 * CHOOSE(CONTROL!$C$32, $C$9, 100%, $E$9)</f>
        <v>13.318099999999999</v>
      </c>
      <c r="F804" s="11">
        <f>13.3181 * CHOOSE(CONTROL!$C$32, $C$9, 100%, $E$9)</f>
        <v>13.318099999999999</v>
      </c>
      <c r="G804" s="11">
        <f>13.3217 * CHOOSE(CONTROL!$C$32, $C$9, 100%, $E$9)</f>
        <v>13.3217</v>
      </c>
      <c r="H804" s="11">
        <f>26.6452 * CHOOSE(CONTROL!$C$32, $C$9, 100%, $E$9)</f>
        <v>26.645199999999999</v>
      </c>
      <c r="I804" s="11">
        <f>26.6488 * CHOOSE(CONTROL!$C$32, $C$9, 100%, $E$9)</f>
        <v>26.648800000000001</v>
      </c>
      <c r="J804" s="11">
        <f>26.6452 * CHOOSE(CONTROL!$C$32, $C$9, 100%, $E$9)</f>
        <v>26.645199999999999</v>
      </c>
      <c r="K804" s="11">
        <f>26.6488 * CHOOSE(CONTROL!$C$32, $C$9, 100%, $E$9)</f>
        <v>26.648800000000001</v>
      </c>
      <c r="L804" s="11">
        <f>13.3181 * CHOOSE(CONTROL!$C$32, $C$9, 100%, $E$9)</f>
        <v>13.318099999999999</v>
      </c>
      <c r="M804" s="11">
        <f>13.3217 * CHOOSE(CONTROL!$C$32, $C$9, 100%, $E$9)</f>
        <v>13.3217</v>
      </c>
      <c r="N804" s="11">
        <f>13.3181 * CHOOSE(CONTROL!$C$32, $C$9, 100%, $E$9)</f>
        <v>13.318099999999999</v>
      </c>
      <c r="O804" s="11">
        <f>13.3217 * CHOOSE(CONTROL!$C$32, $C$9, 100%, $E$9)</f>
        <v>13.3217</v>
      </c>
    </row>
    <row r="805" spans="1:15" ht="15" x14ac:dyDescent="0.2">
      <c r="A805" s="13">
        <v>65350</v>
      </c>
      <c r="B805" s="9">
        <f>11.8081 * CHOOSE(CONTROL!$C$32, $C$9, 100%, $E$9)</f>
        <v>11.8081</v>
      </c>
      <c r="C805" s="9">
        <f>11.8081 * CHOOSE(CONTROL!$C$32, $C$9, 100%, $E$9)</f>
        <v>11.8081</v>
      </c>
      <c r="D805" s="9">
        <f>11.8092 * CHOOSE(CONTROL!$C$32, $C$9, 100%, $E$9)</f>
        <v>11.809200000000001</v>
      </c>
      <c r="E805" s="11">
        <f>13.1352 * CHOOSE(CONTROL!$C$32, $C$9, 100%, $E$9)</f>
        <v>13.135199999999999</v>
      </c>
      <c r="F805" s="11">
        <f>13.1352 * CHOOSE(CONTROL!$C$32, $C$9, 100%, $E$9)</f>
        <v>13.135199999999999</v>
      </c>
      <c r="G805" s="11">
        <f>13.1388 * CHOOSE(CONTROL!$C$32, $C$9, 100%, $E$9)</f>
        <v>13.1388</v>
      </c>
      <c r="H805" s="11">
        <f>26.7007 * CHOOSE(CONTROL!$C$32, $C$9, 100%, $E$9)</f>
        <v>26.700700000000001</v>
      </c>
      <c r="I805" s="11">
        <f>26.7043 * CHOOSE(CONTROL!$C$32, $C$9, 100%, $E$9)</f>
        <v>26.7043</v>
      </c>
      <c r="J805" s="11">
        <f>26.7007 * CHOOSE(CONTROL!$C$32, $C$9, 100%, $E$9)</f>
        <v>26.700700000000001</v>
      </c>
      <c r="K805" s="11">
        <f>26.7043 * CHOOSE(CONTROL!$C$32, $C$9, 100%, $E$9)</f>
        <v>26.7043</v>
      </c>
      <c r="L805" s="11">
        <f>13.1352 * CHOOSE(CONTROL!$C$32, $C$9, 100%, $E$9)</f>
        <v>13.135199999999999</v>
      </c>
      <c r="M805" s="11">
        <f>13.1388 * CHOOSE(CONTROL!$C$32, $C$9, 100%, $E$9)</f>
        <v>13.1388</v>
      </c>
      <c r="N805" s="11">
        <f>13.1352 * CHOOSE(CONTROL!$C$32, $C$9, 100%, $E$9)</f>
        <v>13.135199999999999</v>
      </c>
      <c r="O805" s="11">
        <f>13.1388 * CHOOSE(CONTROL!$C$32, $C$9, 100%, $E$9)</f>
        <v>13.1388</v>
      </c>
    </row>
    <row r="806" spans="1:15" ht="15" x14ac:dyDescent="0.2">
      <c r="A806" s="13">
        <v>65381</v>
      </c>
      <c r="B806" s="9">
        <f>11.8173 * CHOOSE(CONTROL!$C$32, $C$9, 100%, $E$9)</f>
        <v>11.817299999999999</v>
      </c>
      <c r="C806" s="9">
        <f>11.8173 * CHOOSE(CONTROL!$C$32, $C$9, 100%, $E$9)</f>
        <v>11.817299999999999</v>
      </c>
      <c r="D806" s="9">
        <f>11.8184 * CHOOSE(CONTROL!$C$32, $C$9, 100%, $E$9)</f>
        <v>11.8184</v>
      </c>
      <c r="E806" s="11">
        <f>13.2831 * CHOOSE(CONTROL!$C$32, $C$9, 100%, $E$9)</f>
        <v>13.283099999999999</v>
      </c>
      <c r="F806" s="11">
        <f>13.2831 * CHOOSE(CONTROL!$C$32, $C$9, 100%, $E$9)</f>
        <v>13.283099999999999</v>
      </c>
      <c r="G806" s="11">
        <f>13.2867 * CHOOSE(CONTROL!$C$32, $C$9, 100%, $E$9)</f>
        <v>13.2867</v>
      </c>
      <c r="H806" s="11">
        <f>26.5499 * CHOOSE(CONTROL!$C$32, $C$9, 100%, $E$9)</f>
        <v>26.549900000000001</v>
      </c>
      <c r="I806" s="11">
        <f>26.5535 * CHOOSE(CONTROL!$C$32, $C$9, 100%, $E$9)</f>
        <v>26.5535</v>
      </c>
      <c r="J806" s="11">
        <f>26.5499 * CHOOSE(CONTROL!$C$32, $C$9, 100%, $E$9)</f>
        <v>26.549900000000001</v>
      </c>
      <c r="K806" s="11">
        <f>26.5535 * CHOOSE(CONTROL!$C$32, $C$9, 100%, $E$9)</f>
        <v>26.5535</v>
      </c>
      <c r="L806" s="11">
        <f>13.2831 * CHOOSE(CONTROL!$C$32, $C$9, 100%, $E$9)</f>
        <v>13.283099999999999</v>
      </c>
      <c r="M806" s="11">
        <f>13.2867 * CHOOSE(CONTROL!$C$32, $C$9, 100%, $E$9)</f>
        <v>13.2867</v>
      </c>
      <c r="N806" s="11">
        <f>13.2831 * CHOOSE(CONTROL!$C$32, $C$9, 100%, $E$9)</f>
        <v>13.283099999999999</v>
      </c>
      <c r="O806" s="11">
        <f>13.2867 * CHOOSE(CONTROL!$C$32, $C$9, 100%, $E$9)</f>
        <v>13.2867</v>
      </c>
    </row>
    <row r="807" spans="1:15" ht="15" x14ac:dyDescent="0.2">
      <c r="A807" s="13">
        <v>65412</v>
      </c>
      <c r="B807" s="9">
        <f>11.8143 * CHOOSE(CONTROL!$C$32, $C$9, 100%, $E$9)</f>
        <v>11.814299999999999</v>
      </c>
      <c r="C807" s="9">
        <f>11.8143 * CHOOSE(CONTROL!$C$32, $C$9, 100%, $E$9)</f>
        <v>11.814299999999999</v>
      </c>
      <c r="D807" s="9">
        <f>11.8153 * CHOOSE(CONTROL!$C$32, $C$9, 100%, $E$9)</f>
        <v>11.815300000000001</v>
      </c>
      <c r="E807" s="11">
        <f>12.9283 * CHOOSE(CONTROL!$C$32, $C$9, 100%, $E$9)</f>
        <v>12.9283</v>
      </c>
      <c r="F807" s="11">
        <f>12.9283 * CHOOSE(CONTROL!$C$32, $C$9, 100%, $E$9)</f>
        <v>12.9283</v>
      </c>
      <c r="G807" s="11">
        <f>12.9319 * CHOOSE(CONTROL!$C$32, $C$9, 100%, $E$9)</f>
        <v>12.931900000000001</v>
      </c>
      <c r="H807" s="11">
        <f>26.6052 * CHOOSE(CONTROL!$C$32, $C$9, 100%, $E$9)</f>
        <v>26.6052</v>
      </c>
      <c r="I807" s="11">
        <f>26.6088 * CHOOSE(CONTROL!$C$32, $C$9, 100%, $E$9)</f>
        <v>26.608799999999999</v>
      </c>
      <c r="J807" s="11">
        <f>26.6052 * CHOOSE(CONTROL!$C$32, $C$9, 100%, $E$9)</f>
        <v>26.6052</v>
      </c>
      <c r="K807" s="11">
        <f>26.6088 * CHOOSE(CONTROL!$C$32, $C$9, 100%, $E$9)</f>
        <v>26.608799999999999</v>
      </c>
      <c r="L807" s="11">
        <f>12.9283 * CHOOSE(CONTROL!$C$32, $C$9, 100%, $E$9)</f>
        <v>12.9283</v>
      </c>
      <c r="M807" s="11">
        <f>12.9319 * CHOOSE(CONTROL!$C$32, $C$9, 100%, $E$9)</f>
        <v>12.931900000000001</v>
      </c>
      <c r="N807" s="11">
        <f>12.9283 * CHOOSE(CONTROL!$C$32, $C$9, 100%, $E$9)</f>
        <v>12.9283</v>
      </c>
      <c r="O807" s="11">
        <f>12.9319 * CHOOSE(CONTROL!$C$32, $C$9, 100%, $E$9)</f>
        <v>12.931900000000001</v>
      </c>
    </row>
    <row r="808" spans="1:15" ht="15" x14ac:dyDescent="0.2">
      <c r="A808" s="13">
        <v>65440</v>
      </c>
      <c r="B808" s="9">
        <f>11.8112 * CHOOSE(CONTROL!$C$32, $C$9, 100%, $E$9)</f>
        <v>11.811199999999999</v>
      </c>
      <c r="C808" s="9">
        <f>11.8112 * CHOOSE(CONTROL!$C$32, $C$9, 100%, $E$9)</f>
        <v>11.811199999999999</v>
      </c>
      <c r="D808" s="9">
        <f>11.8123 * CHOOSE(CONTROL!$C$32, $C$9, 100%, $E$9)</f>
        <v>11.8123</v>
      </c>
      <c r="E808" s="11">
        <f>13.2042 * CHOOSE(CONTROL!$C$32, $C$9, 100%, $E$9)</f>
        <v>13.2042</v>
      </c>
      <c r="F808" s="11">
        <f>13.2042 * CHOOSE(CONTROL!$C$32, $C$9, 100%, $E$9)</f>
        <v>13.2042</v>
      </c>
      <c r="G808" s="11">
        <f>13.2078 * CHOOSE(CONTROL!$C$32, $C$9, 100%, $E$9)</f>
        <v>13.207800000000001</v>
      </c>
      <c r="H808" s="11">
        <f>26.6606 * CHOOSE(CONTROL!$C$32, $C$9, 100%, $E$9)</f>
        <v>26.660599999999999</v>
      </c>
      <c r="I808" s="11">
        <f>26.6642 * CHOOSE(CONTROL!$C$32, $C$9, 100%, $E$9)</f>
        <v>26.664200000000001</v>
      </c>
      <c r="J808" s="11">
        <f>26.6606 * CHOOSE(CONTROL!$C$32, $C$9, 100%, $E$9)</f>
        <v>26.660599999999999</v>
      </c>
      <c r="K808" s="11">
        <f>26.6642 * CHOOSE(CONTROL!$C$32, $C$9, 100%, $E$9)</f>
        <v>26.664200000000001</v>
      </c>
      <c r="L808" s="11">
        <f>13.2042 * CHOOSE(CONTROL!$C$32, $C$9, 100%, $E$9)</f>
        <v>13.2042</v>
      </c>
      <c r="M808" s="11">
        <f>13.2078 * CHOOSE(CONTROL!$C$32, $C$9, 100%, $E$9)</f>
        <v>13.207800000000001</v>
      </c>
      <c r="N808" s="11">
        <f>13.2042 * CHOOSE(CONTROL!$C$32, $C$9, 100%, $E$9)</f>
        <v>13.2042</v>
      </c>
      <c r="O808" s="11">
        <f>13.2078 * CHOOSE(CONTROL!$C$32, $C$9, 100%, $E$9)</f>
        <v>13.207800000000001</v>
      </c>
    </row>
    <row r="809" spans="1:15" ht="15" x14ac:dyDescent="0.2">
      <c r="A809" s="13">
        <v>65471</v>
      </c>
      <c r="B809" s="9">
        <f>11.8164 * CHOOSE(CONTROL!$C$32, $C$9, 100%, $E$9)</f>
        <v>11.8164</v>
      </c>
      <c r="C809" s="9">
        <f>11.8164 * CHOOSE(CONTROL!$C$32, $C$9, 100%, $E$9)</f>
        <v>11.8164</v>
      </c>
      <c r="D809" s="9">
        <f>11.8175 * CHOOSE(CONTROL!$C$32, $C$9, 100%, $E$9)</f>
        <v>11.817500000000001</v>
      </c>
      <c r="E809" s="11">
        <f>13.4985 * CHOOSE(CONTROL!$C$32, $C$9, 100%, $E$9)</f>
        <v>13.4985</v>
      </c>
      <c r="F809" s="11">
        <f>13.4985 * CHOOSE(CONTROL!$C$32, $C$9, 100%, $E$9)</f>
        <v>13.4985</v>
      </c>
      <c r="G809" s="11">
        <f>13.5021 * CHOOSE(CONTROL!$C$32, $C$9, 100%, $E$9)</f>
        <v>13.5021</v>
      </c>
      <c r="H809" s="11">
        <f>26.7161 * CHOOSE(CONTROL!$C$32, $C$9, 100%, $E$9)</f>
        <v>26.716100000000001</v>
      </c>
      <c r="I809" s="11">
        <f>26.7198 * CHOOSE(CONTROL!$C$32, $C$9, 100%, $E$9)</f>
        <v>26.719799999999999</v>
      </c>
      <c r="J809" s="11">
        <f>26.7161 * CHOOSE(CONTROL!$C$32, $C$9, 100%, $E$9)</f>
        <v>26.716100000000001</v>
      </c>
      <c r="K809" s="11">
        <f>26.7198 * CHOOSE(CONTROL!$C$32, $C$9, 100%, $E$9)</f>
        <v>26.719799999999999</v>
      </c>
      <c r="L809" s="11">
        <f>13.4985 * CHOOSE(CONTROL!$C$32, $C$9, 100%, $E$9)</f>
        <v>13.4985</v>
      </c>
      <c r="M809" s="11">
        <f>13.5021 * CHOOSE(CONTROL!$C$32, $C$9, 100%, $E$9)</f>
        <v>13.5021</v>
      </c>
      <c r="N809" s="11">
        <f>13.4985 * CHOOSE(CONTROL!$C$32, $C$9, 100%, $E$9)</f>
        <v>13.4985</v>
      </c>
      <c r="O809" s="11">
        <f>13.5021 * CHOOSE(CONTROL!$C$32, $C$9, 100%, $E$9)</f>
        <v>13.5021</v>
      </c>
    </row>
    <row r="810" spans="1:15" ht="15" x14ac:dyDescent="0.2">
      <c r="A810" s="13">
        <v>65501</v>
      </c>
      <c r="B810" s="9">
        <f>11.8164 * CHOOSE(CONTROL!$C$32, $C$9, 100%, $E$9)</f>
        <v>11.8164</v>
      </c>
      <c r="C810" s="9">
        <f>11.8164 * CHOOSE(CONTROL!$C$32, $C$9, 100%, $E$9)</f>
        <v>11.8164</v>
      </c>
      <c r="D810" s="9">
        <f>11.818 * CHOOSE(CONTROL!$C$32, $C$9, 100%, $E$9)</f>
        <v>11.818</v>
      </c>
      <c r="E810" s="11">
        <f>13.6105 * CHOOSE(CONTROL!$C$32, $C$9, 100%, $E$9)</f>
        <v>13.6105</v>
      </c>
      <c r="F810" s="11">
        <f>13.6105 * CHOOSE(CONTROL!$C$32, $C$9, 100%, $E$9)</f>
        <v>13.6105</v>
      </c>
      <c r="G810" s="11">
        <f>13.6158 * CHOOSE(CONTROL!$C$32, $C$9, 100%, $E$9)</f>
        <v>13.6158</v>
      </c>
      <c r="H810" s="11">
        <f>26.7718 * CHOOSE(CONTROL!$C$32, $C$9, 100%, $E$9)</f>
        <v>26.771799999999999</v>
      </c>
      <c r="I810" s="11">
        <f>26.7771 * CHOOSE(CONTROL!$C$32, $C$9, 100%, $E$9)</f>
        <v>26.777100000000001</v>
      </c>
      <c r="J810" s="11">
        <f>26.7718 * CHOOSE(CONTROL!$C$32, $C$9, 100%, $E$9)</f>
        <v>26.771799999999999</v>
      </c>
      <c r="K810" s="11">
        <f>26.7771 * CHOOSE(CONTROL!$C$32, $C$9, 100%, $E$9)</f>
        <v>26.777100000000001</v>
      </c>
      <c r="L810" s="11">
        <f>13.6105 * CHOOSE(CONTROL!$C$32, $C$9, 100%, $E$9)</f>
        <v>13.6105</v>
      </c>
      <c r="M810" s="11">
        <f>13.6158 * CHOOSE(CONTROL!$C$32, $C$9, 100%, $E$9)</f>
        <v>13.6158</v>
      </c>
      <c r="N810" s="11">
        <f>13.6105 * CHOOSE(CONTROL!$C$32, $C$9, 100%, $E$9)</f>
        <v>13.6105</v>
      </c>
      <c r="O810" s="11">
        <f>13.6158 * CHOOSE(CONTROL!$C$32, $C$9, 100%, $E$9)</f>
        <v>13.6158</v>
      </c>
    </row>
    <row r="811" spans="1:15" ht="15" x14ac:dyDescent="0.2">
      <c r="A811" s="13">
        <v>65532</v>
      </c>
      <c r="B811" s="9">
        <f>11.8225 * CHOOSE(CONTROL!$C$32, $C$9, 100%, $E$9)</f>
        <v>11.8225</v>
      </c>
      <c r="C811" s="9">
        <f>11.8225 * CHOOSE(CONTROL!$C$32, $C$9, 100%, $E$9)</f>
        <v>11.8225</v>
      </c>
      <c r="D811" s="9">
        <f>11.8241 * CHOOSE(CONTROL!$C$32, $C$9, 100%, $E$9)</f>
        <v>11.8241</v>
      </c>
      <c r="E811" s="11">
        <f>13.5028 * CHOOSE(CONTROL!$C$32, $C$9, 100%, $E$9)</f>
        <v>13.502800000000001</v>
      </c>
      <c r="F811" s="11">
        <f>13.5028 * CHOOSE(CONTROL!$C$32, $C$9, 100%, $E$9)</f>
        <v>13.502800000000001</v>
      </c>
      <c r="G811" s="11">
        <f>13.5081 * CHOOSE(CONTROL!$C$32, $C$9, 100%, $E$9)</f>
        <v>13.508100000000001</v>
      </c>
      <c r="H811" s="11">
        <f>26.8276 * CHOOSE(CONTROL!$C$32, $C$9, 100%, $E$9)</f>
        <v>26.8276</v>
      </c>
      <c r="I811" s="11">
        <f>26.8329 * CHOOSE(CONTROL!$C$32, $C$9, 100%, $E$9)</f>
        <v>26.832899999999999</v>
      </c>
      <c r="J811" s="11">
        <f>26.8276 * CHOOSE(CONTROL!$C$32, $C$9, 100%, $E$9)</f>
        <v>26.8276</v>
      </c>
      <c r="K811" s="11">
        <f>26.8329 * CHOOSE(CONTROL!$C$32, $C$9, 100%, $E$9)</f>
        <v>26.832899999999999</v>
      </c>
      <c r="L811" s="11">
        <f>13.5028 * CHOOSE(CONTROL!$C$32, $C$9, 100%, $E$9)</f>
        <v>13.502800000000001</v>
      </c>
      <c r="M811" s="11">
        <f>13.5081 * CHOOSE(CONTROL!$C$32, $C$9, 100%, $E$9)</f>
        <v>13.508100000000001</v>
      </c>
      <c r="N811" s="11">
        <f>13.5028 * CHOOSE(CONTROL!$C$32, $C$9, 100%, $E$9)</f>
        <v>13.502800000000001</v>
      </c>
      <c r="O811" s="11">
        <f>13.5081 * CHOOSE(CONTROL!$C$32, $C$9, 100%, $E$9)</f>
        <v>13.508100000000001</v>
      </c>
    </row>
    <row r="812" spans="1:15" ht="15" x14ac:dyDescent="0.2">
      <c r="A812" s="13">
        <v>65562</v>
      </c>
      <c r="B812" s="9">
        <f>11.9669 * CHOOSE(CONTROL!$C$32, $C$9, 100%, $E$9)</f>
        <v>11.966900000000001</v>
      </c>
      <c r="C812" s="9">
        <f>11.9669 * CHOOSE(CONTROL!$C$32, $C$9, 100%, $E$9)</f>
        <v>11.966900000000001</v>
      </c>
      <c r="D812" s="9">
        <f>11.9685 * CHOOSE(CONTROL!$C$32, $C$9, 100%, $E$9)</f>
        <v>11.968500000000001</v>
      </c>
      <c r="E812" s="11">
        <f>13.6933 * CHOOSE(CONTROL!$C$32, $C$9, 100%, $E$9)</f>
        <v>13.693300000000001</v>
      </c>
      <c r="F812" s="11">
        <f>13.6933 * CHOOSE(CONTROL!$C$32, $C$9, 100%, $E$9)</f>
        <v>13.693300000000001</v>
      </c>
      <c r="G812" s="11">
        <f>13.6986 * CHOOSE(CONTROL!$C$32, $C$9, 100%, $E$9)</f>
        <v>13.698600000000001</v>
      </c>
      <c r="H812" s="11">
        <f>26.8835 * CHOOSE(CONTROL!$C$32, $C$9, 100%, $E$9)</f>
        <v>26.883500000000002</v>
      </c>
      <c r="I812" s="11">
        <f>26.8888 * CHOOSE(CONTROL!$C$32, $C$9, 100%, $E$9)</f>
        <v>26.8888</v>
      </c>
      <c r="J812" s="11">
        <f>26.8835 * CHOOSE(CONTROL!$C$32, $C$9, 100%, $E$9)</f>
        <v>26.883500000000002</v>
      </c>
      <c r="K812" s="11">
        <f>26.8888 * CHOOSE(CONTROL!$C$32, $C$9, 100%, $E$9)</f>
        <v>26.8888</v>
      </c>
      <c r="L812" s="11">
        <f>13.6933 * CHOOSE(CONTROL!$C$32, $C$9, 100%, $E$9)</f>
        <v>13.693300000000001</v>
      </c>
      <c r="M812" s="11">
        <f>13.6986 * CHOOSE(CONTROL!$C$32, $C$9, 100%, $E$9)</f>
        <v>13.698600000000001</v>
      </c>
      <c r="N812" s="11">
        <f>13.6933 * CHOOSE(CONTROL!$C$32, $C$9, 100%, $E$9)</f>
        <v>13.693300000000001</v>
      </c>
      <c r="O812" s="11">
        <f>13.6986 * CHOOSE(CONTROL!$C$32, $C$9, 100%, $E$9)</f>
        <v>13.698600000000001</v>
      </c>
    </row>
    <row r="813" spans="1:15" ht="15" x14ac:dyDescent="0.2">
      <c r="A813" s="13">
        <v>65593</v>
      </c>
      <c r="B813" s="9">
        <f>11.9736 * CHOOSE(CONTROL!$C$32, $C$9, 100%, $E$9)</f>
        <v>11.973599999999999</v>
      </c>
      <c r="C813" s="9">
        <f>11.9736 * CHOOSE(CONTROL!$C$32, $C$9, 100%, $E$9)</f>
        <v>11.973599999999999</v>
      </c>
      <c r="D813" s="9">
        <f>11.9752 * CHOOSE(CONTROL!$C$32, $C$9, 100%, $E$9)</f>
        <v>11.975199999999999</v>
      </c>
      <c r="E813" s="11">
        <f>13.3621 * CHOOSE(CONTROL!$C$32, $C$9, 100%, $E$9)</f>
        <v>13.3621</v>
      </c>
      <c r="F813" s="11">
        <f>13.3621 * CHOOSE(CONTROL!$C$32, $C$9, 100%, $E$9)</f>
        <v>13.3621</v>
      </c>
      <c r="G813" s="11">
        <f>13.3673 * CHOOSE(CONTROL!$C$32, $C$9, 100%, $E$9)</f>
        <v>13.3673</v>
      </c>
      <c r="H813" s="11">
        <f>26.9395 * CHOOSE(CONTROL!$C$32, $C$9, 100%, $E$9)</f>
        <v>26.939499999999999</v>
      </c>
      <c r="I813" s="11">
        <f>26.9448 * CHOOSE(CONTROL!$C$32, $C$9, 100%, $E$9)</f>
        <v>26.944800000000001</v>
      </c>
      <c r="J813" s="11">
        <f>26.9395 * CHOOSE(CONTROL!$C$32, $C$9, 100%, $E$9)</f>
        <v>26.939499999999999</v>
      </c>
      <c r="K813" s="11">
        <f>26.9448 * CHOOSE(CONTROL!$C$32, $C$9, 100%, $E$9)</f>
        <v>26.944800000000001</v>
      </c>
      <c r="L813" s="11">
        <f>13.3621 * CHOOSE(CONTROL!$C$32, $C$9, 100%, $E$9)</f>
        <v>13.3621</v>
      </c>
      <c r="M813" s="11">
        <f>13.3673 * CHOOSE(CONTROL!$C$32, $C$9, 100%, $E$9)</f>
        <v>13.3673</v>
      </c>
      <c r="N813" s="11">
        <f>13.3621 * CHOOSE(CONTROL!$C$32, $C$9, 100%, $E$9)</f>
        <v>13.3621</v>
      </c>
      <c r="O813" s="11">
        <f>13.3673 * CHOOSE(CONTROL!$C$32, $C$9, 100%, $E$9)</f>
        <v>13.3673</v>
      </c>
    </row>
    <row r="814" spans="1:15" ht="15" x14ac:dyDescent="0.2">
      <c r="A814" s="13">
        <v>65624</v>
      </c>
      <c r="B814" s="9">
        <f>11.9705 * CHOOSE(CONTROL!$C$32, $C$9, 100%, $E$9)</f>
        <v>11.970499999999999</v>
      </c>
      <c r="C814" s="9">
        <f>11.9705 * CHOOSE(CONTROL!$C$32, $C$9, 100%, $E$9)</f>
        <v>11.970499999999999</v>
      </c>
      <c r="D814" s="9">
        <f>11.9721 * CHOOSE(CONTROL!$C$32, $C$9, 100%, $E$9)</f>
        <v>11.972099999999999</v>
      </c>
      <c r="E814" s="11">
        <f>13.3226 * CHOOSE(CONTROL!$C$32, $C$9, 100%, $E$9)</f>
        <v>13.3226</v>
      </c>
      <c r="F814" s="11">
        <f>13.3226 * CHOOSE(CONTROL!$C$32, $C$9, 100%, $E$9)</f>
        <v>13.3226</v>
      </c>
      <c r="G814" s="11">
        <f>13.3279 * CHOOSE(CONTROL!$C$32, $C$9, 100%, $E$9)</f>
        <v>13.3279</v>
      </c>
      <c r="H814" s="11">
        <f>26.9956 * CHOOSE(CONTROL!$C$32, $C$9, 100%, $E$9)</f>
        <v>26.9956</v>
      </c>
      <c r="I814" s="11">
        <f>27.0009 * CHOOSE(CONTROL!$C$32, $C$9, 100%, $E$9)</f>
        <v>27.000900000000001</v>
      </c>
      <c r="J814" s="11">
        <f>26.9956 * CHOOSE(CONTROL!$C$32, $C$9, 100%, $E$9)</f>
        <v>26.9956</v>
      </c>
      <c r="K814" s="11">
        <f>27.0009 * CHOOSE(CONTROL!$C$32, $C$9, 100%, $E$9)</f>
        <v>27.000900000000001</v>
      </c>
      <c r="L814" s="11">
        <f>13.3226 * CHOOSE(CONTROL!$C$32, $C$9, 100%, $E$9)</f>
        <v>13.3226</v>
      </c>
      <c r="M814" s="11">
        <f>13.3279 * CHOOSE(CONTROL!$C$32, $C$9, 100%, $E$9)</f>
        <v>13.3279</v>
      </c>
      <c r="N814" s="11">
        <f>13.3226 * CHOOSE(CONTROL!$C$32, $C$9, 100%, $E$9)</f>
        <v>13.3226</v>
      </c>
      <c r="O814" s="11">
        <f>13.3279 * CHOOSE(CONTROL!$C$32, $C$9, 100%, $E$9)</f>
        <v>13.3279</v>
      </c>
    </row>
    <row r="815" spans="1:15" ht="15" x14ac:dyDescent="0.2">
      <c r="A815" s="13">
        <v>65654</v>
      </c>
      <c r="B815" s="9">
        <f>11.9954 * CHOOSE(CONTROL!$C$32, $C$9, 100%, $E$9)</f>
        <v>11.9954</v>
      </c>
      <c r="C815" s="9">
        <f>11.9954 * CHOOSE(CONTROL!$C$32, $C$9, 100%, $E$9)</f>
        <v>11.9954</v>
      </c>
      <c r="D815" s="9">
        <f>11.9965 * CHOOSE(CONTROL!$C$32, $C$9, 100%, $E$9)</f>
        <v>11.996499999999999</v>
      </c>
      <c r="E815" s="11">
        <f>13.4585 * CHOOSE(CONTROL!$C$32, $C$9, 100%, $E$9)</f>
        <v>13.458500000000001</v>
      </c>
      <c r="F815" s="11">
        <f>13.4585 * CHOOSE(CONTROL!$C$32, $C$9, 100%, $E$9)</f>
        <v>13.458500000000001</v>
      </c>
      <c r="G815" s="11">
        <f>13.4621 * CHOOSE(CONTROL!$C$32, $C$9, 100%, $E$9)</f>
        <v>13.4621</v>
      </c>
      <c r="H815" s="11">
        <f>27.0518 * CHOOSE(CONTROL!$C$32, $C$9, 100%, $E$9)</f>
        <v>27.0518</v>
      </c>
      <c r="I815" s="11">
        <f>27.0555 * CHOOSE(CONTROL!$C$32, $C$9, 100%, $E$9)</f>
        <v>27.055499999999999</v>
      </c>
      <c r="J815" s="11">
        <f>27.0518 * CHOOSE(CONTROL!$C$32, $C$9, 100%, $E$9)</f>
        <v>27.0518</v>
      </c>
      <c r="K815" s="11">
        <f>27.0555 * CHOOSE(CONTROL!$C$32, $C$9, 100%, $E$9)</f>
        <v>27.055499999999999</v>
      </c>
      <c r="L815" s="11">
        <f>13.4585 * CHOOSE(CONTROL!$C$32, $C$9, 100%, $E$9)</f>
        <v>13.458500000000001</v>
      </c>
      <c r="M815" s="11">
        <f>13.4621 * CHOOSE(CONTROL!$C$32, $C$9, 100%, $E$9)</f>
        <v>13.4621</v>
      </c>
      <c r="N815" s="11">
        <f>13.4585 * CHOOSE(CONTROL!$C$32, $C$9, 100%, $E$9)</f>
        <v>13.458500000000001</v>
      </c>
      <c r="O815" s="11">
        <f>13.4621 * CHOOSE(CONTROL!$C$32, $C$9, 100%, $E$9)</f>
        <v>13.4621</v>
      </c>
    </row>
    <row r="816" spans="1:15" ht="15" x14ac:dyDescent="0.2">
      <c r="A816" s="13">
        <v>65685</v>
      </c>
      <c r="B816" s="9">
        <f>11.9984 * CHOOSE(CONTROL!$C$32, $C$9, 100%, $E$9)</f>
        <v>11.9984</v>
      </c>
      <c r="C816" s="9">
        <f>11.9984 * CHOOSE(CONTROL!$C$32, $C$9, 100%, $E$9)</f>
        <v>11.9984</v>
      </c>
      <c r="D816" s="9">
        <f>11.9995 * CHOOSE(CONTROL!$C$32, $C$9, 100%, $E$9)</f>
        <v>11.999499999999999</v>
      </c>
      <c r="E816" s="11">
        <f>13.5353 * CHOOSE(CONTROL!$C$32, $C$9, 100%, $E$9)</f>
        <v>13.535299999999999</v>
      </c>
      <c r="F816" s="11">
        <f>13.5353 * CHOOSE(CONTROL!$C$32, $C$9, 100%, $E$9)</f>
        <v>13.535299999999999</v>
      </c>
      <c r="G816" s="11">
        <f>13.5389 * CHOOSE(CONTROL!$C$32, $C$9, 100%, $E$9)</f>
        <v>13.5389</v>
      </c>
      <c r="H816" s="11">
        <f>27.1082 * CHOOSE(CONTROL!$C$32, $C$9, 100%, $E$9)</f>
        <v>27.1082</v>
      </c>
      <c r="I816" s="11">
        <f>27.1118 * CHOOSE(CONTROL!$C$32, $C$9, 100%, $E$9)</f>
        <v>27.111799999999999</v>
      </c>
      <c r="J816" s="11">
        <f>27.1082 * CHOOSE(CONTROL!$C$32, $C$9, 100%, $E$9)</f>
        <v>27.1082</v>
      </c>
      <c r="K816" s="11">
        <f>27.1118 * CHOOSE(CONTROL!$C$32, $C$9, 100%, $E$9)</f>
        <v>27.111799999999999</v>
      </c>
      <c r="L816" s="11">
        <f>13.5353 * CHOOSE(CONTROL!$C$32, $C$9, 100%, $E$9)</f>
        <v>13.535299999999999</v>
      </c>
      <c r="M816" s="11">
        <f>13.5389 * CHOOSE(CONTROL!$C$32, $C$9, 100%, $E$9)</f>
        <v>13.5389</v>
      </c>
      <c r="N816" s="11">
        <f>13.5353 * CHOOSE(CONTROL!$C$32, $C$9, 100%, $E$9)</f>
        <v>13.535299999999999</v>
      </c>
      <c r="O816" s="11">
        <f>13.5389 * CHOOSE(CONTROL!$C$32, $C$9, 100%, $E$9)</f>
        <v>13.5389</v>
      </c>
    </row>
    <row r="817" spans="1:15" ht="15" x14ac:dyDescent="0.2">
      <c r="A817" s="13">
        <v>65715</v>
      </c>
      <c r="B817" s="9">
        <f>11.9984 * CHOOSE(CONTROL!$C$32, $C$9, 100%, $E$9)</f>
        <v>11.9984</v>
      </c>
      <c r="C817" s="9">
        <f>11.9984 * CHOOSE(CONTROL!$C$32, $C$9, 100%, $E$9)</f>
        <v>11.9984</v>
      </c>
      <c r="D817" s="9">
        <f>11.9995 * CHOOSE(CONTROL!$C$32, $C$9, 100%, $E$9)</f>
        <v>11.999499999999999</v>
      </c>
      <c r="E817" s="11">
        <f>13.3486 * CHOOSE(CONTROL!$C$32, $C$9, 100%, $E$9)</f>
        <v>13.348599999999999</v>
      </c>
      <c r="F817" s="11">
        <f>13.3486 * CHOOSE(CONTROL!$C$32, $C$9, 100%, $E$9)</f>
        <v>13.348599999999999</v>
      </c>
      <c r="G817" s="11">
        <f>13.3523 * CHOOSE(CONTROL!$C$32, $C$9, 100%, $E$9)</f>
        <v>13.3523</v>
      </c>
      <c r="H817" s="11">
        <f>27.1647 * CHOOSE(CONTROL!$C$32, $C$9, 100%, $E$9)</f>
        <v>27.1647</v>
      </c>
      <c r="I817" s="11">
        <f>27.1683 * CHOOSE(CONTROL!$C$32, $C$9, 100%, $E$9)</f>
        <v>27.168299999999999</v>
      </c>
      <c r="J817" s="11">
        <f>27.1647 * CHOOSE(CONTROL!$C$32, $C$9, 100%, $E$9)</f>
        <v>27.1647</v>
      </c>
      <c r="K817" s="11">
        <f>27.1683 * CHOOSE(CONTROL!$C$32, $C$9, 100%, $E$9)</f>
        <v>27.168299999999999</v>
      </c>
      <c r="L817" s="11">
        <f>13.3486 * CHOOSE(CONTROL!$C$32, $C$9, 100%, $E$9)</f>
        <v>13.348599999999999</v>
      </c>
      <c r="M817" s="11">
        <f>13.3523 * CHOOSE(CONTROL!$C$32, $C$9, 100%, $E$9)</f>
        <v>13.3523</v>
      </c>
      <c r="N817" s="11">
        <f>13.3486 * CHOOSE(CONTROL!$C$32, $C$9, 100%, $E$9)</f>
        <v>13.348599999999999</v>
      </c>
      <c r="O817" s="11">
        <f>13.3523 * CHOOSE(CONTROL!$C$32, $C$9, 100%, $E$9)</f>
        <v>13.3523</v>
      </c>
    </row>
    <row r="818" spans="1:15" ht="15" x14ac:dyDescent="0.2">
      <c r="A818" s="13">
        <v>65746</v>
      </c>
      <c r="B818" s="9">
        <f>12.0047 * CHOOSE(CONTROL!$C$32, $C$9, 100%, $E$9)</f>
        <v>12.0047</v>
      </c>
      <c r="C818" s="9">
        <f>12.0047 * CHOOSE(CONTROL!$C$32, $C$9, 100%, $E$9)</f>
        <v>12.0047</v>
      </c>
      <c r="D818" s="9">
        <f>12.0057 * CHOOSE(CONTROL!$C$32, $C$9, 100%, $E$9)</f>
        <v>12.005699999999999</v>
      </c>
      <c r="E818" s="11">
        <f>13.4956 * CHOOSE(CONTROL!$C$32, $C$9, 100%, $E$9)</f>
        <v>13.4956</v>
      </c>
      <c r="F818" s="11">
        <f>13.4956 * CHOOSE(CONTROL!$C$32, $C$9, 100%, $E$9)</f>
        <v>13.4956</v>
      </c>
      <c r="G818" s="11">
        <f>13.4992 * CHOOSE(CONTROL!$C$32, $C$9, 100%, $E$9)</f>
        <v>13.4992</v>
      </c>
      <c r="H818" s="11">
        <f>27.0034 * CHOOSE(CONTROL!$C$32, $C$9, 100%, $E$9)</f>
        <v>27.003399999999999</v>
      </c>
      <c r="I818" s="11">
        <f>27.007 * CHOOSE(CONTROL!$C$32, $C$9, 100%, $E$9)</f>
        <v>27.007000000000001</v>
      </c>
      <c r="J818" s="11">
        <f>27.0034 * CHOOSE(CONTROL!$C$32, $C$9, 100%, $E$9)</f>
        <v>27.003399999999999</v>
      </c>
      <c r="K818" s="11">
        <f>27.007 * CHOOSE(CONTROL!$C$32, $C$9, 100%, $E$9)</f>
        <v>27.007000000000001</v>
      </c>
      <c r="L818" s="11">
        <f>13.4956 * CHOOSE(CONTROL!$C$32, $C$9, 100%, $E$9)</f>
        <v>13.4956</v>
      </c>
      <c r="M818" s="11">
        <f>13.4992 * CHOOSE(CONTROL!$C$32, $C$9, 100%, $E$9)</f>
        <v>13.4992</v>
      </c>
      <c r="N818" s="11">
        <f>13.4956 * CHOOSE(CONTROL!$C$32, $C$9, 100%, $E$9)</f>
        <v>13.4956</v>
      </c>
      <c r="O818" s="11">
        <f>13.4992 * CHOOSE(CONTROL!$C$32, $C$9, 100%, $E$9)</f>
        <v>13.4992</v>
      </c>
    </row>
    <row r="819" spans="1:15" ht="15" x14ac:dyDescent="0.2">
      <c r="A819" s="13">
        <v>65777</v>
      </c>
      <c r="B819" s="9">
        <f>12.0016 * CHOOSE(CONTROL!$C$32, $C$9, 100%, $E$9)</f>
        <v>12.0016</v>
      </c>
      <c r="C819" s="9">
        <f>12.0016 * CHOOSE(CONTROL!$C$32, $C$9, 100%, $E$9)</f>
        <v>12.0016</v>
      </c>
      <c r="D819" s="9">
        <f>12.0027 * CHOOSE(CONTROL!$C$32, $C$9, 100%, $E$9)</f>
        <v>12.002700000000001</v>
      </c>
      <c r="E819" s="11">
        <f>13.1337 * CHOOSE(CONTROL!$C$32, $C$9, 100%, $E$9)</f>
        <v>13.133699999999999</v>
      </c>
      <c r="F819" s="11">
        <f>13.1337 * CHOOSE(CONTROL!$C$32, $C$9, 100%, $E$9)</f>
        <v>13.133699999999999</v>
      </c>
      <c r="G819" s="11">
        <f>13.1373 * CHOOSE(CONTROL!$C$32, $C$9, 100%, $E$9)</f>
        <v>13.1373</v>
      </c>
      <c r="H819" s="11">
        <f>27.0596 * CHOOSE(CONTROL!$C$32, $C$9, 100%, $E$9)</f>
        <v>27.0596</v>
      </c>
      <c r="I819" s="11">
        <f>27.0632 * CHOOSE(CONTROL!$C$32, $C$9, 100%, $E$9)</f>
        <v>27.063199999999998</v>
      </c>
      <c r="J819" s="11">
        <f>27.0596 * CHOOSE(CONTROL!$C$32, $C$9, 100%, $E$9)</f>
        <v>27.0596</v>
      </c>
      <c r="K819" s="11">
        <f>27.0632 * CHOOSE(CONTROL!$C$32, $C$9, 100%, $E$9)</f>
        <v>27.063199999999998</v>
      </c>
      <c r="L819" s="11">
        <f>13.1337 * CHOOSE(CONTROL!$C$32, $C$9, 100%, $E$9)</f>
        <v>13.133699999999999</v>
      </c>
      <c r="M819" s="11">
        <f>13.1373 * CHOOSE(CONTROL!$C$32, $C$9, 100%, $E$9)</f>
        <v>13.1373</v>
      </c>
      <c r="N819" s="11">
        <f>13.1337 * CHOOSE(CONTROL!$C$32, $C$9, 100%, $E$9)</f>
        <v>13.133699999999999</v>
      </c>
      <c r="O819" s="11">
        <f>13.1373 * CHOOSE(CONTROL!$C$32, $C$9, 100%, $E$9)</f>
        <v>13.1373</v>
      </c>
    </row>
    <row r="820" spans="1:15" ht="15" x14ac:dyDescent="0.2">
      <c r="A820" s="13">
        <v>65806</v>
      </c>
      <c r="B820" s="9">
        <f>11.9986 * CHOOSE(CONTROL!$C$32, $C$9, 100%, $E$9)</f>
        <v>11.9986</v>
      </c>
      <c r="C820" s="9">
        <f>11.9986 * CHOOSE(CONTROL!$C$32, $C$9, 100%, $E$9)</f>
        <v>11.9986</v>
      </c>
      <c r="D820" s="9">
        <f>11.9996 * CHOOSE(CONTROL!$C$32, $C$9, 100%, $E$9)</f>
        <v>11.999599999999999</v>
      </c>
      <c r="E820" s="11">
        <f>13.4152 * CHOOSE(CONTROL!$C$32, $C$9, 100%, $E$9)</f>
        <v>13.4152</v>
      </c>
      <c r="F820" s="11">
        <f>13.4152 * CHOOSE(CONTROL!$C$32, $C$9, 100%, $E$9)</f>
        <v>13.4152</v>
      </c>
      <c r="G820" s="11">
        <f>13.4188 * CHOOSE(CONTROL!$C$32, $C$9, 100%, $E$9)</f>
        <v>13.418799999999999</v>
      </c>
      <c r="H820" s="11">
        <f>27.116 * CHOOSE(CONTROL!$C$32, $C$9, 100%, $E$9)</f>
        <v>27.116</v>
      </c>
      <c r="I820" s="11">
        <f>27.1196 * CHOOSE(CONTROL!$C$32, $C$9, 100%, $E$9)</f>
        <v>27.119599999999998</v>
      </c>
      <c r="J820" s="11">
        <f>27.116 * CHOOSE(CONTROL!$C$32, $C$9, 100%, $E$9)</f>
        <v>27.116</v>
      </c>
      <c r="K820" s="11">
        <f>27.1196 * CHOOSE(CONTROL!$C$32, $C$9, 100%, $E$9)</f>
        <v>27.119599999999998</v>
      </c>
      <c r="L820" s="11">
        <f>13.4152 * CHOOSE(CONTROL!$C$32, $C$9, 100%, $E$9)</f>
        <v>13.4152</v>
      </c>
      <c r="M820" s="11">
        <f>13.4188 * CHOOSE(CONTROL!$C$32, $C$9, 100%, $E$9)</f>
        <v>13.418799999999999</v>
      </c>
      <c r="N820" s="11">
        <f>13.4152 * CHOOSE(CONTROL!$C$32, $C$9, 100%, $E$9)</f>
        <v>13.4152</v>
      </c>
      <c r="O820" s="11">
        <f>13.4188 * CHOOSE(CONTROL!$C$32, $C$9, 100%, $E$9)</f>
        <v>13.418799999999999</v>
      </c>
    </row>
    <row r="821" spans="1:15" ht="15" x14ac:dyDescent="0.2">
      <c r="A821" s="13">
        <v>65837</v>
      </c>
      <c r="B821" s="9">
        <f>12.004 * CHOOSE(CONTROL!$C$32, $C$9, 100%, $E$9)</f>
        <v>12.004</v>
      </c>
      <c r="C821" s="9">
        <f>12.004 * CHOOSE(CONTROL!$C$32, $C$9, 100%, $E$9)</f>
        <v>12.004</v>
      </c>
      <c r="D821" s="9">
        <f>12.0051 * CHOOSE(CONTROL!$C$32, $C$9, 100%, $E$9)</f>
        <v>12.005100000000001</v>
      </c>
      <c r="E821" s="11">
        <f>13.7155 * CHOOSE(CONTROL!$C$32, $C$9, 100%, $E$9)</f>
        <v>13.7155</v>
      </c>
      <c r="F821" s="11">
        <f>13.7155 * CHOOSE(CONTROL!$C$32, $C$9, 100%, $E$9)</f>
        <v>13.7155</v>
      </c>
      <c r="G821" s="11">
        <f>13.7191 * CHOOSE(CONTROL!$C$32, $C$9, 100%, $E$9)</f>
        <v>13.719099999999999</v>
      </c>
      <c r="H821" s="11">
        <f>27.1725 * CHOOSE(CONTROL!$C$32, $C$9, 100%, $E$9)</f>
        <v>27.172499999999999</v>
      </c>
      <c r="I821" s="11">
        <f>27.1761 * CHOOSE(CONTROL!$C$32, $C$9, 100%, $E$9)</f>
        <v>27.176100000000002</v>
      </c>
      <c r="J821" s="11">
        <f>27.1725 * CHOOSE(CONTROL!$C$32, $C$9, 100%, $E$9)</f>
        <v>27.172499999999999</v>
      </c>
      <c r="K821" s="11">
        <f>27.1761 * CHOOSE(CONTROL!$C$32, $C$9, 100%, $E$9)</f>
        <v>27.176100000000002</v>
      </c>
      <c r="L821" s="11">
        <f>13.7155 * CHOOSE(CONTROL!$C$32, $C$9, 100%, $E$9)</f>
        <v>13.7155</v>
      </c>
      <c r="M821" s="11">
        <f>13.7191 * CHOOSE(CONTROL!$C$32, $C$9, 100%, $E$9)</f>
        <v>13.719099999999999</v>
      </c>
      <c r="N821" s="11">
        <f>13.7155 * CHOOSE(CONTROL!$C$32, $C$9, 100%, $E$9)</f>
        <v>13.7155</v>
      </c>
      <c r="O821" s="11">
        <f>13.7191 * CHOOSE(CONTROL!$C$32, $C$9, 100%, $E$9)</f>
        <v>13.719099999999999</v>
      </c>
    </row>
    <row r="822" spans="1:15" ht="15" x14ac:dyDescent="0.2">
      <c r="A822" s="13">
        <v>65867</v>
      </c>
      <c r="B822" s="9">
        <f>12.004 * CHOOSE(CONTROL!$C$32, $C$9, 100%, $E$9)</f>
        <v>12.004</v>
      </c>
      <c r="C822" s="9">
        <f>12.004 * CHOOSE(CONTROL!$C$32, $C$9, 100%, $E$9)</f>
        <v>12.004</v>
      </c>
      <c r="D822" s="9">
        <f>12.0056 * CHOOSE(CONTROL!$C$32, $C$9, 100%, $E$9)</f>
        <v>12.005599999999999</v>
      </c>
      <c r="E822" s="11">
        <f>13.8298 * CHOOSE(CONTROL!$C$32, $C$9, 100%, $E$9)</f>
        <v>13.829800000000001</v>
      </c>
      <c r="F822" s="11">
        <f>13.8298 * CHOOSE(CONTROL!$C$32, $C$9, 100%, $E$9)</f>
        <v>13.829800000000001</v>
      </c>
      <c r="G822" s="11">
        <f>13.835 * CHOOSE(CONTROL!$C$32, $C$9, 100%, $E$9)</f>
        <v>13.835000000000001</v>
      </c>
      <c r="H822" s="11">
        <f>27.2291 * CHOOSE(CONTROL!$C$32, $C$9, 100%, $E$9)</f>
        <v>27.229099999999999</v>
      </c>
      <c r="I822" s="11">
        <f>27.2344 * CHOOSE(CONTROL!$C$32, $C$9, 100%, $E$9)</f>
        <v>27.234400000000001</v>
      </c>
      <c r="J822" s="11">
        <f>27.2291 * CHOOSE(CONTROL!$C$32, $C$9, 100%, $E$9)</f>
        <v>27.229099999999999</v>
      </c>
      <c r="K822" s="11">
        <f>27.2344 * CHOOSE(CONTROL!$C$32, $C$9, 100%, $E$9)</f>
        <v>27.234400000000001</v>
      </c>
      <c r="L822" s="11">
        <f>13.8298 * CHOOSE(CONTROL!$C$32, $C$9, 100%, $E$9)</f>
        <v>13.829800000000001</v>
      </c>
      <c r="M822" s="11">
        <f>13.835 * CHOOSE(CONTROL!$C$32, $C$9, 100%, $E$9)</f>
        <v>13.835000000000001</v>
      </c>
      <c r="N822" s="11">
        <f>13.8298 * CHOOSE(CONTROL!$C$32, $C$9, 100%, $E$9)</f>
        <v>13.829800000000001</v>
      </c>
      <c r="O822" s="11">
        <f>13.835 * CHOOSE(CONTROL!$C$32, $C$9, 100%, $E$9)</f>
        <v>13.835000000000001</v>
      </c>
    </row>
    <row r="823" spans="1:15" ht="15" x14ac:dyDescent="0.2">
      <c r="A823" s="13">
        <v>65898</v>
      </c>
      <c r="B823" s="9">
        <f>12.0101 * CHOOSE(CONTROL!$C$32, $C$9, 100%, $E$9)</f>
        <v>12.0101</v>
      </c>
      <c r="C823" s="9">
        <f>12.0101 * CHOOSE(CONTROL!$C$32, $C$9, 100%, $E$9)</f>
        <v>12.0101</v>
      </c>
      <c r="D823" s="9">
        <f>12.0116 * CHOOSE(CONTROL!$C$32, $C$9, 100%, $E$9)</f>
        <v>12.0116</v>
      </c>
      <c r="E823" s="11">
        <f>13.7198 * CHOOSE(CONTROL!$C$32, $C$9, 100%, $E$9)</f>
        <v>13.719799999999999</v>
      </c>
      <c r="F823" s="11">
        <f>13.7198 * CHOOSE(CONTROL!$C$32, $C$9, 100%, $E$9)</f>
        <v>13.719799999999999</v>
      </c>
      <c r="G823" s="11">
        <f>13.7251 * CHOOSE(CONTROL!$C$32, $C$9, 100%, $E$9)</f>
        <v>13.725099999999999</v>
      </c>
      <c r="H823" s="11">
        <f>27.2858 * CHOOSE(CONTROL!$C$32, $C$9, 100%, $E$9)</f>
        <v>27.285799999999998</v>
      </c>
      <c r="I823" s="11">
        <f>27.2911 * CHOOSE(CONTROL!$C$32, $C$9, 100%, $E$9)</f>
        <v>27.2911</v>
      </c>
      <c r="J823" s="11">
        <f>27.2858 * CHOOSE(CONTROL!$C$32, $C$9, 100%, $E$9)</f>
        <v>27.285799999999998</v>
      </c>
      <c r="K823" s="11">
        <f>27.2911 * CHOOSE(CONTROL!$C$32, $C$9, 100%, $E$9)</f>
        <v>27.2911</v>
      </c>
      <c r="L823" s="11">
        <f>13.7198 * CHOOSE(CONTROL!$C$32, $C$9, 100%, $E$9)</f>
        <v>13.719799999999999</v>
      </c>
      <c r="M823" s="11">
        <f>13.7251 * CHOOSE(CONTROL!$C$32, $C$9, 100%, $E$9)</f>
        <v>13.725099999999999</v>
      </c>
      <c r="N823" s="11">
        <f>13.7198 * CHOOSE(CONTROL!$C$32, $C$9, 100%, $E$9)</f>
        <v>13.719799999999999</v>
      </c>
      <c r="O823" s="11">
        <f>13.7251 * CHOOSE(CONTROL!$C$32, $C$9, 100%, $E$9)</f>
        <v>13.725099999999999</v>
      </c>
    </row>
    <row r="824" spans="1:15" ht="15" x14ac:dyDescent="0.2">
      <c r="A824" s="13">
        <v>65928</v>
      </c>
      <c r="B824" s="9">
        <f>12.1565 * CHOOSE(CONTROL!$C$32, $C$9, 100%, $E$9)</f>
        <v>12.156499999999999</v>
      </c>
      <c r="C824" s="9">
        <f>12.1565 * CHOOSE(CONTROL!$C$32, $C$9, 100%, $E$9)</f>
        <v>12.156499999999999</v>
      </c>
      <c r="D824" s="9">
        <f>12.1581 * CHOOSE(CONTROL!$C$32, $C$9, 100%, $E$9)</f>
        <v>12.158099999999999</v>
      </c>
      <c r="E824" s="11">
        <f>13.9135 * CHOOSE(CONTROL!$C$32, $C$9, 100%, $E$9)</f>
        <v>13.913500000000001</v>
      </c>
      <c r="F824" s="11">
        <f>13.9135 * CHOOSE(CONTROL!$C$32, $C$9, 100%, $E$9)</f>
        <v>13.913500000000001</v>
      </c>
      <c r="G824" s="11">
        <f>13.9188 * CHOOSE(CONTROL!$C$32, $C$9, 100%, $E$9)</f>
        <v>13.918799999999999</v>
      </c>
      <c r="H824" s="11">
        <f>27.3427 * CHOOSE(CONTROL!$C$32, $C$9, 100%, $E$9)</f>
        <v>27.342700000000001</v>
      </c>
      <c r="I824" s="11">
        <f>27.348 * CHOOSE(CONTROL!$C$32, $C$9, 100%, $E$9)</f>
        <v>27.347999999999999</v>
      </c>
      <c r="J824" s="11">
        <f>27.3427 * CHOOSE(CONTROL!$C$32, $C$9, 100%, $E$9)</f>
        <v>27.342700000000001</v>
      </c>
      <c r="K824" s="11">
        <f>27.348 * CHOOSE(CONTROL!$C$32, $C$9, 100%, $E$9)</f>
        <v>27.347999999999999</v>
      </c>
      <c r="L824" s="11">
        <f>13.9135 * CHOOSE(CONTROL!$C$32, $C$9, 100%, $E$9)</f>
        <v>13.913500000000001</v>
      </c>
      <c r="M824" s="11">
        <f>13.9188 * CHOOSE(CONTROL!$C$32, $C$9, 100%, $E$9)</f>
        <v>13.918799999999999</v>
      </c>
      <c r="N824" s="11">
        <f>13.9135 * CHOOSE(CONTROL!$C$32, $C$9, 100%, $E$9)</f>
        <v>13.913500000000001</v>
      </c>
      <c r="O824" s="11">
        <f>13.9188 * CHOOSE(CONTROL!$C$32, $C$9, 100%, $E$9)</f>
        <v>13.918799999999999</v>
      </c>
    </row>
    <row r="825" spans="1:15" ht="15" x14ac:dyDescent="0.2">
      <c r="A825" s="13">
        <v>65959</v>
      </c>
      <c r="B825" s="9">
        <f>12.1632 * CHOOSE(CONTROL!$C$32, $C$9, 100%, $E$9)</f>
        <v>12.1632</v>
      </c>
      <c r="C825" s="9">
        <f>12.1632 * CHOOSE(CONTROL!$C$32, $C$9, 100%, $E$9)</f>
        <v>12.1632</v>
      </c>
      <c r="D825" s="9">
        <f>12.1648 * CHOOSE(CONTROL!$C$32, $C$9, 100%, $E$9)</f>
        <v>12.1648</v>
      </c>
      <c r="E825" s="11">
        <f>13.5755 * CHOOSE(CONTROL!$C$32, $C$9, 100%, $E$9)</f>
        <v>13.5755</v>
      </c>
      <c r="F825" s="11">
        <f>13.5755 * CHOOSE(CONTROL!$C$32, $C$9, 100%, $E$9)</f>
        <v>13.5755</v>
      </c>
      <c r="G825" s="11">
        <f>13.5808 * CHOOSE(CONTROL!$C$32, $C$9, 100%, $E$9)</f>
        <v>13.5808</v>
      </c>
      <c r="H825" s="11">
        <f>27.3996 * CHOOSE(CONTROL!$C$32, $C$9, 100%, $E$9)</f>
        <v>27.3996</v>
      </c>
      <c r="I825" s="11">
        <f>27.4049 * CHOOSE(CONTROL!$C$32, $C$9, 100%, $E$9)</f>
        <v>27.404900000000001</v>
      </c>
      <c r="J825" s="11">
        <f>27.3996 * CHOOSE(CONTROL!$C$32, $C$9, 100%, $E$9)</f>
        <v>27.3996</v>
      </c>
      <c r="K825" s="11">
        <f>27.4049 * CHOOSE(CONTROL!$C$32, $C$9, 100%, $E$9)</f>
        <v>27.404900000000001</v>
      </c>
      <c r="L825" s="11">
        <f>13.5755 * CHOOSE(CONTROL!$C$32, $C$9, 100%, $E$9)</f>
        <v>13.5755</v>
      </c>
      <c r="M825" s="11">
        <f>13.5808 * CHOOSE(CONTROL!$C$32, $C$9, 100%, $E$9)</f>
        <v>13.5808</v>
      </c>
      <c r="N825" s="11">
        <f>13.5755 * CHOOSE(CONTROL!$C$32, $C$9, 100%, $E$9)</f>
        <v>13.5755</v>
      </c>
      <c r="O825" s="11">
        <f>13.5808 * CHOOSE(CONTROL!$C$32, $C$9, 100%, $E$9)</f>
        <v>13.5808</v>
      </c>
    </row>
    <row r="826" spans="1:15" ht="15" x14ac:dyDescent="0.2">
      <c r="A826" s="13">
        <v>65990</v>
      </c>
      <c r="B826" s="9">
        <f>12.1601 * CHOOSE(CONTROL!$C$32, $C$9, 100%, $E$9)</f>
        <v>12.1601</v>
      </c>
      <c r="C826" s="9">
        <f>12.1601 * CHOOSE(CONTROL!$C$32, $C$9, 100%, $E$9)</f>
        <v>12.1601</v>
      </c>
      <c r="D826" s="9">
        <f>12.1617 * CHOOSE(CONTROL!$C$32, $C$9, 100%, $E$9)</f>
        <v>12.1617</v>
      </c>
      <c r="E826" s="11">
        <f>13.5353 * CHOOSE(CONTROL!$C$32, $C$9, 100%, $E$9)</f>
        <v>13.535299999999999</v>
      </c>
      <c r="F826" s="11">
        <f>13.5353 * CHOOSE(CONTROL!$C$32, $C$9, 100%, $E$9)</f>
        <v>13.535299999999999</v>
      </c>
      <c r="G826" s="11">
        <f>13.5406 * CHOOSE(CONTROL!$C$32, $C$9, 100%, $E$9)</f>
        <v>13.5406</v>
      </c>
      <c r="H826" s="11">
        <f>27.4567 * CHOOSE(CONTROL!$C$32, $C$9, 100%, $E$9)</f>
        <v>27.456700000000001</v>
      </c>
      <c r="I826" s="11">
        <f>27.462 * CHOOSE(CONTROL!$C$32, $C$9, 100%, $E$9)</f>
        <v>27.462</v>
      </c>
      <c r="J826" s="11">
        <f>27.4567 * CHOOSE(CONTROL!$C$32, $C$9, 100%, $E$9)</f>
        <v>27.456700000000001</v>
      </c>
      <c r="K826" s="11">
        <f>27.462 * CHOOSE(CONTROL!$C$32, $C$9, 100%, $E$9)</f>
        <v>27.462</v>
      </c>
      <c r="L826" s="11">
        <f>13.5353 * CHOOSE(CONTROL!$C$32, $C$9, 100%, $E$9)</f>
        <v>13.535299999999999</v>
      </c>
      <c r="M826" s="11">
        <f>13.5406 * CHOOSE(CONTROL!$C$32, $C$9, 100%, $E$9)</f>
        <v>13.5406</v>
      </c>
      <c r="N826" s="11">
        <f>13.5353 * CHOOSE(CONTROL!$C$32, $C$9, 100%, $E$9)</f>
        <v>13.535299999999999</v>
      </c>
      <c r="O826" s="11">
        <f>13.5406 * CHOOSE(CONTROL!$C$32, $C$9, 100%, $E$9)</f>
        <v>13.5406</v>
      </c>
    </row>
    <row r="827" spans="1:15" ht="15" x14ac:dyDescent="0.2">
      <c r="A827" s="13">
        <v>66020</v>
      </c>
      <c r="B827" s="9">
        <f>12.1857 * CHOOSE(CONTROL!$C$32, $C$9, 100%, $E$9)</f>
        <v>12.185700000000001</v>
      </c>
      <c r="C827" s="9">
        <f>12.1857 * CHOOSE(CONTROL!$C$32, $C$9, 100%, $E$9)</f>
        <v>12.185700000000001</v>
      </c>
      <c r="D827" s="9">
        <f>12.1868 * CHOOSE(CONTROL!$C$32, $C$9, 100%, $E$9)</f>
        <v>12.1868</v>
      </c>
      <c r="E827" s="11">
        <f>13.6742 * CHOOSE(CONTROL!$C$32, $C$9, 100%, $E$9)</f>
        <v>13.674200000000001</v>
      </c>
      <c r="F827" s="11">
        <f>13.6742 * CHOOSE(CONTROL!$C$32, $C$9, 100%, $E$9)</f>
        <v>13.674200000000001</v>
      </c>
      <c r="G827" s="11">
        <f>13.6778 * CHOOSE(CONTROL!$C$32, $C$9, 100%, $E$9)</f>
        <v>13.6778</v>
      </c>
      <c r="H827" s="11">
        <f>27.5139 * CHOOSE(CONTROL!$C$32, $C$9, 100%, $E$9)</f>
        <v>27.5139</v>
      </c>
      <c r="I827" s="11">
        <f>27.5175 * CHOOSE(CONTROL!$C$32, $C$9, 100%, $E$9)</f>
        <v>27.517499999999998</v>
      </c>
      <c r="J827" s="11">
        <f>27.5139 * CHOOSE(CONTROL!$C$32, $C$9, 100%, $E$9)</f>
        <v>27.5139</v>
      </c>
      <c r="K827" s="11">
        <f>27.5175 * CHOOSE(CONTROL!$C$32, $C$9, 100%, $E$9)</f>
        <v>27.517499999999998</v>
      </c>
      <c r="L827" s="11">
        <f>13.6742 * CHOOSE(CONTROL!$C$32, $C$9, 100%, $E$9)</f>
        <v>13.674200000000001</v>
      </c>
      <c r="M827" s="11">
        <f>13.6778 * CHOOSE(CONTROL!$C$32, $C$9, 100%, $E$9)</f>
        <v>13.6778</v>
      </c>
      <c r="N827" s="11">
        <f>13.6742 * CHOOSE(CONTROL!$C$32, $C$9, 100%, $E$9)</f>
        <v>13.674200000000001</v>
      </c>
      <c r="O827" s="11">
        <f>13.6778 * CHOOSE(CONTROL!$C$32, $C$9, 100%, $E$9)</f>
        <v>13.6778</v>
      </c>
    </row>
    <row r="828" spans="1:15" ht="15" x14ac:dyDescent="0.2">
      <c r="A828" s="13">
        <v>66051</v>
      </c>
      <c r="B828" s="9">
        <f>12.1887 * CHOOSE(CONTROL!$C$32, $C$9, 100%, $E$9)</f>
        <v>12.188700000000001</v>
      </c>
      <c r="C828" s="9">
        <f>12.1887 * CHOOSE(CONTROL!$C$32, $C$9, 100%, $E$9)</f>
        <v>12.188700000000001</v>
      </c>
      <c r="D828" s="9">
        <f>12.1898 * CHOOSE(CONTROL!$C$32, $C$9, 100%, $E$9)</f>
        <v>12.1898</v>
      </c>
      <c r="E828" s="11">
        <f>13.7524 * CHOOSE(CONTROL!$C$32, $C$9, 100%, $E$9)</f>
        <v>13.7524</v>
      </c>
      <c r="F828" s="11">
        <f>13.7524 * CHOOSE(CONTROL!$C$32, $C$9, 100%, $E$9)</f>
        <v>13.7524</v>
      </c>
      <c r="G828" s="11">
        <f>13.7561 * CHOOSE(CONTROL!$C$32, $C$9, 100%, $E$9)</f>
        <v>13.7561</v>
      </c>
      <c r="H828" s="11">
        <f>27.5712 * CHOOSE(CONTROL!$C$32, $C$9, 100%, $E$9)</f>
        <v>27.571200000000001</v>
      </c>
      <c r="I828" s="11">
        <f>27.5749 * CHOOSE(CONTROL!$C$32, $C$9, 100%, $E$9)</f>
        <v>27.5749</v>
      </c>
      <c r="J828" s="11">
        <f>27.5712 * CHOOSE(CONTROL!$C$32, $C$9, 100%, $E$9)</f>
        <v>27.571200000000001</v>
      </c>
      <c r="K828" s="11">
        <f>27.5749 * CHOOSE(CONTROL!$C$32, $C$9, 100%, $E$9)</f>
        <v>27.5749</v>
      </c>
      <c r="L828" s="11">
        <f>13.7524 * CHOOSE(CONTROL!$C$32, $C$9, 100%, $E$9)</f>
        <v>13.7524</v>
      </c>
      <c r="M828" s="11">
        <f>13.7561 * CHOOSE(CONTROL!$C$32, $C$9, 100%, $E$9)</f>
        <v>13.7561</v>
      </c>
      <c r="N828" s="11">
        <f>13.7524 * CHOOSE(CONTROL!$C$32, $C$9, 100%, $E$9)</f>
        <v>13.7524</v>
      </c>
      <c r="O828" s="11">
        <f>13.7561 * CHOOSE(CONTROL!$C$32, $C$9, 100%, $E$9)</f>
        <v>13.7561</v>
      </c>
    </row>
    <row r="829" spans="1:15" ht="15" x14ac:dyDescent="0.2">
      <c r="A829" s="13">
        <v>66081</v>
      </c>
      <c r="B829" s="9">
        <f>12.1887 * CHOOSE(CONTROL!$C$32, $C$9, 100%, $E$9)</f>
        <v>12.188700000000001</v>
      </c>
      <c r="C829" s="9">
        <f>12.1887 * CHOOSE(CONTROL!$C$32, $C$9, 100%, $E$9)</f>
        <v>12.188700000000001</v>
      </c>
      <c r="D829" s="9">
        <f>12.1898 * CHOOSE(CONTROL!$C$32, $C$9, 100%, $E$9)</f>
        <v>12.1898</v>
      </c>
      <c r="E829" s="11">
        <f>13.5621 * CHOOSE(CONTROL!$C$32, $C$9, 100%, $E$9)</f>
        <v>13.562099999999999</v>
      </c>
      <c r="F829" s="11">
        <f>13.5621 * CHOOSE(CONTROL!$C$32, $C$9, 100%, $E$9)</f>
        <v>13.562099999999999</v>
      </c>
      <c r="G829" s="11">
        <f>13.5657 * CHOOSE(CONTROL!$C$32, $C$9, 100%, $E$9)</f>
        <v>13.5657</v>
      </c>
      <c r="H829" s="11">
        <f>27.6287 * CHOOSE(CONTROL!$C$32, $C$9, 100%, $E$9)</f>
        <v>27.628699999999998</v>
      </c>
      <c r="I829" s="11">
        <f>27.6323 * CHOOSE(CONTROL!$C$32, $C$9, 100%, $E$9)</f>
        <v>27.632300000000001</v>
      </c>
      <c r="J829" s="11">
        <f>27.6287 * CHOOSE(CONTROL!$C$32, $C$9, 100%, $E$9)</f>
        <v>27.628699999999998</v>
      </c>
      <c r="K829" s="11">
        <f>27.6323 * CHOOSE(CONTROL!$C$32, $C$9, 100%, $E$9)</f>
        <v>27.632300000000001</v>
      </c>
      <c r="L829" s="11">
        <f>13.5621 * CHOOSE(CONTROL!$C$32, $C$9, 100%, $E$9)</f>
        <v>13.562099999999999</v>
      </c>
      <c r="M829" s="11">
        <f>13.5657 * CHOOSE(CONTROL!$C$32, $C$9, 100%, $E$9)</f>
        <v>13.5657</v>
      </c>
      <c r="N829" s="11">
        <f>13.5621 * CHOOSE(CONTROL!$C$32, $C$9, 100%, $E$9)</f>
        <v>13.562099999999999</v>
      </c>
      <c r="O829" s="11">
        <f>13.5657 * CHOOSE(CONTROL!$C$32, $C$9, 100%, $E$9)</f>
        <v>13.5657</v>
      </c>
    </row>
    <row r="830" spans="1:15" ht="15" x14ac:dyDescent="0.2">
      <c r="A830" s="13">
        <v>66112</v>
      </c>
      <c r="B830" s="9">
        <f>12.192 * CHOOSE(CONTROL!$C$32, $C$9, 100%, $E$9)</f>
        <v>12.192</v>
      </c>
      <c r="C830" s="9">
        <f>12.192 * CHOOSE(CONTROL!$C$32, $C$9, 100%, $E$9)</f>
        <v>12.192</v>
      </c>
      <c r="D830" s="9">
        <f>12.1931 * CHOOSE(CONTROL!$C$32, $C$9, 100%, $E$9)</f>
        <v>12.193099999999999</v>
      </c>
      <c r="E830" s="11">
        <f>13.7081 * CHOOSE(CONTROL!$C$32, $C$9, 100%, $E$9)</f>
        <v>13.7081</v>
      </c>
      <c r="F830" s="11">
        <f>13.7081 * CHOOSE(CONTROL!$C$32, $C$9, 100%, $E$9)</f>
        <v>13.7081</v>
      </c>
      <c r="G830" s="11">
        <f>13.7117 * CHOOSE(CONTROL!$C$32, $C$9, 100%, $E$9)</f>
        <v>13.7117</v>
      </c>
      <c r="H830" s="11">
        <f>27.4569 * CHOOSE(CONTROL!$C$32, $C$9, 100%, $E$9)</f>
        <v>27.456900000000001</v>
      </c>
      <c r="I830" s="11">
        <f>27.4605 * CHOOSE(CONTROL!$C$32, $C$9, 100%, $E$9)</f>
        <v>27.4605</v>
      </c>
      <c r="J830" s="11">
        <f>27.4569 * CHOOSE(CONTROL!$C$32, $C$9, 100%, $E$9)</f>
        <v>27.456900000000001</v>
      </c>
      <c r="K830" s="11">
        <f>27.4605 * CHOOSE(CONTROL!$C$32, $C$9, 100%, $E$9)</f>
        <v>27.4605</v>
      </c>
      <c r="L830" s="11">
        <f>13.7081 * CHOOSE(CONTROL!$C$32, $C$9, 100%, $E$9)</f>
        <v>13.7081</v>
      </c>
      <c r="M830" s="11">
        <f>13.7117 * CHOOSE(CONTROL!$C$32, $C$9, 100%, $E$9)</f>
        <v>13.7117</v>
      </c>
      <c r="N830" s="11">
        <f>13.7081 * CHOOSE(CONTROL!$C$32, $C$9, 100%, $E$9)</f>
        <v>13.7081</v>
      </c>
      <c r="O830" s="11">
        <f>13.7117 * CHOOSE(CONTROL!$C$32, $C$9, 100%, $E$9)</f>
        <v>13.7117</v>
      </c>
    </row>
    <row r="831" spans="1:15" ht="15" x14ac:dyDescent="0.2">
      <c r="A831" s="13">
        <v>66143</v>
      </c>
      <c r="B831" s="9">
        <f>12.189 * CHOOSE(CONTROL!$C$32, $C$9, 100%, $E$9)</f>
        <v>12.189</v>
      </c>
      <c r="C831" s="9">
        <f>12.189 * CHOOSE(CONTROL!$C$32, $C$9, 100%, $E$9)</f>
        <v>12.189</v>
      </c>
      <c r="D831" s="9">
        <f>12.19 * CHOOSE(CONTROL!$C$32, $C$9, 100%, $E$9)</f>
        <v>12.19</v>
      </c>
      <c r="E831" s="11">
        <f>13.3391 * CHOOSE(CONTROL!$C$32, $C$9, 100%, $E$9)</f>
        <v>13.3391</v>
      </c>
      <c r="F831" s="11">
        <f>13.3391 * CHOOSE(CONTROL!$C$32, $C$9, 100%, $E$9)</f>
        <v>13.3391</v>
      </c>
      <c r="G831" s="11">
        <f>13.3427 * CHOOSE(CONTROL!$C$32, $C$9, 100%, $E$9)</f>
        <v>13.342700000000001</v>
      </c>
      <c r="H831" s="11">
        <f>27.5141 * CHOOSE(CONTROL!$C$32, $C$9, 100%, $E$9)</f>
        <v>27.514099999999999</v>
      </c>
      <c r="I831" s="11">
        <f>27.5177 * CHOOSE(CONTROL!$C$32, $C$9, 100%, $E$9)</f>
        <v>27.517700000000001</v>
      </c>
      <c r="J831" s="11">
        <f>27.5141 * CHOOSE(CONTROL!$C$32, $C$9, 100%, $E$9)</f>
        <v>27.514099999999999</v>
      </c>
      <c r="K831" s="11">
        <f>27.5177 * CHOOSE(CONTROL!$C$32, $C$9, 100%, $E$9)</f>
        <v>27.517700000000001</v>
      </c>
      <c r="L831" s="11">
        <f>13.3391 * CHOOSE(CONTROL!$C$32, $C$9, 100%, $E$9)</f>
        <v>13.3391</v>
      </c>
      <c r="M831" s="11">
        <f>13.3427 * CHOOSE(CONTROL!$C$32, $C$9, 100%, $E$9)</f>
        <v>13.342700000000001</v>
      </c>
      <c r="N831" s="11">
        <f>13.3391 * CHOOSE(CONTROL!$C$32, $C$9, 100%, $E$9)</f>
        <v>13.3391</v>
      </c>
      <c r="O831" s="11">
        <f>13.3427 * CHOOSE(CONTROL!$C$32, $C$9, 100%, $E$9)</f>
        <v>13.342700000000001</v>
      </c>
    </row>
    <row r="832" spans="1:15" ht="15" x14ac:dyDescent="0.2">
      <c r="A832" s="13">
        <v>66171</v>
      </c>
      <c r="B832" s="9">
        <f>12.1859 * CHOOSE(CONTROL!$C$32, $C$9, 100%, $E$9)</f>
        <v>12.1859</v>
      </c>
      <c r="C832" s="9">
        <f>12.1859 * CHOOSE(CONTROL!$C$32, $C$9, 100%, $E$9)</f>
        <v>12.1859</v>
      </c>
      <c r="D832" s="9">
        <f>12.187 * CHOOSE(CONTROL!$C$32, $C$9, 100%, $E$9)</f>
        <v>12.186999999999999</v>
      </c>
      <c r="E832" s="11">
        <f>13.6262 * CHOOSE(CONTROL!$C$32, $C$9, 100%, $E$9)</f>
        <v>13.626200000000001</v>
      </c>
      <c r="F832" s="11">
        <f>13.6262 * CHOOSE(CONTROL!$C$32, $C$9, 100%, $E$9)</f>
        <v>13.626200000000001</v>
      </c>
      <c r="G832" s="11">
        <f>13.6298 * CHOOSE(CONTROL!$C$32, $C$9, 100%, $E$9)</f>
        <v>13.629799999999999</v>
      </c>
      <c r="H832" s="11">
        <f>27.5714 * CHOOSE(CONTROL!$C$32, $C$9, 100%, $E$9)</f>
        <v>27.571400000000001</v>
      </c>
      <c r="I832" s="11">
        <f>27.575 * CHOOSE(CONTROL!$C$32, $C$9, 100%, $E$9)</f>
        <v>27.574999999999999</v>
      </c>
      <c r="J832" s="11">
        <f>27.5714 * CHOOSE(CONTROL!$C$32, $C$9, 100%, $E$9)</f>
        <v>27.571400000000001</v>
      </c>
      <c r="K832" s="11">
        <f>27.575 * CHOOSE(CONTROL!$C$32, $C$9, 100%, $E$9)</f>
        <v>27.574999999999999</v>
      </c>
      <c r="L832" s="11">
        <f>13.6262 * CHOOSE(CONTROL!$C$32, $C$9, 100%, $E$9)</f>
        <v>13.626200000000001</v>
      </c>
      <c r="M832" s="11">
        <f>13.6298 * CHOOSE(CONTROL!$C$32, $C$9, 100%, $E$9)</f>
        <v>13.629799999999999</v>
      </c>
      <c r="N832" s="11">
        <f>13.6262 * CHOOSE(CONTROL!$C$32, $C$9, 100%, $E$9)</f>
        <v>13.626200000000001</v>
      </c>
      <c r="O832" s="11">
        <f>13.6298 * CHOOSE(CONTROL!$C$32, $C$9, 100%, $E$9)</f>
        <v>13.629799999999999</v>
      </c>
    </row>
    <row r="833" spans="1:15" ht="15" x14ac:dyDescent="0.2">
      <c r="A833" s="13">
        <v>66202</v>
      </c>
      <c r="B833" s="9">
        <f>12.1915 * CHOOSE(CONTROL!$C$32, $C$9, 100%, $E$9)</f>
        <v>12.1915</v>
      </c>
      <c r="C833" s="9">
        <f>12.1915 * CHOOSE(CONTROL!$C$32, $C$9, 100%, $E$9)</f>
        <v>12.1915</v>
      </c>
      <c r="D833" s="9">
        <f>12.1926 * CHOOSE(CONTROL!$C$32, $C$9, 100%, $E$9)</f>
        <v>12.192600000000001</v>
      </c>
      <c r="E833" s="11">
        <f>13.9325 * CHOOSE(CONTROL!$C$32, $C$9, 100%, $E$9)</f>
        <v>13.932499999999999</v>
      </c>
      <c r="F833" s="11">
        <f>13.9325 * CHOOSE(CONTROL!$C$32, $C$9, 100%, $E$9)</f>
        <v>13.932499999999999</v>
      </c>
      <c r="G833" s="11">
        <f>13.9361 * CHOOSE(CONTROL!$C$32, $C$9, 100%, $E$9)</f>
        <v>13.9361</v>
      </c>
      <c r="H833" s="11">
        <f>27.6288 * CHOOSE(CONTROL!$C$32, $C$9, 100%, $E$9)</f>
        <v>27.628799999999998</v>
      </c>
      <c r="I833" s="11">
        <f>27.6325 * CHOOSE(CONTROL!$C$32, $C$9, 100%, $E$9)</f>
        <v>27.6325</v>
      </c>
      <c r="J833" s="11">
        <f>27.6288 * CHOOSE(CONTROL!$C$32, $C$9, 100%, $E$9)</f>
        <v>27.628799999999998</v>
      </c>
      <c r="K833" s="11">
        <f>27.6325 * CHOOSE(CONTROL!$C$32, $C$9, 100%, $E$9)</f>
        <v>27.6325</v>
      </c>
      <c r="L833" s="11">
        <f>13.9325 * CHOOSE(CONTROL!$C$32, $C$9, 100%, $E$9)</f>
        <v>13.932499999999999</v>
      </c>
      <c r="M833" s="11">
        <f>13.9361 * CHOOSE(CONTROL!$C$32, $C$9, 100%, $E$9)</f>
        <v>13.9361</v>
      </c>
      <c r="N833" s="11">
        <f>13.9325 * CHOOSE(CONTROL!$C$32, $C$9, 100%, $E$9)</f>
        <v>13.932499999999999</v>
      </c>
      <c r="O833" s="11">
        <f>13.9361 * CHOOSE(CONTROL!$C$32, $C$9, 100%, $E$9)</f>
        <v>13.9361</v>
      </c>
    </row>
    <row r="834" spans="1:15" ht="15" x14ac:dyDescent="0.2">
      <c r="A834" s="13">
        <v>66232</v>
      </c>
      <c r="B834" s="9">
        <f>12.1915 * CHOOSE(CONTROL!$C$32, $C$9, 100%, $E$9)</f>
        <v>12.1915</v>
      </c>
      <c r="C834" s="9">
        <f>12.1915 * CHOOSE(CONTROL!$C$32, $C$9, 100%, $E$9)</f>
        <v>12.1915</v>
      </c>
      <c r="D834" s="9">
        <f>12.1931 * CHOOSE(CONTROL!$C$32, $C$9, 100%, $E$9)</f>
        <v>12.193099999999999</v>
      </c>
      <c r="E834" s="11">
        <f>14.049 * CHOOSE(CONTROL!$C$32, $C$9, 100%, $E$9)</f>
        <v>14.048999999999999</v>
      </c>
      <c r="F834" s="11">
        <f>14.049 * CHOOSE(CONTROL!$C$32, $C$9, 100%, $E$9)</f>
        <v>14.048999999999999</v>
      </c>
      <c r="G834" s="11">
        <f>14.0543 * CHOOSE(CONTROL!$C$32, $C$9, 100%, $E$9)</f>
        <v>14.0543</v>
      </c>
      <c r="H834" s="11">
        <f>27.6864 * CHOOSE(CONTROL!$C$32, $C$9, 100%, $E$9)</f>
        <v>27.686399999999999</v>
      </c>
      <c r="I834" s="11">
        <f>27.6917 * CHOOSE(CONTROL!$C$32, $C$9, 100%, $E$9)</f>
        <v>27.691700000000001</v>
      </c>
      <c r="J834" s="11">
        <f>27.6864 * CHOOSE(CONTROL!$C$32, $C$9, 100%, $E$9)</f>
        <v>27.686399999999999</v>
      </c>
      <c r="K834" s="11">
        <f>27.6917 * CHOOSE(CONTROL!$C$32, $C$9, 100%, $E$9)</f>
        <v>27.691700000000001</v>
      </c>
      <c r="L834" s="11">
        <f>14.049 * CHOOSE(CONTROL!$C$32, $C$9, 100%, $E$9)</f>
        <v>14.048999999999999</v>
      </c>
      <c r="M834" s="11">
        <f>14.0543 * CHOOSE(CONTROL!$C$32, $C$9, 100%, $E$9)</f>
        <v>14.0543</v>
      </c>
      <c r="N834" s="11">
        <f>14.049 * CHOOSE(CONTROL!$C$32, $C$9, 100%, $E$9)</f>
        <v>14.048999999999999</v>
      </c>
      <c r="O834" s="11">
        <f>14.0543 * CHOOSE(CONTROL!$C$32, $C$9, 100%, $E$9)</f>
        <v>14.0543</v>
      </c>
    </row>
    <row r="835" spans="1:15" ht="15" x14ac:dyDescent="0.2">
      <c r="A835" s="13">
        <v>66263</v>
      </c>
      <c r="B835" s="9">
        <f>12.1976 * CHOOSE(CONTROL!$C$32, $C$9, 100%, $E$9)</f>
        <v>12.1976</v>
      </c>
      <c r="C835" s="9">
        <f>12.1976 * CHOOSE(CONTROL!$C$32, $C$9, 100%, $E$9)</f>
        <v>12.1976</v>
      </c>
      <c r="D835" s="9">
        <f>12.1992 * CHOOSE(CONTROL!$C$32, $C$9, 100%, $E$9)</f>
        <v>12.199199999999999</v>
      </c>
      <c r="E835" s="11">
        <f>13.9368 * CHOOSE(CONTROL!$C$32, $C$9, 100%, $E$9)</f>
        <v>13.9368</v>
      </c>
      <c r="F835" s="11">
        <f>13.9368 * CHOOSE(CONTROL!$C$32, $C$9, 100%, $E$9)</f>
        <v>13.9368</v>
      </c>
      <c r="G835" s="11">
        <f>13.9421 * CHOOSE(CONTROL!$C$32, $C$9, 100%, $E$9)</f>
        <v>13.9421</v>
      </c>
      <c r="H835" s="11">
        <f>27.7441 * CHOOSE(CONTROL!$C$32, $C$9, 100%, $E$9)</f>
        <v>27.7441</v>
      </c>
      <c r="I835" s="11">
        <f>27.7494 * CHOOSE(CONTROL!$C$32, $C$9, 100%, $E$9)</f>
        <v>27.749400000000001</v>
      </c>
      <c r="J835" s="11">
        <f>27.7441 * CHOOSE(CONTROL!$C$32, $C$9, 100%, $E$9)</f>
        <v>27.7441</v>
      </c>
      <c r="K835" s="11">
        <f>27.7494 * CHOOSE(CONTROL!$C$32, $C$9, 100%, $E$9)</f>
        <v>27.749400000000001</v>
      </c>
      <c r="L835" s="11">
        <f>13.9368 * CHOOSE(CONTROL!$C$32, $C$9, 100%, $E$9)</f>
        <v>13.9368</v>
      </c>
      <c r="M835" s="11">
        <f>13.9421 * CHOOSE(CONTROL!$C$32, $C$9, 100%, $E$9)</f>
        <v>13.9421</v>
      </c>
      <c r="N835" s="11">
        <f>13.9368 * CHOOSE(CONTROL!$C$32, $C$9, 100%, $E$9)</f>
        <v>13.9368</v>
      </c>
      <c r="O835" s="11">
        <f>13.9421 * CHOOSE(CONTROL!$C$32, $C$9, 100%, $E$9)</f>
        <v>13.9421</v>
      </c>
    </row>
    <row r="836" spans="1:15" ht="15" x14ac:dyDescent="0.2">
      <c r="A836" s="13">
        <v>66293</v>
      </c>
      <c r="B836" s="9">
        <f>12.3461 * CHOOSE(CONTROL!$C$32, $C$9, 100%, $E$9)</f>
        <v>12.3461</v>
      </c>
      <c r="C836" s="9">
        <f>12.3461 * CHOOSE(CONTROL!$C$32, $C$9, 100%, $E$9)</f>
        <v>12.3461</v>
      </c>
      <c r="D836" s="9">
        <f>12.3477 * CHOOSE(CONTROL!$C$32, $C$9, 100%, $E$9)</f>
        <v>12.3477</v>
      </c>
      <c r="E836" s="11">
        <f>14.1337 * CHOOSE(CONTROL!$C$32, $C$9, 100%, $E$9)</f>
        <v>14.133699999999999</v>
      </c>
      <c r="F836" s="11">
        <f>14.1337 * CHOOSE(CONTROL!$C$32, $C$9, 100%, $E$9)</f>
        <v>14.133699999999999</v>
      </c>
      <c r="G836" s="11">
        <f>14.139 * CHOOSE(CONTROL!$C$32, $C$9, 100%, $E$9)</f>
        <v>14.138999999999999</v>
      </c>
      <c r="H836" s="11">
        <f>27.8019 * CHOOSE(CONTROL!$C$32, $C$9, 100%, $E$9)</f>
        <v>27.8019</v>
      </c>
      <c r="I836" s="11">
        <f>27.8072 * CHOOSE(CONTROL!$C$32, $C$9, 100%, $E$9)</f>
        <v>27.807200000000002</v>
      </c>
      <c r="J836" s="11">
        <f>27.8019 * CHOOSE(CONTROL!$C$32, $C$9, 100%, $E$9)</f>
        <v>27.8019</v>
      </c>
      <c r="K836" s="11">
        <f>27.8072 * CHOOSE(CONTROL!$C$32, $C$9, 100%, $E$9)</f>
        <v>27.807200000000002</v>
      </c>
      <c r="L836" s="11">
        <f>14.1337 * CHOOSE(CONTROL!$C$32, $C$9, 100%, $E$9)</f>
        <v>14.133699999999999</v>
      </c>
      <c r="M836" s="11">
        <f>14.139 * CHOOSE(CONTROL!$C$32, $C$9, 100%, $E$9)</f>
        <v>14.138999999999999</v>
      </c>
      <c r="N836" s="11">
        <f>14.1337 * CHOOSE(CONTROL!$C$32, $C$9, 100%, $E$9)</f>
        <v>14.133699999999999</v>
      </c>
      <c r="O836" s="11">
        <f>14.139 * CHOOSE(CONTROL!$C$32, $C$9, 100%, $E$9)</f>
        <v>14.138999999999999</v>
      </c>
    </row>
    <row r="837" spans="1:15" ht="15" x14ac:dyDescent="0.2">
      <c r="A837" s="13">
        <v>66324</v>
      </c>
      <c r="B837" s="9">
        <f>12.3528 * CHOOSE(CONTROL!$C$32, $C$9, 100%, $E$9)</f>
        <v>12.3528</v>
      </c>
      <c r="C837" s="9">
        <f>12.3528 * CHOOSE(CONTROL!$C$32, $C$9, 100%, $E$9)</f>
        <v>12.3528</v>
      </c>
      <c r="D837" s="9">
        <f>12.3544 * CHOOSE(CONTROL!$C$32, $C$9, 100%, $E$9)</f>
        <v>12.3544</v>
      </c>
      <c r="E837" s="11">
        <f>13.7889 * CHOOSE(CONTROL!$C$32, $C$9, 100%, $E$9)</f>
        <v>13.7889</v>
      </c>
      <c r="F837" s="11">
        <f>13.7889 * CHOOSE(CONTROL!$C$32, $C$9, 100%, $E$9)</f>
        <v>13.7889</v>
      </c>
      <c r="G837" s="11">
        <f>13.7942 * CHOOSE(CONTROL!$C$32, $C$9, 100%, $E$9)</f>
        <v>13.7942</v>
      </c>
      <c r="H837" s="11">
        <f>27.8598 * CHOOSE(CONTROL!$C$32, $C$9, 100%, $E$9)</f>
        <v>27.8598</v>
      </c>
      <c r="I837" s="11">
        <f>27.8651 * CHOOSE(CONTROL!$C$32, $C$9, 100%, $E$9)</f>
        <v>27.865100000000002</v>
      </c>
      <c r="J837" s="11">
        <f>27.8598 * CHOOSE(CONTROL!$C$32, $C$9, 100%, $E$9)</f>
        <v>27.8598</v>
      </c>
      <c r="K837" s="11">
        <f>27.8651 * CHOOSE(CONTROL!$C$32, $C$9, 100%, $E$9)</f>
        <v>27.865100000000002</v>
      </c>
      <c r="L837" s="11">
        <f>13.7889 * CHOOSE(CONTROL!$C$32, $C$9, 100%, $E$9)</f>
        <v>13.7889</v>
      </c>
      <c r="M837" s="11">
        <f>13.7942 * CHOOSE(CONTROL!$C$32, $C$9, 100%, $E$9)</f>
        <v>13.7942</v>
      </c>
      <c r="N837" s="11">
        <f>13.7889 * CHOOSE(CONTROL!$C$32, $C$9, 100%, $E$9)</f>
        <v>13.7889</v>
      </c>
      <c r="O837" s="11">
        <f>13.7942 * CHOOSE(CONTROL!$C$32, $C$9, 100%, $E$9)</f>
        <v>13.7942</v>
      </c>
    </row>
    <row r="838" spans="1:15" ht="15" x14ac:dyDescent="0.2">
      <c r="A838" s="13">
        <v>66355</v>
      </c>
      <c r="B838" s="9">
        <f>12.3497 * CHOOSE(CONTROL!$C$32, $C$9, 100%, $E$9)</f>
        <v>12.3497</v>
      </c>
      <c r="C838" s="9">
        <f>12.3497 * CHOOSE(CONTROL!$C$32, $C$9, 100%, $E$9)</f>
        <v>12.3497</v>
      </c>
      <c r="D838" s="9">
        <f>12.3513 * CHOOSE(CONTROL!$C$32, $C$9, 100%, $E$9)</f>
        <v>12.3513</v>
      </c>
      <c r="E838" s="11">
        <f>13.748 * CHOOSE(CONTROL!$C$32, $C$9, 100%, $E$9)</f>
        <v>13.747999999999999</v>
      </c>
      <c r="F838" s="11">
        <f>13.748 * CHOOSE(CONTROL!$C$32, $C$9, 100%, $E$9)</f>
        <v>13.747999999999999</v>
      </c>
      <c r="G838" s="11">
        <f>13.7533 * CHOOSE(CONTROL!$C$32, $C$9, 100%, $E$9)</f>
        <v>13.753299999999999</v>
      </c>
      <c r="H838" s="11">
        <f>27.9178 * CHOOSE(CONTROL!$C$32, $C$9, 100%, $E$9)</f>
        <v>27.9178</v>
      </c>
      <c r="I838" s="11">
        <f>27.9231 * CHOOSE(CONTROL!$C$32, $C$9, 100%, $E$9)</f>
        <v>27.923100000000002</v>
      </c>
      <c r="J838" s="11">
        <f>27.9178 * CHOOSE(CONTROL!$C$32, $C$9, 100%, $E$9)</f>
        <v>27.9178</v>
      </c>
      <c r="K838" s="11">
        <f>27.9231 * CHOOSE(CONTROL!$C$32, $C$9, 100%, $E$9)</f>
        <v>27.923100000000002</v>
      </c>
      <c r="L838" s="11">
        <f>13.748 * CHOOSE(CONTROL!$C$32, $C$9, 100%, $E$9)</f>
        <v>13.747999999999999</v>
      </c>
      <c r="M838" s="11">
        <f>13.7533 * CHOOSE(CONTROL!$C$32, $C$9, 100%, $E$9)</f>
        <v>13.753299999999999</v>
      </c>
      <c r="N838" s="11">
        <f>13.748 * CHOOSE(CONTROL!$C$32, $C$9, 100%, $E$9)</f>
        <v>13.747999999999999</v>
      </c>
      <c r="O838" s="11">
        <f>13.7533 * CHOOSE(CONTROL!$C$32, $C$9, 100%, $E$9)</f>
        <v>13.753299999999999</v>
      </c>
    </row>
    <row r="839" spans="1:15" ht="15" x14ac:dyDescent="0.2">
      <c r="A839" s="13">
        <v>66385</v>
      </c>
      <c r="B839" s="9">
        <f>12.376 * CHOOSE(CONTROL!$C$32, $C$9, 100%, $E$9)</f>
        <v>12.375999999999999</v>
      </c>
      <c r="C839" s="9">
        <f>12.376 * CHOOSE(CONTROL!$C$32, $C$9, 100%, $E$9)</f>
        <v>12.375999999999999</v>
      </c>
      <c r="D839" s="9">
        <f>12.3771 * CHOOSE(CONTROL!$C$32, $C$9, 100%, $E$9)</f>
        <v>12.3771</v>
      </c>
      <c r="E839" s="11">
        <f>13.8899 * CHOOSE(CONTROL!$C$32, $C$9, 100%, $E$9)</f>
        <v>13.889900000000001</v>
      </c>
      <c r="F839" s="11">
        <f>13.8899 * CHOOSE(CONTROL!$C$32, $C$9, 100%, $E$9)</f>
        <v>13.889900000000001</v>
      </c>
      <c r="G839" s="11">
        <f>13.8935 * CHOOSE(CONTROL!$C$32, $C$9, 100%, $E$9)</f>
        <v>13.8935</v>
      </c>
      <c r="H839" s="11">
        <f>27.976 * CHOOSE(CONTROL!$C$32, $C$9, 100%, $E$9)</f>
        <v>27.975999999999999</v>
      </c>
      <c r="I839" s="11">
        <f>27.9796 * CHOOSE(CONTROL!$C$32, $C$9, 100%, $E$9)</f>
        <v>27.979600000000001</v>
      </c>
      <c r="J839" s="11">
        <f>27.976 * CHOOSE(CONTROL!$C$32, $C$9, 100%, $E$9)</f>
        <v>27.975999999999999</v>
      </c>
      <c r="K839" s="11">
        <f>27.9796 * CHOOSE(CONTROL!$C$32, $C$9, 100%, $E$9)</f>
        <v>27.979600000000001</v>
      </c>
      <c r="L839" s="11">
        <f>13.8899 * CHOOSE(CONTROL!$C$32, $C$9, 100%, $E$9)</f>
        <v>13.889900000000001</v>
      </c>
      <c r="M839" s="11">
        <f>13.8935 * CHOOSE(CONTROL!$C$32, $C$9, 100%, $E$9)</f>
        <v>13.8935</v>
      </c>
      <c r="N839" s="11">
        <f>13.8899 * CHOOSE(CONTROL!$C$32, $C$9, 100%, $E$9)</f>
        <v>13.889900000000001</v>
      </c>
      <c r="O839" s="11">
        <f>13.8935 * CHOOSE(CONTROL!$C$32, $C$9, 100%, $E$9)</f>
        <v>13.8935</v>
      </c>
    </row>
    <row r="840" spans="1:15" ht="15" x14ac:dyDescent="0.2">
      <c r="A840" s="13">
        <v>66416</v>
      </c>
      <c r="B840" s="9">
        <f>12.379 * CHOOSE(CONTROL!$C$32, $C$9, 100%, $E$9)</f>
        <v>12.379</v>
      </c>
      <c r="C840" s="9">
        <f>12.379 * CHOOSE(CONTROL!$C$32, $C$9, 100%, $E$9)</f>
        <v>12.379</v>
      </c>
      <c r="D840" s="9">
        <f>12.3801 * CHOOSE(CONTROL!$C$32, $C$9, 100%, $E$9)</f>
        <v>12.380100000000001</v>
      </c>
      <c r="E840" s="11">
        <f>13.9696 * CHOOSE(CONTROL!$C$32, $C$9, 100%, $E$9)</f>
        <v>13.9696</v>
      </c>
      <c r="F840" s="11">
        <f>13.9696 * CHOOSE(CONTROL!$C$32, $C$9, 100%, $E$9)</f>
        <v>13.9696</v>
      </c>
      <c r="G840" s="11">
        <f>13.9732 * CHOOSE(CONTROL!$C$32, $C$9, 100%, $E$9)</f>
        <v>13.9732</v>
      </c>
      <c r="H840" s="11">
        <f>28.0343 * CHOOSE(CONTROL!$C$32, $C$9, 100%, $E$9)</f>
        <v>28.034300000000002</v>
      </c>
      <c r="I840" s="11">
        <f>28.0379 * CHOOSE(CONTROL!$C$32, $C$9, 100%, $E$9)</f>
        <v>28.0379</v>
      </c>
      <c r="J840" s="11">
        <f>28.0343 * CHOOSE(CONTROL!$C$32, $C$9, 100%, $E$9)</f>
        <v>28.034300000000002</v>
      </c>
      <c r="K840" s="11">
        <f>28.0379 * CHOOSE(CONTROL!$C$32, $C$9, 100%, $E$9)</f>
        <v>28.0379</v>
      </c>
      <c r="L840" s="11">
        <f>13.9696 * CHOOSE(CONTROL!$C$32, $C$9, 100%, $E$9)</f>
        <v>13.9696</v>
      </c>
      <c r="M840" s="11">
        <f>13.9732 * CHOOSE(CONTROL!$C$32, $C$9, 100%, $E$9)</f>
        <v>13.9732</v>
      </c>
      <c r="N840" s="11">
        <f>13.9696 * CHOOSE(CONTROL!$C$32, $C$9, 100%, $E$9)</f>
        <v>13.9696</v>
      </c>
      <c r="O840" s="11">
        <f>13.9732 * CHOOSE(CONTROL!$C$32, $C$9, 100%, $E$9)</f>
        <v>13.9732</v>
      </c>
    </row>
    <row r="841" spans="1:15" ht="15" x14ac:dyDescent="0.2">
      <c r="A841" s="13">
        <v>66446</v>
      </c>
      <c r="B841" s="9">
        <f>12.379 * CHOOSE(CONTROL!$C$32, $C$9, 100%, $E$9)</f>
        <v>12.379</v>
      </c>
      <c r="C841" s="9">
        <f>12.379 * CHOOSE(CONTROL!$C$32, $C$9, 100%, $E$9)</f>
        <v>12.379</v>
      </c>
      <c r="D841" s="9">
        <f>12.3801 * CHOOSE(CONTROL!$C$32, $C$9, 100%, $E$9)</f>
        <v>12.380100000000001</v>
      </c>
      <c r="E841" s="11">
        <f>13.7755 * CHOOSE(CONTROL!$C$32, $C$9, 100%, $E$9)</f>
        <v>13.775499999999999</v>
      </c>
      <c r="F841" s="11">
        <f>13.7755 * CHOOSE(CONTROL!$C$32, $C$9, 100%, $E$9)</f>
        <v>13.775499999999999</v>
      </c>
      <c r="G841" s="11">
        <f>13.7791 * CHOOSE(CONTROL!$C$32, $C$9, 100%, $E$9)</f>
        <v>13.7791</v>
      </c>
      <c r="H841" s="11">
        <f>28.0927 * CHOOSE(CONTROL!$C$32, $C$9, 100%, $E$9)</f>
        <v>28.092700000000001</v>
      </c>
      <c r="I841" s="11">
        <f>28.0963 * CHOOSE(CONTROL!$C$32, $C$9, 100%, $E$9)</f>
        <v>28.096299999999999</v>
      </c>
      <c r="J841" s="11">
        <f>28.0927 * CHOOSE(CONTROL!$C$32, $C$9, 100%, $E$9)</f>
        <v>28.092700000000001</v>
      </c>
      <c r="K841" s="11">
        <f>28.0963 * CHOOSE(CONTROL!$C$32, $C$9, 100%, $E$9)</f>
        <v>28.096299999999999</v>
      </c>
      <c r="L841" s="11">
        <f>13.7755 * CHOOSE(CONTROL!$C$32, $C$9, 100%, $E$9)</f>
        <v>13.775499999999999</v>
      </c>
      <c r="M841" s="11">
        <f>13.7791 * CHOOSE(CONTROL!$C$32, $C$9, 100%, $E$9)</f>
        <v>13.7791</v>
      </c>
      <c r="N841" s="11">
        <f>13.7755 * CHOOSE(CONTROL!$C$32, $C$9, 100%, $E$9)</f>
        <v>13.775499999999999</v>
      </c>
      <c r="O841" s="11">
        <f>13.7791 * CHOOSE(CONTROL!$C$32, $C$9, 100%, $E$9)</f>
        <v>13.7791</v>
      </c>
    </row>
    <row r="842" spans="1:15" ht="15" x14ac:dyDescent="0.2">
      <c r="A842" s="13">
        <v>66477</v>
      </c>
      <c r="B842" s="9">
        <f>12.3794 * CHOOSE(CONTROL!$C$32, $C$9, 100%, $E$9)</f>
        <v>12.3794</v>
      </c>
      <c r="C842" s="9">
        <f>12.3794 * CHOOSE(CONTROL!$C$32, $C$9, 100%, $E$9)</f>
        <v>12.3794</v>
      </c>
      <c r="D842" s="9">
        <f>12.3804 * CHOOSE(CONTROL!$C$32, $C$9, 100%, $E$9)</f>
        <v>12.3804</v>
      </c>
      <c r="E842" s="11">
        <f>13.9206 * CHOOSE(CONTROL!$C$32, $C$9, 100%, $E$9)</f>
        <v>13.9206</v>
      </c>
      <c r="F842" s="11">
        <f>13.9206 * CHOOSE(CONTROL!$C$32, $C$9, 100%, $E$9)</f>
        <v>13.9206</v>
      </c>
      <c r="G842" s="11">
        <f>13.9242 * CHOOSE(CONTROL!$C$32, $C$9, 100%, $E$9)</f>
        <v>13.924200000000001</v>
      </c>
      <c r="H842" s="11">
        <f>27.9104 * CHOOSE(CONTROL!$C$32, $C$9, 100%, $E$9)</f>
        <v>27.910399999999999</v>
      </c>
      <c r="I842" s="11">
        <f>27.914 * CHOOSE(CONTROL!$C$32, $C$9, 100%, $E$9)</f>
        <v>27.914000000000001</v>
      </c>
      <c r="J842" s="11">
        <f>27.9104 * CHOOSE(CONTROL!$C$32, $C$9, 100%, $E$9)</f>
        <v>27.910399999999999</v>
      </c>
      <c r="K842" s="11">
        <f>27.914 * CHOOSE(CONTROL!$C$32, $C$9, 100%, $E$9)</f>
        <v>27.914000000000001</v>
      </c>
      <c r="L842" s="11">
        <f>13.9206 * CHOOSE(CONTROL!$C$32, $C$9, 100%, $E$9)</f>
        <v>13.9206</v>
      </c>
      <c r="M842" s="11">
        <f>13.9242 * CHOOSE(CONTROL!$C$32, $C$9, 100%, $E$9)</f>
        <v>13.924200000000001</v>
      </c>
      <c r="N842" s="11">
        <f>13.9206 * CHOOSE(CONTROL!$C$32, $C$9, 100%, $E$9)</f>
        <v>13.9206</v>
      </c>
      <c r="O842" s="11">
        <f>13.9242 * CHOOSE(CONTROL!$C$32, $C$9, 100%, $E$9)</f>
        <v>13.924200000000001</v>
      </c>
    </row>
    <row r="843" spans="1:15" ht="15" x14ac:dyDescent="0.2">
      <c r="A843" s="13">
        <v>66508</v>
      </c>
      <c r="B843" s="9">
        <f>12.3763 * CHOOSE(CONTROL!$C$32, $C$9, 100%, $E$9)</f>
        <v>12.376300000000001</v>
      </c>
      <c r="C843" s="9">
        <f>12.3763 * CHOOSE(CONTROL!$C$32, $C$9, 100%, $E$9)</f>
        <v>12.376300000000001</v>
      </c>
      <c r="D843" s="9">
        <f>12.3774 * CHOOSE(CONTROL!$C$32, $C$9, 100%, $E$9)</f>
        <v>12.3774</v>
      </c>
      <c r="E843" s="11">
        <f>13.5445 * CHOOSE(CONTROL!$C$32, $C$9, 100%, $E$9)</f>
        <v>13.544499999999999</v>
      </c>
      <c r="F843" s="11">
        <f>13.5445 * CHOOSE(CONTROL!$C$32, $C$9, 100%, $E$9)</f>
        <v>13.544499999999999</v>
      </c>
      <c r="G843" s="11">
        <f>13.5481 * CHOOSE(CONTROL!$C$32, $C$9, 100%, $E$9)</f>
        <v>13.5481</v>
      </c>
      <c r="H843" s="11">
        <f>27.9685 * CHOOSE(CONTROL!$C$32, $C$9, 100%, $E$9)</f>
        <v>27.968499999999999</v>
      </c>
      <c r="I843" s="11">
        <f>27.9721 * CHOOSE(CONTROL!$C$32, $C$9, 100%, $E$9)</f>
        <v>27.972100000000001</v>
      </c>
      <c r="J843" s="11">
        <f>27.9685 * CHOOSE(CONTROL!$C$32, $C$9, 100%, $E$9)</f>
        <v>27.968499999999999</v>
      </c>
      <c r="K843" s="11">
        <f>27.9721 * CHOOSE(CONTROL!$C$32, $C$9, 100%, $E$9)</f>
        <v>27.972100000000001</v>
      </c>
      <c r="L843" s="11">
        <f>13.5445 * CHOOSE(CONTROL!$C$32, $C$9, 100%, $E$9)</f>
        <v>13.544499999999999</v>
      </c>
      <c r="M843" s="11">
        <f>13.5481 * CHOOSE(CONTROL!$C$32, $C$9, 100%, $E$9)</f>
        <v>13.5481</v>
      </c>
      <c r="N843" s="11">
        <f>13.5445 * CHOOSE(CONTROL!$C$32, $C$9, 100%, $E$9)</f>
        <v>13.544499999999999</v>
      </c>
      <c r="O843" s="11">
        <f>13.5481 * CHOOSE(CONTROL!$C$32, $C$9, 100%, $E$9)</f>
        <v>13.5481</v>
      </c>
    </row>
    <row r="844" spans="1:15" ht="15" x14ac:dyDescent="0.2">
      <c r="A844" s="13">
        <v>66536</v>
      </c>
      <c r="B844" s="9">
        <f>12.3733 * CHOOSE(CONTROL!$C$32, $C$9, 100%, $E$9)</f>
        <v>12.3733</v>
      </c>
      <c r="C844" s="9">
        <f>12.3733 * CHOOSE(CONTROL!$C$32, $C$9, 100%, $E$9)</f>
        <v>12.3733</v>
      </c>
      <c r="D844" s="9">
        <f>12.3744 * CHOOSE(CONTROL!$C$32, $C$9, 100%, $E$9)</f>
        <v>12.3744</v>
      </c>
      <c r="E844" s="11">
        <f>13.8372 * CHOOSE(CONTROL!$C$32, $C$9, 100%, $E$9)</f>
        <v>13.837199999999999</v>
      </c>
      <c r="F844" s="11">
        <f>13.8372 * CHOOSE(CONTROL!$C$32, $C$9, 100%, $E$9)</f>
        <v>13.837199999999999</v>
      </c>
      <c r="G844" s="11">
        <f>13.8408 * CHOOSE(CONTROL!$C$32, $C$9, 100%, $E$9)</f>
        <v>13.8408</v>
      </c>
      <c r="H844" s="11">
        <f>28.0268 * CHOOSE(CONTROL!$C$32, $C$9, 100%, $E$9)</f>
        <v>28.026800000000001</v>
      </c>
      <c r="I844" s="11">
        <f>28.0304 * CHOOSE(CONTROL!$C$32, $C$9, 100%, $E$9)</f>
        <v>28.0304</v>
      </c>
      <c r="J844" s="11">
        <f>28.0268 * CHOOSE(CONTROL!$C$32, $C$9, 100%, $E$9)</f>
        <v>28.026800000000001</v>
      </c>
      <c r="K844" s="11">
        <f>28.0304 * CHOOSE(CONTROL!$C$32, $C$9, 100%, $E$9)</f>
        <v>28.0304</v>
      </c>
      <c r="L844" s="11">
        <f>13.8372 * CHOOSE(CONTROL!$C$32, $C$9, 100%, $E$9)</f>
        <v>13.837199999999999</v>
      </c>
      <c r="M844" s="11">
        <f>13.8408 * CHOOSE(CONTROL!$C$32, $C$9, 100%, $E$9)</f>
        <v>13.8408</v>
      </c>
      <c r="N844" s="11">
        <f>13.8372 * CHOOSE(CONTROL!$C$32, $C$9, 100%, $E$9)</f>
        <v>13.837199999999999</v>
      </c>
      <c r="O844" s="11">
        <f>13.8408 * CHOOSE(CONTROL!$C$32, $C$9, 100%, $E$9)</f>
        <v>13.8408</v>
      </c>
    </row>
    <row r="845" spans="1:15" ht="15" x14ac:dyDescent="0.2">
      <c r="A845" s="13">
        <v>66567</v>
      </c>
      <c r="B845" s="9">
        <f>12.3791 * CHOOSE(CONTROL!$C$32, $C$9, 100%, $E$9)</f>
        <v>12.379099999999999</v>
      </c>
      <c r="C845" s="9">
        <f>12.3791 * CHOOSE(CONTROL!$C$32, $C$9, 100%, $E$9)</f>
        <v>12.379099999999999</v>
      </c>
      <c r="D845" s="9">
        <f>12.3801 * CHOOSE(CONTROL!$C$32, $C$9, 100%, $E$9)</f>
        <v>12.380100000000001</v>
      </c>
      <c r="E845" s="11">
        <f>14.1495 * CHOOSE(CONTROL!$C$32, $C$9, 100%, $E$9)</f>
        <v>14.1495</v>
      </c>
      <c r="F845" s="11">
        <f>14.1495 * CHOOSE(CONTROL!$C$32, $C$9, 100%, $E$9)</f>
        <v>14.1495</v>
      </c>
      <c r="G845" s="11">
        <f>14.1532 * CHOOSE(CONTROL!$C$32, $C$9, 100%, $E$9)</f>
        <v>14.1532</v>
      </c>
      <c r="H845" s="11">
        <f>28.0852 * CHOOSE(CONTROL!$C$32, $C$9, 100%, $E$9)</f>
        <v>28.0852</v>
      </c>
      <c r="I845" s="11">
        <f>28.0888 * CHOOSE(CONTROL!$C$32, $C$9, 100%, $E$9)</f>
        <v>28.088799999999999</v>
      </c>
      <c r="J845" s="11">
        <f>28.0852 * CHOOSE(CONTROL!$C$32, $C$9, 100%, $E$9)</f>
        <v>28.0852</v>
      </c>
      <c r="K845" s="11">
        <f>28.0888 * CHOOSE(CONTROL!$C$32, $C$9, 100%, $E$9)</f>
        <v>28.088799999999999</v>
      </c>
      <c r="L845" s="11">
        <f>14.1495 * CHOOSE(CONTROL!$C$32, $C$9, 100%, $E$9)</f>
        <v>14.1495</v>
      </c>
      <c r="M845" s="11">
        <f>14.1532 * CHOOSE(CONTROL!$C$32, $C$9, 100%, $E$9)</f>
        <v>14.1532</v>
      </c>
      <c r="N845" s="11">
        <f>14.1495 * CHOOSE(CONTROL!$C$32, $C$9, 100%, $E$9)</f>
        <v>14.1495</v>
      </c>
      <c r="O845" s="11">
        <f>14.1532 * CHOOSE(CONTROL!$C$32, $C$9, 100%, $E$9)</f>
        <v>14.1532</v>
      </c>
    </row>
    <row r="846" spans="1:15" ht="15" x14ac:dyDescent="0.2">
      <c r="A846" s="13">
        <v>66597</v>
      </c>
      <c r="B846" s="9">
        <f>12.3791 * CHOOSE(CONTROL!$C$32, $C$9, 100%, $E$9)</f>
        <v>12.379099999999999</v>
      </c>
      <c r="C846" s="9">
        <f>12.3791 * CHOOSE(CONTROL!$C$32, $C$9, 100%, $E$9)</f>
        <v>12.379099999999999</v>
      </c>
      <c r="D846" s="9">
        <f>12.3806 * CHOOSE(CONTROL!$C$32, $C$9, 100%, $E$9)</f>
        <v>12.380599999999999</v>
      </c>
      <c r="E846" s="11">
        <f>14.2683 * CHOOSE(CONTROL!$C$32, $C$9, 100%, $E$9)</f>
        <v>14.2683</v>
      </c>
      <c r="F846" s="11">
        <f>14.2683 * CHOOSE(CONTROL!$C$32, $C$9, 100%, $E$9)</f>
        <v>14.2683</v>
      </c>
      <c r="G846" s="11">
        <f>14.2736 * CHOOSE(CONTROL!$C$32, $C$9, 100%, $E$9)</f>
        <v>14.2736</v>
      </c>
      <c r="H846" s="11">
        <f>28.1437 * CHOOSE(CONTROL!$C$32, $C$9, 100%, $E$9)</f>
        <v>28.143699999999999</v>
      </c>
      <c r="I846" s="11">
        <f>28.149 * CHOOSE(CONTROL!$C$32, $C$9, 100%, $E$9)</f>
        <v>28.149000000000001</v>
      </c>
      <c r="J846" s="11">
        <f>28.1437 * CHOOSE(CONTROL!$C$32, $C$9, 100%, $E$9)</f>
        <v>28.143699999999999</v>
      </c>
      <c r="K846" s="11">
        <f>28.149 * CHOOSE(CONTROL!$C$32, $C$9, 100%, $E$9)</f>
        <v>28.149000000000001</v>
      </c>
      <c r="L846" s="11">
        <f>14.2683 * CHOOSE(CONTROL!$C$32, $C$9, 100%, $E$9)</f>
        <v>14.2683</v>
      </c>
      <c r="M846" s="11">
        <f>14.2736 * CHOOSE(CONTROL!$C$32, $C$9, 100%, $E$9)</f>
        <v>14.2736</v>
      </c>
      <c r="N846" s="11">
        <f>14.2683 * CHOOSE(CONTROL!$C$32, $C$9, 100%, $E$9)</f>
        <v>14.2683</v>
      </c>
      <c r="O846" s="11">
        <f>14.2736 * CHOOSE(CONTROL!$C$32, $C$9, 100%, $E$9)</f>
        <v>14.2736</v>
      </c>
    </row>
    <row r="847" spans="1:15" ht="15" x14ac:dyDescent="0.2">
      <c r="A847" s="13">
        <v>66628</v>
      </c>
      <c r="B847" s="9">
        <f>12.3851 * CHOOSE(CONTROL!$C$32, $C$9, 100%, $E$9)</f>
        <v>12.3851</v>
      </c>
      <c r="C847" s="9">
        <f>12.3851 * CHOOSE(CONTROL!$C$32, $C$9, 100%, $E$9)</f>
        <v>12.3851</v>
      </c>
      <c r="D847" s="9">
        <f>12.3867 * CHOOSE(CONTROL!$C$32, $C$9, 100%, $E$9)</f>
        <v>12.386699999999999</v>
      </c>
      <c r="E847" s="11">
        <f>14.1538 * CHOOSE(CONTROL!$C$32, $C$9, 100%, $E$9)</f>
        <v>14.1538</v>
      </c>
      <c r="F847" s="11">
        <f>14.1538 * CHOOSE(CONTROL!$C$32, $C$9, 100%, $E$9)</f>
        <v>14.1538</v>
      </c>
      <c r="G847" s="11">
        <f>14.1591 * CHOOSE(CONTROL!$C$32, $C$9, 100%, $E$9)</f>
        <v>14.1591</v>
      </c>
      <c r="H847" s="11">
        <f>28.2023 * CHOOSE(CONTROL!$C$32, $C$9, 100%, $E$9)</f>
        <v>28.202300000000001</v>
      </c>
      <c r="I847" s="11">
        <f>28.2076 * CHOOSE(CONTROL!$C$32, $C$9, 100%, $E$9)</f>
        <v>28.207599999999999</v>
      </c>
      <c r="J847" s="11">
        <f>28.2023 * CHOOSE(CONTROL!$C$32, $C$9, 100%, $E$9)</f>
        <v>28.202300000000001</v>
      </c>
      <c r="K847" s="11">
        <f>28.2076 * CHOOSE(CONTROL!$C$32, $C$9, 100%, $E$9)</f>
        <v>28.207599999999999</v>
      </c>
      <c r="L847" s="11">
        <f>14.1538 * CHOOSE(CONTROL!$C$32, $C$9, 100%, $E$9)</f>
        <v>14.1538</v>
      </c>
      <c r="M847" s="11">
        <f>14.1591 * CHOOSE(CONTROL!$C$32, $C$9, 100%, $E$9)</f>
        <v>14.1591</v>
      </c>
      <c r="N847" s="11">
        <f>14.1538 * CHOOSE(CONTROL!$C$32, $C$9, 100%, $E$9)</f>
        <v>14.1538</v>
      </c>
      <c r="O847" s="11">
        <f>14.1591 * CHOOSE(CONTROL!$C$32, $C$9, 100%, $E$9)</f>
        <v>14.1591</v>
      </c>
    </row>
    <row r="848" spans="1:15" ht="15" x14ac:dyDescent="0.2">
      <c r="A848" s="13">
        <v>66658</v>
      </c>
      <c r="B848" s="9">
        <f>12.5357 * CHOOSE(CONTROL!$C$32, $C$9, 100%, $E$9)</f>
        <v>12.5357</v>
      </c>
      <c r="C848" s="9">
        <f>12.5357 * CHOOSE(CONTROL!$C$32, $C$9, 100%, $E$9)</f>
        <v>12.5357</v>
      </c>
      <c r="D848" s="9">
        <f>12.5373 * CHOOSE(CONTROL!$C$32, $C$9, 100%, $E$9)</f>
        <v>12.5373</v>
      </c>
      <c r="E848" s="11">
        <f>14.3539 * CHOOSE(CONTROL!$C$32, $C$9, 100%, $E$9)</f>
        <v>14.353899999999999</v>
      </c>
      <c r="F848" s="11">
        <f>14.3539 * CHOOSE(CONTROL!$C$32, $C$9, 100%, $E$9)</f>
        <v>14.353899999999999</v>
      </c>
      <c r="G848" s="11">
        <f>14.3591 * CHOOSE(CONTROL!$C$32, $C$9, 100%, $E$9)</f>
        <v>14.3591</v>
      </c>
      <c r="H848" s="11">
        <f>28.2611 * CHOOSE(CONTROL!$C$32, $C$9, 100%, $E$9)</f>
        <v>28.261099999999999</v>
      </c>
      <c r="I848" s="11">
        <f>28.2664 * CHOOSE(CONTROL!$C$32, $C$9, 100%, $E$9)</f>
        <v>28.266400000000001</v>
      </c>
      <c r="J848" s="11">
        <f>28.2611 * CHOOSE(CONTROL!$C$32, $C$9, 100%, $E$9)</f>
        <v>28.261099999999999</v>
      </c>
      <c r="K848" s="11">
        <f>28.2664 * CHOOSE(CONTROL!$C$32, $C$9, 100%, $E$9)</f>
        <v>28.266400000000001</v>
      </c>
      <c r="L848" s="11">
        <f>14.3539 * CHOOSE(CONTROL!$C$32, $C$9, 100%, $E$9)</f>
        <v>14.353899999999999</v>
      </c>
      <c r="M848" s="11">
        <f>14.3591 * CHOOSE(CONTROL!$C$32, $C$9, 100%, $E$9)</f>
        <v>14.3591</v>
      </c>
      <c r="N848" s="11">
        <f>14.3539 * CHOOSE(CONTROL!$C$32, $C$9, 100%, $E$9)</f>
        <v>14.353899999999999</v>
      </c>
      <c r="O848" s="11">
        <f>14.3591 * CHOOSE(CONTROL!$C$32, $C$9, 100%, $E$9)</f>
        <v>14.3591</v>
      </c>
    </row>
    <row r="849" spans="1:15" ht="15" x14ac:dyDescent="0.2">
      <c r="A849" s="13">
        <v>66689</v>
      </c>
      <c r="B849" s="9">
        <f>12.5424 * CHOOSE(CONTROL!$C$32, $C$9, 100%, $E$9)</f>
        <v>12.542400000000001</v>
      </c>
      <c r="C849" s="9">
        <f>12.5424 * CHOOSE(CONTROL!$C$32, $C$9, 100%, $E$9)</f>
        <v>12.542400000000001</v>
      </c>
      <c r="D849" s="9">
        <f>12.544 * CHOOSE(CONTROL!$C$32, $C$9, 100%, $E$9)</f>
        <v>12.544</v>
      </c>
      <c r="E849" s="11">
        <f>14.0024 * CHOOSE(CONTROL!$C$32, $C$9, 100%, $E$9)</f>
        <v>14.0024</v>
      </c>
      <c r="F849" s="11">
        <f>14.0024 * CHOOSE(CONTROL!$C$32, $C$9, 100%, $E$9)</f>
        <v>14.0024</v>
      </c>
      <c r="G849" s="11">
        <f>14.0076 * CHOOSE(CONTROL!$C$32, $C$9, 100%, $E$9)</f>
        <v>14.0076</v>
      </c>
      <c r="H849" s="11">
        <f>28.32 * CHOOSE(CONTROL!$C$32, $C$9, 100%, $E$9)</f>
        <v>28.32</v>
      </c>
      <c r="I849" s="11">
        <f>28.3253 * CHOOSE(CONTROL!$C$32, $C$9, 100%, $E$9)</f>
        <v>28.325299999999999</v>
      </c>
      <c r="J849" s="11">
        <f>28.32 * CHOOSE(CONTROL!$C$32, $C$9, 100%, $E$9)</f>
        <v>28.32</v>
      </c>
      <c r="K849" s="11">
        <f>28.3253 * CHOOSE(CONTROL!$C$32, $C$9, 100%, $E$9)</f>
        <v>28.325299999999999</v>
      </c>
      <c r="L849" s="11">
        <f>14.0024 * CHOOSE(CONTROL!$C$32, $C$9, 100%, $E$9)</f>
        <v>14.0024</v>
      </c>
      <c r="M849" s="11">
        <f>14.0076 * CHOOSE(CONTROL!$C$32, $C$9, 100%, $E$9)</f>
        <v>14.0076</v>
      </c>
      <c r="N849" s="11">
        <f>14.0024 * CHOOSE(CONTROL!$C$32, $C$9, 100%, $E$9)</f>
        <v>14.0024</v>
      </c>
      <c r="O849" s="11">
        <f>14.0076 * CHOOSE(CONTROL!$C$32, $C$9, 100%, $E$9)</f>
        <v>14.0076</v>
      </c>
    </row>
    <row r="850" spans="1:15" ht="15" x14ac:dyDescent="0.2">
      <c r="A850" s="13">
        <v>66720</v>
      </c>
      <c r="B850" s="9">
        <f>12.5393 * CHOOSE(CONTROL!$C$32, $C$9, 100%, $E$9)</f>
        <v>12.539300000000001</v>
      </c>
      <c r="C850" s="9">
        <f>12.5393 * CHOOSE(CONTROL!$C$32, $C$9, 100%, $E$9)</f>
        <v>12.539300000000001</v>
      </c>
      <c r="D850" s="9">
        <f>12.5409 * CHOOSE(CONTROL!$C$32, $C$9, 100%, $E$9)</f>
        <v>12.540900000000001</v>
      </c>
      <c r="E850" s="11">
        <f>13.9607 * CHOOSE(CONTROL!$C$32, $C$9, 100%, $E$9)</f>
        <v>13.960699999999999</v>
      </c>
      <c r="F850" s="11">
        <f>13.9607 * CHOOSE(CONTROL!$C$32, $C$9, 100%, $E$9)</f>
        <v>13.960699999999999</v>
      </c>
      <c r="G850" s="11">
        <f>13.966 * CHOOSE(CONTROL!$C$32, $C$9, 100%, $E$9)</f>
        <v>13.965999999999999</v>
      </c>
      <c r="H850" s="11">
        <f>28.379 * CHOOSE(CONTROL!$C$32, $C$9, 100%, $E$9)</f>
        <v>28.379000000000001</v>
      </c>
      <c r="I850" s="11">
        <f>28.3843 * CHOOSE(CONTROL!$C$32, $C$9, 100%, $E$9)</f>
        <v>28.3843</v>
      </c>
      <c r="J850" s="11">
        <f>28.379 * CHOOSE(CONTROL!$C$32, $C$9, 100%, $E$9)</f>
        <v>28.379000000000001</v>
      </c>
      <c r="K850" s="11">
        <f>28.3843 * CHOOSE(CONTROL!$C$32, $C$9, 100%, $E$9)</f>
        <v>28.3843</v>
      </c>
      <c r="L850" s="11">
        <f>13.9607 * CHOOSE(CONTROL!$C$32, $C$9, 100%, $E$9)</f>
        <v>13.960699999999999</v>
      </c>
      <c r="M850" s="11">
        <f>13.966 * CHOOSE(CONTROL!$C$32, $C$9, 100%, $E$9)</f>
        <v>13.965999999999999</v>
      </c>
      <c r="N850" s="11">
        <f>13.9607 * CHOOSE(CONTROL!$C$32, $C$9, 100%, $E$9)</f>
        <v>13.960699999999999</v>
      </c>
      <c r="O850" s="11">
        <f>13.966 * CHOOSE(CONTROL!$C$32, $C$9, 100%, $E$9)</f>
        <v>13.965999999999999</v>
      </c>
    </row>
    <row r="851" spans="1:15" ht="15" x14ac:dyDescent="0.2">
      <c r="A851" s="13">
        <v>66750</v>
      </c>
      <c r="B851" s="9">
        <f>12.5663 * CHOOSE(CONTROL!$C$32, $C$9, 100%, $E$9)</f>
        <v>12.5663</v>
      </c>
      <c r="C851" s="9">
        <f>12.5663 * CHOOSE(CONTROL!$C$32, $C$9, 100%, $E$9)</f>
        <v>12.5663</v>
      </c>
      <c r="D851" s="9">
        <f>12.5674 * CHOOSE(CONTROL!$C$32, $C$9, 100%, $E$9)</f>
        <v>12.567399999999999</v>
      </c>
      <c r="E851" s="11">
        <f>14.1055 * CHOOSE(CONTROL!$C$32, $C$9, 100%, $E$9)</f>
        <v>14.105499999999999</v>
      </c>
      <c r="F851" s="11">
        <f>14.1055 * CHOOSE(CONTROL!$C$32, $C$9, 100%, $E$9)</f>
        <v>14.105499999999999</v>
      </c>
      <c r="G851" s="11">
        <f>14.1092 * CHOOSE(CONTROL!$C$32, $C$9, 100%, $E$9)</f>
        <v>14.1092</v>
      </c>
      <c r="H851" s="11">
        <f>28.4381 * CHOOSE(CONTROL!$C$32, $C$9, 100%, $E$9)</f>
        <v>28.438099999999999</v>
      </c>
      <c r="I851" s="11">
        <f>28.4417 * CHOOSE(CONTROL!$C$32, $C$9, 100%, $E$9)</f>
        <v>28.441700000000001</v>
      </c>
      <c r="J851" s="11">
        <f>28.4381 * CHOOSE(CONTROL!$C$32, $C$9, 100%, $E$9)</f>
        <v>28.438099999999999</v>
      </c>
      <c r="K851" s="11">
        <f>28.4417 * CHOOSE(CONTROL!$C$32, $C$9, 100%, $E$9)</f>
        <v>28.441700000000001</v>
      </c>
      <c r="L851" s="11">
        <f>14.1055 * CHOOSE(CONTROL!$C$32, $C$9, 100%, $E$9)</f>
        <v>14.105499999999999</v>
      </c>
      <c r="M851" s="11">
        <f>14.1092 * CHOOSE(CONTROL!$C$32, $C$9, 100%, $E$9)</f>
        <v>14.1092</v>
      </c>
      <c r="N851" s="11">
        <f>14.1055 * CHOOSE(CONTROL!$C$32, $C$9, 100%, $E$9)</f>
        <v>14.105499999999999</v>
      </c>
      <c r="O851" s="11">
        <f>14.1092 * CHOOSE(CONTROL!$C$32, $C$9, 100%, $E$9)</f>
        <v>14.1092</v>
      </c>
    </row>
    <row r="852" spans="1:15" ht="15" x14ac:dyDescent="0.2">
      <c r="A852" s="13">
        <v>66781</v>
      </c>
      <c r="B852" s="9">
        <f>12.5694 * CHOOSE(CONTROL!$C$32, $C$9, 100%, $E$9)</f>
        <v>12.5694</v>
      </c>
      <c r="C852" s="9">
        <f>12.5694 * CHOOSE(CONTROL!$C$32, $C$9, 100%, $E$9)</f>
        <v>12.5694</v>
      </c>
      <c r="D852" s="9">
        <f>12.5704 * CHOOSE(CONTROL!$C$32, $C$9, 100%, $E$9)</f>
        <v>12.570399999999999</v>
      </c>
      <c r="E852" s="11">
        <f>14.1868 * CHOOSE(CONTROL!$C$32, $C$9, 100%, $E$9)</f>
        <v>14.1868</v>
      </c>
      <c r="F852" s="11">
        <f>14.1868 * CHOOSE(CONTROL!$C$32, $C$9, 100%, $E$9)</f>
        <v>14.1868</v>
      </c>
      <c r="G852" s="11">
        <f>14.1904 * CHOOSE(CONTROL!$C$32, $C$9, 100%, $E$9)</f>
        <v>14.1904</v>
      </c>
      <c r="H852" s="11">
        <f>28.4973 * CHOOSE(CONTROL!$C$32, $C$9, 100%, $E$9)</f>
        <v>28.497299999999999</v>
      </c>
      <c r="I852" s="11">
        <f>28.5009 * CHOOSE(CONTROL!$C$32, $C$9, 100%, $E$9)</f>
        <v>28.500900000000001</v>
      </c>
      <c r="J852" s="11">
        <f>28.4973 * CHOOSE(CONTROL!$C$32, $C$9, 100%, $E$9)</f>
        <v>28.497299999999999</v>
      </c>
      <c r="K852" s="11">
        <f>28.5009 * CHOOSE(CONTROL!$C$32, $C$9, 100%, $E$9)</f>
        <v>28.500900000000001</v>
      </c>
      <c r="L852" s="11">
        <f>14.1868 * CHOOSE(CONTROL!$C$32, $C$9, 100%, $E$9)</f>
        <v>14.1868</v>
      </c>
      <c r="M852" s="11">
        <f>14.1904 * CHOOSE(CONTROL!$C$32, $C$9, 100%, $E$9)</f>
        <v>14.1904</v>
      </c>
      <c r="N852" s="11">
        <f>14.1868 * CHOOSE(CONTROL!$C$32, $C$9, 100%, $E$9)</f>
        <v>14.1868</v>
      </c>
      <c r="O852" s="11">
        <f>14.1904 * CHOOSE(CONTROL!$C$32, $C$9, 100%, $E$9)</f>
        <v>14.1904</v>
      </c>
    </row>
    <row r="853" spans="1:15" ht="15" x14ac:dyDescent="0.2">
      <c r="A853" s="13">
        <v>66811</v>
      </c>
      <c r="B853" s="9">
        <f>12.5694 * CHOOSE(CONTROL!$C$32, $C$9, 100%, $E$9)</f>
        <v>12.5694</v>
      </c>
      <c r="C853" s="9">
        <f>12.5694 * CHOOSE(CONTROL!$C$32, $C$9, 100%, $E$9)</f>
        <v>12.5694</v>
      </c>
      <c r="D853" s="9">
        <f>12.5704 * CHOOSE(CONTROL!$C$32, $C$9, 100%, $E$9)</f>
        <v>12.570399999999999</v>
      </c>
      <c r="E853" s="11">
        <f>13.9889 * CHOOSE(CONTROL!$C$32, $C$9, 100%, $E$9)</f>
        <v>13.988899999999999</v>
      </c>
      <c r="F853" s="11">
        <f>13.9889 * CHOOSE(CONTROL!$C$32, $C$9, 100%, $E$9)</f>
        <v>13.988899999999999</v>
      </c>
      <c r="G853" s="11">
        <f>13.9926 * CHOOSE(CONTROL!$C$32, $C$9, 100%, $E$9)</f>
        <v>13.992599999999999</v>
      </c>
      <c r="H853" s="11">
        <f>28.5567 * CHOOSE(CONTROL!$C$32, $C$9, 100%, $E$9)</f>
        <v>28.556699999999999</v>
      </c>
      <c r="I853" s="11">
        <f>28.5603 * CHOOSE(CONTROL!$C$32, $C$9, 100%, $E$9)</f>
        <v>28.560300000000002</v>
      </c>
      <c r="J853" s="11">
        <f>28.5567 * CHOOSE(CONTROL!$C$32, $C$9, 100%, $E$9)</f>
        <v>28.556699999999999</v>
      </c>
      <c r="K853" s="11">
        <f>28.5603 * CHOOSE(CONTROL!$C$32, $C$9, 100%, $E$9)</f>
        <v>28.560300000000002</v>
      </c>
      <c r="L853" s="11">
        <f>13.9889 * CHOOSE(CONTROL!$C$32, $C$9, 100%, $E$9)</f>
        <v>13.988899999999999</v>
      </c>
      <c r="M853" s="11">
        <f>13.9926 * CHOOSE(CONTROL!$C$32, $C$9, 100%, $E$9)</f>
        <v>13.992599999999999</v>
      </c>
      <c r="N853" s="11">
        <f>13.9889 * CHOOSE(CONTROL!$C$32, $C$9, 100%, $E$9)</f>
        <v>13.988899999999999</v>
      </c>
      <c r="O853" s="11">
        <f>13.9926 * CHOOSE(CONTROL!$C$32, $C$9, 100%, $E$9)</f>
        <v>13.992599999999999</v>
      </c>
    </row>
    <row r="854" spans="1:15" ht="15" x14ac:dyDescent="0.2">
      <c r="A854" s="13">
        <v>66842</v>
      </c>
      <c r="B854" s="9">
        <f>12.5667 * CHOOSE(CONTROL!$C$32, $C$9, 100%, $E$9)</f>
        <v>12.566700000000001</v>
      </c>
      <c r="C854" s="9">
        <f>12.5667 * CHOOSE(CONTROL!$C$32, $C$9, 100%, $E$9)</f>
        <v>12.566700000000001</v>
      </c>
      <c r="D854" s="9">
        <f>12.5678 * CHOOSE(CONTROL!$C$32, $C$9, 100%, $E$9)</f>
        <v>12.5678</v>
      </c>
      <c r="E854" s="11">
        <f>14.1331 * CHOOSE(CONTROL!$C$32, $C$9, 100%, $E$9)</f>
        <v>14.133100000000001</v>
      </c>
      <c r="F854" s="11">
        <f>14.1331 * CHOOSE(CONTROL!$C$32, $C$9, 100%, $E$9)</f>
        <v>14.133100000000001</v>
      </c>
      <c r="G854" s="11">
        <f>14.1367 * CHOOSE(CONTROL!$C$32, $C$9, 100%, $E$9)</f>
        <v>14.136699999999999</v>
      </c>
      <c r="H854" s="11">
        <f>28.3639 * CHOOSE(CONTROL!$C$32, $C$9, 100%, $E$9)</f>
        <v>28.363900000000001</v>
      </c>
      <c r="I854" s="11">
        <f>28.3675 * CHOOSE(CONTROL!$C$32, $C$9, 100%, $E$9)</f>
        <v>28.3675</v>
      </c>
      <c r="J854" s="11">
        <f>28.3639 * CHOOSE(CONTROL!$C$32, $C$9, 100%, $E$9)</f>
        <v>28.363900000000001</v>
      </c>
      <c r="K854" s="11">
        <f>28.3675 * CHOOSE(CONTROL!$C$32, $C$9, 100%, $E$9)</f>
        <v>28.3675</v>
      </c>
      <c r="L854" s="11">
        <f>14.1331 * CHOOSE(CONTROL!$C$32, $C$9, 100%, $E$9)</f>
        <v>14.133100000000001</v>
      </c>
      <c r="M854" s="11">
        <f>14.1367 * CHOOSE(CONTROL!$C$32, $C$9, 100%, $E$9)</f>
        <v>14.136699999999999</v>
      </c>
      <c r="N854" s="11">
        <f>14.1331 * CHOOSE(CONTROL!$C$32, $C$9, 100%, $E$9)</f>
        <v>14.133100000000001</v>
      </c>
      <c r="O854" s="11">
        <f>14.1367 * CHOOSE(CONTROL!$C$32, $C$9, 100%, $E$9)</f>
        <v>14.136699999999999</v>
      </c>
    </row>
    <row r="855" spans="1:15" ht="15" x14ac:dyDescent="0.2">
      <c r="A855" s="13">
        <v>66873</v>
      </c>
      <c r="B855" s="9">
        <f>12.5637 * CHOOSE(CONTROL!$C$32, $C$9, 100%, $E$9)</f>
        <v>12.563700000000001</v>
      </c>
      <c r="C855" s="9">
        <f>12.5637 * CHOOSE(CONTROL!$C$32, $C$9, 100%, $E$9)</f>
        <v>12.563700000000001</v>
      </c>
      <c r="D855" s="9">
        <f>12.5648 * CHOOSE(CONTROL!$C$32, $C$9, 100%, $E$9)</f>
        <v>12.5648</v>
      </c>
      <c r="E855" s="11">
        <f>13.7499 * CHOOSE(CONTROL!$C$32, $C$9, 100%, $E$9)</f>
        <v>13.7499</v>
      </c>
      <c r="F855" s="11">
        <f>13.7499 * CHOOSE(CONTROL!$C$32, $C$9, 100%, $E$9)</f>
        <v>13.7499</v>
      </c>
      <c r="G855" s="11">
        <f>13.7535 * CHOOSE(CONTROL!$C$32, $C$9, 100%, $E$9)</f>
        <v>13.753500000000001</v>
      </c>
      <c r="H855" s="11">
        <f>28.423 * CHOOSE(CONTROL!$C$32, $C$9, 100%, $E$9)</f>
        <v>28.422999999999998</v>
      </c>
      <c r="I855" s="11">
        <f>28.4266 * CHOOSE(CONTROL!$C$32, $C$9, 100%, $E$9)</f>
        <v>28.426600000000001</v>
      </c>
      <c r="J855" s="11">
        <f>28.423 * CHOOSE(CONTROL!$C$32, $C$9, 100%, $E$9)</f>
        <v>28.422999999999998</v>
      </c>
      <c r="K855" s="11">
        <f>28.4266 * CHOOSE(CONTROL!$C$32, $C$9, 100%, $E$9)</f>
        <v>28.426600000000001</v>
      </c>
      <c r="L855" s="11">
        <f>13.7499 * CHOOSE(CONTROL!$C$32, $C$9, 100%, $E$9)</f>
        <v>13.7499</v>
      </c>
      <c r="M855" s="11">
        <f>13.7535 * CHOOSE(CONTROL!$C$32, $C$9, 100%, $E$9)</f>
        <v>13.753500000000001</v>
      </c>
      <c r="N855" s="11">
        <f>13.7499 * CHOOSE(CONTROL!$C$32, $C$9, 100%, $E$9)</f>
        <v>13.7499</v>
      </c>
      <c r="O855" s="11">
        <f>13.7535 * CHOOSE(CONTROL!$C$32, $C$9, 100%, $E$9)</f>
        <v>13.753500000000001</v>
      </c>
    </row>
    <row r="856" spans="1:15" ht="15" x14ac:dyDescent="0.2">
      <c r="A856" s="13">
        <v>66901</v>
      </c>
      <c r="B856" s="9">
        <f>12.5606 * CHOOSE(CONTROL!$C$32, $C$9, 100%, $E$9)</f>
        <v>12.560600000000001</v>
      </c>
      <c r="C856" s="9">
        <f>12.5606 * CHOOSE(CONTROL!$C$32, $C$9, 100%, $E$9)</f>
        <v>12.560600000000001</v>
      </c>
      <c r="D856" s="9">
        <f>12.5617 * CHOOSE(CONTROL!$C$32, $C$9, 100%, $E$9)</f>
        <v>12.5617</v>
      </c>
      <c r="E856" s="11">
        <f>14.0482 * CHOOSE(CONTROL!$C$32, $C$9, 100%, $E$9)</f>
        <v>14.0482</v>
      </c>
      <c r="F856" s="11">
        <f>14.0482 * CHOOSE(CONTROL!$C$32, $C$9, 100%, $E$9)</f>
        <v>14.0482</v>
      </c>
      <c r="G856" s="11">
        <f>14.0518 * CHOOSE(CONTROL!$C$32, $C$9, 100%, $E$9)</f>
        <v>14.0518</v>
      </c>
      <c r="H856" s="11">
        <f>28.4822 * CHOOSE(CONTROL!$C$32, $C$9, 100%, $E$9)</f>
        <v>28.482199999999999</v>
      </c>
      <c r="I856" s="11">
        <f>28.4858 * CHOOSE(CONTROL!$C$32, $C$9, 100%, $E$9)</f>
        <v>28.485800000000001</v>
      </c>
      <c r="J856" s="11">
        <f>28.4822 * CHOOSE(CONTROL!$C$32, $C$9, 100%, $E$9)</f>
        <v>28.482199999999999</v>
      </c>
      <c r="K856" s="11">
        <f>28.4858 * CHOOSE(CONTROL!$C$32, $C$9, 100%, $E$9)</f>
        <v>28.485800000000001</v>
      </c>
      <c r="L856" s="11">
        <f>14.0482 * CHOOSE(CONTROL!$C$32, $C$9, 100%, $E$9)</f>
        <v>14.0482</v>
      </c>
      <c r="M856" s="11">
        <f>14.0518 * CHOOSE(CONTROL!$C$32, $C$9, 100%, $E$9)</f>
        <v>14.0518</v>
      </c>
      <c r="N856" s="11">
        <f>14.0482 * CHOOSE(CONTROL!$C$32, $C$9, 100%, $E$9)</f>
        <v>14.0482</v>
      </c>
      <c r="O856" s="11">
        <f>14.0518 * CHOOSE(CONTROL!$C$32, $C$9, 100%, $E$9)</f>
        <v>14.0518</v>
      </c>
    </row>
    <row r="857" spans="1:15" ht="15" x14ac:dyDescent="0.2">
      <c r="A857" s="13">
        <v>66932</v>
      </c>
      <c r="B857" s="9">
        <f>12.5666 * CHOOSE(CONTROL!$C$32, $C$9, 100%, $E$9)</f>
        <v>12.566599999999999</v>
      </c>
      <c r="C857" s="9">
        <f>12.5666 * CHOOSE(CONTROL!$C$32, $C$9, 100%, $E$9)</f>
        <v>12.566599999999999</v>
      </c>
      <c r="D857" s="9">
        <f>12.5677 * CHOOSE(CONTROL!$C$32, $C$9, 100%, $E$9)</f>
        <v>12.5677</v>
      </c>
      <c r="E857" s="11">
        <f>14.3665 * CHOOSE(CONTROL!$C$32, $C$9, 100%, $E$9)</f>
        <v>14.3665</v>
      </c>
      <c r="F857" s="11">
        <f>14.3665 * CHOOSE(CONTROL!$C$32, $C$9, 100%, $E$9)</f>
        <v>14.3665</v>
      </c>
      <c r="G857" s="11">
        <f>14.3702 * CHOOSE(CONTROL!$C$32, $C$9, 100%, $E$9)</f>
        <v>14.370200000000001</v>
      </c>
      <c r="H857" s="11">
        <f>28.5415 * CHOOSE(CONTROL!$C$32, $C$9, 100%, $E$9)</f>
        <v>28.541499999999999</v>
      </c>
      <c r="I857" s="11">
        <f>28.5451 * CHOOSE(CONTROL!$C$32, $C$9, 100%, $E$9)</f>
        <v>28.545100000000001</v>
      </c>
      <c r="J857" s="11">
        <f>28.5415 * CHOOSE(CONTROL!$C$32, $C$9, 100%, $E$9)</f>
        <v>28.541499999999999</v>
      </c>
      <c r="K857" s="11">
        <f>28.5451 * CHOOSE(CONTROL!$C$32, $C$9, 100%, $E$9)</f>
        <v>28.545100000000001</v>
      </c>
      <c r="L857" s="11">
        <f>14.3665 * CHOOSE(CONTROL!$C$32, $C$9, 100%, $E$9)</f>
        <v>14.3665</v>
      </c>
      <c r="M857" s="11">
        <f>14.3702 * CHOOSE(CONTROL!$C$32, $C$9, 100%, $E$9)</f>
        <v>14.370200000000001</v>
      </c>
      <c r="N857" s="11">
        <f>14.3665 * CHOOSE(CONTROL!$C$32, $C$9, 100%, $E$9)</f>
        <v>14.3665</v>
      </c>
      <c r="O857" s="11">
        <f>14.3702 * CHOOSE(CONTROL!$C$32, $C$9, 100%, $E$9)</f>
        <v>14.370200000000001</v>
      </c>
    </row>
    <row r="858" spans="1:15" ht="15" x14ac:dyDescent="0.2">
      <c r="A858" s="13">
        <v>66962</v>
      </c>
      <c r="B858" s="9">
        <f>12.5666 * CHOOSE(CONTROL!$C$32, $C$9, 100%, $E$9)</f>
        <v>12.566599999999999</v>
      </c>
      <c r="C858" s="9">
        <f>12.5666 * CHOOSE(CONTROL!$C$32, $C$9, 100%, $E$9)</f>
        <v>12.566599999999999</v>
      </c>
      <c r="D858" s="9">
        <f>12.5682 * CHOOSE(CONTROL!$C$32, $C$9, 100%, $E$9)</f>
        <v>12.568199999999999</v>
      </c>
      <c r="E858" s="11">
        <f>14.4875 * CHOOSE(CONTROL!$C$32, $C$9, 100%, $E$9)</f>
        <v>14.487500000000001</v>
      </c>
      <c r="F858" s="11">
        <f>14.4875 * CHOOSE(CONTROL!$C$32, $C$9, 100%, $E$9)</f>
        <v>14.487500000000001</v>
      </c>
      <c r="G858" s="11">
        <f>14.4928 * CHOOSE(CONTROL!$C$32, $C$9, 100%, $E$9)</f>
        <v>14.492800000000001</v>
      </c>
      <c r="H858" s="11">
        <f>28.601 * CHOOSE(CONTROL!$C$32, $C$9, 100%, $E$9)</f>
        <v>28.600999999999999</v>
      </c>
      <c r="I858" s="11">
        <f>28.6063 * CHOOSE(CONTROL!$C$32, $C$9, 100%, $E$9)</f>
        <v>28.606300000000001</v>
      </c>
      <c r="J858" s="11">
        <f>28.601 * CHOOSE(CONTROL!$C$32, $C$9, 100%, $E$9)</f>
        <v>28.600999999999999</v>
      </c>
      <c r="K858" s="11">
        <f>28.6063 * CHOOSE(CONTROL!$C$32, $C$9, 100%, $E$9)</f>
        <v>28.606300000000001</v>
      </c>
      <c r="L858" s="11">
        <f>14.4875 * CHOOSE(CONTROL!$C$32, $C$9, 100%, $E$9)</f>
        <v>14.487500000000001</v>
      </c>
      <c r="M858" s="11">
        <f>14.4928 * CHOOSE(CONTROL!$C$32, $C$9, 100%, $E$9)</f>
        <v>14.492800000000001</v>
      </c>
      <c r="N858" s="11">
        <f>14.4875 * CHOOSE(CONTROL!$C$32, $C$9, 100%, $E$9)</f>
        <v>14.487500000000001</v>
      </c>
      <c r="O858" s="11">
        <f>14.4928 * CHOOSE(CONTROL!$C$32, $C$9, 100%, $E$9)</f>
        <v>14.492800000000001</v>
      </c>
    </row>
    <row r="859" spans="1:15" ht="15" x14ac:dyDescent="0.2">
      <c r="A859" s="13">
        <v>66993</v>
      </c>
      <c r="B859" s="9">
        <f>12.5727 * CHOOSE(CONTROL!$C$32, $C$9, 100%, $E$9)</f>
        <v>12.572699999999999</v>
      </c>
      <c r="C859" s="9">
        <f>12.5727 * CHOOSE(CONTROL!$C$32, $C$9, 100%, $E$9)</f>
        <v>12.572699999999999</v>
      </c>
      <c r="D859" s="9">
        <f>12.5743 * CHOOSE(CONTROL!$C$32, $C$9, 100%, $E$9)</f>
        <v>12.574299999999999</v>
      </c>
      <c r="E859" s="11">
        <f>14.3708 * CHOOSE(CONTROL!$C$32, $C$9, 100%, $E$9)</f>
        <v>14.370799999999999</v>
      </c>
      <c r="F859" s="11">
        <f>14.3708 * CHOOSE(CONTROL!$C$32, $C$9, 100%, $E$9)</f>
        <v>14.370799999999999</v>
      </c>
      <c r="G859" s="11">
        <f>14.3761 * CHOOSE(CONTROL!$C$32, $C$9, 100%, $E$9)</f>
        <v>14.376099999999999</v>
      </c>
      <c r="H859" s="11">
        <f>28.6606 * CHOOSE(CONTROL!$C$32, $C$9, 100%, $E$9)</f>
        <v>28.660599999999999</v>
      </c>
      <c r="I859" s="11">
        <f>28.6659 * CHOOSE(CONTROL!$C$32, $C$9, 100%, $E$9)</f>
        <v>28.665900000000001</v>
      </c>
      <c r="J859" s="11">
        <f>28.6606 * CHOOSE(CONTROL!$C$32, $C$9, 100%, $E$9)</f>
        <v>28.660599999999999</v>
      </c>
      <c r="K859" s="11">
        <f>28.6659 * CHOOSE(CONTROL!$C$32, $C$9, 100%, $E$9)</f>
        <v>28.665900000000001</v>
      </c>
      <c r="L859" s="11">
        <f>14.3708 * CHOOSE(CONTROL!$C$32, $C$9, 100%, $E$9)</f>
        <v>14.370799999999999</v>
      </c>
      <c r="M859" s="11">
        <f>14.3761 * CHOOSE(CONTROL!$C$32, $C$9, 100%, $E$9)</f>
        <v>14.376099999999999</v>
      </c>
      <c r="N859" s="11">
        <f>14.3708 * CHOOSE(CONTROL!$C$32, $C$9, 100%, $E$9)</f>
        <v>14.370799999999999</v>
      </c>
      <c r="O859" s="11">
        <f>14.3761 * CHOOSE(CONTROL!$C$32, $C$9, 100%, $E$9)</f>
        <v>14.376099999999999</v>
      </c>
    </row>
    <row r="860" spans="1:15" ht="15" x14ac:dyDescent="0.2">
      <c r="A860" s="13">
        <v>67023</v>
      </c>
      <c r="B860" s="9">
        <f>12.7253 * CHOOSE(CONTROL!$C$32, $C$9, 100%, $E$9)</f>
        <v>12.725300000000001</v>
      </c>
      <c r="C860" s="9">
        <f>12.7253 * CHOOSE(CONTROL!$C$32, $C$9, 100%, $E$9)</f>
        <v>12.725300000000001</v>
      </c>
      <c r="D860" s="9">
        <f>12.7269 * CHOOSE(CONTROL!$C$32, $C$9, 100%, $E$9)</f>
        <v>12.726900000000001</v>
      </c>
      <c r="E860" s="11">
        <f>14.574 * CHOOSE(CONTROL!$C$32, $C$9, 100%, $E$9)</f>
        <v>14.574</v>
      </c>
      <c r="F860" s="11">
        <f>14.574 * CHOOSE(CONTROL!$C$32, $C$9, 100%, $E$9)</f>
        <v>14.574</v>
      </c>
      <c r="G860" s="11">
        <f>14.5793 * CHOOSE(CONTROL!$C$32, $C$9, 100%, $E$9)</f>
        <v>14.5793</v>
      </c>
      <c r="H860" s="11">
        <f>28.7203 * CHOOSE(CONTROL!$C$32, $C$9, 100%, $E$9)</f>
        <v>28.720300000000002</v>
      </c>
      <c r="I860" s="11">
        <f>28.7256 * CHOOSE(CONTROL!$C$32, $C$9, 100%, $E$9)</f>
        <v>28.7256</v>
      </c>
      <c r="J860" s="11">
        <f>28.7203 * CHOOSE(CONTROL!$C$32, $C$9, 100%, $E$9)</f>
        <v>28.720300000000002</v>
      </c>
      <c r="K860" s="11">
        <f>28.7256 * CHOOSE(CONTROL!$C$32, $C$9, 100%, $E$9)</f>
        <v>28.7256</v>
      </c>
      <c r="L860" s="11">
        <f>14.574 * CHOOSE(CONTROL!$C$32, $C$9, 100%, $E$9)</f>
        <v>14.574</v>
      </c>
      <c r="M860" s="11">
        <f>14.5793 * CHOOSE(CONTROL!$C$32, $C$9, 100%, $E$9)</f>
        <v>14.5793</v>
      </c>
      <c r="N860" s="11">
        <f>14.574 * CHOOSE(CONTROL!$C$32, $C$9, 100%, $E$9)</f>
        <v>14.574</v>
      </c>
      <c r="O860" s="11">
        <f>14.5793 * CHOOSE(CONTROL!$C$32, $C$9, 100%, $E$9)</f>
        <v>14.5793</v>
      </c>
    </row>
    <row r="861" spans="1:15" ht="15" x14ac:dyDescent="0.2">
      <c r="A861" s="13">
        <v>67054</v>
      </c>
      <c r="B861" s="9">
        <f>12.732 * CHOOSE(CONTROL!$C$32, $C$9, 100%, $E$9)</f>
        <v>12.731999999999999</v>
      </c>
      <c r="C861" s="9">
        <f>12.732 * CHOOSE(CONTROL!$C$32, $C$9, 100%, $E$9)</f>
        <v>12.731999999999999</v>
      </c>
      <c r="D861" s="9">
        <f>12.7336 * CHOOSE(CONTROL!$C$32, $C$9, 100%, $E$9)</f>
        <v>12.733599999999999</v>
      </c>
      <c r="E861" s="11">
        <f>14.2158 * CHOOSE(CONTROL!$C$32, $C$9, 100%, $E$9)</f>
        <v>14.2158</v>
      </c>
      <c r="F861" s="11">
        <f>14.2158 * CHOOSE(CONTROL!$C$32, $C$9, 100%, $E$9)</f>
        <v>14.2158</v>
      </c>
      <c r="G861" s="11">
        <f>14.2211 * CHOOSE(CONTROL!$C$32, $C$9, 100%, $E$9)</f>
        <v>14.2211</v>
      </c>
      <c r="H861" s="11">
        <f>28.7801 * CHOOSE(CONTROL!$C$32, $C$9, 100%, $E$9)</f>
        <v>28.780100000000001</v>
      </c>
      <c r="I861" s="11">
        <f>28.7854 * CHOOSE(CONTROL!$C$32, $C$9, 100%, $E$9)</f>
        <v>28.785399999999999</v>
      </c>
      <c r="J861" s="11">
        <f>28.7801 * CHOOSE(CONTROL!$C$32, $C$9, 100%, $E$9)</f>
        <v>28.780100000000001</v>
      </c>
      <c r="K861" s="11">
        <f>28.7854 * CHOOSE(CONTROL!$C$32, $C$9, 100%, $E$9)</f>
        <v>28.785399999999999</v>
      </c>
      <c r="L861" s="11">
        <f>14.2158 * CHOOSE(CONTROL!$C$32, $C$9, 100%, $E$9)</f>
        <v>14.2158</v>
      </c>
      <c r="M861" s="11">
        <f>14.2211 * CHOOSE(CONTROL!$C$32, $C$9, 100%, $E$9)</f>
        <v>14.2211</v>
      </c>
      <c r="N861" s="11">
        <f>14.2158 * CHOOSE(CONTROL!$C$32, $C$9, 100%, $E$9)</f>
        <v>14.2158</v>
      </c>
      <c r="O861" s="11">
        <f>14.2211 * CHOOSE(CONTROL!$C$32, $C$9, 100%, $E$9)</f>
        <v>14.2211</v>
      </c>
    </row>
    <row r="862" spans="1:15" ht="15" x14ac:dyDescent="0.2">
      <c r="A862" s="13">
        <v>67085</v>
      </c>
      <c r="B862" s="9">
        <f>12.7289 * CHOOSE(CONTROL!$C$32, $C$9, 100%, $E$9)</f>
        <v>12.728899999999999</v>
      </c>
      <c r="C862" s="9">
        <f>12.7289 * CHOOSE(CONTROL!$C$32, $C$9, 100%, $E$9)</f>
        <v>12.728899999999999</v>
      </c>
      <c r="D862" s="9">
        <f>12.7305 * CHOOSE(CONTROL!$C$32, $C$9, 100%, $E$9)</f>
        <v>12.730499999999999</v>
      </c>
      <c r="E862" s="11">
        <f>14.1733 * CHOOSE(CONTROL!$C$32, $C$9, 100%, $E$9)</f>
        <v>14.173299999999999</v>
      </c>
      <c r="F862" s="11">
        <f>14.1733 * CHOOSE(CONTROL!$C$32, $C$9, 100%, $E$9)</f>
        <v>14.173299999999999</v>
      </c>
      <c r="G862" s="11">
        <f>14.1786 * CHOOSE(CONTROL!$C$32, $C$9, 100%, $E$9)</f>
        <v>14.178599999999999</v>
      </c>
      <c r="H862" s="11">
        <f>28.8401 * CHOOSE(CONTROL!$C$32, $C$9, 100%, $E$9)</f>
        <v>28.8401</v>
      </c>
      <c r="I862" s="11">
        <f>28.8454 * CHOOSE(CONTROL!$C$32, $C$9, 100%, $E$9)</f>
        <v>28.845400000000001</v>
      </c>
      <c r="J862" s="11">
        <f>28.8401 * CHOOSE(CONTROL!$C$32, $C$9, 100%, $E$9)</f>
        <v>28.8401</v>
      </c>
      <c r="K862" s="11">
        <f>28.8454 * CHOOSE(CONTROL!$C$32, $C$9, 100%, $E$9)</f>
        <v>28.845400000000001</v>
      </c>
      <c r="L862" s="11">
        <f>14.1733 * CHOOSE(CONTROL!$C$32, $C$9, 100%, $E$9)</f>
        <v>14.173299999999999</v>
      </c>
      <c r="M862" s="11">
        <f>14.1786 * CHOOSE(CONTROL!$C$32, $C$9, 100%, $E$9)</f>
        <v>14.178599999999999</v>
      </c>
      <c r="N862" s="11">
        <f>14.1733 * CHOOSE(CONTROL!$C$32, $C$9, 100%, $E$9)</f>
        <v>14.173299999999999</v>
      </c>
      <c r="O862" s="11">
        <f>14.1786 * CHOOSE(CONTROL!$C$32, $C$9, 100%, $E$9)</f>
        <v>14.178599999999999</v>
      </c>
    </row>
    <row r="863" spans="1:15" ht="15" x14ac:dyDescent="0.2">
      <c r="A863" s="13">
        <v>67115</v>
      </c>
      <c r="B863" s="9">
        <f>12.7566 * CHOOSE(CONTROL!$C$32, $C$9, 100%, $E$9)</f>
        <v>12.756600000000001</v>
      </c>
      <c r="C863" s="9">
        <f>12.7566 * CHOOSE(CONTROL!$C$32, $C$9, 100%, $E$9)</f>
        <v>12.756600000000001</v>
      </c>
      <c r="D863" s="9">
        <f>12.7577 * CHOOSE(CONTROL!$C$32, $C$9, 100%, $E$9)</f>
        <v>12.7577</v>
      </c>
      <c r="E863" s="11">
        <f>14.3212 * CHOOSE(CONTROL!$C$32, $C$9, 100%, $E$9)</f>
        <v>14.321199999999999</v>
      </c>
      <c r="F863" s="11">
        <f>14.3212 * CHOOSE(CONTROL!$C$32, $C$9, 100%, $E$9)</f>
        <v>14.321199999999999</v>
      </c>
      <c r="G863" s="11">
        <f>14.3248 * CHOOSE(CONTROL!$C$32, $C$9, 100%, $E$9)</f>
        <v>14.3248</v>
      </c>
      <c r="H863" s="11">
        <f>28.9002 * CHOOSE(CONTROL!$C$32, $C$9, 100%, $E$9)</f>
        <v>28.900200000000002</v>
      </c>
      <c r="I863" s="11">
        <f>28.9038 * CHOOSE(CONTROL!$C$32, $C$9, 100%, $E$9)</f>
        <v>28.9038</v>
      </c>
      <c r="J863" s="11">
        <f>28.9002 * CHOOSE(CONTROL!$C$32, $C$9, 100%, $E$9)</f>
        <v>28.900200000000002</v>
      </c>
      <c r="K863" s="11">
        <f>28.9038 * CHOOSE(CONTROL!$C$32, $C$9, 100%, $E$9)</f>
        <v>28.9038</v>
      </c>
      <c r="L863" s="11">
        <f>14.3212 * CHOOSE(CONTROL!$C$32, $C$9, 100%, $E$9)</f>
        <v>14.321199999999999</v>
      </c>
      <c r="M863" s="11">
        <f>14.3248 * CHOOSE(CONTROL!$C$32, $C$9, 100%, $E$9)</f>
        <v>14.3248</v>
      </c>
      <c r="N863" s="11">
        <f>14.3212 * CHOOSE(CONTROL!$C$32, $C$9, 100%, $E$9)</f>
        <v>14.321199999999999</v>
      </c>
      <c r="O863" s="11">
        <f>14.3248 * CHOOSE(CONTROL!$C$32, $C$9, 100%, $E$9)</f>
        <v>14.3248</v>
      </c>
    </row>
    <row r="864" spans="1:15" ht="15" x14ac:dyDescent="0.2">
      <c r="A864" s="13">
        <v>67146</v>
      </c>
      <c r="B864" s="9">
        <f>12.7597 * CHOOSE(CONTROL!$C$32, $C$9, 100%, $E$9)</f>
        <v>12.7597</v>
      </c>
      <c r="C864" s="9">
        <f>12.7597 * CHOOSE(CONTROL!$C$32, $C$9, 100%, $E$9)</f>
        <v>12.7597</v>
      </c>
      <c r="D864" s="9">
        <f>12.7607 * CHOOSE(CONTROL!$C$32, $C$9, 100%, $E$9)</f>
        <v>12.7607</v>
      </c>
      <c r="E864" s="11">
        <f>14.404 * CHOOSE(CONTROL!$C$32, $C$9, 100%, $E$9)</f>
        <v>14.404</v>
      </c>
      <c r="F864" s="11">
        <f>14.404 * CHOOSE(CONTROL!$C$32, $C$9, 100%, $E$9)</f>
        <v>14.404</v>
      </c>
      <c r="G864" s="11">
        <f>14.4076 * CHOOSE(CONTROL!$C$32, $C$9, 100%, $E$9)</f>
        <v>14.4076</v>
      </c>
      <c r="H864" s="11">
        <f>28.9604 * CHOOSE(CONTROL!$C$32, $C$9, 100%, $E$9)</f>
        <v>28.9604</v>
      </c>
      <c r="I864" s="11">
        <f>28.964 * CHOOSE(CONTROL!$C$32, $C$9, 100%, $E$9)</f>
        <v>28.963999999999999</v>
      </c>
      <c r="J864" s="11">
        <f>28.9604 * CHOOSE(CONTROL!$C$32, $C$9, 100%, $E$9)</f>
        <v>28.9604</v>
      </c>
      <c r="K864" s="11">
        <f>28.964 * CHOOSE(CONTROL!$C$32, $C$9, 100%, $E$9)</f>
        <v>28.963999999999999</v>
      </c>
      <c r="L864" s="11">
        <f>14.404 * CHOOSE(CONTROL!$C$32, $C$9, 100%, $E$9)</f>
        <v>14.404</v>
      </c>
      <c r="M864" s="11">
        <f>14.4076 * CHOOSE(CONTROL!$C$32, $C$9, 100%, $E$9)</f>
        <v>14.4076</v>
      </c>
      <c r="N864" s="11">
        <f>14.404 * CHOOSE(CONTROL!$C$32, $C$9, 100%, $E$9)</f>
        <v>14.404</v>
      </c>
      <c r="O864" s="11">
        <f>14.4076 * CHOOSE(CONTROL!$C$32, $C$9, 100%, $E$9)</f>
        <v>14.4076</v>
      </c>
    </row>
    <row r="865" spans="1:15" ht="15" x14ac:dyDescent="0.2">
      <c r="A865" s="13">
        <v>67176</v>
      </c>
      <c r="B865" s="9">
        <f>12.7597 * CHOOSE(CONTROL!$C$32, $C$9, 100%, $E$9)</f>
        <v>12.7597</v>
      </c>
      <c r="C865" s="9">
        <f>12.7597 * CHOOSE(CONTROL!$C$32, $C$9, 100%, $E$9)</f>
        <v>12.7597</v>
      </c>
      <c r="D865" s="9">
        <f>12.7607 * CHOOSE(CONTROL!$C$32, $C$9, 100%, $E$9)</f>
        <v>12.7607</v>
      </c>
      <c r="E865" s="11">
        <f>14.2024 * CHOOSE(CONTROL!$C$32, $C$9, 100%, $E$9)</f>
        <v>14.202400000000001</v>
      </c>
      <c r="F865" s="11">
        <f>14.2024 * CHOOSE(CONTROL!$C$32, $C$9, 100%, $E$9)</f>
        <v>14.202400000000001</v>
      </c>
      <c r="G865" s="11">
        <f>14.206 * CHOOSE(CONTROL!$C$32, $C$9, 100%, $E$9)</f>
        <v>14.206</v>
      </c>
      <c r="H865" s="11">
        <f>29.0207 * CHOOSE(CONTROL!$C$32, $C$9, 100%, $E$9)</f>
        <v>29.020700000000001</v>
      </c>
      <c r="I865" s="11">
        <f>29.0243 * CHOOSE(CONTROL!$C$32, $C$9, 100%, $E$9)</f>
        <v>29.0243</v>
      </c>
      <c r="J865" s="11">
        <f>29.0207 * CHOOSE(CONTROL!$C$32, $C$9, 100%, $E$9)</f>
        <v>29.020700000000001</v>
      </c>
      <c r="K865" s="11">
        <f>29.0243 * CHOOSE(CONTROL!$C$32, $C$9, 100%, $E$9)</f>
        <v>29.0243</v>
      </c>
      <c r="L865" s="11">
        <f>14.2024 * CHOOSE(CONTROL!$C$32, $C$9, 100%, $E$9)</f>
        <v>14.202400000000001</v>
      </c>
      <c r="M865" s="11">
        <f>14.206 * CHOOSE(CONTROL!$C$32, $C$9, 100%, $E$9)</f>
        <v>14.206</v>
      </c>
      <c r="N865" s="11">
        <f>14.2024 * CHOOSE(CONTROL!$C$32, $C$9, 100%, $E$9)</f>
        <v>14.202400000000001</v>
      </c>
      <c r="O865" s="11">
        <f>14.206 * CHOOSE(CONTROL!$C$32, $C$9, 100%, $E$9)</f>
        <v>14.206</v>
      </c>
    </row>
    <row r="866" spans="1:15" ht="15" x14ac:dyDescent="0.2">
      <c r="A866" s="13">
        <v>67207</v>
      </c>
      <c r="B866" s="9">
        <f>12.7541 * CHOOSE(CONTROL!$C$32, $C$9, 100%, $E$9)</f>
        <v>12.754099999999999</v>
      </c>
      <c r="C866" s="9">
        <f>12.7541 * CHOOSE(CONTROL!$C$32, $C$9, 100%, $E$9)</f>
        <v>12.754099999999999</v>
      </c>
      <c r="D866" s="9">
        <f>12.7552 * CHOOSE(CONTROL!$C$32, $C$9, 100%, $E$9)</f>
        <v>12.7552</v>
      </c>
      <c r="E866" s="11">
        <f>14.3456 * CHOOSE(CONTROL!$C$32, $C$9, 100%, $E$9)</f>
        <v>14.345599999999999</v>
      </c>
      <c r="F866" s="11">
        <f>14.3456 * CHOOSE(CONTROL!$C$32, $C$9, 100%, $E$9)</f>
        <v>14.345599999999999</v>
      </c>
      <c r="G866" s="11">
        <f>14.3492 * CHOOSE(CONTROL!$C$32, $C$9, 100%, $E$9)</f>
        <v>14.3492</v>
      </c>
      <c r="H866" s="11">
        <f>28.8174 * CHOOSE(CONTROL!$C$32, $C$9, 100%, $E$9)</f>
        <v>28.817399999999999</v>
      </c>
      <c r="I866" s="11">
        <f>28.821 * CHOOSE(CONTROL!$C$32, $C$9, 100%, $E$9)</f>
        <v>28.821000000000002</v>
      </c>
      <c r="J866" s="11">
        <f>28.8174 * CHOOSE(CONTROL!$C$32, $C$9, 100%, $E$9)</f>
        <v>28.817399999999999</v>
      </c>
      <c r="K866" s="11">
        <f>28.821 * CHOOSE(CONTROL!$C$32, $C$9, 100%, $E$9)</f>
        <v>28.821000000000002</v>
      </c>
      <c r="L866" s="11">
        <f>14.3456 * CHOOSE(CONTROL!$C$32, $C$9, 100%, $E$9)</f>
        <v>14.345599999999999</v>
      </c>
      <c r="M866" s="11">
        <f>14.3492 * CHOOSE(CONTROL!$C$32, $C$9, 100%, $E$9)</f>
        <v>14.3492</v>
      </c>
      <c r="N866" s="11">
        <f>14.3456 * CHOOSE(CONTROL!$C$32, $C$9, 100%, $E$9)</f>
        <v>14.345599999999999</v>
      </c>
      <c r="O866" s="11">
        <f>14.3492 * CHOOSE(CONTROL!$C$32, $C$9, 100%, $E$9)</f>
        <v>14.3492</v>
      </c>
    </row>
    <row r="867" spans="1:15" ht="15" x14ac:dyDescent="0.2">
      <c r="A867" s="13">
        <v>67238</v>
      </c>
      <c r="B867" s="9">
        <f>12.751 * CHOOSE(CONTROL!$C$32, $C$9, 100%, $E$9)</f>
        <v>12.750999999999999</v>
      </c>
      <c r="C867" s="9">
        <f>12.751 * CHOOSE(CONTROL!$C$32, $C$9, 100%, $E$9)</f>
        <v>12.750999999999999</v>
      </c>
      <c r="D867" s="9">
        <f>12.7521 * CHOOSE(CONTROL!$C$32, $C$9, 100%, $E$9)</f>
        <v>12.7521</v>
      </c>
      <c r="E867" s="11">
        <f>13.9553 * CHOOSE(CONTROL!$C$32, $C$9, 100%, $E$9)</f>
        <v>13.955299999999999</v>
      </c>
      <c r="F867" s="11">
        <f>13.9553 * CHOOSE(CONTROL!$C$32, $C$9, 100%, $E$9)</f>
        <v>13.955299999999999</v>
      </c>
      <c r="G867" s="11">
        <f>13.959 * CHOOSE(CONTROL!$C$32, $C$9, 100%, $E$9)</f>
        <v>13.959</v>
      </c>
      <c r="H867" s="11">
        <f>28.8774 * CHOOSE(CONTROL!$C$32, $C$9, 100%, $E$9)</f>
        <v>28.877400000000002</v>
      </c>
      <c r="I867" s="11">
        <f>28.881 * CHOOSE(CONTROL!$C$32, $C$9, 100%, $E$9)</f>
        <v>28.881</v>
      </c>
      <c r="J867" s="11">
        <f>28.8774 * CHOOSE(CONTROL!$C$32, $C$9, 100%, $E$9)</f>
        <v>28.877400000000002</v>
      </c>
      <c r="K867" s="11">
        <f>28.881 * CHOOSE(CONTROL!$C$32, $C$9, 100%, $E$9)</f>
        <v>28.881</v>
      </c>
      <c r="L867" s="11">
        <f>13.9553 * CHOOSE(CONTROL!$C$32, $C$9, 100%, $E$9)</f>
        <v>13.955299999999999</v>
      </c>
      <c r="M867" s="11">
        <f>13.959 * CHOOSE(CONTROL!$C$32, $C$9, 100%, $E$9)</f>
        <v>13.959</v>
      </c>
      <c r="N867" s="11">
        <f>13.9553 * CHOOSE(CONTROL!$C$32, $C$9, 100%, $E$9)</f>
        <v>13.955299999999999</v>
      </c>
      <c r="O867" s="11">
        <f>13.959 * CHOOSE(CONTROL!$C$32, $C$9, 100%, $E$9)</f>
        <v>13.959</v>
      </c>
    </row>
    <row r="868" spans="1:15" ht="15" x14ac:dyDescent="0.2">
      <c r="A868" s="13">
        <v>67267</v>
      </c>
      <c r="B868" s="9">
        <f>12.748 * CHOOSE(CONTROL!$C$32, $C$9, 100%, $E$9)</f>
        <v>12.747999999999999</v>
      </c>
      <c r="C868" s="9">
        <f>12.748 * CHOOSE(CONTROL!$C$32, $C$9, 100%, $E$9)</f>
        <v>12.747999999999999</v>
      </c>
      <c r="D868" s="9">
        <f>12.7491 * CHOOSE(CONTROL!$C$32, $C$9, 100%, $E$9)</f>
        <v>12.7491</v>
      </c>
      <c r="E868" s="11">
        <f>14.2592 * CHOOSE(CONTROL!$C$32, $C$9, 100%, $E$9)</f>
        <v>14.2592</v>
      </c>
      <c r="F868" s="11">
        <f>14.2592 * CHOOSE(CONTROL!$C$32, $C$9, 100%, $E$9)</f>
        <v>14.2592</v>
      </c>
      <c r="G868" s="11">
        <f>14.2628 * CHOOSE(CONTROL!$C$32, $C$9, 100%, $E$9)</f>
        <v>14.2628</v>
      </c>
      <c r="H868" s="11">
        <f>28.9376 * CHOOSE(CONTROL!$C$32, $C$9, 100%, $E$9)</f>
        <v>28.9376</v>
      </c>
      <c r="I868" s="11">
        <f>28.9412 * CHOOSE(CONTROL!$C$32, $C$9, 100%, $E$9)</f>
        <v>28.941199999999998</v>
      </c>
      <c r="J868" s="11">
        <f>28.9376 * CHOOSE(CONTROL!$C$32, $C$9, 100%, $E$9)</f>
        <v>28.9376</v>
      </c>
      <c r="K868" s="11">
        <f>28.9412 * CHOOSE(CONTROL!$C$32, $C$9, 100%, $E$9)</f>
        <v>28.941199999999998</v>
      </c>
      <c r="L868" s="11">
        <f>14.2592 * CHOOSE(CONTROL!$C$32, $C$9, 100%, $E$9)</f>
        <v>14.2592</v>
      </c>
      <c r="M868" s="11">
        <f>14.2628 * CHOOSE(CONTROL!$C$32, $C$9, 100%, $E$9)</f>
        <v>14.2628</v>
      </c>
      <c r="N868" s="11">
        <f>14.2592 * CHOOSE(CONTROL!$C$32, $C$9, 100%, $E$9)</f>
        <v>14.2592</v>
      </c>
      <c r="O868" s="11">
        <f>14.2628 * CHOOSE(CONTROL!$C$32, $C$9, 100%, $E$9)</f>
        <v>14.2628</v>
      </c>
    </row>
    <row r="869" spans="1:15" ht="15" x14ac:dyDescent="0.2">
      <c r="A869" s="13">
        <v>67298</v>
      </c>
      <c r="B869" s="9">
        <f>12.7541 * CHOOSE(CONTROL!$C$32, $C$9, 100%, $E$9)</f>
        <v>12.754099999999999</v>
      </c>
      <c r="C869" s="9">
        <f>12.7541 * CHOOSE(CONTROL!$C$32, $C$9, 100%, $E$9)</f>
        <v>12.754099999999999</v>
      </c>
      <c r="D869" s="9">
        <f>12.7552 * CHOOSE(CONTROL!$C$32, $C$9, 100%, $E$9)</f>
        <v>12.7552</v>
      </c>
      <c r="E869" s="11">
        <f>14.5835 * CHOOSE(CONTROL!$C$32, $C$9, 100%, $E$9)</f>
        <v>14.583500000000001</v>
      </c>
      <c r="F869" s="11">
        <f>14.5835 * CHOOSE(CONTROL!$C$32, $C$9, 100%, $E$9)</f>
        <v>14.583500000000001</v>
      </c>
      <c r="G869" s="11">
        <f>14.5872 * CHOOSE(CONTROL!$C$32, $C$9, 100%, $E$9)</f>
        <v>14.587199999999999</v>
      </c>
      <c r="H869" s="11">
        <f>28.9979 * CHOOSE(CONTROL!$C$32, $C$9, 100%, $E$9)</f>
        <v>28.997900000000001</v>
      </c>
      <c r="I869" s="11">
        <f>29.0015 * CHOOSE(CONTROL!$C$32, $C$9, 100%, $E$9)</f>
        <v>29.0015</v>
      </c>
      <c r="J869" s="11">
        <f>28.9979 * CHOOSE(CONTROL!$C$32, $C$9, 100%, $E$9)</f>
        <v>28.997900000000001</v>
      </c>
      <c r="K869" s="11">
        <f>29.0015 * CHOOSE(CONTROL!$C$32, $C$9, 100%, $E$9)</f>
        <v>29.0015</v>
      </c>
      <c r="L869" s="11">
        <f>14.5835 * CHOOSE(CONTROL!$C$32, $C$9, 100%, $E$9)</f>
        <v>14.583500000000001</v>
      </c>
      <c r="M869" s="11">
        <f>14.5872 * CHOOSE(CONTROL!$C$32, $C$9, 100%, $E$9)</f>
        <v>14.587199999999999</v>
      </c>
      <c r="N869" s="11">
        <f>14.5835 * CHOOSE(CONTROL!$C$32, $C$9, 100%, $E$9)</f>
        <v>14.583500000000001</v>
      </c>
      <c r="O869" s="11">
        <f>14.5872 * CHOOSE(CONTROL!$C$32, $C$9, 100%, $E$9)</f>
        <v>14.587199999999999</v>
      </c>
    </row>
    <row r="870" spans="1:15" ht="15" x14ac:dyDescent="0.2">
      <c r="A870" s="13">
        <v>67328</v>
      </c>
      <c r="B870" s="9">
        <f>12.7541 * CHOOSE(CONTROL!$C$32, $C$9, 100%, $E$9)</f>
        <v>12.754099999999999</v>
      </c>
      <c r="C870" s="9">
        <f>12.7541 * CHOOSE(CONTROL!$C$32, $C$9, 100%, $E$9)</f>
        <v>12.754099999999999</v>
      </c>
      <c r="D870" s="9">
        <f>12.7557 * CHOOSE(CONTROL!$C$32, $C$9, 100%, $E$9)</f>
        <v>12.755699999999999</v>
      </c>
      <c r="E870" s="11">
        <f>14.7068 * CHOOSE(CONTROL!$C$32, $C$9, 100%, $E$9)</f>
        <v>14.706799999999999</v>
      </c>
      <c r="F870" s="11">
        <f>14.7068 * CHOOSE(CONTROL!$C$32, $C$9, 100%, $E$9)</f>
        <v>14.706799999999999</v>
      </c>
      <c r="G870" s="11">
        <f>14.7121 * CHOOSE(CONTROL!$C$32, $C$9, 100%, $E$9)</f>
        <v>14.7121</v>
      </c>
      <c r="H870" s="11">
        <f>29.0583 * CHOOSE(CONTROL!$C$32, $C$9, 100%, $E$9)</f>
        <v>29.058299999999999</v>
      </c>
      <c r="I870" s="11">
        <f>29.0636 * CHOOSE(CONTROL!$C$32, $C$9, 100%, $E$9)</f>
        <v>29.063600000000001</v>
      </c>
      <c r="J870" s="11">
        <f>29.0583 * CHOOSE(CONTROL!$C$32, $C$9, 100%, $E$9)</f>
        <v>29.058299999999999</v>
      </c>
      <c r="K870" s="11">
        <f>29.0636 * CHOOSE(CONTROL!$C$32, $C$9, 100%, $E$9)</f>
        <v>29.063600000000001</v>
      </c>
      <c r="L870" s="11">
        <f>14.7068 * CHOOSE(CONTROL!$C$32, $C$9, 100%, $E$9)</f>
        <v>14.706799999999999</v>
      </c>
      <c r="M870" s="11">
        <f>14.7121 * CHOOSE(CONTROL!$C$32, $C$9, 100%, $E$9)</f>
        <v>14.7121</v>
      </c>
      <c r="N870" s="11">
        <f>14.7068 * CHOOSE(CONTROL!$C$32, $C$9, 100%, $E$9)</f>
        <v>14.706799999999999</v>
      </c>
      <c r="O870" s="11">
        <f>14.7121 * CHOOSE(CONTROL!$C$32, $C$9, 100%, $E$9)</f>
        <v>14.7121</v>
      </c>
    </row>
    <row r="871" spans="1:15" ht="15" x14ac:dyDescent="0.2">
      <c r="A871" s="13">
        <v>67359</v>
      </c>
      <c r="B871" s="9">
        <f>12.7602 * CHOOSE(CONTROL!$C$32, $C$9, 100%, $E$9)</f>
        <v>12.760199999999999</v>
      </c>
      <c r="C871" s="9">
        <f>12.7602 * CHOOSE(CONTROL!$C$32, $C$9, 100%, $E$9)</f>
        <v>12.760199999999999</v>
      </c>
      <c r="D871" s="9">
        <f>12.7618 * CHOOSE(CONTROL!$C$32, $C$9, 100%, $E$9)</f>
        <v>12.761799999999999</v>
      </c>
      <c r="E871" s="11">
        <f>14.5878 * CHOOSE(CONTROL!$C$32, $C$9, 100%, $E$9)</f>
        <v>14.5878</v>
      </c>
      <c r="F871" s="11">
        <f>14.5878 * CHOOSE(CONTROL!$C$32, $C$9, 100%, $E$9)</f>
        <v>14.5878</v>
      </c>
      <c r="G871" s="11">
        <f>14.5931 * CHOOSE(CONTROL!$C$32, $C$9, 100%, $E$9)</f>
        <v>14.5931</v>
      </c>
      <c r="H871" s="11">
        <f>29.1188 * CHOOSE(CONTROL!$C$32, $C$9, 100%, $E$9)</f>
        <v>29.1188</v>
      </c>
      <c r="I871" s="11">
        <f>29.1241 * CHOOSE(CONTROL!$C$32, $C$9, 100%, $E$9)</f>
        <v>29.124099999999999</v>
      </c>
      <c r="J871" s="11">
        <f>29.1188 * CHOOSE(CONTROL!$C$32, $C$9, 100%, $E$9)</f>
        <v>29.1188</v>
      </c>
      <c r="K871" s="11">
        <f>29.1241 * CHOOSE(CONTROL!$C$32, $C$9, 100%, $E$9)</f>
        <v>29.124099999999999</v>
      </c>
      <c r="L871" s="11">
        <f>14.5878 * CHOOSE(CONTROL!$C$32, $C$9, 100%, $E$9)</f>
        <v>14.5878</v>
      </c>
      <c r="M871" s="11">
        <f>14.5931 * CHOOSE(CONTROL!$C$32, $C$9, 100%, $E$9)</f>
        <v>14.5931</v>
      </c>
      <c r="N871" s="11">
        <f>14.5878 * CHOOSE(CONTROL!$C$32, $C$9, 100%, $E$9)</f>
        <v>14.5878</v>
      </c>
      <c r="O871" s="11">
        <f>14.5931 * CHOOSE(CONTROL!$C$32, $C$9, 100%, $E$9)</f>
        <v>14.5931</v>
      </c>
    </row>
    <row r="872" spans="1:15" ht="15" x14ac:dyDescent="0.2">
      <c r="A872" s="13">
        <v>67389</v>
      </c>
      <c r="B872" s="9">
        <f>12.9149 * CHOOSE(CONTROL!$C$32, $C$9, 100%, $E$9)</f>
        <v>12.914899999999999</v>
      </c>
      <c r="C872" s="9">
        <f>12.9149 * CHOOSE(CONTROL!$C$32, $C$9, 100%, $E$9)</f>
        <v>12.914899999999999</v>
      </c>
      <c r="D872" s="9">
        <f>12.9165 * CHOOSE(CONTROL!$C$32, $C$9, 100%, $E$9)</f>
        <v>12.916499999999999</v>
      </c>
      <c r="E872" s="11">
        <f>14.7942 * CHOOSE(CONTROL!$C$32, $C$9, 100%, $E$9)</f>
        <v>14.7942</v>
      </c>
      <c r="F872" s="11">
        <f>14.7942 * CHOOSE(CONTROL!$C$32, $C$9, 100%, $E$9)</f>
        <v>14.7942</v>
      </c>
      <c r="G872" s="11">
        <f>14.7995 * CHOOSE(CONTROL!$C$32, $C$9, 100%, $E$9)</f>
        <v>14.7995</v>
      </c>
      <c r="H872" s="11">
        <f>29.1795 * CHOOSE(CONTROL!$C$32, $C$9, 100%, $E$9)</f>
        <v>29.179500000000001</v>
      </c>
      <c r="I872" s="11">
        <f>29.1848 * CHOOSE(CONTROL!$C$32, $C$9, 100%, $E$9)</f>
        <v>29.184799999999999</v>
      </c>
      <c r="J872" s="11">
        <f>29.1795 * CHOOSE(CONTROL!$C$32, $C$9, 100%, $E$9)</f>
        <v>29.179500000000001</v>
      </c>
      <c r="K872" s="11">
        <f>29.1848 * CHOOSE(CONTROL!$C$32, $C$9, 100%, $E$9)</f>
        <v>29.184799999999999</v>
      </c>
      <c r="L872" s="11">
        <f>14.7942 * CHOOSE(CONTROL!$C$32, $C$9, 100%, $E$9)</f>
        <v>14.7942</v>
      </c>
      <c r="M872" s="11">
        <f>14.7995 * CHOOSE(CONTROL!$C$32, $C$9, 100%, $E$9)</f>
        <v>14.7995</v>
      </c>
      <c r="N872" s="11">
        <f>14.7942 * CHOOSE(CONTROL!$C$32, $C$9, 100%, $E$9)</f>
        <v>14.7942</v>
      </c>
      <c r="O872" s="11">
        <f>14.7995 * CHOOSE(CONTROL!$C$32, $C$9, 100%, $E$9)</f>
        <v>14.7995</v>
      </c>
    </row>
    <row r="873" spans="1:15" ht="15" x14ac:dyDescent="0.2">
      <c r="A873" s="13">
        <v>67420</v>
      </c>
      <c r="B873" s="9">
        <f>12.9216 * CHOOSE(CONTROL!$C$32, $C$9, 100%, $E$9)</f>
        <v>12.9216</v>
      </c>
      <c r="C873" s="9">
        <f>12.9216 * CHOOSE(CONTROL!$C$32, $C$9, 100%, $E$9)</f>
        <v>12.9216</v>
      </c>
      <c r="D873" s="9">
        <f>12.9231 * CHOOSE(CONTROL!$C$32, $C$9, 100%, $E$9)</f>
        <v>12.9231</v>
      </c>
      <c r="E873" s="11">
        <f>14.4292 * CHOOSE(CONTROL!$C$32, $C$9, 100%, $E$9)</f>
        <v>14.4292</v>
      </c>
      <c r="F873" s="11">
        <f>14.4292 * CHOOSE(CONTROL!$C$32, $C$9, 100%, $E$9)</f>
        <v>14.4292</v>
      </c>
      <c r="G873" s="11">
        <f>14.4345 * CHOOSE(CONTROL!$C$32, $C$9, 100%, $E$9)</f>
        <v>14.4345</v>
      </c>
      <c r="H873" s="11">
        <f>29.2403 * CHOOSE(CONTROL!$C$32, $C$9, 100%, $E$9)</f>
        <v>29.240300000000001</v>
      </c>
      <c r="I873" s="11">
        <f>29.2456 * CHOOSE(CONTROL!$C$32, $C$9, 100%, $E$9)</f>
        <v>29.2456</v>
      </c>
      <c r="J873" s="11">
        <f>29.2403 * CHOOSE(CONTROL!$C$32, $C$9, 100%, $E$9)</f>
        <v>29.240300000000001</v>
      </c>
      <c r="K873" s="11">
        <f>29.2456 * CHOOSE(CONTROL!$C$32, $C$9, 100%, $E$9)</f>
        <v>29.2456</v>
      </c>
      <c r="L873" s="11">
        <f>14.4292 * CHOOSE(CONTROL!$C$32, $C$9, 100%, $E$9)</f>
        <v>14.4292</v>
      </c>
      <c r="M873" s="11">
        <f>14.4345 * CHOOSE(CONTROL!$C$32, $C$9, 100%, $E$9)</f>
        <v>14.4345</v>
      </c>
      <c r="N873" s="11">
        <f>14.4292 * CHOOSE(CONTROL!$C$32, $C$9, 100%, $E$9)</f>
        <v>14.4292</v>
      </c>
      <c r="O873" s="11">
        <f>14.4345 * CHOOSE(CONTROL!$C$32, $C$9, 100%, $E$9)</f>
        <v>14.4345</v>
      </c>
    </row>
    <row r="874" spans="1:15" ht="15" x14ac:dyDescent="0.2">
      <c r="A874" s="13">
        <v>67451</v>
      </c>
      <c r="B874" s="9">
        <f>12.9185 * CHOOSE(CONTROL!$C$32, $C$9, 100%, $E$9)</f>
        <v>12.9185</v>
      </c>
      <c r="C874" s="9">
        <f>12.9185 * CHOOSE(CONTROL!$C$32, $C$9, 100%, $E$9)</f>
        <v>12.9185</v>
      </c>
      <c r="D874" s="9">
        <f>12.9201 * CHOOSE(CONTROL!$C$32, $C$9, 100%, $E$9)</f>
        <v>12.9201</v>
      </c>
      <c r="E874" s="11">
        <f>14.386 * CHOOSE(CONTROL!$C$32, $C$9, 100%, $E$9)</f>
        <v>14.385999999999999</v>
      </c>
      <c r="F874" s="11">
        <f>14.386 * CHOOSE(CONTROL!$C$32, $C$9, 100%, $E$9)</f>
        <v>14.385999999999999</v>
      </c>
      <c r="G874" s="11">
        <f>14.3913 * CHOOSE(CONTROL!$C$32, $C$9, 100%, $E$9)</f>
        <v>14.391299999999999</v>
      </c>
      <c r="H874" s="11">
        <f>29.3012 * CHOOSE(CONTROL!$C$32, $C$9, 100%, $E$9)</f>
        <v>29.301200000000001</v>
      </c>
      <c r="I874" s="11">
        <f>29.3065 * CHOOSE(CONTROL!$C$32, $C$9, 100%, $E$9)</f>
        <v>29.3065</v>
      </c>
      <c r="J874" s="11">
        <f>29.3012 * CHOOSE(CONTROL!$C$32, $C$9, 100%, $E$9)</f>
        <v>29.301200000000001</v>
      </c>
      <c r="K874" s="11">
        <f>29.3065 * CHOOSE(CONTROL!$C$32, $C$9, 100%, $E$9)</f>
        <v>29.3065</v>
      </c>
      <c r="L874" s="11">
        <f>14.386 * CHOOSE(CONTROL!$C$32, $C$9, 100%, $E$9)</f>
        <v>14.385999999999999</v>
      </c>
      <c r="M874" s="11">
        <f>14.3913 * CHOOSE(CONTROL!$C$32, $C$9, 100%, $E$9)</f>
        <v>14.391299999999999</v>
      </c>
      <c r="N874" s="11">
        <f>14.386 * CHOOSE(CONTROL!$C$32, $C$9, 100%, $E$9)</f>
        <v>14.385999999999999</v>
      </c>
      <c r="O874" s="11">
        <f>14.3913 * CHOOSE(CONTROL!$C$32, $C$9, 100%, $E$9)</f>
        <v>14.391299999999999</v>
      </c>
    </row>
    <row r="875" spans="1:15" ht="15" x14ac:dyDescent="0.2">
      <c r="A875" s="13">
        <v>67481</v>
      </c>
      <c r="B875" s="9">
        <f>12.9469 * CHOOSE(CONTROL!$C$32, $C$9, 100%, $E$9)</f>
        <v>12.946899999999999</v>
      </c>
      <c r="C875" s="9">
        <f>12.9469 * CHOOSE(CONTROL!$C$32, $C$9, 100%, $E$9)</f>
        <v>12.946899999999999</v>
      </c>
      <c r="D875" s="9">
        <f>12.948 * CHOOSE(CONTROL!$C$32, $C$9, 100%, $E$9)</f>
        <v>12.948</v>
      </c>
      <c r="E875" s="11">
        <f>14.5369 * CHOOSE(CONTROL!$C$32, $C$9, 100%, $E$9)</f>
        <v>14.536899999999999</v>
      </c>
      <c r="F875" s="11">
        <f>14.5369 * CHOOSE(CONTROL!$C$32, $C$9, 100%, $E$9)</f>
        <v>14.536899999999999</v>
      </c>
      <c r="G875" s="11">
        <f>14.5405 * CHOOSE(CONTROL!$C$32, $C$9, 100%, $E$9)</f>
        <v>14.5405</v>
      </c>
      <c r="H875" s="11">
        <f>29.3622 * CHOOSE(CONTROL!$C$32, $C$9, 100%, $E$9)</f>
        <v>29.362200000000001</v>
      </c>
      <c r="I875" s="11">
        <f>29.3659 * CHOOSE(CONTROL!$C$32, $C$9, 100%, $E$9)</f>
        <v>29.3659</v>
      </c>
      <c r="J875" s="11">
        <f>29.3622 * CHOOSE(CONTROL!$C$32, $C$9, 100%, $E$9)</f>
        <v>29.362200000000001</v>
      </c>
      <c r="K875" s="11">
        <f>29.3659 * CHOOSE(CONTROL!$C$32, $C$9, 100%, $E$9)</f>
        <v>29.3659</v>
      </c>
      <c r="L875" s="11">
        <f>14.5369 * CHOOSE(CONTROL!$C$32, $C$9, 100%, $E$9)</f>
        <v>14.536899999999999</v>
      </c>
      <c r="M875" s="11">
        <f>14.5405 * CHOOSE(CONTROL!$C$32, $C$9, 100%, $E$9)</f>
        <v>14.5405</v>
      </c>
      <c r="N875" s="11">
        <f>14.5369 * CHOOSE(CONTROL!$C$32, $C$9, 100%, $E$9)</f>
        <v>14.536899999999999</v>
      </c>
      <c r="O875" s="11">
        <f>14.5405 * CHOOSE(CONTROL!$C$32, $C$9, 100%, $E$9)</f>
        <v>14.5405</v>
      </c>
    </row>
    <row r="876" spans="1:15" ht="15" x14ac:dyDescent="0.2">
      <c r="A876" s="13">
        <v>67512</v>
      </c>
      <c r="B876" s="9">
        <f>12.95 * CHOOSE(CONTROL!$C$32, $C$9, 100%, $E$9)</f>
        <v>12.95</v>
      </c>
      <c r="C876" s="9">
        <f>12.95 * CHOOSE(CONTROL!$C$32, $C$9, 100%, $E$9)</f>
        <v>12.95</v>
      </c>
      <c r="D876" s="9">
        <f>12.951 * CHOOSE(CONTROL!$C$32, $C$9, 100%, $E$9)</f>
        <v>12.951000000000001</v>
      </c>
      <c r="E876" s="11">
        <f>14.6212 * CHOOSE(CONTROL!$C$32, $C$9, 100%, $E$9)</f>
        <v>14.6212</v>
      </c>
      <c r="F876" s="11">
        <f>14.6212 * CHOOSE(CONTROL!$C$32, $C$9, 100%, $E$9)</f>
        <v>14.6212</v>
      </c>
      <c r="G876" s="11">
        <f>14.6248 * CHOOSE(CONTROL!$C$32, $C$9, 100%, $E$9)</f>
        <v>14.6248</v>
      </c>
      <c r="H876" s="11">
        <f>29.4234 * CHOOSE(CONTROL!$C$32, $C$9, 100%, $E$9)</f>
        <v>29.423400000000001</v>
      </c>
      <c r="I876" s="11">
        <f>29.427 * CHOOSE(CONTROL!$C$32, $C$9, 100%, $E$9)</f>
        <v>29.427</v>
      </c>
      <c r="J876" s="11">
        <f>29.4234 * CHOOSE(CONTROL!$C$32, $C$9, 100%, $E$9)</f>
        <v>29.423400000000001</v>
      </c>
      <c r="K876" s="11">
        <f>29.427 * CHOOSE(CONTROL!$C$32, $C$9, 100%, $E$9)</f>
        <v>29.427</v>
      </c>
      <c r="L876" s="11">
        <f>14.6212 * CHOOSE(CONTROL!$C$32, $C$9, 100%, $E$9)</f>
        <v>14.6212</v>
      </c>
      <c r="M876" s="11">
        <f>14.6248 * CHOOSE(CONTROL!$C$32, $C$9, 100%, $E$9)</f>
        <v>14.6248</v>
      </c>
      <c r="N876" s="11">
        <f>14.6212 * CHOOSE(CONTROL!$C$32, $C$9, 100%, $E$9)</f>
        <v>14.6212</v>
      </c>
      <c r="O876" s="11">
        <f>14.6248 * CHOOSE(CONTROL!$C$32, $C$9, 100%, $E$9)</f>
        <v>14.6248</v>
      </c>
    </row>
    <row r="877" spans="1:15" ht="15" x14ac:dyDescent="0.2">
      <c r="A877" s="13">
        <v>67542</v>
      </c>
      <c r="B877" s="9">
        <f>12.95 * CHOOSE(CONTROL!$C$32, $C$9, 100%, $E$9)</f>
        <v>12.95</v>
      </c>
      <c r="C877" s="9">
        <f>12.95 * CHOOSE(CONTROL!$C$32, $C$9, 100%, $E$9)</f>
        <v>12.95</v>
      </c>
      <c r="D877" s="9">
        <f>12.951 * CHOOSE(CONTROL!$C$32, $C$9, 100%, $E$9)</f>
        <v>12.951000000000001</v>
      </c>
      <c r="E877" s="11">
        <f>14.4158 * CHOOSE(CONTROL!$C$32, $C$9, 100%, $E$9)</f>
        <v>14.415800000000001</v>
      </c>
      <c r="F877" s="11">
        <f>14.4158 * CHOOSE(CONTROL!$C$32, $C$9, 100%, $E$9)</f>
        <v>14.415800000000001</v>
      </c>
      <c r="G877" s="11">
        <f>14.4194 * CHOOSE(CONTROL!$C$32, $C$9, 100%, $E$9)</f>
        <v>14.4194</v>
      </c>
      <c r="H877" s="11">
        <f>29.4847 * CHOOSE(CONTROL!$C$32, $C$9, 100%, $E$9)</f>
        <v>29.4847</v>
      </c>
      <c r="I877" s="11">
        <f>29.4883 * CHOOSE(CONTROL!$C$32, $C$9, 100%, $E$9)</f>
        <v>29.488299999999999</v>
      </c>
      <c r="J877" s="11">
        <f>29.4847 * CHOOSE(CONTROL!$C$32, $C$9, 100%, $E$9)</f>
        <v>29.4847</v>
      </c>
      <c r="K877" s="11">
        <f>29.4883 * CHOOSE(CONTROL!$C$32, $C$9, 100%, $E$9)</f>
        <v>29.488299999999999</v>
      </c>
      <c r="L877" s="11">
        <f>14.4158 * CHOOSE(CONTROL!$C$32, $C$9, 100%, $E$9)</f>
        <v>14.415800000000001</v>
      </c>
      <c r="M877" s="11">
        <f>14.4194 * CHOOSE(CONTROL!$C$32, $C$9, 100%, $E$9)</f>
        <v>14.4194</v>
      </c>
      <c r="N877" s="11">
        <f>14.4158 * CHOOSE(CONTROL!$C$32, $C$9, 100%, $E$9)</f>
        <v>14.415800000000001</v>
      </c>
      <c r="O877" s="11">
        <f>14.4194 * CHOOSE(CONTROL!$C$32, $C$9, 100%, $E$9)</f>
        <v>14.4194</v>
      </c>
    </row>
    <row r="878" spans="1:15" ht="15" x14ac:dyDescent="0.2">
      <c r="A878" s="13">
        <v>67573</v>
      </c>
      <c r="B878" s="9">
        <f>12.9414 * CHOOSE(CONTROL!$C$32, $C$9, 100%, $E$9)</f>
        <v>12.9414</v>
      </c>
      <c r="C878" s="9">
        <f>12.9414 * CHOOSE(CONTROL!$C$32, $C$9, 100%, $E$9)</f>
        <v>12.9414</v>
      </c>
      <c r="D878" s="9">
        <f>12.9425 * CHOOSE(CONTROL!$C$32, $C$9, 100%, $E$9)</f>
        <v>12.942500000000001</v>
      </c>
      <c r="E878" s="11">
        <f>14.5581 * CHOOSE(CONTROL!$C$32, $C$9, 100%, $E$9)</f>
        <v>14.5581</v>
      </c>
      <c r="F878" s="11">
        <f>14.5581 * CHOOSE(CONTROL!$C$32, $C$9, 100%, $E$9)</f>
        <v>14.5581</v>
      </c>
      <c r="G878" s="11">
        <f>14.5617 * CHOOSE(CONTROL!$C$32, $C$9, 100%, $E$9)</f>
        <v>14.5617</v>
      </c>
      <c r="H878" s="11">
        <f>29.2709 * CHOOSE(CONTROL!$C$32, $C$9, 100%, $E$9)</f>
        <v>29.270900000000001</v>
      </c>
      <c r="I878" s="11">
        <f>29.2745 * CHOOSE(CONTROL!$C$32, $C$9, 100%, $E$9)</f>
        <v>29.2745</v>
      </c>
      <c r="J878" s="11">
        <f>29.2709 * CHOOSE(CONTROL!$C$32, $C$9, 100%, $E$9)</f>
        <v>29.270900000000001</v>
      </c>
      <c r="K878" s="11">
        <f>29.2745 * CHOOSE(CONTROL!$C$32, $C$9, 100%, $E$9)</f>
        <v>29.2745</v>
      </c>
      <c r="L878" s="11">
        <f>14.5581 * CHOOSE(CONTROL!$C$32, $C$9, 100%, $E$9)</f>
        <v>14.5581</v>
      </c>
      <c r="M878" s="11">
        <f>14.5617 * CHOOSE(CONTROL!$C$32, $C$9, 100%, $E$9)</f>
        <v>14.5617</v>
      </c>
      <c r="N878" s="11">
        <f>14.5581 * CHOOSE(CONTROL!$C$32, $C$9, 100%, $E$9)</f>
        <v>14.5581</v>
      </c>
      <c r="O878" s="11">
        <f>14.5617 * CHOOSE(CONTROL!$C$32, $C$9, 100%, $E$9)</f>
        <v>14.5617</v>
      </c>
    </row>
    <row r="879" spans="1:15" ht="15" x14ac:dyDescent="0.2">
      <c r="A879" s="13">
        <v>67604</v>
      </c>
      <c r="B879" s="9">
        <f>12.9384 * CHOOSE(CONTROL!$C$32, $C$9, 100%, $E$9)</f>
        <v>12.9384</v>
      </c>
      <c r="C879" s="9">
        <f>12.9384 * CHOOSE(CONTROL!$C$32, $C$9, 100%, $E$9)</f>
        <v>12.9384</v>
      </c>
      <c r="D879" s="9">
        <f>12.9395 * CHOOSE(CONTROL!$C$32, $C$9, 100%, $E$9)</f>
        <v>12.939500000000001</v>
      </c>
      <c r="E879" s="11">
        <f>14.1608 * CHOOSE(CONTROL!$C$32, $C$9, 100%, $E$9)</f>
        <v>14.1608</v>
      </c>
      <c r="F879" s="11">
        <f>14.1608 * CHOOSE(CONTROL!$C$32, $C$9, 100%, $E$9)</f>
        <v>14.1608</v>
      </c>
      <c r="G879" s="11">
        <f>14.1644 * CHOOSE(CONTROL!$C$32, $C$9, 100%, $E$9)</f>
        <v>14.164400000000001</v>
      </c>
      <c r="H879" s="11">
        <f>29.3319 * CHOOSE(CONTROL!$C$32, $C$9, 100%, $E$9)</f>
        <v>29.331900000000001</v>
      </c>
      <c r="I879" s="11">
        <f>29.3355 * CHOOSE(CONTROL!$C$32, $C$9, 100%, $E$9)</f>
        <v>29.3355</v>
      </c>
      <c r="J879" s="11">
        <f>29.3319 * CHOOSE(CONTROL!$C$32, $C$9, 100%, $E$9)</f>
        <v>29.331900000000001</v>
      </c>
      <c r="K879" s="11">
        <f>29.3355 * CHOOSE(CONTROL!$C$32, $C$9, 100%, $E$9)</f>
        <v>29.3355</v>
      </c>
      <c r="L879" s="11">
        <f>14.1608 * CHOOSE(CONTROL!$C$32, $C$9, 100%, $E$9)</f>
        <v>14.1608</v>
      </c>
      <c r="M879" s="11">
        <f>14.1644 * CHOOSE(CONTROL!$C$32, $C$9, 100%, $E$9)</f>
        <v>14.164400000000001</v>
      </c>
      <c r="N879" s="11">
        <f>14.1608 * CHOOSE(CONTROL!$C$32, $C$9, 100%, $E$9)</f>
        <v>14.1608</v>
      </c>
      <c r="O879" s="11">
        <f>14.1644 * CHOOSE(CONTROL!$C$32, $C$9, 100%, $E$9)</f>
        <v>14.164400000000001</v>
      </c>
    </row>
    <row r="880" spans="1:15" ht="15" x14ac:dyDescent="0.2">
      <c r="A880" s="13">
        <v>67632</v>
      </c>
      <c r="B880" s="9">
        <f>12.9354 * CHOOSE(CONTROL!$C$32, $C$9, 100%, $E$9)</f>
        <v>12.9354</v>
      </c>
      <c r="C880" s="9">
        <f>12.9354 * CHOOSE(CONTROL!$C$32, $C$9, 100%, $E$9)</f>
        <v>12.9354</v>
      </c>
      <c r="D880" s="9">
        <f>12.9364 * CHOOSE(CONTROL!$C$32, $C$9, 100%, $E$9)</f>
        <v>12.936400000000001</v>
      </c>
      <c r="E880" s="11">
        <f>14.4702 * CHOOSE(CONTROL!$C$32, $C$9, 100%, $E$9)</f>
        <v>14.4702</v>
      </c>
      <c r="F880" s="11">
        <f>14.4702 * CHOOSE(CONTROL!$C$32, $C$9, 100%, $E$9)</f>
        <v>14.4702</v>
      </c>
      <c r="G880" s="11">
        <f>14.4738 * CHOOSE(CONTROL!$C$32, $C$9, 100%, $E$9)</f>
        <v>14.473800000000001</v>
      </c>
      <c r="H880" s="11">
        <f>29.393 * CHOOSE(CONTROL!$C$32, $C$9, 100%, $E$9)</f>
        <v>29.393000000000001</v>
      </c>
      <c r="I880" s="11">
        <f>29.3966 * CHOOSE(CONTROL!$C$32, $C$9, 100%, $E$9)</f>
        <v>29.396599999999999</v>
      </c>
      <c r="J880" s="11">
        <f>29.393 * CHOOSE(CONTROL!$C$32, $C$9, 100%, $E$9)</f>
        <v>29.393000000000001</v>
      </c>
      <c r="K880" s="11">
        <f>29.3966 * CHOOSE(CONTROL!$C$32, $C$9, 100%, $E$9)</f>
        <v>29.396599999999999</v>
      </c>
      <c r="L880" s="11">
        <f>14.4702 * CHOOSE(CONTROL!$C$32, $C$9, 100%, $E$9)</f>
        <v>14.4702</v>
      </c>
      <c r="M880" s="11">
        <f>14.4738 * CHOOSE(CONTROL!$C$32, $C$9, 100%, $E$9)</f>
        <v>14.473800000000001</v>
      </c>
      <c r="N880" s="11">
        <f>14.4702 * CHOOSE(CONTROL!$C$32, $C$9, 100%, $E$9)</f>
        <v>14.4702</v>
      </c>
      <c r="O880" s="11">
        <f>14.4738 * CHOOSE(CONTROL!$C$32, $C$9, 100%, $E$9)</f>
        <v>14.473800000000001</v>
      </c>
    </row>
    <row r="881" spans="1:15" ht="15" x14ac:dyDescent="0.2">
      <c r="A881" s="13">
        <v>67663</v>
      </c>
      <c r="B881" s="9">
        <f>12.9417 * CHOOSE(CONTROL!$C$32, $C$9, 100%, $E$9)</f>
        <v>12.941700000000001</v>
      </c>
      <c r="C881" s="9">
        <f>12.9417 * CHOOSE(CONTROL!$C$32, $C$9, 100%, $E$9)</f>
        <v>12.941700000000001</v>
      </c>
      <c r="D881" s="9">
        <f>12.9428 * CHOOSE(CONTROL!$C$32, $C$9, 100%, $E$9)</f>
        <v>12.9428</v>
      </c>
      <c r="E881" s="11">
        <f>14.8005 * CHOOSE(CONTROL!$C$32, $C$9, 100%, $E$9)</f>
        <v>14.8005</v>
      </c>
      <c r="F881" s="11">
        <f>14.8005 * CHOOSE(CONTROL!$C$32, $C$9, 100%, $E$9)</f>
        <v>14.8005</v>
      </c>
      <c r="G881" s="11">
        <f>14.8042 * CHOOSE(CONTROL!$C$32, $C$9, 100%, $E$9)</f>
        <v>14.8042</v>
      </c>
      <c r="H881" s="11">
        <f>29.4542 * CHOOSE(CONTROL!$C$32, $C$9, 100%, $E$9)</f>
        <v>29.4542</v>
      </c>
      <c r="I881" s="11">
        <f>29.4578 * CHOOSE(CONTROL!$C$32, $C$9, 100%, $E$9)</f>
        <v>29.457799999999999</v>
      </c>
      <c r="J881" s="11">
        <f>29.4542 * CHOOSE(CONTROL!$C$32, $C$9, 100%, $E$9)</f>
        <v>29.4542</v>
      </c>
      <c r="K881" s="11">
        <f>29.4578 * CHOOSE(CONTROL!$C$32, $C$9, 100%, $E$9)</f>
        <v>29.457799999999999</v>
      </c>
      <c r="L881" s="11">
        <f>14.8005 * CHOOSE(CONTROL!$C$32, $C$9, 100%, $E$9)</f>
        <v>14.8005</v>
      </c>
      <c r="M881" s="11">
        <f>14.8042 * CHOOSE(CONTROL!$C$32, $C$9, 100%, $E$9)</f>
        <v>14.8042</v>
      </c>
      <c r="N881" s="11">
        <f>14.8005 * CHOOSE(CONTROL!$C$32, $C$9, 100%, $E$9)</f>
        <v>14.8005</v>
      </c>
      <c r="O881" s="11">
        <f>14.8042 * CHOOSE(CONTROL!$C$32, $C$9, 100%, $E$9)</f>
        <v>14.8042</v>
      </c>
    </row>
    <row r="882" spans="1:15" ht="15" x14ac:dyDescent="0.2">
      <c r="A882" s="13">
        <v>67693</v>
      </c>
      <c r="B882" s="9">
        <f>12.9417 * CHOOSE(CONTROL!$C$32, $C$9, 100%, $E$9)</f>
        <v>12.941700000000001</v>
      </c>
      <c r="C882" s="9">
        <f>12.9417 * CHOOSE(CONTROL!$C$32, $C$9, 100%, $E$9)</f>
        <v>12.941700000000001</v>
      </c>
      <c r="D882" s="9">
        <f>12.9433 * CHOOSE(CONTROL!$C$32, $C$9, 100%, $E$9)</f>
        <v>12.943300000000001</v>
      </c>
      <c r="E882" s="11">
        <f>14.926 * CHOOSE(CONTROL!$C$32, $C$9, 100%, $E$9)</f>
        <v>14.926</v>
      </c>
      <c r="F882" s="11">
        <f>14.926 * CHOOSE(CONTROL!$C$32, $C$9, 100%, $E$9)</f>
        <v>14.926</v>
      </c>
      <c r="G882" s="11">
        <f>14.9313 * CHOOSE(CONTROL!$C$32, $C$9, 100%, $E$9)</f>
        <v>14.9313</v>
      </c>
      <c r="H882" s="11">
        <f>29.5156 * CHOOSE(CONTROL!$C$32, $C$9, 100%, $E$9)</f>
        <v>29.515599999999999</v>
      </c>
      <c r="I882" s="11">
        <f>29.5209 * CHOOSE(CONTROL!$C$32, $C$9, 100%, $E$9)</f>
        <v>29.520900000000001</v>
      </c>
      <c r="J882" s="11">
        <f>29.5156 * CHOOSE(CONTROL!$C$32, $C$9, 100%, $E$9)</f>
        <v>29.515599999999999</v>
      </c>
      <c r="K882" s="11">
        <f>29.5209 * CHOOSE(CONTROL!$C$32, $C$9, 100%, $E$9)</f>
        <v>29.520900000000001</v>
      </c>
      <c r="L882" s="11">
        <f>14.926 * CHOOSE(CONTROL!$C$32, $C$9, 100%, $E$9)</f>
        <v>14.926</v>
      </c>
      <c r="M882" s="11">
        <f>14.9313 * CHOOSE(CONTROL!$C$32, $C$9, 100%, $E$9)</f>
        <v>14.9313</v>
      </c>
      <c r="N882" s="11">
        <f>14.926 * CHOOSE(CONTROL!$C$32, $C$9, 100%, $E$9)</f>
        <v>14.926</v>
      </c>
      <c r="O882" s="11">
        <f>14.9313 * CHOOSE(CONTROL!$C$32, $C$9, 100%, $E$9)</f>
        <v>14.9313</v>
      </c>
    </row>
    <row r="883" spans="1:15" ht="15" x14ac:dyDescent="0.2">
      <c r="A883" s="13">
        <v>67724</v>
      </c>
      <c r="B883" s="9">
        <f>12.9478 * CHOOSE(CONTROL!$C$32, $C$9, 100%, $E$9)</f>
        <v>12.947800000000001</v>
      </c>
      <c r="C883" s="9">
        <f>12.9478 * CHOOSE(CONTROL!$C$32, $C$9, 100%, $E$9)</f>
        <v>12.947800000000001</v>
      </c>
      <c r="D883" s="9">
        <f>12.9493 * CHOOSE(CONTROL!$C$32, $C$9, 100%, $E$9)</f>
        <v>12.949299999999999</v>
      </c>
      <c r="E883" s="11">
        <f>14.8048 * CHOOSE(CONTROL!$C$32, $C$9, 100%, $E$9)</f>
        <v>14.8048</v>
      </c>
      <c r="F883" s="11">
        <f>14.8048 * CHOOSE(CONTROL!$C$32, $C$9, 100%, $E$9)</f>
        <v>14.8048</v>
      </c>
      <c r="G883" s="11">
        <f>14.8101 * CHOOSE(CONTROL!$C$32, $C$9, 100%, $E$9)</f>
        <v>14.8101</v>
      </c>
      <c r="H883" s="11">
        <f>29.5771 * CHOOSE(CONTROL!$C$32, $C$9, 100%, $E$9)</f>
        <v>29.577100000000002</v>
      </c>
      <c r="I883" s="11">
        <f>29.5824 * CHOOSE(CONTROL!$C$32, $C$9, 100%, $E$9)</f>
        <v>29.5824</v>
      </c>
      <c r="J883" s="11">
        <f>29.5771 * CHOOSE(CONTROL!$C$32, $C$9, 100%, $E$9)</f>
        <v>29.577100000000002</v>
      </c>
      <c r="K883" s="11">
        <f>29.5824 * CHOOSE(CONTROL!$C$32, $C$9, 100%, $E$9)</f>
        <v>29.5824</v>
      </c>
      <c r="L883" s="11">
        <f>14.8048 * CHOOSE(CONTROL!$C$32, $C$9, 100%, $E$9)</f>
        <v>14.8048</v>
      </c>
      <c r="M883" s="11">
        <f>14.8101 * CHOOSE(CONTROL!$C$32, $C$9, 100%, $E$9)</f>
        <v>14.8101</v>
      </c>
      <c r="N883" s="11">
        <f>14.8048 * CHOOSE(CONTROL!$C$32, $C$9, 100%, $E$9)</f>
        <v>14.8048</v>
      </c>
      <c r="O883" s="11">
        <f>14.8101 * CHOOSE(CONTROL!$C$32, $C$9, 100%, $E$9)</f>
        <v>14.8101</v>
      </c>
    </row>
    <row r="884" spans="1:15" ht="15" x14ac:dyDescent="0.2">
      <c r="A884" s="13">
        <v>67754</v>
      </c>
      <c r="B884" s="9">
        <f>13.1045 * CHOOSE(CONTROL!$C$32, $C$9, 100%, $E$9)</f>
        <v>13.1045</v>
      </c>
      <c r="C884" s="9">
        <f>13.1045 * CHOOSE(CONTROL!$C$32, $C$9, 100%, $E$9)</f>
        <v>13.1045</v>
      </c>
      <c r="D884" s="9">
        <f>13.1061 * CHOOSE(CONTROL!$C$32, $C$9, 100%, $E$9)</f>
        <v>13.1061</v>
      </c>
      <c r="E884" s="11">
        <f>15.0144 * CHOOSE(CONTROL!$C$32, $C$9, 100%, $E$9)</f>
        <v>15.0144</v>
      </c>
      <c r="F884" s="11">
        <f>15.0144 * CHOOSE(CONTROL!$C$32, $C$9, 100%, $E$9)</f>
        <v>15.0144</v>
      </c>
      <c r="G884" s="11">
        <f>15.0197 * CHOOSE(CONTROL!$C$32, $C$9, 100%, $E$9)</f>
        <v>15.0197</v>
      </c>
      <c r="H884" s="11">
        <f>29.6387 * CHOOSE(CONTROL!$C$32, $C$9, 100%, $E$9)</f>
        <v>29.6387</v>
      </c>
      <c r="I884" s="11">
        <f>29.644 * CHOOSE(CONTROL!$C$32, $C$9, 100%, $E$9)</f>
        <v>29.643999999999998</v>
      </c>
      <c r="J884" s="11">
        <f>29.6387 * CHOOSE(CONTROL!$C$32, $C$9, 100%, $E$9)</f>
        <v>29.6387</v>
      </c>
      <c r="K884" s="11">
        <f>29.644 * CHOOSE(CONTROL!$C$32, $C$9, 100%, $E$9)</f>
        <v>29.643999999999998</v>
      </c>
      <c r="L884" s="11">
        <f>15.0144 * CHOOSE(CONTROL!$C$32, $C$9, 100%, $E$9)</f>
        <v>15.0144</v>
      </c>
      <c r="M884" s="11">
        <f>15.0197 * CHOOSE(CONTROL!$C$32, $C$9, 100%, $E$9)</f>
        <v>15.0197</v>
      </c>
      <c r="N884" s="11">
        <f>15.0144 * CHOOSE(CONTROL!$C$32, $C$9, 100%, $E$9)</f>
        <v>15.0144</v>
      </c>
      <c r="O884" s="11">
        <f>15.0197 * CHOOSE(CONTROL!$C$32, $C$9, 100%, $E$9)</f>
        <v>15.0197</v>
      </c>
    </row>
    <row r="885" spans="1:15" ht="15" x14ac:dyDescent="0.2">
      <c r="A885" s="13">
        <v>67785</v>
      </c>
      <c r="B885" s="9">
        <f>13.1112 * CHOOSE(CONTROL!$C$32, $C$9, 100%, $E$9)</f>
        <v>13.1112</v>
      </c>
      <c r="C885" s="9">
        <f>13.1112 * CHOOSE(CONTROL!$C$32, $C$9, 100%, $E$9)</f>
        <v>13.1112</v>
      </c>
      <c r="D885" s="9">
        <f>13.1127 * CHOOSE(CONTROL!$C$32, $C$9, 100%, $E$9)</f>
        <v>13.1127</v>
      </c>
      <c r="E885" s="11">
        <f>14.6427 * CHOOSE(CONTROL!$C$32, $C$9, 100%, $E$9)</f>
        <v>14.6427</v>
      </c>
      <c r="F885" s="11">
        <f>14.6427 * CHOOSE(CONTROL!$C$32, $C$9, 100%, $E$9)</f>
        <v>14.6427</v>
      </c>
      <c r="G885" s="11">
        <f>14.6479 * CHOOSE(CONTROL!$C$32, $C$9, 100%, $E$9)</f>
        <v>14.6479</v>
      </c>
      <c r="H885" s="11">
        <f>29.7004 * CHOOSE(CONTROL!$C$32, $C$9, 100%, $E$9)</f>
        <v>29.700399999999998</v>
      </c>
      <c r="I885" s="11">
        <f>29.7057 * CHOOSE(CONTROL!$C$32, $C$9, 100%, $E$9)</f>
        <v>29.7057</v>
      </c>
      <c r="J885" s="11">
        <f>29.7004 * CHOOSE(CONTROL!$C$32, $C$9, 100%, $E$9)</f>
        <v>29.700399999999998</v>
      </c>
      <c r="K885" s="11">
        <f>29.7057 * CHOOSE(CONTROL!$C$32, $C$9, 100%, $E$9)</f>
        <v>29.7057</v>
      </c>
      <c r="L885" s="11">
        <f>14.6427 * CHOOSE(CONTROL!$C$32, $C$9, 100%, $E$9)</f>
        <v>14.6427</v>
      </c>
      <c r="M885" s="11">
        <f>14.6479 * CHOOSE(CONTROL!$C$32, $C$9, 100%, $E$9)</f>
        <v>14.6479</v>
      </c>
      <c r="N885" s="11">
        <f>14.6427 * CHOOSE(CONTROL!$C$32, $C$9, 100%, $E$9)</f>
        <v>14.6427</v>
      </c>
      <c r="O885" s="11">
        <f>14.6479 * CHOOSE(CONTROL!$C$32, $C$9, 100%, $E$9)</f>
        <v>14.6479</v>
      </c>
    </row>
    <row r="886" spans="1:15" ht="15" x14ac:dyDescent="0.2">
      <c r="A886" s="13">
        <v>67816</v>
      </c>
      <c r="B886" s="9">
        <f>13.1081 * CHOOSE(CONTROL!$C$32, $C$9, 100%, $E$9)</f>
        <v>13.1081</v>
      </c>
      <c r="C886" s="9">
        <f>13.1081 * CHOOSE(CONTROL!$C$32, $C$9, 100%, $E$9)</f>
        <v>13.1081</v>
      </c>
      <c r="D886" s="9">
        <f>13.1097 * CHOOSE(CONTROL!$C$32, $C$9, 100%, $E$9)</f>
        <v>13.1097</v>
      </c>
      <c r="E886" s="11">
        <f>14.5987 * CHOOSE(CONTROL!$C$32, $C$9, 100%, $E$9)</f>
        <v>14.598699999999999</v>
      </c>
      <c r="F886" s="11">
        <f>14.5987 * CHOOSE(CONTROL!$C$32, $C$9, 100%, $E$9)</f>
        <v>14.598699999999999</v>
      </c>
      <c r="G886" s="11">
        <f>14.604 * CHOOSE(CONTROL!$C$32, $C$9, 100%, $E$9)</f>
        <v>14.603999999999999</v>
      </c>
      <c r="H886" s="11">
        <f>29.7623 * CHOOSE(CONTROL!$C$32, $C$9, 100%, $E$9)</f>
        <v>29.7623</v>
      </c>
      <c r="I886" s="11">
        <f>29.7676 * CHOOSE(CONTROL!$C$32, $C$9, 100%, $E$9)</f>
        <v>29.767600000000002</v>
      </c>
      <c r="J886" s="11">
        <f>29.7623 * CHOOSE(CONTROL!$C$32, $C$9, 100%, $E$9)</f>
        <v>29.7623</v>
      </c>
      <c r="K886" s="11">
        <f>29.7676 * CHOOSE(CONTROL!$C$32, $C$9, 100%, $E$9)</f>
        <v>29.767600000000002</v>
      </c>
      <c r="L886" s="11">
        <f>14.5987 * CHOOSE(CONTROL!$C$32, $C$9, 100%, $E$9)</f>
        <v>14.598699999999999</v>
      </c>
      <c r="M886" s="11">
        <f>14.604 * CHOOSE(CONTROL!$C$32, $C$9, 100%, $E$9)</f>
        <v>14.603999999999999</v>
      </c>
      <c r="N886" s="11">
        <f>14.5987 * CHOOSE(CONTROL!$C$32, $C$9, 100%, $E$9)</f>
        <v>14.598699999999999</v>
      </c>
      <c r="O886" s="11">
        <f>14.604 * CHOOSE(CONTROL!$C$32, $C$9, 100%, $E$9)</f>
        <v>14.603999999999999</v>
      </c>
    </row>
    <row r="887" spans="1:15" ht="15" x14ac:dyDescent="0.2">
      <c r="A887" s="13">
        <v>67846</v>
      </c>
      <c r="B887" s="9">
        <f>13.1372 * CHOOSE(CONTROL!$C$32, $C$9, 100%, $E$9)</f>
        <v>13.1372</v>
      </c>
      <c r="C887" s="9">
        <f>13.1372 * CHOOSE(CONTROL!$C$32, $C$9, 100%, $E$9)</f>
        <v>13.1372</v>
      </c>
      <c r="D887" s="9">
        <f>13.1383 * CHOOSE(CONTROL!$C$32, $C$9, 100%, $E$9)</f>
        <v>13.138299999999999</v>
      </c>
      <c r="E887" s="11">
        <f>14.7526 * CHOOSE(CONTROL!$C$32, $C$9, 100%, $E$9)</f>
        <v>14.752599999999999</v>
      </c>
      <c r="F887" s="11">
        <f>14.7526 * CHOOSE(CONTROL!$C$32, $C$9, 100%, $E$9)</f>
        <v>14.752599999999999</v>
      </c>
      <c r="G887" s="11">
        <f>14.7562 * CHOOSE(CONTROL!$C$32, $C$9, 100%, $E$9)</f>
        <v>14.7562</v>
      </c>
      <c r="H887" s="11">
        <f>29.8243 * CHOOSE(CONTROL!$C$32, $C$9, 100%, $E$9)</f>
        <v>29.824300000000001</v>
      </c>
      <c r="I887" s="11">
        <f>29.8279 * CHOOSE(CONTROL!$C$32, $C$9, 100%, $E$9)</f>
        <v>29.8279</v>
      </c>
      <c r="J887" s="11">
        <f>29.8243 * CHOOSE(CONTROL!$C$32, $C$9, 100%, $E$9)</f>
        <v>29.824300000000001</v>
      </c>
      <c r="K887" s="11">
        <f>29.8279 * CHOOSE(CONTROL!$C$32, $C$9, 100%, $E$9)</f>
        <v>29.8279</v>
      </c>
      <c r="L887" s="11">
        <f>14.7526 * CHOOSE(CONTROL!$C$32, $C$9, 100%, $E$9)</f>
        <v>14.752599999999999</v>
      </c>
      <c r="M887" s="11">
        <f>14.7562 * CHOOSE(CONTROL!$C$32, $C$9, 100%, $E$9)</f>
        <v>14.7562</v>
      </c>
      <c r="N887" s="11">
        <f>14.7526 * CHOOSE(CONTROL!$C$32, $C$9, 100%, $E$9)</f>
        <v>14.752599999999999</v>
      </c>
      <c r="O887" s="11">
        <f>14.7562 * CHOOSE(CONTROL!$C$32, $C$9, 100%, $E$9)</f>
        <v>14.7562</v>
      </c>
    </row>
    <row r="888" spans="1:15" ht="15" x14ac:dyDescent="0.2">
      <c r="A888" s="13">
        <v>67877</v>
      </c>
      <c r="B888" s="9">
        <f>13.1403 * CHOOSE(CONTROL!$C$32, $C$9, 100%, $E$9)</f>
        <v>13.1403</v>
      </c>
      <c r="C888" s="9">
        <f>13.1403 * CHOOSE(CONTROL!$C$32, $C$9, 100%, $E$9)</f>
        <v>13.1403</v>
      </c>
      <c r="D888" s="9">
        <f>13.1413 * CHOOSE(CONTROL!$C$32, $C$9, 100%, $E$9)</f>
        <v>13.141299999999999</v>
      </c>
      <c r="E888" s="11">
        <f>14.8383 * CHOOSE(CONTROL!$C$32, $C$9, 100%, $E$9)</f>
        <v>14.8383</v>
      </c>
      <c r="F888" s="11">
        <f>14.8383 * CHOOSE(CONTROL!$C$32, $C$9, 100%, $E$9)</f>
        <v>14.8383</v>
      </c>
      <c r="G888" s="11">
        <f>14.842 * CHOOSE(CONTROL!$C$32, $C$9, 100%, $E$9)</f>
        <v>14.842000000000001</v>
      </c>
      <c r="H888" s="11">
        <f>29.8865 * CHOOSE(CONTROL!$C$32, $C$9, 100%, $E$9)</f>
        <v>29.886500000000002</v>
      </c>
      <c r="I888" s="11">
        <f>29.8901 * CHOOSE(CONTROL!$C$32, $C$9, 100%, $E$9)</f>
        <v>29.8901</v>
      </c>
      <c r="J888" s="11">
        <f>29.8865 * CHOOSE(CONTROL!$C$32, $C$9, 100%, $E$9)</f>
        <v>29.886500000000002</v>
      </c>
      <c r="K888" s="11">
        <f>29.8901 * CHOOSE(CONTROL!$C$32, $C$9, 100%, $E$9)</f>
        <v>29.8901</v>
      </c>
      <c r="L888" s="11">
        <f>14.8383 * CHOOSE(CONTROL!$C$32, $C$9, 100%, $E$9)</f>
        <v>14.8383</v>
      </c>
      <c r="M888" s="11">
        <f>14.842 * CHOOSE(CONTROL!$C$32, $C$9, 100%, $E$9)</f>
        <v>14.842000000000001</v>
      </c>
      <c r="N888" s="11">
        <f>14.8383 * CHOOSE(CONTROL!$C$32, $C$9, 100%, $E$9)</f>
        <v>14.8383</v>
      </c>
      <c r="O888" s="11">
        <f>14.842 * CHOOSE(CONTROL!$C$32, $C$9, 100%, $E$9)</f>
        <v>14.842000000000001</v>
      </c>
    </row>
    <row r="889" spans="1:15" ht="15" x14ac:dyDescent="0.2">
      <c r="A889" s="13">
        <v>67907</v>
      </c>
      <c r="B889" s="9">
        <f>13.1403 * CHOOSE(CONTROL!$C$32, $C$9, 100%, $E$9)</f>
        <v>13.1403</v>
      </c>
      <c r="C889" s="9">
        <f>13.1403 * CHOOSE(CONTROL!$C$32, $C$9, 100%, $E$9)</f>
        <v>13.1403</v>
      </c>
      <c r="D889" s="9">
        <f>13.1413 * CHOOSE(CONTROL!$C$32, $C$9, 100%, $E$9)</f>
        <v>13.141299999999999</v>
      </c>
      <c r="E889" s="11">
        <f>14.6292 * CHOOSE(CONTROL!$C$32, $C$9, 100%, $E$9)</f>
        <v>14.629200000000001</v>
      </c>
      <c r="F889" s="11">
        <f>14.6292 * CHOOSE(CONTROL!$C$32, $C$9, 100%, $E$9)</f>
        <v>14.629200000000001</v>
      </c>
      <c r="G889" s="11">
        <f>14.6328 * CHOOSE(CONTROL!$C$32, $C$9, 100%, $E$9)</f>
        <v>14.6328</v>
      </c>
      <c r="H889" s="11">
        <f>29.9487 * CHOOSE(CONTROL!$C$32, $C$9, 100%, $E$9)</f>
        <v>29.948699999999999</v>
      </c>
      <c r="I889" s="11">
        <f>29.9523 * CHOOSE(CONTROL!$C$32, $C$9, 100%, $E$9)</f>
        <v>29.952300000000001</v>
      </c>
      <c r="J889" s="11">
        <f>29.9487 * CHOOSE(CONTROL!$C$32, $C$9, 100%, $E$9)</f>
        <v>29.948699999999999</v>
      </c>
      <c r="K889" s="11">
        <f>29.9523 * CHOOSE(CONTROL!$C$32, $C$9, 100%, $E$9)</f>
        <v>29.952300000000001</v>
      </c>
      <c r="L889" s="11">
        <f>14.6292 * CHOOSE(CONTROL!$C$32, $C$9, 100%, $E$9)</f>
        <v>14.629200000000001</v>
      </c>
      <c r="M889" s="11">
        <f>14.6328 * CHOOSE(CONTROL!$C$32, $C$9, 100%, $E$9)</f>
        <v>14.6328</v>
      </c>
      <c r="N889" s="11">
        <f>14.6292 * CHOOSE(CONTROL!$C$32, $C$9, 100%, $E$9)</f>
        <v>14.629200000000001</v>
      </c>
      <c r="O889" s="11">
        <f>14.6328 * CHOOSE(CONTROL!$C$32, $C$9, 100%, $E$9)</f>
        <v>14.6328</v>
      </c>
    </row>
    <row r="890" spans="1:15" ht="15" x14ac:dyDescent="0.2">
      <c r="A890" s="13">
        <v>67938</v>
      </c>
      <c r="B890" s="9">
        <f>13.1288 * CHOOSE(CONTROL!$C$32, $C$9, 100%, $E$9)</f>
        <v>13.1288</v>
      </c>
      <c r="C890" s="9">
        <f>13.1288 * CHOOSE(CONTROL!$C$32, $C$9, 100%, $E$9)</f>
        <v>13.1288</v>
      </c>
      <c r="D890" s="9">
        <f>13.1299 * CHOOSE(CONTROL!$C$32, $C$9, 100%, $E$9)</f>
        <v>13.129899999999999</v>
      </c>
      <c r="E890" s="11">
        <f>14.7706 * CHOOSE(CONTROL!$C$32, $C$9, 100%, $E$9)</f>
        <v>14.7706</v>
      </c>
      <c r="F890" s="11">
        <f>14.7706 * CHOOSE(CONTROL!$C$32, $C$9, 100%, $E$9)</f>
        <v>14.7706</v>
      </c>
      <c r="G890" s="11">
        <f>14.7742 * CHOOSE(CONTROL!$C$32, $C$9, 100%, $E$9)</f>
        <v>14.7742</v>
      </c>
      <c r="H890" s="11">
        <f>29.7244 * CHOOSE(CONTROL!$C$32, $C$9, 100%, $E$9)</f>
        <v>29.724399999999999</v>
      </c>
      <c r="I890" s="11">
        <f>29.728 * CHOOSE(CONTROL!$C$32, $C$9, 100%, $E$9)</f>
        <v>29.728000000000002</v>
      </c>
      <c r="J890" s="11">
        <f>29.7244 * CHOOSE(CONTROL!$C$32, $C$9, 100%, $E$9)</f>
        <v>29.724399999999999</v>
      </c>
      <c r="K890" s="11">
        <f>29.728 * CHOOSE(CONTROL!$C$32, $C$9, 100%, $E$9)</f>
        <v>29.728000000000002</v>
      </c>
      <c r="L890" s="11">
        <f>14.7706 * CHOOSE(CONTROL!$C$32, $C$9, 100%, $E$9)</f>
        <v>14.7706</v>
      </c>
      <c r="M890" s="11">
        <f>14.7742 * CHOOSE(CONTROL!$C$32, $C$9, 100%, $E$9)</f>
        <v>14.7742</v>
      </c>
      <c r="N890" s="11">
        <f>14.7706 * CHOOSE(CONTROL!$C$32, $C$9, 100%, $E$9)</f>
        <v>14.7706</v>
      </c>
      <c r="O890" s="11">
        <f>14.7742 * CHOOSE(CONTROL!$C$32, $C$9, 100%, $E$9)</f>
        <v>14.7742</v>
      </c>
    </row>
    <row r="891" spans="1:15" ht="15" x14ac:dyDescent="0.2">
      <c r="A891" s="13">
        <v>67969</v>
      </c>
      <c r="B891" s="9">
        <f>13.1258 * CHOOSE(CONTROL!$C$32, $C$9, 100%, $E$9)</f>
        <v>13.1258</v>
      </c>
      <c r="C891" s="9">
        <f>13.1258 * CHOOSE(CONTROL!$C$32, $C$9, 100%, $E$9)</f>
        <v>13.1258</v>
      </c>
      <c r="D891" s="9">
        <f>13.1268 * CHOOSE(CONTROL!$C$32, $C$9, 100%, $E$9)</f>
        <v>13.126799999999999</v>
      </c>
      <c r="E891" s="11">
        <f>14.3662 * CHOOSE(CONTROL!$C$32, $C$9, 100%, $E$9)</f>
        <v>14.366199999999999</v>
      </c>
      <c r="F891" s="11">
        <f>14.3662 * CHOOSE(CONTROL!$C$32, $C$9, 100%, $E$9)</f>
        <v>14.366199999999999</v>
      </c>
      <c r="G891" s="11">
        <f>14.3698 * CHOOSE(CONTROL!$C$32, $C$9, 100%, $E$9)</f>
        <v>14.3698</v>
      </c>
      <c r="H891" s="11">
        <f>29.7863 * CHOOSE(CONTROL!$C$32, $C$9, 100%, $E$9)</f>
        <v>29.786300000000001</v>
      </c>
      <c r="I891" s="11">
        <f>29.7899 * CHOOSE(CONTROL!$C$32, $C$9, 100%, $E$9)</f>
        <v>29.789899999999999</v>
      </c>
      <c r="J891" s="11">
        <f>29.7863 * CHOOSE(CONTROL!$C$32, $C$9, 100%, $E$9)</f>
        <v>29.786300000000001</v>
      </c>
      <c r="K891" s="11">
        <f>29.7899 * CHOOSE(CONTROL!$C$32, $C$9, 100%, $E$9)</f>
        <v>29.789899999999999</v>
      </c>
      <c r="L891" s="11">
        <f>14.3662 * CHOOSE(CONTROL!$C$32, $C$9, 100%, $E$9)</f>
        <v>14.366199999999999</v>
      </c>
      <c r="M891" s="11">
        <f>14.3698 * CHOOSE(CONTROL!$C$32, $C$9, 100%, $E$9)</f>
        <v>14.3698</v>
      </c>
      <c r="N891" s="11">
        <f>14.3662 * CHOOSE(CONTROL!$C$32, $C$9, 100%, $E$9)</f>
        <v>14.366199999999999</v>
      </c>
      <c r="O891" s="11">
        <f>14.3698 * CHOOSE(CONTROL!$C$32, $C$9, 100%, $E$9)</f>
        <v>14.3698</v>
      </c>
    </row>
    <row r="892" spans="1:15" ht="15" x14ac:dyDescent="0.2">
      <c r="A892" s="13">
        <v>67997</v>
      </c>
      <c r="B892" s="9">
        <f>13.1227 * CHOOSE(CONTROL!$C$32, $C$9, 100%, $E$9)</f>
        <v>13.1227</v>
      </c>
      <c r="C892" s="9">
        <f>13.1227 * CHOOSE(CONTROL!$C$32, $C$9, 100%, $E$9)</f>
        <v>13.1227</v>
      </c>
      <c r="D892" s="9">
        <f>13.1238 * CHOOSE(CONTROL!$C$32, $C$9, 100%, $E$9)</f>
        <v>13.123799999999999</v>
      </c>
      <c r="E892" s="11">
        <f>14.6812 * CHOOSE(CONTROL!$C$32, $C$9, 100%, $E$9)</f>
        <v>14.6812</v>
      </c>
      <c r="F892" s="11">
        <f>14.6812 * CHOOSE(CONTROL!$C$32, $C$9, 100%, $E$9)</f>
        <v>14.6812</v>
      </c>
      <c r="G892" s="11">
        <f>14.6848 * CHOOSE(CONTROL!$C$32, $C$9, 100%, $E$9)</f>
        <v>14.684799999999999</v>
      </c>
      <c r="H892" s="11">
        <f>29.8484 * CHOOSE(CONTROL!$C$32, $C$9, 100%, $E$9)</f>
        <v>29.848400000000002</v>
      </c>
      <c r="I892" s="11">
        <f>29.852 * CHOOSE(CONTROL!$C$32, $C$9, 100%, $E$9)</f>
        <v>29.852</v>
      </c>
      <c r="J892" s="11">
        <f>29.8484 * CHOOSE(CONTROL!$C$32, $C$9, 100%, $E$9)</f>
        <v>29.848400000000002</v>
      </c>
      <c r="K892" s="11">
        <f>29.852 * CHOOSE(CONTROL!$C$32, $C$9, 100%, $E$9)</f>
        <v>29.852</v>
      </c>
      <c r="L892" s="11">
        <f>14.6812 * CHOOSE(CONTROL!$C$32, $C$9, 100%, $E$9)</f>
        <v>14.6812</v>
      </c>
      <c r="M892" s="11">
        <f>14.6848 * CHOOSE(CONTROL!$C$32, $C$9, 100%, $E$9)</f>
        <v>14.684799999999999</v>
      </c>
      <c r="N892" s="11">
        <f>14.6812 * CHOOSE(CONTROL!$C$32, $C$9, 100%, $E$9)</f>
        <v>14.6812</v>
      </c>
      <c r="O892" s="11">
        <f>14.6848 * CHOOSE(CONTROL!$C$32, $C$9, 100%, $E$9)</f>
        <v>14.684799999999999</v>
      </c>
    </row>
    <row r="893" spans="1:15" ht="15" x14ac:dyDescent="0.2">
      <c r="A893" s="13">
        <v>68028</v>
      </c>
      <c r="B893" s="9">
        <f>13.1292 * CHOOSE(CONTROL!$C$32, $C$9, 100%, $E$9)</f>
        <v>13.129200000000001</v>
      </c>
      <c r="C893" s="9">
        <f>13.1292 * CHOOSE(CONTROL!$C$32, $C$9, 100%, $E$9)</f>
        <v>13.129200000000001</v>
      </c>
      <c r="D893" s="9">
        <f>13.1303 * CHOOSE(CONTROL!$C$32, $C$9, 100%, $E$9)</f>
        <v>13.1303</v>
      </c>
      <c r="E893" s="11">
        <f>15.0175 * CHOOSE(CONTROL!$C$32, $C$9, 100%, $E$9)</f>
        <v>15.0175</v>
      </c>
      <c r="F893" s="11">
        <f>15.0175 * CHOOSE(CONTROL!$C$32, $C$9, 100%, $E$9)</f>
        <v>15.0175</v>
      </c>
      <c r="G893" s="11">
        <f>15.0212 * CHOOSE(CONTROL!$C$32, $C$9, 100%, $E$9)</f>
        <v>15.0212</v>
      </c>
      <c r="H893" s="11">
        <f>29.9106 * CHOOSE(CONTROL!$C$32, $C$9, 100%, $E$9)</f>
        <v>29.910599999999999</v>
      </c>
      <c r="I893" s="11">
        <f>29.9142 * CHOOSE(CONTROL!$C$32, $C$9, 100%, $E$9)</f>
        <v>29.914200000000001</v>
      </c>
      <c r="J893" s="11">
        <f>29.9106 * CHOOSE(CONTROL!$C$32, $C$9, 100%, $E$9)</f>
        <v>29.910599999999999</v>
      </c>
      <c r="K893" s="11">
        <f>29.9142 * CHOOSE(CONTROL!$C$32, $C$9, 100%, $E$9)</f>
        <v>29.914200000000001</v>
      </c>
      <c r="L893" s="11">
        <f>15.0175 * CHOOSE(CONTROL!$C$32, $C$9, 100%, $E$9)</f>
        <v>15.0175</v>
      </c>
      <c r="M893" s="11">
        <f>15.0212 * CHOOSE(CONTROL!$C$32, $C$9, 100%, $E$9)</f>
        <v>15.0212</v>
      </c>
      <c r="N893" s="11">
        <f>15.0175 * CHOOSE(CONTROL!$C$32, $C$9, 100%, $E$9)</f>
        <v>15.0175</v>
      </c>
      <c r="O893" s="11">
        <f>15.0212 * CHOOSE(CONTROL!$C$32, $C$9, 100%, $E$9)</f>
        <v>15.0212</v>
      </c>
    </row>
    <row r="894" spans="1:15" ht="15" x14ac:dyDescent="0.2">
      <c r="A894" s="13">
        <v>68058</v>
      </c>
      <c r="B894" s="9">
        <f>13.1292 * CHOOSE(CONTROL!$C$32, $C$9, 100%, $E$9)</f>
        <v>13.129200000000001</v>
      </c>
      <c r="C894" s="9">
        <f>13.1292 * CHOOSE(CONTROL!$C$32, $C$9, 100%, $E$9)</f>
        <v>13.129200000000001</v>
      </c>
      <c r="D894" s="9">
        <f>13.1308 * CHOOSE(CONTROL!$C$32, $C$9, 100%, $E$9)</f>
        <v>13.130800000000001</v>
      </c>
      <c r="E894" s="11">
        <f>15.1453 * CHOOSE(CONTROL!$C$32, $C$9, 100%, $E$9)</f>
        <v>15.145300000000001</v>
      </c>
      <c r="F894" s="11">
        <f>15.1453 * CHOOSE(CONTROL!$C$32, $C$9, 100%, $E$9)</f>
        <v>15.145300000000001</v>
      </c>
      <c r="G894" s="11">
        <f>15.1506 * CHOOSE(CONTROL!$C$32, $C$9, 100%, $E$9)</f>
        <v>15.150600000000001</v>
      </c>
      <c r="H894" s="11">
        <f>29.9729 * CHOOSE(CONTROL!$C$32, $C$9, 100%, $E$9)</f>
        <v>29.972899999999999</v>
      </c>
      <c r="I894" s="11">
        <f>29.9782 * CHOOSE(CONTROL!$C$32, $C$9, 100%, $E$9)</f>
        <v>29.978200000000001</v>
      </c>
      <c r="J894" s="11">
        <f>29.9729 * CHOOSE(CONTROL!$C$32, $C$9, 100%, $E$9)</f>
        <v>29.972899999999999</v>
      </c>
      <c r="K894" s="11">
        <f>29.9782 * CHOOSE(CONTROL!$C$32, $C$9, 100%, $E$9)</f>
        <v>29.978200000000001</v>
      </c>
      <c r="L894" s="11">
        <f>15.1453 * CHOOSE(CONTROL!$C$32, $C$9, 100%, $E$9)</f>
        <v>15.145300000000001</v>
      </c>
      <c r="M894" s="11">
        <f>15.1506 * CHOOSE(CONTROL!$C$32, $C$9, 100%, $E$9)</f>
        <v>15.150600000000001</v>
      </c>
      <c r="N894" s="11">
        <f>15.1453 * CHOOSE(CONTROL!$C$32, $C$9, 100%, $E$9)</f>
        <v>15.145300000000001</v>
      </c>
      <c r="O894" s="11">
        <f>15.1506 * CHOOSE(CONTROL!$C$32, $C$9, 100%, $E$9)</f>
        <v>15.150600000000001</v>
      </c>
    </row>
    <row r="895" spans="1:15" ht="15" x14ac:dyDescent="0.2">
      <c r="A895" s="13">
        <v>68089</v>
      </c>
      <c r="B895" s="9">
        <f>13.1353 * CHOOSE(CONTROL!$C$32, $C$9, 100%, $E$9)</f>
        <v>13.135300000000001</v>
      </c>
      <c r="C895" s="9">
        <f>13.1353 * CHOOSE(CONTROL!$C$32, $C$9, 100%, $E$9)</f>
        <v>13.135300000000001</v>
      </c>
      <c r="D895" s="9">
        <f>13.1369 * CHOOSE(CONTROL!$C$32, $C$9, 100%, $E$9)</f>
        <v>13.136900000000001</v>
      </c>
      <c r="E895" s="11">
        <f>15.0218 * CHOOSE(CONTROL!$C$32, $C$9, 100%, $E$9)</f>
        <v>15.021800000000001</v>
      </c>
      <c r="F895" s="11">
        <f>15.0218 * CHOOSE(CONTROL!$C$32, $C$9, 100%, $E$9)</f>
        <v>15.021800000000001</v>
      </c>
      <c r="G895" s="11">
        <f>15.0271 * CHOOSE(CONTROL!$C$32, $C$9, 100%, $E$9)</f>
        <v>15.027100000000001</v>
      </c>
      <c r="H895" s="11">
        <f>30.0353 * CHOOSE(CONTROL!$C$32, $C$9, 100%, $E$9)</f>
        <v>30.035299999999999</v>
      </c>
      <c r="I895" s="11">
        <f>30.0406 * CHOOSE(CONTROL!$C$32, $C$9, 100%, $E$9)</f>
        <v>30.040600000000001</v>
      </c>
      <c r="J895" s="11">
        <f>30.0353 * CHOOSE(CONTROL!$C$32, $C$9, 100%, $E$9)</f>
        <v>30.035299999999999</v>
      </c>
      <c r="K895" s="11">
        <f>30.0406 * CHOOSE(CONTROL!$C$32, $C$9, 100%, $E$9)</f>
        <v>30.040600000000001</v>
      </c>
      <c r="L895" s="11">
        <f>15.0218 * CHOOSE(CONTROL!$C$32, $C$9, 100%, $E$9)</f>
        <v>15.021800000000001</v>
      </c>
      <c r="M895" s="11">
        <f>15.0271 * CHOOSE(CONTROL!$C$32, $C$9, 100%, $E$9)</f>
        <v>15.027100000000001</v>
      </c>
      <c r="N895" s="11">
        <f>15.0218 * CHOOSE(CONTROL!$C$32, $C$9, 100%, $E$9)</f>
        <v>15.021800000000001</v>
      </c>
      <c r="O895" s="11">
        <f>15.0271 * CHOOSE(CONTROL!$C$32, $C$9, 100%, $E$9)</f>
        <v>15.027100000000001</v>
      </c>
    </row>
    <row r="896" spans="1:15" ht="15" x14ac:dyDescent="0.2">
      <c r="A896" s="13">
        <v>68119</v>
      </c>
      <c r="B896" s="9">
        <f>13.2941 * CHOOSE(CONTROL!$C$32, $C$9, 100%, $E$9)</f>
        <v>13.2941</v>
      </c>
      <c r="C896" s="9">
        <f>13.2941 * CHOOSE(CONTROL!$C$32, $C$9, 100%, $E$9)</f>
        <v>13.2941</v>
      </c>
      <c r="D896" s="9">
        <f>13.2957 * CHOOSE(CONTROL!$C$32, $C$9, 100%, $E$9)</f>
        <v>13.2957</v>
      </c>
      <c r="E896" s="11">
        <f>15.2346 * CHOOSE(CONTROL!$C$32, $C$9, 100%, $E$9)</f>
        <v>15.2346</v>
      </c>
      <c r="F896" s="11">
        <f>15.2346 * CHOOSE(CONTROL!$C$32, $C$9, 100%, $E$9)</f>
        <v>15.2346</v>
      </c>
      <c r="G896" s="11">
        <f>15.2399 * CHOOSE(CONTROL!$C$32, $C$9, 100%, $E$9)</f>
        <v>15.2399</v>
      </c>
      <c r="H896" s="11">
        <f>30.0979 * CHOOSE(CONTROL!$C$32, $C$9, 100%, $E$9)</f>
        <v>30.097899999999999</v>
      </c>
      <c r="I896" s="11">
        <f>30.1032 * CHOOSE(CONTROL!$C$32, $C$9, 100%, $E$9)</f>
        <v>30.103200000000001</v>
      </c>
      <c r="J896" s="11">
        <f>30.0979 * CHOOSE(CONTROL!$C$32, $C$9, 100%, $E$9)</f>
        <v>30.097899999999999</v>
      </c>
      <c r="K896" s="11">
        <f>30.1032 * CHOOSE(CONTROL!$C$32, $C$9, 100%, $E$9)</f>
        <v>30.103200000000001</v>
      </c>
      <c r="L896" s="11">
        <f>15.2346 * CHOOSE(CONTROL!$C$32, $C$9, 100%, $E$9)</f>
        <v>15.2346</v>
      </c>
      <c r="M896" s="11">
        <f>15.2399 * CHOOSE(CONTROL!$C$32, $C$9, 100%, $E$9)</f>
        <v>15.2399</v>
      </c>
      <c r="N896" s="11">
        <f>15.2346 * CHOOSE(CONTROL!$C$32, $C$9, 100%, $E$9)</f>
        <v>15.2346</v>
      </c>
      <c r="O896" s="11">
        <f>15.2399 * CHOOSE(CONTROL!$C$32, $C$9, 100%, $E$9)</f>
        <v>15.2399</v>
      </c>
    </row>
    <row r="897" spans="1:15" ht="15" x14ac:dyDescent="0.2">
      <c r="A897" s="13">
        <v>68150</v>
      </c>
      <c r="B897" s="9">
        <f>13.3008 * CHOOSE(CONTROL!$C$32, $C$9, 100%, $E$9)</f>
        <v>13.300800000000001</v>
      </c>
      <c r="C897" s="9">
        <f>13.3008 * CHOOSE(CONTROL!$C$32, $C$9, 100%, $E$9)</f>
        <v>13.300800000000001</v>
      </c>
      <c r="D897" s="9">
        <f>13.3023 * CHOOSE(CONTROL!$C$32, $C$9, 100%, $E$9)</f>
        <v>13.302300000000001</v>
      </c>
      <c r="E897" s="11">
        <f>14.8561 * CHOOSE(CONTROL!$C$32, $C$9, 100%, $E$9)</f>
        <v>14.8561</v>
      </c>
      <c r="F897" s="11">
        <f>14.8561 * CHOOSE(CONTROL!$C$32, $C$9, 100%, $E$9)</f>
        <v>14.8561</v>
      </c>
      <c r="G897" s="11">
        <f>14.8614 * CHOOSE(CONTROL!$C$32, $C$9, 100%, $E$9)</f>
        <v>14.8614</v>
      </c>
      <c r="H897" s="11">
        <f>30.1606 * CHOOSE(CONTROL!$C$32, $C$9, 100%, $E$9)</f>
        <v>30.160599999999999</v>
      </c>
      <c r="I897" s="11">
        <f>30.1659 * CHOOSE(CONTROL!$C$32, $C$9, 100%, $E$9)</f>
        <v>30.165900000000001</v>
      </c>
      <c r="J897" s="11">
        <f>30.1606 * CHOOSE(CONTROL!$C$32, $C$9, 100%, $E$9)</f>
        <v>30.160599999999999</v>
      </c>
      <c r="K897" s="11">
        <f>30.1659 * CHOOSE(CONTROL!$C$32, $C$9, 100%, $E$9)</f>
        <v>30.165900000000001</v>
      </c>
      <c r="L897" s="11">
        <f>14.8561 * CHOOSE(CONTROL!$C$32, $C$9, 100%, $E$9)</f>
        <v>14.8561</v>
      </c>
      <c r="M897" s="11">
        <f>14.8614 * CHOOSE(CONTROL!$C$32, $C$9, 100%, $E$9)</f>
        <v>14.8614</v>
      </c>
      <c r="N897" s="11">
        <f>14.8561 * CHOOSE(CONTROL!$C$32, $C$9, 100%, $E$9)</f>
        <v>14.8561</v>
      </c>
      <c r="O897" s="11">
        <f>14.8614 * CHOOSE(CONTROL!$C$32, $C$9, 100%, $E$9)</f>
        <v>14.8614</v>
      </c>
    </row>
    <row r="898" spans="1:15" ht="15" x14ac:dyDescent="0.2">
      <c r="A898" s="13">
        <v>68181</v>
      </c>
      <c r="B898" s="9">
        <f>13.2977 * CHOOSE(CONTROL!$C$32, $C$9, 100%, $E$9)</f>
        <v>13.297700000000001</v>
      </c>
      <c r="C898" s="9">
        <f>13.2977 * CHOOSE(CONTROL!$C$32, $C$9, 100%, $E$9)</f>
        <v>13.297700000000001</v>
      </c>
      <c r="D898" s="9">
        <f>13.2993 * CHOOSE(CONTROL!$C$32, $C$9, 100%, $E$9)</f>
        <v>13.299300000000001</v>
      </c>
      <c r="E898" s="11">
        <f>14.8114 * CHOOSE(CONTROL!$C$32, $C$9, 100%, $E$9)</f>
        <v>14.811400000000001</v>
      </c>
      <c r="F898" s="11">
        <f>14.8114 * CHOOSE(CONTROL!$C$32, $C$9, 100%, $E$9)</f>
        <v>14.811400000000001</v>
      </c>
      <c r="G898" s="11">
        <f>14.8167 * CHOOSE(CONTROL!$C$32, $C$9, 100%, $E$9)</f>
        <v>14.816700000000001</v>
      </c>
      <c r="H898" s="11">
        <f>30.2234 * CHOOSE(CONTROL!$C$32, $C$9, 100%, $E$9)</f>
        <v>30.223400000000002</v>
      </c>
      <c r="I898" s="11">
        <f>30.2287 * CHOOSE(CONTROL!$C$32, $C$9, 100%, $E$9)</f>
        <v>30.2287</v>
      </c>
      <c r="J898" s="11">
        <f>30.2234 * CHOOSE(CONTROL!$C$32, $C$9, 100%, $E$9)</f>
        <v>30.223400000000002</v>
      </c>
      <c r="K898" s="11">
        <f>30.2287 * CHOOSE(CONTROL!$C$32, $C$9, 100%, $E$9)</f>
        <v>30.2287</v>
      </c>
      <c r="L898" s="11">
        <f>14.8114 * CHOOSE(CONTROL!$C$32, $C$9, 100%, $E$9)</f>
        <v>14.811400000000001</v>
      </c>
      <c r="M898" s="11">
        <f>14.8167 * CHOOSE(CONTROL!$C$32, $C$9, 100%, $E$9)</f>
        <v>14.816700000000001</v>
      </c>
      <c r="N898" s="11">
        <f>14.8114 * CHOOSE(CONTROL!$C$32, $C$9, 100%, $E$9)</f>
        <v>14.811400000000001</v>
      </c>
      <c r="O898" s="11">
        <f>14.8167 * CHOOSE(CONTROL!$C$32, $C$9, 100%, $E$9)</f>
        <v>14.816700000000001</v>
      </c>
    </row>
    <row r="899" spans="1:15" ht="15" x14ac:dyDescent="0.2">
      <c r="A899" s="13">
        <v>68211</v>
      </c>
      <c r="B899" s="9">
        <f>13.3275 * CHOOSE(CONTROL!$C$32, $C$9, 100%, $E$9)</f>
        <v>13.327500000000001</v>
      </c>
      <c r="C899" s="9">
        <f>13.3275 * CHOOSE(CONTROL!$C$32, $C$9, 100%, $E$9)</f>
        <v>13.327500000000001</v>
      </c>
      <c r="D899" s="9">
        <f>13.3286 * CHOOSE(CONTROL!$C$32, $C$9, 100%, $E$9)</f>
        <v>13.3286</v>
      </c>
      <c r="E899" s="11">
        <f>14.9683 * CHOOSE(CONTROL!$C$32, $C$9, 100%, $E$9)</f>
        <v>14.968299999999999</v>
      </c>
      <c r="F899" s="11">
        <f>14.9683 * CHOOSE(CONTROL!$C$32, $C$9, 100%, $E$9)</f>
        <v>14.968299999999999</v>
      </c>
      <c r="G899" s="11">
        <f>14.9719 * CHOOSE(CONTROL!$C$32, $C$9, 100%, $E$9)</f>
        <v>14.9719</v>
      </c>
      <c r="H899" s="11">
        <f>30.2864 * CHOOSE(CONTROL!$C$32, $C$9, 100%, $E$9)</f>
        <v>30.2864</v>
      </c>
      <c r="I899" s="11">
        <f>30.29 * CHOOSE(CONTROL!$C$32, $C$9, 100%, $E$9)</f>
        <v>30.29</v>
      </c>
      <c r="J899" s="11">
        <f>30.2864 * CHOOSE(CONTROL!$C$32, $C$9, 100%, $E$9)</f>
        <v>30.2864</v>
      </c>
      <c r="K899" s="11">
        <f>30.29 * CHOOSE(CONTROL!$C$32, $C$9, 100%, $E$9)</f>
        <v>30.29</v>
      </c>
      <c r="L899" s="11">
        <f>14.9683 * CHOOSE(CONTROL!$C$32, $C$9, 100%, $E$9)</f>
        <v>14.968299999999999</v>
      </c>
      <c r="M899" s="11">
        <f>14.9719 * CHOOSE(CONTROL!$C$32, $C$9, 100%, $E$9)</f>
        <v>14.9719</v>
      </c>
      <c r="N899" s="11">
        <f>14.9683 * CHOOSE(CONTROL!$C$32, $C$9, 100%, $E$9)</f>
        <v>14.968299999999999</v>
      </c>
      <c r="O899" s="11">
        <f>14.9719 * CHOOSE(CONTROL!$C$32, $C$9, 100%, $E$9)</f>
        <v>14.9719</v>
      </c>
    </row>
    <row r="900" spans="1:15" ht="15" x14ac:dyDescent="0.2">
      <c r="A900" s="13">
        <v>68242</v>
      </c>
      <c r="B900" s="9">
        <f>13.3306 * CHOOSE(CONTROL!$C$32, $C$9, 100%, $E$9)</f>
        <v>13.3306</v>
      </c>
      <c r="C900" s="9">
        <f>13.3306 * CHOOSE(CONTROL!$C$32, $C$9, 100%, $E$9)</f>
        <v>13.3306</v>
      </c>
      <c r="D900" s="9">
        <f>13.3317 * CHOOSE(CONTROL!$C$32, $C$9, 100%, $E$9)</f>
        <v>13.3317</v>
      </c>
      <c r="E900" s="11">
        <f>15.0555 * CHOOSE(CONTROL!$C$32, $C$9, 100%, $E$9)</f>
        <v>15.0555</v>
      </c>
      <c r="F900" s="11">
        <f>15.0555 * CHOOSE(CONTROL!$C$32, $C$9, 100%, $E$9)</f>
        <v>15.0555</v>
      </c>
      <c r="G900" s="11">
        <f>15.0591 * CHOOSE(CONTROL!$C$32, $C$9, 100%, $E$9)</f>
        <v>15.059100000000001</v>
      </c>
      <c r="H900" s="11">
        <f>30.3495 * CHOOSE(CONTROL!$C$32, $C$9, 100%, $E$9)</f>
        <v>30.349499999999999</v>
      </c>
      <c r="I900" s="11">
        <f>30.3531 * CHOOSE(CONTROL!$C$32, $C$9, 100%, $E$9)</f>
        <v>30.353100000000001</v>
      </c>
      <c r="J900" s="11">
        <f>30.3495 * CHOOSE(CONTROL!$C$32, $C$9, 100%, $E$9)</f>
        <v>30.349499999999999</v>
      </c>
      <c r="K900" s="11">
        <f>30.3531 * CHOOSE(CONTROL!$C$32, $C$9, 100%, $E$9)</f>
        <v>30.353100000000001</v>
      </c>
      <c r="L900" s="11">
        <f>15.0555 * CHOOSE(CONTROL!$C$32, $C$9, 100%, $E$9)</f>
        <v>15.0555</v>
      </c>
      <c r="M900" s="11">
        <f>15.0591 * CHOOSE(CONTROL!$C$32, $C$9, 100%, $E$9)</f>
        <v>15.059100000000001</v>
      </c>
      <c r="N900" s="11">
        <f>15.0555 * CHOOSE(CONTROL!$C$32, $C$9, 100%, $E$9)</f>
        <v>15.0555</v>
      </c>
      <c r="O900" s="11">
        <f>15.0591 * CHOOSE(CONTROL!$C$32, $C$9, 100%, $E$9)</f>
        <v>15.059100000000001</v>
      </c>
    </row>
    <row r="901" spans="1:15" ht="15" x14ac:dyDescent="0.2">
      <c r="A901" s="13">
        <v>68272</v>
      </c>
      <c r="B901" s="9">
        <f>13.3306 * CHOOSE(CONTROL!$C$32, $C$9, 100%, $E$9)</f>
        <v>13.3306</v>
      </c>
      <c r="C901" s="9">
        <f>13.3306 * CHOOSE(CONTROL!$C$32, $C$9, 100%, $E$9)</f>
        <v>13.3306</v>
      </c>
      <c r="D901" s="9">
        <f>13.3317 * CHOOSE(CONTROL!$C$32, $C$9, 100%, $E$9)</f>
        <v>13.3317</v>
      </c>
      <c r="E901" s="11">
        <f>14.8427 * CHOOSE(CONTROL!$C$32, $C$9, 100%, $E$9)</f>
        <v>14.842700000000001</v>
      </c>
      <c r="F901" s="11">
        <f>14.8427 * CHOOSE(CONTROL!$C$32, $C$9, 100%, $E$9)</f>
        <v>14.842700000000001</v>
      </c>
      <c r="G901" s="11">
        <f>14.8463 * CHOOSE(CONTROL!$C$32, $C$9, 100%, $E$9)</f>
        <v>14.846299999999999</v>
      </c>
      <c r="H901" s="11">
        <f>30.4127 * CHOOSE(CONTROL!$C$32, $C$9, 100%, $E$9)</f>
        <v>30.412700000000001</v>
      </c>
      <c r="I901" s="11">
        <f>30.4163 * CHOOSE(CONTROL!$C$32, $C$9, 100%, $E$9)</f>
        <v>30.4163</v>
      </c>
      <c r="J901" s="11">
        <f>30.4127 * CHOOSE(CONTROL!$C$32, $C$9, 100%, $E$9)</f>
        <v>30.412700000000001</v>
      </c>
      <c r="K901" s="11">
        <f>30.4163 * CHOOSE(CONTROL!$C$32, $C$9, 100%, $E$9)</f>
        <v>30.4163</v>
      </c>
      <c r="L901" s="11">
        <f>14.8427 * CHOOSE(CONTROL!$C$32, $C$9, 100%, $E$9)</f>
        <v>14.842700000000001</v>
      </c>
      <c r="M901" s="11">
        <f>14.8463 * CHOOSE(CONTROL!$C$32, $C$9, 100%, $E$9)</f>
        <v>14.846299999999999</v>
      </c>
      <c r="N901" s="11">
        <f>14.8427 * CHOOSE(CONTROL!$C$32, $C$9, 100%, $E$9)</f>
        <v>14.842700000000001</v>
      </c>
      <c r="O901" s="11">
        <f>14.8463 * CHOOSE(CONTROL!$C$32, $C$9, 100%, $E$9)</f>
        <v>14.846299999999999</v>
      </c>
    </row>
    <row r="902" spans="1:15" ht="15" x14ac:dyDescent="0.2">
      <c r="A902" s="13">
        <v>68303</v>
      </c>
      <c r="B902" s="9">
        <f>13.3162 * CHOOSE(CONTROL!$C$32, $C$9, 100%, $E$9)</f>
        <v>13.3162</v>
      </c>
      <c r="C902" s="9">
        <f>13.3162 * CHOOSE(CONTROL!$C$32, $C$9, 100%, $E$9)</f>
        <v>13.3162</v>
      </c>
      <c r="D902" s="9">
        <f>13.3172 * CHOOSE(CONTROL!$C$32, $C$9, 100%, $E$9)</f>
        <v>13.3172</v>
      </c>
      <c r="E902" s="11">
        <f>14.9831 * CHOOSE(CONTROL!$C$32, $C$9, 100%, $E$9)</f>
        <v>14.9831</v>
      </c>
      <c r="F902" s="11">
        <f>14.9831 * CHOOSE(CONTROL!$C$32, $C$9, 100%, $E$9)</f>
        <v>14.9831</v>
      </c>
      <c r="G902" s="11">
        <f>14.9867 * CHOOSE(CONTROL!$C$32, $C$9, 100%, $E$9)</f>
        <v>14.986700000000001</v>
      </c>
      <c r="H902" s="11">
        <f>30.1779 * CHOOSE(CONTROL!$C$32, $C$9, 100%, $E$9)</f>
        <v>30.177900000000001</v>
      </c>
      <c r="I902" s="11">
        <f>30.1815 * CHOOSE(CONTROL!$C$32, $C$9, 100%, $E$9)</f>
        <v>30.1815</v>
      </c>
      <c r="J902" s="11">
        <f>30.1779 * CHOOSE(CONTROL!$C$32, $C$9, 100%, $E$9)</f>
        <v>30.177900000000001</v>
      </c>
      <c r="K902" s="11">
        <f>30.1815 * CHOOSE(CONTROL!$C$32, $C$9, 100%, $E$9)</f>
        <v>30.1815</v>
      </c>
      <c r="L902" s="11">
        <f>14.9831 * CHOOSE(CONTROL!$C$32, $C$9, 100%, $E$9)</f>
        <v>14.9831</v>
      </c>
      <c r="M902" s="11">
        <f>14.9867 * CHOOSE(CONTROL!$C$32, $C$9, 100%, $E$9)</f>
        <v>14.986700000000001</v>
      </c>
      <c r="N902" s="11">
        <f>14.9831 * CHOOSE(CONTROL!$C$32, $C$9, 100%, $E$9)</f>
        <v>14.9831</v>
      </c>
      <c r="O902" s="11">
        <f>14.9867 * CHOOSE(CONTROL!$C$32, $C$9, 100%, $E$9)</f>
        <v>14.986700000000001</v>
      </c>
    </row>
    <row r="903" spans="1:15" ht="15" x14ac:dyDescent="0.2">
      <c r="A903" s="13">
        <v>68334</v>
      </c>
      <c r="B903" s="9">
        <f>13.3131 * CHOOSE(CONTROL!$C$32, $C$9, 100%, $E$9)</f>
        <v>13.3131</v>
      </c>
      <c r="C903" s="9">
        <f>13.3131 * CHOOSE(CONTROL!$C$32, $C$9, 100%, $E$9)</f>
        <v>13.3131</v>
      </c>
      <c r="D903" s="9">
        <f>13.3142 * CHOOSE(CONTROL!$C$32, $C$9, 100%, $E$9)</f>
        <v>13.3142</v>
      </c>
      <c r="E903" s="11">
        <f>14.5716 * CHOOSE(CONTROL!$C$32, $C$9, 100%, $E$9)</f>
        <v>14.5716</v>
      </c>
      <c r="F903" s="11">
        <f>14.5716 * CHOOSE(CONTROL!$C$32, $C$9, 100%, $E$9)</f>
        <v>14.5716</v>
      </c>
      <c r="G903" s="11">
        <f>14.5752 * CHOOSE(CONTROL!$C$32, $C$9, 100%, $E$9)</f>
        <v>14.575200000000001</v>
      </c>
      <c r="H903" s="11">
        <f>30.2408 * CHOOSE(CONTROL!$C$32, $C$9, 100%, $E$9)</f>
        <v>30.2408</v>
      </c>
      <c r="I903" s="11">
        <f>30.2444 * CHOOSE(CONTROL!$C$32, $C$9, 100%, $E$9)</f>
        <v>30.244399999999999</v>
      </c>
      <c r="J903" s="11">
        <f>30.2408 * CHOOSE(CONTROL!$C$32, $C$9, 100%, $E$9)</f>
        <v>30.2408</v>
      </c>
      <c r="K903" s="11">
        <f>30.2444 * CHOOSE(CONTROL!$C$32, $C$9, 100%, $E$9)</f>
        <v>30.244399999999999</v>
      </c>
      <c r="L903" s="11">
        <f>14.5716 * CHOOSE(CONTROL!$C$32, $C$9, 100%, $E$9)</f>
        <v>14.5716</v>
      </c>
      <c r="M903" s="11">
        <f>14.5752 * CHOOSE(CONTROL!$C$32, $C$9, 100%, $E$9)</f>
        <v>14.575200000000001</v>
      </c>
      <c r="N903" s="11">
        <f>14.5716 * CHOOSE(CONTROL!$C$32, $C$9, 100%, $E$9)</f>
        <v>14.5716</v>
      </c>
      <c r="O903" s="11">
        <f>14.5752 * CHOOSE(CONTROL!$C$32, $C$9, 100%, $E$9)</f>
        <v>14.575200000000001</v>
      </c>
    </row>
    <row r="904" spans="1:15" ht="15" x14ac:dyDescent="0.2">
      <c r="A904" s="13">
        <v>68362</v>
      </c>
      <c r="B904" s="9">
        <f>13.3101 * CHOOSE(CONTROL!$C$32, $C$9, 100%, $E$9)</f>
        <v>13.3101</v>
      </c>
      <c r="C904" s="9">
        <f>13.3101 * CHOOSE(CONTROL!$C$32, $C$9, 100%, $E$9)</f>
        <v>13.3101</v>
      </c>
      <c r="D904" s="9">
        <f>13.3112 * CHOOSE(CONTROL!$C$32, $C$9, 100%, $E$9)</f>
        <v>13.311199999999999</v>
      </c>
      <c r="E904" s="11">
        <f>14.8922 * CHOOSE(CONTROL!$C$32, $C$9, 100%, $E$9)</f>
        <v>14.892200000000001</v>
      </c>
      <c r="F904" s="11">
        <f>14.8922 * CHOOSE(CONTROL!$C$32, $C$9, 100%, $E$9)</f>
        <v>14.892200000000001</v>
      </c>
      <c r="G904" s="11">
        <f>14.8958 * CHOOSE(CONTROL!$C$32, $C$9, 100%, $E$9)</f>
        <v>14.895799999999999</v>
      </c>
      <c r="H904" s="11">
        <f>30.3038 * CHOOSE(CONTROL!$C$32, $C$9, 100%, $E$9)</f>
        <v>30.303799999999999</v>
      </c>
      <c r="I904" s="11">
        <f>30.3074 * CHOOSE(CONTROL!$C$32, $C$9, 100%, $E$9)</f>
        <v>30.307400000000001</v>
      </c>
      <c r="J904" s="11">
        <f>30.3038 * CHOOSE(CONTROL!$C$32, $C$9, 100%, $E$9)</f>
        <v>30.303799999999999</v>
      </c>
      <c r="K904" s="11">
        <f>30.3074 * CHOOSE(CONTROL!$C$32, $C$9, 100%, $E$9)</f>
        <v>30.307400000000001</v>
      </c>
      <c r="L904" s="11">
        <f>14.8922 * CHOOSE(CONTROL!$C$32, $C$9, 100%, $E$9)</f>
        <v>14.892200000000001</v>
      </c>
      <c r="M904" s="11">
        <f>14.8958 * CHOOSE(CONTROL!$C$32, $C$9, 100%, $E$9)</f>
        <v>14.895799999999999</v>
      </c>
      <c r="N904" s="11">
        <f>14.8922 * CHOOSE(CONTROL!$C$32, $C$9, 100%, $E$9)</f>
        <v>14.892200000000001</v>
      </c>
      <c r="O904" s="11">
        <f>14.8958 * CHOOSE(CONTROL!$C$32, $C$9, 100%, $E$9)</f>
        <v>14.895799999999999</v>
      </c>
    </row>
    <row r="905" spans="1:15" ht="15" x14ac:dyDescent="0.2">
      <c r="A905" s="13">
        <v>68393</v>
      </c>
      <c r="B905" s="9">
        <f>13.3168 * CHOOSE(CONTROL!$C$32, $C$9, 100%, $E$9)</f>
        <v>13.316800000000001</v>
      </c>
      <c r="C905" s="9">
        <f>13.3168 * CHOOSE(CONTROL!$C$32, $C$9, 100%, $E$9)</f>
        <v>13.316800000000001</v>
      </c>
      <c r="D905" s="9">
        <f>13.3178 * CHOOSE(CONTROL!$C$32, $C$9, 100%, $E$9)</f>
        <v>13.3178</v>
      </c>
      <c r="E905" s="11">
        <f>15.2346 * CHOOSE(CONTROL!$C$32, $C$9, 100%, $E$9)</f>
        <v>15.2346</v>
      </c>
      <c r="F905" s="11">
        <f>15.2346 * CHOOSE(CONTROL!$C$32, $C$9, 100%, $E$9)</f>
        <v>15.2346</v>
      </c>
      <c r="G905" s="11">
        <f>15.2382 * CHOOSE(CONTROL!$C$32, $C$9, 100%, $E$9)</f>
        <v>15.238200000000001</v>
      </c>
      <c r="H905" s="11">
        <f>30.3669 * CHOOSE(CONTROL!$C$32, $C$9, 100%, $E$9)</f>
        <v>30.366900000000001</v>
      </c>
      <c r="I905" s="11">
        <f>30.3705 * CHOOSE(CONTROL!$C$32, $C$9, 100%, $E$9)</f>
        <v>30.3705</v>
      </c>
      <c r="J905" s="11">
        <f>30.3669 * CHOOSE(CONTROL!$C$32, $C$9, 100%, $E$9)</f>
        <v>30.366900000000001</v>
      </c>
      <c r="K905" s="11">
        <f>30.3705 * CHOOSE(CONTROL!$C$32, $C$9, 100%, $E$9)</f>
        <v>30.3705</v>
      </c>
      <c r="L905" s="11">
        <f>15.2346 * CHOOSE(CONTROL!$C$32, $C$9, 100%, $E$9)</f>
        <v>15.2346</v>
      </c>
      <c r="M905" s="11">
        <f>15.2382 * CHOOSE(CONTROL!$C$32, $C$9, 100%, $E$9)</f>
        <v>15.238200000000001</v>
      </c>
      <c r="N905" s="11">
        <f>15.2346 * CHOOSE(CONTROL!$C$32, $C$9, 100%, $E$9)</f>
        <v>15.2346</v>
      </c>
      <c r="O905" s="11">
        <f>15.2382 * CHOOSE(CONTROL!$C$32, $C$9, 100%, $E$9)</f>
        <v>15.238200000000001</v>
      </c>
    </row>
    <row r="906" spans="1:15" ht="15" x14ac:dyDescent="0.2">
      <c r="A906" s="13">
        <v>68423</v>
      </c>
      <c r="B906" s="9">
        <f>13.3168 * CHOOSE(CONTROL!$C$32, $C$9, 100%, $E$9)</f>
        <v>13.316800000000001</v>
      </c>
      <c r="C906" s="9">
        <f>13.3168 * CHOOSE(CONTROL!$C$32, $C$9, 100%, $E$9)</f>
        <v>13.316800000000001</v>
      </c>
      <c r="D906" s="9">
        <f>13.3183 * CHOOSE(CONTROL!$C$32, $C$9, 100%, $E$9)</f>
        <v>13.318300000000001</v>
      </c>
      <c r="E906" s="11">
        <f>15.3645 * CHOOSE(CONTROL!$C$32, $C$9, 100%, $E$9)</f>
        <v>15.3645</v>
      </c>
      <c r="F906" s="11">
        <f>15.3645 * CHOOSE(CONTROL!$C$32, $C$9, 100%, $E$9)</f>
        <v>15.3645</v>
      </c>
      <c r="G906" s="11">
        <f>15.3698 * CHOOSE(CONTROL!$C$32, $C$9, 100%, $E$9)</f>
        <v>15.3698</v>
      </c>
      <c r="H906" s="11">
        <f>30.4302 * CHOOSE(CONTROL!$C$32, $C$9, 100%, $E$9)</f>
        <v>30.430199999999999</v>
      </c>
      <c r="I906" s="11">
        <f>30.4355 * CHOOSE(CONTROL!$C$32, $C$9, 100%, $E$9)</f>
        <v>30.435500000000001</v>
      </c>
      <c r="J906" s="11">
        <f>30.4302 * CHOOSE(CONTROL!$C$32, $C$9, 100%, $E$9)</f>
        <v>30.430199999999999</v>
      </c>
      <c r="K906" s="11">
        <f>30.4355 * CHOOSE(CONTROL!$C$32, $C$9, 100%, $E$9)</f>
        <v>30.435500000000001</v>
      </c>
      <c r="L906" s="11">
        <f>15.3645 * CHOOSE(CONTROL!$C$32, $C$9, 100%, $E$9)</f>
        <v>15.3645</v>
      </c>
      <c r="M906" s="11">
        <f>15.3698 * CHOOSE(CONTROL!$C$32, $C$9, 100%, $E$9)</f>
        <v>15.3698</v>
      </c>
      <c r="N906" s="11">
        <f>15.3645 * CHOOSE(CONTROL!$C$32, $C$9, 100%, $E$9)</f>
        <v>15.3645</v>
      </c>
      <c r="O906" s="11">
        <f>15.3698 * CHOOSE(CONTROL!$C$32, $C$9, 100%, $E$9)</f>
        <v>15.3698</v>
      </c>
    </row>
    <row r="907" spans="1:15" ht="15" x14ac:dyDescent="0.2">
      <c r="A907" s="13">
        <v>68454</v>
      </c>
      <c r="B907" s="9">
        <f>13.3229 * CHOOSE(CONTROL!$C$32, $C$9, 100%, $E$9)</f>
        <v>13.322900000000001</v>
      </c>
      <c r="C907" s="9">
        <f>13.3229 * CHOOSE(CONTROL!$C$32, $C$9, 100%, $E$9)</f>
        <v>13.322900000000001</v>
      </c>
      <c r="D907" s="9">
        <f>13.3244 * CHOOSE(CONTROL!$C$32, $C$9, 100%, $E$9)</f>
        <v>13.324400000000001</v>
      </c>
      <c r="E907" s="11">
        <f>15.2388 * CHOOSE(CONTROL!$C$32, $C$9, 100%, $E$9)</f>
        <v>15.238799999999999</v>
      </c>
      <c r="F907" s="11">
        <f>15.2388 * CHOOSE(CONTROL!$C$32, $C$9, 100%, $E$9)</f>
        <v>15.238799999999999</v>
      </c>
      <c r="G907" s="11">
        <f>15.2441 * CHOOSE(CONTROL!$C$32, $C$9, 100%, $E$9)</f>
        <v>15.2441</v>
      </c>
      <c r="H907" s="11">
        <f>30.4936 * CHOOSE(CONTROL!$C$32, $C$9, 100%, $E$9)</f>
        <v>30.493600000000001</v>
      </c>
      <c r="I907" s="11">
        <f>30.4989 * CHOOSE(CONTROL!$C$32, $C$9, 100%, $E$9)</f>
        <v>30.498899999999999</v>
      </c>
      <c r="J907" s="11">
        <f>30.4936 * CHOOSE(CONTROL!$C$32, $C$9, 100%, $E$9)</f>
        <v>30.493600000000001</v>
      </c>
      <c r="K907" s="11">
        <f>30.4989 * CHOOSE(CONTROL!$C$32, $C$9, 100%, $E$9)</f>
        <v>30.498899999999999</v>
      </c>
      <c r="L907" s="11">
        <f>15.2388 * CHOOSE(CONTROL!$C$32, $C$9, 100%, $E$9)</f>
        <v>15.238799999999999</v>
      </c>
      <c r="M907" s="11">
        <f>15.2441 * CHOOSE(CONTROL!$C$32, $C$9, 100%, $E$9)</f>
        <v>15.2441</v>
      </c>
      <c r="N907" s="11">
        <f>15.2388 * CHOOSE(CONTROL!$C$32, $C$9, 100%, $E$9)</f>
        <v>15.238799999999999</v>
      </c>
      <c r="O907" s="11">
        <f>15.2441 * CHOOSE(CONTROL!$C$32, $C$9, 100%, $E$9)</f>
        <v>15.2441</v>
      </c>
    </row>
    <row r="908" spans="1:15" ht="15" x14ac:dyDescent="0.2">
      <c r="A908" s="13">
        <v>68484</v>
      </c>
      <c r="B908" s="9">
        <f>13.4837 * CHOOSE(CONTROL!$C$32, $C$9, 100%, $E$9)</f>
        <v>13.483700000000001</v>
      </c>
      <c r="C908" s="9">
        <f>13.4837 * CHOOSE(CONTROL!$C$32, $C$9, 100%, $E$9)</f>
        <v>13.483700000000001</v>
      </c>
      <c r="D908" s="9">
        <f>13.4853 * CHOOSE(CONTROL!$C$32, $C$9, 100%, $E$9)</f>
        <v>13.485300000000001</v>
      </c>
      <c r="E908" s="11">
        <f>15.4548 * CHOOSE(CONTROL!$C$32, $C$9, 100%, $E$9)</f>
        <v>15.454800000000001</v>
      </c>
      <c r="F908" s="11">
        <f>15.4548 * CHOOSE(CONTROL!$C$32, $C$9, 100%, $E$9)</f>
        <v>15.454800000000001</v>
      </c>
      <c r="G908" s="11">
        <f>15.4601 * CHOOSE(CONTROL!$C$32, $C$9, 100%, $E$9)</f>
        <v>15.460100000000001</v>
      </c>
      <c r="H908" s="11">
        <f>30.5571 * CHOOSE(CONTROL!$C$32, $C$9, 100%, $E$9)</f>
        <v>30.557099999999998</v>
      </c>
      <c r="I908" s="11">
        <f>30.5624 * CHOOSE(CONTROL!$C$32, $C$9, 100%, $E$9)</f>
        <v>30.5624</v>
      </c>
      <c r="J908" s="11">
        <f>30.5571 * CHOOSE(CONTROL!$C$32, $C$9, 100%, $E$9)</f>
        <v>30.557099999999998</v>
      </c>
      <c r="K908" s="11">
        <f>30.5624 * CHOOSE(CONTROL!$C$32, $C$9, 100%, $E$9)</f>
        <v>30.5624</v>
      </c>
      <c r="L908" s="11">
        <f>15.4548 * CHOOSE(CONTROL!$C$32, $C$9, 100%, $E$9)</f>
        <v>15.454800000000001</v>
      </c>
      <c r="M908" s="11">
        <f>15.4601 * CHOOSE(CONTROL!$C$32, $C$9, 100%, $E$9)</f>
        <v>15.460100000000001</v>
      </c>
      <c r="N908" s="11">
        <f>15.4548 * CHOOSE(CONTROL!$C$32, $C$9, 100%, $E$9)</f>
        <v>15.454800000000001</v>
      </c>
      <c r="O908" s="11">
        <f>15.4601 * CHOOSE(CONTROL!$C$32, $C$9, 100%, $E$9)</f>
        <v>15.460100000000001</v>
      </c>
    </row>
    <row r="909" spans="1:15" ht="15" x14ac:dyDescent="0.2">
      <c r="A909" s="13">
        <v>68515</v>
      </c>
      <c r="B909" s="9">
        <f>13.4904 * CHOOSE(CONTROL!$C$32, $C$9, 100%, $E$9)</f>
        <v>13.490399999999999</v>
      </c>
      <c r="C909" s="9">
        <f>13.4904 * CHOOSE(CONTROL!$C$32, $C$9, 100%, $E$9)</f>
        <v>13.490399999999999</v>
      </c>
      <c r="D909" s="9">
        <f>13.4919 * CHOOSE(CONTROL!$C$32, $C$9, 100%, $E$9)</f>
        <v>13.491899999999999</v>
      </c>
      <c r="E909" s="11">
        <f>15.0695 * CHOOSE(CONTROL!$C$32, $C$9, 100%, $E$9)</f>
        <v>15.0695</v>
      </c>
      <c r="F909" s="11">
        <f>15.0695 * CHOOSE(CONTROL!$C$32, $C$9, 100%, $E$9)</f>
        <v>15.0695</v>
      </c>
      <c r="G909" s="11">
        <f>15.0748 * CHOOSE(CONTROL!$C$32, $C$9, 100%, $E$9)</f>
        <v>15.0748</v>
      </c>
      <c r="H909" s="11">
        <f>30.6208 * CHOOSE(CONTROL!$C$32, $C$9, 100%, $E$9)</f>
        <v>30.620799999999999</v>
      </c>
      <c r="I909" s="11">
        <f>30.6261 * CHOOSE(CONTROL!$C$32, $C$9, 100%, $E$9)</f>
        <v>30.626100000000001</v>
      </c>
      <c r="J909" s="11">
        <f>30.6208 * CHOOSE(CONTROL!$C$32, $C$9, 100%, $E$9)</f>
        <v>30.620799999999999</v>
      </c>
      <c r="K909" s="11">
        <f>30.6261 * CHOOSE(CONTROL!$C$32, $C$9, 100%, $E$9)</f>
        <v>30.626100000000001</v>
      </c>
      <c r="L909" s="11">
        <f>15.0695 * CHOOSE(CONTROL!$C$32, $C$9, 100%, $E$9)</f>
        <v>15.0695</v>
      </c>
      <c r="M909" s="11">
        <f>15.0748 * CHOOSE(CONTROL!$C$32, $C$9, 100%, $E$9)</f>
        <v>15.0748</v>
      </c>
      <c r="N909" s="11">
        <f>15.0695 * CHOOSE(CONTROL!$C$32, $C$9, 100%, $E$9)</f>
        <v>15.0695</v>
      </c>
      <c r="O909" s="11">
        <f>15.0748 * CHOOSE(CONTROL!$C$32, $C$9, 100%, $E$9)</f>
        <v>15.0748</v>
      </c>
    </row>
    <row r="910" spans="1:15" ht="15" x14ac:dyDescent="0.2">
      <c r="A910" s="13">
        <v>68546</v>
      </c>
      <c r="B910" s="9">
        <f>13.4873 * CHOOSE(CONTROL!$C$32, $C$9, 100%, $E$9)</f>
        <v>13.487299999999999</v>
      </c>
      <c r="C910" s="9">
        <f>13.4873 * CHOOSE(CONTROL!$C$32, $C$9, 100%, $E$9)</f>
        <v>13.487299999999999</v>
      </c>
      <c r="D910" s="9">
        <f>13.4889 * CHOOSE(CONTROL!$C$32, $C$9, 100%, $E$9)</f>
        <v>13.488899999999999</v>
      </c>
      <c r="E910" s="11">
        <f>15.0241 * CHOOSE(CONTROL!$C$32, $C$9, 100%, $E$9)</f>
        <v>15.024100000000001</v>
      </c>
      <c r="F910" s="11">
        <f>15.0241 * CHOOSE(CONTROL!$C$32, $C$9, 100%, $E$9)</f>
        <v>15.024100000000001</v>
      </c>
      <c r="G910" s="11">
        <f>15.0294 * CHOOSE(CONTROL!$C$32, $C$9, 100%, $E$9)</f>
        <v>15.029400000000001</v>
      </c>
      <c r="H910" s="11">
        <f>30.6846 * CHOOSE(CONTROL!$C$32, $C$9, 100%, $E$9)</f>
        <v>30.6846</v>
      </c>
      <c r="I910" s="11">
        <f>30.6898 * CHOOSE(CONTROL!$C$32, $C$9, 100%, $E$9)</f>
        <v>30.689800000000002</v>
      </c>
      <c r="J910" s="11">
        <f>30.6846 * CHOOSE(CONTROL!$C$32, $C$9, 100%, $E$9)</f>
        <v>30.6846</v>
      </c>
      <c r="K910" s="11">
        <f>30.6898 * CHOOSE(CONTROL!$C$32, $C$9, 100%, $E$9)</f>
        <v>30.689800000000002</v>
      </c>
      <c r="L910" s="11">
        <f>15.0241 * CHOOSE(CONTROL!$C$32, $C$9, 100%, $E$9)</f>
        <v>15.024100000000001</v>
      </c>
      <c r="M910" s="11">
        <f>15.0294 * CHOOSE(CONTROL!$C$32, $C$9, 100%, $E$9)</f>
        <v>15.029400000000001</v>
      </c>
      <c r="N910" s="11">
        <f>15.0241 * CHOOSE(CONTROL!$C$32, $C$9, 100%, $E$9)</f>
        <v>15.024100000000001</v>
      </c>
      <c r="O910" s="11">
        <f>15.0294 * CHOOSE(CONTROL!$C$32, $C$9, 100%, $E$9)</f>
        <v>15.029400000000001</v>
      </c>
    </row>
    <row r="911" spans="1:15" ht="15" x14ac:dyDescent="0.2">
      <c r="A911" s="13">
        <v>68576</v>
      </c>
      <c r="B911" s="9">
        <f>13.5179 * CHOOSE(CONTROL!$C$32, $C$9, 100%, $E$9)</f>
        <v>13.517899999999999</v>
      </c>
      <c r="C911" s="9">
        <f>13.5179 * CHOOSE(CONTROL!$C$32, $C$9, 100%, $E$9)</f>
        <v>13.517899999999999</v>
      </c>
      <c r="D911" s="9">
        <f>13.5189 * CHOOSE(CONTROL!$C$32, $C$9, 100%, $E$9)</f>
        <v>13.5189</v>
      </c>
      <c r="E911" s="11">
        <f>15.1839 * CHOOSE(CONTROL!$C$32, $C$9, 100%, $E$9)</f>
        <v>15.1839</v>
      </c>
      <c r="F911" s="11">
        <f>15.1839 * CHOOSE(CONTROL!$C$32, $C$9, 100%, $E$9)</f>
        <v>15.1839</v>
      </c>
      <c r="G911" s="11">
        <f>15.1876 * CHOOSE(CONTROL!$C$32, $C$9, 100%, $E$9)</f>
        <v>15.1876</v>
      </c>
      <c r="H911" s="11">
        <f>30.7485 * CHOOSE(CONTROL!$C$32, $C$9, 100%, $E$9)</f>
        <v>30.7485</v>
      </c>
      <c r="I911" s="11">
        <f>30.7521 * CHOOSE(CONTROL!$C$32, $C$9, 100%, $E$9)</f>
        <v>30.752099999999999</v>
      </c>
      <c r="J911" s="11">
        <f>30.7485 * CHOOSE(CONTROL!$C$32, $C$9, 100%, $E$9)</f>
        <v>30.7485</v>
      </c>
      <c r="K911" s="11">
        <f>30.7521 * CHOOSE(CONTROL!$C$32, $C$9, 100%, $E$9)</f>
        <v>30.752099999999999</v>
      </c>
      <c r="L911" s="11">
        <f>15.1839 * CHOOSE(CONTROL!$C$32, $C$9, 100%, $E$9)</f>
        <v>15.1839</v>
      </c>
      <c r="M911" s="11">
        <f>15.1876 * CHOOSE(CONTROL!$C$32, $C$9, 100%, $E$9)</f>
        <v>15.1876</v>
      </c>
      <c r="N911" s="11">
        <f>15.1839 * CHOOSE(CONTROL!$C$32, $C$9, 100%, $E$9)</f>
        <v>15.1839</v>
      </c>
      <c r="O911" s="11">
        <f>15.1876 * CHOOSE(CONTROL!$C$32, $C$9, 100%, $E$9)</f>
        <v>15.1876</v>
      </c>
    </row>
    <row r="912" spans="1:15" ht="15" x14ac:dyDescent="0.2">
      <c r="A912" s="13">
        <v>68607</v>
      </c>
      <c r="B912" s="9">
        <f>13.5209 * CHOOSE(CONTROL!$C$32, $C$9, 100%, $E$9)</f>
        <v>13.520899999999999</v>
      </c>
      <c r="C912" s="9">
        <f>13.5209 * CHOOSE(CONTROL!$C$32, $C$9, 100%, $E$9)</f>
        <v>13.520899999999999</v>
      </c>
      <c r="D912" s="9">
        <f>13.522 * CHOOSE(CONTROL!$C$32, $C$9, 100%, $E$9)</f>
        <v>13.522</v>
      </c>
      <c r="E912" s="11">
        <f>15.2727 * CHOOSE(CONTROL!$C$32, $C$9, 100%, $E$9)</f>
        <v>15.2727</v>
      </c>
      <c r="F912" s="11">
        <f>15.2727 * CHOOSE(CONTROL!$C$32, $C$9, 100%, $E$9)</f>
        <v>15.2727</v>
      </c>
      <c r="G912" s="11">
        <f>15.2763 * CHOOSE(CONTROL!$C$32, $C$9, 100%, $E$9)</f>
        <v>15.276300000000001</v>
      </c>
      <c r="H912" s="11">
        <f>30.8125 * CHOOSE(CONTROL!$C$32, $C$9, 100%, $E$9)</f>
        <v>30.8125</v>
      </c>
      <c r="I912" s="11">
        <f>30.8162 * CHOOSE(CONTROL!$C$32, $C$9, 100%, $E$9)</f>
        <v>30.816199999999998</v>
      </c>
      <c r="J912" s="11">
        <f>30.8125 * CHOOSE(CONTROL!$C$32, $C$9, 100%, $E$9)</f>
        <v>30.8125</v>
      </c>
      <c r="K912" s="11">
        <f>30.8162 * CHOOSE(CONTROL!$C$32, $C$9, 100%, $E$9)</f>
        <v>30.816199999999998</v>
      </c>
      <c r="L912" s="11">
        <f>15.2727 * CHOOSE(CONTROL!$C$32, $C$9, 100%, $E$9)</f>
        <v>15.2727</v>
      </c>
      <c r="M912" s="11">
        <f>15.2763 * CHOOSE(CONTROL!$C$32, $C$9, 100%, $E$9)</f>
        <v>15.276300000000001</v>
      </c>
      <c r="N912" s="11">
        <f>15.2727 * CHOOSE(CONTROL!$C$32, $C$9, 100%, $E$9)</f>
        <v>15.2727</v>
      </c>
      <c r="O912" s="11">
        <f>15.2763 * CHOOSE(CONTROL!$C$32, $C$9, 100%, $E$9)</f>
        <v>15.276300000000001</v>
      </c>
    </row>
    <row r="913" spans="1:15" ht="15" x14ac:dyDescent="0.2">
      <c r="A913" s="13">
        <v>68637</v>
      </c>
      <c r="B913" s="9">
        <f>13.5209 * CHOOSE(CONTROL!$C$32, $C$9, 100%, $E$9)</f>
        <v>13.520899999999999</v>
      </c>
      <c r="C913" s="9">
        <f>13.5209 * CHOOSE(CONTROL!$C$32, $C$9, 100%, $E$9)</f>
        <v>13.520899999999999</v>
      </c>
      <c r="D913" s="9">
        <f>13.522 * CHOOSE(CONTROL!$C$32, $C$9, 100%, $E$9)</f>
        <v>13.522</v>
      </c>
      <c r="E913" s="11">
        <f>15.0561 * CHOOSE(CONTROL!$C$32, $C$9, 100%, $E$9)</f>
        <v>15.056100000000001</v>
      </c>
      <c r="F913" s="11">
        <f>15.0561 * CHOOSE(CONTROL!$C$32, $C$9, 100%, $E$9)</f>
        <v>15.056100000000001</v>
      </c>
      <c r="G913" s="11">
        <f>15.0597 * CHOOSE(CONTROL!$C$32, $C$9, 100%, $E$9)</f>
        <v>15.059699999999999</v>
      </c>
      <c r="H913" s="11">
        <f>30.8767 * CHOOSE(CONTROL!$C$32, $C$9, 100%, $E$9)</f>
        <v>30.8767</v>
      </c>
      <c r="I913" s="11">
        <f>30.8803 * CHOOSE(CONTROL!$C$32, $C$9, 100%, $E$9)</f>
        <v>30.880299999999998</v>
      </c>
      <c r="J913" s="11">
        <f>30.8767 * CHOOSE(CONTROL!$C$32, $C$9, 100%, $E$9)</f>
        <v>30.8767</v>
      </c>
      <c r="K913" s="11">
        <f>30.8803 * CHOOSE(CONTROL!$C$32, $C$9, 100%, $E$9)</f>
        <v>30.880299999999998</v>
      </c>
      <c r="L913" s="11">
        <f>15.0561 * CHOOSE(CONTROL!$C$32, $C$9, 100%, $E$9)</f>
        <v>15.056100000000001</v>
      </c>
      <c r="M913" s="11">
        <f>15.0597 * CHOOSE(CONTROL!$C$32, $C$9, 100%, $E$9)</f>
        <v>15.059699999999999</v>
      </c>
      <c r="N913" s="11">
        <f>15.0561 * CHOOSE(CONTROL!$C$32, $C$9, 100%, $E$9)</f>
        <v>15.056100000000001</v>
      </c>
      <c r="O913" s="11">
        <f>15.0597 * CHOOSE(CONTROL!$C$32, $C$9, 100%, $E$9)</f>
        <v>15.059699999999999</v>
      </c>
    </row>
    <row r="914" spans="1:15" ht="15" x14ac:dyDescent="0.2">
      <c r="A914" s="13">
        <v>68668</v>
      </c>
      <c r="B914" s="9">
        <f>13.5035 * CHOOSE(CONTROL!$C$32, $C$9, 100%, $E$9)</f>
        <v>13.503500000000001</v>
      </c>
      <c r="C914" s="9">
        <f>13.5035 * CHOOSE(CONTROL!$C$32, $C$9, 100%, $E$9)</f>
        <v>13.503500000000001</v>
      </c>
      <c r="D914" s="9">
        <f>13.5046 * CHOOSE(CONTROL!$C$32, $C$9, 100%, $E$9)</f>
        <v>13.5046</v>
      </c>
      <c r="E914" s="11">
        <f>15.1956 * CHOOSE(CONTROL!$C$32, $C$9, 100%, $E$9)</f>
        <v>15.195600000000001</v>
      </c>
      <c r="F914" s="11">
        <f>15.1956 * CHOOSE(CONTROL!$C$32, $C$9, 100%, $E$9)</f>
        <v>15.195600000000001</v>
      </c>
      <c r="G914" s="11">
        <f>15.1992 * CHOOSE(CONTROL!$C$32, $C$9, 100%, $E$9)</f>
        <v>15.199199999999999</v>
      </c>
      <c r="H914" s="11">
        <f>30.6314 * CHOOSE(CONTROL!$C$32, $C$9, 100%, $E$9)</f>
        <v>30.631399999999999</v>
      </c>
      <c r="I914" s="11">
        <f>30.635 * CHOOSE(CONTROL!$C$32, $C$9, 100%, $E$9)</f>
        <v>30.635000000000002</v>
      </c>
      <c r="J914" s="11">
        <f>30.6314 * CHOOSE(CONTROL!$C$32, $C$9, 100%, $E$9)</f>
        <v>30.631399999999999</v>
      </c>
      <c r="K914" s="11">
        <f>30.635 * CHOOSE(CONTROL!$C$32, $C$9, 100%, $E$9)</f>
        <v>30.635000000000002</v>
      </c>
      <c r="L914" s="11">
        <f>15.1956 * CHOOSE(CONTROL!$C$32, $C$9, 100%, $E$9)</f>
        <v>15.195600000000001</v>
      </c>
      <c r="M914" s="11">
        <f>15.1992 * CHOOSE(CONTROL!$C$32, $C$9, 100%, $E$9)</f>
        <v>15.199199999999999</v>
      </c>
      <c r="N914" s="11">
        <f>15.1956 * CHOOSE(CONTROL!$C$32, $C$9, 100%, $E$9)</f>
        <v>15.195600000000001</v>
      </c>
      <c r="O914" s="11">
        <f>15.1992 * CHOOSE(CONTROL!$C$32, $C$9, 100%, $E$9)</f>
        <v>15.199199999999999</v>
      </c>
    </row>
    <row r="915" spans="1:15" ht="15" x14ac:dyDescent="0.2">
      <c r="A915" s="13">
        <v>68699</v>
      </c>
      <c r="B915" s="9">
        <f>13.5005 * CHOOSE(CONTROL!$C$32, $C$9, 100%, $E$9)</f>
        <v>13.500500000000001</v>
      </c>
      <c r="C915" s="9">
        <f>13.5005 * CHOOSE(CONTROL!$C$32, $C$9, 100%, $E$9)</f>
        <v>13.500500000000001</v>
      </c>
      <c r="D915" s="9">
        <f>13.5016 * CHOOSE(CONTROL!$C$32, $C$9, 100%, $E$9)</f>
        <v>13.5016</v>
      </c>
      <c r="E915" s="11">
        <f>14.777 * CHOOSE(CONTROL!$C$32, $C$9, 100%, $E$9)</f>
        <v>14.776999999999999</v>
      </c>
      <c r="F915" s="11">
        <f>14.777 * CHOOSE(CONTROL!$C$32, $C$9, 100%, $E$9)</f>
        <v>14.776999999999999</v>
      </c>
      <c r="G915" s="11">
        <f>14.7806 * CHOOSE(CONTROL!$C$32, $C$9, 100%, $E$9)</f>
        <v>14.7806</v>
      </c>
      <c r="H915" s="11">
        <f>30.6952 * CHOOSE(CONTROL!$C$32, $C$9, 100%, $E$9)</f>
        <v>30.6952</v>
      </c>
      <c r="I915" s="11">
        <f>30.6988 * CHOOSE(CONTROL!$C$32, $C$9, 100%, $E$9)</f>
        <v>30.698799999999999</v>
      </c>
      <c r="J915" s="11">
        <f>30.6952 * CHOOSE(CONTROL!$C$32, $C$9, 100%, $E$9)</f>
        <v>30.6952</v>
      </c>
      <c r="K915" s="11">
        <f>30.6988 * CHOOSE(CONTROL!$C$32, $C$9, 100%, $E$9)</f>
        <v>30.698799999999999</v>
      </c>
      <c r="L915" s="11">
        <f>14.777 * CHOOSE(CONTROL!$C$32, $C$9, 100%, $E$9)</f>
        <v>14.776999999999999</v>
      </c>
      <c r="M915" s="11">
        <f>14.7806 * CHOOSE(CONTROL!$C$32, $C$9, 100%, $E$9)</f>
        <v>14.7806</v>
      </c>
      <c r="N915" s="11">
        <f>14.777 * CHOOSE(CONTROL!$C$32, $C$9, 100%, $E$9)</f>
        <v>14.776999999999999</v>
      </c>
      <c r="O915" s="11">
        <f>14.7806 * CHOOSE(CONTROL!$C$32, $C$9, 100%, $E$9)</f>
        <v>14.7806</v>
      </c>
    </row>
    <row r="916" spans="1:15" ht="15" x14ac:dyDescent="0.2">
      <c r="A916" s="13">
        <v>68728</v>
      </c>
      <c r="B916" s="9">
        <f>13.4974 * CHOOSE(CONTROL!$C$32, $C$9, 100%, $E$9)</f>
        <v>13.497400000000001</v>
      </c>
      <c r="C916" s="9">
        <f>13.4974 * CHOOSE(CONTROL!$C$32, $C$9, 100%, $E$9)</f>
        <v>13.497400000000001</v>
      </c>
      <c r="D916" s="9">
        <f>13.4985 * CHOOSE(CONTROL!$C$32, $C$9, 100%, $E$9)</f>
        <v>13.4985</v>
      </c>
      <c r="E916" s="11">
        <f>15.1032 * CHOOSE(CONTROL!$C$32, $C$9, 100%, $E$9)</f>
        <v>15.103199999999999</v>
      </c>
      <c r="F916" s="11">
        <f>15.1032 * CHOOSE(CONTROL!$C$32, $C$9, 100%, $E$9)</f>
        <v>15.103199999999999</v>
      </c>
      <c r="G916" s="11">
        <f>15.1068 * CHOOSE(CONTROL!$C$32, $C$9, 100%, $E$9)</f>
        <v>15.1068</v>
      </c>
      <c r="H916" s="11">
        <f>30.7592 * CHOOSE(CONTROL!$C$32, $C$9, 100%, $E$9)</f>
        <v>30.7592</v>
      </c>
      <c r="I916" s="11">
        <f>30.7628 * CHOOSE(CONTROL!$C$32, $C$9, 100%, $E$9)</f>
        <v>30.762799999999999</v>
      </c>
      <c r="J916" s="11">
        <f>30.7592 * CHOOSE(CONTROL!$C$32, $C$9, 100%, $E$9)</f>
        <v>30.7592</v>
      </c>
      <c r="K916" s="11">
        <f>30.7628 * CHOOSE(CONTROL!$C$32, $C$9, 100%, $E$9)</f>
        <v>30.762799999999999</v>
      </c>
      <c r="L916" s="11">
        <f>15.1032 * CHOOSE(CONTROL!$C$32, $C$9, 100%, $E$9)</f>
        <v>15.103199999999999</v>
      </c>
      <c r="M916" s="11">
        <f>15.1068 * CHOOSE(CONTROL!$C$32, $C$9, 100%, $E$9)</f>
        <v>15.1068</v>
      </c>
      <c r="N916" s="11">
        <f>15.1032 * CHOOSE(CONTROL!$C$32, $C$9, 100%, $E$9)</f>
        <v>15.103199999999999</v>
      </c>
      <c r="O916" s="11">
        <f>15.1068 * CHOOSE(CONTROL!$C$32, $C$9, 100%, $E$9)</f>
        <v>15.1068</v>
      </c>
    </row>
    <row r="917" spans="1:15" ht="15" x14ac:dyDescent="0.2">
      <c r="A917" s="13">
        <v>68759</v>
      </c>
      <c r="B917" s="9">
        <f>13.5043 * CHOOSE(CONTROL!$C$32, $C$9, 100%, $E$9)</f>
        <v>13.504300000000001</v>
      </c>
      <c r="C917" s="9">
        <f>13.5043 * CHOOSE(CONTROL!$C$32, $C$9, 100%, $E$9)</f>
        <v>13.504300000000001</v>
      </c>
      <c r="D917" s="9">
        <f>13.5054 * CHOOSE(CONTROL!$C$32, $C$9, 100%, $E$9)</f>
        <v>13.5054</v>
      </c>
      <c r="E917" s="11">
        <f>15.4516 * CHOOSE(CONTROL!$C$32, $C$9, 100%, $E$9)</f>
        <v>15.451599999999999</v>
      </c>
      <c r="F917" s="11">
        <f>15.4516 * CHOOSE(CONTROL!$C$32, $C$9, 100%, $E$9)</f>
        <v>15.451599999999999</v>
      </c>
      <c r="G917" s="11">
        <f>15.4552 * CHOOSE(CONTROL!$C$32, $C$9, 100%, $E$9)</f>
        <v>15.4552</v>
      </c>
      <c r="H917" s="11">
        <f>30.8233 * CHOOSE(CONTROL!$C$32, $C$9, 100%, $E$9)</f>
        <v>30.8233</v>
      </c>
      <c r="I917" s="11">
        <f>30.8269 * CHOOSE(CONTROL!$C$32, $C$9, 100%, $E$9)</f>
        <v>30.826899999999998</v>
      </c>
      <c r="J917" s="11">
        <f>30.8233 * CHOOSE(CONTROL!$C$32, $C$9, 100%, $E$9)</f>
        <v>30.8233</v>
      </c>
      <c r="K917" s="11">
        <f>30.8269 * CHOOSE(CONTROL!$C$32, $C$9, 100%, $E$9)</f>
        <v>30.826899999999998</v>
      </c>
      <c r="L917" s="11">
        <f>15.4516 * CHOOSE(CONTROL!$C$32, $C$9, 100%, $E$9)</f>
        <v>15.451599999999999</v>
      </c>
      <c r="M917" s="11">
        <f>15.4552 * CHOOSE(CONTROL!$C$32, $C$9, 100%, $E$9)</f>
        <v>15.4552</v>
      </c>
      <c r="N917" s="11">
        <f>15.4516 * CHOOSE(CONTROL!$C$32, $C$9, 100%, $E$9)</f>
        <v>15.451599999999999</v>
      </c>
      <c r="O917" s="11">
        <f>15.4552 * CHOOSE(CONTROL!$C$32, $C$9, 100%, $E$9)</f>
        <v>15.4552</v>
      </c>
    </row>
    <row r="918" spans="1:15" ht="15" x14ac:dyDescent="0.2">
      <c r="A918" s="13">
        <v>68789</v>
      </c>
      <c r="B918" s="9">
        <f>13.5043 * CHOOSE(CONTROL!$C$32, $C$9, 100%, $E$9)</f>
        <v>13.504300000000001</v>
      </c>
      <c r="C918" s="9">
        <f>13.5043 * CHOOSE(CONTROL!$C$32, $C$9, 100%, $E$9)</f>
        <v>13.504300000000001</v>
      </c>
      <c r="D918" s="9">
        <f>13.5059 * CHOOSE(CONTROL!$C$32, $C$9, 100%, $E$9)</f>
        <v>13.5059</v>
      </c>
      <c r="E918" s="11">
        <f>15.5838 * CHOOSE(CONTROL!$C$32, $C$9, 100%, $E$9)</f>
        <v>15.5838</v>
      </c>
      <c r="F918" s="11">
        <f>15.5838 * CHOOSE(CONTROL!$C$32, $C$9, 100%, $E$9)</f>
        <v>15.5838</v>
      </c>
      <c r="G918" s="11">
        <f>15.5891 * CHOOSE(CONTROL!$C$32, $C$9, 100%, $E$9)</f>
        <v>15.5891</v>
      </c>
      <c r="H918" s="11">
        <f>30.8875 * CHOOSE(CONTROL!$C$32, $C$9, 100%, $E$9)</f>
        <v>30.887499999999999</v>
      </c>
      <c r="I918" s="11">
        <f>30.8928 * CHOOSE(CONTROL!$C$32, $C$9, 100%, $E$9)</f>
        <v>30.892800000000001</v>
      </c>
      <c r="J918" s="11">
        <f>30.8875 * CHOOSE(CONTROL!$C$32, $C$9, 100%, $E$9)</f>
        <v>30.887499999999999</v>
      </c>
      <c r="K918" s="11">
        <f>30.8928 * CHOOSE(CONTROL!$C$32, $C$9, 100%, $E$9)</f>
        <v>30.892800000000001</v>
      </c>
      <c r="L918" s="11">
        <f>15.5838 * CHOOSE(CONTROL!$C$32, $C$9, 100%, $E$9)</f>
        <v>15.5838</v>
      </c>
      <c r="M918" s="11">
        <f>15.5891 * CHOOSE(CONTROL!$C$32, $C$9, 100%, $E$9)</f>
        <v>15.5891</v>
      </c>
      <c r="N918" s="11">
        <f>15.5838 * CHOOSE(CONTROL!$C$32, $C$9, 100%, $E$9)</f>
        <v>15.5838</v>
      </c>
      <c r="O918" s="11">
        <f>15.5891 * CHOOSE(CONTROL!$C$32, $C$9, 100%, $E$9)</f>
        <v>15.5891</v>
      </c>
    </row>
    <row r="919" spans="1:15" ht="15" x14ac:dyDescent="0.2">
      <c r="A919" s="13">
        <v>68820</v>
      </c>
      <c r="B919" s="9">
        <f>13.5104 * CHOOSE(CONTROL!$C$32, $C$9, 100%, $E$9)</f>
        <v>13.510400000000001</v>
      </c>
      <c r="C919" s="9">
        <f>13.5104 * CHOOSE(CONTROL!$C$32, $C$9, 100%, $E$9)</f>
        <v>13.510400000000001</v>
      </c>
      <c r="D919" s="9">
        <f>13.512 * CHOOSE(CONTROL!$C$32, $C$9, 100%, $E$9)</f>
        <v>13.512</v>
      </c>
      <c r="E919" s="11">
        <f>15.4558 * CHOOSE(CONTROL!$C$32, $C$9, 100%, $E$9)</f>
        <v>15.4558</v>
      </c>
      <c r="F919" s="11">
        <f>15.4558 * CHOOSE(CONTROL!$C$32, $C$9, 100%, $E$9)</f>
        <v>15.4558</v>
      </c>
      <c r="G919" s="11">
        <f>15.4611 * CHOOSE(CONTROL!$C$32, $C$9, 100%, $E$9)</f>
        <v>15.4611</v>
      </c>
      <c r="H919" s="11">
        <f>30.9518 * CHOOSE(CONTROL!$C$32, $C$9, 100%, $E$9)</f>
        <v>30.951799999999999</v>
      </c>
      <c r="I919" s="11">
        <f>30.9571 * CHOOSE(CONTROL!$C$32, $C$9, 100%, $E$9)</f>
        <v>30.957100000000001</v>
      </c>
      <c r="J919" s="11">
        <f>30.9518 * CHOOSE(CONTROL!$C$32, $C$9, 100%, $E$9)</f>
        <v>30.951799999999999</v>
      </c>
      <c r="K919" s="11">
        <f>30.9571 * CHOOSE(CONTROL!$C$32, $C$9, 100%, $E$9)</f>
        <v>30.957100000000001</v>
      </c>
      <c r="L919" s="11">
        <f>15.4558 * CHOOSE(CONTROL!$C$32, $C$9, 100%, $E$9)</f>
        <v>15.4558</v>
      </c>
      <c r="M919" s="11">
        <f>15.4611 * CHOOSE(CONTROL!$C$32, $C$9, 100%, $E$9)</f>
        <v>15.4611</v>
      </c>
      <c r="N919" s="11">
        <f>15.4558 * CHOOSE(CONTROL!$C$32, $C$9, 100%, $E$9)</f>
        <v>15.4558</v>
      </c>
      <c r="O919" s="11">
        <f>15.4611 * CHOOSE(CONTROL!$C$32, $C$9, 100%, $E$9)</f>
        <v>15.4611</v>
      </c>
    </row>
    <row r="920" spans="1:15" ht="15" x14ac:dyDescent="0.2">
      <c r="A920" s="13">
        <v>68850</v>
      </c>
      <c r="B920" s="9">
        <f>13.6733 * CHOOSE(CONTROL!$C$32, $C$9, 100%, $E$9)</f>
        <v>13.673299999999999</v>
      </c>
      <c r="C920" s="9">
        <f>13.6733 * CHOOSE(CONTROL!$C$32, $C$9, 100%, $E$9)</f>
        <v>13.673299999999999</v>
      </c>
      <c r="D920" s="9">
        <f>13.6749 * CHOOSE(CONTROL!$C$32, $C$9, 100%, $E$9)</f>
        <v>13.674899999999999</v>
      </c>
      <c r="E920" s="11">
        <f>15.6749 * CHOOSE(CONTROL!$C$32, $C$9, 100%, $E$9)</f>
        <v>15.674899999999999</v>
      </c>
      <c r="F920" s="11">
        <f>15.6749 * CHOOSE(CONTROL!$C$32, $C$9, 100%, $E$9)</f>
        <v>15.674899999999999</v>
      </c>
      <c r="G920" s="11">
        <f>15.6802 * CHOOSE(CONTROL!$C$32, $C$9, 100%, $E$9)</f>
        <v>15.680199999999999</v>
      </c>
      <c r="H920" s="11">
        <f>31.0163 * CHOOSE(CONTROL!$C$32, $C$9, 100%, $E$9)</f>
        <v>31.016300000000001</v>
      </c>
      <c r="I920" s="11">
        <f>31.0216 * CHOOSE(CONTROL!$C$32, $C$9, 100%, $E$9)</f>
        <v>31.021599999999999</v>
      </c>
      <c r="J920" s="11">
        <f>31.0163 * CHOOSE(CONTROL!$C$32, $C$9, 100%, $E$9)</f>
        <v>31.016300000000001</v>
      </c>
      <c r="K920" s="11">
        <f>31.0216 * CHOOSE(CONTROL!$C$32, $C$9, 100%, $E$9)</f>
        <v>31.021599999999999</v>
      </c>
      <c r="L920" s="11">
        <f>15.6749 * CHOOSE(CONTROL!$C$32, $C$9, 100%, $E$9)</f>
        <v>15.674899999999999</v>
      </c>
      <c r="M920" s="11">
        <f>15.6802 * CHOOSE(CONTROL!$C$32, $C$9, 100%, $E$9)</f>
        <v>15.680199999999999</v>
      </c>
      <c r="N920" s="11">
        <f>15.6749 * CHOOSE(CONTROL!$C$32, $C$9, 100%, $E$9)</f>
        <v>15.674899999999999</v>
      </c>
      <c r="O920" s="11">
        <f>15.6802 * CHOOSE(CONTROL!$C$32, $C$9, 100%, $E$9)</f>
        <v>15.680199999999999</v>
      </c>
    </row>
    <row r="921" spans="1:15" ht="15" x14ac:dyDescent="0.2">
      <c r="A921" s="13">
        <v>68881</v>
      </c>
      <c r="B921" s="9">
        <f>13.68 * CHOOSE(CONTROL!$C$32, $C$9, 100%, $E$9)</f>
        <v>13.68</v>
      </c>
      <c r="C921" s="9">
        <f>13.68 * CHOOSE(CONTROL!$C$32, $C$9, 100%, $E$9)</f>
        <v>13.68</v>
      </c>
      <c r="D921" s="9">
        <f>13.6815 * CHOOSE(CONTROL!$C$32, $C$9, 100%, $E$9)</f>
        <v>13.6815</v>
      </c>
      <c r="E921" s="11">
        <f>15.2829 * CHOOSE(CONTROL!$C$32, $C$9, 100%, $E$9)</f>
        <v>15.2829</v>
      </c>
      <c r="F921" s="11">
        <f>15.2829 * CHOOSE(CONTROL!$C$32, $C$9, 100%, $E$9)</f>
        <v>15.2829</v>
      </c>
      <c r="G921" s="11">
        <f>15.2882 * CHOOSE(CONTROL!$C$32, $C$9, 100%, $E$9)</f>
        <v>15.2882</v>
      </c>
      <c r="H921" s="11">
        <f>31.0809 * CHOOSE(CONTROL!$C$32, $C$9, 100%, $E$9)</f>
        <v>31.0809</v>
      </c>
      <c r="I921" s="11">
        <f>31.0862 * CHOOSE(CONTROL!$C$32, $C$9, 100%, $E$9)</f>
        <v>31.086200000000002</v>
      </c>
      <c r="J921" s="11">
        <f>31.0809 * CHOOSE(CONTROL!$C$32, $C$9, 100%, $E$9)</f>
        <v>31.0809</v>
      </c>
      <c r="K921" s="11">
        <f>31.0862 * CHOOSE(CONTROL!$C$32, $C$9, 100%, $E$9)</f>
        <v>31.086200000000002</v>
      </c>
      <c r="L921" s="11">
        <f>15.2829 * CHOOSE(CONTROL!$C$32, $C$9, 100%, $E$9)</f>
        <v>15.2829</v>
      </c>
      <c r="M921" s="11">
        <f>15.2882 * CHOOSE(CONTROL!$C$32, $C$9, 100%, $E$9)</f>
        <v>15.2882</v>
      </c>
      <c r="N921" s="11">
        <f>15.2829 * CHOOSE(CONTROL!$C$32, $C$9, 100%, $E$9)</f>
        <v>15.2829</v>
      </c>
      <c r="O921" s="11">
        <f>15.2882 * CHOOSE(CONTROL!$C$32, $C$9, 100%, $E$9)</f>
        <v>15.2882</v>
      </c>
    </row>
    <row r="922" spans="1:15" ht="15" x14ac:dyDescent="0.2">
      <c r="A922" s="13">
        <v>68912</v>
      </c>
      <c r="B922" s="9">
        <f>13.6769 * CHOOSE(CONTROL!$C$32, $C$9, 100%, $E$9)</f>
        <v>13.6769</v>
      </c>
      <c r="C922" s="9">
        <f>13.6769 * CHOOSE(CONTROL!$C$32, $C$9, 100%, $E$9)</f>
        <v>13.6769</v>
      </c>
      <c r="D922" s="9">
        <f>13.6785 * CHOOSE(CONTROL!$C$32, $C$9, 100%, $E$9)</f>
        <v>13.6785</v>
      </c>
      <c r="E922" s="11">
        <f>15.2368 * CHOOSE(CONTROL!$C$32, $C$9, 100%, $E$9)</f>
        <v>15.236800000000001</v>
      </c>
      <c r="F922" s="11">
        <f>15.2368 * CHOOSE(CONTROL!$C$32, $C$9, 100%, $E$9)</f>
        <v>15.236800000000001</v>
      </c>
      <c r="G922" s="11">
        <f>15.2421 * CHOOSE(CONTROL!$C$32, $C$9, 100%, $E$9)</f>
        <v>15.242100000000001</v>
      </c>
      <c r="H922" s="11">
        <f>31.1457 * CHOOSE(CONTROL!$C$32, $C$9, 100%, $E$9)</f>
        <v>31.145700000000001</v>
      </c>
      <c r="I922" s="11">
        <f>31.151 * CHOOSE(CONTROL!$C$32, $C$9, 100%, $E$9)</f>
        <v>31.151</v>
      </c>
      <c r="J922" s="11">
        <f>31.1457 * CHOOSE(CONTROL!$C$32, $C$9, 100%, $E$9)</f>
        <v>31.145700000000001</v>
      </c>
      <c r="K922" s="11">
        <f>31.151 * CHOOSE(CONTROL!$C$32, $C$9, 100%, $E$9)</f>
        <v>31.151</v>
      </c>
      <c r="L922" s="11">
        <f>15.2368 * CHOOSE(CONTROL!$C$32, $C$9, 100%, $E$9)</f>
        <v>15.236800000000001</v>
      </c>
      <c r="M922" s="11">
        <f>15.2421 * CHOOSE(CONTROL!$C$32, $C$9, 100%, $E$9)</f>
        <v>15.242100000000001</v>
      </c>
      <c r="N922" s="11">
        <f>15.2368 * CHOOSE(CONTROL!$C$32, $C$9, 100%, $E$9)</f>
        <v>15.236800000000001</v>
      </c>
      <c r="O922" s="11">
        <f>15.2421 * CHOOSE(CONTROL!$C$32, $C$9, 100%, $E$9)</f>
        <v>15.242100000000001</v>
      </c>
    </row>
    <row r="923" spans="1:15" ht="15" x14ac:dyDescent="0.2">
      <c r="A923" s="13">
        <v>68942</v>
      </c>
      <c r="B923" s="9">
        <f>13.7082 * CHOOSE(CONTROL!$C$32, $C$9, 100%, $E$9)</f>
        <v>13.7082</v>
      </c>
      <c r="C923" s="9">
        <f>13.7082 * CHOOSE(CONTROL!$C$32, $C$9, 100%, $E$9)</f>
        <v>13.7082</v>
      </c>
      <c r="D923" s="9">
        <f>13.7092 * CHOOSE(CONTROL!$C$32, $C$9, 100%, $E$9)</f>
        <v>13.709199999999999</v>
      </c>
      <c r="E923" s="11">
        <f>15.3996 * CHOOSE(CONTROL!$C$32, $C$9, 100%, $E$9)</f>
        <v>15.3996</v>
      </c>
      <c r="F923" s="11">
        <f>15.3996 * CHOOSE(CONTROL!$C$32, $C$9, 100%, $E$9)</f>
        <v>15.3996</v>
      </c>
      <c r="G923" s="11">
        <f>15.4032 * CHOOSE(CONTROL!$C$32, $C$9, 100%, $E$9)</f>
        <v>15.4032</v>
      </c>
      <c r="H923" s="11">
        <f>31.2106 * CHOOSE(CONTROL!$C$32, $C$9, 100%, $E$9)</f>
        <v>31.210599999999999</v>
      </c>
      <c r="I923" s="11">
        <f>31.2142 * CHOOSE(CONTROL!$C$32, $C$9, 100%, $E$9)</f>
        <v>31.214200000000002</v>
      </c>
      <c r="J923" s="11">
        <f>31.2106 * CHOOSE(CONTROL!$C$32, $C$9, 100%, $E$9)</f>
        <v>31.210599999999999</v>
      </c>
      <c r="K923" s="11">
        <f>31.2142 * CHOOSE(CONTROL!$C$32, $C$9, 100%, $E$9)</f>
        <v>31.214200000000002</v>
      </c>
      <c r="L923" s="11">
        <f>15.3996 * CHOOSE(CONTROL!$C$32, $C$9, 100%, $E$9)</f>
        <v>15.3996</v>
      </c>
      <c r="M923" s="11">
        <f>15.4032 * CHOOSE(CONTROL!$C$32, $C$9, 100%, $E$9)</f>
        <v>15.4032</v>
      </c>
      <c r="N923" s="11">
        <f>15.3996 * CHOOSE(CONTROL!$C$32, $C$9, 100%, $E$9)</f>
        <v>15.3996</v>
      </c>
      <c r="O923" s="11">
        <f>15.4032 * CHOOSE(CONTROL!$C$32, $C$9, 100%, $E$9)</f>
        <v>15.4032</v>
      </c>
    </row>
    <row r="924" spans="1:15" ht="15" x14ac:dyDescent="0.2">
      <c r="A924" s="13">
        <v>68973</v>
      </c>
      <c r="B924" s="9">
        <f>13.7112 * CHOOSE(CONTROL!$C$32, $C$9, 100%, $E$9)</f>
        <v>13.7112</v>
      </c>
      <c r="C924" s="9">
        <f>13.7112 * CHOOSE(CONTROL!$C$32, $C$9, 100%, $E$9)</f>
        <v>13.7112</v>
      </c>
      <c r="D924" s="9">
        <f>13.7123 * CHOOSE(CONTROL!$C$32, $C$9, 100%, $E$9)</f>
        <v>13.712300000000001</v>
      </c>
      <c r="E924" s="11">
        <f>15.4899 * CHOOSE(CONTROL!$C$32, $C$9, 100%, $E$9)</f>
        <v>15.4899</v>
      </c>
      <c r="F924" s="11">
        <f>15.4899 * CHOOSE(CONTROL!$C$32, $C$9, 100%, $E$9)</f>
        <v>15.4899</v>
      </c>
      <c r="G924" s="11">
        <f>15.4935 * CHOOSE(CONTROL!$C$32, $C$9, 100%, $E$9)</f>
        <v>15.493499999999999</v>
      </c>
      <c r="H924" s="11">
        <f>31.2756 * CHOOSE(CONTROL!$C$32, $C$9, 100%, $E$9)</f>
        <v>31.275600000000001</v>
      </c>
      <c r="I924" s="11">
        <f>31.2792 * CHOOSE(CONTROL!$C$32, $C$9, 100%, $E$9)</f>
        <v>31.279199999999999</v>
      </c>
      <c r="J924" s="11">
        <f>31.2756 * CHOOSE(CONTROL!$C$32, $C$9, 100%, $E$9)</f>
        <v>31.275600000000001</v>
      </c>
      <c r="K924" s="11">
        <f>31.2792 * CHOOSE(CONTROL!$C$32, $C$9, 100%, $E$9)</f>
        <v>31.279199999999999</v>
      </c>
      <c r="L924" s="11">
        <f>15.4899 * CHOOSE(CONTROL!$C$32, $C$9, 100%, $E$9)</f>
        <v>15.4899</v>
      </c>
      <c r="M924" s="11">
        <f>15.4935 * CHOOSE(CONTROL!$C$32, $C$9, 100%, $E$9)</f>
        <v>15.493499999999999</v>
      </c>
      <c r="N924" s="11">
        <f>15.4899 * CHOOSE(CONTROL!$C$32, $C$9, 100%, $E$9)</f>
        <v>15.4899</v>
      </c>
      <c r="O924" s="11">
        <f>15.4935 * CHOOSE(CONTROL!$C$32, $C$9, 100%, $E$9)</f>
        <v>15.493499999999999</v>
      </c>
    </row>
    <row r="925" spans="1:15" ht="15" x14ac:dyDescent="0.2">
      <c r="A925" s="13">
        <v>69003</v>
      </c>
      <c r="B925" s="9">
        <f>13.7112 * CHOOSE(CONTROL!$C$32, $C$9, 100%, $E$9)</f>
        <v>13.7112</v>
      </c>
      <c r="C925" s="9">
        <f>13.7112 * CHOOSE(CONTROL!$C$32, $C$9, 100%, $E$9)</f>
        <v>13.7112</v>
      </c>
      <c r="D925" s="9">
        <f>13.7123 * CHOOSE(CONTROL!$C$32, $C$9, 100%, $E$9)</f>
        <v>13.712300000000001</v>
      </c>
      <c r="E925" s="11">
        <f>15.2695 * CHOOSE(CONTROL!$C$32, $C$9, 100%, $E$9)</f>
        <v>15.269500000000001</v>
      </c>
      <c r="F925" s="11">
        <f>15.2695 * CHOOSE(CONTROL!$C$32, $C$9, 100%, $E$9)</f>
        <v>15.269500000000001</v>
      </c>
      <c r="G925" s="11">
        <f>15.2731 * CHOOSE(CONTROL!$C$32, $C$9, 100%, $E$9)</f>
        <v>15.273099999999999</v>
      </c>
      <c r="H925" s="11">
        <f>31.3407 * CHOOSE(CONTROL!$C$32, $C$9, 100%, $E$9)</f>
        <v>31.340699999999998</v>
      </c>
      <c r="I925" s="11">
        <f>31.3444 * CHOOSE(CONTROL!$C$32, $C$9, 100%, $E$9)</f>
        <v>31.3444</v>
      </c>
      <c r="J925" s="11">
        <f>31.3407 * CHOOSE(CONTROL!$C$32, $C$9, 100%, $E$9)</f>
        <v>31.340699999999998</v>
      </c>
      <c r="K925" s="11">
        <f>31.3444 * CHOOSE(CONTROL!$C$32, $C$9, 100%, $E$9)</f>
        <v>31.3444</v>
      </c>
      <c r="L925" s="11">
        <f>15.2695 * CHOOSE(CONTROL!$C$32, $C$9, 100%, $E$9)</f>
        <v>15.269500000000001</v>
      </c>
      <c r="M925" s="11">
        <f>15.2731 * CHOOSE(CONTROL!$C$32, $C$9, 100%, $E$9)</f>
        <v>15.273099999999999</v>
      </c>
      <c r="N925" s="11">
        <f>15.2695 * CHOOSE(CONTROL!$C$32, $C$9, 100%, $E$9)</f>
        <v>15.269500000000001</v>
      </c>
      <c r="O925" s="11">
        <f>15.2731 * CHOOSE(CONTROL!$C$32, $C$9, 100%, $E$9)</f>
        <v>15.273099999999999</v>
      </c>
    </row>
    <row r="926" spans="1:15" ht="15" x14ac:dyDescent="0.2">
      <c r="A926" s="13">
        <v>69034</v>
      </c>
      <c r="B926" s="9">
        <f>13.6909 * CHOOSE(CONTROL!$C$32, $C$9, 100%, $E$9)</f>
        <v>13.690899999999999</v>
      </c>
      <c r="C926" s="9">
        <f>13.6909 * CHOOSE(CONTROL!$C$32, $C$9, 100%, $E$9)</f>
        <v>13.690899999999999</v>
      </c>
      <c r="D926" s="9">
        <f>13.6919 * CHOOSE(CONTROL!$C$32, $C$9, 100%, $E$9)</f>
        <v>13.6919</v>
      </c>
      <c r="E926" s="11">
        <f>15.4081 * CHOOSE(CONTROL!$C$32, $C$9, 100%, $E$9)</f>
        <v>15.408099999999999</v>
      </c>
      <c r="F926" s="11">
        <f>15.4081 * CHOOSE(CONTROL!$C$32, $C$9, 100%, $E$9)</f>
        <v>15.408099999999999</v>
      </c>
      <c r="G926" s="11">
        <f>15.4117 * CHOOSE(CONTROL!$C$32, $C$9, 100%, $E$9)</f>
        <v>15.4117</v>
      </c>
      <c r="H926" s="11">
        <f>31.0849 * CHOOSE(CONTROL!$C$32, $C$9, 100%, $E$9)</f>
        <v>31.084900000000001</v>
      </c>
      <c r="I926" s="11">
        <f>31.0885 * CHOOSE(CONTROL!$C$32, $C$9, 100%, $E$9)</f>
        <v>31.0885</v>
      </c>
      <c r="J926" s="11">
        <f>31.0849 * CHOOSE(CONTROL!$C$32, $C$9, 100%, $E$9)</f>
        <v>31.084900000000001</v>
      </c>
      <c r="K926" s="11">
        <f>31.0885 * CHOOSE(CONTROL!$C$32, $C$9, 100%, $E$9)</f>
        <v>31.0885</v>
      </c>
      <c r="L926" s="11">
        <f>15.4081 * CHOOSE(CONTROL!$C$32, $C$9, 100%, $E$9)</f>
        <v>15.408099999999999</v>
      </c>
      <c r="M926" s="11">
        <f>15.4117 * CHOOSE(CONTROL!$C$32, $C$9, 100%, $E$9)</f>
        <v>15.4117</v>
      </c>
      <c r="N926" s="11">
        <f>15.4081 * CHOOSE(CONTROL!$C$32, $C$9, 100%, $E$9)</f>
        <v>15.408099999999999</v>
      </c>
      <c r="O926" s="11">
        <f>15.4117 * CHOOSE(CONTROL!$C$32, $C$9, 100%, $E$9)</f>
        <v>15.4117</v>
      </c>
    </row>
    <row r="927" spans="1:15" ht="15" x14ac:dyDescent="0.2">
      <c r="A927" s="13">
        <v>69065</v>
      </c>
      <c r="B927" s="9">
        <f>13.6878 * CHOOSE(CONTROL!$C$32, $C$9, 100%, $E$9)</f>
        <v>13.687799999999999</v>
      </c>
      <c r="C927" s="9">
        <f>13.6878 * CHOOSE(CONTROL!$C$32, $C$9, 100%, $E$9)</f>
        <v>13.687799999999999</v>
      </c>
      <c r="D927" s="9">
        <f>13.6889 * CHOOSE(CONTROL!$C$32, $C$9, 100%, $E$9)</f>
        <v>13.6889</v>
      </c>
      <c r="E927" s="11">
        <f>14.9824 * CHOOSE(CONTROL!$C$32, $C$9, 100%, $E$9)</f>
        <v>14.9824</v>
      </c>
      <c r="F927" s="11">
        <f>14.9824 * CHOOSE(CONTROL!$C$32, $C$9, 100%, $E$9)</f>
        <v>14.9824</v>
      </c>
      <c r="G927" s="11">
        <f>14.9861 * CHOOSE(CONTROL!$C$32, $C$9, 100%, $E$9)</f>
        <v>14.9861</v>
      </c>
      <c r="H927" s="11">
        <f>31.1497 * CHOOSE(CONTROL!$C$32, $C$9, 100%, $E$9)</f>
        <v>31.149699999999999</v>
      </c>
      <c r="I927" s="11">
        <f>31.1533 * CHOOSE(CONTROL!$C$32, $C$9, 100%, $E$9)</f>
        <v>31.153300000000002</v>
      </c>
      <c r="J927" s="11">
        <f>31.1497 * CHOOSE(CONTROL!$C$32, $C$9, 100%, $E$9)</f>
        <v>31.149699999999999</v>
      </c>
      <c r="K927" s="11">
        <f>31.1533 * CHOOSE(CONTROL!$C$32, $C$9, 100%, $E$9)</f>
        <v>31.153300000000002</v>
      </c>
      <c r="L927" s="11">
        <f>14.9824 * CHOOSE(CONTROL!$C$32, $C$9, 100%, $E$9)</f>
        <v>14.9824</v>
      </c>
      <c r="M927" s="11">
        <f>14.9861 * CHOOSE(CONTROL!$C$32, $C$9, 100%, $E$9)</f>
        <v>14.9861</v>
      </c>
      <c r="N927" s="11">
        <f>14.9824 * CHOOSE(CONTROL!$C$32, $C$9, 100%, $E$9)</f>
        <v>14.9824</v>
      </c>
      <c r="O927" s="11">
        <f>14.9861 * CHOOSE(CONTROL!$C$32, $C$9, 100%, $E$9)</f>
        <v>14.9861</v>
      </c>
    </row>
    <row r="928" spans="1:15" ht="15" x14ac:dyDescent="0.2">
      <c r="A928" s="13">
        <v>69093</v>
      </c>
      <c r="B928" s="9">
        <f>13.6848 * CHOOSE(CONTROL!$C$32, $C$9, 100%, $E$9)</f>
        <v>13.684799999999999</v>
      </c>
      <c r="C928" s="9">
        <f>13.6848 * CHOOSE(CONTROL!$C$32, $C$9, 100%, $E$9)</f>
        <v>13.684799999999999</v>
      </c>
      <c r="D928" s="9">
        <f>13.6859 * CHOOSE(CONTROL!$C$32, $C$9, 100%, $E$9)</f>
        <v>13.6859</v>
      </c>
      <c r="E928" s="11">
        <f>15.3142 * CHOOSE(CONTROL!$C$32, $C$9, 100%, $E$9)</f>
        <v>15.3142</v>
      </c>
      <c r="F928" s="11">
        <f>15.3142 * CHOOSE(CONTROL!$C$32, $C$9, 100%, $E$9)</f>
        <v>15.3142</v>
      </c>
      <c r="G928" s="11">
        <f>15.3178 * CHOOSE(CONTROL!$C$32, $C$9, 100%, $E$9)</f>
        <v>15.3178</v>
      </c>
      <c r="H928" s="11">
        <f>31.2146 * CHOOSE(CONTROL!$C$32, $C$9, 100%, $E$9)</f>
        <v>31.214600000000001</v>
      </c>
      <c r="I928" s="11">
        <f>31.2182 * CHOOSE(CONTROL!$C$32, $C$9, 100%, $E$9)</f>
        <v>31.2182</v>
      </c>
      <c r="J928" s="11">
        <f>31.2146 * CHOOSE(CONTROL!$C$32, $C$9, 100%, $E$9)</f>
        <v>31.214600000000001</v>
      </c>
      <c r="K928" s="11">
        <f>31.2182 * CHOOSE(CONTROL!$C$32, $C$9, 100%, $E$9)</f>
        <v>31.2182</v>
      </c>
      <c r="L928" s="11">
        <f>15.3142 * CHOOSE(CONTROL!$C$32, $C$9, 100%, $E$9)</f>
        <v>15.3142</v>
      </c>
      <c r="M928" s="11">
        <f>15.3178 * CHOOSE(CONTROL!$C$32, $C$9, 100%, $E$9)</f>
        <v>15.3178</v>
      </c>
      <c r="N928" s="11">
        <f>15.3142 * CHOOSE(CONTROL!$C$32, $C$9, 100%, $E$9)</f>
        <v>15.3142</v>
      </c>
      <c r="O928" s="11">
        <f>15.3178 * CHOOSE(CONTROL!$C$32, $C$9, 100%, $E$9)</f>
        <v>15.3178</v>
      </c>
    </row>
    <row r="929" spans="1:15" ht="15" x14ac:dyDescent="0.2">
      <c r="A929" s="13">
        <v>69124</v>
      </c>
      <c r="B929" s="9">
        <f>13.6919 * CHOOSE(CONTROL!$C$32, $C$9, 100%, $E$9)</f>
        <v>13.6919</v>
      </c>
      <c r="C929" s="9">
        <f>13.6919 * CHOOSE(CONTROL!$C$32, $C$9, 100%, $E$9)</f>
        <v>13.6919</v>
      </c>
      <c r="D929" s="9">
        <f>13.6929 * CHOOSE(CONTROL!$C$32, $C$9, 100%, $E$9)</f>
        <v>13.6929</v>
      </c>
      <c r="E929" s="11">
        <f>15.6686 * CHOOSE(CONTROL!$C$32, $C$9, 100%, $E$9)</f>
        <v>15.6686</v>
      </c>
      <c r="F929" s="11">
        <f>15.6686 * CHOOSE(CONTROL!$C$32, $C$9, 100%, $E$9)</f>
        <v>15.6686</v>
      </c>
      <c r="G929" s="11">
        <f>15.6722 * CHOOSE(CONTROL!$C$32, $C$9, 100%, $E$9)</f>
        <v>15.6722</v>
      </c>
      <c r="H929" s="11">
        <f>31.2796 * CHOOSE(CONTROL!$C$32, $C$9, 100%, $E$9)</f>
        <v>31.279599999999999</v>
      </c>
      <c r="I929" s="11">
        <f>31.2832 * CHOOSE(CONTROL!$C$32, $C$9, 100%, $E$9)</f>
        <v>31.283200000000001</v>
      </c>
      <c r="J929" s="11">
        <f>31.2796 * CHOOSE(CONTROL!$C$32, $C$9, 100%, $E$9)</f>
        <v>31.279599999999999</v>
      </c>
      <c r="K929" s="11">
        <f>31.2832 * CHOOSE(CONTROL!$C$32, $C$9, 100%, $E$9)</f>
        <v>31.283200000000001</v>
      </c>
      <c r="L929" s="11">
        <f>15.6686 * CHOOSE(CONTROL!$C$32, $C$9, 100%, $E$9)</f>
        <v>15.6686</v>
      </c>
      <c r="M929" s="11">
        <f>15.6722 * CHOOSE(CONTROL!$C$32, $C$9, 100%, $E$9)</f>
        <v>15.6722</v>
      </c>
      <c r="N929" s="11">
        <f>15.6686 * CHOOSE(CONTROL!$C$32, $C$9, 100%, $E$9)</f>
        <v>15.6686</v>
      </c>
      <c r="O929" s="11">
        <f>15.6722 * CHOOSE(CONTROL!$C$32, $C$9, 100%, $E$9)</f>
        <v>15.6722</v>
      </c>
    </row>
    <row r="930" spans="1:15" ht="15" x14ac:dyDescent="0.2">
      <c r="A930" s="13">
        <v>69154</v>
      </c>
      <c r="B930" s="9">
        <f>13.6919 * CHOOSE(CONTROL!$C$32, $C$9, 100%, $E$9)</f>
        <v>13.6919</v>
      </c>
      <c r="C930" s="9">
        <f>13.6919 * CHOOSE(CONTROL!$C$32, $C$9, 100%, $E$9)</f>
        <v>13.6919</v>
      </c>
      <c r="D930" s="9">
        <f>13.6934 * CHOOSE(CONTROL!$C$32, $C$9, 100%, $E$9)</f>
        <v>13.6934</v>
      </c>
      <c r="E930" s="11">
        <f>15.803 * CHOOSE(CONTROL!$C$32, $C$9, 100%, $E$9)</f>
        <v>15.803000000000001</v>
      </c>
      <c r="F930" s="11">
        <f>15.803 * CHOOSE(CONTROL!$C$32, $C$9, 100%, $E$9)</f>
        <v>15.803000000000001</v>
      </c>
      <c r="G930" s="11">
        <f>15.8083 * CHOOSE(CONTROL!$C$32, $C$9, 100%, $E$9)</f>
        <v>15.808299999999999</v>
      </c>
      <c r="H930" s="11">
        <f>31.3448 * CHOOSE(CONTROL!$C$32, $C$9, 100%, $E$9)</f>
        <v>31.344799999999999</v>
      </c>
      <c r="I930" s="11">
        <f>31.3501 * CHOOSE(CONTROL!$C$32, $C$9, 100%, $E$9)</f>
        <v>31.350100000000001</v>
      </c>
      <c r="J930" s="11">
        <f>31.3448 * CHOOSE(CONTROL!$C$32, $C$9, 100%, $E$9)</f>
        <v>31.344799999999999</v>
      </c>
      <c r="K930" s="11">
        <f>31.3501 * CHOOSE(CONTROL!$C$32, $C$9, 100%, $E$9)</f>
        <v>31.350100000000001</v>
      </c>
      <c r="L930" s="11">
        <f>15.803 * CHOOSE(CONTROL!$C$32, $C$9, 100%, $E$9)</f>
        <v>15.803000000000001</v>
      </c>
      <c r="M930" s="11">
        <f>15.8083 * CHOOSE(CONTROL!$C$32, $C$9, 100%, $E$9)</f>
        <v>15.808299999999999</v>
      </c>
      <c r="N930" s="11">
        <f>15.803 * CHOOSE(CONTROL!$C$32, $C$9, 100%, $E$9)</f>
        <v>15.803000000000001</v>
      </c>
      <c r="O930" s="11">
        <f>15.8083 * CHOOSE(CONTROL!$C$32, $C$9, 100%, $E$9)</f>
        <v>15.808299999999999</v>
      </c>
    </row>
    <row r="931" spans="1:15" ht="15" x14ac:dyDescent="0.2">
      <c r="A931" s="13">
        <v>69185</v>
      </c>
      <c r="B931" s="9">
        <f>13.6979 * CHOOSE(CONTROL!$C$32, $C$9, 100%, $E$9)</f>
        <v>13.697900000000001</v>
      </c>
      <c r="C931" s="9">
        <f>13.6979 * CHOOSE(CONTROL!$C$32, $C$9, 100%, $E$9)</f>
        <v>13.697900000000001</v>
      </c>
      <c r="D931" s="9">
        <f>13.6995 * CHOOSE(CONTROL!$C$32, $C$9, 100%, $E$9)</f>
        <v>13.6995</v>
      </c>
      <c r="E931" s="11">
        <f>15.6728 * CHOOSE(CONTROL!$C$32, $C$9, 100%, $E$9)</f>
        <v>15.672800000000001</v>
      </c>
      <c r="F931" s="11">
        <f>15.6728 * CHOOSE(CONTROL!$C$32, $C$9, 100%, $E$9)</f>
        <v>15.672800000000001</v>
      </c>
      <c r="G931" s="11">
        <f>15.6781 * CHOOSE(CONTROL!$C$32, $C$9, 100%, $E$9)</f>
        <v>15.678100000000001</v>
      </c>
      <c r="H931" s="11">
        <f>31.4101 * CHOOSE(CONTROL!$C$32, $C$9, 100%, $E$9)</f>
        <v>31.4101</v>
      </c>
      <c r="I931" s="11">
        <f>31.4154 * CHOOSE(CONTROL!$C$32, $C$9, 100%, $E$9)</f>
        <v>31.415400000000002</v>
      </c>
      <c r="J931" s="11">
        <f>31.4101 * CHOOSE(CONTROL!$C$32, $C$9, 100%, $E$9)</f>
        <v>31.4101</v>
      </c>
      <c r="K931" s="11">
        <f>31.4154 * CHOOSE(CONTROL!$C$32, $C$9, 100%, $E$9)</f>
        <v>31.415400000000002</v>
      </c>
      <c r="L931" s="11">
        <f>15.6728 * CHOOSE(CONTROL!$C$32, $C$9, 100%, $E$9)</f>
        <v>15.672800000000001</v>
      </c>
      <c r="M931" s="11">
        <f>15.6781 * CHOOSE(CONTROL!$C$32, $C$9, 100%, $E$9)</f>
        <v>15.678100000000001</v>
      </c>
      <c r="N931" s="11">
        <f>15.6728 * CHOOSE(CONTROL!$C$32, $C$9, 100%, $E$9)</f>
        <v>15.672800000000001</v>
      </c>
      <c r="O931" s="11">
        <f>15.6781 * CHOOSE(CONTROL!$C$32, $C$9, 100%, $E$9)</f>
        <v>15.678100000000001</v>
      </c>
    </row>
    <row r="932" spans="1:15" ht="15" x14ac:dyDescent="0.2">
      <c r="A932" s="13">
        <v>69215</v>
      </c>
      <c r="B932" s="9">
        <f>13.8629 * CHOOSE(CONTROL!$C$32, $C$9, 100%, $E$9)</f>
        <v>13.8629</v>
      </c>
      <c r="C932" s="9">
        <f>13.8629 * CHOOSE(CONTROL!$C$32, $C$9, 100%, $E$9)</f>
        <v>13.8629</v>
      </c>
      <c r="D932" s="9">
        <f>13.8644 * CHOOSE(CONTROL!$C$32, $C$9, 100%, $E$9)</f>
        <v>13.8644</v>
      </c>
      <c r="E932" s="11">
        <f>15.8951 * CHOOSE(CONTROL!$C$32, $C$9, 100%, $E$9)</f>
        <v>15.895099999999999</v>
      </c>
      <c r="F932" s="11">
        <f>15.8951 * CHOOSE(CONTROL!$C$32, $C$9, 100%, $E$9)</f>
        <v>15.895099999999999</v>
      </c>
      <c r="G932" s="11">
        <f>15.9004 * CHOOSE(CONTROL!$C$32, $C$9, 100%, $E$9)</f>
        <v>15.900399999999999</v>
      </c>
      <c r="H932" s="11">
        <f>31.4755 * CHOOSE(CONTROL!$C$32, $C$9, 100%, $E$9)</f>
        <v>31.4755</v>
      </c>
      <c r="I932" s="11">
        <f>31.4808 * CHOOSE(CONTROL!$C$32, $C$9, 100%, $E$9)</f>
        <v>31.480799999999999</v>
      </c>
      <c r="J932" s="11">
        <f>31.4755 * CHOOSE(CONTROL!$C$32, $C$9, 100%, $E$9)</f>
        <v>31.4755</v>
      </c>
      <c r="K932" s="11">
        <f>31.4808 * CHOOSE(CONTROL!$C$32, $C$9, 100%, $E$9)</f>
        <v>31.480799999999999</v>
      </c>
      <c r="L932" s="11">
        <f>15.8951 * CHOOSE(CONTROL!$C$32, $C$9, 100%, $E$9)</f>
        <v>15.895099999999999</v>
      </c>
      <c r="M932" s="11">
        <f>15.9004 * CHOOSE(CONTROL!$C$32, $C$9, 100%, $E$9)</f>
        <v>15.900399999999999</v>
      </c>
      <c r="N932" s="11">
        <f>15.8951 * CHOOSE(CONTROL!$C$32, $C$9, 100%, $E$9)</f>
        <v>15.895099999999999</v>
      </c>
      <c r="O932" s="11">
        <f>15.9004 * CHOOSE(CONTROL!$C$32, $C$9, 100%, $E$9)</f>
        <v>15.900399999999999</v>
      </c>
    </row>
    <row r="933" spans="1:15" ht="15" x14ac:dyDescent="0.2">
      <c r="A933" s="13">
        <v>69246</v>
      </c>
      <c r="B933" s="9">
        <f>13.8696 * CHOOSE(CONTROL!$C$32, $C$9, 100%, $E$9)</f>
        <v>13.8696</v>
      </c>
      <c r="C933" s="9">
        <f>13.8696 * CHOOSE(CONTROL!$C$32, $C$9, 100%, $E$9)</f>
        <v>13.8696</v>
      </c>
      <c r="D933" s="9">
        <f>13.8711 * CHOOSE(CONTROL!$C$32, $C$9, 100%, $E$9)</f>
        <v>13.8711</v>
      </c>
      <c r="E933" s="11">
        <f>15.4964 * CHOOSE(CONTROL!$C$32, $C$9, 100%, $E$9)</f>
        <v>15.4964</v>
      </c>
      <c r="F933" s="11">
        <f>15.4964 * CHOOSE(CONTROL!$C$32, $C$9, 100%, $E$9)</f>
        <v>15.4964</v>
      </c>
      <c r="G933" s="11">
        <f>15.5017 * CHOOSE(CONTROL!$C$32, $C$9, 100%, $E$9)</f>
        <v>15.5017</v>
      </c>
      <c r="H933" s="11">
        <f>31.5411 * CHOOSE(CONTROL!$C$32, $C$9, 100%, $E$9)</f>
        <v>31.5411</v>
      </c>
      <c r="I933" s="11">
        <f>31.5464 * CHOOSE(CONTROL!$C$32, $C$9, 100%, $E$9)</f>
        <v>31.546399999999998</v>
      </c>
      <c r="J933" s="11">
        <f>31.5411 * CHOOSE(CONTROL!$C$32, $C$9, 100%, $E$9)</f>
        <v>31.5411</v>
      </c>
      <c r="K933" s="11">
        <f>31.5464 * CHOOSE(CONTROL!$C$32, $C$9, 100%, $E$9)</f>
        <v>31.546399999999998</v>
      </c>
      <c r="L933" s="11">
        <f>15.4964 * CHOOSE(CONTROL!$C$32, $C$9, 100%, $E$9)</f>
        <v>15.4964</v>
      </c>
      <c r="M933" s="11">
        <f>15.5017 * CHOOSE(CONTROL!$C$32, $C$9, 100%, $E$9)</f>
        <v>15.5017</v>
      </c>
      <c r="N933" s="11">
        <f>15.4964 * CHOOSE(CONTROL!$C$32, $C$9, 100%, $E$9)</f>
        <v>15.4964</v>
      </c>
      <c r="O933" s="11">
        <f>15.5017 * CHOOSE(CONTROL!$C$32, $C$9, 100%, $E$9)</f>
        <v>15.5017</v>
      </c>
    </row>
    <row r="934" spans="1:15" ht="15" x14ac:dyDescent="0.2">
      <c r="A934" s="13">
        <v>69277</v>
      </c>
      <c r="B934" s="9">
        <f>13.8665 * CHOOSE(CONTROL!$C$32, $C$9, 100%, $E$9)</f>
        <v>13.8665</v>
      </c>
      <c r="C934" s="9">
        <f>13.8665 * CHOOSE(CONTROL!$C$32, $C$9, 100%, $E$9)</f>
        <v>13.8665</v>
      </c>
      <c r="D934" s="9">
        <f>13.8681 * CHOOSE(CONTROL!$C$32, $C$9, 100%, $E$9)</f>
        <v>13.8681</v>
      </c>
      <c r="E934" s="11">
        <f>15.4494 * CHOOSE(CONTROL!$C$32, $C$9, 100%, $E$9)</f>
        <v>15.449400000000001</v>
      </c>
      <c r="F934" s="11">
        <f>15.4494 * CHOOSE(CONTROL!$C$32, $C$9, 100%, $E$9)</f>
        <v>15.449400000000001</v>
      </c>
      <c r="G934" s="11">
        <f>15.4547 * CHOOSE(CONTROL!$C$32, $C$9, 100%, $E$9)</f>
        <v>15.454700000000001</v>
      </c>
      <c r="H934" s="11">
        <f>31.6068 * CHOOSE(CONTROL!$C$32, $C$9, 100%, $E$9)</f>
        <v>31.6068</v>
      </c>
      <c r="I934" s="11">
        <f>31.6121 * CHOOSE(CONTROL!$C$32, $C$9, 100%, $E$9)</f>
        <v>31.612100000000002</v>
      </c>
      <c r="J934" s="11">
        <f>31.6068 * CHOOSE(CONTROL!$C$32, $C$9, 100%, $E$9)</f>
        <v>31.6068</v>
      </c>
      <c r="K934" s="11">
        <f>31.6121 * CHOOSE(CONTROL!$C$32, $C$9, 100%, $E$9)</f>
        <v>31.612100000000002</v>
      </c>
      <c r="L934" s="11">
        <f>15.4494 * CHOOSE(CONTROL!$C$32, $C$9, 100%, $E$9)</f>
        <v>15.449400000000001</v>
      </c>
      <c r="M934" s="11">
        <f>15.4547 * CHOOSE(CONTROL!$C$32, $C$9, 100%, $E$9)</f>
        <v>15.454700000000001</v>
      </c>
      <c r="N934" s="11">
        <f>15.4494 * CHOOSE(CONTROL!$C$32, $C$9, 100%, $E$9)</f>
        <v>15.449400000000001</v>
      </c>
      <c r="O934" s="11">
        <f>15.4547 * CHOOSE(CONTROL!$C$32, $C$9, 100%, $E$9)</f>
        <v>15.454700000000001</v>
      </c>
    </row>
    <row r="935" spans="1:15" ht="15" x14ac:dyDescent="0.2">
      <c r="A935" s="13">
        <v>69307</v>
      </c>
      <c r="B935" s="9">
        <f>13.8985 * CHOOSE(CONTROL!$C$32, $C$9, 100%, $E$9)</f>
        <v>13.8985</v>
      </c>
      <c r="C935" s="9">
        <f>13.8985 * CHOOSE(CONTROL!$C$32, $C$9, 100%, $E$9)</f>
        <v>13.8985</v>
      </c>
      <c r="D935" s="9">
        <f>13.8995 * CHOOSE(CONTROL!$C$32, $C$9, 100%, $E$9)</f>
        <v>13.8995</v>
      </c>
      <c r="E935" s="11">
        <f>15.6153 * CHOOSE(CONTROL!$C$32, $C$9, 100%, $E$9)</f>
        <v>15.6153</v>
      </c>
      <c r="F935" s="11">
        <f>15.6153 * CHOOSE(CONTROL!$C$32, $C$9, 100%, $E$9)</f>
        <v>15.6153</v>
      </c>
      <c r="G935" s="11">
        <f>15.6189 * CHOOSE(CONTROL!$C$32, $C$9, 100%, $E$9)</f>
        <v>15.6189</v>
      </c>
      <c r="H935" s="11">
        <f>31.6726 * CHOOSE(CONTROL!$C$32, $C$9, 100%, $E$9)</f>
        <v>31.672599999999999</v>
      </c>
      <c r="I935" s="11">
        <f>31.6763 * CHOOSE(CONTROL!$C$32, $C$9, 100%, $E$9)</f>
        <v>31.676300000000001</v>
      </c>
      <c r="J935" s="11">
        <f>31.6726 * CHOOSE(CONTROL!$C$32, $C$9, 100%, $E$9)</f>
        <v>31.672599999999999</v>
      </c>
      <c r="K935" s="11">
        <f>31.6763 * CHOOSE(CONTROL!$C$32, $C$9, 100%, $E$9)</f>
        <v>31.676300000000001</v>
      </c>
      <c r="L935" s="11">
        <f>15.6153 * CHOOSE(CONTROL!$C$32, $C$9, 100%, $E$9)</f>
        <v>15.6153</v>
      </c>
      <c r="M935" s="11">
        <f>15.6189 * CHOOSE(CONTROL!$C$32, $C$9, 100%, $E$9)</f>
        <v>15.6189</v>
      </c>
      <c r="N935" s="11">
        <f>15.6153 * CHOOSE(CONTROL!$C$32, $C$9, 100%, $E$9)</f>
        <v>15.6153</v>
      </c>
      <c r="O935" s="11">
        <f>15.6189 * CHOOSE(CONTROL!$C$32, $C$9, 100%, $E$9)</f>
        <v>15.6189</v>
      </c>
    </row>
    <row r="936" spans="1:15" ht="15" x14ac:dyDescent="0.2">
      <c r="A936" s="13">
        <v>69338</v>
      </c>
      <c r="B936" s="9">
        <f>13.9015 * CHOOSE(CONTROL!$C$32, $C$9, 100%, $E$9)</f>
        <v>13.9015</v>
      </c>
      <c r="C936" s="9">
        <f>13.9015 * CHOOSE(CONTROL!$C$32, $C$9, 100%, $E$9)</f>
        <v>13.9015</v>
      </c>
      <c r="D936" s="9">
        <f>13.9026 * CHOOSE(CONTROL!$C$32, $C$9, 100%, $E$9)</f>
        <v>13.9026</v>
      </c>
      <c r="E936" s="11">
        <f>15.7071 * CHOOSE(CONTROL!$C$32, $C$9, 100%, $E$9)</f>
        <v>15.707100000000001</v>
      </c>
      <c r="F936" s="11">
        <f>15.7071 * CHOOSE(CONTROL!$C$32, $C$9, 100%, $E$9)</f>
        <v>15.707100000000001</v>
      </c>
      <c r="G936" s="11">
        <f>15.7107 * CHOOSE(CONTROL!$C$32, $C$9, 100%, $E$9)</f>
        <v>15.710699999999999</v>
      </c>
      <c r="H936" s="11">
        <f>31.7386 * CHOOSE(CONTROL!$C$32, $C$9, 100%, $E$9)</f>
        <v>31.738600000000002</v>
      </c>
      <c r="I936" s="11">
        <f>31.7422 * CHOOSE(CONTROL!$C$32, $C$9, 100%, $E$9)</f>
        <v>31.7422</v>
      </c>
      <c r="J936" s="11">
        <f>31.7386 * CHOOSE(CONTROL!$C$32, $C$9, 100%, $E$9)</f>
        <v>31.738600000000002</v>
      </c>
      <c r="K936" s="11">
        <f>31.7422 * CHOOSE(CONTROL!$C$32, $C$9, 100%, $E$9)</f>
        <v>31.7422</v>
      </c>
      <c r="L936" s="11">
        <f>15.7071 * CHOOSE(CONTROL!$C$32, $C$9, 100%, $E$9)</f>
        <v>15.707100000000001</v>
      </c>
      <c r="M936" s="11">
        <f>15.7107 * CHOOSE(CONTROL!$C$32, $C$9, 100%, $E$9)</f>
        <v>15.710699999999999</v>
      </c>
      <c r="N936" s="11">
        <f>15.7071 * CHOOSE(CONTROL!$C$32, $C$9, 100%, $E$9)</f>
        <v>15.707100000000001</v>
      </c>
      <c r="O936" s="11">
        <f>15.7107 * CHOOSE(CONTROL!$C$32, $C$9, 100%, $E$9)</f>
        <v>15.710699999999999</v>
      </c>
    </row>
    <row r="937" spans="1:15" ht="15" x14ac:dyDescent="0.2">
      <c r="A937" s="13">
        <v>69368</v>
      </c>
      <c r="B937" s="9">
        <f>13.9015 * CHOOSE(CONTROL!$C$32, $C$9, 100%, $E$9)</f>
        <v>13.9015</v>
      </c>
      <c r="C937" s="9">
        <f>13.9015 * CHOOSE(CONTROL!$C$32, $C$9, 100%, $E$9)</f>
        <v>13.9015</v>
      </c>
      <c r="D937" s="9">
        <f>13.9026 * CHOOSE(CONTROL!$C$32, $C$9, 100%, $E$9)</f>
        <v>13.9026</v>
      </c>
      <c r="E937" s="11">
        <f>15.483 * CHOOSE(CONTROL!$C$32, $C$9, 100%, $E$9)</f>
        <v>15.483000000000001</v>
      </c>
      <c r="F937" s="11">
        <f>15.483 * CHOOSE(CONTROL!$C$32, $C$9, 100%, $E$9)</f>
        <v>15.483000000000001</v>
      </c>
      <c r="G937" s="11">
        <f>15.4866 * CHOOSE(CONTROL!$C$32, $C$9, 100%, $E$9)</f>
        <v>15.486599999999999</v>
      </c>
      <c r="H937" s="11">
        <f>31.8047 * CHOOSE(CONTROL!$C$32, $C$9, 100%, $E$9)</f>
        <v>31.8047</v>
      </c>
      <c r="I937" s="11">
        <f>31.8084 * CHOOSE(CONTROL!$C$32, $C$9, 100%, $E$9)</f>
        <v>31.808399999999999</v>
      </c>
      <c r="J937" s="11">
        <f>31.8047 * CHOOSE(CONTROL!$C$32, $C$9, 100%, $E$9)</f>
        <v>31.8047</v>
      </c>
      <c r="K937" s="11">
        <f>31.8084 * CHOOSE(CONTROL!$C$32, $C$9, 100%, $E$9)</f>
        <v>31.808399999999999</v>
      </c>
      <c r="L937" s="11">
        <f>15.483 * CHOOSE(CONTROL!$C$32, $C$9, 100%, $E$9)</f>
        <v>15.483000000000001</v>
      </c>
      <c r="M937" s="11">
        <f>15.4866 * CHOOSE(CONTROL!$C$32, $C$9, 100%, $E$9)</f>
        <v>15.486599999999999</v>
      </c>
      <c r="N937" s="11">
        <f>15.483 * CHOOSE(CONTROL!$C$32, $C$9, 100%, $E$9)</f>
        <v>15.483000000000001</v>
      </c>
      <c r="O937" s="11">
        <f>15.4866 * CHOOSE(CONTROL!$C$32, $C$9, 100%, $E$9)</f>
        <v>15.486599999999999</v>
      </c>
    </row>
    <row r="938" spans="1:15" ht="15" x14ac:dyDescent="0.2">
      <c r="A938" s="13">
        <v>69399</v>
      </c>
      <c r="B938" s="9">
        <f>13.8782 * CHOOSE(CONTROL!$C$32, $C$9, 100%, $E$9)</f>
        <v>13.8782</v>
      </c>
      <c r="C938" s="9">
        <f>13.8782 * CHOOSE(CONTROL!$C$32, $C$9, 100%, $E$9)</f>
        <v>13.8782</v>
      </c>
      <c r="D938" s="9">
        <f>13.8793 * CHOOSE(CONTROL!$C$32, $C$9, 100%, $E$9)</f>
        <v>13.879300000000001</v>
      </c>
      <c r="E938" s="11">
        <f>15.6206 * CHOOSE(CONTROL!$C$32, $C$9, 100%, $E$9)</f>
        <v>15.6206</v>
      </c>
      <c r="F938" s="11">
        <f>15.6206 * CHOOSE(CONTROL!$C$32, $C$9, 100%, $E$9)</f>
        <v>15.6206</v>
      </c>
      <c r="G938" s="11">
        <f>15.6242 * CHOOSE(CONTROL!$C$32, $C$9, 100%, $E$9)</f>
        <v>15.6242</v>
      </c>
      <c r="H938" s="11">
        <f>31.5384 * CHOOSE(CONTROL!$C$32, $C$9, 100%, $E$9)</f>
        <v>31.538399999999999</v>
      </c>
      <c r="I938" s="11">
        <f>31.542 * CHOOSE(CONTROL!$C$32, $C$9, 100%, $E$9)</f>
        <v>31.542000000000002</v>
      </c>
      <c r="J938" s="11">
        <f>31.5384 * CHOOSE(CONTROL!$C$32, $C$9, 100%, $E$9)</f>
        <v>31.538399999999999</v>
      </c>
      <c r="K938" s="11">
        <f>31.542 * CHOOSE(CONTROL!$C$32, $C$9, 100%, $E$9)</f>
        <v>31.542000000000002</v>
      </c>
      <c r="L938" s="11">
        <f>15.6206 * CHOOSE(CONTROL!$C$32, $C$9, 100%, $E$9)</f>
        <v>15.6206</v>
      </c>
      <c r="M938" s="11">
        <f>15.6242 * CHOOSE(CONTROL!$C$32, $C$9, 100%, $E$9)</f>
        <v>15.6242</v>
      </c>
      <c r="N938" s="11">
        <f>15.6206 * CHOOSE(CONTROL!$C$32, $C$9, 100%, $E$9)</f>
        <v>15.6206</v>
      </c>
      <c r="O938" s="11">
        <f>15.6242 * CHOOSE(CONTROL!$C$32, $C$9, 100%, $E$9)</f>
        <v>15.6242</v>
      </c>
    </row>
    <row r="939" spans="1:15" ht="15" x14ac:dyDescent="0.2">
      <c r="A939" s="13">
        <v>69430</v>
      </c>
      <c r="B939" s="9">
        <f>13.8752 * CHOOSE(CONTROL!$C$32, $C$9, 100%, $E$9)</f>
        <v>13.8752</v>
      </c>
      <c r="C939" s="9">
        <f>13.8752 * CHOOSE(CONTROL!$C$32, $C$9, 100%, $E$9)</f>
        <v>13.8752</v>
      </c>
      <c r="D939" s="9">
        <f>13.8763 * CHOOSE(CONTROL!$C$32, $C$9, 100%, $E$9)</f>
        <v>13.876300000000001</v>
      </c>
      <c r="E939" s="11">
        <f>15.1879 * CHOOSE(CONTROL!$C$32, $C$9, 100%, $E$9)</f>
        <v>15.187900000000001</v>
      </c>
      <c r="F939" s="11">
        <f>15.1879 * CHOOSE(CONTROL!$C$32, $C$9, 100%, $E$9)</f>
        <v>15.187900000000001</v>
      </c>
      <c r="G939" s="11">
        <f>15.1915 * CHOOSE(CONTROL!$C$32, $C$9, 100%, $E$9)</f>
        <v>15.1915</v>
      </c>
      <c r="H939" s="11">
        <f>31.6041 * CHOOSE(CONTROL!$C$32, $C$9, 100%, $E$9)</f>
        <v>31.604099999999999</v>
      </c>
      <c r="I939" s="11">
        <f>31.6077 * CHOOSE(CONTROL!$C$32, $C$9, 100%, $E$9)</f>
        <v>31.607700000000001</v>
      </c>
      <c r="J939" s="11">
        <f>31.6041 * CHOOSE(CONTROL!$C$32, $C$9, 100%, $E$9)</f>
        <v>31.604099999999999</v>
      </c>
      <c r="K939" s="11">
        <f>31.6077 * CHOOSE(CONTROL!$C$32, $C$9, 100%, $E$9)</f>
        <v>31.607700000000001</v>
      </c>
      <c r="L939" s="11">
        <f>15.1879 * CHOOSE(CONTROL!$C$32, $C$9, 100%, $E$9)</f>
        <v>15.187900000000001</v>
      </c>
      <c r="M939" s="11">
        <f>15.1915 * CHOOSE(CONTROL!$C$32, $C$9, 100%, $E$9)</f>
        <v>15.1915</v>
      </c>
      <c r="N939" s="11">
        <f>15.1879 * CHOOSE(CONTROL!$C$32, $C$9, 100%, $E$9)</f>
        <v>15.187900000000001</v>
      </c>
      <c r="O939" s="11">
        <f>15.1915 * CHOOSE(CONTROL!$C$32, $C$9, 100%, $E$9)</f>
        <v>15.1915</v>
      </c>
    </row>
    <row r="940" spans="1:15" ht="15" x14ac:dyDescent="0.2">
      <c r="A940" s="13">
        <v>69458</v>
      </c>
      <c r="B940" s="9">
        <f>13.8722 * CHOOSE(CONTROL!$C$32, $C$9, 100%, $E$9)</f>
        <v>13.872199999999999</v>
      </c>
      <c r="C940" s="9">
        <f>13.8722 * CHOOSE(CONTROL!$C$32, $C$9, 100%, $E$9)</f>
        <v>13.872199999999999</v>
      </c>
      <c r="D940" s="9">
        <f>13.8732 * CHOOSE(CONTROL!$C$32, $C$9, 100%, $E$9)</f>
        <v>13.873200000000001</v>
      </c>
      <c r="E940" s="11">
        <f>15.5252 * CHOOSE(CONTROL!$C$32, $C$9, 100%, $E$9)</f>
        <v>15.5252</v>
      </c>
      <c r="F940" s="11">
        <f>15.5252 * CHOOSE(CONTROL!$C$32, $C$9, 100%, $E$9)</f>
        <v>15.5252</v>
      </c>
      <c r="G940" s="11">
        <f>15.5288 * CHOOSE(CONTROL!$C$32, $C$9, 100%, $E$9)</f>
        <v>15.5288</v>
      </c>
      <c r="H940" s="11">
        <f>31.67 * CHOOSE(CONTROL!$C$32, $C$9, 100%, $E$9)</f>
        <v>31.67</v>
      </c>
      <c r="I940" s="11">
        <f>31.6736 * CHOOSE(CONTROL!$C$32, $C$9, 100%, $E$9)</f>
        <v>31.6736</v>
      </c>
      <c r="J940" s="11">
        <f>31.67 * CHOOSE(CONTROL!$C$32, $C$9, 100%, $E$9)</f>
        <v>31.67</v>
      </c>
      <c r="K940" s="11">
        <f>31.6736 * CHOOSE(CONTROL!$C$32, $C$9, 100%, $E$9)</f>
        <v>31.6736</v>
      </c>
      <c r="L940" s="11">
        <f>15.5252 * CHOOSE(CONTROL!$C$32, $C$9, 100%, $E$9)</f>
        <v>15.5252</v>
      </c>
      <c r="M940" s="11">
        <f>15.5288 * CHOOSE(CONTROL!$C$32, $C$9, 100%, $E$9)</f>
        <v>15.5288</v>
      </c>
      <c r="N940" s="11">
        <f>15.5252 * CHOOSE(CONTROL!$C$32, $C$9, 100%, $E$9)</f>
        <v>15.5252</v>
      </c>
      <c r="O940" s="11">
        <f>15.5288 * CHOOSE(CONTROL!$C$32, $C$9, 100%, $E$9)</f>
        <v>15.5288</v>
      </c>
    </row>
    <row r="941" spans="1:15" ht="15" x14ac:dyDescent="0.2">
      <c r="A941" s="13">
        <v>69489</v>
      </c>
      <c r="B941" s="9">
        <f>13.8794 * CHOOSE(CONTROL!$C$32, $C$9, 100%, $E$9)</f>
        <v>13.8794</v>
      </c>
      <c r="C941" s="9">
        <f>13.8794 * CHOOSE(CONTROL!$C$32, $C$9, 100%, $E$9)</f>
        <v>13.8794</v>
      </c>
      <c r="D941" s="9">
        <f>13.8805 * CHOOSE(CONTROL!$C$32, $C$9, 100%, $E$9)</f>
        <v>13.8805</v>
      </c>
      <c r="E941" s="11">
        <f>15.8856 * CHOOSE(CONTROL!$C$32, $C$9, 100%, $E$9)</f>
        <v>15.8856</v>
      </c>
      <c r="F941" s="11">
        <f>15.8856 * CHOOSE(CONTROL!$C$32, $C$9, 100%, $E$9)</f>
        <v>15.8856</v>
      </c>
      <c r="G941" s="11">
        <f>15.8892 * CHOOSE(CONTROL!$C$32, $C$9, 100%, $E$9)</f>
        <v>15.889200000000001</v>
      </c>
      <c r="H941" s="11">
        <f>31.7359 * CHOOSE(CONTROL!$C$32, $C$9, 100%, $E$9)</f>
        <v>31.735900000000001</v>
      </c>
      <c r="I941" s="11">
        <f>31.7396 * CHOOSE(CONTROL!$C$32, $C$9, 100%, $E$9)</f>
        <v>31.739599999999999</v>
      </c>
      <c r="J941" s="11">
        <f>31.7359 * CHOOSE(CONTROL!$C$32, $C$9, 100%, $E$9)</f>
        <v>31.735900000000001</v>
      </c>
      <c r="K941" s="11">
        <f>31.7396 * CHOOSE(CONTROL!$C$32, $C$9, 100%, $E$9)</f>
        <v>31.739599999999999</v>
      </c>
      <c r="L941" s="11">
        <f>15.8856 * CHOOSE(CONTROL!$C$32, $C$9, 100%, $E$9)</f>
        <v>15.8856</v>
      </c>
      <c r="M941" s="11">
        <f>15.8892 * CHOOSE(CONTROL!$C$32, $C$9, 100%, $E$9)</f>
        <v>15.889200000000001</v>
      </c>
      <c r="N941" s="11">
        <f>15.8856 * CHOOSE(CONTROL!$C$32, $C$9, 100%, $E$9)</f>
        <v>15.8856</v>
      </c>
      <c r="O941" s="11">
        <f>15.8892 * CHOOSE(CONTROL!$C$32, $C$9, 100%, $E$9)</f>
        <v>15.889200000000001</v>
      </c>
    </row>
    <row r="942" spans="1:15" ht="15" x14ac:dyDescent="0.2">
      <c r="A942" s="13">
        <v>69519</v>
      </c>
      <c r="B942" s="9">
        <f>13.8794 * CHOOSE(CONTROL!$C$32, $C$9, 100%, $E$9)</f>
        <v>13.8794</v>
      </c>
      <c r="C942" s="9">
        <f>13.8794 * CHOOSE(CONTROL!$C$32, $C$9, 100%, $E$9)</f>
        <v>13.8794</v>
      </c>
      <c r="D942" s="9">
        <f>13.881 * CHOOSE(CONTROL!$C$32, $C$9, 100%, $E$9)</f>
        <v>13.881</v>
      </c>
      <c r="E942" s="11">
        <f>16.0223 * CHOOSE(CONTROL!$C$32, $C$9, 100%, $E$9)</f>
        <v>16.022300000000001</v>
      </c>
      <c r="F942" s="11">
        <f>16.0223 * CHOOSE(CONTROL!$C$32, $C$9, 100%, $E$9)</f>
        <v>16.022300000000001</v>
      </c>
      <c r="G942" s="11">
        <f>16.0276 * CHOOSE(CONTROL!$C$32, $C$9, 100%, $E$9)</f>
        <v>16.0276</v>
      </c>
      <c r="H942" s="11">
        <f>31.8021 * CHOOSE(CONTROL!$C$32, $C$9, 100%, $E$9)</f>
        <v>31.802099999999999</v>
      </c>
      <c r="I942" s="11">
        <f>31.8074 * CHOOSE(CONTROL!$C$32, $C$9, 100%, $E$9)</f>
        <v>31.807400000000001</v>
      </c>
      <c r="J942" s="11">
        <f>31.8021 * CHOOSE(CONTROL!$C$32, $C$9, 100%, $E$9)</f>
        <v>31.802099999999999</v>
      </c>
      <c r="K942" s="11">
        <f>31.8074 * CHOOSE(CONTROL!$C$32, $C$9, 100%, $E$9)</f>
        <v>31.807400000000001</v>
      </c>
      <c r="L942" s="11">
        <f>16.0223 * CHOOSE(CONTROL!$C$32, $C$9, 100%, $E$9)</f>
        <v>16.022300000000001</v>
      </c>
      <c r="M942" s="11">
        <f>16.0276 * CHOOSE(CONTROL!$C$32, $C$9, 100%, $E$9)</f>
        <v>16.0276</v>
      </c>
      <c r="N942" s="11">
        <f>16.0223 * CHOOSE(CONTROL!$C$32, $C$9, 100%, $E$9)</f>
        <v>16.022300000000001</v>
      </c>
      <c r="O942" s="11">
        <f>16.0276 * CHOOSE(CONTROL!$C$32, $C$9, 100%, $E$9)</f>
        <v>16.0276</v>
      </c>
    </row>
    <row r="943" spans="1:15" ht="15" x14ac:dyDescent="0.2">
      <c r="A943" s="13">
        <v>69550</v>
      </c>
      <c r="B943" s="9">
        <f>13.8855 * CHOOSE(CONTROL!$C$32, $C$9, 100%, $E$9)</f>
        <v>13.8855</v>
      </c>
      <c r="C943" s="9">
        <f>13.8855 * CHOOSE(CONTROL!$C$32, $C$9, 100%, $E$9)</f>
        <v>13.8855</v>
      </c>
      <c r="D943" s="9">
        <f>13.8871 * CHOOSE(CONTROL!$C$32, $C$9, 100%, $E$9)</f>
        <v>13.8871</v>
      </c>
      <c r="E943" s="11">
        <f>15.8898 * CHOOSE(CONTROL!$C$32, $C$9, 100%, $E$9)</f>
        <v>15.889799999999999</v>
      </c>
      <c r="F943" s="11">
        <f>15.8898 * CHOOSE(CONTROL!$C$32, $C$9, 100%, $E$9)</f>
        <v>15.889799999999999</v>
      </c>
      <c r="G943" s="11">
        <f>15.8951 * CHOOSE(CONTROL!$C$32, $C$9, 100%, $E$9)</f>
        <v>15.895099999999999</v>
      </c>
      <c r="H943" s="11">
        <f>31.8683 * CHOOSE(CONTROL!$C$32, $C$9, 100%, $E$9)</f>
        <v>31.868300000000001</v>
      </c>
      <c r="I943" s="11">
        <f>31.8736 * CHOOSE(CONTROL!$C$32, $C$9, 100%, $E$9)</f>
        <v>31.8736</v>
      </c>
      <c r="J943" s="11">
        <f>31.8683 * CHOOSE(CONTROL!$C$32, $C$9, 100%, $E$9)</f>
        <v>31.868300000000001</v>
      </c>
      <c r="K943" s="11">
        <f>31.8736 * CHOOSE(CONTROL!$C$32, $C$9, 100%, $E$9)</f>
        <v>31.8736</v>
      </c>
      <c r="L943" s="11">
        <f>15.8898 * CHOOSE(CONTROL!$C$32, $C$9, 100%, $E$9)</f>
        <v>15.889799999999999</v>
      </c>
      <c r="M943" s="11">
        <f>15.8951 * CHOOSE(CONTROL!$C$32, $C$9, 100%, $E$9)</f>
        <v>15.895099999999999</v>
      </c>
      <c r="N943" s="11">
        <f>15.8898 * CHOOSE(CONTROL!$C$32, $C$9, 100%, $E$9)</f>
        <v>15.889799999999999</v>
      </c>
      <c r="O943" s="11">
        <f>15.8951 * CHOOSE(CONTROL!$C$32, $C$9, 100%, $E$9)</f>
        <v>15.895099999999999</v>
      </c>
    </row>
    <row r="944" spans="1:15" ht="15" x14ac:dyDescent="0.2">
      <c r="A944" s="13">
        <v>69580</v>
      </c>
      <c r="B944" s="9">
        <f>14.0525 * CHOOSE(CONTROL!$C$32, $C$9, 100%, $E$9)</f>
        <v>14.0525</v>
      </c>
      <c r="C944" s="9">
        <f>14.0525 * CHOOSE(CONTROL!$C$32, $C$9, 100%, $E$9)</f>
        <v>14.0525</v>
      </c>
      <c r="D944" s="9">
        <f>14.054 * CHOOSE(CONTROL!$C$32, $C$9, 100%, $E$9)</f>
        <v>14.054</v>
      </c>
      <c r="E944" s="11">
        <f>16.1153 * CHOOSE(CONTROL!$C$32, $C$9, 100%, $E$9)</f>
        <v>16.115300000000001</v>
      </c>
      <c r="F944" s="11">
        <f>16.1153 * CHOOSE(CONTROL!$C$32, $C$9, 100%, $E$9)</f>
        <v>16.115300000000001</v>
      </c>
      <c r="G944" s="11">
        <f>16.1206 * CHOOSE(CONTROL!$C$32, $C$9, 100%, $E$9)</f>
        <v>16.1206</v>
      </c>
      <c r="H944" s="11">
        <f>31.9347 * CHOOSE(CONTROL!$C$32, $C$9, 100%, $E$9)</f>
        <v>31.934699999999999</v>
      </c>
      <c r="I944" s="11">
        <f>31.94 * CHOOSE(CONTROL!$C$32, $C$9, 100%, $E$9)</f>
        <v>31.94</v>
      </c>
      <c r="J944" s="11">
        <f>31.9347 * CHOOSE(CONTROL!$C$32, $C$9, 100%, $E$9)</f>
        <v>31.934699999999999</v>
      </c>
      <c r="K944" s="11">
        <f>31.94 * CHOOSE(CONTROL!$C$32, $C$9, 100%, $E$9)</f>
        <v>31.94</v>
      </c>
      <c r="L944" s="11">
        <f>16.1153 * CHOOSE(CONTROL!$C$32, $C$9, 100%, $E$9)</f>
        <v>16.115300000000001</v>
      </c>
      <c r="M944" s="11">
        <f>16.1206 * CHOOSE(CONTROL!$C$32, $C$9, 100%, $E$9)</f>
        <v>16.1206</v>
      </c>
      <c r="N944" s="11">
        <f>16.1153 * CHOOSE(CONTROL!$C$32, $C$9, 100%, $E$9)</f>
        <v>16.115300000000001</v>
      </c>
      <c r="O944" s="11">
        <f>16.1206 * CHOOSE(CONTROL!$C$32, $C$9, 100%, $E$9)</f>
        <v>16.1206</v>
      </c>
    </row>
    <row r="945" spans="1:15" ht="15" x14ac:dyDescent="0.2">
      <c r="A945" s="13">
        <v>69611</v>
      </c>
      <c r="B945" s="9">
        <f>14.0592 * CHOOSE(CONTROL!$C$32, $C$9, 100%, $E$9)</f>
        <v>14.059200000000001</v>
      </c>
      <c r="C945" s="9">
        <f>14.0592 * CHOOSE(CONTROL!$C$32, $C$9, 100%, $E$9)</f>
        <v>14.059200000000001</v>
      </c>
      <c r="D945" s="9">
        <f>14.0607 * CHOOSE(CONTROL!$C$32, $C$9, 100%, $E$9)</f>
        <v>14.060700000000001</v>
      </c>
      <c r="E945" s="11">
        <f>15.7098 * CHOOSE(CONTROL!$C$32, $C$9, 100%, $E$9)</f>
        <v>15.7098</v>
      </c>
      <c r="F945" s="11">
        <f>15.7098 * CHOOSE(CONTROL!$C$32, $C$9, 100%, $E$9)</f>
        <v>15.7098</v>
      </c>
      <c r="G945" s="11">
        <f>15.7151 * CHOOSE(CONTROL!$C$32, $C$9, 100%, $E$9)</f>
        <v>15.7151</v>
      </c>
      <c r="H945" s="11">
        <f>32.0012 * CHOOSE(CONTROL!$C$32, $C$9, 100%, $E$9)</f>
        <v>32.001199999999997</v>
      </c>
      <c r="I945" s="11">
        <f>32.0065 * CHOOSE(CONTROL!$C$32, $C$9, 100%, $E$9)</f>
        <v>32.006500000000003</v>
      </c>
      <c r="J945" s="11">
        <f>32.0012 * CHOOSE(CONTROL!$C$32, $C$9, 100%, $E$9)</f>
        <v>32.001199999999997</v>
      </c>
      <c r="K945" s="11">
        <f>32.0065 * CHOOSE(CONTROL!$C$32, $C$9, 100%, $E$9)</f>
        <v>32.006500000000003</v>
      </c>
      <c r="L945" s="11">
        <f>15.7098 * CHOOSE(CONTROL!$C$32, $C$9, 100%, $E$9)</f>
        <v>15.7098</v>
      </c>
      <c r="M945" s="11">
        <f>15.7151 * CHOOSE(CONTROL!$C$32, $C$9, 100%, $E$9)</f>
        <v>15.7151</v>
      </c>
      <c r="N945" s="11">
        <f>15.7098 * CHOOSE(CONTROL!$C$32, $C$9, 100%, $E$9)</f>
        <v>15.7098</v>
      </c>
      <c r="O945" s="11">
        <f>15.7151 * CHOOSE(CONTROL!$C$32, $C$9, 100%, $E$9)</f>
        <v>15.7151</v>
      </c>
    </row>
    <row r="946" spans="1:15" ht="15" x14ac:dyDescent="0.2">
      <c r="A946" s="13">
        <v>69642</v>
      </c>
      <c r="B946" s="9">
        <f>14.0561 * CHOOSE(CONTROL!$C$32, $C$9, 100%, $E$9)</f>
        <v>14.056100000000001</v>
      </c>
      <c r="C946" s="9">
        <f>14.0561 * CHOOSE(CONTROL!$C$32, $C$9, 100%, $E$9)</f>
        <v>14.056100000000001</v>
      </c>
      <c r="D946" s="9">
        <f>14.0577 * CHOOSE(CONTROL!$C$32, $C$9, 100%, $E$9)</f>
        <v>14.057700000000001</v>
      </c>
      <c r="E946" s="11">
        <f>15.6621 * CHOOSE(CONTROL!$C$32, $C$9, 100%, $E$9)</f>
        <v>15.662100000000001</v>
      </c>
      <c r="F946" s="11">
        <f>15.6621 * CHOOSE(CONTROL!$C$32, $C$9, 100%, $E$9)</f>
        <v>15.662100000000001</v>
      </c>
      <c r="G946" s="11">
        <f>15.6674 * CHOOSE(CONTROL!$C$32, $C$9, 100%, $E$9)</f>
        <v>15.667400000000001</v>
      </c>
      <c r="H946" s="11">
        <f>32.0679 * CHOOSE(CONTROL!$C$32, $C$9, 100%, $E$9)</f>
        <v>32.067900000000002</v>
      </c>
      <c r="I946" s="11">
        <f>32.0732 * CHOOSE(CONTROL!$C$32, $C$9, 100%, $E$9)</f>
        <v>32.0732</v>
      </c>
      <c r="J946" s="11">
        <f>32.0679 * CHOOSE(CONTROL!$C$32, $C$9, 100%, $E$9)</f>
        <v>32.067900000000002</v>
      </c>
      <c r="K946" s="11">
        <f>32.0732 * CHOOSE(CONTROL!$C$32, $C$9, 100%, $E$9)</f>
        <v>32.0732</v>
      </c>
      <c r="L946" s="11">
        <f>15.6621 * CHOOSE(CONTROL!$C$32, $C$9, 100%, $E$9)</f>
        <v>15.662100000000001</v>
      </c>
      <c r="M946" s="11">
        <f>15.6674 * CHOOSE(CONTROL!$C$32, $C$9, 100%, $E$9)</f>
        <v>15.667400000000001</v>
      </c>
      <c r="N946" s="11">
        <f>15.6621 * CHOOSE(CONTROL!$C$32, $C$9, 100%, $E$9)</f>
        <v>15.662100000000001</v>
      </c>
      <c r="O946" s="11">
        <f>15.6674 * CHOOSE(CONTROL!$C$32, $C$9, 100%, $E$9)</f>
        <v>15.667400000000001</v>
      </c>
    </row>
    <row r="947" spans="1:15" ht="15" x14ac:dyDescent="0.2">
      <c r="A947" s="13">
        <v>69672</v>
      </c>
      <c r="B947" s="9">
        <f>14.0888 * CHOOSE(CONTROL!$C$32, $C$9, 100%, $E$9)</f>
        <v>14.088800000000001</v>
      </c>
      <c r="C947" s="9">
        <f>14.0888 * CHOOSE(CONTROL!$C$32, $C$9, 100%, $E$9)</f>
        <v>14.088800000000001</v>
      </c>
      <c r="D947" s="9">
        <f>14.0899 * CHOOSE(CONTROL!$C$32, $C$9, 100%, $E$9)</f>
        <v>14.0899</v>
      </c>
      <c r="E947" s="11">
        <f>15.831 * CHOOSE(CONTROL!$C$32, $C$9, 100%, $E$9)</f>
        <v>15.831</v>
      </c>
      <c r="F947" s="11">
        <f>15.831 * CHOOSE(CONTROL!$C$32, $C$9, 100%, $E$9)</f>
        <v>15.831</v>
      </c>
      <c r="G947" s="11">
        <f>15.8346 * CHOOSE(CONTROL!$C$32, $C$9, 100%, $E$9)</f>
        <v>15.8346</v>
      </c>
      <c r="H947" s="11">
        <f>32.1347 * CHOOSE(CONTROL!$C$32, $C$9, 100%, $E$9)</f>
        <v>32.134700000000002</v>
      </c>
      <c r="I947" s="11">
        <f>32.1383 * CHOOSE(CONTROL!$C$32, $C$9, 100%, $E$9)</f>
        <v>32.138300000000001</v>
      </c>
      <c r="J947" s="11">
        <f>32.1347 * CHOOSE(CONTROL!$C$32, $C$9, 100%, $E$9)</f>
        <v>32.134700000000002</v>
      </c>
      <c r="K947" s="11">
        <f>32.1383 * CHOOSE(CONTROL!$C$32, $C$9, 100%, $E$9)</f>
        <v>32.138300000000001</v>
      </c>
      <c r="L947" s="11">
        <f>15.831 * CHOOSE(CONTROL!$C$32, $C$9, 100%, $E$9)</f>
        <v>15.831</v>
      </c>
      <c r="M947" s="11">
        <f>15.8346 * CHOOSE(CONTROL!$C$32, $C$9, 100%, $E$9)</f>
        <v>15.8346</v>
      </c>
      <c r="N947" s="11">
        <f>15.831 * CHOOSE(CONTROL!$C$32, $C$9, 100%, $E$9)</f>
        <v>15.831</v>
      </c>
      <c r="O947" s="11">
        <f>15.8346 * CHOOSE(CONTROL!$C$32, $C$9, 100%, $E$9)</f>
        <v>15.8346</v>
      </c>
    </row>
    <row r="948" spans="1:15" ht="15" x14ac:dyDescent="0.2">
      <c r="A948" s="13">
        <v>69703</v>
      </c>
      <c r="B948" s="9">
        <f>14.0918 * CHOOSE(CONTROL!$C$32, $C$9, 100%, $E$9)</f>
        <v>14.091799999999999</v>
      </c>
      <c r="C948" s="9">
        <f>14.0918 * CHOOSE(CONTROL!$C$32, $C$9, 100%, $E$9)</f>
        <v>14.091799999999999</v>
      </c>
      <c r="D948" s="9">
        <f>14.0929 * CHOOSE(CONTROL!$C$32, $C$9, 100%, $E$9)</f>
        <v>14.0929</v>
      </c>
      <c r="E948" s="11">
        <f>15.9243 * CHOOSE(CONTROL!$C$32, $C$9, 100%, $E$9)</f>
        <v>15.924300000000001</v>
      </c>
      <c r="F948" s="11">
        <f>15.9243 * CHOOSE(CONTROL!$C$32, $C$9, 100%, $E$9)</f>
        <v>15.924300000000001</v>
      </c>
      <c r="G948" s="11">
        <f>15.9279 * CHOOSE(CONTROL!$C$32, $C$9, 100%, $E$9)</f>
        <v>15.927899999999999</v>
      </c>
      <c r="H948" s="11">
        <f>32.2017 * CHOOSE(CONTROL!$C$32, $C$9, 100%, $E$9)</f>
        <v>32.201700000000002</v>
      </c>
      <c r="I948" s="11">
        <f>32.2053 * CHOOSE(CONTROL!$C$32, $C$9, 100%, $E$9)</f>
        <v>32.205300000000001</v>
      </c>
      <c r="J948" s="11">
        <f>32.2017 * CHOOSE(CONTROL!$C$32, $C$9, 100%, $E$9)</f>
        <v>32.201700000000002</v>
      </c>
      <c r="K948" s="11">
        <f>32.2053 * CHOOSE(CONTROL!$C$32, $C$9, 100%, $E$9)</f>
        <v>32.205300000000001</v>
      </c>
      <c r="L948" s="11">
        <f>15.9243 * CHOOSE(CONTROL!$C$32, $C$9, 100%, $E$9)</f>
        <v>15.924300000000001</v>
      </c>
      <c r="M948" s="11">
        <f>15.9279 * CHOOSE(CONTROL!$C$32, $C$9, 100%, $E$9)</f>
        <v>15.927899999999999</v>
      </c>
      <c r="N948" s="11">
        <f>15.9243 * CHOOSE(CONTROL!$C$32, $C$9, 100%, $E$9)</f>
        <v>15.924300000000001</v>
      </c>
      <c r="O948" s="11">
        <f>15.9279 * CHOOSE(CONTROL!$C$32, $C$9, 100%, $E$9)</f>
        <v>15.927899999999999</v>
      </c>
    </row>
    <row r="949" spans="1:15" ht="15" x14ac:dyDescent="0.2">
      <c r="A949" s="13">
        <v>69733</v>
      </c>
      <c r="B949" s="9">
        <f>14.0918 * CHOOSE(CONTROL!$C$32, $C$9, 100%, $E$9)</f>
        <v>14.091799999999999</v>
      </c>
      <c r="C949" s="9">
        <f>14.0918 * CHOOSE(CONTROL!$C$32, $C$9, 100%, $E$9)</f>
        <v>14.091799999999999</v>
      </c>
      <c r="D949" s="9">
        <f>14.0929 * CHOOSE(CONTROL!$C$32, $C$9, 100%, $E$9)</f>
        <v>14.0929</v>
      </c>
      <c r="E949" s="11">
        <f>15.6964 * CHOOSE(CONTROL!$C$32, $C$9, 100%, $E$9)</f>
        <v>15.696400000000001</v>
      </c>
      <c r="F949" s="11">
        <f>15.6964 * CHOOSE(CONTROL!$C$32, $C$9, 100%, $E$9)</f>
        <v>15.696400000000001</v>
      </c>
      <c r="G949" s="11">
        <f>15.7 * CHOOSE(CONTROL!$C$32, $C$9, 100%, $E$9)</f>
        <v>15.7</v>
      </c>
      <c r="H949" s="11">
        <f>32.2687 * CHOOSE(CONTROL!$C$32, $C$9, 100%, $E$9)</f>
        <v>32.268700000000003</v>
      </c>
      <c r="I949" s="11">
        <f>32.2724 * CHOOSE(CONTROL!$C$32, $C$9, 100%, $E$9)</f>
        <v>32.272399999999998</v>
      </c>
      <c r="J949" s="11">
        <f>32.2687 * CHOOSE(CONTROL!$C$32, $C$9, 100%, $E$9)</f>
        <v>32.268700000000003</v>
      </c>
      <c r="K949" s="11">
        <f>32.2724 * CHOOSE(CONTROL!$C$32, $C$9, 100%, $E$9)</f>
        <v>32.272399999999998</v>
      </c>
      <c r="L949" s="11">
        <f>15.6964 * CHOOSE(CONTROL!$C$32, $C$9, 100%, $E$9)</f>
        <v>15.696400000000001</v>
      </c>
      <c r="M949" s="11">
        <f>15.7 * CHOOSE(CONTROL!$C$32, $C$9, 100%, $E$9)</f>
        <v>15.7</v>
      </c>
      <c r="N949" s="11">
        <f>15.6964 * CHOOSE(CONTROL!$C$32, $C$9, 100%, $E$9)</f>
        <v>15.696400000000001</v>
      </c>
      <c r="O949" s="11">
        <f>15.7 * CHOOSE(CONTROL!$C$32, $C$9, 100%, $E$9)</f>
        <v>15.7</v>
      </c>
    </row>
    <row r="950" spans="1:15" ht="15" x14ac:dyDescent="0.2">
      <c r="A950" s="13">
        <v>69764</v>
      </c>
      <c r="B950" s="9">
        <f>14.0656 * CHOOSE(CONTROL!$C$32, $C$9, 100%, $E$9)</f>
        <v>14.0656</v>
      </c>
      <c r="C950" s="9">
        <f>14.0656 * CHOOSE(CONTROL!$C$32, $C$9, 100%, $E$9)</f>
        <v>14.0656</v>
      </c>
      <c r="D950" s="9">
        <f>14.0667 * CHOOSE(CONTROL!$C$32, $C$9, 100%, $E$9)</f>
        <v>14.066700000000001</v>
      </c>
      <c r="E950" s="11">
        <f>15.8331 * CHOOSE(CONTROL!$C$32, $C$9, 100%, $E$9)</f>
        <v>15.8331</v>
      </c>
      <c r="F950" s="11">
        <f>15.8331 * CHOOSE(CONTROL!$C$32, $C$9, 100%, $E$9)</f>
        <v>15.8331</v>
      </c>
      <c r="G950" s="11">
        <f>15.8367 * CHOOSE(CONTROL!$C$32, $C$9, 100%, $E$9)</f>
        <v>15.8367</v>
      </c>
      <c r="H950" s="11">
        <f>31.9919 * CHOOSE(CONTROL!$C$32, $C$9, 100%, $E$9)</f>
        <v>31.991900000000001</v>
      </c>
      <c r="I950" s="11">
        <f>31.9955 * CHOOSE(CONTROL!$C$32, $C$9, 100%, $E$9)</f>
        <v>31.9955</v>
      </c>
      <c r="J950" s="11">
        <f>31.9919 * CHOOSE(CONTROL!$C$32, $C$9, 100%, $E$9)</f>
        <v>31.991900000000001</v>
      </c>
      <c r="K950" s="11">
        <f>31.9955 * CHOOSE(CONTROL!$C$32, $C$9, 100%, $E$9)</f>
        <v>31.9955</v>
      </c>
      <c r="L950" s="11">
        <f>15.8331 * CHOOSE(CONTROL!$C$32, $C$9, 100%, $E$9)</f>
        <v>15.8331</v>
      </c>
      <c r="M950" s="11">
        <f>15.8367 * CHOOSE(CONTROL!$C$32, $C$9, 100%, $E$9)</f>
        <v>15.8367</v>
      </c>
      <c r="N950" s="11">
        <f>15.8331 * CHOOSE(CONTROL!$C$32, $C$9, 100%, $E$9)</f>
        <v>15.8331</v>
      </c>
      <c r="O950" s="11">
        <f>15.8367 * CHOOSE(CONTROL!$C$32, $C$9, 100%, $E$9)</f>
        <v>15.8367</v>
      </c>
    </row>
    <row r="951" spans="1:15" ht="15" x14ac:dyDescent="0.2">
      <c r="A951" s="13">
        <v>69795</v>
      </c>
      <c r="B951" s="9">
        <f>14.0626 * CHOOSE(CONTROL!$C$32, $C$9, 100%, $E$9)</f>
        <v>14.0626</v>
      </c>
      <c r="C951" s="9">
        <f>14.0626 * CHOOSE(CONTROL!$C$32, $C$9, 100%, $E$9)</f>
        <v>14.0626</v>
      </c>
      <c r="D951" s="9">
        <f>14.0636 * CHOOSE(CONTROL!$C$32, $C$9, 100%, $E$9)</f>
        <v>14.063599999999999</v>
      </c>
      <c r="E951" s="11">
        <f>15.3933 * CHOOSE(CONTROL!$C$32, $C$9, 100%, $E$9)</f>
        <v>15.3933</v>
      </c>
      <c r="F951" s="11">
        <f>15.3933 * CHOOSE(CONTROL!$C$32, $C$9, 100%, $E$9)</f>
        <v>15.3933</v>
      </c>
      <c r="G951" s="11">
        <f>15.3969 * CHOOSE(CONTROL!$C$32, $C$9, 100%, $E$9)</f>
        <v>15.3969</v>
      </c>
      <c r="H951" s="11">
        <f>32.0586 * CHOOSE(CONTROL!$C$32, $C$9, 100%, $E$9)</f>
        <v>32.058599999999998</v>
      </c>
      <c r="I951" s="11">
        <f>32.0622 * CHOOSE(CONTROL!$C$32, $C$9, 100%, $E$9)</f>
        <v>32.062199999999997</v>
      </c>
      <c r="J951" s="11">
        <f>32.0586 * CHOOSE(CONTROL!$C$32, $C$9, 100%, $E$9)</f>
        <v>32.058599999999998</v>
      </c>
      <c r="K951" s="11">
        <f>32.0622 * CHOOSE(CONTROL!$C$32, $C$9, 100%, $E$9)</f>
        <v>32.062199999999997</v>
      </c>
      <c r="L951" s="11">
        <f>15.3933 * CHOOSE(CONTROL!$C$32, $C$9, 100%, $E$9)</f>
        <v>15.3933</v>
      </c>
      <c r="M951" s="11">
        <f>15.3969 * CHOOSE(CONTROL!$C$32, $C$9, 100%, $E$9)</f>
        <v>15.3969</v>
      </c>
      <c r="N951" s="11">
        <f>15.3933 * CHOOSE(CONTROL!$C$32, $C$9, 100%, $E$9)</f>
        <v>15.3933</v>
      </c>
      <c r="O951" s="11">
        <f>15.3969 * CHOOSE(CONTROL!$C$32, $C$9, 100%, $E$9)</f>
        <v>15.3969</v>
      </c>
    </row>
    <row r="952" spans="1:15" ht="15" x14ac:dyDescent="0.2">
      <c r="A952" s="13">
        <v>69823</v>
      </c>
      <c r="B952" s="9">
        <f>14.0595 * CHOOSE(CONTROL!$C$32, $C$9, 100%, $E$9)</f>
        <v>14.0595</v>
      </c>
      <c r="C952" s="9">
        <f>14.0595 * CHOOSE(CONTROL!$C$32, $C$9, 100%, $E$9)</f>
        <v>14.0595</v>
      </c>
      <c r="D952" s="9">
        <f>14.0606 * CHOOSE(CONTROL!$C$32, $C$9, 100%, $E$9)</f>
        <v>14.060600000000001</v>
      </c>
      <c r="E952" s="11">
        <f>15.7362 * CHOOSE(CONTROL!$C$32, $C$9, 100%, $E$9)</f>
        <v>15.7362</v>
      </c>
      <c r="F952" s="11">
        <f>15.7362 * CHOOSE(CONTROL!$C$32, $C$9, 100%, $E$9)</f>
        <v>15.7362</v>
      </c>
      <c r="G952" s="11">
        <f>15.7398 * CHOOSE(CONTROL!$C$32, $C$9, 100%, $E$9)</f>
        <v>15.739800000000001</v>
      </c>
      <c r="H952" s="11">
        <f>32.1254 * CHOOSE(CONTROL!$C$32, $C$9, 100%, $E$9)</f>
        <v>32.125399999999999</v>
      </c>
      <c r="I952" s="11">
        <f>32.129 * CHOOSE(CONTROL!$C$32, $C$9, 100%, $E$9)</f>
        <v>32.128999999999998</v>
      </c>
      <c r="J952" s="11">
        <f>32.1254 * CHOOSE(CONTROL!$C$32, $C$9, 100%, $E$9)</f>
        <v>32.125399999999999</v>
      </c>
      <c r="K952" s="11">
        <f>32.129 * CHOOSE(CONTROL!$C$32, $C$9, 100%, $E$9)</f>
        <v>32.128999999999998</v>
      </c>
      <c r="L952" s="11">
        <f>15.7362 * CHOOSE(CONTROL!$C$32, $C$9, 100%, $E$9)</f>
        <v>15.7362</v>
      </c>
      <c r="M952" s="11">
        <f>15.7398 * CHOOSE(CONTROL!$C$32, $C$9, 100%, $E$9)</f>
        <v>15.739800000000001</v>
      </c>
      <c r="N952" s="11">
        <f>15.7362 * CHOOSE(CONTROL!$C$32, $C$9, 100%, $E$9)</f>
        <v>15.7362</v>
      </c>
      <c r="O952" s="11">
        <f>15.7398 * CHOOSE(CONTROL!$C$32, $C$9, 100%, $E$9)</f>
        <v>15.739800000000001</v>
      </c>
    </row>
    <row r="953" spans="1:15" ht="15" x14ac:dyDescent="0.2">
      <c r="A953" s="13">
        <v>69854</v>
      </c>
      <c r="B953" s="9">
        <f>14.0669 * CHOOSE(CONTROL!$C$32, $C$9, 100%, $E$9)</f>
        <v>14.0669</v>
      </c>
      <c r="C953" s="9">
        <f>14.0669 * CHOOSE(CONTROL!$C$32, $C$9, 100%, $E$9)</f>
        <v>14.0669</v>
      </c>
      <c r="D953" s="9">
        <f>14.068 * CHOOSE(CONTROL!$C$32, $C$9, 100%, $E$9)</f>
        <v>14.068</v>
      </c>
      <c r="E953" s="11">
        <f>16.1026 * CHOOSE(CONTROL!$C$32, $C$9, 100%, $E$9)</f>
        <v>16.102599999999999</v>
      </c>
      <c r="F953" s="11">
        <f>16.1026 * CHOOSE(CONTROL!$C$32, $C$9, 100%, $E$9)</f>
        <v>16.102599999999999</v>
      </c>
      <c r="G953" s="11">
        <f>16.1062 * CHOOSE(CONTROL!$C$32, $C$9, 100%, $E$9)</f>
        <v>16.106200000000001</v>
      </c>
      <c r="H953" s="11">
        <f>32.1923 * CHOOSE(CONTROL!$C$32, $C$9, 100%, $E$9)</f>
        <v>32.192300000000003</v>
      </c>
      <c r="I953" s="11">
        <f>32.1959 * CHOOSE(CONTROL!$C$32, $C$9, 100%, $E$9)</f>
        <v>32.195900000000002</v>
      </c>
      <c r="J953" s="11">
        <f>32.1923 * CHOOSE(CONTROL!$C$32, $C$9, 100%, $E$9)</f>
        <v>32.192300000000003</v>
      </c>
      <c r="K953" s="11">
        <f>32.1959 * CHOOSE(CONTROL!$C$32, $C$9, 100%, $E$9)</f>
        <v>32.195900000000002</v>
      </c>
      <c r="L953" s="11">
        <f>16.1026 * CHOOSE(CONTROL!$C$32, $C$9, 100%, $E$9)</f>
        <v>16.102599999999999</v>
      </c>
      <c r="M953" s="11">
        <f>16.1062 * CHOOSE(CONTROL!$C$32, $C$9, 100%, $E$9)</f>
        <v>16.106200000000001</v>
      </c>
      <c r="N953" s="11">
        <f>16.1026 * CHOOSE(CONTROL!$C$32, $C$9, 100%, $E$9)</f>
        <v>16.102599999999999</v>
      </c>
      <c r="O953" s="11">
        <f>16.1062 * CHOOSE(CONTROL!$C$32, $C$9, 100%, $E$9)</f>
        <v>16.106200000000001</v>
      </c>
    </row>
    <row r="954" spans="1:15" ht="15" x14ac:dyDescent="0.2">
      <c r="A954" s="13">
        <v>69884</v>
      </c>
      <c r="B954" s="9">
        <f>14.0669 * CHOOSE(CONTROL!$C$32, $C$9, 100%, $E$9)</f>
        <v>14.0669</v>
      </c>
      <c r="C954" s="9">
        <f>14.0669 * CHOOSE(CONTROL!$C$32, $C$9, 100%, $E$9)</f>
        <v>14.0669</v>
      </c>
      <c r="D954" s="9">
        <f>14.0685 * CHOOSE(CONTROL!$C$32, $C$9, 100%, $E$9)</f>
        <v>14.0685</v>
      </c>
      <c r="E954" s="11">
        <f>16.2415 * CHOOSE(CONTROL!$C$32, $C$9, 100%, $E$9)</f>
        <v>16.241499999999998</v>
      </c>
      <c r="F954" s="11">
        <f>16.2415 * CHOOSE(CONTROL!$C$32, $C$9, 100%, $E$9)</f>
        <v>16.241499999999998</v>
      </c>
      <c r="G954" s="11">
        <f>16.2468 * CHOOSE(CONTROL!$C$32, $C$9, 100%, $E$9)</f>
        <v>16.2468</v>
      </c>
      <c r="H954" s="11">
        <f>32.2594 * CHOOSE(CONTROL!$C$32, $C$9, 100%, $E$9)</f>
        <v>32.259399999999999</v>
      </c>
      <c r="I954" s="11">
        <f>32.2646 * CHOOSE(CONTROL!$C$32, $C$9, 100%, $E$9)</f>
        <v>32.264600000000002</v>
      </c>
      <c r="J954" s="11">
        <f>32.2594 * CHOOSE(CONTROL!$C$32, $C$9, 100%, $E$9)</f>
        <v>32.259399999999999</v>
      </c>
      <c r="K954" s="11">
        <f>32.2646 * CHOOSE(CONTROL!$C$32, $C$9, 100%, $E$9)</f>
        <v>32.264600000000002</v>
      </c>
      <c r="L954" s="11">
        <f>16.2415 * CHOOSE(CONTROL!$C$32, $C$9, 100%, $E$9)</f>
        <v>16.241499999999998</v>
      </c>
      <c r="M954" s="11">
        <f>16.2468 * CHOOSE(CONTROL!$C$32, $C$9, 100%, $E$9)</f>
        <v>16.2468</v>
      </c>
      <c r="N954" s="11">
        <f>16.2415 * CHOOSE(CONTROL!$C$32, $C$9, 100%, $E$9)</f>
        <v>16.241499999999998</v>
      </c>
      <c r="O954" s="11">
        <f>16.2468 * CHOOSE(CONTROL!$C$32, $C$9, 100%, $E$9)</f>
        <v>16.2468</v>
      </c>
    </row>
    <row r="955" spans="1:15" ht="15" x14ac:dyDescent="0.2">
      <c r="A955" s="13">
        <v>69915</v>
      </c>
      <c r="B955" s="9">
        <f>14.073 * CHOOSE(CONTROL!$C$32, $C$9, 100%, $E$9)</f>
        <v>14.073</v>
      </c>
      <c r="C955" s="9">
        <f>14.073 * CHOOSE(CONTROL!$C$32, $C$9, 100%, $E$9)</f>
        <v>14.073</v>
      </c>
      <c r="D955" s="9">
        <f>14.0746 * CHOOSE(CONTROL!$C$32, $C$9, 100%, $E$9)</f>
        <v>14.0746</v>
      </c>
      <c r="E955" s="11">
        <f>16.1068 * CHOOSE(CONTROL!$C$32, $C$9, 100%, $E$9)</f>
        <v>16.1068</v>
      </c>
      <c r="F955" s="11">
        <f>16.1068 * CHOOSE(CONTROL!$C$32, $C$9, 100%, $E$9)</f>
        <v>16.1068</v>
      </c>
      <c r="G955" s="11">
        <f>16.1121 * CHOOSE(CONTROL!$C$32, $C$9, 100%, $E$9)</f>
        <v>16.112100000000002</v>
      </c>
      <c r="H955" s="11">
        <f>32.3266 * CHOOSE(CONTROL!$C$32, $C$9, 100%, $E$9)</f>
        <v>32.326599999999999</v>
      </c>
      <c r="I955" s="11">
        <f>32.3319 * CHOOSE(CONTROL!$C$32, $C$9, 100%, $E$9)</f>
        <v>32.331899999999997</v>
      </c>
      <c r="J955" s="11">
        <f>32.3266 * CHOOSE(CONTROL!$C$32, $C$9, 100%, $E$9)</f>
        <v>32.326599999999999</v>
      </c>
      <c r="K955" s="11">
        <f>32.3319 * CHOOSE(CONTROL!$C$32, $C$9, 100%, $E$9)</f>
        <v>32.331899999999997</v>
      </c>
      <c r="L955" s="11">
        <f>16.1068 * CHOOSE(CONTROL!$C$32, $C$9, 100%, $E$9)</f>
        <v>16.1068</v>
      </c>
      <c r="M955" s="11">
        <f>16.1121 * CHOOSE(CONTROL!$C$32, $C$9, 100%, $E$9)</f>
        <v>16.112100000000002</v>
      </c>
      <c r="N955" s="11">
        <f>16.1068 * CHOOSE(CONTROL!$C$32, $C$9, 100%, $E$9)</f>
        <v>16.1068</v>
      </c>
      <c r="O955" s="11">
        <f>16.1121 * CHOOSE(CONTROL!$C$32, $C$9, 100%, $E$9)</f>
        <v>16.112100000000002</v>
      </c>
    </row>
    <row r="956" spans="1:15" ht="15" x14ac:dyDescent="0.2">
      <c r="A956" s="13">
        <v>69945</v>
      </c>
      <c r="B956" s="9">
        <f>14.2421 * CHOOSE(CONTROL!$C$32, $C$9, 100%, $E$9)</f>
        <v>14.242100000000001</v>
      </c>
      <c r="C956" s="9">
        <f>14.2421 * CHOOSE(CONTROL!$C$32, $C$9, 100%, $E$9)</f>
        <v>14.242100000000001</v>
      </c>
      <c r="D956" s="9">
        <f>14.2436 * CHOOSE(CONTROL!$C$32, $C$9, 100%, $E$9)</f>
        <v>14.243600000000001</v>
      </c>
      <c r="E956" s="11">
        <f>16.3355 * CHOOSE(CONTROL!$C$32, $C$9, 100%, $E$9)</f>
        <v>16.3355</v>
      </c>
      <c r="F956" s="11">
        <f>16.3355 * CHOOSE(CONTROL!$C$32, $C$9, 100%, $E$9)</f>
        <v>16.3355</v>
      </c>
      <c r="G956" s="11">
        <f>16.3408 * CHOOSE(CONTROL!$C$32, $C$9, 100%, $E$9)</f>
        <v>16.340800000000002</v>
      </c>
      <c r="H956" s="11">
        <f>32.3939 * CHOOSE(CONTROL!$C$32, $C$9, 100%, $E$9)</f>
        <v>32.393900000000002</v>
      </c>
      <c r="I956" s="11">
        <f>32.3992 * CHOOSE(CONTROL!$C$32, $C$9, 100%, $E$9)</f>
        <v>32.3992</v>
      </c>
      <c r="J956" s="11">
        <f>32.3939 * CHOOSE(CONTROL!$C$32, $C$9, 100%, $E$9)</f>
        <v>32.393900000000002</v>
      </c>
      <c r="K956" s="11">
        <f>32.3992 * CHOOSE(CONTROL!$C$32, $C$9, 100%, $E$9)</f>
        <v>32.3992</v>
      </c>
      <c r="L956" s="11">
        <f>16.3355 * CHOOSE(CONTROL!$C$32, $C$9, 100%, $E$9)</f>
        <v>16.3355</v>
      </c>
      <c r="M956" s="11">
        <f>16.3408 * CHOOSE(CONTROL!$C$32, $C$9, 100%, $E$9)</f>
        <v>16.340800000000002</v>
      </c>
      <c r="N956" s="11">
        <f>16.3355 * CHOOSE(CONTROL!$C$32, $C$9, 100%, $E$9)</f>
        <v>16.3355</v>
      </c>
      <c r="O956" s="11">
        <f>16.3408 * CHOOSE(CONTROL!$C$32, $C$9, 100%, $E$9)</f>
        <v>16.340800000000002</v>
      </c>
    </row>
    <row r="957" spans="1:15" ht="15" x14ac:dyDescent="0.2">
      <c r="A957" s="13">
        <v>69976</v>
      </c>
      <c r="B957" s="9">
        <f>14.2488 * CHOOSE(CONTROL!$C$32, $C$9, 100%, $E$9)</f>
        <v>14.248799999999999</v>
      </c>
      <c r="C957" s="9">
        <f>14.2488 * CHOOSE(CONTROL!$C$32, $C$9, 100%, $E$9)</f>
        <v>14.248799999999999</v>
      </c>
      <c r="D957" s="9">
        <f>14.2503 * CHOOSE(CONTROL!$C$32, $C$9, 100%, $E$9)</f>
        <v>14.250299999999999</v>
      </c>
      <c r="E957" s="11">
        <f>15.9232 * CHOOSE(CONTROL!$C$32, $C$9, 100%, $E$9)</f>
        <v>15.9232</v>
      </c>
      <c r="F957" s="11">
        <f>15.9232 * CHOOSE(CONTROL!$C$32, $C$9, 100%, $E$9)</f>
        <v>15.9232</v>
      </c>
      <c r="G957" s="11">
        <f>15.9285 * CHOOSE(CONTROL!$C$32, $C$9, 100%, $E$9)</f>
        <v>15.9285</v>
      </c>
      <c r="H957" s="11">
        <f>32.4614 * CHOOSE(CONTROL!$C$32, $C$9, 100%, $E$9)</f>
        <v>32.461399999999998</v>
      </c>
      <c r="I957" s="11">
        <f>32.4667 * CHOOSE(CONTROL!$C$32, $C$9, 100%, $E$9)</f>
        <v>32.466700000000003</v>
      </c>
      <c r="J957" s="11">
        <f>32.4614 * CHOOSE(CONTROL!$C$32, $C$9, 100%, $E$9)</f>
        <v>32.461399999999998</v>
      </c>
      <c r="K957" s="11">
        <f>32.4667 * CHOOSE(CONTROL!$C$32, $C$9, 100%, $E$9)</f>
        <v>32.466700000000003</v>
      </c>
      <c r="L957" s="11">
        <f>15.9232 * CHOOSE(CONTROL!$C$32, $C$9, 100%, $E$9)</f>
        <v>15.9232</v>
      </c>
      <c r="M957" s="11">
        <f>15.9285 * CHOOSE(CONTROL!$C$32, $C$9, 100%, $E$9)</f>
        <v>15.9285</v>
      </c>
      <c r="N957" s="11">
        <f>15.9232 * CHOOSE(CONTROL!$C$32, $C$9, 100%, $E$9)</f>
        <v>15.9232</v>
      </c>
      <c r="O957" s="11">
        <f>15.9285 * CHOOSE(CONTROL!$C$32, $C$9, 100%, $E$9)</f>
        <v>15.9285</v>
      </c>
    </row>
    <row r="958" spans="1:15" ht="15" x14ac:dyDescent="0.2">
      <c r="A958" s="13">
        <v>70007</v>
      </c>
      <c r="B958" s="9">
        <f>14.2457 * CHOOSE(CONTROL!$C$32, $C$9, 100%, $E$9)</f>
        <v>14.245699999999999</v>
      </c>
      <c r="C958" s="9">
        <f>14.2457 * CHOOSE(CONTROL!$C$32, $C$9, 100%, $E$9)</f>
        <v>14.245699999999999</v>
      </c>
      <c r="D958" s="9">
        <f>14.2473 * CHOOSE(CONTROL!$C$32, $C$9, 100%, $E$9)</f>
        <v>14.247299999999999</v>
      </c>
      <c r="E958" s="11">
        <f>15.8748 * CHOOSE(CONTROL!$C$32, $C$9, 100%, $E$9)</f>
        <v>15.8748</v>
      </c>
      <c r="F958" s="11">
        <f>15.8748 * CHOOSE(CONTROL!$C$32, $C$9, 100%, $E$9)</f>
        <v>15.8748</v>
      </c>
      <c r="G958" s="11">
        <f>15.8801 * CHOOSE(CONTROL!$C$32, $C$9, 100%, $E$9)</f>
        <v>15.880100000000001</v>
      </c>
      <c r="H958" s="11">
        <f>32.529 * CHOOSE(CONTROL!$C$32, $C$9, 100%, $E$9)</f>
        <v>32.529000000000003</v>
      </c>
      <c r="I958" s="11">
        <f>32.5343 * CHOOSE(CONTROL!$C$32, $C$9, 100%, $E$9)</f>
        <v>32.534300000000002</v>
      </c>
      <c r="J958" s="11">
        <f>32.529 * CHOOSE(CONTROL!$C$32, $C$9, 100%, $E$9)</f>
        <v>32.529000000000003</v>
      </c>
      <c r="K958" s="11">
        <f>32.5343 * CHOOSE(CONTROL!$C$32, $C$9, 100%, $E$9)</f>
        <v>32.534300000000002</v>
      </c>
      <c r="L958" s="11">
        <f>15.8748 * CHOOSE(CONTROL!$C$32, $C$9, 100%, $E$9)</f>
        <v>15.8748</v>
      </c>
      <c r="M958" s="11">
        <f>15.8801 * CHOOSE(CONTROL!$C$32, $C$9, 100%, $E$9)</f>
        <v>15.880100000000001</v>
      </c>
      <c r="N958" s="11">
        <f>15.8748 * CHOOSE(CONTROL!$C$32, $C$9, 100%, $E$9)</f>
        <v>15.8748</v>
      </c>
      <c r="O958" s="11">
        <f>15.8801 * CHOOSE(CONTROL!$C$32, $C$9, 100%, $E$9)</f>
        <v>15.880100000000001</v>
      </c>
    </row>
    <row r="959" spans="1:15" ht="15" x14ac:dyDescent="0.2">
      <c r="A959" s="13">
        <v>70037</v>
      </c>
      <c r="B959" s="9">
        <f>14.2791 * CHOOSE(CONTROL!$C$32, $C$9, 100%, $E$9)</f>
        <v>14.2791</v>
      </c>
      <c r="C959" s="9">
        <f>14.2791 * CHOOSE(CONTROL!$C$32, $C$9, 100%, $E$9)</f>
        <v>14.2791</v>
      </c>
      <c r="D959" s="9">
        <f>14.2802 * CHOOSE(CONTROL!$C$32, $C$9, 100%, $E$9)</f>
        <v>14.280200000000001</v>
      </c>
      <c r="E959" s="11">
        <f>16.0467 * CHOOSE(CONTROL!$C$32, $C$9, 100%, $E$9)</f>
        <v>16.046700000000001</v>
      </c>
      <c r="F959" s="11">
        <f>16.0467 * CHOOSE(CONTROL!$C$32, $C$9, 100%, $E$9)</f>
        <v>16.046700000000001</v>
      </c>
      <c r="G959" s="11">
        <f>16.0503 * CHOOSE(CONTROL!$C$32, $C$9, 100%, $E$9)</f>
        <v>16.0503</v>
      </c>
      <c r="H959" s="11">
        <f>32.5968 * CHOOSE(CONTROL!$C$32, $C$9, 100%, $E$9)</f>
        <v>32.596800000000002</v>
      </c>
      <c r="I959" s="11">
        <f>32.6004 * CHOOSE(CONTROL!$C$32, $C$9, 100%, $E$9)</f>
        <v>32.6004</v>
      </c>
      <c r="J959" s="11">
        <f>32.5968 * CHOOSE(CONTROL!$C$32, $C$9, 100%, $E$9)</f>
        <v>32.596800000000002</v>
      </c>
      <c r="K959" s="11">
        <f>32.6004 * CHOOSE(CONTROL!$C$32, $C$9, 100%, $E$9)</f>
        <v>32.6004</v>
      </c>
      <c r="L959" s="11">
        <f>16.0467 * CHOOSE(CONTROL!$C$32, $C$9, 100%, $E$9)</f>
        <v>16.046700000000001</v>
      </c>
      <c r="M959" s="11">
        <f>16.0503 * CHOOSE(CONTROL!$C$32, $C$9, 100%, $E$9)</f>
        <v>16.0503</v>
      </c>
      <c r="N959" s="11">
        <f>16.0467 * CHOOSE(CONTROL!$C$32, $C$9, 100%, $E$9)</f>
        <v>16.046700000000001</v>
      </c>
      <c r="O959" s="11">
        <f>16.0503 * CHOOSE(CONTROL!$C$32, $C$9, 100%, $E$9)</f>
        <v>16.0503</v>
      </c>
    </row>
    <row r="960" spans="1:15" ht="15" x14ac:dyDescent="0.2">
      <c r="A960" s="13">
        <v>70068</v>
      </c>
      <c r="B960" s="9">
        <f>14.2821 * CHOOSE(CONTROL!$C$32, $C$9, 100%, $E$9)</f>
        <v>14.2821</v>
      </c>
      <c r="C960" s="9">
        <f>14.2821 * CHOOSE(CONTROL!$C$32, $C$9, 100%, $E$9)</f>
        <v>14.2821</v>
      </c>
      <c r="D960" s="9">
        <f>14.2832 * CHOOSE(CONTROL!$C$32, $C$9, 100%, $E$9)</f>
        <v>14.283200000000001</v>
      </c>
      <c r="E960" s="11">
        <f>16.1414 * CHOOSE(CONTROL!$C$32, $C$9, 100%, $E$9)</f>
        <v>16.141400000000001</v>
      </c>
      <c r="F960" s="11">
        <f>16.1414 * CHOOSE(CONTROL!$C$32, $C$9, 100%, $E$9)</f>
        <v>16.141400000000001</v>
      </c>
      <c r="G960" s="11">
        <f>16.1451 * CHOOSE(CONTROL!$C$32, $C$9, 100%, $E$9)</f>
        <v>16.145099999999999</v>
      </c>
      <c r="H960" s="11">
        <f>32.6647 * CHOOSE(CONTROL!$C$32, $C$9, 100%, $E$9)</f>
        <v>32.664700000000003</v>
      </c>
      <c r="I960" s="11">
        <f>32.6683 * CHOOSE(CONTROL!$C$32, $C$9, 100%, $E$9)</f>
        <v>32.668300000000002</v>
      </c>
      <c r="J960" s="11">
        <f>32.6647 * CHOOSE(CONTROL!$C$32, $C$9, 100%, $E$9)</f>
        <v>32.664700000000003</v>
      </c>
      <c r="K960" s="11">
        <f>32.6683 * CHOOSE(CONTROL!$C$32, $C$9, 100%, $E$9)</f>
        <v>32.668300000000002</v>
      </c>
      <c r="L960" s="11">
        <f>16.1414 * CHOOSE(CONTROL!$C$32, $C$9, 100%, $E$9)</f>
        <v>16.141400000000001</v>
      </c>
      <c r="M960" s="11">
        <f>16.1451 * CHOOSE(CONTROL!$C$32, $C$9, 100%, $E$9)</f>
        <v>16.145099999999999</v>
      </c>
      <c r="N960" s="11">
        <f>16.1414 * CHOOSE(CONTROL!$C$32, $C$9, 100%, $E$9)</f>
        <v>16.141400000000001</v>
      </c>
      <c r="O960" s="11">
        <f>16.1451 * CHOOSE(CONTROL!$C$32, $C$9, 100%, $E$9)</f>
        <v>16.145099999999999</v>
      </c>
    </row>
    <row r="961" spans="1:15" ht="15" x14ac:dyDescent="0.2">
      <c r="A961" s="13">
        <v>70098</v>
      </c>
      <c r="B961" s="9">
        <f>14.2821 * CHOOSE(CONTROL!$C$32, $C$9, 100%, $E$9)</f>
        <v>14.2821</v>
      </c>
      <c r="C961" s="9">
        <f>14.2821 * CHOOSE(CONTROL!$C$32, $C$9, 100%, $E$9)</f>
        <v>14.2821</v>
      </c>
      <c r="D961" s="9">
        <f>14.2832 * CHOOSE(CONTROL!$C$32, $C$9, 100%, $E$9)</f>
        <v>14.283200000000001</v>
      </c>
      <c r="E961" s="11">
        <f>15.9098 * CHOOSE(CONTROL!$C$32, $C$9, 100%, $E$9)</f>
        <v>15.909800000000001</v>
      </c>
      <c r="F961" s="11">
        <f>15.9098 * CHOOSE(CONTROL!$C$32, $C$9, 100%, $E$9)</f>
        <v>15.909800000000001</v>
      </c>
      <c r="G961" s="11">
        <f>15.9134 * CHOOSE(CONTROL!$C$32, $C$9, 100%, $E$9)</f>
        <v>15.913399999999999</v>
      </c>
      <c r="H961" s="11">
        <f>32.7328 * CHOOSE(CONTROL!$C$32, $C$9, 100%, $E$9)</f>
        <v>32.732799999999997</v>
      </c>
      <c r="I961" s="11">
        <f>32.7364 * CHOOSE(CONTROL!$C$32, $C$9, 100%, $E$9)</f>
        <v>32.736400000000003</v>
      </c>
      <c r="J961" s="11">
        <f>32.7328 * CHOOSE(CONTROL!$C$32, $C$9, 100%, $E$9)</f>
        <v>32.732799999999997</v>
      </c>
      <c r="K961" s="11">
        <f>32.7364 * CHOOSE(CONTROL!$C$32, $C$9, 100%, $E$9)</f>
        <v>32.736400000000003</v>
      </c>
      <c r="L961" s="11">
        <f>15.9098 * CHOOSE(CONTROL!$C$32, $C$9, 100%, $E$9)</f>
        <v>15.909800000000001</v>
      </c>
      <c r="M961" s="11">
        <f>15.9134 * CHOOSE(CONTROL!$C$32, $C$9, 100%, $E$9)</f>
        <v>15.913399999999999</v>
      </c>
      <c r="N961" s="11">
        <f>15.9098 * CHOOSE(CONTROL!$C$32, $C$9, 100%, $E$9)</f>
        <v>15.909800000000001</v>
      </c>
      <c r="O961" s="11">
        <f>15.9134 * CHOOSE(CONTROL!$C$32, $C$9, 100%, $E$9)</f>
        <v>15.913399999999999</v>
      </c>
    </row>
    <row r="962" spans="1:15" ht="15" x14ac:dyDescent="0.2">
      <c r="A962" s="13">
        <v>70129</v>
      </c>
      <c r="B962" s="9">
        <f>14.253 * CHOOSE(CONTROL!$C$32, $C$9, 100%, $E$9)</f>
        <v>14.253</v>
      </c>
      <c r="C962" s="9">
        <f>14.253 * CHOOSE(CONTROL!$C$32, $C$9, 100%, $E$9)</f>
        <v>14.253</v>
      </c>
      <c r="D962" s="9">
        <f>14.254 * CHOOSE(CONTROL!$C$32, $C$9, 100%, $E$9)</f>
        <v>14.254</v>
      </c>
      <c r="E962" s="11">
        <f>16.0456 * CHOOSE(CONTROL!$C$32, $C$9, 100%, $E$9)</f>
        <v>16.0456</v>
      </c>
      <c r="F962" s="11">
        <f>16.0456 * CHOOSE(CONTROL!$C$32, $C$9, 100%, $E$9)</f>
        <v>16.0456</v>
      </c>
      <c r="G962" s="11">
        <f>16.0492 * CHOOSE(CONTROL!$C$32, $C$9, 100%, $E$9)</f>
        <v>16.049199999999999</v>
      </c>
      <c r="H962" s="11">
        <f>32.4454 * CHOOSE(CONTROL!$C$32, $C$9, 100%, $E$9)</f>
        <v>32.445399999999999</v>
      </c>
      <c r="I962" s="11">
        <f>32.449 * CHOOSE(CONTROL!$C$32, $C$9, 100%, $E$9)</f>
        <v>32.448999999999998</v>
      </c>
      <c r="J962" s="11">
        <f>32.4454 * CHOOSE(CONTROL!$C$32, $C$9, 100%, $E$9)</f>
        <v>32.445399999999999</v>
      </c>
      <c r="K962" s="11">
        <f>32.449 * CHOOSE(CONTROL!$C$32, $C$9, 100%, $E$9)</f>
        <v>32.448999999999998</v>
      </c>
      <c r="L962" s="11">
        <f>16.0456 * CHOOSE(CONTROL!$C$32, $C$9, 100%, $E$9)</f>
        <v>16.0456</v>
      </c>
      <c r="M962" s="11">
        <f>16.0492 * CHOOSE(CONTROL!$C$32, $C$9, 100%, $E$9)</f>
        <v>16.049199999999999</v>
      </c>
      <c r="N962" s="11">
        <f>16.0456 * CHOOSE(CONTROL!$C$32, $C$9, 100%, $E$9)</f>
        <v>16.0456</v>
      </c>
      <c r="O962" s="11">
        <f>16.0492 * CHOOSE(CONTROL!$C$32, $C$9, 100%, $E$9)</f>
        <v>16.049199999999999</v>
      </c>
    </row>
    <row r="963" spans="1:15" ht="15" x14ac:dyDescent="0.2">
      <c r="A963" s="13">
        <v>70160</v>
      </c>
      <c r="B963" s="9">
        <f>14.2499 * CHOOSE(CONTROL!$C$32, $C$9, 100%, $E$9)</f>
        <v>14.2499</v>
      </c>
      <c r="C963" s="9">
        <f>14.2499 * CHOOSE(CONTROL!$C$32, $C$9, 100%, $E$9)</f>
        <v>14.2499</v>
      </c>
      <c r="D963" s="9">
        <f>14.251 * CHOOSE(CONTROL!$C$32, $C$9, 100%, $E$9)</f>
        <v>14.250999999999999</v>
      </c>
      <c r="E963" s="11">
        <f>15.5987 * CHOOSE(CONTROL!$C$32, $C$9, 100%, $E$9)</f>
        <v>15.598699999999999</v>
      </c>
      <c r="F963" s="11">
        <f>15.5987 * CHOOSE(CONTROL!$C$32, $C$9, 100%, $E$9)</f>
        <v>15.598699999999999</v>
      </c>
      <c r="G963" s="11">
        <f>15.6023 * CHOOSE(CONTROL!$C$32, $C$9, 100%, $E$9)</f>
        <v>15.6023</v>
      </c>
      <c r="H963" s="11">
        <f>32.513 * CHOOSE(CONTROL!$C$32, $C$9, 100%, $E$9)</f>
        <v>32.512999999999998</v>
      </c>
      <c r="I963" s="11">
        <f>32.5166 * CHOOSE(CONTROL!$C$32, $C$9, 100%, $E$9)</f>
        <v>32.516599999999997</v>
      </c>
      <c r="J963" s="11">
        <f>32.513 * CHOOSE(CONTROL!$C$32, $C$9, 100%, $E$9)</f>
        <v>32.512999999999998</v>
      </c>
      <c r="K963" s="11">
        <f>32.5166 * CHOOSE(CONTROL!$C$32, $C$9, 100%, $E$9)</f>
        <v>32.516599999999997</v>
      </c>
      <c r="L963" s="11">
        <f>15.5987 * CHOOSE(CONTROL!$C$32, $C$9, 100%, $E$9)</f>
        <v>15.598699999999999</v>
      </c>
      <c r="M963" s="11">
        <f>15.6023 * CHOOSE(CONTROL!$C$32, $C$9, 100%, $E$9)</f>
        <v>15.6023</v>
      </c>
      <c r="N963" s="11">
        <f>15.5987 * CHOOSE(CONTROL!$C$32, $C$9, 100%, $E$9)</f>
        <v>15.598699999999999</v>
      </c>
      <c r="O963" s="11">
        <f>15.6023 * CHOOSE(CONTROL!$C$32, $C$9, 100%, $E$9)</f>
        <v>15.6023</v>
      </c>
    </row>
    <row r="964" spans="1:15" ht="15" x14ac:dyDescent="0.2">
      <c r="A964" s="13">
        <v>70189</v>
      </c>
      <c r="B964" s="9">
        <f>14.2469 * CHOOSE(CONTROL!$C$32, $C$9, 100%, $E$9)</f>
        <v>14.2469</v>
      </c>
      <c r="C964" s="9">
        <f>14.2469 * CHOOSE(CONTROL!$C$32, $C$9, 100%, $E$9)</f>
        <v>14.2469</v>
      </c>
      <c r="D964" s="9">
        <f>14.2479 * CHOOSE(CONTROL!$C$32, $C$9, 100%, $E$9)</f>
        <v>14.2479</v>
      </c>
      <c r="E964" s="11">
        <f>15.9472 * CHOOSE(CONTROL!$C$32, $C$9, 100%, $E$9)</f>
        <v>15.9472</v>
      </c>
      <c r="F964" s="11">
        <f>15.9472 * CHOOSE(CONTROL!$C$32, $C$9, 100%, $E$9)</f>
        <v>15.9472</v>
      </c>
      <c r="G964" s="11">
        <f>15.9508 * CHOOSE(CONTROL!$C$32, $C$9, 100%, $E$9)</f>
        <v>15.950799999999999</v>
      </c>
      <c r="H964" s="11">
        <f>32.5808 * CHOOSE(CONTROL!$C$32, $C$9, 100%, $E$9)</f>
        <v>32.580800000000004</v>
      </c>
      <c r="I964" s="11">
        <f>32.5844 * CHOOSE(CONTROL!$C$32, $C$9, 100%, $E$9)</f>
        <v>32.584400000000002</v>
      </c>
      <c r="J964" s="11">
        <f>32.5808 * CHOOSE(CONTROL!$C$32, $C$9, 100%, $E$9)</f>
        <v>32.580800000000004</v>
      </c>
      <c r="K964" s="11">
        <f>32.5844 * CHOOSE(CONTROL!$C$32, $C$9, 100%, $E$9)</f>
        <v>32.584400000000002</v>
      </c>
      <c r="L964" s="11">
        <f>15.9472 * CHOOSE(CONTROL!$C$32, $C$9, 100%, $E$9)</f>
        <v>15.9472</v>
      </c>
      <c r="M964" s="11">
        <f>15.9508 * CHOOSE(CONTROL!$C$32, $C$9, 100%, $E$9)</f>
        <v>15.950799999999999</v>
      </c>
      <c r="N964" s="11">
        <f>15.9472 * CHOOSE(CONTROL!$C$32, $C$9, 100%, $E$9)</f>
        <v>15.9472</v>
      </c>
      <c r="O964" s="11">
        <f>15.9508 * CHOOSE(CONTROL!$C$32, $C$9, 100%, $E$9)</f>
        <v>15.950799999999999</v>
      </c>
    </row>
    <row r="965" spans="1:15" ht="15" x14ac:dyDescent="0.2">
      <c r="A965" s="13">
        <v>70220</v>
      </c>
      <c r="B965" s="9">
        <f>14.2545 * CHOOSE(CONTROL!$C$32, $C$9, 100%, $E$9)</f>
        <v>14.2545</v>
      </c>
      <c r="C965" s="9">
        <f>14.2545 * CHOOSE(CONTROL!$C$32, $C$9, 100%, $E$9)</f>
        <v>14.2545</v>
      </c>
      <c r="D965" s="9">
        <f>14.2555 * CHOOSE(CONTROL!$C$32, $C$9, 100%, $E$9)</f>
        <v>14.2555</v>
      </c>
      <c r="E965" s="11">
        <f>16.3196 * CHOOSE(CONTROL!$C$32, $C$9, 100%, $E$9)</f>
        <v>16.319600000000001</v>
      </c>
      <c r="F965" s="11">
        <f>16.3196 * CHOOSE(CONTROL!$C$32, $C$9, 100%, $E$9)</f>
        <v>16.319600000000001</v>
      </c>
      <c r="G965" s="11">
        <f>16.3232 * CHOOSE(CONTROL!$C$32, $C$9, 100%, $E$9)</f>
        <v>16.3232</v>
      </c>
      <c r="H965" s="11">
        <f>32.6486 * CHOOSE(CONTROL!$C$32, $C$9, 100%, $E$9)</f>
        <v>32.648600000000002</v>
      </c>
      <c r="I965" s="11">
        <f>32.6522 * CHOOSE(CONTROL!$C$32, $C$9, 100%, $E$9)</f>
        <v>32.652200000000001</v>
      </c>
      <c r="J965" s="11">
        <f>32.6486 * CHOOSE(CONTROL!$C$32, $C$9, 100%, $E$9)</f>
        <v>32.648600000000002</v>
      </c>
      <c r="K965" s="11">
        <f>32.6522 * CHOOSE(CONTROL!$C$32, $C$9, 100%, $E$9)</f>
        <v>32.652200000000001</v>
      </c>
      <c r="L965" s="11">
        <f>16.3196 * CHOOSE(CONTROL!$C$32, $C$9, 100%, $E$9)</f>
        <v>16.319600000000001</v>
      </c>
      <c r="M965" s="11">
        <f>16.3232 * CHOOSE(CONTROL!$C$32, $C$9, 100%, $E$9)</f>
        <v>16.3232</v>
      </c>
      <c r="N965" s="11">
        <f>16.3196 * CHOOSE(CONTROL!$C$32, $C$9, 100%, $E$9)</f>
        <v>16.319600000000001</v>
      </c>
      <c r="O965" s="11">
        <f>16.3232 * CHOOSE(CONTROL!$C$32, $C$9, 100%, $E$9)</f>
        <v>16.3232</v>
      </c>
    </row>
    <row r="966" spans="1:15" ht="15" x14ac:dyDescent="0.2">
      <c r="A966" s="13">
        <v>70250</v>
      </c>
      <c r="B966" s="9">
        <f>14.2545 * CHOOSE(CONTROL!$C$32, $C$9, 100%, $E$9)</f>
        <v>14.2545</v>
      </c>
      <c r="C966" s="9">
        <f>14.2545 * CHOOSE(CONTROL!$C$32, $C$9, 100%, $E$9)</f>
        <v>14.2545</v>
      </c>
      <c r="D966" s="9">
        <f>14.2561 * CHOOSE(CONTROL!$C$32, $C$9, 100%, $E$9)</f>
        <v>14.2561</v>
      </c>
      <c r="E966" s="11">
        <f>16.4608 * CHOOSE(CONTROL!$C$32, $C$9, 100%, $E$9)</f>
        <v>16.460799999999999</v>
      </c>
      <c r="F966" s="11">
        <f>16.4608 * CHOOSE(CONTROL!$C$32, $C$9, 100%, $E$9)</f>
        <v>16.460799999999999</v>
      </c>
      <c r="G966" s="11">
        <f>16.4661 * CHOOSE(CONTROL!$C$32, $C$9, 100%, $E$9)</f>
        <v>16.466100000000001</v>
      </c>
      <c r="H966" s="11">
        <f>32.7167 * CHOOSE(CONTROL!$C$32, $C$9, 100%, $E$9)</f>
        <v>32.716700000000003</v>
      </c>
      <c r="I966" s="11">
        <f>32.7219 * CHOOSE(CONTROL!$C$32, $C$9, 100%, $E$9)</f>
        <v>32.721899999999998</v>
      </c>
      <c r="J966" s="11">
        <f>32.7167 * CHOOSE(CONTROL!$C$32, $C$9, 100%, $E$9)</f>
        <v>32.716700000000003</v>
      </c>
      <c r="K966" s="11">
        <f>32.7219 * CHOOSE(CONTROL!$C$32, $C$9, 100%, $E$9)</f>
        <v>32.721899999999998</v>
      </c>
      <c r="L966" s="11">
        <f>16.4608 * CHOOSE(CONTROL!$C$32, $C$9, 100%, $E$9)</f>
        <v>16.460799999999999</v>
      </c>
      <c r="M966" s="11">
        <f>16.4661 * CHOOSE(CONTROL!$C$32, $C$9, 100%, $E$9)</f>
        <v>16.466100000000001</v>
      </c>
      <c r="N966" s="11">
        <f>16.4608 * CHOOSE(CONTROL!$C$32, $C$9, 100%, $E$9)</f>
        <v>16.460799999999999</v>
      </c>
      <c r="O966" s="11">
        <f>16.4661 * CHOOSE(CONTROL!$C$32, $C$9, 100%, $E$9)</f>
        <v>16.466100000000001</v>
      </c>
    </row>
    <row r="967" spans="1:15" ht="15" x14ac:dyDescent="0.2">
      <c r="A967" s="13">
        <v>70281</v>
      </c>
      <c r="B967" s="9">
        <f>14.2606 * CHOOSE(CONTROL!$C$32, $C$9, 100%, $E$9)</f>
        <v>14.2606</v>
      </c>
      <c r="C967" s="9">
        <f>14.2606 * CHOOSE(CONTROL!$C$32, $C$9, 100%, $E$9)</f>
        <v>14.2606</v>
      </c>
      <c r="D967" s="9">
        <f>14.2621 * CHOOSE(CONTROL!$C$32, $C$9, 100%, $E$9)</f>
        <v>14.2621</v>
      </c>
      <c r="E967" s="11">
        <f>16.3238 * CHOOSE(CONTROL!$C$32, $C$9, 100%, $E$9)</f>
        <v>16.323799999999999</v>
      </c>
      <c r="F967" s="11">
        <f>16.3238 * CHOOSE(CONTROL!$C$32, $C$9, 100%, $E$9)</f>
        <v>16.323799999999999</v>
      </c>
      <c r="G967" s="11">
        <f>16.3291 * CHOOSE(CONTROL!$C$32, $C$9, 100%, $E$9)</f>
        <v>16.3291</v>
      </c>
      <c r="H967" s="11">
        <f>32.7848 * CHOOSE(CONTROL!$C$32, $C$9, 100%, $E$9)</f>
        <v>32.784799999999997</v>
      </c>
      <c r="I967" s="11">
        <f>32.7901 * CHOOSE(CONTROL!$C$32, $C$9, 100%, $E$9)</f>
        <v>32.790100000000002</v>
      </c>
      <c r="J967" s="11">
        <f>32.7848 * CHOOSE(CONTROL!$C$32, $C$9, 100%, $E$9)</f>
        <v>32.784799999999997</v>
      </c>
      <c r="K967" s="11">
        <f>32.7901 * CHOOSE(CONTROL!$C$32, $C$9, 100%, $E$9)</f>
        <v>32.790100000000002</v>
      </c>
      <c r="L967" s="11">
        <f>16.3238 * CHOOSE(CONTROL!$C$32, $C$9, 100%, $E$9)</f>
        <v>16.323799999999999</v>
      </c>
      <c r="M967" s="11">
        <f>16.3291 * CHOOSE(CONTROL!$C$32, $C$9, 100%, $E$9)</f>
        <v>16.3291</v>
      </c>
      <c r="N967" s="11">
        <f>16.3238 * CHOOSE(CONTROL!$C$32, $C$9, 100%, $E$9)</f>
        <v>16.323799999999999</v>
      </c>
      <c r="O967" s="11">
        <f>16.3291 * CHOOSE(CONTROL!$C$32, $C$9, 100%, $E$9)</f>
        <v>16.3291</v>
      </c>
    </row>
    <row r="968" spans="1:15" ht="15" x14ac:dyDescent="0.2">
      <c r="A968" s="13">
        <v>70311</v>
      </c>
      <c r="B968" s="9">
        <f>14.4317 * CHOOSE(CONTROL!$C$32, $C$9, 100%, $E$9)</f>
        <v>14.431699999999999</v>
      </c>
      <c r="C968" s="9">
        <f>14.4317 * CHOOSE(CONTROL!$C$32, $C$9, 100%, $E$9)</f>
        <v>14.431699999999999</v>
      </c>
      <c r="D968" s="9">
        <f>14.4332 * CHOOSE(CONTROL!$C$32, $C$9, 100%, $E$9)</f>
        <v>14.433199999999999</v>
      </c>
      <c r="E968" s="11">
        <f>16.5557 * CHOOSE(CONTROL!$C$32, $C$9, 100%, $E$9)</f>
        <v>16.555700000000002</v>
      </c>
      <c r="F968" s="11">
        <f>16.5557 * CHOOSE(CONTROL!$C$32, $C$9, 100%, $E$9)</f>
        <v>16.555700000000002</v>
      </c>
      <c r="G968" s="11">
        <f>16.561 * CHOOSE(CONTROL!$C$32, $C$9, 100%, $E$9)</f>
        <v>16.561</v>
      </c>
      <c r="H968" s="11">
        <f>32.8531 * CHOOSE(CONTROL!$C$32, $C$9, 100%, $E$9)</f>
        <v>32.853099999999998</v>
      </c>
      <c r="I968" s="11">
        <f>32.8584 * CHOOSE(CONTROL!$C$32, $C$9, 100%, $E$9)</f>
        <v>32.858400000000003</v>
      </c>
      <c r="J968" s="11">
        <f>32.8531 * CHOOSE(CONTROL!$C$32, $C$9, 100%, $E$9)</f>
        <v>32.853099999999998</v>
      </c>
      <c r="K968" s="11">
        <f>32.8584 * CHOOSE(CONTROL!$C$32, $C$9, 100%, $E$9)</f>
        <v>32.858400000000003</v>
      </c>
      <c r="L968" s="11">
        <f>16.5557 * CHOOSE(CONTROL!$C$32, $C$9, 100%, $E$9)</f>
        <v>16.555700000000002</v>
      </c>
      <c r="M968" s="11">
        <f>16.561 * CHOOSE(CONTROL!$C$32, $C$9, 100%, $E$9)</f>
        <v>16.561</v>
      </c>
      <c r="N968" s="11">
        <f>16.5557 * CHOOSE(CONTROL!$C$32, $C$9, 100%, $E$9)</f>
        <v>16.555700000000002</v>
      </c>
      <c r="O968" s="11">
        <f>16.561 * CHOOSE(CONTROL!$C$32, $C$9, 100%, $E$9)</f>
        <v>16.561</v>
      </c>
    </row>
    <row r="969" spans="1:15" ht="15" x14ac:dyDescent="0.2">
      <c r="A969" s="13">
        <v>70342</v>
      </c>
      <c r="B969" s="9">
        <f>14.4384 * CHOOSE(CONTROL!$C$32, $C$9, 100%, $E$9)</f>
        <v>14.4384</v>
      </c>
      <c r="C969" s="9">
        <f>14.4384 * CHOOSE(CONTROL!$C$32, $C$9, 100%, $E$9)</f>
        <v>14.4384</v>
      </c>
      <c r="D969" s="9">
        <f>14.4399 * CHOOSE(CONTROL!$C$32, $C$9, 100%, $E$9)</f>
        <v>14.4399</v>
      </c>
      <c r="E969" s="11">
        <f>16.1367 * CHOOSE(CONTROL!$C$32, $C$9, 100%, $E$9)</f>
        <v>16.136700000000001</v>
      </c>
      <c r="F969" s="11">
        <f>16.1367 * CHOOSE(CONTROL!$C$32, $C$9, 100%, $E$9)</f>
        <v>16.136700000000001</v>
      </c>
      <c r="G969" s="11">
        <f>16.142 * CHOOSE(CONTROL!$C$32, $C$9, 100%, $E$9)</f>
        <v>16.141999999999999</v>
      </c>
      <c r="H969" s="11">
        <f>32.9216 * CHOOSE(CONTROL!$C$32, $C$9, 100%, $E$9)</f>
        <v>32.921599999999998</v>
      </c>
      <c r="I969" s="11">
        <f>32.9269 * CHOOSE(CONTROL!$C$32, $C$9, 100%, $E$9)</f>
        <v>32.926900000000003</v>
      </c>
      <c r="J969" s="11">
        <f>32.9216 * CHOOSE(CONTROL!$C$32, $C$9, 100%, $E$9)</f>
        <v>32.921599999999998</v>
      </c>
      <c r="K969" s="11">
        <f>32.9269 * CHOOSE(CONTROL!$C$32, $C$9, 100%, $E$9)</f>
        <v>32.926900000000003</v>
      </c>
      <c r="L969" s="11">
        <f>16.1367 * CHOOSE(CONTROL!$C$32, $C$9, 100%, $E$9)</f>
        <v>16.136700000000001</v>
      </c>
      <c r="M969" s="11">
        <f>16.142 * CHOOSE(CONTROL!$C$32, $C$9, 100%, $E$9)</f>
        <v>16.141999999999999</v>
      </c>
      <c r="N969" s="11">
        <f>16.1367 * CHOOSE(CONTROL!$C$32, $C$9, 100%, $E$9)</f>
        <v>16.136700000000001</v>
      </c>
      <c r="O969" s="11">
        <f>16.142 * CHOOSE(CONTROL!$C$32, $C$9, 100%, $E$9)</f>
        <v>16.141999999999999</v>
      </c>
    </row>
    <row r="970" spans="1:15" ht="15" x14ac:dyDescent="0.2">
      <c r="A970" s="13">
        <v>70373</v>
      </c>
      <c r="B970" s="9">
        <f>14.4353 * CHOOSE(CONTROL!$C$32, $C$9, 100%, $E$9)</f>
        <v>14.4353</v>
      </c>
      <c r="C970" s="9">
        <f>14.4353 * CHOOSE(CONTROL!$C$32, $C$9, 100%, $E$9)</f>
        <v>14.4353</v>
      </c>
      <c r="D970" s="9">
        <f>14.4369 * CHOOSE(CONTROL!$C$32, $C$9, 100%, $E$9)</f>
        <v>14.4369</v>
      </c>
      <c r="E970" s="11">
        <f>16.0875 * CHOOSE(CONTROL!$C$32, $C$9, 100%, $E$9)</f>
        <v>16.087499999999999</v>
      </c>
      <c r="F970" s="11">
        <f>16.0875 * CHOOSE(CONTROL!$C$32, $C$9, 100%, $E$9)</f>
        <v>16.087499999999999</v>
      </c>
      <c r="G970" s="11">
        <f>16.0928 * CHOOSE(CONTROL!$C$32, $C$9, 100%, $E$9)</f>
        <v>16.0928</v>
      </c>
      <c r="H970" s="11">
        <f>32.9901 * CHOOSE(CONTROL!$C$32, $C$9, 100%, $E$9)</f>
        <v>32.990099999999998</v>
      </c>
      <c r="I970" s="11">
        <f>32.9954 * CHOOSE(CONTROL!$C$32, $C$9, 100%, $E$9)</f>
        <v>32.995399999999997</v>
      </c>
      <c r="J970" s="11">
        <f>32.9901 * CHOOSE(CONTROL!$C$32, $C$9, 100%, $E$9)</f>
        <v>32.990099999999998</v>
      </c>
      <c r="K970" s="11">
        <f>32.9954 * CHOOSE(CONTROL!$C$32, $C$9, 100%, $E$9)</f>
        <v>32.995399999999997</v>
      </c>
      <c r="L970" s="11">
        <f>16.0875 * CHOOSE(CONTROL!$C$32, $C$9, 100%, $E$9)</f>
        <v>16.087499999999999</v>
      </c>
      <c r="M970" s="11">
        <f>16.0928 * CHOOSE(CONTROL!$C$32, $C$9, 100%, $E$9)</f>
        <v>16.0928</v>
      </c>
      <c r="N970" s="11">
        <f>16.0875 * CHOOSE(CONTROL!$C$32, $C$9, 100%, $E$9)</f>
        <v>16.087499999999999</v>
      </c>
      <c r="O970" s="11">
        <f>16.0928 * CHOOSE(CONTROL!$C$32, $C$9, 100%, $E$9)</f>
        <v>16.0928</v>
      </c>
    </row>
    <row r="971" spans="1:15" ht="15" x14ac:dyDescent="0.2">
      <c r="A971" s="13">
        <v>70403</v>
      </c>
      <c r="B971" s="9">
        <f>14.4694 * CHOOSE(CONTROL!$C$32, $C$9, 100%, $E$9)</f>
        <v>14.4694</v>
      </c>
      <c r="C971" s="9">
        <f>14.4694 * CHOOSE(CONTROL!$C$32, $C$9, 100%, $E$9)</f>
        <v>14.4694</v>
      </c>
      <c r="D971" s="9">
        <f>14.4705 * CHOOSE(CONTROL!$C$32, $C$9, 100%, $E$9)</f>
        <v>14.470499999999999</v>
      </c>
      <c r="E971" s="11">
        <f>16.2624 * CHOOSE(CONTROL!$C$32, $C$9, 100%, $E$9)</f>
        <v>16.2624</v>
      </c>
      <c r="F971" s="11">
        <f>16.2624 * CHOOSE(CONTROL!$C$32, $C$9, 100%, $E$9)</f>
        <v>16.2624</v>
      </c>
      <c r="G971" s="11">
        <f>16.266 * CHOOSE(CONTROL!$C$32, $C$9, 100%, $E$9)</f>
        <v>16.265999999999998</v>
      </c>
      <c r="H971" s="11">
        <f>33.0589 * CHOOSE(CONTROL!$C$32, $C$9, 100%, $E$9)</f>
        <v>33.058900000000001</v>
      </c>
      <c r="I971" s="11">
        <f>33.0625 * CHOOSE(CONTROL!$C$32, $C$9, 100%, $E$9)</f>
        <v>33.0625</v>
      </c>
      <c r="J971" s="11">
        <f>33.0589 * CHOOSE(CONTROL!$C$32, $C$9, 100%, $E$9)</f>
        <v>33.058900000000001</v>
      </c>
      <c r="K971" s="11">
        <f>33.0625 * CHOOSE(CONTROL!$C$32, $C$9, 100%, $E$9)</f>
        <v>33.0625</v>
      </c>
      <c r="L971" s="11">
        <f>16.2624 * CHOOSE(CONTROL!$C$32, $C$9, 100%, $E$9)</f>
        <v>16.2624</v>
      </c>
      <c r="M971" s="11">
        <f>16.266 * CHOOSE(CONTROL!$C$32, $C$9, 100%, $E$9)</f>
        <v>16.265999999999998</v>
      </c>
      <c r="N971" s="11">
        <f>16.2624 * CHOOSE(CONTROL!$C$32, $C$9, 100%, $E$9)</f>
        <v>16.2624</v>
      </c>
      <c r="O971" s="11">
        <f>16.266 * CHOOSE(CONTROL!$C$32, $C$9, 100%, $E$9)</f>
        <v>16.265999999999998</v>
      </c>
    </row>
    <row r="972" spans="1:15" ht="15" x14ac:dyDescent="0.2">
      <c r="A972" s="13">
        <v>70434</v>
      </c>
      <c r="B972" s="9">
        <f>14.4724 * CHOOSE(CONTROL!$C$32, $C$9, 100%, $E$9)</f>
        <v>14.4724</v>
      </c>
      <c r="C972" s="9">
        <f>14.4724 * CHOOSE(CONTROL!$C$32, $C$9, 100%, $E$9)</f>
        <v>14.4724</v>
      </c>
      <c r="D972" s="9">
        <f>14.4735 * CHOOSE(CONTROL!$C$32, $C$9, 100%, $E$9)</f>
        <v>14.4735</v>
      </c>
      <c r="E972" s="11">
        <f>16.3586 * CHOOSE(CONTROL!$C$32, $C$9, 100%, $E$9)</f>
        <v>16.358599999999999</v>
      </c>
      <c r="F972" s="11">
        <f>16.3586 * CHOOSE(CONTROL!$C$32, $C$9, 100%, $E$9)</f>
        <v>16.358599999999999</v>
      </c>
      <c r="G972" s="11">
        <f>16.3622 * CHOOSE(CONTROL!$C$32, $C$9, 100%, $E$9)</f>
        <v>16.362200000000001</v>
      </c>
      <c r="H972" s="11">
        <f>33.1277 * CHOOSE(CONTROL!$C$32, $C$9, 100%, $E$9)</f>
        <v>33.127699999999997</v>
      </c>
      <c r="I972" s="11">
        <f>33.1314 * CHOOSE(CONTROL!$C$32, $C$9, 100%, $E$9)</f>
        <v>33.131399999999999</v>
      </c>
      <c r="J972" s="11">
        <f>33.1277 * CHOOSE(CONTROL!$C$32, $C$9, 100%, $E$9)</f>
        <v>33.127699999999997</v>
      </c>
      <c r="K972" s="11">
        <f>33.1314 * CHOOSE(CONTROL!$C$32, $C$9, 100%, $E$9)</f>
        <v>33.131399999999999</v>
      </c>
      <c r="L972" s="11">
        <f>16.3586 * CHOOSE(CONTROL!$C$32, $C$9, 100%, $E$9)</f>
        <v>16.358599999999999</v>
      </c>
      <c r="M972" s="11">
        <f>16.3622 * CHOOSE(CONTROL!$C$32, $C$9, 100%, $E$9)</f>
        <v>16.362200000000001</v>
      </c>
      <c r="N972" s="11">
        <f>16.3586 * CHOOSE(CONTROL!$C$32, $C$9, 100%, $E$9)</f>
        <v>16.358599999999999</v>
      </c>
      <c r="O972" s="11">
        <f>16.3622 * CHOOSE(CONTROL!$C$32, $C$9, 100%, $E$9)</f>
        <v>16.362200000000001</v>
      </c>
    </row>
    <row r="973" spans="1:15" ht="15" x14ac:dyDescent="0.2">
      <c r="A973" s="13">
        <v>70464</v>
      </c>
      <c r="B973" s="9">
        <f>14.4724 * CHOOSE(CONTROL!$C$32, $C$9, 100%, $E$9)</f>
        <v>14.4724</v>
      </c>
      <c r="C973" s="9">
        <f>14.4724 * CHOOSE(CONTROL!$C$32, $C$9, 100%, $E$9)</f>
        <v>14.4724</v>
      </c>
      <c r="D973" s="9">
        <f>14.4735 * CHOOSE(CONTROL!$C$32, $C$9, 100%, $E$9)</f>
        <v>14.4735</v>
      </c>
      <c r="E973" s="11">
        <f>16.1233 * CHOOSE(CONTROL!$C$32, $C$9, 100%, $E$9)</f>
        <v>16.1233</v>
      </c>
      <c r="F973" s="11">
        <f>16.1233 * CHOOSE(CONTROL!$C$32, $C$9, 100%, $E$9)</f>
        <v>16.1233</v>
      </c>
      <c r="G973" s="11">
        <f>16.1269 * CHOOSE(CONTROL!$C$32, $C$9, 100%, $E$9)</f>
        <v>16.126899999999999</v>
      </c>
      <c r="H973" s="11">
        <f>33.1968 * CHOOSE(CONTROL!$C$32, $C$9, 100%, $E$9)</f>
        <v>33.196800000000003</v>
      </c>
      <c r="I973" s="11">
        <f>33.2004 * CHOOSE(CONTROL!$C$32, $C$9, 100%, $E$9)</f>
        <v>33.200400000000002</v>
      </c>
      <c r="J973" s="11">
        <f>33.1968 * CHOOSE(CONTROL!$C$32, $C$9, 100%, $E$9)</f>
        <v>33.196800000000003</v>
      </c>
      <c r="K973" s="11">
        <f>33.2004 * CHOOSE(CONTROL!$C$32, $C$9, 100%, $E$9)</f>
        <v>33.200400000000002</v>
      </c>
      <c r="L973" s="11">
        <f>16.1233 * CHOOSE(CONTROL!$C$32, $C$9, 100%, $E$9)</f>
        <v>16.1233</v>
      </c>
      <c r="M973" s="11">
        <f>16.1269 * CHOOSE(CONTROL!$C$32, $C$9, 100%, $E$9)</f>
        <v>16.126899999999999</v>
      </c>
      <c r="N973" s="11">
        <f>16.1233 * CHOOSE(CONTROL!$C$32, $C$9, 100%, $E$9)</f>
        <v>16.1233</v>
      </c>
      <c r="O973" s="11">
        <f>16.1269 * CHOOSE(CONTROL!$C$32, $C$9, 100%, $E$9)</f>
        <v>16.126899999999999</v>
      </c>
    </row>
    <row r="974" spans="1:15" ht="15" x14ac:dyDescent="0.2">
      <c r="A974" s="13">
        <v>70495</v>
      </c>
      <c r="B974" s="9">
        <f>14.4403 * CHOOSE(CONTROL!$C$32, $C$9, 100%, $E$9)</f>
        <v>14.440300000000001</v>
      </c>
      <c r="C974" s="9">
        <f>14.4403 * CHOOSE(CONTROL!$C$32, $C$9, 100%, $E$9)</f>
        <v>14.440300000000001</v>
      </c>
      <c r="D974" s="9">
        <f>14.4414 * CHOOSE(CONTROL!$C$32, $C$9, 100%, $E$9)</f>
        <v>14.4414</v>
      </c>
      <c r="E974" s="11">
        <f>16.2581 * CHOOSE(CONTROL!$C$32, $C$9, 100%, $E$9)</f>
        <v>16.258099999999999</v>
      </c>
      <c r="F974" s="11">
        <f>16.2581 * CHOOSE(CONTROL!$C$32, $C$9, 100%, $E$9)</f>
        <v>16.258099999999999</v>
      </c>
      <c r="G974" s="11">
        <f>16.2617 * CHOOSE(CONTROL!$C$32, $C$9, 100%, $E$9)</f>
        <v>16.261700000000001</v>
      </c>
      <c r="H974" s="11">
        <f>32.8989 * CHOOSE(CONTROL!$C$32, $C$9, 100%, $E$9)</f>
        <v>32.898899999999998</v>
      </c>
      <c r="I974" s="11">
        <f>32.9025 * CHOOSE(CONTROL!$C$32, $C$9, 100%, $E$9)</f>
        <v>32.902500000000003</v>
      </c>
      <c r="J974" s="11">
        <f>32.8989 * CHOOSE(CONTROL!$C$32, $C$9, 100%, $E$9)</f>
        <v>32.898899999999998</v>
      </c>
      <c r="K974" s="11">
        <f>32.9025 * CHOOSE(CONTROL!$C$32, $C$9, 100%, $E$9)</f>
        <v>32.902500000000003</v>
      </c>
      <c r="L974" s="11">
        <f>16.2581 * CHOOSE(CONTROL!$C$32, $C$9, 100%, $E$9)</f>
        <v>16.258099999999999</v>
      </c>
      <c r="M974" s="11">
        <f>16.2617 * CHOOSE(CONTROL!$C$32, $C$9, 100%, $E$9)</f>
        <v>16.261700000000001</v>
      </c>
      <c r="N974" s="11">
        <f>16.2581 * CHOOSE(CONTROL!$C$32, $C$9, 100%, $E$9)</f>
        <v>16.258099999999999</v>
      </c>
      <c r="O974" s="11">
        <f>16.2617 * CHOOSE(CONTROL!$C$32, $C$9, 100%, $E$9)</f>
        <v>16.261700000000001</v>
      </c>
    </row>
    <row r="975" spans="1:15" ht="15" x14ac:dyDescent="0.2">
      <c r="A975" s="13">
        <v>70526</v>
      </c>
      <c r="B975" s="9">
        <f>14.4373 * CHOOSE(CONTROL!$C$32, $C$9, 100%, $E$9)</f>
        <v>14.4373</v>
      </c>
      <c r="C975" s="9">
        <f>14.4373 * CHOOSE(CONTROL!$C$32, $C$9, 100%, $E$9)</f>
        <v>14.4373</v>
      </c>
      <c r="D975" s="9">
        <f>14.4383 * CHOOSE(CONTROL!$C$32, $C$9, 100%, $E$9)</f>
        <v>14.4383</v>
      </c>
      <c r="E975" s="11">
        <f>15.8041 * CHOOSE(CONTROL!$C$32, $C$9, 100%, $E$9)</f>
        <v>15.8041</v>
      </c>
      <c r="F975" s="11">
        <f>15.8041 * CHOOSE(CONTROL!$C$32, $C$9, 100%, $E$9)</f>
        <v>15.8041</v>
      </c>
      <c r="G975" s="11">
        <f>15.8077 * CHOOSE(CONTROL!$C$32, $C$9, 100%, $E$9)</f>
        <v>15.807700000000001</v>
      </c>
      <c r="H975" s="11">
        <f>32.9675 * CHOOSE(CONTROL!$C$32, $C$9, 100%, $E$9)</f>
        <v>32.967500000000001</v>
      </c>
      <c r="I975" s="11">
        <f>32.9711 * CHOOSE(CONTROL!$C$32, $C$9, 100%, $E$9)</f>
        <v>32.9711</v>
      </c>
      <c r="J975" s="11">
        <f>32.9675 * CHOOSE(CONTROL!$C$32, $C$9, 100%, $E$9)</f>
        <v>32.967500000000001</v>
      </c>
      <c r="K975" s="11">
        <f>32.9711 * CHOOSE(CONTROL!$C$32, $C$9, 100%, $E$9)</f>
        <v>32.9711</v>
      </c>
      <c r="L975" s="11">
        <f>15.8041 * CHOOSE(CONTROL!$C$32, $C$9, 100%, $E$9)</f>
        <v>15.8041</v>
      </c>
      <c r="M975" s="11">
        <f>15.8077 * CHOOSE(CONTROL!$C$32, $C$9, 100%, $E$9)</f>
        <v>15.807700000000001</v>
      </c>
      <c r="N975" s="11">
        <f>15.8041 * CHOOSE(CONTROL!$C$32, $C$9, 100%, $E$9)</f>
        <v>15.8041</v>
      </c>
      <c r="O975" s="11">
        <f>15.8077 * CHOOSE(CONTROL!$C$32, $C$9, 100%, $E$9)</f>
        <v>15.807700000000001</v>
      </c>
    </row>
    <row r="976" spans="1:15" ht="15" x14ac:dyDescent="0.2">
      <c r="A976" s="13">
        <v>70554</v>
      </c>
      <c r="B976" s="9">
        <f>14.4342 * CHOOSE(CONTROL!$C$32, $C$9, 100%, $E$9)</f>
        <v>14.434200000000001</v>
      </c>
      <c r="C976" s="9">
        <f>14.4342 * CHOOSE(CONTROL!$C$32, $C$9, 100%, $E$9)</f>
        <v>14.434200000000001</v>
      </c>
      <c r="D976" s="9">
        <f>14.4353 * CHOOSE(CONTROL!$C$32, $C$9, 100%, $E$9)</f>
        <v>14.4353</v>
      </c>
      <c r="E976" s="11">
        <f>16.1582 * CHOOSE(CONTROL!$C$32, $C$9, 100%, $E$9)</f>
        <v>16.158200000000001</v>
      </c>
      <c r="F976" s="11">
        <f>16.1582 * CHOOSE(CONTROL!$C$32, $C$9, 100%, $E$9)</f>
        <v>16.158200000000001</v>
      </c>
      <c r="G976" s="11">
        <f>16.1618 * CHOOSE(CONTROL!$C$32, $C$9, 100%, $E$9)</f>
        <v>16.161799999999999</v>
      </c>
      <c r="H976" s="11">
        <f>33.0362 * CHOOSE(CONTROL!$C$32, $C$9, 100%, $E$9)</f>
        <v>33.036200000000001</v>
      </c>
      <c r="I976" s="11">
        <f>33.0398 * CHOOSE(CONTROL!$C$32, $C$9, 100%, $E$9)</f>
        <v>33.0398</v>
      </c>
      <c r="J976" s="11">
        <f>33.0362 * CHOOSE(CONTROL!$C$32, $C$9, 100%, $E$9)</f>
        <v>33.036200000000001</v>
      </c>
      <c r="K976" s="11">
        <f>33.0398 * CHOOSE(CONTROL!$C$32, $C$9, 100%, $E$9)</f>
        <v>33.0398</v>
      </c>
      <c r="L976" s="11">
        <f>16.1582 * CHOOSE(CONTROL!$C$32, $C$9, 100%, $E$9)</f>
        <v>16.158200000000001</v>
      </c>
      <c r="M976" s="11">
        <f>16.1618 * CHOOSE(CONTROL!$C$32, $C$9, 100%, $E$9)</f>
        <v>16.161799999999999</v>
      </c>
      <c r="N976" s="11">
        <f>16.1582 * CHOOSE(CONTROL!$C$32, $C$9, 100%, $E$9)</f>
        <v>16.158200000000001</v>
      </c>
      <c r="O976" s="11">
        <f>16.1618 * CHOOSE(CONTROL!$C$32, $C$9, 100%, $E$9)</f>
        <v>16.161799999999999</v>
      </c>
    </row>
    <row r="977" spans="1:15" ht="15" x14ac:dyDescent="0.2">
      <c r="A977" s="13">
        <v>70585</v>
      </c>
      <c r="B977" s="9">
        <f>14.442 * CHOOSE(CONTROL!$C$32, $C$9, 100%, $E$9)</f>
        <v>14.442</v>
      </c>
      <c r="C977" s="9">
        <f>14.442 * CHOOSE(CONTROL!$C$32, $C$9, 100%, $E$9)</f>
        <v>14.442</v>
      </c>
      <c r="D977" s="9">
        <f>14.4431 * CHOOSE(CONTROL!$C$32, $C$9, 100%, $E$9)</f>
        <v>14.443099999999999</v>
      </c>
      <c r="E977" s="11">
        <f>16.5366 * CHOOSE(CONTROL!$C$32, $C$9, 100%, $E$9)</f>
        <v>16.5366</v>
      </c>
      <c r="F977" s="11">
        <f>16.5366 * CHOOSE(CONTROL!$C$32, $C$9, 100%, $E$9)</f>
        <v>16.5366</v>
      </c>
      <c r="G977" s="11">
        <f>16.5402 * CHOOSE(CONTROL!$C$32, $C$9, 100%, $E$9)</f>
        <v>16.540199999999999</v>
      </c>
      <c r="H977" s="11">
        <f>33.105 * CHOOSE(CONTROL!$C$32, $C$9, 100%, $E$9)</f>
        <v>33.104999999999997</v>
      </c>
      <c r="I977" s="11">
        <f>33.1086 * CHOOSE(CONTROL!$C$32, $C$9, 100%, $E$9)</f>
        <v>33.108600000000003</v>
      </c>
      <c r="J977" s="11">
        <f>33.105 * CHOOSE(CONTROL!$C$32, $C$9, 100%, $E$9)</f>
        <v>33.104999999999997</v>
      </c>
      <c r="K977" s="11">
        <f>33.1086 * CHOOSE(CONTROL!$C$32, $C$9, 100%, $E$9)</f>
        <v>33.108600000000003</v>
      </c>
      <c r="L977" s="11">
        <f>16.5366 * CHOOSE(CONTROL!$C$32, $C$9, 100%, $E$9)</f>
        <v>16.5366</v>
      </c>
      <c r="M977" s="11">
        <f>16.5402 * CHOOSE(CONTROL!$C$32, $C$9, 100%, $E$9)</f>
        <v>16.540199999999999</v>
      </c>
      <c r="N977" s="11">
        <f>16.5366 * CHOOSE(CONTROL!$C$32, $C$9, 100%, $E$9)</f>
        <v>16.5366</v>
      </c>
      <c r="O977" s="11">
        <f>16.5402 * CHOOSE(CONTROL!$C$32, $C$9, 100%, $E$9)</f>
        <v>16.540199999999999</v>
      </c>
    </row>
    <row r="978" spans="1:15" ht="15" x14ac:dyDescent="0.2">
      <c r="A978" s="13">
        <v>70615</v>
      </c>
      <c r="B978" s="9">
        <f>14.442 * CHOOSE(CONTROL!$C$32, $C$9, 100%, $E$9)</f>
        <v>14.442</v>
      </c>
      <c r="C978" s="9">
        <f>14.442 * CHOOSE(CONTROL!$C$32, $C$9, 100%, $E$9)</f>
        <v>14.442</v>
      </c>
      <c r="D978" s="9">
        <f>14.4436 * CHOOSE(CONTROL!$C$32, $C$9, 100%, $E$9)</f>
        <v>14.4436</v>
      </c>
      <c r="E978" s="11">
        <f>16.68 * CHOOSE(CONTROL!$C$32, $C$9, 100%, $E$9)</f>
        <v>16.68</v>
      </c>
      <c r="F978" s="11">
        <f>16.68 * CHOOSE(CONTROL!$C$32, $C$9, 100%, $E$9)</f>
        <v>16.68</v>
      </c>
      <c r="G978" s="11">
        <f>16.6853 * CHOOSE(CONTROL!$C$32, $C$9, 100%, $E$9)</f>
        <v>16.685300000000002</v>
      </c>
      <c r="H978" s="11">
        <f>33.1739 * CHOOSE(CONTROL!$C$32, $C$9, 100%, $E$9)</f>
        <v>33.173900000000003</v>
      </c>
      <c r="I978" s="11">
        <f>33.1792 * CHOOSE(CONTROL!$C$32, $C$9, 100%, $E$9)</f>
        <v>33.179200000000002</v>
      </c>
      <c r="J978" s="11">
        <f>33.1739 * CHOOSE(CONTROL!$C$32, $C$9, 100%, $E$9)</f>
        <v>33.173900000000003</v>
      </c>
      <c r="K978" s="11">
        <f>33.1792 * CHOOSE(CONTROL!$C$32, $C$9, 100%, $E$9)</f>
        <v>33.179200000000002</v>
      </c>
      <c r="L978" s="11">
        <f>16.68 * CHOOSE(CONTROL!$C$32, $C$9, 100%, $E$9)</f>
        <v>16.68</v>
      </c>
      <c r="M978" s="11">
        <f>16.6853 * CHOOSE(CONTROL!$C$32, $C$9, 100%, $E$9)</f>
        <v>16.685300000000002</v>
      </c>
      <c r="N978" s="11">
        <f>16.68 * CHOOSE(CONTROL!$C$32, $C$9, 100%, $E$9)</f>
        <v>16.68</v>
      </c>
      <c r="O978" s="11">
        <f>16.6853 * CHOOSE(CONTROL!$C$32, $C$9, 100%, $E$9)</f>
        <v>16.685300000000002</v>
      </c>
    </row>
    <row r="979" spans="1:15" ht="15" x14ac:dyDescent="0.2">
      <c r="A979" s="13">
        <v>70646</v>
      </c>
      <c r="B979" s="9">
        <f>14.4481 * CHOOSE(CONTROL!$C$32, $C$9, 100%, $E$9)</f>
        <v>14.4481</v>
      </c>
      <c r="C979" s="9">
        <f>14.4481 * CHOOSE(CONTROL!$C$32, $C$9, 100%, $E$9)</f>
        <v>14.4481</v>
      </c>
      <c r="D979" s="9">
        <f>14.4497 * CHOOSE(CONTROL!$C$32, $C$9, 100%, $E$9)</f>
        <v>14.4497</v>
      </c>
      <c r="E979" s="11">
        <f>16.5408 * CHOOSE(CONTROL!$C$32, $C$9, 100%, $E$9)</f>
        <v>16.540800000000001</v>
      </c>
      <c r="F979" s="11">
        <f>16.5408 * CHOOSE(CONTROL!$C$32, $C$9, 100%, $E$9)</f>
        <v>16.540800000000001</v>
      </c>
      <c r="G979" s="11">
        <f>16.5461 * CHOOSE(CONTROL!$C$32, $C$9, 100%, $E$9)</f>
        <v>16.546099999999999</v>
      </c>
      <c r="H979" s="11">
        <f>33.2431 * CHOOSE(CONTROL!$C$32, $C$9, 100%, $E$9)</f>
        <v>33.243099999999998</v>
      </c>
      <c r="I979" s="11">
        <f>33.2484 * CHOOSE(CONTROL!$C$32, $C$9, 100%, $E$9)</f>
        <v>33.248399999999997</v>
      </c>
      <c r="J979" s="11">
        <f>33.2431 * CHOOSE(CONTROL!$C$32, $C$9, 100%, $E$9)</f>
        <v>33.243099999999998</v>
      </c>
      <c r="K979" s="11">
        <f>33.2484 * CHOOSE(CONTROL!$C$32, $C$9, 100%, $E$9)</f>
        <v>33.248399999999997</v>
      </c>
      <c r="L979" s="11">
        <f>16.5408 * CHOOSE(CONTROL!$C$32, $C$9, 100%, $E$9)</f>
        <v>16.540800000000001</v>
      </c>
      <c r="M979" s="11">
        <f>16.5461 * CHOOSE(CONTROL!$C$32, $C$9, 100%, $E$9)</f>
        <v>16.546099999999999</v>
      </c>
      <c r="N979" s="11">
        <f>16.5408 * CHOOSE(CONTROL!$C$32, $C$9, 100%, $E$9)</f>
        <v>16.540800000000001</v>
      </c>
      <c r="O979" s="11">
        <f>16.5461 * CHOOSE(CONTROL!$C$32, $C$9, 100%, $E$9)</f>
        <v>16.546099999999999</v>
      </c>
    </row>
    <row r="980" spans="1:15" ht="15" x14ac:dyDescent="0.2">
      <c r="A980" s="13">
        <v>70676</v>
      </c>
      <c r="B980" s="9">
        <f>14.6213 * CHOOSE(CONTROL!$C$32, $C$9, 100%, $E$9)</f>
        <v>14.6213</v>
      </c>
      <c r="C980" s="9">
        <f>14.6213 * CHOOSE(CONTROL!$C$32, $C$9, 100%, $E$9)</f>
        <v>14.6213</v>
      </c>
      <c r="D980" s="9">
        <f>14.6228 * CHOOSE(CONTROL!$C$32, $C$9, 100%, $E$9)</f>
        <v>14.6228</v>
      </c>
      <c r="E980" s="11">
        <f>16.7759 * CHOOSE(CONTROL!$C$32, $C$9, 100%, $E$9)</f>
        <v>16.7759</v>
      </c>
      <c r="F980" s="11">
        <f>16.7759 * CHOOSE(CONTROL!$C$32, $C$9, 100%, $E$9)</f>
        <v>16.7759</v>
      </c>
      <c r="G980" s="11">
        <f>16.7811 * CHOOSE(CONTROL!$C$32, $C$9, 100%, $E$9)</f>
        <v>16.781099999999999</v>
      </c>
      <c r="H980" s="11">
        <f>33.3123 * CHOOSE(CONTROL!$C$32, $C$9, 100%, $E$9)</f>
        <v>33.3123</v>
      </c>
      <c r="I980" s="11">
        <f>33.3176 * CHOOSE(CONTROL!$C$32, $C$9, 100%, $E$9)</f>
        <v>33.317599999999999</v>
      </c>
      <c r="J980" s="11">
        <f>33.3123 * CHOOSE(CONTROL!$C$32, $C$9, 100%, $E$9)</f>
        <v>33.3123</v>
      </c>
      <c r="K980" s="11">
        <f>33.3176 * CHOOSE(CONTROL!$C$32, $C$9, 100%, $E$9)</f>
        <v>33.317599999999999</v>
      </c>
      <c r="L980" s="11">
        <f>16.7759 * CHOOSE(CONTROL!$C$32, $C$9, 100%, $E$9)</f>
        <v>16.7759</v>
      </c>
      <c r="M980" s="11">
        <f>16.7811 * CHOOSE(CONTROL!$C$32, $C$9, 100%, $E$9)</f>
        <v>16.781099999999999</v>
      </c>
      <c r="N980" s="11">
        <f>16.7759 * CHOOSE(CONTROL!$C$32, $C$9, 100%, $E$9)</f>
        <v>16.7759</v>
      </c>
      <c r="O980" s="11">
        <f>16.7811 * CHOOSE(CONTROL!$C$32, $C$9, 100%, $E$9)</f>
        <v>16.781099999999999</v>
      </c>
    </row>
    <row r="981" spans="1:15" ht="15" x14ac:dyDescent="0.2">
      <c r="A981" s="13">
        <v>70707</v>
      </c>
      <c r="B981" s="9">
        <f>14.6279 * CHOOSE(CONTROL!$C$32, $C$9, 100%, $E$9)</f>
        <v>14.6279</v>
      </c>
      <c r="C981" s="9">
        <f>14.6279 * CHOOSE(CONTROL!$C$32, $C$9, 100%, $E$9)</f>
        <v>14.6279</v>
      </c>
      <c r="D981" s="9">
        <f>14.6295 * CHOOSE(CONTROL!$C$32, $C$9, 100%, $E$9)</f>
        <v>14.6295</v>
      </c>
      <c r="E981" s="11">
        <f>16.3501 * CHOOSE(CONTROL!$C$32, $C$9, 100%, $E$9)</f>
        <v>16.350100000000001</v>
      </c>
      <c r="F981" s="11">
        <f>16.3501 * CHOOSE(CONTROL!$C$32, $C$9, 100%, $E$9)</f>
        <v>16.350100000000001</v>
      </c>
      <c r="G981" s="11">
        <f>16.3554 * CHOOSE(CONTROL!$C$32, $C$9, 100%, $E$9)</f>
        <v>16.355399999999999</v>
      </c>
      <c r="H981" s="11">
        <f>33.3817 * CHOOSE(CONTROL!$C$32, $C$9, 100%, $E$9)</f>
        <v>33.381700000000002</v>
      </c>
      <c r="I981" s="11">
        <f>33.387 * CHOOSE(CONTROL!$C$32, $C$9, 100%, $E$9)</f>
        <v>33.387</v>
      </c>
      <c r="J981" s="11">
        <f>33.3817 * CHOOSE(CONTROL!$C$32, $C$9, 100%, $E$9)</f>
        <v>33.381700000000002</v>
      </c>
      <c r="K981" s="11">
        <f>33.387 * CHOOSE(CONTROL!$C$32, $C$9, 100%, $E$9)</f>
        <v>33.387</v>
      </c>
      <c r="L981" s="11">
        <f>16.3501 * CHOOSE(CONTROL!$C$32, $C$9, 100%, $E$9)</f>
        <v>16.350100000000001</v>
      </c>
      <c r="M981" s="11">
        <f>16.3554 * CHOOSE(CONTROL!$C$32, $C$9, 100%, $E$9)</f>
        <v>16.355399999999999</v>
      </c>
      <c r="N981" s="11">
        <f>16.3501 * CHOOSE(CONTROL!$C$32, $C$9, 100%, $E$9)</f>
        <v>16.350100000000001</v>
      </c>
      <c r="O981" s="11">
        <f>16.3554 * CHOOSE(CONTROL!$C$32, $C$9, 100%, $E$9)</f>
        <v>16.355399999999999</v>
      </c>
    </row>
    <row r="982" spans="1:15" ht="15" x14ac:dyDescent="0.2">
      <c r="A982" s="13">
        <v>70738</v>
      </c>
      <c r="B982" s="9">
        <f>14.6249 * CHOOSE(CONTROL!$C$32, $C$9, 100%, $E$9)</f>
        <v>14.6249</v>
      </c>
      <c r="C982" s="9">
        <f>14.6249 * CHOOSE(CONTROL!$C$32, $C$9, 100%, $E$9)</f>
        <v>14.6249</v>
      </c>
      <c r="D982" s="9">
        <f>14.6265 * CHOOSE(CONTROL!$C$32, $C$9, 100%, $E$9)</f>
        <v>14.6265</v>
      </c>
      <c r="E982" s="11">
        <f>16.3002 * CHOOSE(CONTROL!$C$32, $C$9, 100%, $E$9)</f>
        <v>16.3002</v>
      </c>
      <c r="F982" s="11">
        <f>16.3002 * CHOOSE(CONTROL!$C$32, $C$9, 100%, $E$9)</f>
        <v>16.3002</v>
      </c>
      <c r="G982" s="11">
        <f>16.3055 * CHOOSE(CONTROL!$C$32, $C$9, 100%, $E$9)</f>
        <v>16.305499999999999</v>
      </c>
      <c r="H982" s="11">
        <f>33.4513 * CHOOSE(CONTROL!$C$32, $C$9, 100%, $E$9)</f>
        <v>33.451300000000003</v>
      </c>
      <c r="I982" s="11">
        <f>33.4566 * CHOOSE(CONTROL!$C$32, $C$9, 100%, $E$9)</f>
        <v>33.456600000000002</v>
      </c>
      <c r="J982" s="11">
        <f>33.4513 * CHOOSE(CONTROL!$C$32, $C$9, 100%, $E$9)</f>
        <v>33.451300000000003</v>
      </c>
      <c r="K982" s="11">
        <f>33.4566 * CHOOSE(CONTROL!$C$32, $C$9, 100%, $E$9)</f>
        <v>33.456600000000002</v>
      </c>
      <c r="L982" s="11">
        <f>16.3002 * CHOOSE(CONTROL!$C$32, $C$9, 100%, $E$9)</f>
        <v>16.3002</v>
      </c>
      <c r="M982" s="11">
        <f>16.3055 * CHOOSE(CONTROL!$C$32, $C$9, 100%, $E$9)</f>
        <v>16.305499999999999</v>
      </c>
      <c r="N982" s="11">
        <f>16.3002 * CHOOSE(CONTROL!$C$32, $C$9, 100%, $E$9)</f>
        <v>16.3002</v>
      </c>
      <c r="O982" s="11">
        <f>16.3055 * CHOOSE(CONTROL!$C$32, $C$9, 100%, $E$9)</f>
        <v>16.305499999999999</v>
      </c>
    </row>
    <row r="983" spans="1:15" ht="15" x14ac:dyDescent="0.2">
      <c r="A983" s="13">
        <v>70768</v>
      </c>
      <c r="B983" s="9">
        <f>14.6597 * CHOOSE(CONTROL!$C$32, $C$9, 100%, $E$9)</f>
        <v>14.659700000000001</v>
      </c>
      <c r="C983" s="9">
        <f>14.6597 * CHOOSE(CONTROL!$C$32, $C$9, 100%, $E$9)</f>
        <v>14.659700000000001</v>
      </c>
      <c r="D983" s="9">
        <f>14.6608 * CHOOSE(CONTROL!$C$32, $C$9, 100%, $E$9)</f>
        <v>14.6608</v>
      </c>
      <c r="E983" s="11">
        <f>16.478 * CHOOSE(CONTROL!$C$32, $C$9, 100%, $E$9)</f>
        <v>16.478000000000002</v>
      </c>
      <c r="F983" s="11">
        <f>16.478 * CHOOSE(CONTROL!$C$32, $C$9, 100%, $E$9)</f>
        <v>16.478000000000002</v>
      </c>
      <c r="G983" s="11">
        <f>16.4817 * CHOOSE(CONTROL!$C$32, $C$9, 100%, $E$9)</f>
        <v>16.4817</v>
      </c>
      <c r="H983" s="11">
        <f>33.521 * CHOOSE(CONTROL!$C$32, $C$9, 100%, $E$9)</f>
        <v>33.521000000000001</v>
      </c>
      <c r="I983" s="11">
        <f>33.5246 * CHOOSE(CONTROL!$C$32, $C$9, 100%, $E$9)</f>
        <v>33.5246</v>
      </c>
      <c r="J983" s="11">
        <f>33.521 * CHOOSE(CONTROL!$C$32, $C$9, 100%, $E$9)</f>
        <v>33.521000000000001</v>
      </c>
      <c r="K983" s="11">
        <f>33.5246 * CHOOSE(CONTROL!$C$32, $C$9, 100%, $E$9)</f>
        <v>33.5246</v>
      </c>
      <c r="L983" s="11">
        <f>16.478 * CHOOSE(CONTROL!$C$32, $C$9, 100%, $E$9)</f>
        <v>16.478000000000002</v>
      </c>
      <c r="M983" s="11">
        <f>16.4817 * CHOOSE(CONTROL!$C$32, $C$9, 100%, $E$9)</f>
        <v>16.4817</v>
      </c>
      <c r="N983" s="11">
        <f>16.478 * CHOOSE(CONTROL!$C$32, $C$9, 100%, $E$9)</f>
        <v>16.478000000000002</v>
      </c>
      <c r="O983" s="11">
        <f>16.4817 * CHOOSE(CONTROL!$C$32, $C$9, 100%, $E$9)</f>
        <v>16.4817</v>
      </c>
    </row>
    <row r="984" spans="1:15" ht="15" x14ac:dyDescent="0.2">
      <c r="A984" s="13">
        <v>70799</v>
      </c>
      <c r="B984" s="9">
        <f>14.6627 * CHOOSE(CONTROL!$C$32, $C$9, 100%, $E$9)</f>
        <v>14.662699999999999</v>
      </c>
      <c r="C984" s="9">
        <f>14.6627 * CHOOSE(CONTROL!$C$32, $C$9, 100%, $E$9)</f>
        <v>14.662699999999999</v>
      </c>
      <c r="D984" s="9">
        <f>14.6638 * CHOOSE(CONTROL!$C$32, $C$9, 100%, $E$9)</f>
        <v>14.6638</v>
      </c>
      <c r="E984" s="11">
        <f>16.5758 * CHOOSE(CONTROL!$C$32, $C$9, 100%, $E$9)</f>
        <v>16.575800000000001</v>
      </c>
      <c r="F984" s="11">
        <f>16.5758 * CHOOSE(CONTROL!$C$32, $C$9, 100%, $E$9)</f>
        <v>16.575800000000001</v>
      </c>
      <c r="G984" s="11">
        <f>16.5794 * CHOOSE(CONTROL!$C$32, $C$9, 100%, $E$9)</f>
        <v>16.5794</v>
      </c>
      <c r="H984" s="11">
        <f>33.5908 * CHOOSE(CONTROL!$C$32, $C$9, 100%, $E$9)</f>
        <v>33.590800000000002</v>
      </c>
      <c r="I984" s="11">
        <f>33.5944 * CHOOSE(CONTROL!$C$32, $C$9, 100%, $E$9)</f>
        <v>33.5944</v>
      </c>
      <c r="J984" s="11">
        <f>33.5908 * CHOOSE(CONTROL!$C$32, $C$9, 100%, $E$9)</f>
        <v>33.590800000000002</v>
      </c>
      <c r="K984" s="11">
        <f>33.5944 * CHOOSE(CONTROL!$C$32, $C$9, 100%, $E$9)</f>
        <v>33.5944</v>
      </c>
      <c r="L984" s="11">
        <f>16.5758 * CHOOSE(CONTROL!$C$32, $C$9, 100%, $E$9)</f>
        <v>16.575800000000001</v>
      </c>
      <c r="M984" s="11">
        <f>16.5794 * CHOOSE(CONTROL!$C$32, $C$9, 100%, $E$9)</f>
        <v>16.5794</v>
      </c>
      <c r="N984" s="11">
        <f>16.5758 * CHOOSE(CONTROL!$C$32, $C$9, 100%, $E$9)</f>
        <v>16.575800000000001</v>
      </c>
      <c r="O984" s="11">
        <f>16.5794 * CHOOSE(CONTROL!$C$32, $C$9, 100%, $E$9)</f>
        <v>16.5794</v>
      </c>
    </row>
    <row r="985" spans="1:15" ht="15" x14ac:dyDescent="0.2">
      <c r="A985" s="13">
        <v>70829</v>
      </c>
      <c r="B985" s="9">
        <f>14.6627 * CHOOSE(CONTROL!$C$32, $C$9, 100%, $E$9)</f>
        <v>14.662699999999999</v>
      </c>
      <c r="C985" s="9">
        <f>14.6627 * CHOOSE(CONTROL!$C$32, $C$9, 100%, $E$9)</f>
        <v>14.662699999999999</v>
      </c>
      <c r="D985" s="9">
        <f>14.6638 * CHOOSE(CONTROL!$C$32, $C$9, 100%, $E$9)</f>
        <v>14.6638</v>
      </c>
      <c r="E985" s="11">
        <f>16.3367 * CHOOSE(CONTROL!$C$32, $C$9, 100%, $E$9)</f>
        <v>16.3367</v>
      </c>
      <c r="F985" s="11">
        <f>16.3367 * CHOOSE(CONTROL!$C$32, $C$9, 100%, $E$9)</f>
        <v>16.3367</v>
      </c>
      <c r="G985" s="11">
        <f>16.3403 * CHOOSE(CONTROL!$C$32, $C$9, 100%, $E$9)</f>
        <v>16.340299999999999</v>
      </c>
      <c r="H985" s="11">
        <f>33.6608 * CHOOSE(CONTROL!$C$32, $C$9, 100%, $E$9)</f>
        <v>33.660800000000002</v>
      </c>
      <c r="I985" s="11">
        <f>33.6644 * CHOOSE(CONTROL!$C$32, $C$9, 100%, $E$9)</f>
        <v>33.664400000000001</v>
      </c>
      <c r="J985" s="11">
        <f>33.6608 * CHOOSE(CONTROL!$C$32, $C$9, 100%, $E$9)</f>
        <v>33.660800000000002</v>
      </c>
      <c r="K985" s="11">
        <f>33.6644 * CHOOSE(CONTROL!$C$32, $C$9, 100%, $E$9)</f>
        <v>33.664400000000001</v>
      </c>
      <c r="L985" s="11">
        <f>16.3367 * CHOOSE(CONTROL!$C$32, $C$9, 100%, $E$9)</f>
        <v>16.3367</v>
      </c>
      <c r="M985" s="11">
        <f>16.3403 * CHOOSE(CONTROL!$C$32, $C$9, 100%, $E$9)</f>
        <v>16.340299999999999</v>
      </c>
      <c r="N985" s="11">
        <f>16.3367 * CHOOSE(CONTROL!$C$32, $C$9, 100%, $E$9)</f>
        <v>16.3367</v>
      </c>
      <c r="O985" s="11">
        <f>16.3403 * CHOOSE(CONTROL!$C$32, $C$9, 100%, $E$9)</f>
        <v>16.340299999999999</v>
      </c>
    </row>
    <row r="986" spans="1:15" ht="15" x14ac:dyDescent="0.2">
      <c r="A986" s="13">
        <v>70860</v>
      </c>
      <c r="B986" s="9">
        <f>14.6277 * CHOOSE(CONTROL!$C$32, $C$9, 100%, $E$9)</f>
        <v>14.627700000000001</v>
      </c>
      <c r="C986" s="9">
        <f>14.6277 * CHOOSE(CONTROL!$C$32, $C$9, 100%, $E$9)</f>
        <v>14.627700000000001</v>
      </c>
      <c r="D986" s="9">
        <f>14.6287 * CHOOSE(CONTROL!$C$32, $C$9, 100%, $E$9)</f>
        <v>14.6287</v>
      </c>
      <c r="E986" s="11">
        <f>16.4706 * CHOOSE(CONTROL!$C$32, $C$9, 100%, $E$9)</f>
        <v>16.470600000000001</v>
      </c>
      <c r="F986" s="11">
        <f>16.4706 * CHOOSE(CONTROL!$C$32, $C$9, 100%, $E$9)</f>
        <v>16.470600000000001</v>
      </c>
      <c r="G986" s="11">
        <f>16.4742 * CHOOSE(CONTROL!$C$32, $C$9, 100%, $E$9)</f>
        <v>16.4742</v>
      </c>
      <c r="H986" s="11">
        <f>33.3524 * CHOOSE(CONTROL!$C$32, $C$9, 100%, $E$9)</f>
        <v>33.352400000000003</v>
      </c>
      <c r="I986" s="11">
        <f>33.3561 * CHOOSE(CONTROL!$C$32, $C$9, 100%, $E$9)</f>
        <v>33.356099999999998</v>
      </c>
      <c r="J986" s="11">
        <f>33.3524 * CHOOSE(CONTROL!$C$32, $C$9, 100%, $E$9)</f>
        <v>33.352400000000003</v>
      </c>
      <c r="K986" s="11">
        <f>33.3561 * CHOOSE(CONTROL!$C$32, $C$9, 100%, $E$9)</f>
        <v>33.356099999999998</v>
      </c>
      <c r="L986" s="11">
        <f>16.4706 * CHOOSE(CONTROL!$C$32, $C$9, 100%, $E$9)</f>
        <v>16.470600000000001</v>
      </c>
      <c r="M986" s="11">
        <f>16.4742 * CHOOSE(CONTROL!$C$32, $C$9, 100%, $E$9)</f>
        <v>16.4742</v>
      </c>
      <c r="N986" s="11">
        <f>16.4706 * CHOOSE(CONTROL!$C$32, $C$9, 100%, $E$9)</f>
        <v>16.470600000000001</v>
      </c>
      <c r="O986" s="11">
        <f>16.4742 * CHOOSE(CONTROL!$C$32, $C$9, 100%, $E$9)</f>
        <v>16.4742</v>
      </c>
    </row>
    <row r="987" spans="1:15" ht="15" x14ac:dyDescent="0.2">
      <c r="A987" s="13">
        <v>70891</v>
      </c>
      <c r="B987" s="9">
        <f>14.6246 * CHOOSE(CONTROL!$C$32, $C$9, 100%, $E$9)</f>
        <v>14.624599999999999</v>
      </c>
      <c r="C987" s="9">
        <f>14.6246 * CHOOSE(CONTROL!$C$32, $C$9, 100%, $E$9)</f>
        <v>14.624599999999999</v>
      </c>
      <c r="D987" s="9">
        <f>14.6257 * CHOOSE(CONTROL!$C$32, $C$9, 100%, $E$9)</f>
        <v>14.6257</v>
      </c>
      <c r="E987" s="11">
        <f>16.0095 * CHOOSE(CONTROL!$C$32, $C$9, 100%, $E$9)</f>
        <v>16.009499999999999</v>
      </c>
      <c r="F987" s="11">
        <f>16.0095 * CHOOSE(CONTROL!$C$32, $C$9, 100%, $E$9)</f>
        <v>16.009499999999999</v>
      </c>
      <c r="G987" s="11">
        <f>16.0132 * CHOOSE(CONTROL!$C$32, $C$9, 100%, $E$9)</f>
        <v>16.013200000000001</v>
      </c>
      <c r="H987" s="11">
        <f>33.4219 * CHOOSE(CONTROL!$C$32, $C$9, 100%, $E$9)</f>
        <v>33.421900000000001</v>
      </c>
      <c r="I987" s="11">
        <f>33.4255 * CHOOSE(CONTROL!$C$32, $C$9, 100%, $E$9)</f>
        <v>33.4255</v>
      </c>
      <c r="J987" s="11">
        <f>33.4219 * CHOOSE(CONTROL!$C$32, $C$9, 100%, $E$9)</f>
        <v>33.421900000000001</v>
      </c>
      <c r="K987" s="11">
        <f>33.4255 * CHOOSE(CONTROL!$C$32, $C$9, 100%, $E$9)</f>
        <v>33.4255</v>
      </c>
      <c r="L987" s="11">
        <f>16.0095 * CHOOSE(CONTROL!$C$32, $C$9, 100%, $E$9)</f>
        <v>16.009499999999999</v>
      </c>
      <c r="M987" s="11">
        <f>16.0132 * CHOOSE(CONTROL!$C$32, $C$9, 100%, $E$9)</f>
        <v>16.013200000000001</v>
      </c>
      <c r="N987" s="11">
        <f>16.0095 * CHOOSE(CONTROL!$C$32, $C$9, 100%, $E$9)</f>
        <v>16.009499999999999</v>
      </c>
      <c r="O987" s="11">
        <f>16.0132 * CHOOSE(CONTROL!$C$32, $C$9, 100%, $E$9)</f>
        <v>16.013200000000001</v>
      </c>
    </row>
    <row r="988" spans="1:15" ht="15" x14ac:dyDescent="0.2">
      <c r="A988" s="13">
        <v>70919</v>
      </c>
      <c r="B988" s="9">
        <f>14.6216 * CHOOSE(CONTROL!$C$32, $C$9, 100%, $E$9)</f>
        <v>14.621600000000001</v>
      </c>
      <c r="C988" s="9">
        <f>14.6216 * CHOOSE(CONTROL!$C$32, $C$9, 100%, $E$9)</f>
        <v>14.621600000000001</v>
      </c>
      <c r="D988" s="9">
        <f>14.6227 * CHOOSE(CONTROL!$C$32, $C$9, 100%, $E$9)</f>
        <v>14.6227</v>
      </c>
      <c r="E988" s="11">
        <f>16.3692 * CHOOSE(CONTROL!$C$32, $C$9, 100%, $E$9)</f>
        <v>16.369199999999999</v>
      </c>
      <c r="F988" s="11">
        <f>16.3692 * CHOOSE(CONTROL!$C$32, $C$9, 100%, $E$9)</f>
        <v>16.369199999999999</v>
      </c>
      <c r="G988" s="11">
        <f>16.3729 * CHOOSE(CONTROL!$C$32, $C$9, 100%, $E$9)</f>
        <v>16.372900000000001</v>
      </c>
      <c r="H988" s="11">
        <f>33.4915 * CHOOSE(CONTROL!$C$32, $C$9, 100%, $E$9)</f>
        <v>33.491500000000002</v>
      </c>
      <c r="I988" s="11">
        <f>33.4952 * CHOOSE(CONTROL!$C$32, $C$9, 100%, $E$9)</f>
        <v>33.495199999999997</v>
      </c>
      <c r="J988" s="11">
        <f>33.4915 * CHOOSE(CONTROL!$C$32, $C$9, 100%, $E$9)</f>
        <v>33.491500000000002</v>
      </c>
      <c r="K988" s="11">
        <f>33.4952 * CHOOSE(CONTROL!$C$32, $C$9, 100%, $E$9)</f>
        <v>33.495199999999997</v>
      </c>
      <c r="L988" s="11">
        <f>16.3692 * CHOOSE(CONTROL!$C$32, $C$9, 100%, $E$9)</f>
        <v>16.369199999999999</v>
      </c>
      <c r="M988" s="11">
        <f>16.3729 * CHOOSE(CONTROL!$C$32, $C$9, 100%, $E$9)</f>
        <v>16.372900000000001</v>
      </c>
      <c r="N988" s="11">
        <f>16.3692 * CHOOSE(CONTROL!$C$32, $C$9, 100%, $E$9)</f>
        <v>16.369199999999999</v>
      </c>
      <c r="O988" s="11">
        <f>16.3729 * CHOOSE(CONTROL!$C$32, $C$9, 100%, $E$9)</f>
        <v>16.372900000000001</v>
      </c>
    </row>
    <row r="989" spans="1:15" ht="15" x14ac:dyDescent="0.2">
      <c r="A989" s="13">
        <v>70950</v>
      </c>
      <c r="B989" s="9">
        <f>14.6296 * CHOOSE(CONTROL!$C$32, $C$9, 100%, $E$9)</f>
        <v>14.6296</v>
      </c>
      <c r="C989" s="9">
        <f>14.6296 * CHOOSE(CONTROL!$C$32, $C$9, 100%, $E$9)</f>
        <v>14.6296</v>
      </c>
      <c r="D989" s="9">
        <f>14.6306 * CHOOSE(CONTROL!$C$32, $C$9, 100%, $E$9)</f>
        <v>14.630599999999999</v>
      </c>
      <c r="E989" s="11">
        <f>16.7536 * CHOOSE(CONTROL!$C$32, $C$9, 100%, $E$9)</f>
        <v>16.753599999999999</v>
      </c>
      <c r="F989" s="11">
        <f>16.7536 * CHOOSE(CONTROL!$C$32, $C$9, 100%, $E$9)</f>
        <v>16.753599999999999</v>
      </c>
      <c r="G989" s="11">
        <f>16.7572 * CHOOSE(CONTROL!$C$32, $C$9, 100%, $E$9)</f>
        <v>16.757200000000001</v>
      </c>
      <c r="H989" s="11">
        <f>33.5613 * CHOOSE(CONTROL!$C$32, $C$9, 100%, $E$9)</f>
        <v>33.561300000000003</v>
      </c>
      <c r="I989" s="11">
        <f>33.5649 * CHOOSE(CONTROL!$C$32, $C$9, 100%, $E$9)</f>
        <v>33.564900000000002</v>
      </c>
      <c r="J989" s="11">
        <f>33.5613 * CHOOSE(CONTROL!$C$32, $C$9, 100%, $E$9)</f>
        <v>33.561300000000003</v>
      </c>
      <c r="K989" s="11">
        <f>33.5649 * CHOOSE(CONTROL!$C$32, $C$9, 100%, $E$9)</f>
        <v>33.564900000000002</v>
      </c>
      <c r="L989" s="11">
        <f>16.7536 * CHOOSE(CONTROL!$C$32, $C$9, 100%, $E$9)</f>
        <v>16.753599999999999</v>
      </c>
      <c r="M989" s="11">
        <f>16.7572 * CHOOSE(CONTROL!$C$32, $C$9, 100%, $E$9)</f>
        <v>16.757200000000001</v>
      </c>
      <c r="N989" s="11">
        <f>16.7536 * CHOOSE(CONTROL!$C$32, $C$9, 100%, $E$9)</f>
        <v>16.753599999999999</v>
      </c>
      <c r="O989" s="11">
        <f>16.7572 * CHOOSE(CONTROL!$C$32, $C$9, 100%, $E$9)</f>
        <v>16.757200000000001</v>
      </c>
    </row>
    <row r="990" spans="1:15" ht="15" x14ac:dyDescent="0.2">
      <c r="A990" s="13">
        <v>70980</v>
      </c>
      <c r="B990" s="9">
        <f>14.6296 * CHOOSE(CONTROL!$C$32, $C$9, 100%, $E$9)</f>
        <v>14.6296</v>
      </c>
      <c r="C990" s="9">
        <f>14.6296 * CHOOSE(CONTROL!$C$32, $C$9, 100%, $E$9)</f>
        <v>14.6296</v>
      </c>
      <c r="D990" s="9">
        <f>14.6311 * CHOOSE(CONTROL!$C$32, $C$9, 100%, $E$9)</f>
        <v>14.6311</v>
      </c>
      <c r="E990" s="11">
        <f>16.8993 * CHOOSE(CONTROL!$C$32, $C$9, 100%, $E$9)</f>
        <v>16.8993</v>
      </c>
      <c r="F990" s="11">
        <f>16.8993 * CHOOSE(CONTROL!$C$32, $C$9, 100%, $E$9)</f>
        <v>16.8993</v>
      </c>
      <c r="G990" s="11">
        <f>16.9046 * CHOOSE(CONTROL!$C$32, $C$9, 100%, $E$9)</f>
        <v>16.904599999999999</v>
      </c>
      <c r="H990" s="11">
        <f>33.6312 * CHOOSE(CONTROL!$C$32, $C$9, 100%, $E$9)</f>
        <v>33.6312</v>
      </c>
      <c r="I990" s="11">
        <f>33.6365 * CHOOSE(CONTROL!$C$32, $C$9, 100%, $E$9)</f>
        <v>33.636499999999998</v>
      </c>
      <c r="J990" s="11">
        <f>33.6312 * CHOOSE(CONTROL!$C$32, $C$9, 100%, $E$9)</f>
        <v>33.6312</v>
      </c>
      <c r="K990" s="11">
        <f>33.6365 * CHOOSE(CONTROL!$C$32, $C$9, 100%, $E$9)</f>
        <v>33.636499999999998</v>
      </c>
      <c r="L990" s="11">
        <f>16.8993 * CHOOSE(CONTROL!$C$32, $C$9, 100%, $E$9)</f>
        <v>16.8993</v>
      </c>
      <c r="M990" s="11">
        <f>16.9046 * CHOOSE(CONTROL!$C$32, $C$9, 100%, $E$9)</f>
        <v>16.904599999999999</v>
      </c>
      <c r="N990" s="11">
        <f>16.8993 * CHOOSE(CONTROL!$C$32, $C$9, 100%, $E$9)</f>
        <v>16.8993</v>
      </c>
      <c r="O990" s="11">
        <f>16.9046 * CHOOSE(CONTROL!$C$32, $C$9, 100%, $E$9)</f>
        <v>16.904599999999999</v>
      </c>
    </row>
    <row r="991" spans="1:15" ht="15" x14ac:dyDescent="0.2">
      <c r="A991" s="13">
        <v>71011</v>
      </c>
      <c r="B991" s="9">
        <f>14.6356 * CHOOSE(CONTROL!$C$32, $C$9, 100%, $E$9)</f>
        <v>14.6356</v>
      </c>
      <c r="C991" s="9">
        <f>14.6356 * CHOOSE(CONTROL!$C$32, $C$9, 100%, $E$9)</f>
        <v>14.6356</v>
      </c>
      <c r="D991" s="9">
        <f>14.6372 * CHOOSE(CONTROL!$C$32, $C$9, 100%, $E$9)</f>
        <v>14.6372</v>
      </c>
      <c r="E991" s="11">
        <f>16.7578 * CHOOSE(CONTROL!$C$32, $C$9, 100%, $E$9)</f>
        <v>16.7578</v>
      </c>
      <c r="F991" s="11">
        <f>16.7578 * CHOOSE(CONTROL!$C$32, $C$9, 100%, $E$9)</f>
        <v>16.7578</v>
      </c>
      <c r="G991" s="11">
        <f>16.7631 * CHOOSE(CONTROL!$C$32, $C$9, 100%, $E$9)</f>
        <v>16.763100000000001</v>
      </c>
      <c r="H991" s="11">
        <f>33.7013 * CHOOSE(CONTROL!$C$32, $C$9, 100%, $E$9)</f>
        <v>33.701300000000003</v>
      </c>
      <c r="I991" s="11">
        <f>33.7066 * CHOOSE(CONTROL!$C$32, $C$9, 100%, $E$9)</f>
        <v>33.706600000000002</v>
      </c>
      <c r="J991" s="11">
        <f>33.7013 * CHOOSE(CONTROL!$C$32, $C$9, 100%, $E$9)</f>
        <v>33.701300000000003</v>
      </c>
      <c r="K991" s="11">
        <f>33.7066 * CHOOSE(CONTROL!$C$32, $C$9, 100%, $E$9)</f>
        <v>33.706600000000002</v>
      </c>
      <c r="L991" s="11">
        <f>16.7578 * CHOOSE(CONTROL!$C$32, $C$9, 100%, $E$9)</f>
        <v>16.7578</v>
      </c>
      <c r="M991" s="11">
        <f>16.7631 * CHOOSE(CONTROL!$C$32, $C$9, 100%, $E$9)</f>
        <v>16.763100000000001</v>
      </c>
      <c r="N991" s="11">
        <f>16.7578 * CHOOSE(CONTROL!$C$32, $C$9, 100%, $E$9)</f>
        <v>16.7578</v>
      </c>
      <c r="O991" s="11">
        <f>16.7631 * CHOOSE(CONTROL!$C$32, $C$9, 100%, $E$9)</f>
        <v>16.763100000000001</v>
      </c>
    </row>
    <row r="992" spans="1:15" ht="15" x14ac:dyDescent="0.2">
      <c r="A992" s="13">
        <v>71041</v>
      </c>
      <c r="B992" s="9">
        <f>14.8109 * CHOOSE(CONTROL!$C$32, $C$9, 100%, $E$9)</f>
        <v>14.8109</v>
      </c>
      <c r="C992" s="9">
        <f>14.8109 * CHOOSE(CONTROL!$C$32, $C$9, 100%, $E$9)</f>
        <v>14.8109</v>
      </c>
      <c r="D992" s="9">
        <f>14.8124 * CHOOSE(CONTROL!$C$32, $C$9, 100%, $E$9)</f>
        <v>14.8124</v>
      </c>
      <c r="E992" s="11">
        <f>16.996 * CHOOSE(CONTROL!$C$32, $C$9, 100%, $E$9)</f>
        <v>16.995999999999999</v>
      </c>
      <c r="F992" s="11">
        <f>16.996 * CHOOSE(CONTROL!$C$32, $C$9, 100%, $E$9)</f>
        <v>16.995999999999999</v>
      </c>
      <c r="G992" s="11">
        <f>17.0013 * CHOOSE(CONTROL!$C$32, $C$9, 100%, $E$9)</f>
        <v>17.001300000000001</v>
      </c>
      <c r="H992" s="11">
        <f>33.7715 * CHOOSE(CONTROL!$C$32, $C$9, 100%, $E$9)</f>
        <v>33.771500000000003</v>
      </c>
      <c r="I992" s="11">
        <f>33.7768 * CHOOSE(CONTROL!$C$32, $C$9, 100%, $E$9)</f>
        <v>33.776800000000001</v>
      </c>
      <c r="J992" s="11">
        <f>33.7715 * CHOOSE(CONTROL!$C$32, $C$9, 100%, $E$9)</f>
        <v>33.771500000000003</v>
      </c>
      <c r="K992" s="11">
        <f>33.7768 * CHOOSE(CONTROL!$C$32, $C$9, 100%, $E$9)</f>
        <v>33.776800000000001</v>
      </c>
      <c r="L992" s="11">
        <f>16.996 * CHOOSE(CONTROL!$C$32, $C$9, 100%, $E$9)</f>
        <v>16.995999999999999</v>
      </c>
      <c r="M992" s="11">
        <f>17.0013 * CHOOSE(CONTROL!$C$32, $C$9, 100%, $E$9)</f>
        <v>17.001300000000001</v>
      </c>
      <c r="N992" s="11">
        <f>16.996 * CHOOSE(CONTROL!$C$32, $C$9, 100%, $E$9)</f>
        <v>16.995999999999999</v>
      </c>
      <c r="O992" s="11">
        <f>17.0013 * CHOOSE(CONTROL!$C$32, $C$9, 100%, $E$9)</f>
        <v>17.001300000000001</v>
      </c>
    </row>
    <row r="993" spans="1:15" ht="15" x14ac:dyDescent="0.2">
      <c r="A993" s="13">
        <v>71072</v>
      </c>
      <c r="B993" s="9">
        <f>14.8175 * CHOOSE(CONTROL!$C$32, $C$9, 100%, $E$9)</f>
        <v>14.817500000000001</v>
      </c>
      <c r="C993" s="9">
        <f>14.8175 * CHOOSE(CONTROL!$C$32, $C$9, 100%, $E$9)</f>
        <v>14.817500000000001</v>
      </c>
      <c r="D993" s="9">
        <f>14.8191 * CHOOSE(CONTROL!$C$32, $C$9, 100%, $E$9)</f>
        <v>14.819100000000001</v>
      </c>
      <c r="E993" s="11">
        <f>16.5635 * CHOOSE(CONTROL!$C$32, $C$9, 100%, $E$9)</f>
        <v>16.563500000000001</v>
      </c>
      <c r="F993" s="11">
        <f>16.5635 * CHOOSE(CONTROL!$C$32, $C$9, 100%, $E$9)</f>
        <v>16.563500000000001</v>
      </c>
      <c r="G993" s="11">
        <f>16.5688 * CHOOSE(CONTROL!$C$32, $C$9, 100%, $E$9)</f>
        <v>16.5688</v>
      </c>
      <c r="H993" s="11">
        <f>33.8419 * CHOOSE(CONTROL!$C$32, $C$9, 100%, $E$9)</f>
        <v>33.841900000000003</v>
      </c>
      <c r="I993" s="11">
        <f>33.8472 * CHOOSE(CONTROL!$C$32, $C$9, 100%, $E$9)</f>
        <v>33.847200000000001</v>
      </c>
      <c r="J993" s="11">
        <f>33.8419 * CHOOSE(CONTROL!$C$32, $C$9, 100%, $E$9)</f>
        <v>33.841900000000003</v>
      </c>
      <c r="K993" s="11">
        <f>33.8472 * CHOOSE(CONTROL!$C$32, $C$9, 100%, $E$9)</f>
        <v>33.847200000000001</v>
      </c>
      <c r="L993" s="11">
        <f>16.5635 * CHOOSE(CONTROL!$C$32, $C$9, 100%, $E$9)</f>
        <v>16.563500000000001</v>
      </c>
      <c r="M993" s="11">
        <f>16.5688 * CHOOSE(CONTROL!$C$32, $C$9, 100%, $E$9)</f>
        <v>16.5688</v>
      </c>
      <c r="N993" s="11">
        <f>16.5635 * CHOOSE(CONTROL!$C$32, $C$9, 100%, $E$9)</f>
        <v>16.563500000000001</v>
      </c>
      <c r="O993" s="11">
        <f>16.5688 * CHOOSE(CONTROL!$C$32, $C$9, 100%, $E$9)</f>
        <v>16.5688</v>
      </c>
    </row>
    <row r="994" spans="1:15" ht="15" x14ac:dyDescent="0.2">
      <c r="A994" s="13">
        <v>71103</v>
      </c>
      <c r="B994" s="9">
        <f>14.8145 * CHOOSE(CONTROL!$C$32, $C$9, 100%, $E$9)</f>
        <v>14.814500000000001</v>
      </c>
      <c r="C994" s="9">
        <f>14.8145 * CHOOSE(CONTROL!$C$32, $C$9, 100%, $E$9)</f>
        <v>14.814500000000001</v>
      </c>
      <c r="D994" s="9">
        <f>14.8161 * CHOOSE(CONTROL!$C$32, $C$9, 100%, $E$9)</f>
        <v>14.8161</v>
      </c>
      <c r="E994" s="11">
        <f>16.5129 * CHOOSE(CONTROL!$C$32, $C$9, 100%, $E$9)</f>
        <v>16.512899999999998</v>
      </c>
      <c r="F994" s="11">
        <f>16.5129 * CHOOSE(CONTROL!$C$32, $C$9, 100%, $E$9)</f>
        <v>16.512899999999998</v>
      </c>
      <c r="G994" s="11">
        <f>16.5181 * CHOOSE(CONTROL!$C$32, $C$9, 100%, $E$9)</f>
        <v>16.5181</v>
      </c>
      <c r="H994" s="11">
        <f>33.9124 * CHOOSE(CONTROL!$C$32, $C$9, 100%, $E$9)</f>
        <v>33.912399999999998</v>
      </c>
      <c r="I994" s="11">
        <f>33.9177 * CHOOSE(CONTROL!$C$32, $C$9, 100%, $E$9)</f>
        <v>33.917700000000004</v>
      </c>
      <c r="J994" s="11">
        <f>33.9124 * CHOOSE(CONTROL!$C$32, $C$9, 100%, $E$9)</f>
        <v>33.912399999999998</v>
      </c>
      <c r="K994" s="11">
        <f>33.9177 * CHOOSE(CONTROL!$C$32, $C$9, 100%, $E$9)</f>
        <v>33.917700000000004</v>
      </c>
      <c r="L994" s="11">
        <f>16.5129 * CHOOSE(CONTROL!$C$32, $C$9, 100%, $E$9)</f>
        <v>16.512899999999998</v>
      </c>
      <c r="M994" s="11">
        <f>16.5181 * CHOOSE(CONTROL!$C$32, $C$9, 100%, $E$9)</f>
        <v>16.5181</v>
      </c>
      <c r="N994" s="11">
        <f>16.5129 * CHOOSE(CONTROL!$C$32, $C$9, 100%, $E$9)</f>
        <v>16.512899999999998</v>
      </c>
      <c r="O994" s="11">
        <f>16.5181 * CHOOSE(CONTROL!$C$32, $C$9, 100%, $E$9)</f>
        <v>16.5181</v>
      </c>
    </row>
    <row r="995" spans="1:15" ht="15" x14ac:dyDescent="0.2">
      <c r="A995" s="13">
        <v>71133</v>
      </c>
      <c r="B995" s="9">
        <f>14.85 * CHOOSE(CONTROL!$C$32, $C$9, 100%, $E$9)</f>
        <v>14.85</v>
      </c>
      <c r="C995" s="9">
        <f>14.85 * CHOOSE(CONTROL!$C$32, $C$9, 100%, $E$9)</f>
        <v>14.85</v>
      </c>
      <c r="D995" s="9">
        <f>14.8511 * CHOOSE(CONTROL!$C$32, $C$9, 100%, $E$9)</f>
        <v>14.851100000000001</v>
      </c>
      <c r="E995" s="11">
        <f>16.6937 * CHOOSE(CONTROL!$C$32, $C$9, 100%, $E$9)</f>
        <v>16.6937</v>
      </c>
      <c r="F995" s="11">
        <f>16.6937 * CHOOSE(CONTROL!$C$32, $C$9, 100%, $E$9)</f>
        <v>16.6937</v>
      </c>
      <c r="G995" s="11">
        <f>16.6973 * CHOOSE(CONTROL!$C$32, $C$9, 100%, $E$9)</f>
        <v>16.697299999999998</v>
      </c>
      <c r="H995" s="11">
        <f>33.983 * CHOOSE(CONTROL!$C$32, $C$9, 100%, $E$9)</f>
        <v>33.982999999999997</v>
      </c>
      <c r="I995" s="11">
        <f>33.9866 * CHOOSE(CONTROL!$C$32, $C$9, 100%, $E$9)</f>
        <v>33.986600000000003</v>
      </c>
      <c r="J995" s="11">
        <f>33.983 * CHOOSE(CONTROL!$C$32, $C$9, 100%, $E$9)</f>
        <v>33.982999999999997</v>
      </c>
      <c r="K995" s="11">
        <f>33.9866 * CHOOSE(CONTROL!$C$32, $C$9, 100%, $E$9)</f>
        <v>33.986600000000003</v>
      </c>
      <c r="L995" s="11">
        <f>16.6937 * CHOOSE(CONTROL!$C$32, $C$9, 100%, $E$9)</f>
        <v>16.6937</v>
      </c>
      <c r="M995" s="11">
        <f>16.6973 * CHOOSE(CONTROL!$C$32, $C$9, 100%, $E$9)</f>
        <v>16.697299999999998</v>
      </c>
      <c r="N995" s="11">
        <f>16.6937 * CHOOSE(CONTROL!$C$32, $C$9, 100%, $E$9)</f>
        <v>16.6937</v>
      </c>
      <c r="O995" s="11">
        <f>16.6973 * CHOOSE(CONTROL!$C$32, $C$9, 100%, $E$9)</f>
        <v>16.697299999999998</v>
      </c>
    </row>
    <row r="996" spans="1:15" ht="15" x14ac:dyDescent="0.2">
      <c r="A996" s="13">
        <v>71164</v>
      </c>
      <c r="B996" s="9">
        <f>14.8531 * CHOOSE(CONTROL!$C$32, $C$9, 100%, $E$9)</f>
        <v>14.8531</v>
      </c>
      <c r="C996" s="9">
        <f>14.8531 * CHOOSE(CONTROL!$C$32, $C$9, 100%, $E$9)</f>
        <v>14.8531</v>
      </c>
      <c r="D996" s="9">
        <f>14.8541 * CHOOSE(CONTROL!$C$32, $C$9, 100%, $E$9)</f>
        <v>14.854100000000001</v>
      </c>
      <c r="E996" s="11">
        <f>16.793 * CHOOSE(CONTROL!$C$32, $C$9, 100%, $E$9)</f>
        <v>16.792999999999999</v>
      </c>
      <c r="F996" s="11">
        <f>16.793 * CHOOSE(CONTROL!$C$32, $C$9, 100%, $E$9)</f>
        <v>16.792999999999999</v>
      </c>
      <c r="G996" s="11">
        <f>16.7966 * CHOOSE(CONTROL!$C$32, $C$9, 100%, $E$9)</f>
        <v>16.796600000000002</v>
      </c>
      <c r="H996" s="11">
        <f>34.0538 * CHOOSE(CONTROL!$C$32, $C$9, 100%, $E$9)</f>
        <v>34.053800000000003</v>
      </c>
      <c r="I996" s="11">
        <f>34.0574 * CHOOSE(CONTROL!$C$32, $C$9, 100%, $E$9)</f>
        <v>34.057400000000001</v>
      </c>
      <c r="J996" s="11">
        <f>34.0538 * CHOOSE(CONTROL!$C$32, $C$9, 100%, $E$9)</f>
        <v>34.053800000000003</v>
      </c>
      <c r="K996" s="11">
        <f>34.0574 * CHOOSE(CONTROL!$C$32, $C$9, 100%, $E$9)</f>
        <v>34.057400000000001</v>
      </c>
      <c r="L996" s="11">
        <f>16.793 * CHOOSE(CONTROL!$C$32, $C$9, 100%, $E$9)</f>
        <v>16.792999999999999</v>
      </c>
      <c r="M996" s="11">
        <f>16.7966 * CHOOSE(CONTROL!$C$32, $C$9, 100%, $E$9)</f>
        <v>16.796600000000002</v>
      </c>
      <c r="N996" s="11">
        <f>16.793 * CHOOSE(CONTROL!$C$32, $C$9, 100%, $E$9)</f>
        <v>16.792999999999999</v>
      </c>
      <c r="O996" s="11">
        <f>16.7966 * CHOOSE(CONTROL!$C$32, $C$9, 100%, $E$9)</f>
        <v>16.796600000000002</v>
      </c>
    </row>
    <row r="997" spans="1:15" ht="15" x14ac:dyDescent="0.2">
      <c r="A997" s="13">
        <v>71194</v>
      </c>
      <c r="B997" s="9">
        <f>14.8531 * CHOOSE(CONTROL!$C$32, $C$9, 100%, $E$9)</f>
        <v>14.8531</v>
      </c>
      <c r="C997" s="9">
        <f>14.8531 * CHOOSE(CONTROL!$C$32, $C$9, 100%, $E$9)</f>
        <v>14.8531</v>
      </c>
      <c r="D997" s="9">
        <f>14.8541 * CHOOSE(CONTROL!$C$32, $C$9, 100%, $E$9)</f>
        <v>14.854100000000001</v>
      </c>
      <c r="E997" s="11">
        <f>16.5501 * CHOOSE(CONTROL!$C$32, $C$9, 100%, $E$9)</f>
        <v>16.5501</v>
      </c>
      <c r="F997" s="11">
        <f>16.5501 * CHOOSE(CONTROL!$C$32, $C$9, 100%, $E$9)</f>
        <v>16.5501</v>
      </c>
      <c r="G997" s="11">
        <f>16.5537 * CHOOSE(CONTROL!$C$32, $C$9, 100%, $E$9)</f>
        <v>16.553699999999999</v>
      </c>
      <c r="H997" s="11">
        <f>34.1248 * CHOOSE(CONTROL!$C$32, $C$9, 100%, $E$9)</f>
        <v>34.1248</v>
      </c>
      <c r="I997" s="11">
        <f>34.1284 * CHOOSE(CONTROL!$C$32, $C$9, 100%, $E$9)</f>
        <v>34.128399999999999</v>
      </c>
      <c r="J997" s="11">
        <f>34.1248 * CHOOSE(CONTROL!$C$32, $C$9, 100%, $E$9)</f>
        <v>34.1248</v>
      </c>
      <c r="K997" s="11">
        <f>34.1284 * CHOOSE(CONTROL!$C$32, $C$9, 100%, $E$9)</f>
        <v>34.128399999999999</v>
      </c>
      <c r="L997" s="11">
        <f>16.5501 * CHOOSE(CONTROL!$C$32, $C$9, 100%, $E$9)</f>
        <v>16.5501</v>
      </c>
      <c r="M997" s="11">
        <f>16.5537 * CHOOSE(CONTROL!$C$32, $C$9, 100%, $E$9)</f>
        <v>16.553699999999999</v>
      </c>
      <c r="N997" s="11">
        <f>16.5501 * CHOOSE(CONTROL!$C$32, $C$9, 100%, $E$9)</f>
        <v>16.5501</v>
      </c>
      <c r="O997" s="11">
        <f>16.5537 * CHOOSE(CONTROL!$C$32, $C$9, 100%, $E$9)</f>
        <v>16.553699999999999</v>
      </c>
    </row>
    <row r="998" spans="1:15" ht="15" x14ac:dyDescent="0.2">
      <c r="A998" s="13">
        <v>71225</v>
      </c>
      <c r="B998" s="9">
        <f>14.815 * CHOOSE(CONTROL!$C$32, $C$9, 100%, $E$9)</f>
        <v>14.815</v>
      </c>
      <c r="C998" s="9">
        <f>14.815 * CHOOSE(CONTROL!$C$32, $C$9, 100%, $E$9)</f>
        <v>14.815</v>
      </c>
      <c r="D998" s="9">
        <f>14.8161 * CHOOSE(CONTROL!$C$32, $C$9, 100%, $E$9)</f>
        <v>14.8161</v>
      </c>
      <c r="E998" s="11">
        <f>16.6831 * CHOOSE(CONTROL!$C$32, $C$9, 100%, $E$9)</f>
        <v>16.6831</v>
      </c>
      <c r="F998" s="11">
        <f>16.6831 * CHOOSE(CONTROL!$C$32, $C$9, 100%, $E$9)</f>
        <v>16.6831</v>
      </c>
      <c r="G998" s="11">
        <f>16.6867 * CHOOSE(CONTROL!$C$32, $C$9, 100%, $E$9)</f>
        <v>16.686699999999998</v>
      </c>
      <c r="H998" s="11">
        <f>33.8059 * CHOOSE(CONTROL!$C$32, $C$9, 100%, $E$9)</f>
        <v>33.805900000000001</v>
      </c>
      <c r="I998" s="11">
        <f>33.8096 * CHOOSE(CONTROL!$C$32, $C$9, 100%, $E$9)</f>
        <v>33.809600000000003</v>
      </c>
      <c r="J998" s="11">
        <f>33.8059 * CHOOSE(CONTROL!$C$32, $C$9, 100%, $E$9)</f>
        <v>33.805900000000001</v>
      </c>
      <c r="K998" s="11">
        <f>33.8096 * CHOOSE(CONTROL!$C$32, $C$9, 100%, $E$9)</f>
        <v>33.809600000000003</v>
      </c>
      <c r="L998" s="11">
        <f>16.6831 * CHOOSE(CONTROL!$C$32, $C$9, 100%, $E$9)</f>
        <v>16.6831</v>
      </c>
      <c r="M998" s="11">
        <f>16.6867 * CHOOSE(CONTROL!$C$32, $C$9, 100%, $E$9)</f>
        <v>16.686699999999998</v>
      </c>
      <c r="N998" s="11">
        <f>16.6831 * CHOOSE(CONTROL!$C$32, $C$9, 100%, $E$9)</f>
        <v>16.6831</v>
      </c>
      <c r="O998" s="11">
        <f>16.6867 * CHOOSE(CONTROL!$C$32, $C$9, 100%, $E$9)</f>
        <v>16.686699999999998</v>
      </c>
    </row>
    <row r="999" spans="1:15" ht="15" x14ac:dyDescent="0.2">
      <c r="A999" s="13">
        <v>71256</v>
      </c>
      <c r="B999" s="9">
        <f>14.812 * CHOOSE(CONTROL!$C$32, $C$9, 100%, $E$9)</f>
        <v>14.811999999999999</v>
      </c>
      <c r="C999" s="9">
        <f>14.812 * CHOOSE(CONTROL!$C$32, $C$9, 100%, $E$9)</f>
        <v>14.811999999999999</v>
      </c>
      <c r="D999" s="9">
        <f>14.8131 * CHOOSE(CONTROL!$C$32, $C$9, 100%, $E$9)</f>
        <v>14.8131</v>
      </c>
      <c r="E999" s="11">
        <f>16.215 * CHOOSE(CONTROL!$C$32, $C$9, 100%, $E$9)</f>
        <v>16.215</v>
      </c>
      <c r="F999" s="11">
        <f>16.215 * CHOOSE(CONTROL!$C$32, $C$9, 100%, $E$9)</f>
        <v>16.215</v>
      </c>
      <c r="G999" s="11">
        <f>16.2186 * CHOOSE(CONTROL!$C$32, $C$9, 100%, $E$9)</f>
        <v>16.218599999999999</v>
      </c>
      <c r="H999" s="11">
        <f>33.8764 * CHOOSE(CONTROL!$C$32, $C$9, 100%, $E$9)</f>
        <v>33.876399999999997</v>
      </c>
      <c r="I999" s="11">
        <f>33.88 * CHOOSE(CONTROL!$C$32, $C$9, 100%, $E$9)</f>
        <v>33.880000000000003</v>
      </c>
      <c r="J999" s="11">
        <f>33.8764 * CHOOSE(CONTROL!$C$32, $C$9, 100%, $E$9)</f>
        <v>33.876399999999997</v>
      </c>
      <c r="K999" s="11">
        <f>33.88 * CHOOSE(CONTROL!$C$32, $C$9, 100%, $E$9)</f>
        <v>33.880000000000003</v>
      </c>
      <c r="L999" s="11">
        <f>16.215 * CHOOSE(CONTROL!$C$32, $C$9, 100%, $E$9)</f>
        <v>16.215</v>
      </c>
      <c r="M999" s="11">
        <f>16.2186 * CHOOSE(CONTROL!$C$32, $C$9, 100%, $E$9)</f>
        <v>16.218599999999999</v>
      </c>
      <c r="N999" s="11">
        <f>16.215 * CHOOSE(CONTROL!$C$32, $C$9, 100%, $E$9)</f>
        <v>16.215</v>
      </c>
      <c r="O999" s="11">
        <f>16.2186 * CHOOSE(CONTROL!$C$32, $C$9, 100%, $E$9)</f>
        <v>16.218599999999999</v>
      </c>
    </row>
    <row r="1000" spans="1:15" ht="15" x14ac:dyDescent="0.2">
      <c r="A1000" s="13">
        <v>71284</v>
      </c>
      <c r="B1000" s="9">
        <f>14.8089 * CHOOSE(CONTROL!$C$32, $C$9, 100%, $E$9)</f>
        <v>14.8089</v>
      </c>
      <c r="C1000" s="9">
        <f>14.8089 * CHOOSE(CONTROL!$C$32, $C$9, 100%, $E$9)</f>
        <v>14.8089</v>
      </c>
      <c r="D1000" s="9">
        <f>14.81 * CHOOSE(CONTROL!$C$32, $C$9, 100%, $E$9)</f>
        <v>14.81</v>
      </c>
      <c r="E1000" s="11">
        <f>16.5802 * CHOOSE(CONTROL!$C$32, $C$9, 100%, $E$9)</f>
        <v>16.580200000000001</v>
      </c>
      <c r="F1000" s="11">
        <f>16.5802 * CHOOSE(CONTROL!$C$32, $C$9, 100%, $E$9)</f>
        <v>16.580200000000001</v>
      </c>
      <c r="G1000" s="11">
        <f>16.5839 * CHOOSE(CONTROL!$C$32, $C$9, 100%, $E$9)</f>
        <v>16.5839</v>
      </c>
      <c r="H1000" s="11">
        <f>33.9469 * CHOOSE(CONTROL!$C$32, $C$9, 100%, $E$9)</f>
        <v>33.946899999999999</v>
      </c>
      <c r="I1000" s="11">
        <f>33.9506 * CHOOSE(CONTROL!$C$32, $C$9, 100%, $E$9)</f>
        <v>33.950600000000001</v>
      </c>
      <c r="J1000" s="11">
        <f>33.9469 * CHOOSE(CONTROL!$C$32, $C$9, 100%, $E$9)</f>
        <v>33.946899999999999</v>
      </c>
      <c r="K1000" s="11">
        <f>33.9506 * CHOOSE(CONTROL!$C$32, $C$9, 100%, $E$9)</f>
        <v>33.950600000000001</v>
      </c>
      <c r="L1000" s="11">
        <f>16.5802 * CHOOSE(CONTROL!$C$32, $C$9, 100%, $E$9)</f>
        <v>16.580200000000001</v>
      </c>
      <c r="M1000" s="11">
        <f>16.5839 * CHOOSE(CONTROL!$C$32, $C$9, 100%, $E$9)</f>
        <v>16.5839</v>
      </c>
      <c r="N1000" s="11">
        <f>16.5802 * CHOOSE(CONTROL!$C$32, $C$9, 100%, $E$9)</f>
        <v>16.580200000000001</v>
      </c>
      <c r="O1000" s="11">
        <f>16.5839 * CHOOSE(CONTROL!$C$32, $C$9, 100%, $E$9)</f>
        <v>16.5839</v>
      </c>
    </row>
    <row r="1001" spans="1:15" ht="15" x14ac:dyDescent="0.2">
      <c r="A1001" s="13">
        <v>71315</v>
      </c>
      <c r="B1001" s="9">
        <f>14.8171 * CHOOSE(CONTROL!$C$32, $C$9, 100%, $E$9)</f>
        <v>14.8171</v>
      </c>
      <c r="C1001" s="9">
        <f>14.8171 * CHOOSE(CONTROL!$C$32, $C$9, 100%, $E$9)</f>
        <v>14.8171</v>
      </c>
      <c r="D1001" s="9">
        <f>14.8182 * CHOOSE(CONTROL!$C$32, $C$9, 100%, $E$9)</f>
        <v>14.818199999999999</v>
      </c>
      <c r="E1001" s="11">
        <f>16.9706 * CHOOSE(CONTROL!$C$32, $C$9, 100%, $E$9)</f>
        <v>16.970600000000001</v>
      </c>
      <c r="F1001" s="11">
        <f>16.9706 * CHOOSE(CONTROL!$C$32, $C$9, 100%, $E$9)</f>
        <v>16.970600000000001</v>
      </c>
      <c r="G1001" s="11">
        <f>16.9742 * CHOOSE(CONTROL!$C$32, $C$9, 100%, $E$9)</f>
        <v>16.9742</v>
      </c>
      <c r="H1001" s="11">
        <f>34.0177 * CHOOSE(CONTROL!$C$32, $C$9, 100%, $E$9)</f>
        <v>34.017699999999998</v>
      </c>
      <c r="I1001" s="11">
        <f>34.0213 * CHOOSE(CONTROL!$C$32, $C$9, 100%, $E$9)</f>
        <v>34.021299999999997</v>
      </c>
      <c r="J1001" s="11">
        <f>34.0177 * CHOOSE(CONTROL!$C$32, $C$9, 100%, $E$9)</f>
        <v>34.017699999999998</v>
      </c>
      <c r="K1001" s="11">
        <f>34.0213 * CHOOSE(CONTROL!$C$32, $C$9, 100%, $E$9)</f>
        <v>34.021299999999997</v>
      </c>
      <c r="L1001" s="11">
        <f>16.9706 * CHOOSE(CONTROL!$C$32, $C$9, 100%, $E$9)</f>
        <v>16.970600000000001</v>
      </c>
      <c r="M1001" s="11">
        <f>16.9742 * CHOOSE(CONTROL!$C$32, $C$9, 100%, $E$9)</f>
        <v>16.9742</v>
      </c>
      <c r="N1001" s="11">
        <f>16.9706 * CHOOSE(CONTROL!$C$32, $C$9, 100%, $E$9)</f>
        <v>16.970600000000001</v>
      </c>
      <c r="O1001" s="11">
        <f>16.9742 * CHOOSE(CONTROL!$C$32, $C$9, 100%, $E$9)</f>
        <v>16.9742</v>
      </c>
    </row>
    <row r="1002" spans="1:15" ht="15" x14ac:dyDescent="0.2">
      <c r="A1002" s="13">
        <v>71345</v>
      </c>
      <c r="B1002" s="9">
        <f>14.8171 * CHOOSE(CONTROL!$C$32, $C$9, 100%, $E$9)</f>
        <v>14.8171</v>
      </c>
      <c r="C1002" s="9">
        <f>14.8171 * CHOOSE(CONTROL!$C$32, $C$9, 100%, $E$9)</f>
        <v>14.8171</v>
      </c>
      <c r="D1002" s="9">
        <f>14.8187 * CHOOSE(CONTROL!$C$32, $C$9, 100%, $E$9)</f>
        <v>14.8187</v>
      </c>
      <c r="E1002" s="11">
        <f>17.1185 * CHOOSE(CONTROL!$C$32, $C$9, 100%, $E$9)</f>
        <v>17.118500000000001</v>
      </c>
      <c r="F1002" s="11">
        <f>17.1185 * CHOOSE(CONTROL!$C$32, $C$9, 100%, $E$9)</f>
        <v>17.118500000000001</v>
      </c>
      <c r="G1002" s="11">
        <f>17.1238 * CHOOSE(CONTROL!$C$32, $C$9, 100%, $E$9)</f>
        <v>17.123799999999999</v>
      </c>
      <c r="H1002" s="11">
        <f>34.0885 * CHOOSE(CONTROL!$C$32, $C$9, 100%, $E$9)</f>
        <v>34.088500000000003</v>
      </c>
      <c r="I1002" s="11">
        <f>34.0938 * CHOOSE(CONTROL!$C$32, $C$9, 100%, $E$9)</f>
        <v>34.093800000000002</v>
      </c>
      <c r="J1002" s="11">
        <f>34.0885 * CHOOSE(CONTROL!$C$32, $C$9, 100%, $E$9)</f>
        <v>34.088500000000003</v>
      </c>
      <c r="K1002" s="11">
        <f>34.0938 * CHOOSE(CONTROL!$C$32, $C$9, 100%, $E$9)</f>
        <v>34.093800000000002</v>
      </c>
      <c r="L1002" s="11">
        <f>17.1185 * CHOOSE(CONTROL!$C$32, $C$9, 100%, $E$9)</f>
        <v>17.118500000000001</v>
      </c>
      <c r="M1002" s="11">
        <f>17.1238 * CHOOSE(CONTROL!$C$32, $C$9, 100%, $E$9)</f>
        <v>17.123799999999999</v>
      </c>
      <c r="N1002" s="11">
        <f>17.1185 * CHOOSE(CONTROL!$C$32, $C$9, 100%, $E$9)</f>
        <v>17.118500000000001</v>
      </c>
      <c r="O1002" s="11">
        <f>17.1238 * CHOOSE(CONTROL!$C$32, $C$9, 100%, $E$9)</f>
        <v>17.123799999999999</v>
      </c>
    </row>
    <row r="1003" spans="1:15" ht="15" x14ac:dyDescent="0.2">
      <c r="A1003" s="13">
        <v>71376</v>
      </c>
      <c r="B1003" s="9">
        <f>14.8232 * CHOOSE(CONTROL!$C$32, $C$9, 100%, $E$9)</f>
        <v>14.8232</v>
      </c>
      <c r="C1003" s="9">
        <f>14.8232 * CHOOSE(CONTROL!$C$32, $C$9, 100%, $E$9)</f>
        <v>14.8232</v>
      </c>
      <c r="D1003" s="9">
        <f>14.8248 * CHOOSE(CONTROL!$C$32, $C$9, 100%, $E$9)</f>
        <v>14.8248</v>
      </c>
      <c r="E1003" s="11">
        <f>16.9748 * CHOOSE(CONTROL!$C$32, $C$9, 100%, $E$9)</f>
        <v>16.974799999999998</v>
      </c>
      <c r="F1003" s="11">
        <f>16.9748 * CHOOSE(CONTROL!$C$32, $C$9, 100%, $E$9)</f>
        <v>16.974799999999998</v>
      </c>
      <c r="G1003" s="11">
        <f>16.9801 * CHOOSE(CONTROL!$C$32, $C$9, 100%, $E$9)</f>
        <v>16.9801</v>
      </c>
      <c r="H1003" s="11">
        <f>34.1596 * CHOOSE(CONTROL!$C$32, $C$9, 100%, $E$9)</f>
        <v>34.159599999999998</v>
      </c>
      <c r="I1003" s="11">
        <f>34.1649 * CHOOSE(CONTROL!$C$32, $C$9, 100%, $E$9)</f>
        <v>34.164900000000003</v>
      </c>
      <c r="J1003" s="11">
        <f>34.1596 * CHOOSE(CONTROL!$C$32, $C$9, 100%, $E$9)</f>
        <v>34.159599999999998</v>
      </c>
      <c r="K1003" s="11">
        <f>34.1649 * CHOOSE(CONTROL!$C$32, $C$9, 100%, $E$9)</f>
        <v>34.164900000000003</v>
      </c>
      <c r="L1003" s="11">
        <f>16.9748 * CHOOSE(CONTROL!$C$32, $C$9, 100%, $E$9)</f>
        <v>16.974799999999998</v>
      </c>
      <c r="M1003" s="11">
        <f>16.9801 * CHOOSE(CONTROL!$C$32, $C$9, 100%, $E$9)</f>
        <v>16.9801</v>
      </c>
      <c r="N1003" s="11">
        <f>16.9748 * CHOOSE(CONTROL!$C$32, $C$9, 100%, $E$9)</f>
        <v>16.974799999999998</v>
      </c>
      <c r="O1003" s="11">
        <f>16.9801 * CHOOSE(CONTROL!$C$32, $C$9, 100%, $E$9)</f>
        <v>16.9801</v>
      </c>
    </row>
    <row r="1004" spans="1:15" ht="15" x14ac:dyDescent="0.2">
      <c r="A1004" s="13">
        <v>71406</v>
      </c>
      <c r="B1004" s="9">
        <f>15.0005 * CHOOSE(CONTROL!$C$32, $C$9, 100%, $E$9)</f>
        <v>15.000500000000001</v>
      </c>
      <c r="C1004" s="9">
        <f>15.0005 * CHOOSE(CONTROL!$C$32, $C$9, 100%, $E$9)</f>
        <v>15.000500000000001</v>
      </c>
      <c r="D1004" s="9">
        <f>15.002 * CHOOSE(CONTROL!$C$32, $C$9, 100%, $E$9)</f>
        <v>15.002000000000001</v>
      </c>
      <c r="E1004" s="11">
        <f>17.2162 * CHOOSE(CONTROL!$C$32, $C$9, 100%, $E$9)</f>
        <v>17.216200000000001</v>
      </c>
      <c r="F1004" s="11">
        <f>17.2162 * CHOOSE(CONTROL!$C$32, $C$9, 100%, $E$9)</f>
        <v>17.216200000000001</v>
      </c>
      <c r="G1004" s="11">
        <f>17.2215 * CHOOSE(CONTROL!$C$32, $C$9, 100%, $E$9)</f>
        <v>17.221499999999999</v>
      </c>
      <c r="H1004" s="11">
        <f>34.2307 * CHOOSE(CONTROL!$C$32, $C$9, 100%, $E$9)</f>
        <v>34.230699999999999</v>
      </c>
      <c r="I1004" s="11">
        <f>34.236 * CHOOSE(CONTROL!$C$32, $C$9, 100%, $E$9)</f>
        <v>34.235999999999997</v>
      </c>
      <c r="J1004" s="11">
        <f>34.2307 * CHOOSE(CONTROL!$C$32, $C$9, 100%, $E$9)</f>
        <v>34.230699999999999</v>
      </c>
      <c r="K1004" s="11">
        <f>34.236 * CHOOSE(CONTROL!$C$32, $C$9, 100%, $E$9)</f>
        <v>34.235999999999997</v>
      </c>
      <c r="L1004" s="11">
        <f>17.2162 * CHOOSE(CONTROL!$C$32, $C$9, 100%, $E$9)</f>
        <v>17.216200000000001</v>
      </c>
      <c r="M1004" s="11">
        <f>17.2215 * CHOOSE(CONTROL!$C$32, $C$9, 100%, $E$9)</f>
        <v>17.221499999999999</v>
      </c>
      <c r="N1004" s="11">
        <f>17.2162 * CHOOSE(CONTROL!$C$32, $C$9, 100%, $E$9)</f>
        <v>17.216200000000001</v>
      </c>
      <c r="O1004" s="11">
        <f>17.2215 * CHOOSE(CONTROL!$C$32, $C$9, 100%, $E$9)</f>
        <v>17.221499999999999</v>
      </c>
    </row>
    <row r="1005" spans="1:15" ht="15" x14ac:dyDescent="0.2">
      <c r="A1005" s="13">
        <v>71437</v>
      </c>
      <c r="B1005" s="9">
        <f>15.0071 * CHOOSE(CONTROL!$C$32, $C$9, 100%, $E$9)</f>
        <v>15.007099999999999</v>
      </c>
      <c r="C1005" s="9">
        <f>15.0071 * CHOOSE(CONTROL!$C$32, $C$9, 100%, $E$9)</f>
        <v>15.007099999999999</v>
      </c>
      <c r="D1005" s="9">
        <f>15.0087 * CHOOSE(CONTROL!$C$32, $C$9, 100%, $E$9)</f>
        <v>15.008699999999999</v>
      </c>
      <c r="E1005" s="11">
        <f>16.777 * CHOOSE(CONTROL!$C$32, $C$9, 100%, $E$9)</f>
        <v>16.777000000000001</v>
      </c>
      <c r="F1005" s="11">
        <f>16.777 * CHOOSE(CONTROL!$C$32, $C$9, 100%, $E$9)</f>
        <v>16.777000000000001</v>
      </c>
      <c r="G1005" s="11">
        <f>16.7823 * CHOOSE(CONTROL!$C$32, $C$9, 100%, $E$9)</f>
        <v>16.782299999999999</v>
      </c>
      <c r="H1005" s="11">
        <f>34.302 * CHOOSE(CONTROL!$C$32, $C$9, 100%, $E$9)</f>
        <v>34.302</v>
      </c>
      <c r="I1005" s="11">
        <f>34.3073 * CHOOSE(CONTROL!$C$32, $C$9, 100%, $E$9)</f>
        <v>34.307299999999998</v>
      </c>
      <c r="J1005" s="11">
        <f>34.302 * CHOOSE(CONTROL!$C$32, $C$9, 100%, $E$9)</f>
        <v>34.302</v>
      </c>
      <c r="K1005" s="11">
        <f>34.3073 * CHOOSE(CONTROL!$C$32, $C$9, 100%, $E$9)</f>
        <v>34.307299999999998</v>
      </c>
      <c r="L1005" s="11">
        <f>16.777 * CHOOSE(CONTROL!$C$32, $C$9, 100%, $E$9)</f>
        <v>16.777000000000001</v>
      </c>
      <c r="M1005" s="11">
        <f>16.7823 * CHOOSE(CONTROL!$C$32, $C$9, 100%, $E$9)</f>
        <v>16.782299999999999</v>
      </c>
      <c r="N1005" s="11">
        <f>16.777 * CHOOSE(CONTROL!$C$32, $C$9, 100%, $E$9)</f>
        <v>16.777000000000001</v>
      </c>
      <c r="O1005" s="11">
        <f>16.7823 * CHOOSE(CONTROL!$C$32, $C$9, 100%, $E$9)</f>
        <v>16.782299999999999</v>
      </c>
    </row>
    <row r="1006" spans="1:15" ht="15" x14ac:dyDescent="0.2">
      <c r="A1006" s="13">
        <v>71468</v>
      </c>
      <c r="B1006" s="9">
        <f>15.0041 * CHOOSE(CONTROL!$C$32, $C$9, 100%, $E$9)</f>
        <v>15.004099999999999</v>
      </c>
      <c r="C1006" s="9">
        <f>15.0041 * CHOOSE(CONTROL!$C$32, $C$9, 100%, $E$9)</f>
        <v>15.004099999999999</v>
      </c>
      <c r="D1006" s="9">
        <f>15.0057 * CHOOSE(CONTROL!$C$32, $C$9, 100%, $E$9)</f>
        <v>15.005699999999999</v>
      </c>
      <c r="E1006" s="11">
        <f>16.7255 * CHOOSE(CONTROL!$C$32, $C$9, 100%, $E$9)</f>
        <v>16.7255</v>
      </c>
      <c r="F1006" s="11">
        <f>16.7255 * CHOOSE(CONTROL!$C$32, $C$9, 100%, $E$9)</f>
        <v>16.7255</v>
      </c>
      <c r="G1006" s="11">
        <f>16.7308 * CHOOSE(CONTROL!$C$32, $C$9, 100%, $E$9)</f>
        <v>16.730799999999999</v>
      </c>
      <c r="H1006" s="11">
        <f>34.3735 * CHOOSE(CONTROL!$C$32, $C$9, 100%, $E$9)</f>
        <v>34.3735</v>
      </c>
      <c r="I1006" s="11">
        <f>34.3788 * CHOOSE(CONTROL!$C$32, $C$9, 100%, $E$9)</f>
        <v>34.378799999999998</v>
      </c>
      <c r="J1006" s="11">
        <f>34.3735 * CHOOSE(CONTROL!$C$32, $C$9, 100%, $E$9)</f>
        <v>34.3735</v>
      </c>
      <c r="K1006" s="11">
        <f>34.3788 * CHOOSE(CONTROL!$C$32, $C$9, 100%, $E$9)</f>
        <v>34.378799999999998</v>
      </c>
      <c r="L1006" s="11">
        <f>16.7255 * CHOOSE(CONTROL!$C$32, $C$9, 100%, $E$9)</f>
        <v>16.7255</v>
      </c>
      <c r="M1006" s="11">
        <f>16.7308 * CHOOSE(CONTROL!$C$32, $C$9, 100%, $E$9)</f>
        <v>16.730799999999999</v>
      </c>
      <c r="N1006" s="11">
        <f>16.7255 * CHOOSE(CONTROL!$C$32, $C$9, 100%, $E$9)</f>
        <v>16.7255</v>
      </c>
      <c r="O1006" s="11">
        <f>16.7308 * CHOOSE(CONTROL!$C$32, $C$9, 100%, $E$9)</f>
        <v>16.730799999999999</v>
      </c>
    </row>
    <row r="1007" spans="1:15" ht="15" x14ac:dyDescent="0.2">
      <c r="A1007" s="13">
        <v>71498</v>
      </c>
      <c r="B1007" s="9">
        <f>15.0403 * CHOOSE(CONTROL!$C$32, $C$9, 100%, $E$9)</f>
        <v>15.0403</v>
      </c>
      <c r="C1007" s="9">
        <f>15.0403 * CHOOSE(CONTROL!$C$32, $C$9, 100%, $E$9)</f>
        <v>15.0403</v>
      </c>
      <c r="D1007" s="9">
        <f>15.0414 * CHOOSE(CONTROL!$C$32, $C$9, 100%, $E$9)</f>
        <v>15.041399999999999</v>
      </c>
      <c r="E1007" s="11">
        <f>16.9094 * CHOOSE(CONTROL!$C$32, $C$9, 100%, $E$9)</f>
        <v>16.909400000000002</v>
      </c>
      <c r="F1007" s="11">
        <f>16.9094 * CHOOSE(CONTROL!$C$32, $C$9, 100%, $E$9)</f>
        <v>16.909400000000002</v>
      </c>
      <c r="G1007" s="11">
        <f>16.913 * CHOOSE(CONTROL!$C$32, $C$9, 100%, $E$9)</f>
        <v>16.913</v>
      </c>
      <c r="H1007" s="11">
        <f>34.4451 * CHOOSE(CONTROL!$C$32, $C$9, 100%, $E$9)</f>
        <v>34.445099999999996</v>
      </c>
      <c r="I1007" s="11">
        <f>34.4487 * CHOOSE(CONTROL!$C$32, $C$9, 100%, $E$9)</f>
        <v>34.448700000000002</v>
      </c>
      <c r="J1007" s="11">
        <f>34.4451 * CHOOSE(CONTROL!$C$32, $C$9, 100%, $E$9)</f>
        <v>34.445099999999996</v>
      </c>
      <c r="K1007" s="11">
        <f>34.4487 * CHOOSE(CONTROL!$C$32, $C$9, 100%, $E$9)</f>
        <v>34.448700000000002</v>
      </c>
      <c r="L1007" s="11">
        <f>16.9094 * CHOOSE(CONTROL!$C$32, $C$9, 100%, $E$9)</f>
        <v>16.909400000000002</v>
      </c>
      <c r="M1007" s="11">
        <f>16.913 * CHOOSE(CONTROL!$C$32, $C$9, 100%, $E$9)</f>
        <v>16.913</v>
      </c>
      <c r="N1007" s="11">
        <f>16.9094 * CHOOSE(CONTROL!$C$32, $C$9, 100%, $E$9)</f>
        <v>16.909400000000002</v>
      </c>
      <c r="O1007" s="11">
        <f>16.913 * CHOOSE(CONTROL!$C$32, $C$9, 100%, $E$9)</f>
        <v>16.913</v>
      </c>
    </row>
    <row r="1008" spans="1:15" ht="15" x14ac:dyDescent="0.2">
      <c r="A1008" s="13">
        <v>71529</v>
      </c>
      <c r="B1008" s="9">
        <f>15.0434 * CHOOSE(CONTROL!$C$32, $C$9, 100%, $E$9)</f>
        <v>15.0434</v>
      </c>
      <c r="C1008" s="9">
        <f>15.0434 * CHOOSE(CONTROL!$C$32, $C$9, 100%, $E$9)</f>
        <v>15.0434</v>
      </c>
      <c r="D1008" s="9">
        <f>15.0444 * CHOOSE(CONTROL!$C$32, $C$9, 100%, $E$9)</f>
        <v>15.0444</v>
      </c>
      <c r="E1008" s="11">
        <f>17.0102 * CHOOSE(CONTROL!$C$32, $C$9, 100%, $E$9)</f>
        <v>17.010200000000001</v>
      </c>
      <c r="F1008" s="11">
        <f>17.0102 * CHOOSE(CONTROL!$C$32, $C$9, 100%, $E$9)</f>
        <v>17.010200000000001</v>
      </c>
      <c r="G1008" s="11">
        <f>17.0138 * CHOOSE(CONTROL!$C$32, $C$9, 100%, $E$9)</f>
        <v>17.0138</v>
      </c>
      <c r="H1008" s="11">
        <f>34.5169 * CHOOSE(CONTROL!$C$32, $C$9, 100%, $E$9)</f>
        <v>34.5169</v>
      </c>
      <c r="I1008" s="11">
        <f>34.5205 * CHOOSE(CONTROL!$C$32, $C$9, 100%, $E$9)</f>
        <v>34.520499999999998</v>
      </c>
      <c r="J1008" s="11">
        <f>34.5169 * CHOOSE(CONTROL!$C$32, $C$9, 100%, $E$9)</f>
        <v>34.5169</v>
      </c>
      <c r="K1008" s="11">
        <f>34.5205 * CHOOSE(CONTROL!$C$32, $C$9, 100%, $E$9)</f>
        <v>34.520499999999998</v>
      </c>
      <c r="L1008" s="11">
        <f>17.0102 * CHOOSE(CONTROL!$C$32, $C$9, 100%, $E$9)</f>
        <v>17.010200000000001</v>
      </c>
      <c r="M1008" s="11">
        <f>17.0138 * CHOOSE(CONTROL!$C$32, $C$9, 100%, $E$9)</f>
        <v>17.0138</v>
      </c>
      <c r="N1008" s="11">
        <f>17.0102 * CHOOSE(CONTROL!$C$32, $C$9, 100%, $E$9)</f>
        <v>17.010200000000001</v>
      </c>
      <c r="O1008" s="11">
        <f>17.0138 * CHOOSE(CONTROL!$C$32, $C$9, 100%, $E$9)</f>
        <v>17.0138</v>
      </c>
    </row>
    <row r="1009" spans="1:15" ht="15" x14ac:dyDescent="0.2">
      <c r="A1009" s="13">
        <v>71559</v>
      </c>
      <c r="B1009" s="9">
        <f>15.0434 * CHOOSE(CONTROL!$C$32, $C$9, 100%, $E$9)</f>
        <v>15.0434</v>
      </c>
      <c r="C1009" s="9">
        <f>15.0434 * CHOOSE(CONTROL!$C$32, $C$9, 100%, $E$9)</f>
        <v>15.0434</v>
      </c>
      <c r="D1009" s="9">
        <f>15.0444 * CHOOSE(CONTROL!$C$32, $C$9, 100%, $E$9)</f>
        <v>15.0444</v>
      </c>
      <c r="E1009" s="11">
        <f>16.7636 * CHOOSE(CONTROL!$C$32, $C$9, 100%, $E$9)</f>
        <v>16.7636</v>
      </c>
      <c r="F1009" s="11">
        <f>16.7636 * CHOOSE(CONTROL!$C$32, $C$9, 100%, $E$9)</f>
        <v>16.7636</v>
      </c>
      <c r="G1009" s="11">
        <f>16.7672 * CHOOSE(CONTROL!$C$32, $C$9, 100%, $E$9)</f>
        <v>16.767199999999999</v>
      </c>
      <c r="H1009" s="11">
        <f>34.5888 * CHOOSE(CONTROL!$C$32, $C$9, 100%, $E$9)</f>
        <v>34.588799999999999</v>
      </c>
      <c r="I1009" s="11">
        <f>34.5924 * CHOOSE(CONTROL!$C$32, $C$9, 100%, $E$9)</f>
        <v>34.592399999999998</v>
      </c>
      <c r="J1009" s="11">
        <f>34.5888 * CHOOSE(CONTROL!$C$32, $C$9, 100%, $E$9)</f>
        <v>34.588799999999999</v>
      </c>
      <c r="K1009" s="11">
        <f>34.5924 * CHOOSE(CONTROL!$C$32, $C$9, 100%, $E$9)</f>
        <v>34.592399999999998</v>
      </c>
      <c r="L1009" s="11">
        <f>16.7636 * CHOOSE(CONTROL!$C$32, $C$9, 100%, $E$9)</f>
        <v>16.7636</v>
      </c>
      <c r="M1009" s="11">
        <f>16.7672 * CHOOSE(CONTROL!$C$32, $C$9, 100%, $E$9)</f>
        <v>16.767199999999999</v>
      </c>
      <c r="N1009" s="11">
        <f>16.7636 * CHOOSE(CONTROL!$C$32, $C$9, 100%, $E$9)</f>
        <v>16.7636</v>
      </c>
      <c r="O1009" s="11">
        <f>16.7672 * CHOOSE(CONTROL!$C$32, $C$9, 100%, $E$9)</f>
        <v>16.767199999999999</v>
      </c>
    </row>
    <row r="1010" spans="1:15" ht="15" x14ac:dyDescent="0.2">
      <c r="A1010" s="13">
        <v>71590</v>
      </c>
      <c r="B1010" s="9">
        <f>15.0024 * CHOOSE(CONTROL!$C$32, $C$9, 100%, $E$9)</f>
        <v>15.0024</v>
      </c>
      <c r="C1010" s="9">
        <f>15.0024 * CHOOSE(CONTROL!$C$32, $C$9, 100%, $E$9)</f>
        <v>15.0024</v>
      </c>
      <c r="D1010" s="9">
        <f>15.0035 * CHOOSE(CONTROL!$C$32, $C$9, 100%, $E$9)</f>
        <v>15.003500000000001</v>
      </c>
      <c r="E1010" s="11">
        <f>16.8956 * CHOOSE(CONTROL!$C$32, $C$9, 100%, $E$9)</f>
        <v>16.895600000000002</v>
      </c>
      <c r="F1010" s="11">
        <f>16.8956 * CHOOSE(CONTROL!$C$32, $C$9, 100%, $E$9)</f>
        <v>16.895600000000002</v>
      </c>
      <c r="G1010" s="11">
        <f>16.8992 * CHOOSE(CONTROL!$C$32, $C$9, 100%, $E$9)</f>
        <v>16.8992</v>
      </c>
      <c r="H1010" s="11">
        <f>34.2594 * CHOOSE(CONTROL!$C$32, $C$9, 100%, $E$9)</f>
        <v>34.259399999999999</v>
      </c>
      <c r="I1010" s="11">
        <f>34.2631 * CHOOSE(CONTROL!$C$32, $C$9, 100%, $E$9)</f>
        <v>34.263100000000001</v>
      </c>
      <c r="J1010" s="11">
        <f>34.2594 * CHOOSE(CONTROL!$C$32, $C$9, 100%, $E$9)</f>
        <v>34.259399999999999</v>
      </c>
      <c r="K1010" s="11">
        <f>34.2631 * CHOOSE(CONTROL!$C$32, $C$9, 100%, $E$9)</f>
        <v>34.263100000000001</v>
      </c>
      <c r="L1010" s="11">
        <f>16.8956 * CHOOSE(CONTROL!$C$32, $C$9, 100%, $E$9)</f>
        <v>16.895600000000002</v>
      </c>
      <c r="M1010" s="11">
        <f>16.8992 * CHOOSE(CONTROL!$C$32, $C$9, 100%, $E$9)</f>
        <v>16.8992</v>
      </c>
      <c r="N1010" s="11">
        <f>16.8956 * CHOOSE(CONTROL!$C$32, $C$9, 100%, $E$9)</f>
        <v>16.895600000000002</v>
      </c>
      <c r="O1010" s="11">
        <f>16.8992 * CHOOSE(CONTROL!$C$32, $C$9, 100%, $E$9)</f>
        <v>16.8992</v>
      </c>
    </row>
    <row r="1011" spans="1:15" ht="15" x14ac:dyDescent="0.2">
      <c r="A1011" s="13">
        <v>71621</v>
      </c>
      <c r="B1011" s="9">
        <f>14.9993 * CHOOSE(CONTROL!$C$32, $C$9, 100%, $E$9)</f>
        <v>14.9993</v>
      </c>
      <c r="C1011" s="9">
        <f>14.9993 * CHOOSE(CONTROL!$C$32, $C$9, 100%, $E$9)</f>
        <v>14.9993</v>
      </c>
      <c r="D1011" s="9">
        <f>15.0004 * CHOOSE(CONTROL!$C$32, $C$9, 100%, $E$9)</f>
        <v>15.000400000000001</v>
      </c>
      <c r="E1011" s="11">
        <f>16.4204 * CHOOSE(CONTROL!$C$32, $C$9, 100%, $E$9)</f>
        <v>16.420400000000001</v>
      </c>
      <c r="F1011" s="11">
        <f>16.4204 * CHOOSE(CONTROL!$C$32, $C$9, 100%, $E$9)</f>
        <v>16.420400000000001</v>
      </c>
      <c r="G1011" s="11">
        <f>16.424 * CHOOSE(CONTROL!$C$32, $C$9, 100%, $E$9)</f>
        <v>16.423999999999999</v>
      </c>
      <c r="H1011" s="11">
        <f>34.3308 * CHOOSE(CONTROL!$C$32, $C$9, 100%, $E$9)</f>
        <v>34.330800000000004</v>
      </c>
      <c r="I1011" s="11">
        <f>34.3344 * CHOOSE(CONTROL!$C$32, $C$9, 100%, $E$9)</f>
        <v>34.334400000000002</v>
      </c>
      <c r="J1011" s="11">
        <f>34.3308 * CHOOSE(CONTROL!$C$32, $C$9, 100%, $E$9)</f>
        <v>34.330800000000004</v>
      </c>
      <c r="K1011" s="11">
        <f>34.3344 * CHOOSE(CONTROL!$C$32, $C$9, 100%, $E$9)</f>
        <v>34.334400000000002</v>
      </c>
      <c r="L1011" s="11">
        <f>16.4204 * CHOOSE(CONTROL!$C$32, $C$9, 100%, $E$9)</f>
        <v>16.420400000000001</v>
      </c>
      <c r="M1011" s="11">
        <f>16.424 * CHOOSE(CONTROL!$C$32, $C$9, 100%, $E$9)</f>
        <v>16.423999999999999</v>
      </c>
      <c r="N1011" s="11">
        <f>16.4204 * CHOOSE(CONTROL!$C$32, $C$9, 100%, $E$9)</f>
        <v>16.420400000000001</v>
      </c>
      <c r="O1011" s="11">
        <f>16.424 * CHOOSE(CONTROL!$C$32, $C$9, 100%, $E$9)</f>
        <v>16.423999999999999</v>
      </c>
    </row>
    <row r="1012" spans="1:15" ht="15" x14ac:dyDescent="0.2">
      <c r="A1012" s="13">
        <v>71650</v>
      </c>
      <c r="B1012" s="9">
        <f>14.9963 * CHOOSE(CONTROL!$C$32, $C$9, 100%, $E$9)</f>
        <v>14.9963</v>
      </c>
      <c r="C1012" s="9">
        <f>14.9963 * CHOOSE(CONTROL!$C$32, $C$9, 100%, $E$9)</f>
        <v>14.9963</v>
      </c>
      <c r="D1012" s="9">
        <f>14.9974 * CHOOSE(CONTROL!$C$32, $C$9, 100%, $E$9)</f>
        <v>14.997400000000001</v>
      </c>
      <c r="E1012" s="11">
        <f>16.7912 * CHOOSE(CONTROL!$C$32, $C$9, 100%, $E$9)</f>
        <v>16.7912</v>
      </c>
      <c r="F1012" s="11">
        <f>16.7912 * CHOOSE(CONTROL!$C$32, $C$9, 100%, $E$9)</f>
        <v>16.7912</v>
      </c>
      <c r="G1012" s="11">
        <f>16.7949 * CHOOSE(CONTROL!$C$32, $C$9, 100%, $E$9)</f>
        <v>16.794899999999998</v>
      </c>
      <c r="H1012" s="11">
        <f>34.4023 * CHOOSE(CONTROL!$C$32, $C$9, 100%, $E$9)</f>
        <v>34.402299999999997</v>
      </c>
      <c r="I1012" s="11">
        <f>34.406 * CHOOSE(CONTROL!$C$32, $C$9, 100%, $E$9)</f>
        <v>34.405999999999999</v>
      </c>
      <c r="J1012" s="11">
        <f>34.4023 * CHOOSE(CONTROL!$C$32, $C$9, 100%, $E$9)</f>
        <v>34.402299999999997</v>
      </c>
      <c r="K1012" s="11">
        <f>34.406 * CHOOSE(CONTROL!$C$32, $C$9, 100%, $E$9)</f>
        <v>34.405999999999999</v>
      </c>
      <c r="L1012" s="11">
        <f>16.7912 * CHOOSE(CONTROL!$C$32, $C$9, 100%, $E$9)</f>
        <v>16.7912</v>
      </c>
      <c r="M1012" s="11">
        <f>16.7949 * CHOOSE(CONTROL!$C$32, $C$9, 100%, $E$9)</f>
        <v>16.794899999999998</v>
      </c>
      <c r="N1012" s="11">
        <f>16.7912 * CHOOSE(CONTROL!$C$32, $C$9, 100%, $E$9)</f>
        <v>16.7912</v>
      </c>
      <c r="O1012" s="11">
        <f>16.7949 * CHOOSE(CONTROL!$C$32, $C$9, 100%, $E$9)</f>
        <v>16.794899999999998</v>
      </c>
    </row>
    <row r="1013" spans="1:15" ht="15" x14ac:dyDescent="0.2">
      <c r="A1013" s="13">
        <v>71681</v>
      </c>
      <c r="B1013" s="9">
        <f>15.0046 * CHOOSE(CONTROL!$C$32, $C$9, 100%, $E$9)</f>
        <v>15.0046</v>
      </c>
      <c r="C1013" s="9">
        <f>15.0046 * CHOOSE(CONTROL!$C$32, $C$9, 100%, $E$9)</f>
        <v>15.0046</v>
      </c>
      <c r="D1013" s="9">
        <f>15.0057 * CHOOSE(CONTROL!$C$32, $C$9, 100%, $E$9)</f>
        <v>15.005699999999999</v>
      </c>
      <c r="E1013" s="11">
        <f>17.1876 * CHOOSE(CONTROL!$C$32, $C$9, 100%, $E$9)</f>
        <v>17.1876</v>
      </c>
      <c r="F1013" s="11">
        <f>17.1876 * CHOOSE(CONTROL!$C$32, $C$9, 100%, $E$9)</f>
        <v>17.1876</v>
      </c>
      <c r="G1013" s="11">
        <f>17.1912 * CHOOSE(CONTROL!$C$32, $C$9, 100%, $E$9)</f>
        <v>17.191199999999998</v>
      </c>
      <c r="H1013" s="11">
        <f>34.474 * CHOOSE(CONTROL!$C$32, $C$9, 100%, $E$9)</f>
        <v>34.473999999999997</v>
      </c>
      <c r="I1013" s="11">
        <f>34.4776 * CHOOSE(CONTROL!$C$32, $C$9, 100%, $E$9)</f>
        <v>34.477600000000002</v>
      </c>
      <c r="J1013" s="11">
        <f>34.474 * CHOOSE(CONTROL!$C$32, $C$9, 100%, $E$9)</f>
        <v>34.473999999999997</v>
      </c>
      <c r="K1013" s="11">
        <f>34.4776 * CHOOSE(CONTROL!$C$32, $C$9, 100%, $E$9)</f>
        <v>34.477600000000002</v>
      </c>
      <c r="L1013" s="11">
        <f>17.1876 * CHOOSE(CONTROL!$C$32, $C$9, 100%, $E$9)</f>
        <v>17.1876</v>
      </c>
      <c r="M1013" s="11">
        <f>17.1912 * CHOOSE(CONTROL!$C$32, $C$9, 100%, $E$9)</f>
        <v>17.191199999999998</v>
      </c>
      <c r="N1013" s="11">
        <f>17.1876 * CHOOSE(CONTROL!$C$32, $C$9, 100%, $E$9)</f>
        <v>17.1876</v>
      </c>
      <c r="O1013" s="11">
        <f>17.1912 * CHOOSE(CONTROL!$C$32, $C$9, 100%, $E$9)</f>
        <v>17.191199999999998</v>
      </c>
    </row>
    <row r="1014" spans="1:15" ht="15" x14ac:dyDescent="0.2">
      <c r="A1014" s="13">
        <v>71711</v>
      </c>
      <c r="B1014" s="9">
        <f>15.0046 * CHOOSE(CONTROL!$C$32, $C$9, 100%, $E$9)</f>
        <v>15.0046</v>
      </c>
      <c r="C1014" s="9">
        <f>15.0046 * CHOOSE(CONTROL!$C$32, $C$9, 100%, $E$9)</f>
        <v>15.0046</v>
      </c>
      <c r="D1014" s="9">
        <f>15.0062 * CHOOSE(CONTROL!$C$32, $C$9, 100%, $E$9)</f>
        <v>15.0062</v>
      </c>
      <c r="E1014" s="11">
        <f>17.3378 * CHOOSE(CONTROL!$C$32, $C$9, 100%, $E$9)</f>
        <v>17.337800000000001</v>
      </c>
      <c r="F1014" s="11">
        <f>17.3378 * CHOOSE(CONTROL!$C$32, $C$9, 100%, $E$9)</f>
        <v>17.337800000000001</v>
      </c>
      <c r="G1014" s="11">
        <f>17.3431 * CHOOSE(CONTROL!$C$32, $C$9, 100%, $E$9)</f>
        <v>17.3431</v>
      </c>
      <c r="H1014" s="11">
        <f>34.5458 * CHOOSE(CONTROL!$C$32, $C$9, 100%, $E$9)</f>
        <v>34.5458</v>
      </c>
      <c r="I1014" s="11">
        <f>34.5511 * CHOOSE(CONTROL!$C$32, $C$9, 100%, $E$9)</f>
        <v>34.551099999999998</v>
      </c>
      <c r="J1014" s="11">
        <f>34.5458 * CHOOSE(CONTROL!$C$32, $C$9, 100%, $E$9)</f>
        <v>34.5458</v>
      </c>
      <c r="K1014" s="11">
        <f>34.5511 * CHOOSE(CONTROL!$C$32, $C$9, 100%, $E$9)</f>
        <v>34.551099999999998</v>
      </c>
      <c r="L1014" s="11">
        <f>17.3378 * CHOOSE(CONTROL!$C$32, $C$9, 100%, $E$9)</f>
        <v>17.337800000000001</v>
      </c>
      <c r="M1014" s="11">
        <f>17.3431 * CHOOSE(CONTROL!$C$32, $C$9, 100%, $E$9)</f>
        <v>17.3431</v>
      </c>
      <c r="N1014" s="11">
        <f>17.3378 * CHOOSE(CONTROL!$C$32, $C$9, 100%, $E$9)</f>
        <v>17.337800000000001</v>
      </c>
      <c r="O1014" s="11">
        <f>17.3431 * CHOOSE(CONTROL!$C$32, $C$9, 100%, $E$9)</f>
        <v>17.3431</v>
      </c>
    </row>
    <row r="1015" spans="1:15" ht="15" x14ac:dyDescent="0.2">
      <c r="A1015" s="13">
        <v>71742</v>
      </c>
      <c r="B1015" s="9">
        <f>15.0107 * CHOOSE(CONTROL!$C$32, $C$9, 100%, $E$9)</f>
        <v>15.0107</v>
      </c>
      <c r="C1015" s="9">
        <f>15.0107 * CHOOSE(CONTROL!$C$32, $C$9, 100%, $E$9)</f>
        <v>15.0107</v>
      </c>
      <c r="D1015" s="9">
        <f>15.0123 * CHOOSE(CONTROL!$C$32, $C$9, 100%, $E$9)</f>
        <v>15.0123</v>
      </c>
      <c r="E1015" s="11">
        <f>17.1918 * CHOOSE(CONTROL!$C$32, $C$9, 100%, $E$9)</f>
        <v>17.191800000000001</v>
      </c>
      <c r="F1015" s="11">
        <f>17.1918 * CHOOSE(CONTROL!$C$32, $C$9, 100%, $E$9)</f>
        <v>17.191800000000001</v>
      </c>
      <c r="G1015" s="11">
        <f>17.1971 * CHOOSE(CONTROL!$C$32, $C$9, 100%, $E$9)</f>
        <v>17.197099999999999</v>
      </c>
      <c r="H1015" s="11">
        <f>34.6178 * CHOOSE(CONTROL!$C$32, $C$9, 100%, $E$9)</f>
        <v>34.617800000000003</v>
      </c>
      <c r="I1015" s="11">
        <f>34.6231 * CHOOSE(CONTROL!$C$32, $C$9, 100%, $E$9)</f>
        <v>34.623100000000001</v>
      </c>
      <c r="J1015" s="11">
        <f>34.6178 * CHOOSE(CONTROL!$C$32, $C$9, 100%, $E$9)</f>
        <v>34.617800000000003</v>
      </c>
      <c r="K1015" s="11">
        <f>34.6231 * CHOOSE(CONTROL!$C$32, $C$9, 100%, $E$9)</f>
        <v>34.623100000000001</v>
      </c>
      <c r="L1015" s="11">
        <f>17.1918 * CHOOSE(CONTROL!$C$32, $C$9, 100%, $E$9)</f>
        <v>17.191800000000001</v>
      </c>
      <c r="M1015" s="11">
        <f>17.1971 * CHOOSE(CONTROL!$C$32, $C$9, 100%, $E$9)</f>
        <v>17.197099999999999</v>
      </c>
      <c r="N1015" s="11">
        <f>17.1918 * CHOOSE(CONTROL!$C$32, $C$9, 100%, $E$9)</f>
        <v>17.191800000000001</v>
      </c>
      <c r="O1015" s="11">
        <f>17.1971 * CHOOSE(CONTROL!$C$32, $C$9, 100%, $E$9)</f>
        <v>17.197099999999999</v>
      </c>
    </row>
    <row r="1016" spans="1:15" ht="15" x14ac:dyDescent="0.2">
      <c r="A1016" s="13">
        <v>71772</v>
      </c>
      <c r="B1016" s="9">
        <f>15.1901 * CHOOSE(CONTROL!$C$32, $C$9, 100%, $E$9)</f>
        <v>15.190099999999999</v>
      </c>
      <c r="C1016" s="9">
        <f>15.1901 * CHOOSE(CONTROL!$C$32, $C$9, 100%, $E$9)</f>
        <v>15.190099999999999</v>
      </c>
      <c r="D1016" s="9">
        <f>15.1916 * CHOOSE(CONTROL!$C$32, $C$9, 100%, $E$9)</f>
        <v>15.191599999999999</v>
      </c>
      <c r="E1016" s="11">
        <f>17.4364 * CHOOSE(CONTROL!$C$32, $C$9, 100%, $E$9)</f>
        <v>17.436399999999999</v>
      </c>
      <c r="F1016" s="11">
        <f>17.4364 * CHOOSE(CONTROL!$C$32, $C$9, 100%, $E$9)</f>
        <v>17.436399999999999</v>
      </c>
      <c r="G1016" s="11">
        <f>17.4417 * CHOOSE(CONTROL!$C$32, $C$9, 100%, $E$9)</f>
        <v>17.441700000000001</v>
      </c>
      <c r="H1016" s="11">
        <f>34.6899 * CHOOSE(CONTROL!$C$32, $C$9, 100%, $E$9)</f>
        <v>34.689900000000002</v>
      </c>
      <c r="I1016" s="11">
        <f>34.6952 * CHOOSE(CONTROL!$C$32, $C$9, 100%, $E$9)</f>
        <v>34.6952</v>
      </c>
      <c r="J1016" s="11">
        <f>34.6899 * CHOOSE(CONTROL!$C$32, $C$9, 100%, $E$9)</f>
        <v>34.689900000000002</v>
      </c>
      <c r="K1016" s="11">
        <f>34.6952 * CHOOSE(CONTROL!$C$32, $C$9, 100%, $E$9)</f>
        <v>34.6952</v>
      </c>
      <c r="L1016" s="11">
        <f>17.4364 * CHOOSE(CONTROL!$C$32, $C$9, 100%, $E$9)</f>
        <v>17.436399999999999</v>
      </c>
      <c r="M1016" s="11">
        <f>17.4417 * CHOOSE(CONTROL!$C$32, $C$9, 100%, $E$9)</f>
        <v>17.441700000000001</v>
      </c>
      <c r="N1016" s="11">
        <f>17.4364 * CHOOSE(CONTROL!$C$32, $C$9, 100%, $E$9)</f>
        <v>17.436399999999999</v>
      </c>
      <c r="O1016" s="11">
        <f>17.4417 * CHOOSE(CONTROL!$C$32, $C$9, 100%, $E$9)</f>
        <v>17.441700000000001</v>
      </c>
    </row>
    <row r="1017" spans="1:15" ht="15" x14ac:dyDescent="0.2">
      <c r="A1017" s="13">
        <v>71803</v>
      </c>
      <c r="B1017" s="9">
        <f>15.1967 * CHOOSE(CONTROL!$C$32, $C$9, 100%, $E$9)</f>
        <v>15.1967</v>
      </c>
      <c r="C1017" s="9">
        <f>15.1967 * CHOOSE(CONTROL!$C$32, $C$9, 100%, $E$9)</f>
        <v>15.1967</v>
      </c>
      <c r="D1017" s="9">
        <f>15.1983 * CHOOSE(CONTROL!$C$32, $C$9, 100%, $E$9)</f>
        <v>15.1983</v>
      </c>
      <c r="E1017" s="11">
        <f>16.9904 * CHOOSE(CONTROL!$C$32, $C$9, 100%, $E$9)</f>
        <v>16.990400000000001</v>
      </c>
      <c r="F1017" s="11">
        <f>16.9904 * CHOOSE(CONTROL!$C$32, $C$9, 100%, $E$9)</f>
        <v>16.990400000000001</v>
      </c>
      <c r="G1017" s="11">
        <f>16.9957 * CHOOSE(CONTROL!$C$32, $C$9, 100%, $E$9)</f>
        <v>16.995699999999999</v>
      </c>
      <c r="H1017" s="11">
        <f>34.7622 * CHOOSE(CONTROL!$C$32, $C$9, 100%, $E$9)</f>
        <v>34.7622</v>
      </c>
      <c r="I1017" s="11">
        <f>34.7675 * CHOOSE(CONTROL!$C$32, $C$9, 100%, $E$9)</f>
        <v>34.767499999999998</v>
      </c>
      <c r="J1017" s="11">
        <f>34.7622 * CHOOSE(CONTROL!$C$32, $C$9, 100%, $E$9)</f>
        <v>34.7622</v>
      </c>
      <c r="K1017" s="11">
        <f>34.7675 * CHOOSE(CONTROL!$C$32, $C$9, 100%, $E$9)</f>
        <v>34.767499999999998</v>
      </c>
      <c r="L1017" s="11">
        <f>16.9904 * CHOOSE(CONTROL!$C$32, $C$9, 100%, $E$9)</f>
        <v>16.990400000000001</v>
      </c>
      <c r="M1017" s="11">
        <f>16.9957 * CHOOSE(CONTROL!$C$32, $C$9, 100%, $E$9)</f>
        <v>16.995699999999999</v>
      </c>
      <c r="N1017" s="11">
        <f>16.9904 * CHOOSE(CONTROL!$C$32, $C$9, 100%, $E$9)</f>
        <v>16.990400000000001</v>
      </c>
      <c r="O1017" s="11">
        <f>16.9957 * CHOOSE(CONTROL!$C$32, $C$9, 100%, $E$9)</f>
        <v>16.995699999999999</v>
      </c>
    </row>
    <row r="1018" spans="1:15" ht="15" x14ac:dyDescent="0.2">
      <c r="A1018" s="13">
        <v>71834</v>
      </c>
      <c r="B1018" s="9">
        <f>15.1937 * CHOOSE(CONTROL!$C$32, $C$9, 100%, $E$9)</f>
        <v>15.1937</v>
      </c>
      <c r="C1018" s="9">
        <f>15.1937 * CHOOSE(CONTROL!$C$32, $C$9, 100%, $E$9)</f>
        <v>15.1937</v>
      </c>
      <c r="D1018" s="9">
        <f>15.1953 * CHOOSE(CONTROL!$C$32, $C$9, 100%, $E$9)</f>
        <v>15.1953</v>
      </c>
      <c r="E1018" s="11">
        <f>16.9382 * CHOOSE(CONTROL!$C$32, $C$9, 100%, $E$9)</f>
        <v>16.938199999999998</v>
      </c>
      <c r="F1018" s="11">
        <f>16.9382 * CHOOSE(CONTROL!$C$32, $C$9, 100%, $E$9)</f>
        <v>16.938199999999998</v>
      </c>
      <c r="G1018" s="11">
        <f>16.9435 * CHOOSE(CONTROL!$C$32, $C$9, 100%, $E$9)</f>
        <v>16.9435</v>
      </c>
      <c r="H1018" s="11">
        <f>34.8346 * CHOOSE(CONTROL!$C$32, $C$9, 100%, $E$9)</f>
        <v>34.834600000000002</v>
      </c>
      <c r="I1018" s="11">
        <f>34.8399 * CHOOSE(CONTROL!$C$32, $C$9, 100%, $E$9)</f>
        <v>34.8399</v>
      </c>
      <c r="J1018" s="11">
        <f>34.8346 * CHOOSE(CONTROL!$C$32, $C$9, 100%, $E$9)</f>
        <v>34.834600000000002</v>
      </c>
      <c r="K1018" s="11">
        <f>34.8399 * CHOOSE(CONTROL!$C$32, $C$9, 100%, $E$9)</f>
        <v>34.8399</v>
      </c>
      <c r="L1018" s="11">
        <f>16.9382 * CHOOSE(CONTROL!$C$32, $C$9, 100%, $E$9)</f>
        <v>16.938199999999998</v>
      </c>
      <c r="M1018" s="11">
        <f>16.9435 * CHOOSE(CONTROL!$C$32, $C$9, 100%, $E$9)</f>
        <v>16.9435</v>
      </c>
      <c r="N1018" s="11">
        <f>16.9382 * CHOOSE(CONTROL!$C$32, $C$9, 100%, $E$9)</f>
        <v>16.938199999999998</v>
      </c>
      <c r="O1018" s="11">
        <f>16.9435 * CHOOSE(CONTROL!$C$32, $C$9, 100%, $E$9)</f>
        <v>16.9435</v>
      </c>
    </row>
    <row r="1019" spans="1:15" ht="15" x14ac:dyDescent="0.2">
      <c r="A1019" s="13">
        <v>71864</v>
      </c>
      <c r="B1019" s="9">
        <f>15.2306 * CHOOSE(CONTROL!$C$32, $C$9, 100%, $E$9)</f>
        <v>15.230600000000001</v>
      </c>
      <c r="C1019" s="9">
        <f>15.2306 * CHOOSE(CONTROL!$C$32, $C$9, 100%, $E$9)</f>
        <v>15.230600000000001</v>
      </c>
      <c r="D1019" s="9">
        <f>15.2317 * CHOOSE(CONTROL!$C$32, $C$9, 100%, $E$9)</f>
        <v>15.2317</v>
      </c>
      <c r="E1019" s="11">
        <f>17.1251 * CHOOSE(CONTROL!$C$32, $C$9, 100%, $E$9)</f>
        <v>17.1251</v>
      </c>
      <c r="F1019" s="11">
        <f>17.1251 * CHOOSE(CONTROL!$C$32, $C$9, 100%, $E$9)</f>
        <v>17.1251</v>
      </c>
      <c r="G1019" s="11">
        <f>17.1287 * CHOOSE(CONTROL!$C$32, $C$9, 100%, $E$9)</f>
        <v>17.128699999999998</v>
      </c>
      <c r="H1019" s="11">
        <f>34.9072 * CHOOSE(CONTROL!$C$32, $C$9, 100%, $E$9)</f>
        <v>34.907200000000003</v>
      </c>
      <c r="I1019" s="11">
        <f>34.9108 * CHOOSE(CONTROL!$C$32, $C$9, 100%, $E$9)</f>
        <v>34.910800000000002</v>
      </c>
      <c r="J1019" s="11">
        <f>34.9072 * CHOOSE(CONTROL!$C$32, $C$9, 100%, $E$9)</f>
        <v>34.907200000000003</v>
      </c>
      <c r="K1019" s="11">
        <f>34.9108 * CHOOSE(CONTROL!$C$32, $C$9, 100%, $E$9)</f>
        <v>34.910800000000002</v>
      </c>
      <c r="L1019" s="11">
        <f>17.1251 * CHOOSE(CONTROL!$C$32, $C$9, 100%, $E$9)</f>
        <v>17.1251</v>
      </c>
      <c r="M1019" s="11">
        <f>17.1287 * CHOOSE(CONTROL!$C$32, $C$9, 100%, $E$9)</f>
        <v>17.128699999999998</v>
      </c>
      <c r="N1019" s="11">
        <f>17.1251 * CHOOSE(CONTROL!$C$32, $C$9, 100%, $E$9)</f>
        <v>17.1251</v>
      </c>
      <c r="O1019" s="11">
        <f>17.1287 * CHOOSE(CONTROL!$C$32, $C$9, 100%, $E$9)</f>
        <v>17.128699999999998</v>
      </c>
    </row>
    <row r="1020" spans="1:15" ht="15" x14ac:dyDescent="0.2">
      <c r="A1020" s="13">
        <v>71895</v>
      </c>
      <c r="B1020" s="9">
        <f>15.2337 * CHOOSE(CONTROL!$C$32, $C$9, 100%, $E$9)</f>
        <v>15.233700000000001</v>
      </c>
      <c r="C1020" s="9">
        <f>15.2337 * CHOOSE(CONTROL!$C$32, $C$9, 100%, $E$9)</f>
        <v>15.233700000000001</v>
      </c>
      <c r="D1020" s="9">
        <f>15.2347 * CHOOSE(CONTROL!$C$32, $C$9, 100%, $E$9)</f>
        <v>15.2347</v>
      </c>
      <c r="E1020" s="11">
        <f>17.2274 * CHOOSE(CONTROL!$C$32, $C$9, 100%, $E$9)</f>
        <v>17.227399999999999</v>
      </c>
      <c r="F1020" s="11">
        <f>17.2274 * CHOOSE(CONTROL!$C$32, $C$9, 100%, $E$9)</f>
        <v>17.227399999999999</v>
      </c>
      <c r="G1020" s="11">
        <f>17.231 * CHOOSE(CONTROL!$C$32, $C$9, 100%, $E$9)</f>
        <v>17.231000000000002</v>
      </c>
      <c r="H1020" s="11">
        <f>34.9799 * CHOOSE(CONTROL!$C$32, $C$9, 100%, $E$9)</f>
        <v>34.979900000000001</v>
      </c>
      <c r="I1020" s="11">
        <f>34.9835 * CHOOSE(CONTROL!$C$32, $C$9, 100%, $E$9)</f>
        <v>34.983499999999999</v>
      </c>
      <c r="J1020" s="11">
        <f>34.9799 * CHOOSE(CONTROL!$C$32, $C$9, 100%, $E$9)</f>
        <v>34.979900000000001</v>
      </c>
      <c r="K1020" s="11">
        <f>34.9835 * CHOOSE(CONTROL!$C$32, $C$9, 100%, $E$9)</f>
        <v>34.983499999999999</v>
      </c>
      <c r="L1020" s="11">
        <f>17.2274 * CHOOSE(CONTROL!$C$32, $C$9, 100%, $E$9)</f>
        <v>17.227399999999999</v>
      </c>
      <c r="M1020" s="11">
        <f>17.231 * CHOOSE(CONTROL!$C$32, $C$9, 100%, $E$9)</f>
        <v>17.231000000000002</v>
      </c>
      <c r="N1020" s="11">
        <f>17.2274 * CHOOSE(CONTROL!$C$32, $C$9, 100%, $E$9)</f>
        <v>17.227399999999999</v>
      </c>
      <c r="O1020" s="11">
        <f>17.231 * CHOOSE(CONTROL!$C$32, $C$9, 100%, $E$9)</f>
        <v>17.231000000000002</v>
      </c>
    </row>
    <row r="1021" spans="1:15" ht="15" x14ac:dyDescent="0.2">
      <c r="A1021" s="13">
        <v>71925</v>
      </c>
      <c r="B1021" s="9">
        <f>15.2337 * CHOOSE(CONTROL!$C$32, $C$9, 100%, $E$9)</f>
        <v>15.233700000000001</v>
      </c>
      <c r="C1021" s="9">
        <f>15.2337 * CHOOSE(CONTROL!$C$32, $C$9, 100%, $E$9)</f>
        <v>15.233700000000001</v>
      </c>
      <c r="D1021" s="9">
        <f>15.2347 * CHOOSE(CONTROL!$C$32, $C$9, 100%, $E$9)</f>
        <v>15.2347</v>
      </c>
      <c r="E1021" s="11">
        <f>16.977 * CHOOSE(CONTROL!$C$32, $C$9, 100%, $E$9)</f>
        <v>16.977</v>
      </c>
      <c r="F1021" s="11">
        <f>16.977 * CHOOSE(CONTROL!$C$32, $C$9, 100%, $E$9)</f>
        <v>16.977</v>
      </c>
      <c r="G1021" s="11">
        <f>16.9806 * CHOOSE(CONTROL!$C$32, $C$9, 100%, $E$9)</f>
        <v>16.980599999999999</v>
      </c>
      <c r="H1021" s="11">
        <f>35.0528 * CHOOSE(CONTROL!$C$32, $C$9, 100%, $E$9)</f>
        <v>35.052799999999998</v>
      </c>
      <c r="I1021" s="11">
        <f>35.0564 * CHOOSE(CONTROL!$C$32, $C$9, 100%, $E$9)</f>
        <v>35.056399999999996</v>
      </c>
      <c r="J1021" s="11">
        <f>35.0528 * CHOOSE(CONTROL!$C$32, $C$9, 100%, $E$9)</f>
        <v>35.052799999999998</v>
      </c>
      <c r="K1021" s="11">
        <f>35.0564 * CHOOSE(CONTROL!$C$32, $C$9, 100%, $E$9)</f>
        <v>35.056399999999996</v>
      </c>
      <c r="L1021" s="11">
        <f>16.977 * CHOOSE(CONTROL!$C$32, $C$9, 100%, $E$9)</f>
        <v>16.977</v>
      </c>
      <c r="M1021" s="11">
        <f>16.9806 * CHOOSE(CONTROL!$C$32, $C$9, 100%, $E$9)</f>
        <v>16.980599999999999</v>
      </c>
      <c r="N1021" s="11">
        <f>16.977 * CHOOSE(CONTROL!$C$32, $C$9, 100%, $E$9)</f>
        <v>16.977</v>
      </c>
      <c r="O1021" s="11">
        <f>16.9806 * CHOOSE(CONTROL!$C$32, $C$9, 100%, $E$9)</f>
        <v>16.980599999999999</v>
      </c>
    </row>
    <row r="1022" spans="1:15" ht="15" x14ac:dyDescent="0.2">
      <c r="A1022" s="13">
        <v>71956</v>
      </c>
      <c r="B1022" s="9">
        <f>15.1897 * CHOOSE(CONTROL!$C$32, $C$9, 100%, $E$9)</f>
        <v>15.1897</v>
      </c>
      <c r="C1022" s="9">
        <f>15.1897 * CHOOSE(CONTROL!$C$32, $C$9, 100%, $E$9)</f>
        <v>15.1897</v>
      </c>
      <c r="D1022" s="9">
        <f>15.1908 * CHOOSE(CONTROL!$C$32, $C$9, 100%, $E$9)</f>
        <v>15.190799999999999</v>
      </c>
      <c r="E1022" s="11">
        <f>17.1081 * CHOOSE(CONTROL!$C$32, $C$9, 100%, $E$9)</f>
        <v>17.1081</v>
      </c>
      <c r="F1022" s="11">
        <f>17.1081 * CHOOSE(CONTROL!$C$32, $C$9, 100%, $E$9)</f>
        <v>17.1081</v>
      </c>
      <c r="G1022" s="11">
        <f>17.1117 * CHOOSE(CONTROL!$C$32, $C$9, 100%, $E$9)</f>
        <v>17.111699999999999</v>
      </c>
      <c r="H1022" s="11">
        <f>34.713 * CHOOSE(CONTROL!$C$32, $C$9, 100%, $E$9)</f>
        <v>34.713000000000001</v>
      </c>
      <c r="I1022" s="11">
        <f>34.7166 * CHOOSE(CONTROL!$C$32, $C$9, 100%, $E$9)</f>
        <v>34.7166</v>
      </c>
      <c r="J1022" s="11">
        <f>34.713 * CHOOSE(CONTROL!$C$32, $C$9, 100%, $E$9)</f>
        <v>34.713000000000001</v>
      </c>
      <c r="K1022" s="11">
        <f>34.7166 * CHOOSE(CONTROL!$C$32, $C$9, 100%, $E$9)</f>
        <v>34.7166</v>
      </c>
      <c r="L1022" s="11">
        <f>17.1081 * CHOOSE(CONTROL!$C$32, $C$9, 100%, $E$9)</f>
        <v>17.1081</v>
      </c>
      <c r="M1022" s="11">
        <f>17.1117 * CHOOSE(CONTROL!$C$32, $C$9, 100%, $E$9)</f>
        <v>17.111699999999999</v>
      </c>
      <c r="N1022" s="11">
        <f>17.1081 * CHOOSE(CONTROL!$C$32, $C$9, 100%, $E$9)</f>
        <v>17.1081</v>
      </c>
      <c r="O1022" s="11">
        <f>17.1117 * CHOOSE(CONTROL!$C$32, $C$9, 100%, $E$9)</f>
        <v>17.111699999999999</v>
      </c>
    </row>
    <row r="1023" spans="1:15" ht="15" x14ac:dyDescent="0.2">
      <c r="A1023" s="13">
        <v>71987</v>
      </c>
      <c r="B1023" s="9">
        <f>15.1867 * CHOOSE(CONTROL!$C$32, $C$9, 100%, $E$9)</f>
        <v>15.1867</v>
      </c>
      <c r="C1023" s="9">
        <f>15.1867 * CHOOSE(CONTROL!$C$32, $C$9, 100%, $E$9)</f>
        <v>15.1867</v>
      </c>
      <c r="D1023" s="9">
        <f>15.1878 * CHOOSE(CONTROL!$C$32, $C$9, 100%, $E$9)</f>
        <v>15.187799999999999</v>
      </c>
      <c r="E1023" s="11">
        <f>16.6258 * CHOOSE(CONTROL!$C$32, $C$9, 100%, $E$9)</f>
        <v>16.625800000000002</v>
      </c>
      <c r="F1023" s="11">
        <f>16.6258 * CHOOSE(CONTROL!$C$32, $C$9, 100%, $E$9)</f>
        <v>16.625800000000002</v>
      </c>
      <c r="G1023" s="11">
        <f>16.6294 * CHOOSE(CONTROL!$C$32, $C$9, 100%, $E$9)</f>
        <v>16.6294</v>
      </c>
      <c r="H1023" s="11">
        <f>34.7853 * CHOOSE(CONTROL!$C$32, $C$9, 100%, $E$9)</f>
        <v>34.785299999999999</v>
      </c>
      <c r="I1023" s="11">
        <f>34.7889 * CHOOSE(CONTROL!$C$32, $C$9, 100%, $E$9)</f>
        <v>34.788899999999998</v>
      </c>
      <c r="J1023" s="11">
        <f>34.7853 * CHOOSE(CONTROL!$C$32, $C$9, 100%, $E$9)</f>
        <v>34.785299999999999</v>
      </c>
      <c r="K1023" s="11">
        <f>34.7889 * CHOOSE(CONTROL!$C$32, $C$9, 100%, $E$9)</f>
        <v>34.788899999999998</v>
      </c>
      <c r="L1023" s="11">
        <f>16.6258 * CHOOSE(CONTROL!$C$32, $C$9, 100%, $E$9)</f>
        <v>16.625800000000002</v>
      </c>
      <c r="M1023" s="11">
        <f>16.6294 * CHOOSE(CONTROL!$C$32, $C$9, 100%, $E$9)</f>
        <v>16.6294</v>
      </c>
      <c r="N1023" s="11">
        <f>16.6258 * CHOOSE(CONTROL!$C$32, $C$9, 100%, $E$9)</f>
        <v>16.625800000000002</v>
      </c>
      <c r="O1023" s="11">
        <f>16.6294 * CHOOSE(CONTROL!$C$32, $C$9, 100%, $E$9)</f>
        <v>16.6294</v>
      </c>
    </row>
    <row r="1024" spans="1:15" ht="15" x14ac:dyDescent="0.2">
      <c r="A1024" s="13">
        <v>72015</v>
      </c>
      <c r="B1024" s="9">
        <f>15.1837 * CHOOSE(CONTROL!$C$32, $C$9, 100%, $E$9)</f>
        <v>15.1837</v>
      </c>
      <c r="C1024" s="9">
        <f>15.1837 * CHOOSE(CONTROL!$C$32, $C$9, 100%, $E$9)</f>
        <v>15.1837</v>
      </c>
      <c r="D1024" s="9">
        <f>15.1847 * CHOOSE(CONTROL!$C$32, $C$9, 100%, $E$9)</f>
        <v>15.184699999999999</v>
      </c>
      <c r="E1024" s="11">
        <f>17.0022 * CHOOSE(CONTROL!$C$32, $C$9, 100%, $E$9)</f>
        <v>17.002199999999998</v>
      </c>
      <c r="F1024" s="11">
        <f>17.0022 * CHOOSE(CONTROL!$C$32, $C$9, 100%, $E$9)</f>
        <v>17.002199999999998</v>
      </c>
      <c r="G1024" s="11">
        <f>17.0059 * CHOOSE(CONTROL!$C$32, $C$9, 100%, $E$9)</f>
        <v>17.0059</v>
      </c>
      <c r="H1024" s="11">
        <f>34.8577 * CHOOSE(CONTROL!$C$32, $C$9, 100%, $E$9)</f>
        <v>34.857700000000001</v>
      </c>
      <c r="I1024" s="11">
        <f>34.8614 * CHOOSE(CONTROL!$C$32, $C$9, 100%, $E$9)</f>
        <v>34.861400000000003</v>
      </c>
      <c r="J1024" s="11">
        <f>34.8577 * CHOOSE(CONTROL!$C$32, $C$9, 100%, $E$9)</f>
        <v>34.857700000000001</v>
      </c>
      <c r="K1024" s="11">
        <f>34.8614 * CHOOSE(CONTROL!$C$32, $C$9, 100%, $E$9)</f>
        <v>34.861400000000003</v>
      </c>
      <c r="L1024" s="11">
        <f>17.0022 * CHOOSE(CONTROL!$C$32, $C$9, 100%, $E$9)</f>
        <v>17.002199999999998</v>
      </c>
      <c r="M1024" s="11">
        <f>17.0059 * CHOOSE(CONTROL!$C$32, $C$9, 100%, $E$9)</f>
        <v>17.0059</v>
      </c>
      <c r="N1024" s="11">
        <f>17.0022 * CHOOSE(CONTROL!$C$32, $C$9, 100%, $E$9)</f>
        <v>17.002199999999998</v>
      </c>
      <c r="O1024" s="11">
        <f>17.0059 * CHOOSE(CONTROL!$C$32, $C$9, 100%, $E$9)</f>
        <v>17.0059</v>
      </c>
    </row>
    <row r="1025" spans="1:15" ht="15" x14ac:dyDescent="0.2">
      <c r="A1025" s="13">
        <v>72046</v>
      </c>
      <c r="B1025" s="9">
        <f>15.1922 * CHOOSE(CONTROL!$C$32, $C$9, 100%, $E$9)</f>
        <v>15.1922</v>
      </c>
      <c r="C1025" s="9">
        <f>15.1922 * CHOOSE(CONTROL!$C$32, $C$9, 100%, $E$9)</f>
        <v>15.1922</v>
      </c>
      <c r="D1025" s="9">
        <f>15.1932 * CHOOSE(CONTROL!$C$32, $C$9, 100%, $E$9)</f>
        <v>15.193199999999999</v>
      </c>
      <c r="E1025" s="11">
        <f>17.4046 * CHOOSE(CONTROL!$C$32, $C$9, 100%, $E$9)</f>
        <v>17.404599999999999</v>
      </c>
      <c r="F1025" s="11">
        <f>17.4046 * CHOOSE(CONTROL!$C$32, $C$9, 100%, $E$9)</f>
        <v>17.404599999999999</v>
      </c>
      <c r="G1025" s="11">
        <f>17.4082 * CHOOSE(CONTROL!$C$32, $C$9, 100%, $E$9)</f>
        <v>17.408200000000001</v>
      </c>
      <c r="H1025" s="11">
        <f>34.9304 * CHOOSE(CONTROL!$C$32, $C$9, 100%, $E$9)</f>
        <v>34.930399999999999</v>
      </c>
      <c r="I1025" s="11">
        <f>34.934 * CHOOSE(CONTROL!$C$32, $C$9, 100%, $E$9)</f>
        <v>34.933999999999997</v>
      </c>
      <c r="J1025" s="11">
        <f>34.9304 * CHOOSE(CONTROL!$C$32, $C$9, 100%, $E$9)</f>
        <v>34.930399999999999</v>
      </c>
      <c r="K1025" s="11">
        <f>34.934 * CHOOSE(CONTROL!$C$32, $C$9, 100%, $E$9)</f>
        <v>34.933999999999997</v>
      </c>
      <c r="L1025" s="11">
        <f>17.4046 * CHOOSE(CONTROL!$C$32, $C$9, 100%, $E$9)</f>
        <v>17.404599999999999</v>
      </c>
      <c r="M1025" s="11">
        <f>17.4082 * CHOOSE(CONTROL!$C$32, $C$9, 100%, $E$9)</f>
        <v>17.408200000000001</v>
      </c>
      <c r="N1025" s="11">
        <f>17.4046 * CHOOSE(CONTROL!$C$32, $C$9, 100%, $E$9)</f>
        <v>17.404599999999999</v>
      </c>
      <c r="O1025" s="11">
        <f>17.4082 * CHOOSE(CONTROL!$C$32, $C$9, 100%, $E$9)</f>
        <v>17.408200000000001</v>
      </c>
    </row>
    <row r="1026" spans="1:15" ht="15" x14ac:dyDescent="0.2">
      <c r="A1026" s="13">
        <v>72076</v>
      </c>
      <c r="B1026" s="9">
        <f>15.1922 * CHOOSE(CONTROL!$C$32, $C$9, 100%, $E$9)</f>
        <v>15.1922</v>
      </c>
      <c r="C1026" s="9">
        <f>15.1922 * CHOOSE(CONTROL!$C$32, $C$9, 100%, $E$9)</f>
        <v>15.1922</v>
      </c>
      <c r="D1026" s="9">
        <f>15.1938 * CHOOSE(CONTROL!$C$32, $C$9, 100%, $E$9)</f>
        <v>15.1938</v>
      </c>
      <c r="E1026" s="11">
        <f>17.5571 * CHOOSE(CONTROL!$C$32, $C$9, 100%, $E$9)</f>
        <v>17.557099999999998</v>
      </c>
      <c r="F1026" s="11">
        <f>17.5571 * CHOOSE(CONTROL!$C$32, $C$9, 100%, $E$9)</f>
        <v>17.557099999999998</v>
      </c>
      <c r="G1026" s="11">
        <f>17.5623 * CHOOSE(CONTROL!$C$32, $C$9, 100%, $E$9)</f>
        <v>17.5623</v>
      </c>
      <c r="H1026" s="11">
        <f>35.0031 * CHOOSE(CONTROL!$C$32, $C$9, 100%, $E$9)</f>
        <v>35.003100000000003</v>
      </c>
      <c r="I1026" s="11">
        <f>35.0084 * CHOOSE(CONTROL!$C$32, $C$9, 100%, $E$9)</f>
        <v>35.008400000000002</v>
      </c>
      <c r="J1026" s="11">
        <f>35.0031 * CHOOSE(CONTROL!$C$32, $C$9, 100%, $E$9)</f>
        <v>35.003100000000003</v>
      </c>
      <c r="K1026" s="11">
        <f>35.0084 * CHOOSE(CONTROL!$C$32, $C$9, 100%, $E$9)</f>
        <v>35.008400000000002</v>
      </c>
      <c r="L1026" s="11">
        <f>17.5571 * CHOOSE(CONTROL!$C$32, $C$9, 100%, $E$9)</f>
        <v>17.557099999999998</v>
      </c>
      <c r="M1026" s="11">
        <f>17.5623 * CHOOSE(CONTROL!$C$32, $C$9, 100%, $E$9)</f>
        <v>17.5623</v>
      </c>
      <c r="N1026" s="11">
        <f>17.5571 * CHOOSE(CONTROL!$C$32, $C$9, 100%, $E$9)</f>
        <v>17.557099999999998</v>
      </c>
      <c r="O1026" s="11">
        <f>17.5623 * CHOOSE(CONTROL!$C$32, $C$9, 100%, $E$9)</f>
        <v>17.5623</v>
      </c>
    </row>
    <row r="1027" spans="1:15" ht="15" x14ac:dyDescent="0.2">
      <c r="A1027" s="13">
        <v>72107</v>
      </c>
      <c r="B1027" s="9">
        <f>15.1983 * CHOOSE(CONTROL!$C$32, $C$9, 100%, $E$9)</f>
        <v>15.1983</v>
      </c>
      <c r="C1027" s="9">
        <f>15.1983 * CHOOSE(CONTROL!$C$32, $C$9, 100%, $E$9)</f>
        <v>15.1983</v>
      </c>
      <c r="D1027" s="9">
        <f>15.1998 * CHOOSE(CONTROL!$C$32, $C$9, 100%, $E$9)</f>
        <v>15.1998</v>
      </c>
      <c r="E1027" s="11">
        <f>17.4088 * CHOOSE(CONTROL!$C$32, $C$9, 100%, $E$9)</f>
        <v>17.408799999999999</v>
      </c>
      <c r="F1027" s="11">
        <f>17.4088 * CHOOSE(CONTROL!$C$32, $C$9, 100%, $E$9)</f>
        <v>17.408799999999999</v>
      </c>
      <c r="G1027" s="11">
        <f>17.4141 * CHOOSE(CONTROL!$C$32, $C$9, 100%, $E$9)</f>
        <v>17.414100000000001</v>
      </c>
      <c r="H1027" s="11">
        <f>35.0761 * CHOOSE(CONTROL!$C$32, $C$9, 100%, $E$9)</f>
        <v>35.076099999999997</v>
      </c>
      <c r="I1027" s="11">
        <f>35.0813 * CHOOSE(CONTROL!$C$32, $C$9, 100%, $E$9)</f>
        <v>35.081299999999999</v>
      </c>
      <c r="J1027" s="11">
        <f>35.0761 * CHOOSE(CONTROL!$C$32, $C$9, 100%, $E$9)</f>
        <v>35.076099999999997</v>
      </c>
      <c r="K1027" s="11">
        <f>35.0813 * CHOOSE(CONTROL!$C$32, $C$9, 100%, $E$9)</f>
        <v>35.081299999999999</v>
      </c>
      <c r="L1027" s="11">
        <f>17.4088 * CHOOSE(CONTROL!$C$32, $C$9, 100%, $E$9)</f>
        <v>17.408799999999999</v>
      </c>
      <c r="M1027" s="11">
        <f>17.4141 * CHOOSE(CONTROL!$C$32, $C$9, 100%, $E$9)</f>
        <v>17.414100000000001</v>
      </c>
      <c r="N1027" s="11">
        <f>17.4088 * CHOOSE(CONTROL!$C$32, $C$9, 100%, $E$9)</f>
        <v>17.408799999999999</v>
      </c>
      <c r="O1027" s="11">
        <f>17.4141 * CHOOSE(CONTROL!$C$32, $C$9, 100%, $E$9)</f>
        <v>17.414100000000001</v>
      </c>
    </row>
    <row r="1028" spans="1:15" ht="15" x14ac:dyDescent="0.2">
      <c r="A1028" s="13">
        <v>72137</v>
      </c>
      <c r="B1028" s="9">
        <f>15.3797 * CHOOSE(CONTROL!$C$32, $C$9, 100%, $E$9)</f>
        <v>15.3797</v>
      </c>
      <c r="C1028" s="9">
        <f>15.3797 * CHOOSE(CONTROL!$C$32, $C$9, 100%, $E$9)</f>
        <v>15.3797</v>
      </c>
      <c r="D1028" s="9">
        <f>15.3812 * CHOOSE(CONTROL!$C$32, $C$9, 100%, $E$9)</f>
        <v>15.3812</v>
      </c>
      <c r="E1028" s="11">
        <f>17.6566 * CHOOSE(CONTROL!$C$32, $C$9, 100%, $E$9)</f>
        <v>17.656600000000001</v>
      </c>
      <c r="F1028" s="11">
        <f>17.6566 * CHOOSE(CONTROL!$C$32, $C$9, 100%, $E$9)</f>
        <v>17.656600000000001</v>
      </c>
      <c r="G1028" s="11">
        <f>17.6619 * CHOOSE(CONTROL!$C$32, $C$9, 100%, $E$9)</f>
        <v>17.661899999999999</v>
      </c>
      <c r="H1028" s="11">
        <f>35.1491 * CHOOSE(CONTROL!$C$32, $C$9, 100%, $E$9)</f>
        <v>35.149099999999997</v>
      </c>
      <c r="I1028" s="11">
        <f>35.1544 * CHOOSE(CONTROL!$C$32, $C$9, 100%, $E$9)</f>
        <v>35.154400000000003</v>
      </c>
      <c r="J1028" s="11">
        <f>35.1491 * CHOOSE(CONTROL!$C$32, $C$9, 100%, $E$9)</f>
        <v>35.149099999999997</v>
      </c>
      <c r="K1028" s="11">
        <f>35.1544 * CHOOSE(CONTROL!$C$32, $C$9, 100%, $E$9)</f>
        <v>35.154400000000003</v>
      </c>
      <c r="L1028" s="11">
        <f>17.6566 * CHOOSE(CONTROL!$C$32, $C$9, 100%, $E$9)</f>
        <v>17.656600000000001</v>
      </c>
      <c r="M1028" s="11">
        <f>17.6619 * CHOOSE(CONTROL!$C$32, $C$9, 100%, $E$9)</f>
        <v>17.661899999999999</v>
      </c>
      <c r="N1028" s="11">
        <f>17.6566 * CHOOSE(CONTROL!$C$32, $C$9, 100%, $E$9)</f>
        <v>17.656600000000001</v>
      </c>
      <c r="O1028" s="11">
        <f>17.6619 * CHOOSE(CONTROL!$C$32, $C$9, 100%, $E$9)</f>
        <v>17.661899999999999</v>
      </c>
    </row>
    <row r="1029" spans="1:15" ht="15" x14ac:dyDescent="0.2">
      <c r="A1029" s="13">
        <v>72168</v>
      </c>
      <c r="B1029" s="9">
        <f>15.3863 * CHOOSE(CONTROL!$C$32, $C$9, 100%, $E$9)</f>
        <v>15.3863</v>
      </c>
      <c r="C1029" s="9">
        <f>15.3863 * CHOOSE(CONTROL!$C$32, $C$9, 100%, $E$9)</f>
        <v>15.3863</v>
      </c>
      <c r="D1029" s="9">
        <f>15.3879 * CHOOSE(CONTROL!$C$32, $C$9, 100%, $E$9)</f>
        <v>15.3879</v>
      </c>
      <c r="E1029" s="11">
        <f>17.2038 * CHOOSE(CONTROL!$C$32, $C$9, 100%, $E$9)</f>
        <v>17.203800000000001</v>
      </c>
      <c r="F1029" s="11">
        <f>17.2038 * CHOOSE(CONTROL!$C$32, $C$9, 100%, $E$9)</f>
        <v>17.203800000000001</v>
      </c>
      <c r="G1029" s="11">
        <f>17.2091 * CHOOSE(CONTROL!$C$32, $C$9, 100%, $E$9)</f>
        <v>17.209099999999999</v>
      </c>
      <c r="H1029" s="11">
        <f>35.2224 * CHOOSE(CONTROL!$C$32, $C$9, 100%, $E$9)</f>
        <v>35.2224</v>
      </c>
      <c r="I1029" s="11">
        <f>35.2276 * CHOOSE(CONTROL!$C$32, $C$9, 100%, $E$9)</f>
        <v>35.227600000000002</v>
      </c>
      <c r="J1029" s="11">
        <f>35.2224 * CHOOSE(CONTROL!$C$32, $C$9, 100%, $E$9)</f>
        <v>35.2224</v>
      </c>
      <c r="K1029" s="11">
        <f>35.2276 * CHOOSE(CONTROL!$C$32, $C$9, 100%, $E$9)</f>
        <v>35.227600000000002</v>
      </c>
      <c r="L1029" s="11">
        <f>17.2038 * CHOOSE(CONTROL!$C$32, $C$9, 100%, $E$9)</f>
        <v>17.203800000000001</v>
      </c>
      <c r="M1029" s="11">
        <f>17.2091 * CHOOSE(CONTROL!$C$32, $C$9, 100%, $E$9)</f>
        <v>17.209099999999999</v>
      </c>
      <c r="N1029" s="11">
        <f>17.2038 * CHOOSE(CONTROL!$C$32, $C$9, 100%, $E$9)</f>
        <v>17.203800000000001</v>
      </c>
      <c r="O1029" s="11">
        <f>17.2091 * CHOOSE(CONTROL!$C$32, $C$9, 100%, $E$9)</f>
        <v>17.209099999999999</v>
      </c>
    </row>
    <row r="1030" spans="1:15" ht="15" x14ac:dyDescent="0.2">
      <c r="A1030" s="13">
        <v>72199</v>
      </c>
      <c r="B1030" s="9">
        <f>15.3833 * CHOOSE(CONTROL!$C$32, $C$9, 100%, $E$9)</f>
        <v>15.3833</v>
      </c>
      <c r="C1030" s="9">
        <f>15.3833 * CHOOSE(CONTROL!$C$32, $C$9, 100%, $E$9)</f>
        <v>15.3833</v>
      </c>
      <c r="D1030" s="9">
        <f>15.3849 * CHOOSE(CONTROL!$C$32, $C$9, 100%, $E$9)</f>
        <v>15.3849</v>
      </c>
      <c r="E1030" s="11">
        <f>17.1509 * CHOOSE(CONTROL!$C$32, $C$9, 100%, $E$9)</f>
        <v>17.1509</v>
      </c>
      <c r="F1030" s="11">
        <f>17.1509 * CHOOSE(CONTROL!$C$32, $C$9, 100%, $E$9)</f>
        <v>17.1509</v>
      </c>
      <c r="G1030" s="11">
        <f>17.1562 * CHOOSE(CONTROL!$C$32, $C$9, 100%, $E$9)</f>
        <v>17.156199999999998</v>
      </c>
      <c r="H1030" s="11">
        <f>35.2957 * CHOOSE(CONTROL!$C$32, $C$9, 100%, $E$9)</f>
        <v>35.295699999999997</v>
      </c>
      <c r="I1030" s="11">
        <f>35.301 * CHOOSE(CONTROL!$C$32, $C$9, 100%, $E$9)</f>
        <v>35.301000000000002</v>
      </c>
      <c r="J1030" s="11">
        <f>35.2957 * CHOOSE(CONTROL!$C$32, $C$9, 100%, $E$9)</f>
        <v>35.295699999999997</v>
      </c>
      <c r="K1030" s="11">
        <f>35.301 * CHOOSE(CONTROL!$C$32, $C$9, 100%, $E$9)</f>
        <v>35.301000000000002</v>
      </c>
      <c r="L1030" s="11">
        <f>17.1509 * CHOOSE(CONTROL!$C$32, $C$9, 100%, $E$9)</f>
        <v>17.1509</v>
      </c>
      <c r="M1030" s="11">
        <f>17.1562 * CHOOSE(CONTROL!$C$32, $C$9, 100%, $E$9)</f>
        <v>17.156199999999998</v>
      </c>
      <c r="N1030" s="11">
        <f>17.1509 * CHOOSE(CONTROL!$C$32, $C$9, 100%, $E$9)</f>
        <v>17.1509</v>
      </c>
      <c r="O1030" s="11">
        <f>17.1562 * CHOOSE(CONTROL!$C$32, $C$9, 100%, $E$9)</f>
        <v>17.156199999999998</v>
      </c>
    </row>
    <row r="1031" spans="1:15" ht="15" x14ac:dyDescent="0.2">
      <c r="A1031" s="13">
        <v>72229</v>
      </c>
      <c r="B1031" s="9">
        <f>15.4209 * CHOOSE(CONTROL!$C$32, $C$9, 100%, $E$9)</f>
        <v>15.4209</v>
      </c>
      <c r="C1031" s="9">
        <f>15.4209 * CHOOSE(CONTROL!$C$32, $C$9, 100%, $E$9)</f>
        <v>15.4209</v>
      </c>
      <c r="D1031" s="9">
        <f>15.422 * CHOOSE(CONTROL!$C$32, $C$9, 100%, $E$9)</f>
        <v>15.422000000000001</v>
      </c>
      <c r="E1031" s="11">
        <f>17.3408 * CHOOSE(CONTROL!$C$32, $C$9, 100%, $E$9)</f>
        <v>17.340800000000002</v>
      </c>
      <c r="F1031" s="11">
        <f>17.3408 * CHOOSE(CONTROL!$C$32, $C$9, 100%, $E$9)</f>
        <v>17.340800000000002</v>
      </c>
      <c r="G1031" s="11">
        <f>17.3444 * CHOOSE(CONTROL!$C$32, $C$9, 100%, $E$9)</f>
        <v>17.3444</v>
      </c>
      <c r="H1031" s="11">
        <f>35.3693 * CHOOSE(CONTROL!$C$32, $C$9, 100%, $E$9)</f>
        <v>35.369300000000003</v>
      </c>
      <c r="I1031" s="11">
        <f>35.3729 * CHOOSE(CONTROL!$C$32, $C$9, 100%, $E$9)</f>
        <v>35.372900000000001</v>
      </c>
      <c r="J1031" s="11">
        <f>35.3693 * CHOOSE(CONTROL!$C$32, $C$9, 100%, $E$9)</f>
        <v>35.369300000000003</v>
      </c>
      <c r="K1031" s="11">
        <f>35.3729 * CHOOSE(CONTROL!$C$32, $C$9, 100%, $E$9)</f>
        <v>35.372900000000001</v>
      </c>
      <c r="L1031" s="11">
        <f>17.3408 * CHOOSE(CONTROL!$C$32, $C$9, 100%, $E$9)</f>
        <v>17.340800000000002</v>
      </c>
      <c r="M1031" s="11">
        <f>17.3444 * CHOOSE(CONTROL!$C$32, $C$9, 100%, $E$9)</f>
        <v>17.3444</v>
      </c>
      <c r="N1031" s="11">
        <f>17.3408 * CHOOSE(CONTROL!$C$32, $C$9, 100%, $E$9)</f>
        <v>17.340800000000002</v>
      </c>
      <c r="O1031" s="11">
        <f>17.3444 * CHOOSE(CONTROL!$C$32, $C$9, 100%, $E$9)</f>
        <v>17.3444</v>
      </c>
    </row>
    <row r="1032" spans="1:15" ht="15" x14ac:dyDescent="0.2">
      <c r="A1032" s="13">
        <v>72260</v>
      </c>
      <c r="B1032" s="9">
        <f>15.424 * CHOOSE(CONTROL!$C$32, $C$9, 100%, $E$9)</f>
        <v>15.423999999999999</v>
      </c>
      <c r="C1032" s="9">
        <f>15.424 * CHOOSE(CONTROL!$C$32, $C$9, 100%, $E$9)</f>
        <v>15.423999999999999</v>
      </c>
      <c r="D1032" s="9">
        <f>15.425 * CHOOSE(CONTROL!$C$32, $C$9, 100%, $E$9)</f>
        <v>15.425000000000001</v>
      </c>
      <c r="E1032" s="11">
        <f>17.4445 * CHOOSE(CONTROL!$C$32, $C$9, 100%, $E$9)</f>
        <v>17.444500000000001</v>
      </c>
      <c r="F1032" s="11">
        <f>17.4445 * CHOOSE(CONTROL!$C$32, $C$9, 100%, $E$9)</f>
        <v>17.444500000000001</v>
      </c>
      <c r="G1032" s="11">
        <f>17.4482 * CHOOSE(CONTROL!$C$32, $C$9, 100%, $E$9)</f>
        <v>17.4482</v>
      </c>
      <c r="H1032" s="11">
        <f>35.443 * CHOOSE(CONTROL!$C$32, $C$9, 100%, $E$9)</f>
        <v>35.442999999999998</v>
      </c>
      <c r="I1032" s="11">
        <f>35.4466 * CHOOSE(CONTROL!$C$32, $C$9, 100%, $E$9)</f>
        <v>35.446599999999997</v>
      </c>
      <c r="J1032" s="11">
        <f>35.443 * CHOOSE(CONTROL!$C$32, $C$9, 100%, $E$9)</f>
        <v>35.442999999999998</v>
      </c>
      <c r="K1032" s="11">
        <f>35.4466 * CHOOSE(CONTROL!$C$32, $C$9, 100%, $E$9)</f>
        <v>35.446599999999997</v>
      </c>
      <c r="L1032" s="11">
        <f>17.4445 * CHOOSE(CONTROL!$C$32, $C$9, 100%, $E$9)</f>
        <v>17.444500000000001</v>
      </c>
      <c r="M1032" s="11">
        <f>17.4482 * CHOOSE(CONTROL!$C$32, $C$9, 100%, $E$9)</f>
        <v>17.4482</v>
      </c>
      <c r="N1032" s="11">
        <f>17.4445 * CHOOSE(CONTROL!$C$32, $C$9, 100%, $E$9)</f>
        <v>17.444500000000001</v>
      </c>
      <c r="O1032" s="11">
        <f>17.4482 * CHOOSE(CONTROL!$C$32, $C$9, 100%, $E$9)</f>
        <v>17.4482</v>
      </c>
    </row>
    <row r="1033" spans="1:15" ht="15" x14ac:dyDescent="0.2">
      <c r="A1033" s="13">
        <v>72290</v>
      </c>
      <c r="B1033" s="9">
        <f>15.424 * CHOOSE(CONTROL!$C$32, $C$9, 100%, $E$9)</f>
        <v>15.423999999999999</v>
      </c>
      <c r="C1033" s="9">
        <f>15.424 * CHOOSE(CONTROL!$C$32, $C$9, 100%, $E$9)</f>
        <v>15.423999999999999</v>
      </c>
      <c r="D1033" s="9">
        <f>15.425 * CHOOSE(CONTROL!$C$32, $C$9, 100%, $E$9)</f>
        <v>15.425000000000001</v>
      </c>
      <c r="E1033" s="11">
        <f>17.1904 * CHOOSE(CONTROL!$C$32, $C$9, 100%, $E$9)</f>
        <v>17.1904</v>
      </c>
      <c r="F1033" s="11">
        <f>17.1904 * CHOOSE(CONTROL!$C$32, $C$9, 100%, $E$9)</f>
        <v>17.1904</v>
      </c>
      <c r="G1033" s="11">
        <f>17.194 * CHOOSE(CONTROL!$C$32, $C$9, 100%, $E$9)</f>
        <v>17.193999999999999</v>
      </c>
      <c r="H1033" s="11">
        <f>35.5168 * CHOOSE(CONTROL!$C$32, $C$9, 100%, $E$9)</f>
        <v>35.516800000000003</v>
      </c>
      <c r="I1033" s="11">
        <f>35.5204 * CHOOSE(CONTROL!$C$32, $C$9, 100%, $E$9)</f>
        <v>35.520400000000002</v>
      </c>
      <c r="J1033" s="11">
        <f>35.5168 * CHOOSE(CONTROL!$C$32, $C$9, 100%, $E$9)</f>
        <v>35.516800000000003</v>
      </c>
      <c r="K1033" s="11">
        <f>35.5204 * CHOOSE(CONTROL!$C$32, $C$9, 100%, $E$9)</f>
        <v>35.520400000000002</v>
      </c>
      <c r="L1033" s="11">
        <f>17.1904 * CHOOSE(CONTROL!$C$32, $C$9, 100%, $E$9)</f>
        <v>17.1904</v>
      </c>
      <c r="M1033" s="11">
        <f>17.194 * CHOOSE(CONTROL!$C$32, $C$9, 100%, $E$9)</f>
        <v>17.193999999999999</v>
      </c>
      <c r="N1033" s="11">
        <f>17.1904 * CHOOSE(CONTROL!$C$32, $C$9, 100%, $E$9)</f>
        <v>17.1904</v>
      </c>
      <c r="O1033" s="11">
        <f>17.194 * CHOOSE(CONTROL!$C$32, $C$9, 100%, $E$9)</f>
        <v>17.193999999999999</v>
      </c>
    </row>
    <row r="1034" spans="1:15" ht="15" x14ac:dyDescent="0.2">
      <c r="A1034" s="13">
        <v>72321</v>
      </c>
      <c r="B1034" s="9">
        <f>15.3771 * CHOOSE(CONTROL!$C$32, $C$9, 100%, $E$9)</f>
        <v>15.3771</v>
      </c>
      <c r="C1034" s="9">
        <f>15.3771 * CHOOSE(CONTROL!$C$32, $C$9, 100%, $E$9)</f>
        <v>15.3771</v>
      </c>
      <c r="D1034" s="9">
        <f>15.3782 * CHOOSE(CONTROL!$C$32, $C$9, 100%, $E$9)</f>
        <v>15.3782</v>
      </c>
      <c r="E1034" s="11">
        <f>17.3206 * CHOOSE(CONTROL!$C$32, $C$9, 100%, $E$9)</f>
        <v>17.320599999999999</v>
      </c>
      <c r="F1034" s="11">
        <f>17.3206 * CHOOSE(CONTROL!$C$32, $C$9, 100%, $E$9)</f>
        <v>17.320599999999999</v>
      </c>
      <c r="G1034" s="11">
        <f>17.3243 * CHOOSE(CONTROL!$C$32, $C$9, 100%, $E$9)</f>
        <v>17.324300000000001</v>
      </c>
      <c r="H1034" s="11">
        <f>35.1665 * CHOOSE(CONTROL!$C$32, $C$9, 100%, $E$9)</f>
        <v>35.166499999999999</v>
      </c>
      <c r="I1034" s="11">
        <f>35.1701 * CHOOSE(CONTROL!$C$32, $C$9, 100%, $E$9)</f>
        <v>35.170099999999998</v>
      </c>
      <c r="J1034" s="11">
        <f>35.1665 * CHOOSE(CONTROL!$C$32, $C$9, 100%, $E$9)</f>
        <v>35.166499999999999</v>
      </c>
      <c r="K1034" s="11">
        <f>35.1701 * CHOOSE(CONTROL!$C$32, $C$9, 100%, $E$9)</f>
        <v>35.170099999999998</v>
      </c>
      <c r="L1034" s="11">
        <f>17.3206 * CHOOSE(CONTROL!$C$32, $C$9, 100%, $E$9)</f>
        <v>17.320599999999999</v>
      </c>
      <c r="M1034" s="11">
        <f>17.3243 * CHOOSE(CONTROL!$C$32, $C$9, 100%, $E$9)</f>
        <v>17.324300000000001</v>
      </c>
      <c r="N1034" s="11">
        <f>17.3206 * CHOOSE(CONTROL!$C$32, $C$9, 100%, $E$9)</f>
        <v>17.320599999999999</v>
      </c>
      <c r="O1034" s="11">
        <f>17.3243 * CHOOSE(CONTROL!$C$32, $C$9, 100%, $E$9)</f>
        <v>17.324300000000001</v>
      </c>
    </row>
    <row r="1035" spans="1:15" ht="15" x14ac:dyDescent="0.2">
      <c r="A1035" s="13">
        <v>72352</v>
      </c>
      <c r="B1035" s="9">
        <f>15.3741 * CHOOSE(CONTROL!$C$32, $C$9, 100%, $E$9)</f>
        <v>15.3741</v>
      </c>
      <c r="C1035" s="9">
        <f>15.3741 * CHOOSE(CONTROL!$C$32, $C$9, 100%, $E$9)</f>
        <v>15.3741</v>
      </c>
      <c r="D1035" s="9">
        <f>15.3751 * CHOOSE(CONTROL!$C$32, $C$9, 100%, $E$9)</f>
        <v>15.3751</v>
      </c>
      <c r="E1035" s="11">
        <f>16.8312 * CHOOSE(CONTROL!$C$32, $C$9, 100%, $E$9)</f>
        <v>16.831199999999999</v>
      </c>
      <c r="F1035" s="11">
        <f>16.8312 * CHOOSE(CONTROL!$C$32, $C$9, 100%, $E$9)</f>
        <v>16.831199999999999</v>
      </c>
      <c r="G1035" s="11">
        <f>16.8348 * CHOOSE(CONTROL!$C$32, $C$9, 100%, $E$9)</f>
        <v>16.834800000000001</v>
      </c>
      <c r="H1035" s="11">
        <f>35.2397 * CHOOSE(CONTROL!$C$32, $C$9, 100%, $E$9)</f>
        <v>35.239699999999999</v>
      </c>
      <c r="I1035" s="11">
        <f>35.2433 * CHOOSE(CONTROL!$C$32, $C$9, 100%, $E$9)</f>
        <v>35.243299999999998</v>
      </c>
      <c r="J1035" s="11">
        <f>35.2397 * CHOOSE(CONTROL!$C$32, $C$9, 100%, $E$9)</f>
        <v>35.239699999999999</v>
      </c>
      <c r="K1035" s="11">
        <f>35.2433 * CHOOSE(CONTROL!$C$32, $C$9, 100%, $E$9)</f>
        <v>35.243299999999998</v>
      </c>
      <c r="L1035" s="11">
        <f>16.8312 * CHOOSE(CONTROL!$C$32, $C$9, 100%, $E$9)</f>
        <v>16.831199999999999</v>
      </c>
      <c r="M1035" s="11">
        <f>16.8348 * CHOOSE(CONTROL!$C$32, $C$9, 100%, $E$9)</f>
        <v>16.834800000000001</v>
      </c>
      <c r="N1035" s="11">
        <f>16.8312 * CHOOSE(CONTROL!$C$32, $C$9, 100%, $E$9)</f>
        <v>16.831199999999999</v>
      </c>
      <c r="O1035" s="11">
        <f>16.8348 * CHOOSE(CONTROL!$C$32, $C$9, 100%, $E$9)</f>
        <v>16.834800000000001</v>
      </c>
    </row>
    <row r="1036" spans="1:15" ht="15" x14ac:dyDescent="0.2">
      <c r="A1036" s="13">
        <v>72380</v>
      </c>
      <c r="B1036" s="9">
        <f>15.371 * CHOOSE(CONTROL!$C$32, $C$9, 100%, $E$9)</f>
        <v>15.371</v>
      </c>
      <c r="C1036" s="9">
        <f>15.371 * CHOOSE(CONTROL!$C$32, $C$9, 100%, $E$9)</f>
        <v>15.371</v>
      </c>
      <c r="D1036" s="9">
        <f>15.3721 * CHOOSE(CONTROL!$C$32, $C$9, 100%, $E$9)</f>
        <v>15.3721</v>
      </c>
      <c r="E1036" s="11">
        <f>17.2133 * CHOOSE(CONTROL!$C$32, $C$9, 100%, $E$9)</f>
        <v>17.2133</v>
      </c>
      <c r="F1036" s="11">
        <f>17.2133 * CHOOSE(CONTROL!$C$32, $C$9, 100%, $E$9)</f>
        <v>17.2133</v>
      </c>
      <c r="G1036" s="11">
        <f>17.2169 * CHOOSE(CONTROL!$C$32, $C$9, 100%, $E$9)</f>
        <v>17.216899999999999</v>
      </c>
      <c r="H1036" s="11">
        <f>35.3131 * CHOOSE(CONTROL!$C$32, $C$9, 100%, $E$9)</f>
        <v>35.313099999999999</v>
      </c>
      <c r="I1036" s="11">
        <f>35.3168 * CHOOSE(CONTROL!$C$32, $C$9, 100%, $E$9)</f>
        <v>35.316800000000001</v>
      </c>
      <c r="J1036" s="11">
        <f>35.3131 * CHOOSE(CONTROL!$C$32, $C$9, 100%, $E$9)</f>
        <v>35.313099999999999</v>
      </c>
      <c r="K1036" s="11">
        <f>35.3168 * CHOOSE(CONTROL!$C$32, $C$9, 100%, $E$9)</f>
        <v>35.316800000000001</v>
      </c>
      <c r="L1036" s="11">
        <f>17.2133 * CHOOSE(CONTROL!$C$32, $C$9, 100%, $E$9)</f>
        <v>17.2133</v>
      </c>
      <c r="M1036" s="11">
        <f>17.2169 * CHOOSE(CONTROL!$C$32, $C$9, 100%, $E$9)</f>
        <v>17.216899999999999</v>
      </c>
      <c r="N1036" s="11">
        <f>17.2133 * CHOOSE(CONTROL!$C$32, $C$9, 100%, $E$9)</f>
        <v>17.2133</v>
      </c>
      <c r="O1036" s="11">
        <f>17.2169 * CHOOSE(CONTROL!$C$32, $C$9, 100%, $E$9)</f>
        <v>17.216899999999999</v>
      </c>
    </row>
    <row r="1037" spans="1:15" ht="15" x14ac:dyDescent="0.2">
      <c r="A1037" s="13">
        <v>72411</v>
      </c>
      <c r="B1037" s="9">
        <f>15.3797 * CHOOSE(CONTROL!$C$32, $C$9, 100%, $E$9)</f>
        <v>15.3797</v>
      </c>
      <c r="C1037" s="9">
        <f>15.3797 * CHOOSE(CONTROL!$C$32, $C$9, 100%, $E$9)</f>
        <v>15.3797</v>
      </c>
      <c r="D1037" s="9">
        <f>15.3808 * CHOOSE(CONTROL!$C$32, $C$9, 100%, $E$9)</f>
        <v>15.380800000000001</v>
      </c>
      <c r="E1037" s="11">
        <f>17.6216 * CHOOSE(CONTROL!$C$32, $C$9, 100%, $E$9)</f>
        <v>17.621600000000001</v>
      </c>
      <c r="F1037" s="11">
        <f>17.6216 * CHOOSE(CONTROL!$C$32, $C$9, 100%, $E$9)</f>
        <v>17.621600000000001</v>
      </c>
      <c r="G1037" s="11">
        <f>17.6252 * CHOOSE(CONTROL!$C$32, $C$9, 100%, $E$9)</f>
        <v>17.6252</v>
      </c>
      <c r="H1037" s="11">
        <f>35.3867 * CHOOSE(CONTROL!$C$32, $C$9, 100%, $E$9)</f>
        <v>35.386699999999998</v>
      </c>
      <c r="I1037" s="11">
        <f>35.3903 * CHOOSE(CONTROL!$C$32, $C$9, 100%, $E$9)</f>
        <v>35.390300000000003</v>
      </c>
      <c r="J1037" s="11">
        <f>35.3867 * CHOOSE(CONTROL!$C$32, $C$9, 100%, $E$9)</f>
        <v>35.386699999999998</v>
      </c>
      <c r="K1037" s="11">
        <f>35.3903 * CHOOSE(CONTROL!$C$32, $C$9, 100%, $E$9)</f>
        <v>35.390300000000003</v>
      </c>
      <c r="L1037" s="11">
        <f>17.6216 * CHOOSE(CONTROL!$C$32, $C$9, 100%, $E$9)</f>
        <v>17.621600000000001</v>
      </c>
      <c r="M1037" s="11">
        <f>17.6252 * CHOOSE(CONTROL!$C$32, $C$9, 100%, $E$9)</f>
        <v>17.6252</v>
      </c>
      <c r="N1037" s="11">
        <f>17.6216 * CHOOSE(CONTROL!$C$32, $C$9, 100%, $E$9)</f>
        <v>17.621600000000001</v>
      </c>
      <c r="O1037" s="11">
        <f>17.6252 * CHOOSE(CONTROL!$C$32, $C$9, 100%, $E$9)</f>
        <v>17.6252</v>
      </c>
    </row>
    <row r="1038" spans="1:15" ht="15" x14ac:dyDescent="0.2">
      <c r="A1038" s="13">
        <v>72441</v>
      </c>
      <c r="B1038" s="9">
        <f>15.3797 * CHOOSE(CONTROL!$C$32, $C$9, 100%, $E$9)</f>
        <v>15.3797</v>
      </c>
      <c r="C1038" s="9">
        <f>15.3797 * CHOOSE(CONTROL!$C$32, $C$9, 100%, $E$9)</f>
        <v>15.3797</v>
      </c>
      <c r="D1038" s="9">
        <f>15.3813 * CHOOSE(CONTROL!$C$32, $C$9, 100%, $E$9)</f>
        <v>15.3813</v>
      </c>
      <c r="E1038" s="11">
        <f>17.7763 * CHOOSE(CONTROL!$C$32, $C$9, 100%, $E$9)</f>
        <v>17.776299999999999</v>
      </c>
      <c r="F1038" s="11">
        <f>17.7763 * CHOOSE(CONTROL!$C$32, $C$9, 100%, $E$9)</f>
        <v>17.776299999999999</v>
      </c>
      <c r="G1038" s="11">
        <f>17.7816 * CHOOSE(CONTROL!$C$32, $C$9, 100%, $E$9)</f>
        <v>17.781600000000001</v>
      </c>
      <c r="H1038" s="11">
        <f>35.4604 * CHOOSE(CONTROL!$C$32, $C$9, 100%, $E$9)</f>
        <v>35.4604</v>
      </c>
      <c r="I1038" s="11">
        <f>35.4657 * CHOOSE(CONTROL!$C$32, $C$9, 100%, $E$9)</f>
        <v>35.465699999999998</v>
      </c>
      <c r="J1038" s="11">
        <f>35.4604 * CHOOSE(CONTROL!$C$32, $C$9, 100%, $E$9)</f>
        <v>35.4604</v>
      </c>
      <c r="K1038" s="11">
        <f>35.4657 * CHOOSE(CONTROL!$C$32, $C$9, 100%, $E$9)</f>
        <v>35.465699999999998</v>
      </c>
      <c r="L1038" s="11">
        <f>17.7763 * CHOOSE(CONTROL!$C$32, $C$9, 100%, $E$9)</f>
        <v>17.776299999999999</v>
      </c>
      <c r="M1038" s="11">
        <f>17.7816 * CHOOSE(CONTROL!$C$32, $C$9, 100%, $E$9)</f>
        <v>17.781600000000001</v>
      </c>
      <c r="N1038" s="11">
        <f>17.7763 * CHOOSE(CONTROL!$C$32, $C$9, 100%, $E$9)</f>
        <v>17.776299999999999</v>
      </c>
      <c r="O1038" s="11">
        <f>17.7816 * CHOOSE(CONTROL!$C$32, $C$9, 100%, $E$9)</f>
        <v>17.781600000000001</v>
      </c>
    </row>
    <row r="1039" spans="1:15" ht="15" x14ac:dyDescent="0.2">
      <c r="A1039" s="13">
        <v>72472</v>
      </c>
      <c r="B1039" s="9">
        <f>15.3858 * CHOOSE(CONTROL!$C$32, $C$9, 100%, $E$9)</f>
        <v>15.3858</v>
      </c>
      <c r="C1039" s="9">
        <f>15.3858 * CHOOSE(CONTROL!$C$32, $C$9, 100%, $E$9)</f>
        <v>15.3858</v>
      </c>
      <c r="D1039" s="9">
        <f>15.3874 * CHOOSE(CONTROL!$C$32, $C$9, 100%, $E$9)</f>
        <v>15.3874</v>
      </c>
      <c r="E1039" s="11">
        <f>17.6258 * CHOOSE(CONTROL!$C$32, $C$9, 100%, $E$9)</f>
        <v>17.625800000000002</v>
      </c>
      <c r="F1039" s="11">
        <f>17.6258 * CHOOSE(CONTROL!$C$32, $C$9, 100%, $E$9)</f>
        <v>17.625800000000002</v>
      </c>
      <c r="G1039" s="11">
        <f>17.6311 * CHOOSE(CONTROL!$C$32, $C$9, 100%, $E$9)</f>
        <v>17.6311</v>
      </c>
      <c r="H1039" s="11">
        <f>35.5343 * CHOOSE(CONTROL!$C$32, $C$9, 100%, $E$9)</f>
        <v>35.534300000000002</v>
      </c>
      <c r="I1039" s="11">
        <f>35.5396 * CHOOSE(CONTROL!$C$32, $C$9, 100%, $E$9)</f>
        <v>35.5396</v>
      </c>
      <c r="J1039" s="11">
        <f>35.5343 * CHOOSE(CONTROL!$C$32, $C$9, 100%, $E$9)</f>
        <v>35.534300000000002</v>
      </c>
      <c r="K1039" s="11">
        <f>35.5396 * CHOOSE(CONTROL!$C$32, $C$9, 100%, $E$9)</f>
        <v>35.5396</v>
      </c>
      <c r="L1039" s="11">
        <f>17.6258 * CHOOSE(CONTROL!$C$32, $C$9, 100%, $E$9)</f>
        <v>17.625800000000002</v>
      </c>
      <c r="M1039" s="11">
        <f>17.6311 * CHOOSE(CONTROL!$C$32, $C$9, 100%, $E$9)</f>
        <v>17.6311</v>
      </c>
      <c r="N1039" s="11">
        <f>17.6258 * CHOOSE(CONTROL!$C$32, $C$9, 100%, $E$9)</f>
        <v>17.625800000000002</v>
      </c>
      <c r="O1039" s="11">
        <f>17.6311 * CHOOSE(CONTROL!$C$32, $C$9, 100%, $E$9)</f>
        <v>17.6311</v>
      </c>
    </row>
    <row r="1040" spans="1:15" ht="15" x14ac:dyDescent="0.2">
      <c r="A1040" s="13">
        <v>72502</v>
      </c>
      <c r="B1040" s="9">
        <f>15.5692 * CHOOSE(CONTROL!$C$32, $C$9, 100%, $E$9)</f>
        <v>15.5692</v>
      </c>
      <c r="C1040" s="9">
        <f>15.5692 * CHOOSE(CONTROL!$C$32, $C$9, 100%, $E$9)</f>
        <v>15.5692</v>
      </c>
      <c r="D1040" s="9">
        <f>15.5708 * CHOOSE(CONTROL!$C$32, $C$9, 100%, $E$9)</f>
        <v>15.5708</v>
      </c>
      <c r="E1040" s="11">
        <f>17.8768 * CHOOSE(CONTROL!$C$32, $C$9, 100%, $E$9)</f>
        <v>17.876799999999999</v>
      </c>
      <c r="F1040" s="11">
        <f>17.8768 * CHOOSE(CONTROL!$C$32, $C$9, 100%, $E$9)</f>
        <v>17.876799999999999</v>
      </c>
      <c r="G1040" s="11">
        <f>17.8821 * CHOOSE(CONTROL!$C$32, $C$9, 100%, $E$9)</f>
        <v>17.882100000000001</v>
      </c>
      <c r="H1040" s="11">
        <f>35.6083 * CHOOSE(CONTROL!$C$32, $C$9, 100%, $E$9)</f>
        <v>35.6083</v>
      </c>
      <c r="I1040" s="11">
        <f>35.6136 * CHOOSE(CONTROL!$C$32, $C$9, 100%, $E$9)</f>
        <v>35.613599999999998</v>
      </c>
      <c r="J1040" s="11">
        <f>35.6083 * CHOOSE(CONTROL!$C$32, $C$9, 100%, $E$9)</f>
        <v>35.6083</v>
      </c>
      <c r="K1040" s="11">
        <f>35.6136 * CHOOSE(CONTROL!$C$32, $C$9, 100%, $E$9)</f>
        <v>35.613599999999998</v>
      </c>
      <c r="L1040" s="11">
        <f>17.8768 * CHOOSE(CONTROL!$C$32, $C$9, 100%, $E$9)</f>
        <v>17.876799999999999</v>
      </c>
      <c r="M1040" s="11">
        <f>17.8821 * CHOOSE(CONTROL!$C$32, $C$9, 100%, $E$9)</f>
        <v>17.882100000000001</v>
      </c>
      <c r="N1040" s="11">
        <f>17.8768 * CHOOSE(CONTROL!$C$32, $C$9, 100%, $E$9)</f>
        <v>17.876799999999999</v>
      </c>
      <c r="O1040" s="11">
        <f>17.8821 * CHOOSE(CONTROL!$C$32, $C$9, 100%, $E$9)</f>
        <v>17.882100000000001</v>
      </c>
    </row>
    <row r="1041" spans="1:15" ht="15" x14ac:dyDescent="0.2">
      <c r="A1041" s="13">
        <v>72533</v>
      </c>
      <c r="B1041" s="9">
        <f>15.5759 * CHOOSE(CONTROL!$C$32, $C$9, 100%, $E$9)</f>
        <v>15.575900000000001</v>
      </c>
      <c r="C1041" s="9">
        <f>15.5759 * CHOOSE(CONTROL!$C$32, $C$9, 100%, $E$9)</f>
        <v>15.575900000000001</v>
      </c>
      <c r="D1041" s="9">
        <f>15.5775 * CHOOSE(CONTROL!$C$32, $C$9, 100%, $E$9)</f>
        <v>15.577500000000001</v>
      </c>
      <c r="E1041" s="11">
        <f>17.4173 * CHOOSE(CONTROL!$C$32, $C$9, 100%, $E$9)</f>
        <v>17.417300000000001</v>
      </c>
      <c r="F1041" s="11">
        <f>17.4173 * CHOOSE(CONTROL!$C$32, $C$9, 100%, $E$9)</f>
        <v>17.417300000000001</v>
      </c>
      <c r="G1041" s="11">
        <f>17.4226 * CHOOSE(CONTROL!$C$32, $C$9, 100%, $E$9)</f>
        <v>17.422599999999999</v>
      </c>
      <c r="H1041" s="11">
        <f>35.6825 * CHOOSE(CONTROL!$C$32, $C$9, 100%, $E$9)</f>
        <v>35.682499999999997</v>
      </c>
      <c r="I1041" s="11">
        <f>35.6878 * CHOOSE(CONTROL!$C$32, $C$9, 100%, $E$9)</f>
        <v>35.687800000000003</v>
      </c>
      <c r="J1041" s="11">
        <f>35.6825 * CHOOSE(CONTROL!$C$32, $C$9, 100%, $E$9)</f>
        <v>35.682499999999997</v>
      </c>
      <c r="K1041" s="11">
        <f>35.6878 * CHOOSE(CONTROL!$C$32, $C$9, 100%, $E$9)</f>
        <v>35.687800000000003</v>
      </c>
      <c r="L1041" s="11">
        <f>17.4173 * CHOOSE(CONTROL!$C$32, $C$9, 100%, $E$9)</f>
        <v>17.417300000000001</v>
      </c>
      <c r="M1041" s="11">
        <f>17.4226 * CHOOSE(CONTROL!$C$32, $C$9, 100%, $E$9)</f>
        <v>17.422599999999999</v>
      </c>
      <c r="N1041" s="11">
        <f>17.4173 * CHOOSE(CONTROL!$C$32, $C$9, 100%, $E$9)</f>
        <v>17.417300000000001</v>
      </c>
      <c r="O1041" s="11">
        <f>17.4226 * CHOOSE(CONTROL!$C$32, $C$9, 100%, $E$9)</f>
        <v>17.422599999999999</v>
      </c>
    </row>
    <row r="1042" spans="1:15" ht="15" x14ac:dyDescent="0.2">
      <c r="A1042" s="13">
        <v>72564</v>
      </c>
      <c r="B1042" s="9">
        <f>15.5729 * CHOOSE(CONTROL!$C$32, $C$9, 100%, $E$9)</f>
        <v>15.572900000000001</v>
      </c>
      <c r="C1042" s="9">
        <f>15.5729 * CHOOSE(CONTROL!$C$32, $C$9, 100%, $E$9)</f>
        <v>15.572900000000001</v>
      </c>
      <c r="D1042" s="9">
        <f>15.5745 * CHOOSE(CONTROL!$C$32, $C$9, 100%, $E$9)</f>
        <v>15.5745</v>
      </c>
      <c r="E1042" s="11">
        <f>17.3636 * CHOOSE(CONTROL!$C$32, $C$9, 100%, $E$9)</f>
        <v>17.363600000000002</v>
      </c>
      <c r="F1042" s="11">
        <f>17.3636 * CHOOSE(CONTROL!$C$32, $C$9, 100%, $E$9)</f>
        <v>17.363600000000002</v>
      </c>
      <c r="G1042" s="11">
        <f>17.3689 * CHOOSE(CONTROL!$C$32, $C$9, 100%, $E$9)</f>
        <v>17.3689</v>
      </c>
      <c r="H1042" s="11">
        <f>35.7569 * CHOOSE(CONTROL!$C$32, $C$9, 100%, $E$9)</f>
        <v>35.756900000000002</v>
      </c>
      <c r="I1042" s="11">
        <f>35.7621 * CHOOSE(CONTROL!$C$32, $C$9, 100%, $E$9)</f>
        <v>35.762099999999997</v>
      </c>
      <c r="J1042" s="11">
        <f>35.7569 * CHOOSE(CONTROL!$C$32, $C$9, 100%, $E$9)</f>
        <v>35.756900000000002</v>
      </c>
      <c r="K1042" s="11">
        <f>35.7621 * CHOOSE(CONTROL!$C$32, $C$9, 100%, $E$9)</f>
        <v>35.762099999999997</v>
      </c>
      <c r="L1042" s="11">
        <f>17.3636 * CHOOSE(CONTROL!$C$32, $C$9, 100%, $E$9)</f>
        <v>17.363600000000002</v>
      </c>
      <c r="M1042" s="11">
        <f>17.3689 * CHOOSE(CONTROL!$C$32, $C$9, 100%, $E$9)</f>
        <v>17.3689</v>
      </c>
      <c r="N1042" s="11">
        <f>17.3636 * CHOOSE(CONTROL!$C$32, $C$9, 100%, $E$9)</f>
        <v>17.363600000000002</v>
      </c>
      <c r="O1042" s="11">
        <f>17.3689 * CHOOSE(CONTROL!$C$32, $C$9, 100%, $E$9)</f>
        <v>17.3689</v>
      </c>
    </row>
    <row r="1043" spans="1:15" ht="15" x14ac:dyDescent="0.2">
      <c r="A1043" s="13">
        <v>72594</v>
      </c>
      <c r="B1043" s="9">
        <f>15.6112 * CHOOSE(CONTROL!$C$32, $C$9, 100%, $E$9)</f>
        <v>15.6112</v>
      </c>
      <c r="C1043" s="9">
        <f>15.6112 * CHOOSE(CONTROL!$C$32, $C$9, 100%, $E$9)</f>
        <v>15.6112</v>
      </c>
      <c r="D1043" s="9">
        <f>15.6123 * CHOOSE(CONTROL!$C$32, $C$9, 100%, $E$9)</f>
        <v>15.612299999999999</v>
      </c>
      <c r="E1043" s="11">
        <f>17.5565 * CHOOSE(CONTROL!$C$32, $C$9, 100%, $E$9)</f>
        <v>17.5565</v>
      </c>
      <c r="F1043" s="11">
        <f>17.5565 * CHOOSE(CONTROL!$C$32, $C$9, 100%, $E$9)</f>
        <v>17.5565</v>
      </c>
      <c r="G1043" s="11">
        <f>17.5601 * CHOOSE(CONTROL!$C$32, $C$9, 100%, $E$9)</f>
        <v>17.560099999999998</v>
      </c>
      <c r="H1043" s="11">
        <f>35.8313 * CHOOSE(CONTROL!$C$32, $C$9, 100%, $E$9)</f>
        <v>35.831299999999999</v>
      </c>
      <c r="I1043" s="11">
        <f>35.835 * CHOOSE(CONTROL!$C$32, $C$9, 100%, $E$9)</f>
        <v>35.835000000000001</v>
      </c>
      <c r="J1043" s="11">
        <f>35.8313 * CHOOSE(CONTROL!$C$32, $C$9, 100%, $E$9)</f>
        <v>35.831299999999999</v>
      </c>
      <c r="K1043" s="11">
        <f>35.835 * CHOOSE(CONTROL!$C$32, $C$9, 100%, $E$9)</f>
        <v>35.835000000000001</v>
      </c>
      <c r="L1043" s="11">
        <f>17.5565 * CHOOSE(CONTROL!$C$32, $C$9, 100%, $E$9)</f>
        <v>17.5565</v>
      </c>
      <c r="M1043" s="11">
        <f>17.5601 * CHOOSE(CONTROL!$C$32, $C$9, 100%, $E$9)</f>
        <v>17.560099999999998</v>
      </c>
      <c r="N1043" s="11">
        <f>17.5565 * CHOOSE(CONTROL!$C$32, $C$9, 100%, $E$9)</f>
        <v>17.5565</v>
      </c>
      <c r="O1043" s="11">
        <f>17.5601 * CHOOSE(CONTROL!$C$32, $C$9, 100%, $E$9)</f>
        <v>17.560099999999998</v>
      </c>
    </row>
    <row r="1044" spans="1:15" ht="15" x14ac:dyDescent="0.2">
      <c r="A1044" s="13">
        <v>72625</v>
      </c>
      <c r="B1044" s="9">
        <f>15.6143 * CHOOSE(CONTROL!$C$32, $C$9, 100%, $E$9)</f>
        <v>15.6143</v>
      </c>
      <c r="C1044" s="9">
        <f>15.6143 * CHOOSE(CONTROL!$C$32, $C$9, 100%, $E$9)</f>
        <v>15.6143</v>
      </c>
      <c r="D1044" s="9">
        <f>15.6154 * CHOOSE(CONTROL!$C$32, $C$9, 100%, $E$9)</f>
        <v>15.615399999999999</v>
      </c>
      <c r="E1044" s="11">
        <f>17.6617 * CHOOSE(CONTROL!$C$32, $C$9, 100%, $E$9)</f>
        <v>17.6617</v>
      </c>
      <c r="F1044" s="11">
        <f>17.6617 * CHOOSE(CONTROL!$C$32, $C$9, 100%, $E$9)</f>
        <v>17.6617</v>
      </c>
      <c r="G1044" s="11">
        <f>17.6653 * CHOOSE(CONTROL!$C$32, $C$9, 100%, $E$9)</f>
        <v>17.665299999999998</v>
      </c>
      <c r="H1044" s="11">
        <f>35.906 * CHOOSE(CONTROL!$C$32, $C$9, 100%, $E$9)</f>
        <v>35.905999999999999</v>
      </c>
      <c r="I1044" s="11">
        <f>35.9096 * CHOOSE(CONTROL!$C$32, $C$9, 100%, $E$9)</f>
        <v>35.909599999999998</v>
      </c>
      <c r="J1044" s="11">
        <f>35.906 * CHOOSE(CONTROL!$C$32, $C$9, 100%, $E$9)</f>
        <v>35.905999999999999</v>
      </c>
      <c r="K1044" s="11">
        <f>35.9096 * CHOOSE(CONTROL!$C$32, $C$9, 100%, $E$9)</f>
        <v>35.909599999999998</v>
      </c>
      <c r="L1044" s="11">
        <f>17.6617 * CHOOSE(CONTROL!$C$32, $C$9, 100%, $E$9)</f>
        <v>17.6617</v>
      </c>
      <c r="M1044" s="11">
        <f>17.6653 * CHOOSE(CONTROL!$C$32, $C$9, 100%, $E$9)</f>
        <v>17.665299999999998</v>
      </c>
      <c r="N1044" s="11">
        <f>17.6617 * CHOOSE(CONTROL!$C$32, $C$9, 100%, $E$9)</f>
        <v>17.6617</v>
      </c>
      <c r="O1044" s="11">
        <f>17.6653 * CHOOSE(CONTROL!$C$32, $C$9, 100%, $E$9)</f>
        <v>17.665299999999998</v>
      </c>
    </row>
    <row r="1045" spans="1:15" ht="15" x14ac:dyDescent="0.2">
      <c r="A1045" s="13">
        <v>72655</v>
      </c>
      <c r="B1045" s="9">
        <f>15.6143 * CHOOSE(CONTROL!$C$32, $C$9, 100%, $E$9)</f>
        <v>15.6143</v>
      </c>
      <c r="C1045" s="9">
        <f>15.6143 * CHOOSE(CONTROL!$C$32, $C$9, 100%, $E$9)</f>
        <v>15.6143</v>
      </c>
      <c r="D1045" s="9">
        <f>15.6154 * CHOOSE(CONTROL!$C$32, $C$9, 100%, $E$9)</f>
        <v>15.615399999999999</v>
      </c>
      <c r="E1045" s="11">
        <f>17.4039 * CHOOSE(CONTROL!$C$32, $C$9, 100%, $E$9)</f>
        <v>17.4039</v>
      </c>
      <c r="F1045" s="11">
        <f>17.4039 * CHOOSE(CONTROL!$C$32, $C$9, 100%, $E$9)</f>
        <v>17.4039</v>
      </c>
      <c r="G1045" s="11">
        <f>17.4075 * CHOOSE(CONTROL!$C$32, $C$9, 100%, $E$9)</f>
        <v>17.407499999999999</v>
      </c>
      <c r="H1045" s="11">
        <f>35.9808 * CHOOSE(CONTROL!$C$32, $C$9, 100%, $E$9)</f>
        <v>35.980800000000002</v>
      </c>
      <c r="I1045" s="11">
        <f>35.9844 * CHOOSE(CONTROL!$C$32, $C$9, 100%, $E$9)</f>
        <v>35.984400000000001</v>
      </c>
      <c r="J1045" s="11">
        <f>35.9808 * CHOOSE(CONTROL!$C$32, $C$9, 100%, $E$9)</f>
        <v>35.980800000000002</v>
      </c>
      <c r="K1045" s="11">
        <f>35.9844 * CHOOSE(CONTROL!$C$32, $C$9, 100%, $E$9)</f>
        <v>35.984400000000001</v>
      </c>
      <c r="L1045" s="11">
        <f>17.4039 * CHOOSE(CONTROL!$C$32, $C$9, 100%, $E$9)</f>
        <v>17.4039</v>
      </c>
      <c r="M1045" s="11">
        <f>17.4075 * CHOOSE(CONTROL!$C$32, $C$9, 100%, $E$9)</f>
        <v>17.407499999999999</v>
      </c>
      <c r="N1045" s="11">
        <f>17.4039 * CHOOSE(CONTROL!$C$32, $C$9, 100%, $E$9)</f>
        <v>17.4039</v>
      </c>
      <c r="O1045" s="11">
        <f>17.4075 * CHOOSE(CONTROL!$C$32, $C$9, 100%, $E$9)</f>
        <v>17.407499999999999</v>
      </c>
    </row>
    <row r="1046" spans="1:15" ht="15" x14ac:dyDescent="0.2">
      <c r="A1046" s="13">
        <v>72686</v>
      </c>
      <c r="B1046" s="9">
        <f>15.5645 * CHOOSE(CONTROL!$C$32, $C$9, 100%, $E$9)</f>
        <v>15.564500000000001</v>
      </c>
      <c r="C1046" s="9">
        <f>15.5645 * CHOOSE(CONTROL!$C$32, $C$9, 100%, $E$9)</f>
        <v>15.564500000000001</v>
      </c>
      <c r="D1046" s="9">
        <f>15.5655 * CHOOSE(CONTROL!$C$32, $C$9, 100%, $E$9)</f>
        <v>15.5655</v>
      </c>
      <c r="E1046" s="11">
        <f>17.5331 * CHOOSE(CONTROL!$C$32, $C$9, 100%, $E$9)</f>
        <v>17.533100000000001</v>
      </c>
      <c r="F1046" s="11">
        <f>17.5331 * CHOOSE(CONTROL!$C$32, $C$9, 100%, $E$9)</f>
        <v>17.533100000000001</v>
      </c>
      <c r="G1046" s="11">
        <f>17.5368 * CHOOSE(CONTROL!$C$32, $C$9, 100%, $E$9)</f>
        <v>17.536799999999999</v>
      </c>
      <c r="H1046" s="11">
        <f>35.62 * CHOOSE(CONTROL!$C$32, $C$9, 100%, $E$9)</f>
        <v>35.619999999999997</v>
      </c>
      <c r="I1046" s="11">
        <f>35.6236 * CHOOSE(CONTROL!$C$32, $C$9, 100%, $E$9)</f>
        <v>35.623600000000003</v>
      </c>
      <c r="J1046" s="11">
        <f>35.62 * CHOOSE(CONTROL!$C$32, $C$9, 100%, $E$9)</f>
        <v>35.619999999999997</v>
      </c>
      <c r="K1046" s="11">
        <f>35.6236 * CHOOSE(CONTROL!$C$32, $C$9, 100%, $E$9)</f>
        <v>35.623600000000003</v>
      </c>
      <c r="L1046" s="11">
        <f>17.5331 * CHOOSE(CONTROL!$C$32, $C$9, 100%, $E$9)</f>
        <v>17.533100000000001</v>
      </c>
      <c r="M1046" s="11">
        <f>17.5368 * CHOOSE(CONTROL!$C$32, $C$9, 100%, $E$9)</f>
        <v>17.536799999999999</v>
      </c>
      <c r="N1046" s="11">
        <f>17.5331 * CHOOSE(CONTROL!$C$32, $C$9, 100%, $E$9)</f>
        <v>17.533100000000001</v>
      </c>
      <c r="O1046" s="11">
        <f>17.5368 * CHOOSE(CONTROL!$C$32, $C$9, 100%, $E$9)</f>
        <v>17.536799999999999</v>
      </c>
    </row>
    <row r="1047" spans="1:15" ht="15" x14ac:dyDescent="0.2">
      <c r="A1047" s="13">
        <v>72717</v>
      </c>
      <c r="B1047" s="9">
        <f>15.5614 * CHOOSE(CONTROL!$C$32, $C$9, 100%, $E$9)</f>
        <v>15.561400000000001</v>
      </c>
      <c r="C1047" s="9">
        <f>15.5614 * CHOOSE(CONTROL!$C$32, $C$9, 100%, $E$9)</f>
        <v>15.561400000000001</v>
      </c>
      <c r="D1047" s="9">
        <f>15.5625 * CHOOSE(CONTROL!$C$32, $C$9, 100%, $E$9)</f>
        <v>15.5625</v>
      </c>
      <c r="E1047" s="11">
        <f>17.0366 * CHOOSE(CONTROL!$C$32, $C$9, 100%, $E$9)</f>
        <v>17.0366</v>
      </c>
      <c r="F1047" s="11">
        <f>17.0366 * CHOOSE(CONTROL!$C$32, $C$9, 100%, $E$9)</f>
        <v>17.0366</v>
      </c>
      <c r="G1047" s="11">
        <f>17.0402 * CHOOSE(CONTROL!$C$32, $C$9, 100%, $E$9)</f>
        <v>17.040199999999999</v>
      </c>
      <c r="H1047" s="11">
        <f>35.6942 * CHOOSE(CONTROL!$C$32, $C$9, 100%, $E$9)</f>
        <v>35.694200000000002</v>
      </c>
      <c r="I1047" s="11">
        <f>35.6978 * CHOOSE(CONTROL!$C$32, $C$9, 100%, $E$9)</f>
        <v>35.697800000000001</v>
      </c>
      <c r="J1047" s="11">
        <f>35.6942 * CHOOSE(CONTROL!$C$32, $C$9, 100%, $E$9)</f>
        <v>35.694200000000002</v>
      </c>
      <c r="K1047" s="11">
        <f>35.6978 * CHOOSE(CONTROL!$C$32, $C$9, 100%, $E$9)</f>
        <v>35.697800000000001</v>
      </c>
      <c r="L1047" s="11">
        <f>17.0366 * CHOOSE(CONTROL!$C$32, $C$9, 100%, $E$9)</f>
        <v>17.0366</v>
      </c>
      <c r="M1047" s="11">
        <f>17.0402 * CHOOSE(CONTROL!$C$32, $C$9, 100%, $E$9)</f>
        <v>17.040199999999999</v>
      </c>
      <c r="N1047" s="11">
        <f>17.0366 * CHOOSE(CONTROL!$C$32, $C$9, 100%, $E$9)</f>
        <v>17.0366</v>
      </c>
      <c r="O1047" s="11">
        <f>17.0402 * CHOOSE(CONTROL!$C$32, $C$9, 100%, $E$9)</f>
        <v>17.040199999999999</v>
      </c>
    </row>
    <row r="1048" spans="1:15" ht="15" x14ac:dyDescent="0.2">
      <c r="A1048" s="13">
        <v>72745</v>
      </c>
      <c r="B1048" s="9">
        <f>15.5584 * CHOOSE(CONTROL!$C$32, $C$9, 100%, $E$9)</f>
        <v>15.558400000000001</v>
      </c>
      <c r="C1048" s="9">
        <f>15.5584 * CHOOSE(CONTROL!$C$32, $C$9, 100%, $E$9)</f>
        <v>15.558400000000001</v>
      </c>
      <c r="D1048" s="9">
        <f>15.5595 * CHOOSE(CONTROL!$C$32, $C$9, 100%, $E$9)</f>
        <v>15.5595</v>
      </c>
      <c r="E1048" s="11">
        <f>17.4243 * CHOOSE(CONTROL!$C$32, $C$9, 100%, $E$9)</f>
        <v>17.424299999999999</v>
      </c>
      <c r="F1048" s="11">
        <f>17.4243 * CHOOSE(CONTROL!$C$32, $C$9, 100%, $E$9)</f>
        <v>17.424299999999999</v>
      </c>
      <c r="G1048" s="11">
        <f>17.4279 * CHOOSE(CONTROL!$C$32, $C$9, 100%, $E$9)</f>
        <v>17.427900000000001</v>
      </c>
      <c r="H1048" s="11">
        <f>35.7685 * CHOOSE(CONTROL!$C$32, $C$9, 100%, $E$9)</f>
        <v>35.768500000000003</v>
      </c>
      <c r="I1048" s="11">
        <f>35.7721 * CHOOSE(CONTROL!$C$32, $C$9, 100%, $E$9)</f>
        <v>35.772100000000002</v>
      </c>
      <c r="J1048" s="11">
        <f>35.7685 * CHOOSE(CONTROL!$C$32, $C$9, 100%, $E$9)</f>
        <v>35.768500000000003</v>
      </c>
      <c r="K1048" s="11">
        <f>35.7721 * CHOOSE(CONTROL!$C$32, $C$9, 100%, $E$9)</f>
        <v>35.772100000000002</v>
      </c>
      <c r="L1048" s="11">
        <f>17.4243 * CHOOSE(CONTROL!$C$32, $C$9, 100%, $E$9)</f>
        <v>17.424299999999999</v>
      </c>
      <c r="M1048" s="11">
        <f>17.4279 * CHOOSE(CONTROL!$C$32, $C$9, 100%, $E$9)</f>
        <v>17.427900000000001</v>
      </c>
      <c r="N1048" s="11">
        <f>17.4243 * CHOOSE(CONTROL!$C$32, $C$9, 100%, $E$9)</f>
        <v>17.424299999999999</v>
      </c>
      <c r="O1048" s="11">
        <f>17.4279 * CHOOSE(CONTROL!$C$32, $C$9, 100%, $E$9)</f>
        <v>17.427900000000001</v>
      </c>
    </row>
    <row r="1049" spans="1:15" ht="15" x14ac:dyDescent="0.2">
      <c r="A1049" s="13">
        <v>72776</v>
      </c>
      <c r="B1049" s="9">
        <f>15.5673 * CHOOSE(CONTROL!$C$32, $C$9, 100%, $E$9)</f>
        <v>15.567299999999999</v>
      </c>
      <c r="C1049" s="9">
        <f>15.5673 * CHOOSE(CONTROL!$C$32, $C$9, 100%, $E$9)</f>
        <v>15.567299999999999</v>
      </c>
      <c r="D1049" s="9">
        <f>15.5683 * CHOOSE(CONTROL!$C$32, $C$9, 100%, $E$9)</f>
        <v>15.568300000000001</v>
      </c>
      <c r="E1049" s="11">
        <f>17.8386 * CHOOSE(CONTROL!$C$32, $C$9, 100%, $E$9)</f>
        <v>17.8386</v>
      </c>
      <c r="F1049" s="11">
        <f>17.8386 * CHOOSE(CONTROL!$C$32, $C$9, 100%, $E$9)</f>
        <v>17.8386</v>
      </c>
      <c r="G1049" s="11">
        <f>17.8422 * CHOOSE(CONTROL!$C$32, $C$9, 100%, $E$9)</f>
        <v>17.842199999999998</v>
      </c>
      <c r="H1049" s="11">
        <f>35.843 * CHOOSE(CONTROL!$C$32, $C$9, 100%, $E$9)</f>
        <v>35.843000000000004</v>
      </c>
      <c r="I1049" s="11">
        <f>35.8467 * CHOOSE(CONTROL!$C$32, $C$9, 100%, $E$9)</f>
        <v>35.846699999999998</v>
      </c>
      <c r="J1049" s="11">
        <f>35.843 * CHOOSE(CONTROL!$C$32, $C$9, 100%, $E$9)</f>
        <v>35.843000000000004</v>
      </c>
      <c r="K1049" s="11">
        <f>35.8467 * CHOOSE(CONTROL!$C$32, $C$9, 100%, $E$9)</f>
        <v>35.846699999999998</v>
      </c>
      <c r="L1049" s="11">
        <f>17.8386 * CHOOSE(CONTROL!$C$32, $C$9, 100%, $E$9)</f>
        <v>17.8386</v>
      </c>
      <c r="M1049" s="11">
        <f>17.8422 * CHOOSE(CONTROL!$C$32, $C$9, 100%, $E$9)</f>
        <v>17.842199999999998</v>
      </c>
      <c r="N1049" s="11">
        <f>17.8386 * CHOOSE(CONTROL!$C$32, $C$9, 100%, $E$9)</f>
        <v>17.8386</v>
      </c>
      <c r="O1049" s="11">
        <f>17.8422 * CHOOSE(CONTROL!$C$32, $C$9, 100%, $E$9)</f>
        <v>17.842199999999998</v>
      </c>
    </row>
    <row r="1050" spans="1:15" ht="15" x14ac:dyDescent="0.2">
      <c r="A1050" s="13">
        <v>72806</v>
      </c>
      <c r="B1050" s="9">
        <f>15.5673 * CHOOSE(CONTROL!$C$32, $C$9, 100%, $E$9)</f>
        <v>15.567299999999999</v>
      </c>
      <c r="C1050" s="9">
        <f>15.5673 * CHOOSE(CONTROL!$C$32, $C$9, 100%, $E$9)</f>
        <v>15.567299999999999</v>
      </c>
      <c r="D1050" s="9">
        <f>15.5688 * CHOOSE(CONTROL!$C$32, $C$9, 100%, $E$9)</f>
        <v>15.5688</v>
      </c>
      <c r="E1050" s="11">
        <f>17.9956 * CHOOSE(CONTROL!$C$32, $C$9, 100%, $E$9)</f>
        <v>17.9956</v>
      </c>
      <c r="F1050" s="11">
        <f>17.9956 * CHOOSE(CONTROL!$C$32, $C$9, 100%, $E$9)</f>
        <v>17.9956</v>
      </c>
      <c r="G1050" s="11">
        <f>18.0009 * CHOOSE(CONTROL!$C$32, $C$9, 100%, $E$9)</f>
        <v>18.000900000000001</v>
      </c>
      <c r="H1050" s="11">
        <f>35.9177 * CHOOSE(CONTROL!$C$32, $C$9, 100%, $E$9)</f>
        <v>35.917700000000004</v>
      </c>
      <c r="I1050" s="11">
        <f>35.923 * CHOOSE(CONTROL!$C$32, $C$9, 100%, $E$9)</f>
        <v>35.923000000000002</v>
      </c>
      <c r="J1050" s="11">
        <f>35.9177 * CHOOSE(CONTROL!$C$32, $C$9, 100%, $E$9)</f>
        <v>35.917700000000004</v>
      </c>
      <c r="K1050" s="11">
        <f>35.923 * CHOOSE(CONTROL!$C$32, $C$9, 100%, $E$9)</f>
        <v>35.923000000000002</v>
      </c>
      <c r="L1050" s="11">
        <f>17.9956 * CHOOSE(CONTROL!$C$32, $C$9, 100%, $E$9)</f>
        <v>17.9956</v>
      </c>
      <c r="M1050" s="11">
        <f>18.0009 * CHOOSE(CONTROL!$C$32, $C$9, 100%, $E$9)</f>
        <v>18.000900000000001</v>
      </c>
      <c r="N1050" s="11">
        <f>17.9956 * CHOOSE(CONTROL!$C$32, $C$9, 100%, $E$9)</f>
        <v>17.9956</v>
      </c>
      <c r="O1050" s="11">
        <f>18.0009 * CHOOSE(CONTROL!$C$32, $C$9, 100%, $E$9)</f>
        <v>18.000900000000001</v>
      </c>
    </row>
    <row r="1051" spans="1:15" ht="15" x14ac:dyDescent="0.2">
      <c r="A1051" s="13">
        <v>72837</v>
      </c>
      <c r="B1051" s="9">
        <f>15.5733 * CHOOSE(CONTROL!$C$32, $C$9, 100%, $E$9)</f>
        <v>15.5733</v>
      </c>
      <c r="C1051" s="9">
        <f>15.5733 * CHOOSE(CONTROL!$C$32, $C$9, 100%, $E$9)</f>
        <v>15.5733</v>
      </c>
      <c r="D1051" s="9">
        <f>15.5749 * CHOOSE(CONTROL!$C$32, $C$9, 100%, $E$9)</f>
        <v>15.5749</v>
      </c>
      <c r="E1051" s="11">
        <f>17.8428 * CHOOSE(CONTROL!$C$32, $C$9, 100%, $E$9)</f>
        <v>17.8428</v>
      </c>
      <c r="F1051" s="11">
        <f>17.8428 * CHOOSE(CONTROL!$C$32, $C$9, 100%, $E$9)</f>
        <v>17.8428</v>
      </c>
      <c r="G1051" s="11">
        <f>17.8481 * CHOOSE(CONTROL!$C$32, $C$9, 100%, $E$9)</f>
        <v>17.848099999999999</v>
      </c>
      <c r="H1051" s="11">
        <f>35.9926 * CHOOSE(CONTROL!$C$32, $C$9, 100%, $E$9)</f>
        <v>35.992600000000003</v>
      </c>
      <c r="I1051" s="11">
        <f>35.9978 * CHOOSE(CONTROL!$C$32, $C$9, 100%, $E$9)</f>
        <v>35.997799999999998</v>
      </c>
      <c r="J1051" s="11">
        <f>35.9926 * CHOOSE(CONTROL!$C$32, $C$9, 100%, $E$9)</f>
        <v>35.992600000000003</v>
      </c>
      <c r="K1051" s="11">
        <f>35.9978 * CHOOSE(CONTROL!$C$32, $C$9, 100%, $E$9)</f>
        <v>35.997799999999998</v>
      </c>
      <c r="L1051" s="11">
        <f>17.8428 * CHOOSE(CONTROL!$C$32, $C$9, 100%, $E$9)</f>
        <v>17.8428</v>
      </c>
      <c r="M1051" s="11">
        <f>17.8481 * CHOOSE(CONTROL!$C$32, $C$9, 100%, $E$9)</f>
        <v>17.848099999999999</v>
      </c>
      <c r="N1051" s="11">
        <f>17.8428 * CHOOSE(CONTROL!$C$32, $C$9, 100%, $E$9)</f>
        <v>17.8428</v>
      </c>
      <c r="O1051" s="11">
        <f>17.8481 * CHOOSE(CONTROL!$C$32, $C$9, 100%, $E$9)</f>
        <v>17.848099999999999</v>
      </c>
    </row>
    <row r="1052" spans="1:15" ht="15" x14ac:dyDescent="0.2">
      <c r="A1052" s="13">
        <v>72867</v>
      </c>
      <c r="B1052" s="9">
        <f>15.7588 * CHOOSE(CONTROL!$C$32, $C$9, 100%, $E$9)</f>
        <v>15.758800000000001</v>
      </c>
      <c r="C1052" s="9">
        <f>15.7588 * CHOOSE(CONTROL!$C$32, $C$9, 100%, $E$9)</f>
        <v>15.758800000000001</v>
      </c>
      <c r="D1052" s="9">
        <f>15.7604 * CHOOSE(CONTROL!$C$32, $C$9, 100%, $E$9)</f>
        <v>15.760400000000001</v>
      </c>
      <c r="E1052" s="11">
        <f>18.0969 * CHOOSE(CONTROL!$C$32, $C$9, 100%, $E$9)</f>
        <v>18.096900000000002</v>
      </c>
      <c r="F1052" s="11">
        <f>18.0969 * CHOOSE(CONTROL!$C$32, $C$9, 100%, $E$9)</f>
        <v>18.096900000000002</v>
      </c>
      <c r="G1052" s="11">
        <f>18.1022 * CHOOSE(CONTROL!$C$32, $C$9, 100%, $E$9)</f>
        <v>18.1022</v>
      </c>
      <c r="H1052" s="11">
        <f>36.0675 * CHOOSE(CONTROL!$C$32, $C$9, 100%, $E$9)</f>
        <v>36.067500000000003</v>
      </c>
      <c r="I1052" s="11">
        <f>36.0728 * CHOOSE(CONTROL!$C$32, $C$9, 100%, $E$9)</f>
        <v>36.072800000000001</v>
      </c>
      <c r="J1052" s="11">
        <f>36.0675 * CHOOSE(CONTROL!$C$32, $C$9, 100%, $E$9)</f>
        <v>36.067500000000003</v>
      </c>
      <c r="K1052" s="11">
        <f>36.0728 * CHOOSE(CONTROL!$C$32, $C$9, 100%, $E$9)</f>
        <v>36.072800000000001</v>
      </c>
      <c r="L1052" s="11">
        <f>18.0969 * CHOOSE(CONTROL!$C$32, $C$9, 100%, $E$9)</f>
        <v>18.096900000000002</v>
      </c>
      <c r="M1052" s="11">
        <f>18.1022 * CHOOSE(CONTROL!$C$32, $C$9, 100%, $E$9)</f>
        <v>18.1022</v>
      </c>
      <c r="N1052" s="11">
        <f>18.0969 * CHOOSE(CONTROL!$C$32, $C$9, 100%, $E$9)</f>
        <v>18.096900000000002</v>
      </c>
      <c r="O1052" s="11">
        <f>18.1022 * CHOOSE(CONTROL!$C$32, $C$9, 100%, $E$9)</f>
        <v>18.1022</v>
      </c>
    </row>
    <row r="1053" spans="1:15" ht="15" x14ac:dyDescent="0.2">
      <c r="A1053" s="13">
        <v>72898</v>
      </c>
      <c r="B1053" s="9">
        <f>15.7655 * CHOOSE(CONTROL!$C$32, $C$9, 100%, $E$9)</f>
        <v>15.765499999999999</v>
      </c>
      <c r="C1053" s="9">
        <f>15.7655 * CHOOSE(CONTROL!$C$32, $C$9, 100%, $E$9)</f>
        <v>15.765499999999999</v>
      </c>
      <c r="D1053" s="9">
        <f>15.7671 * CHOOSE(CONTROL!$C$32, $C$9, 100%, $E$9)</f>
        <v>15.767099999999999</v>
      </c>
      <c r="E1053" s="11">
        <f>17.6307 * CHOOSE(CONTROL!$C$32, $C$9, 100%, $E$9)</f>
        <v>17.630700000000001</v>
      </c>
      <c r="F1053" s="11">
        <f>17.6307 * CHOOSE(CONTROL!$C$32, $C$9, 100%, $E$9)</f>
        <v>17.630700000000001</v>
      </c>
      <c r="G1053" s="11">
        <f>17.636 * CHOOSE(CONTROL!$C$32, $C$9, 100%, $E$9)</f>
        <v>17.635999999999999</v>
      </c>
      <c r="H1053" s="11">
        <f>36.1427 * CHOOSE(CONTROL!$C$32, $C$9, 100%, $E$9)</f>
        <v>36.142699999999998</v>
      </c>
      <c r="I1053" s="11">
        <f>36.148 * CHOOSE(CONTROL!$C$32, $C$9, 100%, $E$9)</f>
        <v>36.148000000000003</v>
      </c>
      <c r="J1053" s="11">
        <f>36.1427 * CHOOSE(CONTROL!$C$32, $C$9, 100%, $E$9)</f>
        <v>36.142699999999998</v>
      </c>
      <c r="K1053" s="11">
        <f>36.148 * CHOOSE(CONTROL!$C$32, $C$9, 100%, $E$9)</f>
        <v>36.148000000000003</v>
      </c>
      <c r="L1053" s="11">
        <f>17.6307 * CHOOSE(CONTROL!$C$32, $C$9, 100%, $E$9)</f>
        <v>17.630700000000001</v>
      </c>
      <c r="M1053" s="11">
        <f>17.636 * CHOOSE(CONTROL!$C$32, $C$9, 100%, $E$9)</f>
        <v>17.635999999999999</v>
      </c>
      <c r="N1053" s="11">
        <f>17.6307 * CHOOSE(CONTROL!$C$32, $C$9, 100%, $E$9)</f>
        <v>17.630700000000001</v>
      </c>
      <c r="O1053" s="11">
        <f>17.636 * CHOOSE(CONTROL!$C$32, $C$9, 100%, $E$9)</f>
        <v>17.635999999999999</v>
      </c>
    </row>
    <row r="1054" spans="1:15" ht="15" x14ac:dyDescent="0.2">
      <c r="A1054" s="13">
        <v>72929</v>
      </c>
      <c r="B1054" s="9">
        <f>15.7625 * CHOOSE(CONTROL!$C$32, $C$9, 100%, $E$9)</f>
        <v>15.762499999999999</v>
      </c>
      <c r="C1054" s="9">
        <f>15.7625 * CHOOSE(CONTROL!$C$32, $C$9, 100%, $E$9)</f>
        <v>15.762499999999999</v>
      </c>
      <c r="D1054" s="9">
        <f>15.7641 * CHOOSE(CONTROL!$C$32, $C$9, 100%, $E$9)</f>
        <v>15.764099999999999</v>
      </c>
      <c r="E1054" s="11">
        <f>17.5763 * CHOOSE(CONTROL!$C$32, $C$9, 100%, $E$9)</f>
        <v>17.5763</v>
      </c>
      <c r="F1054" s="11">
        <f>17.5763 * CHOOSE(CONTROL!$C$32, $C$9, 100%, $E$9)</f>
        <v>17.5763</v>
      </c>
      <c r="G1054" s="11">
        <f>17.5816 * CHOOSE(CONTROL!$C$32, $C$9, 100%, $E$9)</f>
        <v>17.581600000000002</v>
      </c>
      <c r="H1054" s="11">
        <f>36.218 * CHOOSE(CONTROL!$C$32, $C$9, 100%, $E$9)</f>
        <v>36.218000000000004</v>
      </c>
      <c r="I1054" s="11">
        <f>36.2233 * CHOOSE(CONTROL!$C$32, $C$9, 100%, $E$9)</f>
        <v>36.223300000000002</v>
      </c>
      <c r="J1054" s="11">
        <f>36.218 * CHOOSE(CONTROL!$C$32, $C$9, 100%, $E$9)</f>
        <v>36.218000000000004</v>
      </c>
      <c r="K1054" s="11">
        <f>36.2233 * CHOOSE(CONTROL!$C$32, $C$9, 100%, $E$9)</f>
        <v>36.223300000000002</v>
      </c>
      <c r="L1054" s="11">
        <f>17.5763 * CHOOSE(CONTROL!$C$32, $C$9, 100%, $E$9)</f>
        <v>17.5763</v>
      </c>
      <c r="M1054" s="11">
        <f>17.5816 * CHOOSE(CONTROL!$C$32, $C$9, 100%, $E$9)</f>
        <v>17.581600000000002</v>
      </c>
      <c r="N1054" s="11">
        <f>17.5763 * CHOOSE(CONTROL!$C$32, $C$9, 100%, $E$9)</f>
        <v>17.5763</v>
      </c>
      <c r="O1054" s="11">
        <f>17.5816 * CHOOSE(CONTROL!$C$32, $C$9, 100%, $E$9)</f>
        <v>17.581600000000002</v>
      </c>
    </row>
    <row r="1055" spans="1:15" ht="15" x14ac:dyDescent="0.2">
      <c r="A1055" s="13">
        <v>72959</v>
      </c>
      <c r="B1055" s="9">
        <f>15.8016 * CHOOSE(CONTROL!$C$32, $C$9, 100%, $E$9)</f>
        <v>15.801600000000001</v>
      </c>
      <c r="C1055" s="9">
        <f>15.8016 * CHOOSE(CONTROL!$C$32, $C$9, 100%, $E$9)</f>
        <v>15.801600000000001</v>
      </c>
      <c r="D1055" s="9">
        <f>15.8026 * CHOOSE(CONTROL!$C$32, $C$9, 100%, $E$9)</f>
        <v>15.8026</v>
      </c>
      <c r="E1055" s="11">
        <f>17.7721 * CHOOSE(CONTROL!$C$32, $C$9, 100%, $E$9)</f>
        <v>17.772099999999998</v>
      </c>
      <c r="F1055" s="11">
        <f>17.7721 * CHOOSE(CONTROL!$C$32, $C$9, 100%, $E$9)</f>
        <v>17.772099999999998</v>
      </c>
      <c r="G1055" s="11">
        <f>17.7758 * CHOOSE(CONTROL!$C$32, $C$9, 100%, $E$9)</f>
        <v>17.7758</v>
      </c>
      <c r="H1055" s="11">
        <f>36.2934 * CHOOSE(CONTROL!$C$32, $C$9, 100%, $E$9)</f>
        <v>36.293399999999998</v>
      </c>
      <c r="I1055" s="11">
        <f>36.297 * CHOOSE(CONTROL!$C$32, $C$9, 100%, $E$9)</f>
        <v>36.296999999999997</v>
      </c>
      <c r="J1055" s="11">
        <f>36.2934 * CHOOSE(CONTROL!$C$32, $C$9, 100%, $E$9)</f>
        <v>36.293399999999998</v>
      </c>
      <c r="K1055" s="11">
        <f>36.297 * CHOOSE(CONTROL!$C$32, $C$9, 100%, $E$9)</f>
        <v>36.296999999999997</v>
      </c>
      <c r="L1055" s="11">
        <f>17.7721 * CHOOSE(CONTROL!$C$32, $C$9, 100%, $E$9)</f>
        <v>17.772099999999998</v>
      </c>
      <c r="M1055" s="11">
        <f>17.7758 * CHOOSE(CONTROL!$C$32, $C$9, 100%, $E$9)</f>
        <v>17.7758</v>
      </c>
      <c r="N1055" s="11">
        <f>17.7721 * CHOOSE(CONTROL!$C$32, $C$9, 100%, $E$9)</f>
        <v>17.772099999999998</v>
      </c>
      <c r="O1055" s="11">
        <f>17.7758 * CHOOSE(CONTROL!$C$32, $C$9, 100%, $E$9)</f>
        <v>17.7758</v>
      </c>
    </row>
    <row r="1056" spans="1:15" ht="15" x14ac:dyDescent="0.2">
      <c r="A1056" s="13">
        <v>72990</v>
      </c>
      <c r="B1056" s="9">
        <f>15.8046 * CHOOSE(CONTROL!$C$32, $C$9, 100%, $E$9)</f>
        <v>15.804600000000001</v>
      </c>
      <c r="C1056" s="9">
        <f>15.8046 * CHOOSE(CONTROL!$C$32, $C$9, 100%, $E$9)</f>
        <v>15.804600000000001</v>
      </c>
      <c r="D1056" s="9">
        <f>15.8057 * CHOOSE(CONTROL!$C$32, $C$9, 100%, $E$9)</f>
        <v>15.8057</v>
      </c>
      <c r="E1056" s="11">
        <f>17.8789 * CHOOSE(CONTROL!$C$32, $C$9, 100%, $E$9)</f>
        <v>17.878900000000002</v>
      </c>
      <c r="F1056" s="11">
        <f>17.8789 * CHOOSE(CONTROL!$C$32, $C$9, 100%, $E$9)</f>
        <v>17.878900000000002</v>
      </c>
      <c r="G1056" s="11">
        <f>17.8825 * CHOOSE(CONTROL!$C$32, $C$9, 100%, $E$9)</f>
        <v>17.8825</v>
      </c>
      <c r="H1056" s="11">
        <f>36.369 * CHOOSE(CONTROL!$C$32, $C$9, 100%, $E$9)</f>
        <v>36.369</v>
      </c>
      <c r="I1056" s="11">
        <f>36.3727 * CHOOSE(CONTROL!$C$32, $C$9, 100%, $E$9)</f>
        <v>36.372700000000002</v>
      </c>
      <c r="J1056" s="11">
        <f>36.369 * CHOOSE(CONTROL!$C$32, $C$9, 100%, $E$9)</f>
        <v>36.369</v>
      </c>
      <c r="K1056" s="11">
        <f>36.3727 * CHOOSE(CONTROL!$C$32, $C$9, 100%, $E$9)</f>
        <v>36.372700000000002</v>
      </c>
      <c r="L1056" s="11">
        <f>17.8789 * CHOOSE(CONTROL!$C$32, $C$9, 100%, $E$9)</f>
        <v>17.878900000000002</v>
      </c>
      <c r="M1056" s="11">
        <f>17.8825 * CHOOSE(CONTROL!$C$32, $C$9, 100%, $E$9)</f>
        <v>17.8825</v>
      </c>
      <c r="N1056" s="11">
        <f>17.8789 * CHOOSE(CONTROL!$C$32, $C$9, 100%, $E$9)</f>
        <v>17.878900000000002</v>
      </c>
      <c r="O1056" s="11">
        <f>17.8825 * CHOOSE(CONTROL!$C$32, $C$9, 100%, $E$9)</f>
        <v>17.8825</v>
      </c>
    </row>
    <row r="1057" spans="1:15" ht="15" x14ac:dyDescent="0.2">
      <c r="A1057" s="13">
        <v>73020</v>
      </c>
      <c r="B1057" s="9">
        <f>15.8046 * CHOOSE(CONTROL!$C$32, $C$9, 100%, $E$9)</f>
        <v>15.804600000000001</v>
      </c>
      <c r="C1057" s="9">
        <f>15.8046 * CHOOSE(CONTROL!$C$32, $C$9, 100%, $E$9)</f>
        <v>15.804600000000001</v>
      </c>
      <c r="D1057" s="9">
        <f>15.8057 * CHOOSE(CONTROL!$C$32, $C$9, 100%, $E$9)</f>
        <v>15.8057</v>
      </c>
      <c r="E1057" s="11">
        <f>17.6173 * CHOOSE(CONTROL!$C$32, $C$9, 100%, $E$9)</f>
        <v>17.6173</v>
      </c>
      <c r="F1057" s="11">
        <f>17.6173 * CHOOSE(CONTROL!$C$32, $C$9, 100%, $E$9)</f>
        <v>17.6173</v>
      </c>
      <c r="G1057" s="11">
        <f>17.6209 * CHOOSE(CONTROL!$C$32, $C$9, 100%, $E$9)</f>
        <v>17.620899999999999</v>
      </c>
      <c r="H1057" s="11">
        <f>36.4448 * CHOOSE(CONTROL!$C$32, $C$9, 100%, $E$9)</f>
        <v>36.444800000000001</v>
      </c>
      <c r="I1057" s="11">
        <f>36.4484 * CHOOSE(CONTROL!$C$32, $C$9, 100%, $E$9)</f>
        <v>36.448399999999999</v>
      </c>
      <c r="J1057" s="11">
        <f>36.4448 * CHOOSE(CONTROL!$C$32, $C$9, 100%, $E$9)</f>
        <v>36.444800000000001</v>
      </c>
      <c r="K1057" s="11">
        <f>36.4484 * CHOOSE(CONTROL!$C$32, $C$9, 100%, $E$9)</f>
        <v>36.448399999999999</v>
      </c>
      <c r="L1057" s="11">
        <f>17.6173 * CHOOSE(CONTROL!$C$32, $C$9, 100%, $E$9)</f>
        <v>17.6173</v>
      </c>
      <c r="M1057" s="11">
        <f>17.6209 * CHOOSE(CONTROL!$C$32, $C$9, 100%, $E$9)</f>
        <v>17.620899999999999</v>
      </c>
      <c r="N1057" s="11">
        <f>17.6173 * CHOOSE(CONTROL!$C$32, $C$9, 100%, $E$9)</f>
        <v>17.6173</v>
      </c>
      <c r="O1057" s="11">
        <f>17.6209 * CHOOSE(CONTROL!$C$32, $C$9, 100%, $E$9)</f>
        <v>17.620899999999999</v>
      </c>
    </row>
    <row r="1058" spans="1:15" ht="15" x14ac:dyDescent="0.2">
      <c r="A1058" s="13">
        <v>73051</v>
      </c>
      <c r="B1058" s="9">
        <f>15.7518 * CHOOSE(CONTROL!$C$32, $C$9, 100%, $E$9)</f>
        <v>15.751799999999999</v>
      </c>
      <c r="C1058" s="9">
        <f>15.7518 * CHOOSE(CONTROL!$C$32, $C$9, 100%, $E$9)</f>
        <v>15.751799999999999</v>
      </c>
      <c r="D1058" s="9">
        <f>15.7529 * CHOOSE(CONTROL!$C$32, $C$9, 100%, $E$9)</f>
        <v>15.7529</v>
      </c>
      <c r="E1058" s="11">
        <f>17.7456 * CHOOSE(CONTROL!$C$32, $C$9, 100%, $E$9)</f>
        <v>17.7456</v>
      </c>
      <c r="F1058" s="11">
        <f>17.7456 * CHOOSE(CONTROL!$C$32, $C$9, 100%, $E$9)</f>
        <v>17.7456</v>
      </c>
      <c r="G1058" s="11">
        <f>17.7493 * CHOOSE(CONTROL!$C$32, $C$9, 100%, $E$9)</f>
        <v>17.749300000000002</v>
      </c>
      <c r="H1058" s="11">
        <f>36.0735 * CHOOSE(CONTROL!$C$32, $C$9, 100%, $E$9)</f>
        <v>36.073500000000003</v>
      </c>
      <c r="I1058" s="11">
        <f>36.0771 * CHOOSE(CONTROL!$C$32, $C$9, 100%, $E$9)</f>
        <v>36.077100000000002</v>
      </c>
      <c r="J1058" s="11">
        <f>36.0735 * CHOOSE(CONTROL!$C$32, $C$9, 100%, $E$9)</f>
        <v>36.073500000000003</v>
      </c>
      <c r="K1058" s="11">
        <f>36.0771 * CHOOSE(CONTROL!$C$32, $C$9, 100%, $E$9)</f>
        <v>36.077100000000002</v>
      </c>
      <c r="L1058" s="11">
        <f>17.7456 * CHOOSE(CONTROL!$C$32, $C$9, 100%, $E$9)</f>
        <v>17.7456</v>
      </c>
      <c r="M1058" s="11">
        <f>17.7493 * CHOOSE(CONTROL!$C$32, $C$9, 100%, $E$9)</f>
        <v>17.749300000000002</v>
      </c>
      <c r="N1058" s="11">
        <f>17.7456 * CHOOSE(CONTROL!$C$32, $C$9, 100%, $E$9)</f>
        <v>17.7456</v>
      </c>
      <c r="O1058" s="11">
        <f>17.7493 * CHOOSE(CONTROL!$C$32, $C$9, 100%, $E$9)</f>
        <v>17.749300000000002</v>
      </c>
    </row>
    <row r="1059" spans="1:15" ht="15" x14ac:dyDescent="0.2">
      <c r="A1059" s="13">
        <v>73082</v>
      </c>
      <c r="B1059" s="9">
        <f>15.7488 * CHOOSE(CONTROL!$C$32, $C$9, 100%, $E$9)</f>
        <v>15.748799999999999</v>
      </c>
      <c r="C1059" s="9">
        <f>15.7488 * CHOOSE(CONTROL!$C$32, $C$9, 100%, $E$9)</f>
        <v>15.748799999999999</v>
      </c>
      <c r="D1059" s="9">
        <f>15.7498 * CHOOSE(CONTROL!$C$32, $C$9, 100%, $E$9)</f>
        <v>15.7498</v>
      </c>
      <c r="E1059" s="11">
        <f>17.242 * CHOOSE(CONTROL!$C$32, $C$9, 100%, $E$9)</f>
        <v>17.242000000000001</v>
      </c>
      <c r="F1059" s="11">
        <f>17.242 * CHOOSE(CONTROL!$C$32, $C$9, 100%, $E$9)</f>
        <v>17.242000000000001</v>
      </c>
      <c r="G1059" s="11">
        <f>17.2457 * CHOOSE(CONTROL!$C$32, $C$9, 100%, $E$9)</f>
        <v>17.245699999999999</v>
      </c>
      <c r="H1059" s="11">
        <f>36.1486 * CHOOSE(CONTROL!$C$32, $C$9, 100%, $E$9)</f>
        <v>36.148600000000002</v>
      </c>
      <c r="I1059" s="11">
        <f>36.1522 * CHOOSE(CONTROL!$C$32, $C$9, 100%, $E$9)</f>
        <v>36.152200000000001</v>
      </c>
      <c r="J1059" s="11">
        <f>36.1486 * CHOOSE(CONTROL!$C$32, $C$9, 100%, $E$9)</f>
        <v>36.148600000000002</v>
      </c>
      <c r="K1059" s="11">
        <f>36.1522 * CHOOSE(CONTROL!$C$32, $C$9, 100%, $E$9)</f>
        <v>36.152200000000001</v>
      </c>
      <c r="L1059" s="11">
        <f>17.242 * CHOOSE(CONTROL!$C$32, $C$9, 100%, $E$9)</f>
        <v>17.242000000000001</v>
      </c>
      <c r="M1059" s="11">
        <f>17.2457 * CHOOSE(CONTROL!$C$32, $C$9, 100%, $E$9)</f>
        <v>17.245699999999999</v>
      </c>
      <c r="N1059" s="11">
        <f>17.242 * CHOOSE(CONTROL!$C$32, $C$9, 100%, $E$9)</f>
        <v>17.242000000000001</v>
      </c>
      <c r="O1059" s="11">
        <f>17.2457 * CHOOSE(CONTROL!$C$32, $C$9, 100%, $E$9)</f>
        <v>17.245699999999999</v>
      </c>
    </row>
    <row r="1060" spans="1:15" ht="15" x14ac:dyDescent="0.2">
      <c r="A1060" s="13">
        <v>73110</v>
      </c>
      <c r="B1060" s="9">
        <f>15.7457 * CHOOSE(CONTROL!$C$32, $C$9, 100%, $E$9)</f>
        <v>15.745699999999999</v>
      </c>
      <c r="C1060" s="9">
        <f>15.7457 * CHOOSE(CONTROL!$C$32, $C$9, 100%, $E$9)</f>
        <v>15.745699999999999</v>
      </c>
      <c r="D1060" s="9">
        <f>15.7468 * CHOOSE(CONTROL!$C$32, $C$9, 100%, $E$9)</f>
        <v>15.7468</v>
      </c>
      <c r="E1060" s="11">
        <f>17.6353 * CHOOSE(CONTROL!$C$32, $C$9, 100%, $E$9)</f>
        <v>17.635300000000001</v>
      </c>
      <c r="F1060" s="11">
        <f>17.6353 * CHOOSE(CONTROL!$C$32, $C$9, 100%, $E$9)</f>
        <v>17.635300000000001</v>
      </c>
      <c r="G1060" s="11">
        <f>17.6389 * CHOOSE(CONTROL!$C$32, $C$9, 100%, $E$9)</f>
        <v>17.6389</v>
      </c>
      <c r="H1060" s="11">
        <f>36.2239 * CHOOSE(CONTROL!$C$32, $C$9, 100%, $E$9)</f>
        <v>36.2239</v>
      </c>
      <c r="I1060" s="11">
        <f>36.2275 * CHOOSE(CONTROL!$C$32, $C$9, 100%, $E$9)</f>
        <v>36.227499999999999</v>
      </c>
      <c r="J1060" s="11">
        <f>36.2239 * CHOOSE(CONTROL!$C$32, $C$9, 100%, $E$9)</f>
        <v>36.2239</v>
      </c>
      <c r="K1060" s="11">
        <f>36.2275 * CHOOSE(CONTROL!$C$32, $C$9, 100%, $E$9)</f>
        <v>36.227499999999999</v>
      </c>
      <c r="L1060" s="11">
        <f>17.6353 * CHOOSE(CONTROL!$C$32, $C$9, 100%, $E$9)</f>
        <v>17.635300000000001</v>
      </c>
      <c r="M1060" s="11">
        <f>17.6389 * CHOOSE(CONTROL!$C$32, $C$9, 100%, $E$9)</f>
        <v>17.6389</v>
      </c>
      <c r="N1060" s="11">
        <f>17.6353 * CHOOSE(CONTROL!$C$32, $C$9, 100%, $E$9)</f>
        <v>17.635300000000001</v>
      </c>
      <c r="O1060" s="11">
        <f>17.6389 * CHOOSE(CONTROL!$C$32, $C$9, 100%, $E$9)</f>
        <v>17.6389</v>
      </c>
    </row>
    <row r="1061" spans="1:15" ht="15" x14ac:dyDescent="0.2">
      <c r="A1061" s="13">
        <v>73141</v>
      </c>
      <c r="B1061" s="9">
        <f>15.7548 * CHOOSE(CONTROL!$C$32, $C$9, 100%, $E$9)</f>
        <v>15.754799999999999</v>
      </c>
      <c r="C1061" s="9">
        <f>15.7548 * CHOOSE(CONTROL!$C$32, $C$9, 100%, $E$9)</f>
        <v>15.754799999999999</v>
      </c>
      <c r="D1061" s="9">
        <f>15.7559 * CHOOSE(CONTROL!$C$32, $C$9, 100%, $E$9)</f>
        <v>15.7559</v>
      </c>
      <c r="E1061" s="11">
        <f>18.0556 * CHOOSE(CONTROL!$C$32, $C$9, 100%, $E$9)</f>
        <v>18.055599999999998</v>
      </c>
      <c r="F1061" s="11">
        <f>18.0556 * CHOOSE(CONTROL!$C$32, $C$9, 100%, $E$9)</f>
        <v>18.055599999999998</v>
      </c>
      <c r="G1061" s="11">
        <f>18.0592 * CHOOSE(CONTROL!$C$32, $C$9, 100%, $E$9)</f>
        <v>18.059200000000001</v>
      </c>
      <c r="H1061" s="11">
        <f>36.2994 * CHOOSE(CONTROL!$C$32, $C$9, 100%, $E$9)</f>
        <v>36.299399999999999</v>
      </c>
      <c r="I1061" s="11">
        <f>36.303 * CHOOSE(CONTROL!$C$32, $C$9, 100%, $E$9)</f>
        <v>36.302999999999997</v>
      </c>
      <c r="J1061" s="11">
        <f>36.2994 * CHOOSE(CONTROL!$C$32, $C$9, 100%, $E$9)</f>
        <v>36.299399999999999</v>
      </c>
      <c r="K1061" s="11">
        <f>36.303 * CHOOSE(CONTROL!$C$32, $C$9, 100%, $E$9)</f>
        <v>36.302999999999997</v>
      </c>
      <c r="L1061" s="11">
        <f>18.0556 * CHOOSE(CONTROL!$C$32, $C$9, 100%, $E$9)</f>
        <v>18.055599999999998</v>
      </c>
      <c r="M1061" s="11">
        <f>18.0592 * CHOOSE(CONTROL!$C$32, $C$9, 100%, $E$9)</f>
        <v>18.059200000000001</v>
      </c>
      <c r="N1061" s="11">
        <f>18.0556 * CHOOSE(CONTROL!$C$32, $C$9, 100%, $E$9)</f>
        <v>18.055599999999998</v>
      </c>
      <c r="O1061" s="11">
        <f>18.0592 * CHOOSE(CONTROL!$C$32, $C$9, 100%, $E$9)</f>
        <v>18.059200000000001</v>
      </c>
    </row>
    <row r="1062" spans="1:15" ht="15" x14ac:dyDescent="0.2">
      <c r="A1062" s="13">
        <v>73171</v>
      </c>
      <c r="B1062" s="9">
        <f>15.7548 * CHOOSE(CONTROL!$C$32, $C$9, 100%, $E$9)</f>
        <v>15.754799999999999</v>
      </c>
      <c r="C1062" s="9">
        <f>15.7548 * CHOOSE(CONTROL!$C$32, $C$9, 100%, $E$9)</f>
        <v>15.754799999999999</v>
      </c>
      <c r="D1062" s="9">
        <f>15.7564 * CHOOSE(CONTROL!$C$32, $C$9, 100%, $E$9)</f>
        <v>15.756399999999999</v>
      </c>
      <c r="E1062" s="11">
        <f>18.2148 * CHOOSE(CONTROL!$C$32, $C$9, 100%, $E$9)</f>
        <v>18.2148</v>
      </c>
      <c r="F1062" s="11">
        <f>18.2148 * CHOOSE(CONTROL!$C$32, $C$9, 100%, $E$9)</f>
        <v>18.2148</v>
      </c>
      <c r="G1062" s="11">
        <f>18.2201 * CHOOSE(CONTROL!$C$32, $C$9, 100%, $E$9)</f>
        <v>18.220099999999999</v>
      </c>
      <c r="H1062" s="11">
        <f>36.375 * CHOOSE(CONTROL!$C$32, $C$9, 100%, $E$9)</f>
        <v>36.375</v>
      </c>
      <c r="I1062" s="11">
        <f>36.3803 * CHOOSE(CONTROL!$C$32, $C$9, 100%, $E$9)</f>
        <v>36.380299999999998</v>
      </c>
      <c r="J1062" s="11">
        <f>36.375 * CHOOSE(CONTROL!$C$32, $C$9, 100%, $E$9)</f>
        <v>36.375</v>
      </c>
      <c r="K1062" s="11">
        <f>36.3803 * CHOOSE(CONTROL!$C$32, $C$9, 100%, $E$9)</f>
        <v>36.380299999999998</v>
      </c>
      <c r="L1062" s="11">
        <f>18.2148 * CHOOSE(CONTROL!$C$32, $C$9, 100%, $E$9)</f>
        <v>18.2148</v>
      </c>
      <c r="M1062" s="11">
        <f>18.2201 * CHOOSE(CONTROL!$C$32, $C$9, 100%, $E$9)</f>
        <v>18.220099999999999</v>
      </c>
      <c r="N1062" s="11">
        <f>18.2148 * CHOOSE(CONTROL!$C$32, $C$9, 100%, $E$9)</f>
        <v>18.2148</v>
      </c>
      <c r="O1062" s="11">
        <f>18.2201 * CHOOSE(CONTROL!$C$32, $C$9, 100%, $E$9)</f>
        <v>18.220099999999999</v>
      </c>
    </row>
    <row r="1063" spans="1:15" ht="15" x14ac:dyDescent="0.2">
      <c r="A1063" s="13">
        <v>73202</v>
      </c>
      <c r="B1063" s="9">
        <f>15.7609 * CHOOSE(CONTROL!$C$32, $C$9, 100%, $E$9)</f>
        <v>15.760899999999999</v>
      </c>
      <c r="C1063" s="9">
        <f>15.7609 * CHOOSE(CONTROL!$C$32, $C$9, 100%, $E$9)</f>
        <v>15.760899999999999</v>
      </c>
      <c r="D1063" s="9">
        <f>15.7625 * CHOOSE(CONTROL!$C$32, $C$9, 100%, $E$9)</f>
        <v>15.762499999999999</v>
      </c>
      <c r="E1063" s="11">
        <f>18.0598 * CHOOSE(CONTROL!$C$32, $C$9, 100%, $E$9)</f>
        <v>18.059799999999999</v>
      </c>
      <c r="F1063" s="11">
        <f>18.0598 * CHOOSE(CONTROL!$C$32, $C$9, 100%, $E$9)</f>
        <v>18.059799999999999</v>
      </c>
      <c r="G1063" s="11">
        <f>18.0651 * CHOOSE(CONTROL!$C$32, $C$9, 100%, $E$9)</f>
        <v>18.065100000000001</v>
      </c>
      <c r="H1063" s="11">
        <f>36.4508 * CHOOSE(CONTROL!$C$32, $C$9, 100%, $E$9)</f>
        <v>36.450800000000001</v>
      </c>
      <c r="I1063" s="11">
        <f>36.4561 * CHOOSE(CONTROL!$C$32, $C$9, 100%, $E$9)</f>
        <v>36.456099999999999</v>
      </c>
      <c r="J1063" s="11">
        <f>36.4508 * CHOOSE(CONTROL!$C$32, $C$9, 100%, $E$9)</f>
        <v>36.450800000000001</v>
      </c>
      <c r="K1063" s="11">
        <f>36.4561 * CHOOSE(CONTROL!$C$32, $C$9, 100%, $E$9)</f>
        <v>36.456099999999999</v>
      </c>
      <c r="L1063" s="11">
        <f>18.0598 * CHOOSE(CONTROL!$C$32, $C$9, 100%, $E$9)</f>
        <v>18.059799999999999</v>
      </c>
      <c r="M1063" s="11">
        <f>18.0651 * CHOOSE(CONTROL!$C$32, $C$9, 100%, $E$9)</f>
        <v>18.065100000000001</v>
      </c>
      <c r="N1063" s="11">
        <f>18.0598 * CHOOSE(CONTROL!$C$32, $C$9, 100%, $E$9)</f>
        <v>18.059799999999999</v>
      </c>
      <c r="O1063" s="11">
        <f>18.0651 * CHOOSE(CONTROL!$C$32, $C$9, 100%, $E$9)</f>
        <v>18.065100000000001</v>
      </c>
    </row>
    <row r="1064" spans="1:15" ht="15" x14ac:dyDescent="0.2">
      <c r="A1064" s="13">
        <v>73232</v>
      </c>
      <c r="B1064" s="9">
        <f>15.9484 * CHOOSE(CONTROL!$C$32, $C$9, 100%, $E$9)</f>
        <v>15.948399999999999</v>
      </c>
      <c r="C1064" s="9">
        <f>15.9484 * CHOOSE(CONTROL!$C$32, $C$9, 100%, $E$9)</f>
        <v>15.948399999999999</v>
      </c>
      <c r="D1064" s="9">
        <f>15.95 * CHOOSE(CONTROL!$C$32, $C$9, 100%, $E$9)</f>
        <v>15.95</v>
      </c>
      <c r="E1064" s="11">
        <f>18.3171 * CHOOSE(CONTROL!$C$32, $C$9, 100%, $E$9)</f>
        <v>18.3171</v>
      </c>
      <c r="F1064" s="11">
        <f>18.3171 * CHOOSE(CONTROL!$C$32, $C$9, 100%, $E$9)</f>
        <v>18.3171</v>
      </c>
      <c r="G1064" s="11">
        <f>18.3224 * CHOOSE(CONTROL!$C$32, $C$9, 100%, $E$9)</f>
        <v>18.322399999999998</v>
      </c>
      <c r="H1064" s="11">
        <f>36.5267 * CHOOSE(CONTROL!$C$32, $C$9, 100%, $E$9)</f>
        <v>36.526699999999998</v>
      </c>
      <c r="I1064" s="11">
        <f>36.532 * CHOOSE(CONTROL!$C$32, $C$9, 100%, $E$9)</f>
        <v>36.531999999999996</v>
      </c>
      <c r="J1064" s="11">
        <f>36.5267 * CHOOSE(CONTROL!$C$32, $C$9, 100%, $E$9)</f>
        <v>36.526699999999998</v>
      </c>
      <c r="K1064" s="11">
        <f>36.532 * CHOOSE(CONTROL!$C$32, $C$9, 100%, $E$9)</f>
        <v>36.531999999999996</v>
      </c>
      <c r="L1064" s="11">
        <f>18.3171 * CHOOSE(CONTROL!$C$32, $C$9, 100%, $E$9)</f>
        <v>18.3171</v>
      </c>
      <c r="M1064" s="11">
        <f>18.3224 * CHOOSE(CONTROL!$C$32, $C$9, 100%, $E$9)</f>
        <v>18.322399999999998</v>
      </c>
      <c r="N1064" s="11">
        <f>18.3171 * CHOOSE(CONTROL!$C$32, $C$9, 100%, $E$9)</f>
        <v>18.3171</v>
      </c>
      <c r="O1064" s="11">
        <f>18.3224 * CHOOSE(CONTROL!$C$32, $C$9, 100%, $E$9)</f>
        <v>18.322399999999998</v>
      </c>
    </row>
    <row r="1065" spans="1:15" ht="15" x14ac:dyDescent="0.2">
      <c r="A1065" s="13">
        <v>73263</v>
      </c>
      <c r="B1065" s="9">
        <f>15.9551 * CHOOSE(CONTROL!$C$32, $C$9, 100%, $E$9)</f>
        <v>15.9551</v>
      </c>
      <c r="C1065" s="9">
        <f>15.9551 * CHOOSE(CONTROL!$C$32, $C$9, 100%, $E$9)</f>
        <v>15.9551</v>
      </c>
      <c r="D1065" s="9">
        <f>15.9567 * CHOOSE(CONTROL!$C$32, $C$9, 100%, $E$9)</f>
        <v>15.9567</v>
      </c>
      <c r="E1065" s="11">
        <f>17.8441 * CHOOSE(CONTROL!$C$32, $C$9, 100%, $E$9)</f>
        <v>17.844100000000001</v>
      </c>
      <c r="F1065" s="11">
        <f>17.8441 * CHOOSE(CONTROL!$C$32, $C$9, 100%, $E$9)</f>
        <v>17.844100000000001</v>
      </c>
      <c r="G1065" s="11">
        <f>17.8494 * CHOOSE(CONTROL!$C$32, $C$9, 100%, $E$9)</f>
        <v>17.849399999999999</v>
      </c>
      <c r="H1065" s="11">
        <f>36.6028 * CHOOSE(CONTROL!$C$32, $C$9, 100%, $E$9)</f>
        <v>36.602800000000002</v>
      </c>
      <c r="I1065" s="11">
        <f>36.6081 * CHOOSE(CONTROL!$C$32, $C$9, 100%, $E$9)</f>
        <v>36.6081</v>
      </c>
      <c r="J1065" s="11">
        <f>36.6028 * CHOOSE(CONTROL!$C$32, $C$9, 100%, $E$9)</f>
        <v>36.602800000000002</v>
      </c>
      <c r="K1065" s="11">
        <f>36.6081 * CHOOSE(CONTROL!$C$32, $C$9, 100%, $E$9)</f>
        <v>36.6081</v>
      </c>
      <c r="L1065" s="11">
        <f>17.8441 * CHOOSE(CONTROL!$C$32, $C$9, 100%, $E$9)</f>
        <v>17.844100000000001</v>
      </c>
      <c r="M1065" s="11">
        <f>17.8494 * CHOOSE(CONTROL!$C$32, $C$9, 100%, $E$9)</f>
        <v>17.849399999999999</v>
      </c>
      <c r="N1065" s="11">
        <f>17.8441 * CHOOSE(CONTROL!$C$32, $C$9, 100%, $E$9)</f>
        <v>17.844100000000001</v>
      </c>
      <c r="O1065" s="11">
        <f>17.8494 * CHOOSE(CONTROL!$C$32, $C$9, 100%, $E$9)</f>
        <v>17.849399999999999</v>
      </c>
    </row>
    <row r="1066" spans="1:15" ht="15" x14ac:dyDescent="0.2">
      <c r="A1066" s="13">
        <v>73294</v>
      </c>
      <c r="B1066" s="9">
        <f>15.9521 * CHOOSE(CONTROL!$C$32, $C$9, 100%, $E$9)</f>
        <v>15.9521</v>
      </c>
      <c r="C1066" s="9">
        <f>15.9521 * CHOOSE(CONTROL!$C$32, $C$9, 100%, $E$9)</f>
        <v>15.9521</v>
      </c>
      <c r="D1066" s="9">
        <f>15.9537 * CHOOSE(CONTROL!$C$32, $C$9, 100%, $E$9)</f>
        <v>15.9537</v>
      </c>
      <c r="E1066" s="11">
        <f>17.789 * CHOOSE(CONTROL!$C$32, $C$9, 100%, $E$9)</f>
        <v>17.789000000000001</v>
      </c>
      <c r="F1066" s="11">
        <f>17.789 * CHOOSE(CONTROL!$C$32, $C$9, 100%, $E$9)</f>
        <v>17.789000000000001</v>
      </c>
      <c r="G1066" s="11">
        <f>17.7942 * CHOOSE(CONTROL!$C$32, $C$9, 100%, $E$9)</f>
        <v>17.7942</v>
      </c>
      <c r="H1066" s="11">
        <f>36.6791 * CHOOSE(CONTROL!$C$32, $C$9, 100%, $E$9)</f>
        <v>36.679099999999998</v>
      </c>
      <c r="I1066" s="11">
        <f>36.6844 * CHOOSE(CONTROL!$C$32, $C$9, 100%, $E$9)</f>
        <v>36.684399999999997</v>
      </c>
      <c r="J1066" s="11">
        <f>36.6791 * CHOOSE(CONTROL!$C$32, $C$9, 100%, $E$9)</f>
        <v>36.679099999999998</v>
      </c>
      <c r="K1066" s="11">
        <f>36.6844 * CHOOSE(CONTROL!$C$32, $C$9, 100%, $E$9)</f>
        <v>36.684399999999997</v>
      </c>
      <c r="L1066" s="11">
        <f>17.789 * CHOOSE(CONTROL!$C$32, $C$9, 100%, $E$9)</f>
        <v>17.789000000000001</v>
      </c>
      <c r="M1066" s="11">
        <f>17.7942 * CHOOSE(CONTROL!$C$32, $C$9, 100%, $E$9)</f>
        <v>17.7942</v>
      </c>
      <c r="N1066" s="11">
        <f>17.789 * CHOOSE(CONTROL!$C$32, $C$9, 100%, $E$9)</f>
        <v>17.789000000000001</v>
      </c>
      <c r="O1066" s="11">
        <f>17.7942 * CHOOSE(CONTROL!$C$32, $C$9, 100%, $E$9)</f>
        <v>17.7942</v>
      </c>
    </row>
    <row r="1067" spans="1:15" ht="15" x14ac:dyDescent="0.2">
      <c r="A1067" s="13">
        <v>73324</v>
      </c>
      <c r="B1067" s="9">
        <f>15.9919 * CHOOSE(CONTROL!$C$32, $C$9, 100%, $E$9)</f>
        <v>15.991899999999999</v>
      </c>
      <c r="C1067" s="9">
        <f>15.9919 * CHOOSE(CONTROL!$C$32, $C$9, 100%, $E$9)</f>
        <v>15.991899999999999</v>
      </c>
      <c r="D1067" s="9">
        <f>15.9929 * CHOOSE(CONTROL!$C$32, $C$9, 100%, $E$9)</f>
        <v>15.992900000000001</v>
      </c>
      <c r="E1067" s="11">
        <f>17.9878 * CHOOSE(CONTROL!$C$32, $C$9, 100%, $E$9)</f>
        <v>17.9878</v>
      </c>
      <c r="F1067" s="11">
        <f>17.9878 * CHOOSE(CONTROL!$C$32, $C$9, 100%, $E$9)</f>
        <v>17.9878</v>
      </c>
      <c r="G1067" s="11">
        <f>17.9914 * CHOOSE(CONTROL!$C$32, $C$9, 100%, $E$9)</f>
        <v>17.991399999999999</v>
      </c>
      <c r="H1067" s="11">
        <f>36.7555 * CHOOSE(CONTROL!$C$32, $C$9, 100%, $E$9)</f>
        <v>36.755499999999998</v>
      </c>
      <c r="I1067" s="11">
        <f>36.7591 * CHOOSE(CONTROL!$C$32, $C$9, 100%, $E$9)</f>
        <v>36.759099999999997</v>
      </c>
      <c r="J1067" s="11">
        <f>36.7555 * CHOOSE(CONTROL!$C$32, $C$9, 100%, $E$9)</f>
        <v>36.755499999999998</v>
      </c>
      <c r="K1067" s="11">
        <f>36.7591 * CHOOSE(CONTROL!$C$32, $C$9, 100%, $E$9)</f>
        <v>36.759099999999997</v>
      </c>
      <c r="L1067" s="11">
        <f>17.9878 * CHOOSE(CONTROL!$C$32, $C$9, 100%, $E$9)</f>
        <v>17.9878</v>
      </c>
      <c r="M1067" s="11">
        <f>17.9914 * CHOOSE(CONTROL!$C$32, $C$9, 100%, $E$9)</f>
        <v>17.991399999999999</v>
      </c>
      <c r="N1067" s="11">
        <f>17.9878 * CHOOSE(CONTROL!$C$32, $C$9, 100%, $E$9)</f>
        <v>17.9878</v>
      </c>
      <c r="O1067" s="11">
        <f>17.9914 * CHOOSE(CONTROL!$C$32, $C$9, 100%, $E$9)</f>
        <v>17.991399999999999</v>
      </c>
    </row>
    <row r="1068" spans="1:15" ht="15" x14ac:dyDescent="0.2">
      <c r="A1068" s="13">
        <v>73355</v>
      </c>
      <c r="B1068" s="9">
        <f>15.9949 * CHOOSE(CONTROL!$C$32, $C$9, 100%, $E$9)</f>
        <v>15.994899999999999</v>
      </c>
      <c r="C1068" s="9">
        <f>15.9949 * CHOOSE(CONTROL!$C$32, $C$9, 100%, $E$9)</f>
        <v>15.994899999999999</v>
      </c>
      <c r="D1068" s="9">
        <f>15.996 * CHOOSE(CONTROL!$C$32, $C$9, 100%, $E$9)</f>
        <v>15.996</v>
      </c>
      <c r="E1068" s="11">
        <f>18.0961 * CHOOSE(CONTROL!$C$32, $C$9, 100%, $E$9)</f>
        <v>18.0961</v>
      </c>
      <c r="F1068" s="11">
        <f>18.0961 * CHOOSE(CONTROL!$C$32, $C$9, 100%, $E$9)</f>
        <v>18.0961</v>
      </c>
      <c r="G1068" s="11">
        <f>18.0997 * CHOOSE(CONTROL!$C$32, $C$9, 100%, $E$9)</f>
        <v>18.099699999999999</v>
      </c>
      <c r="H1068" s="11">
        <f>36.8321 * CHOOSE(CONTROL!$C$32, $C$9, 100%, $E$9)</f>
        <v>36.832099999999997</v>
      </c>
      <c r="I1068" s="11">
        <f>36.8357 * CHOOSE(CONTROL!$C$32, $C$9, 100%, $E$9)</f>
        <v>36.835700000000003</v>
      </c>
      <c r="J1068" s="11">
        <f>36.8321 * CHOOSE(CONTROL!$C$32, $C$9, 100%, $E$9)</f>
        <v>36.832099999999997</v>
      </c>
      <c r="K1068" s="11">
        <f>36.8357 * CHOOSE(CONTROL!$C$32, $C$9, 100%, $E$9)</f>
        <v>36.835700000000003</v>
      </c>
      <c r="L1068" s="11">
        <f>18.0961 * CHOOSE(CONTROL!$C$32, $C$9, 100%, $E$9)</f>
        <v>18.0961</v>
      </c>
      <c r="M1068" s="11">
        <f>18.0997 * CHOOSE(CONTROL!$C$32, $C$9, 100%, $E$9)</f>
        <v>18.099699999999999</v>
      </c>
      <c r="N1068" s="11">
        <f>18.0961 * CHOOSE(CONTROL!$C$32, $C$9, 100%, $E$9)</f>
        <v>18.0961</v>
      </c>
      <c r="O1068" s="11">
        <f>18.0997 * CHOOSE(CONTROL!$C$32, $C$9, 100%, $E$9)</f>
        <v>18.099699999999999</v>
      </c>
    </row>
    <row r="1069" spans="1:15" ht="15" x14ac:dyDescent="0.2">
      <c r="A1069" s="13">
        <v>73385</v>
      </c>
      <c r="B1069" s="9">
        <f>15.9949 * CHOOSE(CONTROL!$C$32, $C$9, 100%, $E$9)</f>
        <v>15.994899999999999</v>
      </c>
      <c r="C1069" s="9">
        <f>15.9949 * CHOOSE(CONTROL!$C$32, $C$9, 100%, $E$9)</f>
        <v>15.994899999999999</v>
      </c>
      <c r="D1069" s="9">
        <f>15.996 * CHOOSE(CONTROL!$C$32, $C$9, 100%, $E$9)</f>
        <v>15.996</v>
      </c>
      <c r="E1069" s="11">
        <f>17.8307 * CHOOSE(CONTROL!$C$32, $C$9, 100%, $E$9)</f>
        <v>17.8307</v>
      </c>
      <c r="F1069" s="11">
        <f>17.8307 * CHOOSE(CONTROL!$C$32, $C$9, 100%, $E$9)</f>
        <v>17.8307</v>
      </c>
      <c r="G1069" s="11">
        <f>17.8343 * CHOOSE(CONTROL!$C$32, $C$9, 100%, $E$9)</f>
        <v>17.834299999999999</v>
      </c>
      <c r="H1069" s="11">
        <f>36.9088 * CHOOSE(CONTROL!$C$32, $C$9, 100%, $E$9)</f>
        <v>36.908799999999999</v>
      </c>
      <c r="I1069" s="11">
        <f>36.9124 * CHOOSE(CONTROL!$C$32, $C$9, 100%, $E$9)</f>
        <v>36.912399999999998</v>
      </c>
      <c r="J1069" s="11">
        <f>36.9088 * CHOOSE(CONTROL!$C$32, $C$9, 100%, $E$9)</f>
        <v>36.908799999999999</v>
      </c>
      <c r="K1069" s="11">
        <f>36.9124 * CHOOSE(CONTROL!$C$32, $C$9, 100%, $E$9)</f>
        <v>36.912399999999998</v>
      </c>
      <c r="L1069" s="11">
        <f>17.8307 * CHOOSE(CONTROL!$C$32, $C$9, 100%, $E$9)</f>
        <v>17.8307</v>
      </c>
      <c r="M1069" s="11">
        <f>17.8343 * CHOOSE(CONTROL!$C$32, $C$9, 100%, $E$9)</f>
        <v>17.834299999999999</v>
      </c>
      <c r="N1069" s="11">
        <f>17.8307 * CHOOSE(CONTROL!$C$32, $C$9, 100%, $E$9)</f>
        <v>17.8307</v>
      </c>
      <c r="O1069" s="11">
        <f>17.8343 * CHOOSE(CONTROL!$C$32, $C$9, 100%, $E$9)</f>
        <v>17.834299999999999</v>
      </c>
    </row>
    <row r="1070" spans="1:15" ht="15" x14ac:dyDescent="0.2">
      <c r="A1070" s="12"/>
      <c r="B1070" s="9"/>
      <c r="C1070" s="9"/>
      <c r="D1070" s="9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ht="15" x14ac:dyDescent="0.2">
      <c r="A1071" s="10">
        <v>2013</v>
      </c>
      <c r="B1071" s="9">
        <f t="shared" ref="B1071:O1071" si="0">AVERAGE(B14:B25)</f>
        <v>2.2966500000000001</v>
      </c>
      <c r="C1071" s="9">
        <f t="shared" si="0"/>
        <v>2.2232833333333333</v>
      </c>
      <c r="D1071" s="9">
        <f t="shared" si="0"/>
        <v>2.2699416666666665</v>
      </c>
      <c r="E1071" s="9">
        <f t="shared" si="0"/>
        <v>3.4876333333333331</v>
      </c>
      <c r="F1071" s="9">
        <f t="shared" si="0"/>
        <v>3.1494</v>
      </c>
      <c r="G1071" s="9">
        <f t="shared" si="0"/>
        <v>3.164908333333333</v>
      </c>
      <c r="H1071" s="9">
        <f t="shared" si="0"/>
        <v>5.7296249999999995</v>
      </c>
      <c r="I1071" s="9">
        <f t="shared" si="0"/>
        <v>5.7451333333333325</v>
      </c>
      <c r="J1071" s="9">
        <f t="shared" si="0"/>
        <v>5.7296249999999995</v>
      </c>
      <c r="K1071" s="9">
        <f t="shared" si="0"/>
        <v>5.7451333333333325</v>
      </c>
      <c r="L1071" s="9">
        <f t="shared" si="0"/>
        <v>3.4876333333333331</v>
      </c>
      <c r="M1071" s="9">
        <f t="shared" si="0"/>
        <v>3.5031166666666671</v>
      </c>
      <c r="N1071" s="9">
        <f t="shared" si="0"/>
        <v>3.4876333333333331</v>
      </c>
      <c r="O1071" s="9">
        <f t="shared" si="0"/>
        <v>3.5031166666666671</v>
      </c>
    </row>
    <row r="1072" spans="1:15" ht="15" x14ac:dyDescent="0.2">
      <c r="A1072" s="10">
        <v>2014</v>
      </c>
      <c r="B1072" s="9">
        <f t="shared" ref="B1072:O1072" si="1">AVERAGE(B26:B37)</f>
        <v>2.3654999999999995</v>
      </c>
      <c r="C1072" s="9">
        <f t="shared" si="1"/>
        <v>2.3576916666666663</v>
      </c>
      <c r="D1072" s="9">
        <f t="shared" si="1"/>
        <v>2.40435</v>
      </c>
      <c r="E1072" s="9">
        <f t="shared" si="1"/>
        <v>3.460575</v>
      </c>
      <c r="F1072" s="9">
        <f t="shared" si="1"/>
        <v>3.3780666666666668</v>
      </c>
      <c r="G1072" s="9">
        <f t="shared" si="1"/>
        <v>3.3935666666666671</v>
      </c>
      <c r="H1072" s="9">
        <f t="shared" si="1"/>
        <v>5.7507333333333337</v>
      </c>
      <c r="I1072" s="9">
        <f t="shared" si="1"/>
        <v>5.7662083333333323</v>
      </c>
      <c r="J1072" s="9">
        <f t="shared" si="1"/>
        <v>5.7507333333333337</v>
      </c>
      <c r="K1072" s="9">
        <f t="shared" si="1"/>
        <v>5.7662083333333323</v>
      </c>
      <c r="L1072" s="9">
        <f t="shared" si="1"/>
        <v>3.460575</v>
      </c>
      <c r="M1072" s="9">
        <f t="shared" si="1"/>
        <v>3.4760500000000003</v>
      </c>
      <c r="N1072" s="9">
        <f t="shared" si="1"/>
        <v>3.460575</v>
      </c>
      <c r="O1072" s="9">
        <f t="shared" si="1"/>
        <v>3.4760500000000003</v>
      </c>
    </row>
    <row r="1073" spans="1:15" ht="15" x14ac:dyDescent="0.2">
      <c r="A1073" s="10">
        <v>2015</v>
      </c>
      <c r="B1073" s="9">
        <f t="shared" ref="B1073:O1073" si="2">AVERAGE(B38:B49)</f>
        <v>2.483975</v>
      </c>
      <c r="C1073" s="9">
        <f t="shared" si="2"/>
        <v>2.483975</v>
      </c>
      <c r="D1073" s="9">
        <f t="shared" si="2"/>
        <v>2.485233333333333</v>
      </c>
      <c r="E1073" s="9">
        <f t="shared" si="2"/>
        <v>3.8020250000000004</v>
      </c>
      <c r="F1073" s="9">
        <f t="shared" si="2"/>
        <v>3.5835999999999992</v>
      </c>
      <c r="G1073" s="9">
        <f t="shared" si="2"/>
        <v>3.5879083333333335</v>
      </c>
      <c r="H1073" s="9">
        <f t="shared" si="2"/>
        <v>5.8961499999999987</v>
      </c>
      <c r="I1073" s="9">
        <f t="shared" si="2"/>
        <v>5.9004666666666665</v>
      </c>
      <c r="J1073" s="9">
        <f t="shared" si="2"/>
        <v>5.8961499999999987</v>
      </c>
      <c r="K1073" s="9">
        <f t="shared" si="2"/>
        <v>5.9004666666666665</v>
      </c>
      <c r="L1073" s="9">
        <f t="shared" si="2"/>
        <v>3.8020250000000004</v>
      </c>
      <c r="M1073" s="9">
        <f t="shared" si="2"/>
        <v>3.8063333333333329</v>
      </c>
      <c r="N1073" s="9">
        <f t="shared" si="2"/>
        <v>3.8020250000000004</v>
      </c>
      <c r="O1073" s="9">
        <f t="shared" si="2"/>
        <v>3.8063333333333329</v>
      </c>
    </row>
    <row r="1074" spans="1:15" ht="15" x14ac:dyDescent="0.2">
      <c r="A1074" s="10">
        <v>2016</v>
      </c>
      <c r="B1074" s="9">
        <f t="shared" ref="B1074:O1074" si="3">AVERAGE(B50:B61)</f>
        <v>3.2759166666666668</v>
      </c>
      <c r="C1074" s="9">
        <f t="shared" si="3"/>
        <v>3.2759166666666668</v>
      </c>
      <c r="D1074" s="9">
        <f t="shared" si="3"/>
        <v>3.2771833333333338</v>
      </c>
      <c r="E1074" s="9">
        <f t="shared" si="3"/>
        <v>3.9337</v>
      </c>
      <c r="F1074" s="9">
        <f t="shared" si="3"/>
        <v>3.6856000000000004</v>
      </c>
      <c r="G1074" s="9">
        <f t="shared" si="3"/>
        <v>3.6899083333333333</v>
      </c>
      <c r="H1074" s="9">
        <f t="shared" si="3"/>
        <v>6.045258333333333</v>
      </c>
      <c r="I1074" s="9">
        <f t="shared" si="3"/>
        <v>6.0495666666666663</v>
      </c>
      <c r="J1074" s="9">
        <f t="shared" si="3"/>
        <v>6.045258333333333</v>
      </c>
      <c r="K1074" s="9">
        <f t="shared" si="3"/>
        <v>6.0495666666666663</v>
      </c>
      <c r="L1074" s="9">
        <f t="shared" si="3"/>
        <v>3.9337</v>
      </c>
      <c r="M1074" s="9">
        <f t="shared" si="3"/>
        <v>3.9380083333333329</v>
      </c>
      <c r="N1074" s="9">
        <f t="shared" si="3"/>
        <v>3.9337</v>
      </c>
      <c r="O1074" s="9">
        <f t="shared" si="3"/>
        <v>3.9380083333333329</v>
      </c>
    </row>
    <row r="1075" spans="1:15" ht="15" x14ac:dyDescent="0.2">
      <c r="A1075" s="10">
        <v>2017</v>
      </c>
      <c r="B1075" s="9">
        <f t="shared" ref="B1075:O1075" si="4">AVERAGE(B62:B73)</f>
        <v>3.3130666666666659</v>
      </c>
      <c r="C1075" s="9">
        <f t="shared" si="4"/>
        <v>3.3130666666666659</v>
      </c>
      <c r="D1075" s="9">
        <f t="shared" si="4"/>
        <v>3.3143583333333329</v>
      </c>
      <c r="E1075" s="9">
        <f t="shared" si="4"/>
        <v>3.8792333333333331</v>
      </c>
      <c r="F1075" s="9">
        <f t="shared" si="4"/>
        <v>3.8792333333333331</v>
      </c>
      <c r="G1075" s="9">
        <f t="shared" si="4"/>
        <v>3.8835499999999996</v>
      </c>
      <c r="H1075" s="9">
        <f t="shared" si="4"/>
        <v>6.1981333333333337</v>
      </c>
      <c r="I1075" s="9">
        <f t="shared" si="4"/>
        <v>6.2024333333333344</v>
      </c>
      <c r="J1075" s="9">
        <f t="shared" si="4"/>
        <v>6.1981333333333337</v>
      </c>
      <c r="K1075" s="9">
        <f t="shared" si="4"/>
        <v>6.2024333333333344</v>
      </c>
      <c r="L1075" s="9">
        <f t="shared" si="4"/>
        <v>3.8792333333333331</v>
      </c>
      <c r="M1075" s="9">
        <f t="shared" si="4"/>
        <v>3.8835499999999996</v>
      </c>
      <c r="N1075" s="9">
        <f t="shared" si="4"/>
        <v>3.8792333333333331</v>
      </c>
      <c r="O1075" s="9">
        <f t="shared" si="4"/>
        <v>3.8835499999999996</v>
      </c>
    </row>
    <row r="1076" spans="1:15" ht="15" x14ac:dyDescent="0.2">
      <c r="A1076" s="10">
        <v>2018</v>
      </c>
      <c r="B1076" s="9">
        <f t="shared" ref="B1076:O1076" si="5">AVERAGE(B74:B85)</f>
        <v>3.4019250000000003</v>
      </c>
      <c r="C1076" s="9">
        <f t="shared" si="5"/>
        <v>3.4019250000000003</v>
      </c>
      <c r="D1076" s="9">
        <f t="shared" si="5"/>
        <v>3.4032166666666659</v>
      </c>
      <c r="E1076" s="9">
        <f t="shared" si="5"/>
        <v>3.9989833333333333</v>
      </c>
      <c r="F1076" s="9">
        <f t="shared" si="5"/>
        <v>3.9989833333333333</v>
      </c>
      <c r="G1076" s="9">
        <f t="shared" si="5"/>
        <v>4.0033166666666666</v>
      </c>
      <c r="H1076" s="9">
        <f t="shared" si="5"/>
        <v>6.3548833333333334</v>
      </c>
      <c r="I1076" s="9">
        <f t="shared" si="5"/>
        <v>6.3592000000000004</v>
      </c>
      <c r="J1076" s="9">
        <f t="shared" si="5"/>
        <v>6.3548833333333334</v>
      </c>
      <c r="K1076" s="9">
        <f t="shared" si="5"/>
        <v>6.3592000000000004</v>
      </c>
      <c r="L1076" s="9">
        <f t="shared" si="5"/>
        <v>3.9989833333333333</v>
      </c>
      <c r="M1076" s="9">
        <f t="shared" si="5"/>
        <v>4.0033166666666666</v>
      </c>
      <c r="N1076" s="9">
        <f t="shared" si="5"/>
        <v>3.9989833333333333</v>
      </c>
      <c r="O1076" s="9">
        <f t="shared" si="5"/>
        <v>4.0033166666666666</v>
      </c>
    </row>
    <row r="1077" spans="1:15" ht="15" x14ac:dyDescent="0.2">
      <c r="A1077" s="10">
        <v>2019</v>
      </c>
      <c r="B1077" s="9">
        <f t="shared" ref="B1077:O1077" si="6">AVERAGE(B86:B97)</f>
        <v>3.2222999999999993</v>
      </c>
      <c r="C1077" s="9">
        <f t="shared" si="6"/>
        <v>3.2222999999999993</v>
      </c>
      <c r="D1077" s="9">
        <f t="shared" si="6"/>
        <v>3.2235916666666671</v>
      </c>
      <c r="E1077" s="9">
        <f t="shared" si="6"/>
        <v>4.0889833333333341</v>
      </c>
      <c r="F1077" s="9">
        <f t="shared" si="6"/>
        <v>4.0889833333333341</v>
      </c>
      <c r="G1077" s="9">
        <f t="shared" si="6"/>
        <v>4.0932916666666666</v>
      </c>
      <c r="H1077" s="9">
        <f t="shared" si="6"/>
        <v>6.515575000000001</v>
      </c>
      <c r="I1077" s="9">
        <f t="shared" si="6"/>
        <v>6.5198916666666653</v>
      </c>
      <c r="J1077" s="9">
        <f t="shared" si="6"/>
        <v>6.515575000000001</v>
      </c>
      <c r="K1077" s="9">
        <f t="shared" si="6"/>
        <v>6.5198916666666653</v>
      </c>
      <c r="L1077" s="9">
        <f t="shared" si="6"/>
        <v>4.0889833333333341</v>
      </c>
      <c r="M1077" s="9">
        <f t="shared" si="6"/>
        <v>4.0932916666666666</v>
      </c>
      <c r="N1077" s="9">
        <f t="shared" si="6"/>
        <v>4.0889833333333341</v>
      </c>
      <c r="O1077" s="9">
        <f t="shared" si="6"/>
        <v>4.0932916666666666</v>
      </c>
    </row>
    <row r="1078" spans="1:15" ht="15" x14ac:dyDescent="0.2">
      <c r="A1078" s="10">
        <v>2020</v>
      </c>
      <c r="B1078" s="9">
        <f t="shared" ref="B1078:O1078" si="7">AVERAGE(B98:B109)</f>
        <v>3.286566666666666</v>
      </c>
      <c r="C1078" s="9">
        <f t="shared" si="7"/>
        <v>3.286566666666666</v>
      </c>
      <c r="D1078" s="9">
        <f t="shared" si="7"/>
        <v>3.2878583333333329</v>
      </c>
      <c r="E1078" s="9">
        <f t="shared" si="7"/>
        <v>4.1808833333333331</v>
      </c>
      <c r="F1078" s="9">
        <f t="shared" si="7"/>
        <v>4.1808833333333331</v>
      </c>
      <c r="G1078" s="9">
        <f t="shared" si="7"/>
        <v>4.1851916666666664</v>
      </c>
      <c r="H1078" s="9">
        <f t="shared" si="7"/>
        <v>6.6803416666666662</v>
      </c>
      <c r="I1078" s="9">
        <f t="shared" si="7"/>
        <v>6.6846500000000004</v>
      </c>
      <c r="J1078" s="9">
        <f t="shared" si="7"/>
        <v>6.6803416666666662</v>
      </c>
      <c r="K1078" s="9">
        <f t="shared" si="7"/>
        <v>6.6846500000000004</v>
      </c>
      <c r="L1078" s="9">
        <f t="shared" si="7"/>
        <v>4.1808833333333331</v>
      </c>
      <c r="M1078" s="9">
        <f t="shared" si="7"/>
        <v>4.1851916666666664</v>
      </c>
      <c r="N1078" s="9">
        <f t="shared" si="7"/>
        <v>4.1808833333333331</v>
      </c>
      <c r="O1078" s="9">
        <f t="shared" si="7"/>
        <v>4.1851916666666664</v>
      </c>
    </row>
    <row r="1079" spans="1:15" ht="15" x14ac:dyDescent="0.2">
      <c r="A1079" s="10">
        <v>2021</v>
      </c>
      <c r="B1079" s="9">
        <f t="shared" ref="B1079:O1079" si="8">AVERAGE(B110:B121)</f>
        <v>3.3671249999999993</v>
      </c>
      <c r="C1079" s="9">
        <f t="shared" si="8"/>
        <v>3.3671249999999993</v>
      </c>
      <c r="D1079" s="9">
        <f t="shared" si="8"/>
        <v>3.3684250000000002</v>
      </c>
      <c r="E1079" s="9">
        <f t="shared" si="8"/>
        <v>4.2754583333333338</v>
      </c>
      <c r="F1079" s="9">
        <f t="shared" si="8"/>
        <v>4.2754583333333338</v>
      </c>
      <c r="G1079" s="9">
        <f t="shared" si="8"/>
        <v>4.2797916666666671</v>
      </c>
      <c r="H1079" s="9">
        <f t="shared" si="8"/>
        <v>6.8492999999999995</v>
      </c>
      <c r="I1079" s="9">
        <f t="shared" si="8"/>
        <v>6.8536083333333329</v>
      </c>
      <c r="J1079" s="9">
        <f t="shared" si="8"/>
        <v>6.8492999999999995</v>
      </c>
      <c r="K1079" s="9">
        <f t="shared" si="8"/>
        <v>6.8536083333333329</v>
      </c>
      <c r="L1079" s="9">
        <f t="shared" si="8"/>
        <v>4.2754583333333338</v>
      </c>
      <c r="M1079" s="9">
        <f t="shared" si="8"/>
        <v>4.2797916666666671</v>
      </c>
      <c r="N1079" s="9">
        <f t="shared" si="8"/>
        <v>4.2754583333333338</v>
      </c>
      <c r="O1079" s="9">
        <f t="shared" si="8"/>
        <v>4.2797916666666671</v>
      </c>
    </row>
    <row r="1080" spans="1:15" ht="15" x14ac:dyDescent="0.2">
      <c r="A1080" s="10">
        <v>2022</v>
      </c>
      <c r="B1080" s="9">
        <f t="shared" ref="B1080:O1080" si="9">AVERAGE(B122:B133)</f>
        <v>3.4470750000000003</v>
      </c>
      <c r="C1080" s="9">
        <f t="shared" si="9"/>
        <v>3.4470750000000003</v>
      </c>
      <c r="D1080" s="9">
        <f t="shared" si="9"/>
        <v>3.4483666666666668</v>
      </c>
      <c r="E1080" s="9">
        <f t="shared" si="9"/>
        <v>4.3818083333333337</v>
      </c>
      <c r="F1080" s="9">
        <f t="shared" si="9"/>
        <v>4.3818083333333337</v>
      </c>
      <c r="G1080" s="9">
        <f t="shared" si="9"/>
        <v>4.3861166666666671</v>
      </c>
      <c r="H1080" s="9">
        <f t="shared" si="9"/>
        <v>7.0224916666666681</v>
      </c>
      <c r="I1080" s="9">
        <f t="shared" si="9"/>
        <v>7.026816666666666</v>
      </c>
      <c r="J1080" s="9">
        <f t="shared" si="9"/>
        <v>7.0224916666666681</v>
      </c>
      <c r="K1080" s="9">
        <f t="shared" si="9"/>
        <v>7.026816666666666</v>
      </c>
      <c r="L1080" s="9">
        <f t="shared" si="9"/>
        <v>4.3818083333333337</v>
      </c>
      <c r="M1080" s="9">
        <f t="shared" si="9"/>
        <v>4.3861166666666671</v>
      </c>
      <c r="N1080" s="9">
        <f t="shared" si="9"/>
        <v>4.3818083333333337</v>
      </c>
      <c r="O1080" s="9">
        <f t="shared" si="9"/>
        <v>4.3861166666666671</v>
      </c>
    </row>
    <row r="1081" spans="1:15" ht="15" x14ac:dyDescent="0.2">
      <c r="A1081" s="10">
        <v>2023</v>
      </c>
      <c r="B1081" s="9">
        <f t="shared" ref="B1081:O1081" si="10">AVERAGE(B134:B145)</f>
        <v>3.5408249999999994</v>
      </c>
      <c r="C1081" s="9">
        <f t="shared" si="10"/>
        <v>3.5408249999999994</v>
      </c>
      <c r="D1081" s="9">
        <f t="shared" si="10"/>
        <v>3.5421166666666668</v>
      </c>
      <c r="E1081" s="9">
        <f t="shared" si="10"/>
        <v>4.490308333333334</v>
      </c>
      <c r="F1081" s="9">
        <f t="shared" si="10"/>
        <v>4.490308333333334</v>
      </c>
      <c r="G1081" s="9">
        <f t="shared" si="10"/>
        <v>4.4946166666666665</v>
      </c>
      <c r="H1081" s="9">
        <f t="shared" si="10"/>
        <v>7.2000833333333327</v>
      </c>
      <c r="I1081" s="9">
        <f t="shared" si="10"/>
        <v>7.2043916666666661</v>
      </c>
      <c r="J1081" s="9">
        <f t="shared" si="10"/>
        <v>7.2000833333333327</v>
      </c>
      <c r="K1081" s="9">
        <f t="shared" si="10"/>
        <v>7.2043916666666661</v>
      </c>
      <c r="L1081" s="9">
        <f t="shared" si="10"/>
        <v>4.490308333333334</v>
      </c>
      <c r="M1081" s="9">
        <f t="shared" si="10"/>
        <v>4.4946166666666665</v>
      </c>
      <c r="N1081" s="9">
        <f t="shared" si="10"/>
        <v>4.490308333333334</v>
      </c>
      <c r="O1081" s="9">
        <f t="shared" si="10"/>
        <v>4.4946166666666665</v>
      </c>
    </row>
    <row r="1082" spans="1:15" ht="15" x14ac:dyDescent="0.2">
      <c r="A1082" s="10">
        <v>2024</v>
      </c>
      <c r="B1082" s="9">
        <f t="shared" ref="B1082:O1082" si="11">AVERAGE(B146:B157)</f>
        <v>3.6291499999999997</v>
      </c>
      <c r="C1082" s="9">
        <f t="shared" si="11"/>
        <v>3.6291499999999997</v>
      </c>
      <c r="D1082" s="9">
        <f t="shared" si="11"/>
        <v>3.6304500000000002</v>
      </c>
      <c r="E1082" s="9">
        <f t="shared" si="11"/>
        <v>4.6075583333333325</v>
      </c>
      <c r="F1082" s="9">
        <f t="shared" si="11"/>
        <v>4.6075583333333325</v>
      </c>
      <c r="G1082" s="9">
        <f t="shared" si="11"/>
        <v>4.6118500000000004</v>
      </c>
      <c r="H1082" s="9">
        <f t="shared" si="11"/>
        <v>7.3821750000000002</v>
      </c>
      <c r="I1082" s="9">
        <f t="shared" si="11"/>
        <v>7.3864833333333335</v>
      </c>
      <c r="J1082" s="9">
        <f t="shared" si="11"/>
        <v>7.3821750000000002</v>
      </c>
      <c r="K1082" s="9">
        <f t="shared" si="11"/>
        <v>7.3864833333333335</v>
      </c>
      <c r="L1082" s="9">
        <f t="shared" si="11"/>
        <v>4.6075583333333325</v>
      </c>
      <c r="M1082" s="9">
        <f t="shared" si="11"/>
        <v>4.6118500000000004</v>
      </c>
      <c r="N1082" s="9">
        <f t="shared" si="11"/>
        <v>4.6075583333333325</v>
      </c>
      <c r="O1082" s="9">
        <f t="shared" si="11"/>
        <v>4.6118500000000004</v>
      </c>
    </row>
    <row r="1083" spans="1:15" ht="15" x14ac:dyDescent="0.2">
      <c r="A1083" s="10">
        <v>2025</v>
      </c>
      <c r="B1083" s="9">
        <f t="shared" ref="B1083:O1083" si="12">AVERAGE(B158:B169)</f>
        <v>3.7209500000000002</v>
      </c>
      <c r="C1083" s="9">
        <f t="shared" si="12"/>
        <v>3.7209500000000002</v>
      </c>
      <c r="D1083" s="9">
        <f t="shared" si="12"/>
        <v>3.7222416666666676</v>
      </c>
      <c r="E1083" s="9">
        <f t="shared" si="12"/>
        <v>4.7325583333333325</v>
      </c>
      <c r="F1083" s="9">
        <f t="shared" si="12"/>
        <v>4.7325583333333325</v>
      </c>
      <c r="G1083" s="9">
        <f t="shared" si="12"/>
        <v>4.7368916666666667</v>
      </c>
      <c r="H1083" s="9">
        <f t="shared" si="12"/>
        <v>7.5688499999999985</v>
      </c>
      <c r="I1083" s="9">
        <f t="shared" si="12"/>
        <v>7.5731583333333345</v>
      </c>
      <c r="J1083" s="9">
        <f t="shared" si="12"/>
        <v>7.5688499999999985</v>
      </c>
      <c r="K1083" s="9">
        <f t="shared" si="12"/>
        <v>7.5731583333333345</v>
      </c>
      <c r="L1083" s="9">
        <f t="shared" si="12"/>
        <v>4.7325583333333325</v>
      </c>
      <c r="M1083" s="9">
        <f t="shared" si="12"/>
        <v>4.7368916666666667</v>
      </c>
      <c r="N1083" s="9">
        <f t="shared" si="12"/>
        <v>4.7325583333333325</v>
      </c>
      <c r="O1083" s="9">
        <f t="shared" si="12"/>
        <v>4.7368916666666667</v>
      </c>
    </row>
    <row r="1084" spans="1:15" ht="15" x14ac:dyDescent="0.2">
      <c r="A1084" s="10">
        <v>2026</v>
      </c>
      <c r="B1084" s="9">
        <f t="shared" ref="B1084:O1084" si="13">AVERAGE(B170:B181)</f>
        <v>3.8184083333333336</v>
      </c>
      <c r="C1084" s="9">
        <f t="shared" si="13"/>
        <v>3.8184083333333336</v>
      </c>
      <c r="D1084" s="9">
        <f t="shared" si="13"/>
        <v>3.8196916666666669</v>
      </c>
      <c r="E1084" s="9">
        <f t="shared" si="13"/>
        <v>4.8625583333333324</v>
      </c>
      <c r="F1084" s="9">
        <f t="shared" si="13"/>
        <v>4.8625583333333324</v>
      </c>
      <c r="G1084" s="9">
        <f t="shared" si="13"/>
        <v>4.8668749999999994</v>
      </c>
      <c r="H1084" s="9">
        <f t="shared" si="13"/>
        <v>7.7602500000000001</v>
      </c>
      <c r="I1084" s="9">
        <f t="shared" si="13"/>
        <v>7.7645583333333343</v>
      </c>
      <c r="J1084" s="9">
        <f t="shared" si="13"/>
        <v>7.7602500000000001</v>
      </c>
      <c r="K1084" s="9">
        <f t="shared" si="13"/>
        <v>7.7645583333333343</v>
      </c>
      <c r="L1084" s="9">
        <f t="shared" si="13"/>
        <v>4.8625583333333324</v>
      </c>
      <c r="M1084" s="9">
        <f t="shared" si="13"/>
        <v>4.8668749999999994</v>
      </c>
      <c r="N1084" s="9">
        <f t="shared" si="13"/>
        <v>4.8625583333333324</v>
      </c>
      <c r="O1084" s="9">
        <f t="shared" si="13"/>
        <v>4.8668749999999994</v>
      </c>
    </row>
    <row r="1085" spans="1:15" ht="15" x14ac:dyDescent="0.2">
      <c r="A1085" s="10">
        <v>2027</v>
      </c>
      <c r="B1085" s="9">
        <f t="shared" ref="B1085:O1085" si="14">AVERAGE(B182:B193)</f>
        <v>3.9176666666666669</v>
      </c>
      <c r="C1085" s="9">
        <f t="shared" si="14"/>
        <v>3.9176666666666669</v>
      </c>
      <c r="D1085" s="9">
        <f t="shared" si="14"/>
        <v>3.9189416666666665</v>
      </c>
      <c r="E1085" s="9">
        <f t="shared" si="14"/>
        <v>4.9883083333333325</v>
      </c>
      <c r="F1085" s="9">
        <f t="shared" si="14"/>
        <v>4.9883083333333325</v>
      </c>
      <c r="G1085" s="9">
        <f t="shared" si="14"/>
        <v>4.9926166666666658</v>
      </c>
      <c r="H1085" s="9">
        <f t="shared" si="14"/>
        <v>7.9564916666666656</v>
      </c>
      <c r="I1085" s="9">
        <f t="shared" si="14"/>
        <v>7.9608250000000007</v>
      </c>
      <c r="J1085" s="9">
        <f t="shared" si="14"/>
        <v>7.9564916666666656</v>
      </c>
      <c r="K1085" s="9">
        <f t="shared" si="14"/>
        <v>7.9608250000000007</v>
      </c>
      <c r="L1085" s="9">
        <f t="shared" si="14"/>
        <v>4.9883083333333325</v>
      </c>
      <c r="M1085" s="9">
        <f t="shared" si="14"/>
        <v>4.9926166666666658</v>
      </c>
      <c r="N1085" s="9">
        <f t="shared" si="14"/>
        <v>4.9883083333333325</v>
      </c>
      <c r="O1085" s="9">
        <f t="shared" si="14"/>
        <v>4.9926166666666658</v>
      </c>
    </row>
    <row r="1086" spans="1:15" ht="15" x14ac:dyDescent="0.2">
      <c r="A1086" s="10">
        <v>2028</v>
      </c>
      <c r="B1086" s="9">
        <f t="shared" ref="B1086:O1086" si="15">AVERAGE(B194:B205)</f>
        <v>4.0231749999999984</v>
      </c>
      <c r="C1086" s="9">
        <f t="shared" si="15"/>
        <v>4.0231749999999984</v>
      </c>
      <c r="D1086" s="9">
        <f t="shared" si="15"/>
        <v>4.0244666666666662</v>
      </c>
      <c r="E1086" s="9">
        <f t="shared" si="15"/>
        <v>5.121858333333333</v>
      </c>
      <c r="F1086" s="9">
        <f t="shared" si="15"/>
        <v>5.121858333333333</v>
      </c>
      <c r="G1086" s="9">
        <f t="shared" si="15"/>
        <v>5.1261666666666663</v>
      </c>
      <c r="H1086" s="9">
        <f t="shared" si="15"/>
        <v>8.1576916666666666</v>
      </c>
      <c r="I1086" s="9">
        <f t="shared" si="15"/>
        <v>8.1620249999999999</v>
      </c>
      <c r="J1086" s="9">
        <f t="shared" si="15"/>
        <v>8.1576916666666666</v>
      </c>
      <c r="K1086" s="9">
        <f t="shared" si="15"/>
        <v>8.1620249999999999</v>
      </c>
      <c r="L1086" s="9">
        <f t="shared" si="15"/>
        <v>5.121858333333333</v>
      </c>
      <c r="M1086" s="9">
        <f t="shared" si="15"/>
        <v>5.1261666666666663</v>
      </c>
      <c r="N1086" s="9">
        <f t="shared" si="15"/>
        <v>5.121858333333333</v>
      </c>
      <c r="O1086" s="9">
        <f t="shared" si="15"/>
        <v>5.1261666666666663</v>
      </c>
    </row>
    <row r="1087" spans="1:15" ht="15" x14ac:dyDescent="0.2">
      <c r="A1087" s="10">
        <v>2029</v>
      </c>
      <c r="B1087" s="9">
        <f t="shared" ref="B1087:O1087" si="16">AVERAGE(B206:B217)</f>
        <v>4.1202916666666676</v>
      </c>
      <c r="C1087" s="9">
        <f t="shared" si="16"/>
        <v>4.1202916666666676</v>
      </c>
      <c r="D1087" s="9">
        <f t="shared" si="16"/>
        <v>4.1215583333333337</v>
      </c>
      <c r="E1087" s="9">
        <f t="shared" si="16"/>
        <v>5.2511833333333335</v>
      </c>
      <c r="F1087" s="9">
        <f t="shared" si="16"/>
        <v>5.2511833333333335</v>
      </c>
      <c r="G1087" s="9">
        <f t="shared" si="16"/>
        <v>5.2554916666666669</v>
      </c>
      <c r="H1087" s="9">
        <f t="shared" si="16"/>
        <v>8.363999999999999</v>
      </c>
      <c r="I1087" s="9">
        <f t="shared" si="16"/>
        <v>8.3683083333333332</v>
      </c>
      <c r="J1087" s="9">
        <f t="shared" si="16"/>
        <v>8.363999999999999</v>
      </c>
      <c r="K1087" s="9">
        <f t="shared" si="16"/>
        <v>8.3683083333333332</v>
      </c>
      <c r="L1087" s="9">
        <f t="shared" si="16"/>
        <v>5.2511833333333335</v>
      </c>
      <c r="M1087" s="9">
        <f t="shared" si="16"/>
        <v>5.2554916666666669</v>
      </c>
      <c r="N1087" s="9">
        <f t="shared" si="16"/>
        <v>5.2511833333333335</v>
      </c>
      <c r="O1087" s="9">
        <f t="shared" si="16"/>
        <v>5.2554916666666669</v>
      </c>
    </row>
    <row r="1088" spans="1:15" ht="15" x14ac:dyDescent="0.2">
      <c r="A1088" s="10">
        <v>2030</v>
      </c>
      <c r="B1088" s="9">
        <f t="shared" ref="B1088:O1088" si="17">AVERAGE(B218:B229)</f>
        <v>4.2197500000000003</v>
      </c>
      <c r="C1088" s="9">
        <f t="shared" si="17"/>
        <v>4.2197500000000003</v>
      </c>
      <c r="D1088" s="9">
        <f t="shared" si="17"/>
        <v>4.2210416666666664</v>
      </c>
      <c r="E1088" s="9">
        <f t="shared" si="17"/>
        <v>5.3853833333333334</v>
      </c>
      <c r="F1088" s="9">
        <f t="shared" si="17"/>
        <v>5.3853833333333334</v>
      </c>
      <c r="G1088" s="9">
        <f t="shared" si="17"/>
        <v>5.3897166666666676</v>
      </c>
      <c r="H1088" s="9">
        <f t="shared" si="17"/>
        <v>8.5755250000000007</v>
      </c>
      <c r="I1088" s="9">
        <f t="shared" si="17"/>
        <v>8.5798333333333314</v>
      </c>
      <c r="J1088" s="9">
        <f t="shared" si="17"/>
        <v>8.5755250000000007</v>
      </c>
      <c r="K1088" s="9">
        <f t="shared" si="17"/>
        <v>8.5798333333333314</v>
      </c>
      <c r="L1088" s="9">
        <f t="shared" si="17"/>
        <v>5.3853833333333334</v>
      </c>
      <c r="M1088" s="9">
        <f t="shared" si="17"/>
        <v>5.3897166666666676</v>
      </c>
      <c r="N1088" s="9">
        <f t="shared" si="17"/>
        <v>5.3853833333333334</v>
      </c>
      <c r="O1088" s="9">
        <f t="shared" si="17"/>
        <v>5.3897166666666676</v>
      </c>
    </row>
    <row r="1089" spans="1:15" ht="15" x14ac:dyDescent="0.2">
      <c r="A1089" s="10">
        <v>2031</v>
      </c>
      <c r="B1089" s="9">
        <f t="shared" ref="B1089:O1089" si="18">AVERAGE(B230:B241)</f>
        <v>4.319983333333334</v>
      </c>
      <c r="C1089" s="9">
        <f t="shared" si="18"/>
        <v>4.319983333333334</v>
      </c>
      <c r="D1089" s="9">
        <f t="shared" si="18"/>
        <v>4.321275</v>
      </c>
      <c r="E1089" s="9">
        <f t="shared" si="18"/>
        <v>5.5212583333333329</v>
      </c>
      <c r="F1089" s="9">
        <f t="shared" si="18"/>
        <v>5.5212583333333329</v>
      </c>
      <c r="G1089" s="9">
        <f t="shared" si="18"/>
        <v>5.5255916666666671</v>
      </c>
      <c r="H1089" s="9">
        <f t="shared" si="18"/>
        <v>8.7923666666666644</v>
      </c>
      <c r="I1089" s="9">
        <f t="shared" si="18"/>
        <v>8.7966750000000005</v>
      </c>
      <c r="J1089" s="9">
        <f t="shared" si="18"/>
        <v>8.7923666666666644</v>
      </c>
      <c r="K1089" s="9">
        <f t="shared" si="18"/>
        <v>8.7966750000000005</v>
      </c>
      <c r="L1089" s="9">
        <f t="shared" si="18"/>
        <v>5.5212583333333329</v>
      </c>
      <c r="M1089" s="9">
        <f t="shared" si="18"/>
        <v>5.5255916666666671</v>
      </c>
      <c r="N1089" s="9">
        <f t="shared" si="18"/>
        <v>5.5212583333333329</v>
      </c>
      <c r="O1089" s="9">
        <f t="shared" si="18"/>
        <v>5.5255916666666671</v>
      </c>
    </row>
    <row r="1090" spans="1:15" ht="15" x14ac:dyDescent="0.2">
      <c r="A1090" s="10">
        <v>2032</v>
      </c>
      <c r="B1090" s="9">
        <f t="shared" ref="B1090:O1090" si="19">AVERAGE(B242:B253)</f>
        <v>4.4233666666666664</v>
      </c>
      <c r="C1090" s="9">
        <f t="shared" si="19"/>
        <v>4.4233666666666664</v>
      </c>
      <c r="D1090" s="9">
        <f t="shared" si="19"/>
        <v>4.4246499999999997</v>
      </c>
      <c r="E1090" s="9">
        <f t="shared" si="19"/>
        <v>5.6636583333333341</v>
      </c>
      <c r="F1090" s="9">
        <f t="shared" si="19"/>
        <v>5.6636583333333341</v>
      </c>
      <c r="G1090" s="9">
        <f t="shared" si="19"/>
        <v>5.6679666666666675</v>
      </c>
      <c r="H1090" s="9">
        <f t="shared" si="19"/>
        <v>9.0147333333333322</v>
      </c>
      <c r="I1090" s="9">
        <f t="shared" si="19"/>
        <v>9.0190416666666682</v>
      </c>
      <c r="J1090" s="9">
        <f t="shared" si="19"/>
        <v>9.0147333333333322</v>
      </c>
      <c r="K1090" s="9">
        <f t="shared" si="19"/>
        <v>9.0190416666666682</v>
      </c>
      <c r="L1090" s="9">
        <f t="shared" si="19"/>
        <v>5.6636583333333341</v>
      </c>
      <c r="M1090" s="9">
        <f t="shared" si="19"/>
        <v>5.6679666666666675</v>
      </c>
      <c r="N1090" s="9">
        <f t="shared" si="19"/>
        <v>5.6636583333333341</v>
      </c>
      <c r="O1090" s="9">
        <f t="shared" si="19"/>
        <v>5.6679666666666675</v>
      </c>
    </row>
    <row r="1091" spans="1:15" ht="15" x14ac:dyDescent="0.2">
      <c r="A1091" s="10">
        <v>2033</v>
      </c>
      <c r="B1091" s="9">
        <f t="shared" ref="B1091:O1091" si="20">AVERAGE(B254:B265)</f>
        <v>4.5277250000000011</v>
      </c>
      <c r="C1091" s="9">
        <f t="shared" si="20"/>
        <v>4.5277250000000011</v>
      </c>
      <c r="D1091" s="9">
        <f t="shared" si="20"/>
        <v>4.5290083333333335</v>
      </c>
      <c r="E1091" s="9">
        <f t="shared" si="20"/>
        <v>5.8086833333333336</v>
      </c>
      <c r="F1091" s="9">
        <f t="shared" si="20"/>
        <v>5.8086833333333336</v>
      </c>
      <c r="G1091" s="9">
        <f t="shared" si="20"/>
        <v>5.8129750000000016</v>
      </c>
      <c r="H1091" s="9">
        <f t="shared" si="20"/>
        <v>9.2426833333333338</v>
      </c>
      <c r="I1091" s="9">
        <f t="shared" si="20"/>
        <v>9.2469999999999999</v>
      </c>
      <c r="J1091" s="9">
        <f t="shared" si="20"/>
        <v>9.2426833333333338</v>
      </c>
      <c r="K1091" s="9">
        <f t="shared" si="20"/>
        <v>9.2469999999999999</v>
      </c>
      <c r="L1091" s="9">
        <f t="shared" si="20"/>
        <v>5.8086833333333336</v>
      </c>
      <c r="M1091" s="9">
        <f t="shared" si="20"/>
        <v>5.8129750000000016</v>
      </c>
      <c r="N1091" s="9">
        <f t="shared" si="20"/>
        <v>5.8086833333333336</v>
      </c>
      <c r="O1091" s="9">
        <f t="shared" si="20"/>
        <v>5.8129750000000016</v>
      </c>
    </row>
    <row r="1092" spans="1:15" ht="15" x14ac:dyDescent="0.2">
      <c r="A1092" s="10">
        <v>2034</v>
      </c>
      <c r="B1092" s="9">
        <f t="shared" ref="B1092:O1092" si="21">AVERAGE(B266:B277)</f>
        <v>4.6365749999999997</v>
      </c>
      <c r="C1092" s="9">
        <f t="shared" si="21"/>
        <v>4.6365749999999997</v>
      </c>
      <c r="D1092" s="9">
        <f t="shared" si="21"/>
        <v>4.6378583333333339</v>
      </c>
      <c r="E1092" s="9">
        <f t="shared" si="21"/>
        <v>5.9626083333333346</v>
      </c>
      <c r="F1092" s="9">
        <f t="shared" si="21"/>
        <v>5.9626083333333346</v>
      </c>
      <c r="G1092" s="9">
        <f t="shared" si="21"/>
        <v>5.966941666666667</v>
      </c>
      <c r="H1092" s="9">
        <f t="shared" si="21"/>
        <v>9.4764000000000017</v>
      </c>
      <c r="I1092" s="9">
        <f t="shared" si="21"/>
        <v>9.4807333333333332</v>
      </c>
      <c r="J1092" s="9">
        <f t="shared" si="21"/>
        <v>9.4764000000000017</v>
      </c>
      <c r="K1092" s="9">
        <f t="shared" si="21"/>
        <v>9.4807333333333332</v>
      </c>
      <c r="L1092" s="9">
        <f t="shared" si="21"/>
        <v>5.9626083333333346</v>
      </c>
      <c r="M1092" s="9">
        <f t="shared" si="21"/>
        <v>5.966941666666667</v>
      </c>
      <c r="N1092" s="9">
        <f t="shared" si="21"/>
        <v>5.9626083333333346</v>
      </c>
      <c r="O1092" s="9">
        <f t="shared" si="21"/>
        <v>5.966941666666667</v>
      </c>
    </row>
    <row r="1093" spans="1:15" ht="15" x14ac:dyDescent="0.2">
      <c r="A1093" s="10">
        <v>2035</v>
      </c>
      <c r="B1093" s="9">
        <f t="shared" ref="B1093:O1093" si="22">AVERAGE(B278:B289)</f>
        <v>4.7452499999999995</v>
      </c>
      <c r="C1093" s="9">
        <f t="shared" si="22"/>
        <v>4.7452499999999995</v>
      </c>
      <c r="D1093" s="9">
        <f t="shared" si="22"/>
        <v>4.7465333333333337</v>
      </c>
      <c r="E1093" s="9">
        <f t="shared" si="22"/>
        <v>6.2283083333333344</v>
      </c>
      <c r="F1093" s="9">
        <f t="shared" si="22"/>
        <v>6.2283083333333344</v>
      </c>
      <c r="G1093" s="9">
        <f t="shared" si="22"/>
        <v>6.2326249999999996</v>
      </c>
      <c r="H1093" s="9">
        <f t="shared" si="22"/>
        <v>9.7160499999999974</v>
      </c>
      <c r="I1093" s="9">
        <f t="shared" si="22"/>
        <v>9.7203749999999989</v>
      </c>
      <c r="J1093" s="9">
        <f t="shared" si="22"/>
        <v>9.7160499999999974</v>
      </c>
      <c r="K1093" s="9">
        <f t="shared" si="22"/>
        <v>9.7203749999999989</v>
      </c>
      <c r="L1093" s="9">
        <f t="shared" si="22"/>
        <v>6.2283083333333344</v>
      </c>
      <c r="M1093" s="9">
        <f t="shared" si="22"/>
        <v>6.2326249999999996</v>
      </c>
      <c r="N1093" s="9">
        <f t="shared" si="22"/>
        <v>6.2283083333333344</v>
      </c>
      <c r="O1093" s="9">
        <f t="shared" si="22"/>
        <v>6.2326249999999996</v>
      </c>
    </row>
    <row r="1094" spans="1:15" ht="15" x14ac:dyDescent="0.2">
      <c r="A1094" s="10">
        <v>2036</v>
      </c>
      <c r="B1094" s="9">
        <f t="shared" ref="B1094:O1094" si="23">AVERAGE(B290:B301)</f>
        <v>4.8552916666666661</v>
      </c>
      <c r="C1094" s="9">
        <f t="shared" si="23"/>
        <v>4.8552916666666661</v>
      </c>
      <c r="D1094" s="9">
        <f t="shared" si="23"/>
        <v>4.8565666666666667</v>
      </c>
      <c r="E1094" s="9">
        <f t="shared" si="23"/>
        <v>6.4622250000000001</v>
      </c>
      <c r="F1094" s="9">
        <f t="shared" si="23"/>
        <v>6.4622250000000001</v>
      </c>
      <c r="G1094" s="9">
        <f t="shared" si="23"/>
        <v>6.4665333333333317</v>
      </c>
      <c r="H1094" s="9">
        <f t="shared" si="23"/>
        <v>9.9617666666666675</v>
      </c>
      <c r="I1094" s="9">
        <f t="shared" si="23"/>
        <v>9.9660833333333319</v>
      </c>
      <c r="J1094" s="9">
        <f t="shared" si="23"/>
        <v>9.9617666666666675</v>
      </c>
      <c r="K1094" s="9">
        <f t="shared" si="23"/>
        <v>9.9660833333333319</v>
      </c>
      <c r="L1094" s="9">
        <f t="shared" si="23"/>
        <v>6.4622250000000001</v>
      </c>
      <c r="M1094" s="9">
        <f t="shared" si="23"/>
        <v>6.4665333333333317</v>
      </c>
      <c r="N1094" s="9">
        <f t="shared" si="23"/>
        <v>6.4622250000000001</v>
      </c>
      <c r="O1094" s="9">
        <f t="shared" si="23"/>
        <v>6.4665333333333317</v>
      </c>
    </row>
    <row r="1095" spans="1:15" ht="15" x14ac:dyDescent="0.2">
      <c r="A1095" s="10">
        <v>2037</v>
      </c>
      <c r="B1095" s="9">
        <f t="shared" ref="B1095:O1095" si="24">AVERAGE(B302:B313)</f>
        <v>4.964783333333334</v>
      </c>
      <c r="C1095" s="9">
        <f t="shared" si="24"/>
        <v>4.964783333333334</v>
      </c>
      <c r="D1095" s="9">
        <f t="shared" si="24"/>
        <v>4.9660833333333327</v>
      </c>
      <c r="E1095" s="9">
        <f t="shared" si="24"/>
        <v>6.5224749999999991</v>
      </c>
      <c r="F1095" s="9">
        <f t="shared" si="24"/>
        <v>6.5224749999999991</v>
      </c>
      <c r="G1095" s="9">
        <f t="shared" si="24"/>
        <v>6.5267833333333343</v>
      </c>
      <c r="H1095" s="9">
        <f t="shared" si="24"/>
        <v>10.213691666666668</v>
      </c>
      <c r="I1095" s="9">
        <f t="shared" si="24"/>
        <v>10.217983333333335</v>
      </c>
      <c r="J1095" s="9">
        <f t="shared" si="24"/>
        <v>10.213691666666668</v>
      </c>
      <c r="K1095" s="9">
        <f t="shared" si="24"/>
        <v>10.217983333333335</v>
      </c>
      <c r="L1095" s="9">
        <f t="shared" si="24"/>
        <v>6.5224749999999991</v>
      </c>
      <c r="M1095" s="9">
        <f t="shared" si="24"/>
        <v>6.5267833333333343</v>
      </c>
      <c r="N1095" s="9">
        <f t="shared" si="24"/>
        <v>6.5224749999999991</v>
      </c>
      <c r="O1095" s="9">
        <f t="shared" si="24"/>
        <v>6.5267833333333343</v>
      </c>
    </row>
    <row r="1096" spans="1:15" ht="15" x14ac:dyDescent="0.2">
      <c r="A1096" s="10">
        <v>2038</v>
      </c>
      <c r="B1096" s="9">
        <f t="shared" ref="B1096:O1096" si="25">AVERAGE(B314:B325)</f>
        <v>5.078008333333333</v>
      </c>
      <c r="C1096" s="9">
        <f t="shared" si="25"/>
        <v>5.078008333333333</v>
      </c>
      <c r="D1096" s="9">
        <f t="shared" si="25"/>
        <v>5.0792916666666663</v>
      </c>
      <c r="E1096" s="9">
        <f t="shared" si="25"/>
        <v>6.5534166666666671</v>
      </c>
      <c r="F1096" s="9">
        <f t="shared" si="25"/>
        <v>6.5534166666666671</v>
      </c>
      <c r="G1096" s="9">
        <f t="shared" si="25"/>
        <v>6.5577499999999995</v>
      </c>
      <c r="H1096" s="9">
        <f t="shared" si="25"/>
        <v>10.471974999999999</v>
      </c>
      <c r="I1096" s="9">
        <f t="shared" si="25"/>
        <v>10.476283333333333</v>
      </c>
      <c r="J1096" s="9">
        <f t="shared" si="25"/>
        <v>10.471974999999999</v>
      </c>
      <c r="K1096" s="9">
        <f t="shared" si="25"/>
        <v>10.476283333333333</v>
      </c>
      <c r="L1096" s="9">
        <f t="shared" si="25"/>
        <v>6.5534166666666671</v>
      </c>
      <c r="M1096" s="9">
        <f t="shared" si="25"/>
        <v>6.5577499999999995</v>
      </c>
      <c r="N1096" s="9">
        <f t="shared" si="25"/>
        <v>6.5534166666666671</v>
      </c>
      <c r="O1096" s="9">
        <f t="shared" si="25"/>
        <v>6.5577499999999995</v>
      </c>
    </row>
    <row r="1097" spans="1:15" ht="15" x14ac:dyDescent="0.2">
      <c r="A1097" s="10">
        <v>2039</v>
      </c>
      <c r="B1097" s="9">
        <f t="shared" ref="B1097:O1097" si="26">AVERAGE(B326:B337)</f>
        <v>5.1910833333333333</v>
      </c>
      <c r="C1097" s="9">
        <f t="shared" si="26"/>
        <v>5.1910833333333333</v>
      </c>
      <c r="D1097" s="9">
        <f t="shared" si="26"/>
        <v>5.1923583333333339</v>
      </c>
      <c r="E1097" s="9">
        <f t="shared" si="26"/>
        <v>6.5795250000000003</v>
      </c>
      <c r="F1097" s="9">
        <f t="shared" si="26"/>
        <v>6.5795250000000003</v>
      </c>
      <c r="G1097" s="9">
        <f t="shared" si="26"/>
        <v>6.5838416666666655</v>
      </c>
      <c r="H1097" s="9">
        <f t="shared" si="26"/>
        <v>10.736775</v>
      </c>
      <c r="I1097" s="9">
        <f t="shared" si="26"/>
        <v>10.741091666666668</v>
      </c>
      <c r="J1097" s="9">
        <f t="shared" si="26"/>
        <v>10.736775</v>
      </c>
      <c r="K1097" s="9">
        <f t="shared" si="26"/>
        <v>10.741091666666668</v>
      </c>
      <c r="L1097" s="9">
        <f t="shared" si="26"/>
        <v>6.5795250000000003</v>
      </c>
      <c r="M1097" s="9">
        <f t="shared" si="26"/>
        <v>6.5838416666666655</v>
      </c>
      <c r="N1097" s="9">
        <f t="shared" si="26"/>
        <v>6.5795250000000003</v>
      </c>
      <c r="O1097" s="9">
        <f t="shared" si="26"/>
        <v>6.5838416666666655</v>
      </c>
    </row>
    <row r="1098" spans="1:15" ht="15" x14ac:dyDescent="0.2">
      <c r="A1098" s="10">
        <v>2040</v>
      </c>
      <c r="B1098" s="9">
        <f t="shared" ref="B1098:O1098" si="27">AVERAGE(B338:B349)</f>
        <v>5.3088083333333334</v>
      </c>
      <c r="C1098" s="9">
        <f t="shared" si="27"/>
        <v>5.3088083333333334</v>
      </c>
      <c r="D1098" s="9">
        <f t="shared" si="27"/>
        <v>5.3100916666666675</v>
      </c>
      <c r="E1098" s="9">
        <f t="shared" si="27"/>
        <v>6.6098166666666671</v>
      </c>
      <c r="F1098" s="9">
        <f t="shared" si="27"/>
        <v>6.6098166666666671</v>
      </c>
      <c r="G1098" s="9">
        <f t="shared" si="27"/>
        <v>6.6141166666666669</v>
      </c>
      <c r="H1098" s="9">
        <f t="shared" si="27"/>
        <v>11.008291666666667</v>
      </c>
      <c r="I1098" s="9">
        <f t="shared" si="27"/>
        <v>11.012616666666666</v>
      </c>
      <c r="J1098" s="9">
        <f t="shared" si="27"/>
        <v>11.008291666666667</v>
      </c>
      <c r="K1098" s="9">
        <f t="shared" si="27"/>
        <v>11.012616666666666</v>
      </c>
      <c r="L1098" s="9">
        <f t="shared" si="27"/>
        <v>6.6098166666666671</v>
      </c>
      <c r="M1098" s="9">
        <f t="shared" si="27"/>
        <v>6.6141166666666669</v>
      </c>
      <c r="N1098" s="9">
        <f t="shared" si="27"/>
        <v>6.6098166666666671</v>
      </c>
      <c r="O1098" s="9">
        <f t="shared" si="27"/>
        <v>6.6141166666666669</v>
      </c>
    </row>
    <row r="1099" spans="1:15" ht="15" x14ac:dyDescent="0.2">
      <c r="A1099" s="10">
        <v>2041</v>
      </c>
      <c r="B1099" s="9">
        <f t="shared" ref="B1099:O1099" si="28">AVERAGE(B350:B361)</f>
        <v>5.4292249999999989</v>
      </c>
      <c r="C1099" s="9">
        <f t="shared" si="28"/>
        <v>5.4292249999999989</v>
      </c>
      <c r="D1099" s="9">
        <f t="shared" si="28"/>
        <v>5.430483333333334</v>
      </c>
      <c r="E1099" s="9">
        <f t="shared" si="28"/>
        <v>6.6440333333333328</v>
      </c>
      <c r="F1099" s="9">
        <f t="shared" si="28"/>
        <v>6.6440333333333328</v>
      </c>
      <c r="G1099" s="9">
        <f t="shared" si="28"/>
        <v>6.6483583333333343</v>
      </c>
      <c r="H1099" s="9">
        <f t="shared" si="28"/>
        <v>11.286683333333334</v>
      </c>
      <c r="I1099" s="9">
        <f t="shared" si="28"/>
        <v>11.291000000000002</v>
      </c>
      <c r="J1099" s="9">
        <f t="shared" si="28"/>
        <v>11.286683333333334</v>
      </c>
      <c r="K1099" s="9">
        <f t="shared" si="28"/>
        <v>11.291000000000002</v>
      </c>
      <c r="L1099" s="9">
        <f t="shared" si="28"/>
        <v>6.6440333333333328</v>
      </c>
      <c r="M1099" s="9">
        <f t="shared" si="28"/>
        <v>6.6483583333333343</v>
      </c>
      <c r="N1099" s="9">
        <f t="shared" si="28"/>
        <v>6.6440333333333328</v>
      </c>
      <c r="O1099" s="9">
        <f t="shared" si="28"/>
        <v>6.6483583333333343</v>
      </c>
    </row>
    <row r="1100" spans="1:15" ht="15" x14ac:dyDescent="0.2">
      <c r="A1100" s="10">
        <v>2042</v>
      </c>
      <c r="B1100" s="9">
        <f t="shared" ref="B1100:O1100" si="29">AVERAGE(B362:B373)</f>
        <v>5.5523500000000006</v>
      </c>
      <c r="C1100" s="9">
        <f t="shared" si="29"/>
        <v>5.5523500000000006</v>
      </c>
      <c r="D1100" s="9">
        <f t="shared" si="29"/>
        <v>5.5536416666666675</v>
      </c>
      <c r="E1100" s="9">
        <f t="shared" si="29"/>
        <v>6.6822333333333335</v>
      </c>
      <c r="F1100" s="9">
        <f t="shared" si="29"/>
        <v>6.6822333333333335</v>
      </c>
      <c r="G1100" s="9">
        <f t="shared" si="29"/>
        <v>6.6865499999999995</v>
      </c>
      <c r="H1100" s="9">
        <f t="shared" si="29"/>
        <v>11.572108333333334</v>
      </c>
      <c r="I1100" s="9">
        <f t="shared" si="29"/>
        <v>11.576424999999999</v>
      </c>
      <c r="J1100" s="9">
        <f t="shared" si="29"/>
        <v>11.572108333333334</v>
      </c>
      <c r="K1100" s="9">
        <f t="shared" si="29"/>
        <v>11.576424999999999</v>
      </c>
      <c r="L1100" s="9">
        <f t="shared" si="29"/>
        <v>6.6822333333333335</v>
      </c>
      <c r="M1100" s="9">
        <f t="shared" si="29"/>
        <v>6.6865499999999995</v>
      </c>
      <c r="N1100" s="9">
        <f t="shared" si="29"/>
        <v>6.6822333333333335</v>
      </c>
      <c r="O1100" s="9">
        <f t="shared" si="29"/>
        <v>6.6865499999999995</v>
      </c>
    </row>
    <row r="1101" spans="1:15" ht="15" x14ac:dyDescent="0.2">
      <c r="A1101" s="10">
        <v>2043</v>
      </c>
      <c r="B1101" s="9">
        <f t="shared" ref="B1101:O1101" si="30">AVERAGE(B374:B385)</f>
        <v>5.6783000000000001</v>
      </c>
      <c r="C1101" s="9">
        <f t="shared" si="30"/>
        <v>5.6783000000000001</v>
      </c>
      <c r="D1101" s="9">
        <f t="shared" si="30"/>
        <v>5.6795749999999998</v>
      </c>
      <c r="E1101" s="9">
        <f t="shared" si="30"/>
        <v>6.72445</v>
      </c>
      <c r="F1101" s="9">
        <f t="shared" si="30"/>
        <v>6.72445</v>
      </c>
      <c r="G1101" s="9">
        <f t="shared" si="30"/>
        <v>6.7287666666666661</v>
      </c>
      <c r="H1101" s="9">
        <f t="shared" si="30"/>
        <v>11.864750000000001</v>
      </c>
      <c r="I1101" s="9">
        <f t="shared" si="30"/>
        <v>11.869066666666669</v>
      </c>
      <c r="J1101" s="9">
        <f t="shared" si="30"/>
        <v>11.864750000000001</v>
      </c>
      <c r="K1101" s="9">
        <f t="shared" si="30"/>
        <v>11.869066666666669</v>
      </c>
      <c r="L1101" s="9">
        <f t="shared" si="30"/>
        <v>6.72445</v>
      </c>
      <c r="M1101" s="9">
        <f t="shared" si="30"/>
        <v>6.7287666666666661</v>
      </c>
      <c r="N1101" s="9">
        <f t="shared" si="30"/>
        <v>6.72445</v>
      </c>
      <c r="O1101" s="9">
        <f t="shared" si="30"/>
        <v>6.7287666666666661</v>
      </c>
    </row>
    <row r="1102" spans="1:15" ht="15" x14ac:dyDescent="0.2">
      <c r="A1102" s="10">
        <v>2044</v>
      </c>
      <c r="B1102" s="9">
        <f t="shared" ref="B1102:O1102" si="31">AVERAGE(B386:B397)</f>
        <v>5.807083333333332</v>
      </c>
      <c r="C1102" s="9">
        <f t="shared" si="31"/>
        <v>5.807083333333332</v>
      </c>
      <c r="D1102" s="9">
        <f t="shared" si="31"/>
        <v>5.8083583333333335</v>
      </c>
      <c r="E1102" s="9">
        <f t="shared" si="31"/>
        <v>6.774516666666667</v>
      </c>
      <c r="F1102" s="9">
        <f t="shared" si="31"/>
        <v>6.774516666666667</v>
      </c>
      <c r="G1102" s="9">
        <f t="shared" si="31"/>
        <v>6.7788249999999985</v>
      </c>
      <c r="H1102" s="9">
        <f t="shared" si="31"/>
        <v>12.164783333333332</v>
      </c>
      <c r="I1102" s="9">
        <f t="shared" si="31"/>
        <v>12.169108333333334</v>
      </c>
      <c r="J1102" s="9">
        <f t="shared" si="31"/>
        <v>12.164783333333332</v>
      </c>
      <c r="K1102" s="9">
        <f t="shared" si="31"/>
        <v>12.169108333333334</v>
      </c>
      <c r="L1102" s="9">
        <f t="shared" si="31"/>
        <v>6.774516666666667</v>
      </c>
      <c r="M1102" s="9">
        <f t="shared" si="31"/>
        <v>6.7788249999999985</v>
      </c>
      <c r="N1102" s="9">
        <f t="shared" si="31"/>
        <v>6.774516666666667</v>
      </c>
      <c r="O1102" s="9">
        <f t="shared" si="31"/>
        <v>6.7788249999999985</v>
      </c>
    </row>
    <row r="1103" spans="1:15" ht="15" x14ac:dyDescent="0.2">
      <c r="A1103" s="10">
        <v>2045</v>
      </c>
      <c r="B1103" s="9">
        <f t="shared" ref="B1103:O1103" si="32">AVERAGE(B398:B409)</f>
        <v>5.9387999999999996</v>
      </c>
      <c r="C1103" s="9">
        <f t="shared" si="32"/>
        <v>5.9387999999999996</v>
      </c>
      <c r="D1103" s="9">
        <f t="shared" si="32"/>
        <v>5.9400916666666665</v>
      </c>
      <c r="E1103" s="9">
        <f t="shared" si="32"/>
        <v>6.8389249999999997</v>
      </c>
      <c r="F1103" s="9">
        <f t="shared" si="32"/>
        <v>6.8389249999999997</v>
      </c>
      <c r="G1103" s="9">
        <f t="shared" si="32"/>
        <v>6.8432416666666676</v>
      </c>
      <c r="H1103" s="9">
        <f t="shared" si="32"/>
        <v>12.472433333333333</v>
      </c>
      <c r="I1103" s="9">
        <f t="shared" si="32"/>
        <v>12.476750000000001</v>
      </c>
      <c r="J1103" s="9">
        <f t="shared" si="32"/>
        <v>12.472433333333333</v>
      </c>
      <c r="K1103" s="9">
        <f t="shared" si="32"/>
        <v>12.476750000000001</v>
      </c>
      <c r="L1103" s="9">
        <f t="shared" si="32"/>
        <v>6.8389249999999997</v>
      </c>
      <c r="M1103" s="9">
        <f t="shared" si="32"/>
        <v>6.8432416666666676</v>
      </c>
      <c r="N1103" s="9">
        <f t="shared" si="32"/>
        <v>6.8389249999999997</v>
      </c>
      <c r="O1103" s="9">
        <f t="shared" si="32"/>
        <v>6.8432416666666676</v>
      </c>
    </row>
    <row r="1104" spans="1:15" ht="15" x14ac:dyDescent="0.2">
      <c r="A1104" s="10">
        <v>2046</v>
      </c>
      <c r="B1104" s="9">
        <f t="shared" ref="B1104:O1104" si="33">AVERAGE(B410:B421)</f>
        <v>6.073525000000001</v>
      </c>
      <c r="C1104" s="9">
        <f t="shared" si="33"/>
        <v>6.073525000000001</v>
      </c>
      <c r="D1104" s="9">
        <f t="shared" si="33"/>
        <v>6.0748083333333343</v>
      </c>
      <c r="E1104" s="9">
        <f t="shared" si="33"/>
        <v>6.9243500000000004</v>
      </c>
      <c r="F1104" s="9">
        <f t="shared" si="33"/>
        <v>6.9243500000000004</v>
      </c>
      <c r="G1104" s="9">
        <f t="shared" si="33"/>
        <v>6.9286583333333338</v>
      </c>
      <c r="H1104" s="9">
        <f t="shared" si="33"/>
        <v>12.787824999999998</v>
      </c>
      <c r="I1104" s="9">
        <f t="shared" si="33"/>
        <v>12.792141666666668</v>
      </c>
      <c r="J1104" s="9">
        <f t="shared" si="33"/>
        <v>12.787824999999998</v>
      </c>
      <c r="K1104" s="9">
        <f t="shared" si="33"/>
        <v>12.792141666666668</v>
      </c>
      <c r="L1104" s="9">
        <f t="shared" si="33"/>
        <v>6.9243500000000004</v>
      </c>
      <c r="M1104" s="9">
        <f t="shared" si="33"/>
        <v>6.9286583333333338</v>
      </c>
      <c r="N1104" s="9">
        <f t="shared" si="33"/>
        <v>6.9243500000000004</v>
      </c>
      <c r="O1104" s="9">
        <f t="shared" si="33"/>
        <v>6.9286583333333338</v>
      </c>
    </row>
    <row r="1105" spans="1:15" ht="15" x14ac:dyDescent="0.2">
      <c r="A1105" s="10">
        <v>2047</v>
      </c>
      <c r="B1105" s="9">
        <f t="shared" ref="B1105:O1105" si="34">AVERAGE(B422:B433)</f>
        <v>6.2112833333333333</v>
      </c>
      <c r="C1105" s="9">
        <f t="shared" si="34"/>
        <v>6.2112833333333333</v>
      </c>
      <c r="D1105" s="9">
        <f t="shared" si="34"/>
        <v>6.2125750000000011</v>
      </c>
      <c r="E1105" s="9">
        <f t="shared" si="34"/>
        <v>7.0300916666666664</v>
      </c>
      <c r="F1105" s="9">
        <f t="shared" si="34"/>
        <v>7.0300916666666664</v>
      </c>
      <c r="G1105" s="9">
        <f t="shared" si="34"/>
        <v>7.0343999999999989</v>
      </c>
      <c r="H1105" s="9">
        <f t="shared" si="34"/>
        <v>13.111208333333332</v>
      </c>
      <c r="I1105" s="9">
        <f t="shared" si="34"/>
        <v>13.115533333333333</v>
      </c>
      <c r="J1105" s="9">
        <f t="shared" si="34"/>
        <v>13.111208333333332</v>
      </c>
      <c r="K1105" s="9">
        <f t="shared" si="34"/>
        <v>13.115533333333333</v>
      </c>
      <c r="L1105" s="9">
        <f t="shared" si="34"/>
        <v>7.0300916666666664</v>
      </c>
      <c r="M1105" s="9">
        <f t="shared" si="34"/>
        <v>7.0343999999999989</v>
      </c>
      <c r="N1105" s="9">
        <f t="shared" si="34"/>
        <v>7.0300916666666664</v>
      </c>
      <c r="O1105" s="9">
        <f t="shared" si="34"/>
        <v>7.0343999999999989</v>
      </c>
    </row>
    <row r="1106" spans="1:15" ht="15" x14ac:dyDescent="0.2">
      <c r="A1106" s="10">
        <v>2048</v>
      </c>
      <c r="B1106" s="9">
        <f t="shared" ref="B1106:O1106" si="35">AVERAGE(B434:B445)</f>
        <v>6.3522166666666671</v>
      </c>
      <c r="C1106" s="9">
        <f t="shared" si="35"/>
        <v>6.3522166666666671</v>
      </c>
      <c r="D1106" s="9">
        <f t="shared" si="35"/>
        <v>6.3534666666666668</v>
      </c>
      <c r="E1106" s="9">
        <f t="shared" si="35"/>
        <v>7.1572916666666666</v>
      </c>
      <c r="F1106" s="9">
        <f t="shared" si="35"/>
        <v>7.1572916666666666</v>
      </c>
      <c r="G1106" s="9">
        <f t="shared" si="35"/>
        <v>7.1615916666666672</v>
      </c>
      <c r="H1106" s="9">
        <f t="shared" si="35"/>
        <v>13.442783333333333</v>
      </c>
      <c r="I1106" s="9">
        <f t="shared" si="35"/>
        <v>13.447083333333332</v>
      </c>
      <c r="J1106" s="9">
        <f t="shared" si="35"/>
        <v>13.442783333333333</v>
      </c>
      <c r="K1106" s="9">
        <f t="shared" si="35"/>
        <v>13.447083333333332</v>
      </c>
      <c r="L1106" s="9">
        <f t="shared" si="35"/>
        <v>7.1572916666666666</v>
      </c>
      <c r="M1106" s="9">
        <f t="shared" si="35"/>
        <v>7.1615916666666672</v>
      </c>
      <c r="N1106" s="9">
        <f t="shared" si="35"/>
        <v>7.1572916666666666</v>
      </c>
      <c r="O1106" s="9">
        <f t="shared" si="35"/>
        <v>7.1615916666666672</v>
      </c>
    </row>
    <row r="1107" spans="1:15" ht="15" x14ac:dyDescent="0.2">
      <c r="A1107" s="10">
        <v>2049</v>
      </c>
      <c r="B1107" s="9">
        <f t="shared" ref="B1107:O1107" si="36">AVERAGE(B446:B457)</f>
        <v>6.4963166666666652</v>
      </c>
      <c r="C1107" s="9">
        <f t="shared" si="36"/>
        <v>6.4963166666666652</v>
      </c>
      <c r="D1107" s="9">
        <f t="shared" si="36"/>
        <v>6.4976000000000012</v>
      </c>
      <c r="E1107" s="9">
        <f t="shared" si="36"/>
        <v>7.3044833333333328</v>
      </c>
      <c r="F1107" s="9">
        <f t="shared" si="36"/>
        <v>7.3044833333333328</v>
      </c>
      <c r="G1107" s="9">
        <f t="shared" si="36"/>
        <v>7.3087833333333334</v>
      </c>
      <c r="H1107" s="9">
        <f t="shared" si="36"/>
        <v>13.782716666666667</v>
      </c>
      <c r="I1107" s="9">
        <f t="shared" si="36"/>
        <v>13.787050000000001</v>
      </c>
      <c r="J1107" s="9">
        <f t="shared" si="36"/>
        <v>13.782716666666667</v>
      </c>
      <c r="K1107" s="9">
        <f t="shared" si="36"/>
        <v>13.787050000000001</v>
      </c>
      <c r="L1107" s="9">
        <f t="shared" si="36"/>
        <v>7.3044833333333328</v>
      </c>
      <c r="M1107" s="9">
        <f t="shared" si="36"/>
        <v>7.3087833333333334</v>
      </c>
      <c r="N1107" s="9">
        <f t="shared" si="36"/>
        <v>7.3044833333333328</v>
      </c>
      <c r="O1107" s="9">
        <f t="shared" si="36"/>
        <v>7.3087833333333334</v>
      </c>
    </row>
    <row r="1108" spans="1:15" ht="15" x14ac:dyDescent="0.2">
      <c r="A1108" s="10">
        <v>2050</v>
      </c>
      <c r="B1108" s="9">
        <f t="shared" ref="B1108:O1108" si="37">AVERAGE(B458:B469)</f>
        <v>6.6436749999999982</v>
      </c>
      <c r="C1108" s="9">
        <f t="shared" si="37"/>
        <v>6.6436749999999982</v>
      </c>
      <c r="D1108" s="9">
        <f t="shared" si="37"/>
        <v>6.6449666666666678</v>
      </c>
      <c r="E1108" s="9">
        <f t="shared" si="37"/>
        <v>7.4640833333333338</v>
      </c>
      <c r="F1108" s="9">
        <f t="shared" si="37"/>
        <v>7.4640833333333338</v>
      </c>
      <c r="G1108" s="9">
        <f t="shared" si="37"/>
        <v>7.4683916666666663</v>
      </c>
      <c r="H1108" s="9">
        <f t="shared" si="37"/>
        <v>14.131275</v>
      </c>
      <c r="I1108" s="9">
        <f t="shared" si="37"/>
        <v>14.13559166666667</v>
      </c>
      <c r="J1108" s="9">
        <f t="shared" si="37"/>
        <v>14.131275</v>
      </c>
      <c r="K1108" s="9">
        <f t="shared" si="37"/>
        <v>14.13559166666667</v>
      </c>
      <c r="L1108" s="9">
        <f t="shared" si="37"/>
        <v>7.4640833333333338</v>
      </c>
      <c r="M1108" s="9">
        <f t="shared" si="37"/>
        <v>7.4683916666666663</v>
      </c>
      <c r="N1108" s="9">
        <f t="shared" si="37"/>
        <v>7.4640833333333338</v>
      </c>
      <c r="O1108" s="9">
        <f t="shared" si="37"/>
        <v>7.4683916666666663</v>
      </c>
    </row>
    <row r="1109" spans="1:15" ht="15" x14ac:dyDescent="0.2">
      <c r="A1109" s="10">
        <v>2051</v>
      </c>
      <c r="B1109" s="9">
        <f t="shared" ref="B1109:O1109" si="38">AVERAGE(B470:B481)</f>
        <v>6.7943916666666659</v>
      </c>
      <c r="C1109" s="9">
        <f t="shared" si="38"/>
        <v>6.7943916666666659</v>
      </c>
      <c r="D1109" s="9">
        <f t="shared" si="38"/>
        <v>6.7957000000000001</v>
      </c>
      <c r="E1109" s="9">
        <f t="shared" si="38"/>
        <v>7.627958333333333</v>
      </c>
      <c r="F1109" s="9">
        <f t="shared" si="38"/>
        <v>7.627958333333333</v>
      </c>
      <c r="G1109" s="9">
        <f t="shared" si="38"/>
        <v>7.6322916666666671</v>
      </c>
      <c r="H1109" s="9">
        <f t="shared" si="38"/>
        <v>14.488633333333333</v>
      </c>
      <c r="I1109" s="9">
        <f t="shared" si="38"/>
        <v>14.492941666666667</v>
      </c>
      <c r="J1109" s="9">
        <f t="shared" si="38"/>
        <v>14.488633333333333</v>
      </c>
      <c r="K1109" s="9">
        <f t="shared" si="38"/>
        <v>14.492941666666667</v>
      </c>
      <c r="L1109" s="9">
        <f t="shared" si="38"/>
        <v>7.627958333333333</v>
      </c>
      <c r="M1109" s="9">
        <f t="shared" si="38"/>
        <v>7.6322916666666671</v>
      </c>
      <c r="N1109" s="9">
        <f t="shared" si="38"/>
        <v>7.627958333333333</v>
      </c>
      <c r="O1109" s="9">
        <f t="shared" si="38"/>
        <v>7.6322916666666671</v>
      </c>
    </row>
    <row r="1110" spans="1:15" ht="15" x14ac:dyDescent="0.2">
      <c r="A1110" s="10">
        <v>2052</v>
      </c>
      <c r="B1110" s="9">
        <f t="shared" ref="B1110:O1110" si="39">AVERAGE(B482:B493)</f>
        <v>6.9485583333333336</v>
      </c>
      <c r="C1110" s="9">
        <f t="shared" si="39"/>
        <v>6.9485583333333336</v>
      </c>
      <c r="D1110" s="9">
        <f t="shared" si="39"/>
        <v>6.9498499999999988</v>
      </c>
      <c r="E1110" s="9">
        <f t="shared" si="39"/>
        <v>7.7962999999999996</v>
      </c>
      <c r="F1110" s="9">
        <f t="shared" si="39"/>
        <v>7.7962999999999996</v>
      </c>
      <c r="G1110" s="9">
        <f t="shared" si="39"/>
        <v>7.8006083333333338</v>
      </c>
      <c r="H1110" s="9">
        <f t="shared" si="39"/>
        <v>14.855016666666669</v>
      </c>
      <c r="I1110" s="9">
        <f t="shared" si="39"/>
        <v>14.859341666666667</v>
      </c>
      <c r="J1110" s="9">
        <f t="shared" si="39"/>
        <v>14.855016666666669</v>
      </c>
      <c r="K1110" s="9">
        <f t="shared" si="39"/>
        <v>14.859341666666667</v>
      </c>
      <c r="L1110" s="9">
        <f t="shared" si="39"/>
        <v>7.7962999999999996</v>
      </c>
      <c r="M1110" s="9">
        <f t="shared" si="39"/>
        <v>7.8006083333333338</v>
      </c>
      <c r="N1110" s="9">
        <f t="shared" si="39"/>
        <v>7.7962999999999996</v>
      </c>
      <c r="O1110" s="9">
        <f t="shared" si="39"/>
        <v>7.8006083333333338</v>
      </c>
    </row>
    <row r="1111" spans="1:15" ht="15" x14ac:dyDescent="0.2">
      <c r="A1111" s="10">
        <v>2053</v>
      </c>
      <c r="B1111" s="9">
        <f t="shared" ref="B1111:O1111" si="40">AVERAGE(B494:B505)</f>
        <v>7.1062166666666675</v>
      </c>
      <c r="C1111" s="9">
        <f t="shared" si="40"/>
        <v>7.1062166666666675</v>
      </c>
      <c r="D1111" s="9">
        <f t="shared" si="40"/>
        <v>7.1075000000000008</v>
      </c>
      <c r="E1111" s="9">
        <f t="shared" si="40"/>
        <v>7.9691916666666662</v>
      </c>
      <c r="F1111" s="9">
        <f t="shared" si="40"/>
        <v>7.9691916666666662</v>
      </c>
      <c r="G1111" s="9">
        <f t="shared" si="40"/>
        <v>7.9735166666666659</v>
      </c>
      <c r="H1111" s="9">
        <f t="shared" si="40"/>
        <v>15.230683333333333</v>
      </c>
      <c r="I1111" s="9">
        <f t="shared" si="40"/>
        <v>15.234991666666668</v>
      </c>
      <c r="J1111" s="9">
        <f t="shared" si="40"/>
        <v>15.230683333333333</v>
      </c>
      <c r="K1111" s="9">
        <f t="shared" si="40"/>
        <v>15.234991666666668</v>
      </c>
      <c r="L1111" s="9">
        <f t="shared" si="40"/>
        <v>7.9691916666666662</v>
      </c>
      <c r="M1111" s="9">
        <f t="shared" si="40"/>
        <v>7.9735166666666659</v>
      </c>
      <c r="N1111" s="9">
        <f t="shared" si="40"/>
        <v>7.9691916666666662</v>
      </c>
      <c r="O1111" s="9">
        <f t="shared" si="40"/>
        <v>7.9735166666666659</v>
      </c>
    </row>
    <row r="1112" spans="1:15" ht="15" x14ac:dyDescent="0.2">
      <c r="A1112" s="10">
        <v>2054</v>
      </c>
      <c r="B1112" s="9">
        <f t="shared" ref="B1112:O1112" si="41">AVERAGE(B506:B517)</f>
        <v>7.2674666666666674</v>
      </c>
      <c r="C1112" s="9">
        <f t="shared" si="41"/>
        <v>7.2674666666666674</v>
      </c>
      <c r="D1112" s="9">
        <f t="shared" si="41"/>
        <v>7.2687416666666671</v>
      </c>
      <c r="E1112" s="9">
        <f t="shared" si="41"/>
        <v>8.1467749999999999</v>
      </c>
      <c r="F1112" s="9">
        <f t="shared" si="41"/>
        <v>8.1467749999999999</v>
      </c>
      <c r="G1112" s="9">
        <f t="shared" si="41"/>
        <v>8.151091666666666</v>
      </c>
      <c r="H1112" s="9">
        <f t="shared" si="41"/>
        <v>15.615849999999996</v>
      </c>
      <c r="I1112" s="9">
        <f t="shared" si="41"/>
        <v>15.620158333333334</v>
      </c>
      <c r="J1112" s="9">
        <f t="shared" si="41"/>
        <v>15.615849999999996</v>
      </c>
      <c r="K1112" s="9">
        <f t="shared" si="41"/>
        <v>15.620158333333334</v>
      </c>
      <c r="L1112" s="9">
        <f t="shared" si="41"/>
        <v>8.1467749999999999</v>
      </c>
      <c r="M1112" s="9">
        <f t="shared" si="41"/>
        <v>8.151091666666666</v>
      </c>
      <c r="N1112" s="9">
        <f t="shared" si="41"/>
        <v>8.1467749999999999</v>
      </c>
      <c r="O1112" s="9">
        <f t="shared" si="41"/>
        <v>8.151091666666666</v>
      </c>
    </row>
    <row r="1113" spans="1:15" ht="15" x14ac:dyDescent="0.2">
      <c r="A1113" s="10">
        <v>2055</v>
      </c>
      <c r="B1113" s="9">
        <f t="shared" ref="B1113:O1113" si="42">AVERAGE(B18:B529)</f>
        <v>4.7923289062500007</v>
      </c>
      <c r="C1113" s="9">
        <f t="shared" si="42"/>
        <v>4.7910062500000006</v>
      </c>
      <c r="D1113" s="9">
        <f t="shared" si="42"/>
        <v>4.7941232421875002</v>
      </c>
      <c r="E1113" s="9">
        <f t="shared" si="42"/>
        <v>5.8382347656249998</v>
      </c>
      <c r="F1113" s="9">
        <f t="shared" si="42"/>
        <v>5.8204392578124997</v>
      </c>
      <c r="G1113" s="9">
        <f t="shared" si="42"/>
        <v>5.825210937500005</v>
      </c>
      <c r="H1113" s="9">
        <f t="shared" si="42"/>
        <v>9.9732779296874963</v>
      </c>
      <c r="I1113" s="9">
        <f t="shared" si="42"/>
        <v>9.9780501953125</v>
      </c>
      <c r="J1113" s="9">
        <f t="shared" si="42"/>
        <v>9.9732779296874963</v>
      </c>
      <c r="K1113" s="9">
        <f t="shared" si="42"/>
        <v>9.9780501953125</v>
      </c>
      <c r="L1113" s="9">
        <f t="shared" si="42"/>
        <v>5.8382347656249998</v>
      </c>
      <c r="M1113" s="9">
        <f t="shared" si="42"/>
        <v>5.843004687500005</v>
      </c>
      <c r="N1113" s="9">
        <f t="shared" si="42"/>
        <v>5.8382347656249998</v>
      </c>
      <c r="O1113" s="9">
        <f t="shared" si="42"/>
        <v>5.843004687500005</v>
      </c>
    </row>
    <row r="1114" spans="1:15" ht="15" x14ac:dyDescent="0.2">
      <c r="A1114" s="10">
        <v>2056</v>
      </c>
      <c r="B1114" s="9">
        <f t="shared" ref="B1114:O1114" si="43">AVERAGE(B530:B541)</f>
        <v>7.6010166666666663</v>
      </c>
      <c r="C1114" s="9">
        <f t="shared" si="43"/>
        <v>7.6010166666666663</v>
      </c>
      <c r="D1114" s="9">
        <f t="shared" si="43"/>
        <v>7.6022833333333333</v>
      </c>
      <c r="E1114" s="9">
        <f t="shared" si="43"/>
        <v>8.5165749999999996</v>
      </c>
      <c r="F1114" s="9">
        <f t="shared" si="43"/>
        <v>8.5165749999999996</v>
      </c>
      <c r="G1114" s="9">
        <f t="shared" si="43"/>
        <v>8.5208916666666674</v>
      </c>
      <c r="H1114" s="9">
        <f t="shared" si="43"/>
        <v>16.415625000000002</v>
      </c>
      <c r="I1114" s="9">
        <f t="shared" si="43"/>
        <v>16.419933333333333</v>
      </c>
      <c r="J1114" s="9">
        <f t="shared" si="43"/>
        <v>16.415625000000002</v>
      </c>
      <c r="K1114" s="9">
        <f t="shared" si="43"/>
        <v>16.419933333333333</v>
      </c>
      <c r="L1114" s="9">
        <f t="shared" si="43"/>
        <v>8.5165749999999996</v>
      </c>
      <c r="M1114" s="9">
        <f t="shared" si="43"/>
        <v>8.5208916666666674</v>
      </c>
      <c r="N1114" s="9">
        <f t="shared" si="43"/>
        <v>8.5165749999999996</v>
      </c>
      <c r="O1114" s="9">
        <f t="shared" si="43"/>
        <v>8.5208916666666674</v>
      </c>
    </row>
    <row r="1115" spans="1:15" ht="15" x14ac:dyDescent="0.2">
      <c r="A1115" s="10">
        <v>2057</v>
      </c>
      <c r="B1115" s="9">
        <f t="shared" ref="B1115:O1115" si="44">AVERAGE(B542:B553)</f>
        <v>7.7734750000000012</v>
      </c>
      <c r="C1115" s="9">
        <f t="shared" si="44"/>
        <v>7.7734750000000012</v>
      </c>
      <c r="D1115" s="9">
        <f t="shared" si="44"/>
        <v>7.7747666666666655</v>
      </c>
      <c r="E1115" s="9">
        <f t="shared" si="44"/>
        <v>8.7090916666666676</v>
      </c>
      <c r="F1115" s="9">
        <f t="shared" si="44"/>
        <v>8.7090916666666676</v>
      </c>
      <c r="G1115" s="9">
        <f t="shared" si="44"/>
        <v>8.7134166666666655</v>
      </c>
      <c r="H1115" s="9">
        <f t="shared" si="44"/>
        <v>16.830758333333332</v>
      </c>
      <c r="I1115" s="9">
        <f t="shared" si="44"/>
        <v>16.835075</v>
      </c>
      <c r="J1115" s="9">
        <f t="shared" si="44"/>
        <v>16.830758333333332</v>
      </c>
      <c r="K1115" s="9">
        <f t="shared" si="44"/>
        <v>16.835075</v>
      </c>
      <c r="L1115" s="9">
        <f t="shared" si="44"/>
        <v>8.7090916666666676</v>
      </c>
      <c r="M1115" s="9">
        <f t="shared" si="44"/>
        <v>8.7134166666666655</v>
      </c>
      <c r="N1115" s="9">
        <f t="shared" si="44"/>
        <v>8.7090916666666676</v>
      </c>
      <c r="O1115" s="9">
        <f t="shared" si="44"/>
        <v>8.7134166666666655</v>
      </c>
    </row>
    <row r="1116" spans="1:15" ht="15" x14ac:dyDescent="0.2">
      <c r="A1116" s="10">
        <v>2058</v>
      </c>
      <c r="B1116" s="9">
        <f t="shared" ref="B1116:O1116" si="45">AVERAGE(B554:B565)</f>
        <v>7.9498749999999996</v>
      </c>
      <c r="C1116" s="9">
        <f t="shared" si="45"/>
        <v>7.9498749999999996</v>
      </c>
      <c r="D1116" s="9">
        <f t="shared" si="45"/>
        <v>7.9511750000000019</v>
      </c>
      <c r="E1116" s="9">
        <f t="shared" si="45"/>
        <v>8.9068749999999994</v>
      </c>
      <c r="F1116" s="9">
        <f t="shared" si="45"/>
        <v>8.9068749999999994</v>
      </c>
      <c r="G1116" s="9">
        <f t="shared" si="45"/>
        <v>8.9111916666666673</v>
      </c>
      <c r="H1116" s="9">
        <f t="shared" si="45"/>
        <v>17.256391666666669</v>
      </c>
      <c r="I1116" s="9">
        <f t="shared" si="45"/>
        <v>17.260691666666666</v>
      </c>
      <c r="J1116" s="9">
        <f t="shared" si="45"/>
        <v>17.256391666666669</v>
      </c>
      <c r="K1116" s="9">
        <f t="shared" si="45"/>
        <v>17.260691666666666</v>
      </c>
      <c r="L1116" s="9">
        <f t="shared" si="45"/>
        <v>8.9068749999999994</v>
      </c>
      <c r="M1116" s="9">
        <f t="shared" si="45"/>
        <v>8.9111916666666673</v>
      </c>
      <c r="N1116" s="9">
        <f t="shared" si="45"/>
        <v>8.9068749999999994</v>
      </c>
      <c r="O1116" s="9">
        <f t="shared" si="45"/>
        <v>8.9111916666666673</v>
      </c>
    </row>
    <row r="1117" spans="1:15" ht="15" x14ac:dyDescent="0.2">
      <c r="A1117" s="10">
        <v>2059</v>
      </c>
      <c r="B1117" s="9">
        <f t="shared" ref="B1117:O1117" si="46">AVERAGE(B566:B577)</f>
        <v>8.1302916666666665</v>
      </c>
      <c r="C1117" s="9">
        <f t="shared" si="46"/>
        <v>8.1302916666666665</v>
      </c>
      <c r="D1117" s="9">
        <f t="shared" si="46"/>
        <v>8.1315833333333334</v>
      </c>
      <c r="E1117" s="9">
        <f t="shared" si="46"/>
        <v>9.1100750000000001</v>
      </c>
      <c r="F1117" s="9">
        <f t="shared" si="46"/>
        <v>9.1100750000000001</v>
      </c>
      <c r="G1117" s="9">
        <f t="shared" si="46"/>
        <v>9.1143999999999981</v>
      </c>
      <c r="H1117" s="9">
        <f t="shared" si="46"/>
        <v>17.692775000000001</v>
      </c>
      <c r="I1117" s="9">
        <f t="shared" si="46"/>
        <v>17.697083333333335</v>
      </c>
      <c r="J1117" s="9">
        <f t="shared" si="46"/>
        <v>17.692775000000001</v>
      </c>
      <c r="K1117" s="9">
        <f t="shared" si="46"/>
        <v>17.697083333333335</v>
      </c>
      <c r="L1117" s="9">
        <f t="shared" si="46"/>
        <v>9.1100750000000001</v>
      </c>
      <c r="M1117" s="9">
        <f t="shared" si="46"/>
        <v>9.1143999999999981</v>
      </c>
      <c r="N1117" s="9">
        <f t="shared" si="46"/>
        <v>9.1100750000000001</v>
      </c>
      <c r="O1117" s="9">
        <f t="shared" si="46"/>
        <v>9.1143999999999981</v>
      </c>
    </row>
    <row r="1118" spans="1:15" ht="15" x14ac:dyDescent="0.2">
      <c r="A1118" s="10">
        <v>2060</v>
      </c>
      <c r="B1118" s="9">
        <f t="shared" ref="B1118:O1118" si="47">AVERAGE(B578:B589)</f>
        <v>8.3147999999999982</v>
      </c>
      <c r="C1118" s="9">
        <f t="shared" si="47"/>
        <v>8.3147999999999982</v>
      </c>
      <c r="D1118" s="9">
        <f t="shared" si="47"/>
        <v>8.3160749999999997</v>
      </c>
      <c r="E1118" s="9">
        <f t="shared" si="47"/>
        <v>9.3188999999999993</v>
      </c>
      <c r="F1118" s="9">
        <f t="shared" si="47"/>
        <v>9.3188999999999993</v>
      </c>
      <c r="G1118" s="9">
        <f t="shared" si="47"/>
        <v>9.3232000000000017</v>
      </c>
      <c r="H1118" s="9">
        <f t="shared" si="47"/>
        <v>18.14019166666667</v>
      </c>
      <c r="I1118" s="9">
        <f t="shared" si="47"/>
        <v>18.144516666666664</v>
      </c>
      <c r="J1118" s="9">
        <f t="shared" si="47"/>
        <v>18.14019166666667</v>
      </c>
      <c r="K1118" s="9">
        <f t="shared" si="47"/>
        <v>18.144516666666664</v>
      </c>
      <c r="L1118" s="9">
        <f t="shared" si="47"/>
        <v>9.3188999999999993</v>
      </c>
      <c r="M1118" s="9">
        <f t="shared" si="47"/>
        <v>9.3232000000000017</v>
      </c>
      <c r="N1118" s="9">
        <f t="shared" si="47"/>
        <v>9.3188999999999993</v>
      </c>
      <c r="O1118" s="9">
        <f t="shared" si="47"/>
        <v>9.3232000000000017</v>
      </c>
    </row>
    <row r="1119" spans="1:15" ht="15" x14ac:dyDescent="0.2">
      <c r="A1119" s="10">
        <v>2061</v>
      </c>
      <c r="B1119" s="9">
        <f t="shared" ref="B1119:O1119" si="48">AVERAGE(B590:B601)</f>
        <v>8.5034916666666671</v>
      </c>
      <c r="C1119" s="9">
        <f t="shared" si="48"/>
        <v>8.5034916666666671</v>
      </c>
      <c r="D1119" s="9">
        <f t="shared" si="48"/>
        <v>8.5047749999999986</v>
      </c>
      <c r="E1119" s="9">
        <f t="shared" si="48"/>
        <v>9.5334583333333338</v>
      </c>
      <c r="F1119" s="9">
        <f t="shared" si="48"/>
        <v>9.5334583333333338</v>
      </c>
      <c r="G1119" s="9">
        <f t="shared" si="48"/>
        <v>9.5377750000000017</v>
      </c>
      <c r="H1119" s="9">
        <f t="shared" si="48"/>
        <v>18.598933333333335</v>
      </c>
      <c r="I1119" s="9">
        <f t="shared" si="48"/>
        <v>18.603258333333333</v>
      </c>
      <c r="J1119" s="9">
        <f t="shared" si="48"/>
        <v>18.598933333333335</v>
      </c>
      <c r="K1119" s="9">
        <f t="shared" si="48"/>
        <v>18.603258333333333</v>
      </c>
      <c r="L1119" s="9">
        <f t="shared" si="48"/>
        <v>9.5334583333333338</v>
      </c>
      <c r="M1119" s="9">
        <f t="shared" si="48"/>
        <v>9.5377750000000017</v>
      </c>
      <c r="N1119" s="9">
        <f t="shared" si="48"/>
        <v>9.5334583333333338</v>
      </c>
      <c r="O1119" s="9">
        <f t="shared" si="48"/>
        <v>9.5377750000000017</v>
      </c>
    </row>
    <row r="1120" spans="1:15" ht="15" x14ac:dyDescent="0.2">
      <c r="A1120" s="10">
        <v>2062</v>
      </c>
      <c r="B1120" s="9">
        <f t="shared" ref="B1120:O1129" ca="1" si="49">AVERAGE(OFFSET(B$602,($A1120-$A$1120)*12,0,12,1))</f>
        <v>8.6921999999999979</v>
      </c>
      <c r="C1120" s="9">
        <f t="shared" ca="1" si="49"/>
        <v>8.6921999999999979</v>
      </c>
      <c r="D1120" s="9">
        <f t="shared" ca="1" si="49"/>
        <v>8.6934833333333348</v>
      </c>
      <c r="E1120" s="9">
        <f t="shared" ca="1" si="49"/>
        <v>9.7480333333333338</v>
      </c>
      <c r="F1120" s="9">
        <f t="shared" ca="1" si="49"/>
        <v>9.7480333333333338</v>
      </c>
      <c r="G1120" s="9">
        <f t="shared" ca="1" si="49"/>
        <v>9.7523500000000016</v>
      </c>
      <c r="H1120" s="9">
        <f t="shared" ca="1" si="49"/>
        <v>19.057683333333333</v>
      </c>
      <c r="I1120" s="9">
        <f t="shared" ca="1" si="49"/>
        <v>19.061983333333334</v>
      </c>
      <c r="J1120" s="9">
        <f t="shared" ca="1" si="49"/>
        <v>19.057683333333333</v>
      </c>
      <c r="K1120" s="9">
        <f t="shared" ca="1" si="49"/>
        <v>19.061983333333334</v>
      </c>
      <c r="L1120" s="9">
        <f t="shared" ca="1" si="49"/>
        <v>9.7480333333333338</v>
      </c>
      <c r="M1120" s="9">
        <f t="shared" ca="1" si="49"/>
        <v>9.7523500000000016</v>
      </c>
      <c r="N1120" s="9">
        <f t="shared" ca="1" si="49"/>
        <v>9.7480333333333338</v>
      </c>
      <c r="O1120" s="9">
        <f t="shared" ca="1" si="49"/>
        <v>9.7523500000000016</v>
      </c>
    </row>
    <row r="1121" spans="1:15" ht="15" x14ac:dyDescent="0.2">
      <c r="A1121" s="10">
        <v>2063</v>
      </c>
      <c r="B1121" s="9">
        <f t="shared" ca="1" si="49"/>
        <v>8.8809083333333341</v>
      </c>
      <c r="C1121" s="9">
        <f t="shared" ca="1" si="49"/>
        <v>8.8809083333333341</v>
      </c>
      <c r="D1121" s="9">
        <f t="shared" ca="1" si="49"/>
        <v>8.8821999999999992</v>
      </c>
      <c r="E1121" s="9">
        <f t="shared" ca="1" si="49"/>
        <v>9.9625916666666665</v>
      </c>
      <c r="F1121" s="9">
        <f t="shared" ca="1" si="49"/>
        <v>9.9625916666666665</v>
      </c>
      <c r="G1121" s="9">
        <f t="shared" ca="1" si="49"/>
        <v>9.9669083333333344</v>
      </c>
      <c r="H1121" s="9">
        <f t="shared" ca="1" si="49"/>
        <v>19.516408333333331</v>
      </c>
      <c r="I1121" s="9">
        <f t="shared" ca="1" si="49"/>
        <v>19.520716666666665</v>
      </c>
      <c r="J1121" s="9">
        <f t="shared" ca="1" si="49"/>
        <v>19.516408333333331</v>
      </c>
      <c r="K1121" s="9">
        <f t="shared" ca="1" si="49"/>
        <v>19.520716666666665</v>
      </c>
      <c r="L1121" s="9">
        <f t="shared" ca="1" si="49"/>
        <v>9.9625916666666665</v>
      </c>
      <c r="M1121" s="9">
        <f t="shared" ca="1" si="49"/>
        <v>9.9669083333333344</v>
      </c>
      <c r="N1121" s="9">
        <f t="shared" ca="1" si="49"/>
        <v>9.9625916666666665</v>
      </c>
      <c r="O1121" s="9">
        <f t="shared" ca="1" si="49"/>
        <v>9.9669083333333344</v>
      </c>
    </row>
    <row r="1122" spans="1:15" ht="15" x14ac:dyDescent="0.2">
      <c r="A1122" s="10">
        <v>2064</v>
      </c>
      <c r="B1122" s="9">
        <f t="shared" ca="1" si="49"/>
        <v>9.0695916666666658</v>
      </c>
      <c r="C1122" s="9">
        <f t="shared" ca="1" si="49"/>
        <v>9.0695916666666658</v>
      </c>
      <c r="D1122" s="9">
        <f t="shared" ca="1" si="49"/>
        <v>9.0708916666666664</v>
      </c>
      <c r="E1122" s="9">
        <f t="shared" ca="1" si="49"/>
        <v>10.177166666666666</v>
      </c>
      <c r="F1122" s="9">
        <f t="shared" ca="1" si="49"/>
        <v>10.177166666666666</v>
      </c>
      <c r="G1122" s="9">
        <f t="shared" ca="1" si="49"/>
        <v>10.181483333333334</v>
      </c>
      <c r="H1122" s="9">
        <f t="shared" ca="1" si="49"/>
        <v>19.975158333333333</v>
      </c>
      <c r="I1122" s="9">
        <f t="shared" ca="1" si="49"/>
        <v>19.979458333333337</v>
      </c>
      <c r="J1122" s="9">
        <f t="shared" ca="1" si="49"/>
        <v>19.975158333333333</v>
      </c>
      <c r="K1122" s="9">
        <f t="shared" ca="1" si="49"/>
        <v>19.979458333333337</v>
      </c>
      <c r="L1122" s="9">
        <f t="shared" ca="1" si="49"/>
        <v>10.177166666666666</v>
      </c>
      <c r="M1122" s="9">
        <f t="shared" ca="1" si="49"/>
        <v>10.181483333333334</v>
      </c>
      <c r="N1122" s="9">
        <f t="shared" ca="1" si="49"/>
        <v>10.177166666666666</v>
      </c>
      <c r="O1122" s="9">
        <f t="shared" ca="1" si="49"/>
        <v>10.181483333333334</v>
      </c>
    </row>
    <row r="1123" spans="1:15" ht="15" x14ac:dyDescent="0.2">
      <c r="A1123" s="10">
        <v>2065</v>
      </c>
      <c r="B1123" s="9">
        <f t="shared" ca="1" si="49"/>
        <v>9.2583083333333338</v>
      </c>
      <c r="C1123" s="9">
        <f t="shared" ca="1" si="49"/>
        <v>9.2583083333333338</v>
      </c>
      <c r="D1123" s="9">
        <f t="shared" ca="1" si="49"/>
        <v>9.2596000000000007</v>
      </c>
      <c r="E1123" s="9">
        <f t="shared" ca="1" si="49"/>
        <v>10.391724999999999</v>
      </c>
      <c r="F1123" s="9">
        <f t="shared" ca="1" si="49"/>
        <v>10.391724999999999</v>
      </c>
      <c r="G1123" s="9">
        <f t="shared" ca="1" si="49"/>
        <v>10.396033333333333</v>
      </c>
      <c r="H1123" s="9">
        <f t="shared" ca="1" si="49"/>
        <v>20.433874999999997</v>
      </c>
      <c r="I1123" s="9">
        <f t="shared" ca="1" si="49"/>
        <v>20.438191666666665</v>
      </c>
      <c r="J1123" s="9">
        <f t="shared" ca="1" si="49"/>
        <v>20.433874999999997</v>
      </c>
      <c r="K1123" s="9">
        <f t="shared" ca="1" si="49"/>
        <v>20.438191666666665</v>
      </c>
      <c r="L1123" s="9">
        <f t="shared" ca="1" si="49"/>
        <v>10.391724999999999</v>
      </c>
      <c r="M1123" s="9">
        <f t="shared" ca="1" si="49"/>
        <v>10.396033333333333</v>
      </c>
      <c r="N1123" s="9">
        <f t="shared" ca="1" si="49"/>
        <v>10.391724999999999</v>
      </c>
      <c r="O1123" s="9">
        <f t="shared" ca="1" si="49"/>
        <v>10.396033333333333</v>
      </c>
    </row>
    <row r="1124" spans="1:15" ht="15" x14ac:dyDescent="0.2">
      <c r="A1124" s="10">
        <v>2066</v>
      </c>
      <c r="B1124" s="9">
        <f t="shared" ca="1" si="49"/>
        <v>9.447000000000001</v>
      </c>
      <c r="C1124" s="9">
        <f t="shared" ca="1" si="49"/>
        <v>9.447000000000001</v>
      </c>
      <c r="D1124" s="9">
        <f t="shared" ca="1" si="49"/>
        <v>9.4483000000000015</v>
      </c>
      <c r="E1124" s="9">
        <f t="shared" ca="1" si="49"/>
        <v>10.606275</v>
      </c>
      <c r="F1124" s="9">
        <f t="shared" ca="1" si="49"/>
        <v>10.606275</v>
      </c>
      <c r="G1124" s="9">
        <f t="shared" ca="1" si="49"/>
        <v>10.610583333333336</v>
      </c>
      <c r="H1124" s="9">
        <f t="shared" ca="1" si="49"/>
        <v>20.892624999999999</v>
      </c>
      <c r="I1124" s="9">
        <f t="shared" ca="1" si="49"/>
        <v>20.896933333333337</v>
      </c>
      <c r="J1124" s="9">
        <f t="shared" ca="1" si="49"/>
        <v>20.892624999999999</v>
      </c>
      <c r="K1124" s="9">
        <f t="shared" ca="1" si="49"/>
        <v>20.896933333333337</v>
      </c>
      <c r="L1124" s="9">
        <f t="shared" ca="1" si="49"/>
        <v>10.606275</v>
      </c>
      <c r="M1124" s="9">
        <f t="shared" ca="1" si="49"/>
        <v>10.610583333333336</v>
      </c>
      <c r="N1124" s="9">
        <f t="shared" ca="1" si="49"/>
        <v>10.606275</v>
      </c>
      <c r="O1124" s="9">
        <f t="shared" ca="1" si="49"/>
        <v>10.610583333333336</v>
      </c>
    </row>
    <row r="1125" spans="1:15" ht="15" x14ac:dyDescent="0.2">
      <c r="A1125" s="10">
        <v>2067</v>
      </c>
      <c r="B1125" s="9">
        <f t="shared" ca="1" si="49"/>
        <v>9.6357083333333335</v>
      </c>
      <c r="C1125" s="9">
        <f t="shared" ca="1" si="49"/>
        <v>9.6357083333333335</v>
      </c>
      <c r="D1125" s="9">
        <f t="shared" ca="1" si="49"/>
        <v>9.6369916666666686</v>
      </c>
      <c r="E1125" s="9">
        <f t="shared" ca="1" si="49"/>
        <v>10.82085</v>
      </c>
      <c r="F1125" s="9">
        <f t="shared" ca="1" si="49"/>
        <v>10.82085</v>
      </c>
      <c r="G1125" s="9">
        <f t="shared" ca="1" si="49"/>
        <v>10.825175000000002</v>
      </c>
      <c r="H1125" s="9">
        <f t="shared" ca="1" si="49"/>
        <v>21.351358333333334</v>
      </c>
      <c r="I1125" s="9">
        <f t="shared" ca="1" si="49"/>
        <v>21.355666666666668</v>
      </c>
      <c r="J1125" s="9">
        <f t="shared" ca="1" si="49"/>
        <v>21.351358333333334</v>
      </c>
      <c r="K1125" s="9">
        <f t="shared" ca="1" si="49"/>
        <v>21.355666666666668</v>
      </c>
      <c r="L1125" s="9">
        <f t="shared" ca="1" si="49"/>
        <v>10.82085</v>
      </c>
      <c r="M1125" s="9">
        <f t="shared" ca="1" si="49"/>
        <v>10.825175000000002</v>
      </c>
      <c r="N1125" s="9">
        <f t="shared" ca="1" si="49"/>
        <v>10.82085</v>
      </c>
      <c r="O1125" s="9">
        <f t="shared" ca="1" si="49"/>
        <v>10.825175000000002</v>
      </c>
    </row>
    <row r="1126" spans="1:15" ht="15" x14ac:dyDescent="0.2">
      <c r="A1126" s="10">
        <v>2068</v>
      </c>
      <c r="B1126" s="9">
        <f t="shared" ca="1" si="49"/>
        <v>9.8244083333333343</v>
      </c>
      <c r="C1126" s="9">
        <f t="shared" ca="1" si="49"/>
        <v>9.8244083333333343</v>
      </c>
      <c r="D1126" s="9">
        <f t="shared" ca="1" si="49"/>
        <v>9.8256916666666658</v>
      </c>
      <c r="E1126" s="9">
        <f t="shared" ca="1" si="49"/>
        <v>11.035424999999998</v>
      </c>
      <c r="F1126" s="9">
        <f t="shared" ca="1" si="49"/>
        <v>11.035424999999998</v>
      </c>
      <c r="G1126" s="9">
        <f t="shared" ca="1" si="49"/>
        <v>11.039733333333333</v>
      </c>
      <c r="H1126" s="9">
        <f t="shared" ca="1" si="49"/>
        <v>21.810083333333335</v>
      </c>
      <c r="I1126" s="9">
        <f t="shared" ca="1" si="49"/>
        <v>21.814399999999996</v>
      </c>
      <c r="J1126" s="9">
        <f t="shared" ca="1" si="49"/>
        <v>21.810083333333335</v>
      </c>
      <c r="K1126" s="9">
        <f t="shared" ca="1" si="49"/>
        <v>21.814399999999996</v>
      </c>
      <c r="L1126" s="9">
        <f t="shared" ca="1" si="49"/>
        <v>11.035424999999998</v>
      </c>
      <c r="M1126" s="9">
        <f t="shared" ca="1" si="49"/>
        <v>11.039733333333333</v>
      </c>
      <c r="N1126" s="9">
        <f t="shared" ca="1" si="49"/>
        <v>11.035424999999998</v>
      </c>
      <c r="O1126" s="9">
        <f t="shared" ca="1" si="49"/>
        <v>11.039733333333333</v>
      </c>
    </row>
    <row r="1127" spans="1:15" ht="15" x14ac:dyDescent="0.2">
      <c r="A1127" s="10">
        <v>2069</v>
      </c>
      <c r="B1127" s="9">
        <f t="shared" ca="1" si="49"/>
        <v>10.013091666666666</v>
      </c>
      <c r="C1127" s="9">
        <f t="shared" ca="1" si="49"/>
        <v>10.013091666666666</v>
      </c>
      <c r="D1127" s="9">
        <f t="shared" ca="1" si="49"/>
        <v>10.014383333333335</v>
      </c>
      <c r="E1127" s="9">
        <f t="shared" ca="1" si="49"/>
        <v>11.249983333333333</v>
      </c>
      <c r="F1127" s="9">
        <f t="shared" ca="1" si="49"/>
        <v>11.249983333333333</v>
      </c>
      <c r="G1127" s="9">
        <f t="shared" ca="1" si="49"/>
        <v>11.254300000000001</v>
      </c>
      <c r="H1127" s="9">
        <f t="shared" ca="1" si="49"/>
        <v>22.268825000000003</v>
      </c>
      <c r="I1127" s="9">
        <f t="shared" ca="1" si="49"/>
        <v>22.273141666666664</v>
      </c>
      <c r="J1127" s="9">
        <f t="shared" ca="1" si="49"/>
        <v>22.268825000000003</v>
      </c>
      <c r="K1127" s="9">
        <f t="shared" ca="1" si="49"/>
        <v>22.273141666666664</v>
      </c>
      <c r="L1127" s="9">
        <f t="shared" ca="1" si="49"/>
        <v>11.249983333333333</v>
      </c>
      <c r="M1127" s="9">
        <f t="shared" ca="1" si="49"/>
        <v>11.254300000000001</v>
      </c>
      <c r="N1127" s="9">
        <f t="shared" ca="1" si="49"/>
        <v>11.249983333333333</v>
      </c>
      <c r="O1127" s="9">
        <f t="shared" ca="1" si="49"/>
        <v>11.254300000000001</v>
      </c>
    </row>
    <row r="1128" spans="1:15" ht="15" x14ac:dyDescent="0.2">
      <c r="A1128" s="10">
        <v>2070</v>
      </c>
      <c r="B1128" s="9">
        <f t="shared" ca="1" si="49"/>
        <v>10.201825000000001</v>
      </c>
      <c r="C1128" s="9">
        <f t="shared" ca="1" si="49"/>
        <v>10.201825000000001</v>
      </c>
      <c r="D1128" s="9">
        <f t="shared" ca="1" si="49"/>
        <v>10.203091666666666</v>
      </c>
      <c r="E1128" s="9">
        <f t="shared" ca="1" si="49"/>
        <v>11.464541666666667</v>
      </c>
      <c r="F1128" s="9">
        <f t="shared" ca="1" si="49"/>
        <v>11.464541666666667</v>
      </c>
      <c r="G1128" s="9">
        <f t="shared" ca="1" si="49"/>
        <v>11.468866666666665</v>
      </c>
      <c r="H1128" s="9">
        <f t="shared" ca="1" si="49"/>
        <v>22.72753333333333</v>
      </c>
      <c r="I1128" s="9">
        <f t="shared" ca="1" si="49"/>
        <v>22.731858333333335</v>
      </c>
      <c r="J1128" s="9">
        <f t="shared" ca="1" si="49"/>
        <v>22.72753333333333</v>
      </c>
      <c r="K1128" s="9">
        <f t="shared" ca="1" si="49"/>
        <v>22.731858333333335</v>
      </c>
      <c r="L1128" s="9">
        <f t="shared" ca="1" si="49"/>
        <v>11.464541666666667</v>
      </c>
      <c r="M1128" s="9">
        <f t="shared" ca="1" si="49"/>
        <v>11.468866666666665</v>
      </c>
      <c r="N1128" s="9">
        <f t="shared" ca="1" si="49"/>
        <v>11.464541666666667</v>
      </c>
      <c r="O1128" s="9">
        <f t="shared" ca="1" si="49"/>
        <v>11.468866666666665</v>
      </c>
    </row>
    <row r="1129" spans="1:15" ht="15" x14ac:dyDescent="0.2">
      <c r="A1129" s="10">
        <v>2071</v>
      </c>
      <c r="B1129" s="9">
        <f t="shared" ca="1" si="49"/>
        <v>10.390508333333333</v>
      </c>
      <c r="C1129" s="9">
        <f t="shared" ca="1" si="49"/>
        <v>10.390508333333333</v>
      </c>
      <c r="D1129" s="9">
        <f t="shared" ca="1" si="49"/>
        <v>10.391791666666666</v>
      </c>
      <c r="E1129" s="9">
        <f t="shared" ca="1" si="49"/>
        <v>11.679108333333334</v>
      </c>
      <c r="F1129" s="9">
        <f t="shared" ca="1" si="49"/>
        <v>11.679108333333334</v>
      </c>
      <c r="G1129" s="9">
        <f t="shared" ca="1" si="49"/>
        <v>11.683416666666668</v>
      </c>
      <c r="H1129" s="9">
        <f t="shared" ca="1" si="49"/>
        <v>23.186299999999999</v>
      </c>
      <c r="I1129" s="9">
        <f t="shared" ca="1" si="49"/>
        <v>23.190600000000003</v>
      </c>
      <c r="J1129" s="9">
        <f t="shared" ca="1" si="49"/>
        <v>23.186299999999999</v>
      </c>
      <c r="K1129" s="9">
        <f t="shared" ca="1" si="49"/>
        <v>23.190600000000003</v>
      </c>
      <c r="L1129" s="9">
        <f t="shared" ca="1" si="49"/>
        <v>11.679108333333334</v>
      </c>
      <c r="M1129" s="9">
        <f t="shared" ca="1" si="49"/>
        <v>11.683416666666668</v>
      </c>
      <c r="N1129" s="9">
        <f t="shared" ca="1" si="49"/>
        <v>11.679108333333334</v>
      </c>
      <c r="O1129" s="9">
        <f t="shared" ca="1" si="49"/>
        <v>11.683416666666668</v>
      </c>
    </row>
    <row r="1130" spans="1:15" ht="15" x14ac:dyDescent="0.2">
      <c r="A1130" s="10">
        <v>2072</v>
      </c>
      <c r="B1130" s="9">
        <f t="shared" ref="B1130:O1139" ca="1" si="50">AVERAGE(OFFSET(B$602,($A1130-$A$1120)*12,0,12,1))</f>
        <v>10.579216666666667</v>
      </c>
      <c r="C1130" s="9">
        <f t="shared" ca="1" si="50"/>
        <v>10.579216666666667</v>
      </c>
      <c r="D1130" s="9">
        <f t="shared" ca="1" si="50"/>
        <v>10.580483333333332</v>
      </c>
      <c r="E1130" s="9">
        <f t="shared" ca="1" si="50"/>
        <v>11.893658333333335</v>
      </c>
      <c r="F1130" s="9">
        <f t="shared" ca="1" si="50"/>
        <v>11.893658333333335</v>
      </c>
      <c r="G1130" s="9">
        <f t="shared" ca="1" si="50"/>
        <v>11.897975000000002</v>
      </c>
      <c r="H1130" s="9">
        <f t="shared" ca="1" si="50"/>
        <v>23.645025</v>
      </c>
      <c r="I1130" s="9">
        <f t="shared" ca="1" si="50"/>
        <v>23.649333333333335</v>
      </c>
      <c r="J1130" s="9">
        <f t="shared" ca="1" si="50"/>
        <v>23.645025</v>
      </c>
      <c r="K1130" s="9">
        <f t="shared" ca="1" si="50"/>
        <v>23.649333333333335</v>
      </c>
      <c r="L1130" s="9">
        <f t="shared" ca="1" si="50"/>
        <v>11.893658333333335</v>
      </c>
      <c r="M1130" s="9">
        <f t="shared" ca="1" si="50"/>
        <v>11.897975000000002</v>
      </c>
      <c r="N1130" s="9">
        <f t="shared" ca="1" si="50"/>
        <v>11.893658333333335</v>
      </c>
      <c r="O1130" s="9">
        <f t="shared" ca="1" si="50"/>
        <v>11.897975000000002</v>
      </c>
    </row>
    <row r="1131" spans="1:15" ht="15" x14ac:dyDescent="0.2">
      <c r="A1131" s="10">
        <v>2073</v>
      </c>
      <c r="B1131" s="9">
        <f t="shared" ca="1" si="50"/>
        <v>10.767916666666666</v>
      </c>
      <c r="C1131" s="9">
        <f t="shared" ca="1" si="50"/>
        <v>10.767916666666666</v>
      </c>
      <c r="D1131" s="9">
        <f t="shared" ca="1" si="50"/>
        <v>10.769191666666666</v>
      </c>
      <c r="E1131" s="9">
        <f t="shared" ca="1" si="50"/>
        <v>12.108233333333333</v>
      </c>
      <c r="F1131" s="9">
        <f t="shared" ca="1" si="50"/>
        <v>12.108233333333333</v>
      </c>
      <c r="G1131" s="9">
        <f t="shared" ca="1" si="50"/>
        <v>12.112566666666666</v>
      </c>
      <c r="H1131" s="9">
        <f t="shared" ca="1" si="50"/>
        <v>24.103775000000002</v>
      </c>
      <c r="I1131" s="9">
        <f t="shared" ca="1" si="50"/>
        <v>24.108099999999997</v>
      </c>
      <c r="J1131" s="9">
        <f t="shared" ca="1" si="50"/>
        <v>24.103775000000002</v>
      </c>
      <c r="K1131" s="9">
        <f t="shared" ca="1" si="50"/>
        <v>24.108099999999997</v>
      </c>
      <c r="L1131" s="9">
        <f t="shared" ca="1" si="50"/>
        <v>12.108233333333333</v>
      </c>
      <c r="M1131" s="9">
        <f t="shared" ca="1" si="50"/>
        <v>12.112566666666666</v>
      </c>
      <c r="N1131" s="9">
        <f t="shared" ca="1" si="50"/>
        <v>12.108233333333333</v>
      </c>
      <c r="O1131" s="9">
        <f t="shared" ca="1" si="50"/>
        <v>12.112566666666666</v>
      </c>
    </row>
    <row r="1132" spans="1:15" ht="15" x14ac:dyDescent="0.2">
      <c r="A1132" s="10">
        <v>2074</v>
      </c>
      <c r="B1132" s="9">
        <f t="shared" ca="1" si="50"/>
        <v>10.956608333333334</v>
      </c>
      <c r="C1132" s="9">
        <f t="shared" ca="1" si="50"/>
        <v>10.956608333333334</v>
      </c>
      <c r="D1132" s="9">
        <f t="shared" ca="1" si="50"/>
        <v>10.9579</v>
      </c>
      <c r="E1132" s="9">
        <f t="shared" ca="1" si="50"/>
        <v>12.322799999999999</v>
      </c>
      <c r="F1132" s="9">
        <f t="shared" ca="1" si="50"/>
        <v>12.322799999999999</v>
      </c>
      <c r="G1132" s="9">
        <f t="shared" ca="1" si="50"/>
        <v>12.327133333333334</v>
      </c>
      <c r="H1132" s="9">
        <f t="shared" ca="1" si="50"/>
        <v>24.5625</v>
      </c>
      <c r="I1132" s="9">
        <f t="shared" ca="1" si="50"/>
        <v>24.566825000000005</v>
      </c>
      <c r="J1132" s="9">
        <f t="shared" ca="1" si="50"/>
        <v>24.5625</v>
      </c>
      <c r="K1132" s="9">
        <f t="shared" ca="1" si="50"/>
        <v>24.566825000000005</v>
      </c>
      <c r="L1132" s="9">
        <f t="shared" ca="1" si="50"/>
        <v>12.322799999999999</v>
      </c>
      <c r="M1132" s="9">
        <f t="shared" ca="1" si="50"/>
        <v>12.327133333333334</v>
      </c>
      <c r="N1132" s="9">
        <f t="shared" ca="1" si="50"/>
        <v>12.322799999999999</v>
      </c>
      <c r="O1132" s="9">
        <f t="shared" ca="1" si="50"/>
        <v>12.327133333333334</v>
      </c>
    </row>
    <row r="1133" spans="1:15" ht="15" x14ac:dyDescent="0.2">
      <c r="A1133" s="10">
        <v>2075</v>
      </c>
      <c r="B1133" s="9">
        <f t="shared" ca="1" si="50"/>
        <v>11.145333333333332</v>
      </c>
      <c r="C1133" s="9">
        <f t="shared" ca="1" si="50"/>
        <v>11.145333333333332</v>
      </c>
      <c r="D1133" s="9">
        <f t="shared" ca="1" si="50"/>
        <v>11.146608333333333</v>
      </c>
      <c r="E1133" s="9">
        <f t="shared" ca="1" si="50"/>
        <v>12.537374999999999</v>
      </c>
      <c r="F1133" s="9">
        <f t="shared" ca="1" si="50"/>
        <v>12.537374999999999</v>
      </c>
      <c r="G1133" s="9">
        <f t="shared" ca="1" si="50"/>
        <v>12.541691666666665</v>
      </c>
      <c r="H1133" s="9">
        <f t="shared" ca="1" si="50"/>
        <v>25.021241666666668</v>
      </c>
      <c r="I1133" s="9">
        <f t="shared" ca="1" si="50"/>
        <v>25.025566666666663</v>
      </c>
      <c r="J1133" s="9">
        <f t="shared" ca="1" si="50"/>
        <v>25.021241666666668</v>
      </c>
      <c r="K1133" s="9">
        <f t="shared" ca="1" si="50"/>
        <v>25.025566666666663</v>
      </c>
      <c r="L1133" s="9">
        <f t="shared" ca="1" si="50"/>
        <v>12.537374999999999</v>
      </c>
      <c r="M1133" s="9">
        <f t="shared" ca="1" si="50"/>
        <v>12.541691666666665</v>
      </c>
      <c r="N1133" s="9">
        <f t="shared" ca="1" si="50"/>
        <v>12.537374999999999</v>
      </c>
      <c r="O1133" s="9">
        <f t="shared" ca="1" si="50"/>
        <v>12.541691666666665</v>
      </c>
    </row>
    <row r="1134" spans="1:15" ht="15" x14ac:dyDescent="0.2">
      <c r="A1134" s="10">
        <v>2076</v>
      </c>
      <c r="B1134" s="9">
        <f t="shared" ca="1" si="50"/>
        <v>11.334016666666665</v>
      </c>
      <c r="C1134" s="9">
        <f t="shared" ca="1" si="50"/>
        <v>11.334016666666665</v>
      </c>
      <c r="D1134" s="9">
        <f t="shared" ca="1" si="50"/>
        <v>11.335308333333332</v>
      </c>
      <c r="E1134" s="9">
        <f t="shared" ca="1" si="50"/>
        <v>12.751941666666667</v>
      </c>
      <c r="F1134" s="9">
        <f t="shared" ca="1" si="50"/>
        <v>12.751941666666667</v>
      </c>
      <c r="G1134" s="9">
        <f t="shared" ca="1" si="50"/>
        <v>12.756258333333333</v>
      </c>
      <c r="H1134" s="9">
        <f t="shared" ca="1" si="50"/>
        <v>25.479983333333333</v>
      </c>
      <c r="I1134" s="9">
        <f t="shared" ca="1" si="50"/>
        <v>25.484300000000001</v>
      </c>
      <c r="J1134" s="9">
        <f t="shared" ca="1" si="50"/>
        <v>25.479983333333333</v>
      </c>
      <c r="K1134" s="9">
        <f t="shared" ca="1" si="50"/>
        <v>25.484300000000001</v>
      </c>
      <c r="L1134" s="9">
        <f t="shared" ca="1" si="50"/>
        <v>12.751941666666667</v>
      </c>
      <c r="M1134" s="9">
        <f t="shared" ca="1" si="50"/>
        <v>12.756258333333333</v>
      </c>
      <c r="N1134" s="9">
        <f t="shared" ca="1" si="50"/>
        <v>12.751941666666667</v>
      </c>
      <c r="O1134" s="9">
        <f t="shared" ca="1" si="50"/>
        <v>12.756258333333333</v>
      </c>
    </row>
    <row r="1135" spans="1:15" ht="15" x14ac:dyDescent="0.2">
      <c r="A1135" s="10">
        <v>2077</v>
      </c>
      <c r="B1135" s="9">
        <f t="shared" ca="1" si="50"/>
        <v>11.522716666666668</v>
      </c>
      <c r="C1135" s="9">
        <f t="shared" ca="1" si="50"/>
        <v>11.522716666666668</v>
      </c>
      <c r="D1135" s="9">
        <f t="shared" ca="1" si="50"/>
        <v>11.523991666666666</v>
      </c>
      <c r="E1135" s="9">
        <f t="shared" ca="1" si="50"/>
        <v>12.966499999999998</v>
      </c>
      <c r="F1135" s="9">
        <f t="shared" ca="1" si="50"/>
        <v>12.966499999999998</v>
      </c>
      <c r="G1135" s="9">
        <f t="shared" ca="1" si="50"/>
        <v>12.970808333333332</v>
      </c>
      <c r="H1135" s="9">
        <f t="shared" ca="1" si="50"/>
        <v>25.938749999999999</v>
      </c>
      <c r="I1135" s="9">
        <f t="shared" ca="1" si="50"/>
        <v>25.943058333333337</v>
      </c>
      <c r="J1135" s="9">
        <f t="shared" ca="1" si="50"/>
        <v>25.938749999999999</v>
      </c>
      <c r="K1135" s="9">
        <f t="shared" ca="1" si="50"/>
        <v>25.943058333333337</v>
      </c>
      <c r="L1135" s="9">
        <f t="shared" ca="1" si="50"/>
        <v>12.966499999999998</v>
      </c>
      <c r="M1135" s="9">
        <f t="shared" ca="1" si="50"/>
        <v>12.970808333333332</v>
      </c>
      <c r="N1135" s="9">
        <f t="shared" ca="1" si="50"/>
        <v>12.966499999999998</v>
      </c>
      <c r="O1135" s="9">
        <f t="shared" ca="1" si="50"/>
        <v>12.970808333333332</v>
      </c>
    </row>
    <row r="1136" spans="1:15" ht="15" x14ac:dyDescent="0.2">
      <c r="A1136" s="10">
        <v>2078</v>
      </c>
      <c r="B1136" s="9">
        <f t="shared" ca="1" si="50"/>
        <v>11.711416666666667</v>
      </c>
      <c r="C1136" s="9">
        <f t="shared" ca="1" si="50"/>
        <v>11.711416666666667</v>
      </c>
      <c r="D1136" s="9">
        <f t="shared" ca="1" si="50"/>
        <v>11.712716666666667</v>
      </c>
      <c r="E1136" s="9">
        <f t="shared" ca="1" si="50"/>
        <v>13.181066666666664</v>
      </c>
      <c r="F1136" s="9">
        <f t="shared" ca="1" si="50"/>
        <v>13.181066666666664</v>
      </c>
      <c r="G1136" s="9">
        <f t="shared" ca="1" si="50"/>
        <v>13.185383333333334</v>
      </c>
      <c r="H1136" s="9">
        <f t="shared" ca="1" si="50"/>
        <v>26.397475</v>
      </c>
      <c r="I1136" s="9">
        <f t="shared" ca="1" si="50"/>
        <v>26.401783333333331</v>
      </c>
      <c r="J1136" s="9">
        <f t="shared" ca="1" si="50"/>
        <v>26.397475</v>
      </c>
      <c r="K1136" s="9">
        <f t="shared" ca="1" si="50"/>
        <v>26.401783333333331</v>
      </c>
      <c r="L1136" s="9">
        <f t="shared" ca="1" si="50"/>
        <v>13.181066666666664</v>
      </c>
      <c r="M1136" s="9">
        <f t="shared" ca="1" si="50"/>
        <v>13.185383333333334</v>
      </c>
      <c r="N1136" s="9">
        <f t="shared" ca="1" si="50"/>
        <v>13.181066666666664</v>
      </c>
      <c r="O1136" s="9">
        <f t="shared" ca="1" si="50"/>
        <v>13.185383333333334</v>
      </c>
    </row>
    <row r="1137" spans="1:15" ht="15" x14ac:dyDescent="0.2">
      <c r="A1137" s="10">
        <v>2079</v>
      </c>
      <c r="B1137" s="9">
        <f t="shared" ca="1" si="50"/>
        <v>11.900108333333334</v>
      </c>
      <c r="C1137" s="9">
        <f t="shared" ca="1" si="50"/>
        <v>11.900108333333334</v>
      </c>
      <c r="D1137" s="9">
        <f t="shared" ca="1" si="50"/>
        <v>11.901408333333334</v>
      </c>
      <c r="E1137" s="9">
        <f t="shared" ca="1" si="50"/>
        <v>13.395650000000002</v>
      </c>
      <c r="F1137" s="9">
        <f t="shared" ca="1" si="50"/>
        <v>13.395650000000002</v>
      </c>
      <c r="G1137" s="9">
        <f t="shared" ca="1" si="50"/>
        <v>13.399958333333336</v>
      </c>
      <c r="H1137" s="9">
        <f t="shared" ca="1" si="50"/>
        <v>26.856208333333331</v>
      </c>
      <c r="I1137" s="9">
        <f t="shared" ca="1" si="50"/>
        <v>26.860533333333333</v>
      </c>
      <c r="J1137" s="9">
        <f t="shared" ca="1" si="50"/>
        <v>26.856208333333331</v>
      </c>
      <c r="K1137" s="9">
        <f t="shared" ca="1" si="50"/>
        <v>26.860533333333333</v>
      </c>
      <c r="L1137" s="9">
        <f t="shared" ca="1" si="50"/>
        <v>13.395650000000002</v>
      </c>
      <c r="M1137" s="9">
        <f t="shared" ca="1" si="50"/>
        <v>13.399958333333336</v>
      </c>
      <c r="N1137" s="9">
        <f t="shared" ca="1" si="50"/>
        <v>13.395650000000002</v>
      </c>
      <c r="O1137" s="9">
        <f t="shared" ca="1" si="50"/>
        <v>13.399958333333336</v>
      </c>
    </row>
    <row r="1138" spans="1:15" ht="15" x14ac:dyDescent="0.2">
      <c r="A1138" s="10">
        <v>2080</v>
      </c>
      <c r="B1138" s="9">
        <f t="shared" ca="1" si="50"/>
        <v>12.088825</v>
      </c>
      <c r="C1138" s="9">
        <f t="shared" ca="1" si="50"/>
        <v>12.088825</v>
      </c>
      <c r="D1138" s="9">
        <f t="shared" ca="1" si="50"/>
        <v>12.090108333333333</v>
      </c>
      <c r="E1138" s="9">
        <f t="shared" ca="1" si="50"/>
        <v>13.610216666666666</v>
      </c>
      <c r="F1138" s="9">
        <f t="shared" ca="1" si="50"/>
        <v>13.610216666666666</v>
      </c>
      <c r="G1138" s="9">
        <f t="shared" ca="1" si="50"/>
        <v>13.614524999999999</v>
      </c>
      <c r="H1138" s="9">
        <f t="shared" ca="1" si="50"/>
        <v>27.314933333333329</v>
      </c>
      <c r="I1138" s="9">
        <f t="shared" ca="1" si="50"/>
        <v>27.319249999999997</v>
      </c>
      <c r="J1138" s="9">
        <f t="shared" ca="1" si="50"/>
        <v>27.314933333333329</v>
      </c>
      <c r="K1138" s="9">
        <f t="shared" ca="1" si="50"/>
        <v>27.319249999999997</v>
      </c>
      <c r="L1138" s="9">
        <f t="shared" ca="1" si="50"/>
        <v>13.610216666666666</v>
      </c>
      <c r="M1138" s="9">
        <f t="shared" ca="1" si="50"/>
        <v>13.614524999999999</v>
      </c>
      <c r="N1138" s="9">
        <f t="shared" ca="1" si="50"/>
        <v>13.610216666666666</v>
      </c>
      <c r="O1138" s="9">
        <f t="shared" ca="1" si="50"/>
        <v>13.614524999999999</v>
      </c>
    </row>
    <row r="1139" spans="1:15" ht="15" x14ac:dyDescent="0.2">
      <c r="A1139" s="10">
        <v>2081</v>
      </c>
      <c r="B1139" s="9">
        <f t="shared" ca="1" si="50"/>
        <v>12.277508333333332</v>
      </c>
      <c r="C1139" s="9">
        <f t="shared" ca="1" si="50"/>
        <v>12.277508333333332</v>
      </c>
      <c r="D1139" s="9">
        <f t="shared" ca="1" si="50"/>
        <v>12.278808333333332</v>
      </c>
      <c r="E1139" s="9">
        <f t="shared" ca="1" si="50"/>
        <v>13.824775000000001</v>
      </c>
      <c r="F1139" s="9">
        <f t="shared" ca="1" si="50"/>
        <v>13.824775000000001</v>
      </c>
      <c r="G1139" s="9">
        <f t="shared" ca="1" si="50"/>
        <v>13.829083333333331</v>
      </c>
      <c r="H1139" s="9">
        <f t="shared" ca="1" si="50"/>
        <v>27.773683333333334</v>
      </c>
      <c r="I1139" s="9">
        <f t="shared" ca="1" si="50"/>
        <v>27.777999999999995</v>
      </c>
      <c r="J1139" s="9">
        <f t="shared" ca="1" si="50"/>
        <v>27.773683333333334</v>
      </c>
      <c r="K1139" s="9">
        <f t="shared" ca="1" si="50"/>
        <v>27.777999999999995</v>
      </c>
      <c r="L1139" s="9">
        <f t="shared" ca="1" si="50"/>
        <v>13.824775000000001</v>
      </c>
      <c r="M1139" s="9">
        <f t="shared" ca="1" si="50"/>
        <v>13.829083333333331</v>
      </c>
      <c r="N1139" s="9">
        <f t="shared" ca="1" si="50"/>
        <v>13.824775000000001</v>
      </c>
      <c r="O1139" s="9">
        <f t="shared" ca="1" si="50"/>
        <v>13.829083333333331</v>
      </c>
    </row>
    <row r="1140" spans="1:15" ht="15" x14ac:dyDescent="0.2">
      <c r="A1140" s="10">
        <v>2082</v>
      </c>
      <c r="B1140" s="9">
        <f t="shared" ref="B1140:O1149" ca="1" si="51">AVERAGE(OFFSET(B$602,($A1140-$A$1120)*12,0,12,1))</f>
        <v>12.466233333333333</v>
      </c>
      <c r="C1140" s="9">
        <f t="shared" ca="1" si="51"/>
        <v>12.466233333333333</v>
      </c>
      <c r="D1140" s="9">
        <f t="shared" ca="1" si="51"/>
        <v>12.467500000000001</v>
      </c>
      <c r="E1140" s="9">
        <f t="shared" ca="1" si="51"/>
        <v>14.039341666666667</v>
      </c>
      <c r="F1140" s="9">
        <f t="shared" ca="1" si="51"/>
        <v>14.039341666666667</v>
      </c>
      <c r="G1140" s="9">
        <f t="shared" ca="1" si="51"/>
        <v>14.043658333333333</v>
      </c>
      <c r="H1140" s="9">
        <f t="shared" ca="1" si="51"/>
        <v>28.232424999999996</v>
      </c>
      <c r="I1140" s="9">
        <f t="shared" ca="1" si="51"/>
        <v>28.236733333333333</v>
      </c>
      <c r="J1140" s="9">
        <f t="shared" ca="1" si="51"/>
        <v>28.232424999999996</v>
      </c>
      <c r="K1140" s="9">
        <f t="shared" ca="1" si="51"/>
        <v>28.236733333333333</v>
      </c>
      <c r="L1140" s="9">
        <f t="shared" ca="1" si="51"/>
        <v>14.039341666666667</v>
      </c>
      <c r="M1140" s="9">
        <f t="shared" ca="1" si="51"/>
        <v>14.043658333333333</v>
      </c>
      <c r="N1140" s="9">
        <f t="shared" ca="1" si="51"/>
        <v>14.039341666666667</v>
      </c>
      <c r="O1140" s="9">
        <f t="shared" ca="1" si="51"/>
        <v>14.043658333333333</v>
      </c>
    </row>
    <row r="1141" spans="1:15" ht="15" x14ac:dyDescent="0.2">
      <c r="A1141" s="10">
        <v>2083</v>
      </c>
      <c r="B1141" s="9">
        <f t="shared" ca="1" si="51"/>
        <v>12.654925</v>
      </c>
      <c r="C1141" s="9">
        <f t="shared" ca="1" si="51"/>
        <v>12.654925</v>
      </c>
      <c r="D1141" s="9">
        <f t="shared" ca="1" si="51"/>
        <v>12.656216666666666</v>
      </c>
      <c r="E1141" s="9">
        <f t="shared" ca="1" si="51"/>
        <v>14.253891666666668</v>
      </c>
      <c r="F1141" s="9">
        <f t="shared" ca="1" si="51"/>
        <v>14.253891666666668</v>
      </c>
      <c r="G1141" s="9">
        <f t="shared" ca="1" si="51"/>
        <v>14.258208333333334</v>
      </c>
      <c r="H1141" s="9">
        <f t="shared" ca="1" si="51"/>
        <v>28.691166666666664</v>
      </c>
      <c r="I1141" s="9">
        <f t="shared" ca="1" si="51"/>
        <v>28.695474999999998</v>
      </c>
      <c r="J1141" s="9">
        <f t="shared" ca="1" si="51"/>
        <v>28.691166666666664</v>
      </c>
      <c r="K1141" s="9">
        <f t="shared" ca="1" si="51"/>
        <v>28.695474999999998</v>
      </c>
      <c r="L1141" s="9">
        <f t="shared" ca="1" si="51"/>
        <v>14.253891666666668</v>
      </c>
      <c r="M1141" s="9">
        <f t="shared" ca="1" si="51"/>
        <v>14.258208333333334</v>
      </c>
      <c r="N1141" s="9">
        <f t="shared" ca="1" si="51"/>
        <v>14.253891666666668</v>
      </c>
      <c r="O1141" s="9">
        <f t="shared" ca="1" si="51"/>
        <v>14.258208333333334</v>
      </c>
    </row>
    <row r="1142" spans="1:15" ht="15" x14ac:dyDescent="0.2">
      <c r="A1142" s="10">
        <v>2084</v>
      </c>
      <c r="B1142" s="9">
        <f t="shared" ca="1" si="51"/>
        <v>12.843616666666664</v>
      </c>
      <c r="C1142" s="9">
        <f t="shared" ca="1" si="51"/>
        <v>12.843616666666664</v>
      </c>
      <c r="D1142" s="9">
        <f t="shared" ca="1" si="51"/>
        <v>12.844900000000001</v>
      </c>
      <c r="E1142" s="9">
        <f t="shared" ca="1" si="51"/>
        <v>14.468458333333331</v>
      </c>
      <c r="F1142" s="9">
        <f t="shared" ca="1" si="51"/>
        <v>14.468458333333331</v>
      </c>
      <c r="G1142" s="9">
        <f t="shared" ca="1" si="51"/>
        <v>14.47278333333333</v>
      </c>
      <c r="H1142" s="9">
        <f t="shared" ca="1" si="51"/>
        <v>29.149891666666662</v>
      </c>
      <c r="I1142" s="9">
        <f t="shared" ca="1" si="51"/>
        <v>29.154208333333333</v>
      </c>
      <c r="J1142" s="9">
        <f t="shared" ca="1" si="51"/>
        <v>29.149891666666662</v>
      </c>
      <c r="K1142" s="9">
        <f t="shared" ca="1" si="51"/>
        <v>29.154208333333333</v>
      </c>
      <c r="L1142" s="9">
        <f t="shared" ca="1" si="51"/>
        <v>14.468458333333331</v>
      </c>
      <c r="M1142" s="9">
        <f t="shared" ca="1" si="51"/>
        <v>14.47278333333333</v>
      </c>
      <c r="N1142" s="9">
        <f t="shared" ca="1" si="51"/>
        <v>14.468458333333331</v>
      </c>
      <c r="O1142" s="9">
        <f t="shared" ca="1" si="51"/>
        <v>14.47278333333333</v>
      </c>
    </row>
    <row r="1143" spans="1:15" ht="15" x14ac:dyDescent="0.2">
      <c r="A1143" s="10">
        <v>2085</v>
      </c>
      <c r="B1143" s="9">
        <f t="shared" ca="1" si="51"/>
        <v>13.032333333333334</v>
      </c>
      <c r="C1143" s="9">
        <f t="shared" ca="1" si="51"/>
        <v>13.032333333333334</v>
      </c>
      <c r="D1143" s="9">
        <f t="shared" ca="1" si="51"/>
        <v>13.0336</v>
      </c>
      <c r="E1143" s="9">
        <f t="shared" ca="1" si="51"/>
        <v>14.683025000000001</v>
      </c>
      <c r="F1143" s="9">
        <f t="shared" ca="1" si="51"/>
        <v>14.683025000000001</v>
      </c>
      <c r="G1143" s="9">
        <f t="shared" ca="1" si="51"/>
        <v>14.68734166666667</v>
      </c>
      <c r="H1143" s="9">
        <f t="shared" ca="1" si="51"/>
        <v>29.60863333333333</v>
      </c>
      <c r="I1143" s="9">
        <f t="shared" ca="1" si="51"/>
        <v>29.612941666666668</v>
      </c>
      <c r="J1143" s="9">
        <f t="shared" ca="1" si="51"/>
        <v>29.60863333333333</v>
      </c>
      <c r="K1143" s="9">
        <f t="shared" ca="1" si="51"/>
        <v>29.612941666666668</v>
      </c>
      <c r="L1143" s="9">
        <f t="shared" ca="1" si="51"/>
        <v>14.683025000000001</v>
      </c>
      <c r="M1143" s="9">
        <f t="shared" ca="1" si="51"/>
        <v>14.68734166666667</v>
      </c>
      <c r="N1143" s="9">
        <f t="shared" ca="1" si="51"/>
        <v>14.683025000000001</v>
      </c>
      <c r="O1143" s="9">
        <f t="shared" ca="1" si="51"/>
        <v>14.68734166666667</v>
      </c>
    </row>
    <row r="1144" spans="1:15" ht="15" x14ac:dyDescent="0.2">
      <c r="A1144" s="10">
        <v>2086</v>
      </c>
      <c r="B1144" s="9">
        <f t="shared" ca="1" si="51"/>
        <v>13.221025000000003</v>
      </c>
      <c r="C1144" s="9">
        <f t="shared" ca="1" si="51"/>
        <v>13.221025000000003</v>
      </c>
      <c r="D1144" s="9">
        <f t="shared" ca="1" si="51"/>
        <v>13.22231666666667</v>
      </c>
      <c r="E1144" s="9">
        <f t="shared" ca="1" si="51"/>
        <v>14.897599999999999</v>
      </c>
      <c r="F1144" s="9">
        <f t="shared" ca="1" si="51"/>
        <v>14.897599999999999</v>
      </c>
      <c r="G1144" s="9">
        <f t="shared" ca="1" si="51"/>
        <v>14.90191666666667</v>
      </c>
      <c r="H1144" s="9">
        <f t="shared" ca="1" si="51"/>
        <v>30.067366666666668</v>
      </c>
      <c r="I1144" s="9">
        <f t="shared" ca="1" si="51"/>
        <v>30.071674999999995</v>
      </c>
      <c r="J1144" s="9">
        <f t="shared" ca="1" si="51"/>
        <v>30.067366666666668</v>
      </c>
      <c r="K1144" s="9">
        <f t="shared" ca="1" si="51"/>
        <v>30.071674999999995</v>
      </c>
      <c r="L1144" s="9">
        <f t="shared" ca="1" si="51"/>
        <v>14.897599999999999</v>
      </c>
      <c r="M1144" s="9">
        <f t="shared" ca="1" si="51"/>
        <v>14.90191666666667</v>
      </c>
      <c r="N1144" s="9">
        <f t="shared" ca="1" si="51"/>
        <v>14.897599999999999</v>
      </c>
      <c r="O1144" s="9">
        <f t="shared" ca="1" si="51"/>
        <v>14.90191666666667</v>
      </c>
    </row>
    <row r="1145" spans="1:15" ht="15" x14ac:dyDescent="0.2">
      <c r="A1145" s="10">
        <v>2087</v>
      </c>
      <c r="B1145" s="9">
        <f t="shared" ca="1" si="51"/>
        <v>13.409750000000003</v>
      </c>
      <c r="C1145" s="9">
        <f t="shared" ca="1" si="51"/>
        <v>13.409750000000003</v>
      </c>
      <c r="D1145" s="9">
        <f t="shared" ca="1" si="51"/>
        <v>13.41100833333333</v>
      </c>
      <c r="E1145" s="9">
        <f t="shared" ca="1" si="51"/>
        <v>15.112158333333335</v>
      </c>
      <c r="F1145" s="9">
        <f t="shared" ca="1" si="51"/>
        <v>15.112158333333335</v>
      </c>
      <c r="G1145" s="9">
        <f t="shared" ca="1" si="51"/>
        <v>15.116474999999999</v>
      </c>
      <c r="H1145" s="9">
        <f t="shared" ca="1" si="51"/>
        <v>30.526116666666667</v>
      </c>
      <c r="I1145" s="9">
        <f t="shared" ca="1" si="51"/>
        <v>30.530424999999994</v>
      </c>
      <c r="J1145" s="9">
        <f t="shared" ca="1" si="51"/>
        <v>30.526116666666667</v>
      </c>
      <c r="K1145" s="9">
        <f t="shared" ca="1" si="51"/>
        <v>30.530424999999994</v>
      </c>
      <c r="L1145" s="9">
        <f t="shared" ca="1" si="51"/>
        <v>15.112158333333335</v>
      </c>
      <c r="M1145" s="9">
        <f t="shared" ca="1" si="51"/>
        <v>15.116474999999999</v>
      </c>
      <c r="N1145" s="9">
        <f t="shared" ca="1" si="51"/>
        <v>15.112158333333335</v>
      </c>
      <c r="O1145" s="9">
        <f t="shared" ca="1" si="51"/>
        <v>15.116474999999999</v>
      </c>
    </row>
    <row r="1146" spans="1:15" ht="15" x14ac:dyDescent="0.2">
      <c r="A1146" s="10">
        <v>2088</v>
      </c>
      <c r="B1146" s="9">
        <f t="shared" ca="1" si="51"/>
        <v>13.598433333333332</v>
      </c>
      <c r="C1146" s="9">
        <f t="shared" ca="1" si="51"/>
        <v>13.598433333333332</v>
      </c>
      <c r="D1146" s="9">
        <f t="shared" ca="1" si="51"/>
        <v>13.599724999999999</v>
      </c>
      <c r="E1146" s="9">
        <f t="shared" ca="1" si="51"/>
        <v>15.326716666666664</v>
      </c>
      <c r="F1146" s="9">
        <f t="shared" ca="1" si="51"/>
        <v>15.326716666666664</v>
      </c>
      <c r="G1146" s="9">
        <f t="shared" ca="1" si="51"/>
        <v>15.331025000000002</v>
      </c>
      <c r="H1146" s="9">
        <f t="shared" ca="1" si="51"/>
        <v>30.984849999999994</v>
      </c>
      <c r="I1146" s="9">
        <f t="shared" ca="1" si="51"/>
        <v>30.989166666666666</v>
      </c>
      <c r="J1146" s="9">
        <f t="shared" ca="1" si="51"/>
        <v>30.984849999999994</v>
      </c>
      <c r="K1146" s="9">
        <f t="shared" ca="1" si="51"/>
        <v>30.989166666666666</v>
      </c>
      <c r="L1146" s="9">
        <f t="shared" ca="1" si="51"/>
        <v>15.326716666666664</v>
      </c>
      <c r="M1146" s="9">
        <f t="shared" ca="1" si="51"/>
        <v>15.331025000000002</v>
      </c>
      <c r="N1146" s="9">
        <f t="shared" ca="1" si="51"/>
        <v>15.326716666666664</v>
      </c>
      <c r="O1146" s="9">
        <f t="shared" ca="1" si="51"/>
        <v>15.331025000000002</v>
      </c>
    </row>
    <row r="1147" spans="1:15" ht="15" x14ac:dyDescent="0.2">
      <c r="A1147" s="10">
        <v>2089</v>
      </c>
      <c r="B1147" s="9">
        <f t="shared" ca="1" si="51"/>
        <v>13.787141666666669</v>
      </c>
      <c r="C1147" s="9">
        <f t="shared" ca="1" si="51"/>
        <v>13.787141666666669</v>
      </c>
      <c r="D1147" s="9">
        <f t="shared" ca="1" si="51"/>
        <v>13.788400000000001</v>
      </c>
      <c r="E1147" s="9">
        <f t="shared" ca="1" si="51"/>
        <v>15.541283333333332</v>
      </c>
      <c r="F1147" s="9">
        <f t="shared" ca="1" si="51"/>
        <v>15.541283333333332</v>
      </c>
      <c r="G1147" s="9">
        <f t="shared" ca="1" si="51"/>
        <v>15.5456</v>
      </c>
      <c r="H1147" s="9">
        <f t="shared" ca="1" si="51"/>
        <v>31.443583333333336</v>
      </c>
      <c r="I1147" s="9">
        <f t="shared" ca="1" si="51"/>
        <v>31.447908333333341</v>
      </c>
      <c r="J1147" s="9">
        <f t="shared" ca="1" si="51"/>
        <v>31.443583333333336</v>
      </c>
      <c r="K1147" s="9">
        <f t="shared" ca="1" si="51"/>
        <v>31.447908333333341</v>
      </c>
      <c r="L1147" s="9">
        <f t="shared" ca="1" si="51"/>
        <v>15.541283333333332</v>
      </c>
      <c r="M1147" s="9">
        <f t="shared" ca="1" si="51"/>
        <v>15.5456</v>
      </c>
      <c r="N1147" s="9">
        <f t="shared" ca="1" si="51"/>
        <v>15.541283333333332</v>
      </c>
      <c r="O1147" s="9">
        <f t="shared" ca="1" si="51"/>
        <v>15.5456</v>
      </c>
    </row>
    <row r="1148" spans="1:15" ht="15" x14ac:dyDescent="0.2">
      <c r="A1148" s="10">
        <v>2090</v>
      </c>
      <c r="B1148" s="9">
        <f t="shared" ca="1" si="51"/>
        <v>13.975841666666668</v>
      </c>
      <c r="C1148" s="9">
        <f t="shared" ca="1" si="51"/>
        <v>13.975841666666668</v>
      </c>
      <c r="D1148" s="9">
        <f t="shared" ca="1" si="51"/>
        <v>13.977124999999996</v>
      </c>
      <c r="E1148" s="9">
        <f t="shared" ca="1" si="51"/>
        <v>15.755858333333334</v>
      </c>
      <c r="F1148" s="9">
        <f t="shared" ca="1" si="51"/>
        <v>15.755858333333334</v>
      </c>
      <c r="G1148" s="9">
        <f t="shared" ca="1" si="51"/>
        <v>15.760166666666663</v>
      </c>
      <c r="H1148" s="9">
        <f t="shared" ca="1" si="51"/>
        <v>31.902308333333337</v>
      </c>
      <c r="I1148" s="9">
        <f t="shared" ca="1" si="51"/>
        <v>31.906633333333335</v>
      </c>
      <c r="J1148" s="9">
        <f t="shared" ca="1" si="51"/>
        <v>31.902308333333337</v>
      </c>
      <c r="K1148" s="9">
        <f t="shared" ca="1" si="51"/>
        <v>31.906633333333335</v>
      </c>
      <c r="L1148" s="9">
        <f t="shared" ca="1" si="51"/>
        <v>15.755858333333334</v>
      </c>
      <c r="M1148" s="9">
        <f t="shared" ca="1" si="51"/>
        <v>15.760166666666663</v>
      </c>
      <c r="N1148" s="9">
        <f t="shared" ca="1" si="51"/>
        <v>15.755858333333334</v>
      </c>
      <c r="O1148" s="9">
        <f t="shared" ca="1" si="51"/>
        <v>15.760166666666663</v>
      </c>
    </row>
    <row r="1149" spans="1:15" ht="15" x14ac:dyDescent="0.2">
      <c r="A1149" s="10">
        <v>2091</v>
      </c>
      <c r="B1149" s="9">
        <f t="shared" ca="1" si="51"/>
        <v>14.164533333333333</v>
      </c>
      <c r="C1149" s="9">
        <f t="shared" ca="1" si="51"/>
        <v>14.164533333333333</v>
      </c>
      <c r="D1149" s="9">
        <f t="shared" ca="1" si="51"/>
        <v>14.165816666666665</v>
      </c>
      <c r="E1149" s="9">
        <f t="shared" ca="1" si="51"/>
        <v>15.970408333333333</v>
      </c>
      <c r="F1149" s="9">
        <f t="shared" ca="1" si="51"/>
        <v>15.970408333333333</v>
      </c>
      <c r="G1149" s="9">
        <f t="shared" ca="1" si="51"/>
        <v>15.974724999999999</v>
      </c>
      <c r="H1149" s="9">
        <f t="shared" ca="1" si="51"/>
        <v>32.361066666666666</v>
      </c>
      <c r="I1149" s="9">
        <f t="shared" ca="1" si="51"/>
        <v>32.365366666666667</v>
      </c>
      <c r="J1149" s="9">
        <f t="shared" ca="1" si="51"/>
        <v>32.361066666666666</v>
      </c>
      <c r="K1149" s="9">
        <f t="shared" ca="1" si="51"/>
        <v>32.365366666666667</v>
      </c>
      <c r="L1149" s="9">
        <f t="shared" ca="1" si="51"/>
        <v>15.970408333333333</v>
      </c>
      <c r="M1149" s="9">
        <f t="shared" ca="1" si="51"/>
        <v>15.974724999999999</v>
      </c>
      <c r="N1149" s="9">
        <f t="shared" ca="1" si="51"/>
        <v>15.970408333333333</v>
      </c>
      <c r="O1149" s="9">
        <f t="shared" ca="1" si="51"/>
        <v>15.974724999999999</v>
      </c>
    </row>
    <row r="1150" spans="1:15" ht="15" x14ac:dyDescent="0.2">
      <c r="A1150" s="10">
        <v>2092</v>
      </c>
      <c r="B1150" s="9">
        <f t="shared" ref="B1150:O1158" ca="1" si="52">AVERAGE(OFFSET(B$602,($A1150-$A$1120)*12,0,12,1))</f>
        <v>14.353250000000001</v>
      </c>
      <c r="C1150" s="9">
        <f t="shared" ca="1" si="52"/>
        <v>14.353250000000001</v>
      </c>
      <c r="D1150" s="9">
        <f t="shared" ca="1" si="52"/>
        <v>14.354508333333333</v>
      </c>
      <c r="E1150" s="9">
        <f t="shared" ca="1" si="52"/>
        <v>16.184991666666665</v>
      </c>
      <c r="F1150" s="9">
        <f t="shared" ca="1" si="52"/>
        <v>16.184991666666665</v>
      </c>
      <c r="G1150" s="9">
        <f t="shared" ca="1" si="52"/>
        <v>16.189299999999999</v>
      </c>
      <c r="H1150" s="9">
        <f t="shared" ca="1" si="52"/>
        <v>32.819791666666667</v>
      </c>
      <c r="I1150" s="9">
        <f t="shared" ca="1" si="52"/>
        <v>32.824100000000001</v>
      </c>
      <c r="J1150" s="9">
        <f t="shared" ca="1" si="52"/>
        <v>32.819791666666667</v>
      </c>
      <c r="K1150" s="9">
        <f t="shared" ca="1" si="52"/>
        <v>32.824100000000001</v>
      </c>
      <c r="L1150" s="9">
        <f t="shared" ca="1" si="52"/>
        <v>16.184991666666665</v>
      </c>
      <c r="M1150" s="9">
        <f t="shared" ca="1" si="52"/>
        <v>16.189299999999999</v>
      </c>
      <c r="N1150" s="9">
        <f t="shared" ca="1" si="52"/>
        <v>16.184991666666665</v>
      </c>
      <c r="O1150" s="9">
        <f t="shared" ca="1" si="52"/>
        <v>16.189299999999999</v>
      </c>
    </row>
    <row r="1151" spans="1:15" ht="15" x14ac:dyDescent="0.2">
      <c r="A1151" s="10">
        <v>2093</v>
      </c>
      <c r="B1151" s="9">
        <f t="shared" ca="1" si="52"/>
        <v>14.541925000000001</v>
      </c>
      <c r="C1151" s="9">
        <f t="shared" ca="1" si="52"/>
        <v>14.541925000000001</v>
      </c>
      <c r="D1151" s="9">
        <f t="shared" ca="1" si="52"/>
        <v>14.543216666666666</v>
      </c>
      <c r="E1151" s="9">
        <f t="shared" ca="1" si="52"/>
        <v>16.399541666666668</v>
      </c>
      <c r="F1151" s="9">
        <f t="shared" ca="1" si="52"/>
        <v>16.399541666666668</v>
      </c>
      <c r="G1151" s="9">
        <f t="shared" ca="1" si="52"/>
        <v>16.403849999999995</v>
      </c>
      <c r="H1151" s="9">
        <f t="shared" ca="1" si="52"/>
        <v>33.278541666666669</v>
      </c>
      <c r="I1151" s="9">
        <f t="shared" ca="1" si="52"/>
        <v>33.282850000000003</v>
      </c>
      <c r="J1151" s="9">
        <f t="shared" ca="1" si="52"/>
        <v>33.278541666666669</v>
      </c>
      <c r="K1151" s="9">
        <f t="shared" ca="1" si="52"/>
        <v>33.282850000000003</v>
      </c>
      <c r="L1151" s="9">
        <f t="shared" ca="1" si="52"/>
        <v>16.399541666666668</v>
      </c>
      <c r="M1151" s="9">
        <f t="shared" ca="1" si="52"/>
        <v>16.403849999999995</v>
      </c>
      <c r="N1151" s="9">
        <f t="shared" ca="1" si="52"/>
        <v>16.399541666666668</v>
      </c>
      <c r="O1151" s="9">
        <f t="shared" ca="1" si="52"/>
        <v>16.403849999999995</v>
      </c>
    </row>
    <row r="1152" spans="1:15" ht="15" x14ac:dyDescent="0.2">
      <c r="A1152" s="10">
        <v>2094</v>
      </c>
      <c r="B1152" s="9">
        <f t="shared" ca="1" si="52"/>
        <v>14.730650000000002</v>
      </c>
      <c r="C1152" s="9">
        <f t="shared" ca="1" si="52"/>
        <v>14.730650000000002</v>
      </c>
      <c r="D1152" s="9">
        <f t="shared" ca="1" si="52"/>
        <v>14.731908333333331</v>
      </c>
      <c r="E1152" s="9">
        <f t="shared" ca="1" si="52"/>
        <v>16.614100000000004</v>
      </c>
      <c r="F1152" s="9">
        <f t="shared" ca="1" si="52"/>
        <v>16.614100000000004</v>
      </c>
      <c r="G1152" s="9">
        <f t="shared" ca="1" si="52"/>
        <v>16.618416666666665</v>
      </c>
      <c r="H1152" s="9">
        <f t="shared" ca="1" si="52"/>
        <v>33.737250000000003</v>
      </c>
      <c r="I1152" s="9">
        <f t="shared" ca="1" si="52"/>
        <v>33.741575000000005</v>
      </c>
      <c r="J1152" s="9">
        <f t="shared" ca="1" si="52"/>
        <v>33.737250000000003</v>
      </c>
      <c r="K1152" s="9">
        <f t="shared" ca="1" si="52"/>
        <v>33.741575000000005</v>
      </c>
      <c r="L1152" s="9">
        <f t="shared" ca="1" si="52"/>
        <v>16.614100000000004</v>
      </c>
      <c r="M1152" s="9">
        <f t="shared" ca="1" si="52"/>
        <v>16.618416666666665</v>
      </c>
      <c r="N1152" s="9">
        <f t="shared" ca="1" si="52"/>
        <v>16.614100000000004</v>
      </c>
      <c r="O1152" s="9">
        <f t="shared" ca="1" si="52"/>
        <v>16.618416666666665</v>
      </c>
    </row>
    <row r="1153" spans="1:15" ht="15" x14ac:dyDescent="0.2">
      <c r="A1153" s="10">
        <v>2095</v>
      </c>
      <c r="B1153" s="9">
        <f t="shared" ca="1" si="52"/>
        <v>14.919341666666666</v>
      </c>
      <c r="C1153" s="9">
        <f t="shared" ca="1" si="52"/>
        <v>14.919341666666666</v>
      </c>
      <c r="D1153" s="9">
        <f t="shared" ca="1" si="52"/>
        <v>14.920624999999999</v>
      </c>
      <c r="E1153" s="9">
        <f t="shared" ca="1" si="52"/>
        <v>16.828675</v>
      </c>
      <c r="F1153" s="9">
        <f t="shared" ca="1" si="52"/>
        <v>16.828675</v>
      </c>
      <c r="G1153" s="9">
        <f t="shared" ca="1" si="52"/>
        <v>16.832991666666665</v>
      </c>
      <c r="H1153" s="9">
        <f t="shared" ca="1" si="52"/>
        <v>34.196000000000005</v>
      </c>
      <c r="I1153" s="9">
        <f t="shared" ca="1" si="52"/>
        <v>34.200324999999999</v>
      </c>
      <c r="J1153" s="9">
        <f t="shared" ca="1" si="52"/>
        <v>34.196000000000005</v>
      </c>
      <c r="K1153" s="9">
        <f t="shared" ca="1" si="52"/>
        <v>34.200324999999999</v>
      </c>
      <c r="L1153" s="9">
        <f t="shared" ca="1" si="52"/>
        <v>16.828675</v>
      </c>
      <c r="M1153" s="9">
        <f t="shared" ca="1" si="52"/>
        <v>16.832991666666665</v>
      </c>
      <c r="N1153" s="9">
        <f t="shared" ca="1" si="52"/>
        <v>16.828675</v>
      </c>
      <c r="O1153" s="9">
        <f t="shared" ca="1" si="52"/>
        <v>16.832991666666665</v>
      </c>
    </row>
    <row r="1154" spans="1:15" ht="15" x14ac:dyDescent="0.2">
      <c r="A1154" s="10">
        <v>2096</v>
      </c>
      <c r="B1154" s="9">
        <f t="shared" ca="1" si="52"/>
        <v>15.108033333333333</v>
      </c>
      <c r="C1154" s="9">
        <f t="shared" ca="1" si="52"/>
        <v>15.108033333333333</v>
      </c>
      <c r="D1154" s="9">
        <f t="shared" ca="1" si="52"/>
        <v>15.109316666666665</v>
      </c>
      <c r="E1154" s="9">
        <f t="shared" ca="1" si="52"/>
        <v>17.043241666666667</v>
      </c>
      <c r="F1154" s="9">
        <f t="shared" ca="1" si="52"/>
        <v>17.043241666666667</v>
      </c>
      <c r="G1154" s="9">
        <f t="shared" ca="1" si="52"/>
        <v>17.047558333333335</v>
      </c>
      <c r="H1154" s="9">
        <f t="shared" ca="1" si="52"/>
        <v>34.654724999999992</v>
      </c>
      <c r="I1154" s="9">
        <f t="shared" ca="1" si="52"/>
        <v>34.659050000000001</v>
      </c>
      <c r="J1154" s="9">
        <f t="shared" ca="1" si="52"/>
        <v>34.654724999999992</v>
      </c>
      <c r="K1154" s="9">
        <f t="shared" ca="1" si="52"/>
        <v>34.659050000000001</v>
      </c>
      <c r="L1154" s="9">
        <f t="shared" ca="1" si="52"/>
        <v>17.043241666666667</v>
      </c>
      <c r="M1154" s="9">
        <f t="shared" ca="1" si="52"/>
        <v>17.047558333333335</v>
      </c>
      <c r="N1154" s="9">
        <f t="shared" ca="1" si="52"/>
        <v>17.043241666666667</v>
      </c>
      <c r="O1154" s="9">
        <f t="shared" ca="1" si="52"/>
        <v>17.047558333333335</v>
      </c>
    </row>
    <row r="1155" spans="1:15" ht="15" x14ac:dyDescent="0.2">
      <c r="A1155" s="10">
        <v>2097</v>
      </c>
      <c r="B1155" s="9">
        <f t="shared" ca="1" si="52"/>
        <v>15.296750000000001</v>
      </c>
      <c r="C1155" s="9">
        <f t="shared" ca="1" si="52"/>
        <v>15.296750000000001</v>
      </c>
      <c r="D1155" s="9">
        <f t="shared" ca="1" si="52"/>
        <v>15.298008333333334</v>
      </c>
      <c r="E1155" s="9">
        <f t="shared" ca="1" si="52"/>
        <v>17.2578</v>
      </c>
      <c r="F1155" s="9">
        <f t="shared" ca="1" si="52"/>
        <v>17.2578</v>
      </c>
      <c r="G1155" s="9">
        <f t="shared" ca="1" si="52"/>
        <v>17.262116666666664</v>
      </c>
      <c r="H1155" s="9">
        <f t="shared" ca="1" si="52"/>
        <v>35.113491666666668</v>
      </c>
      <c r="I1155" s="9">
        <f t="shared" ca="1" si="52"/>
        <v>35.117791666666669</v>
      </c>
      <c r="J1155" s="9">
        <f t="shared" ca="1" si="52"/>
        <v>35.113491666666668</v>
      </c>
      <c r="K1155" s="9">
        <f t="shared" ca="1" si="52"/>
        <v>35.117791666666669</v>
      </c>
      <c r="L1155" s="9">
        <f t="shared" ca="1" si="52"/>
        <v>17.2578</v>
      </c>
      <c r="M1155" s="9">
        <f t="shared" ca="1" si="52"/>
        <v>17.262116666666664</v>
      </c>
      <c r="N1155" s="9">
        <f t="shared" ca="1" si="52"/>
        <v>17.2578</v>
      </c>
      <c r="O1155" s="9">
        <f t="shared" ca="1" si="52"/>
        <v>17.262116666666664</v>
      </c>
    </row>
    <row r="1156" spans="1:15" ht="15" x14ac:dyDescent="0.2">
      <c r="A1156" s="10">
        <v>2098</v>
      </c>
      <c r="B1156" s="9">
        <f t="shared" ca="1" si="52"/>
        <v>15.485433333333333</v>
      </c>
      <c r="C1156" s="9">
        <f t="shared" ca="1" si="52"/>
        <v>15.485433333333333</v>
      </c>
      <c r="D1156" s="9">
        <f t="shared" ca="1" si="52"/>
        <v>15.486733333333333</v>
      </c>
      <c r="E1156" s="9">
        <f t="shared" ca="1" si="52"/>
        <v>17.472383333333333</v>
      </c>
      <c r="F1156" s="9">
        <f t="shared" ca="1" si="52"/>
        <v>17.472383333333333</v>
      </c>
      <c r="G1156" s="9">
        <f t="shared" ca="1" si="52"/>
        <v>17.476700000000001</v>
      </c>
      <c r="H1156" s="9">
        <f t="shared" ca="1" si="52"/>
        <v>35.572208333333336</v>
      </c>
      <c r="I1156" s="9">
        <f t="shared" ca="1" si="52"/>
        <v>35.576524999999997</v>
      </c>
      <c r="J1156" s="9">
        <f t="shared" ca="1" si="52"/>
        <v>35.572208333333336</v>
      </c>
      <c r="K1156" s="9">
        <f t="shared" ca="1" si="52"/>
        <v>35.576524999999997</v>
      </c>
      <c r="L1156" s="9">
        <f t="shared" ca="1" si="52"/>
        <v>17.472383333333333</v>
      </c>
      <c r="M1156" s="9">
        <f t="shared" ca="1" si="52"/>
        <v>17.476700000000001</v>
      </c>
      <c r="N1156" s="9">
        <f t="shared" ca="1" si="52"/>
        <v>17.472383333333333</v>
      </c>
      <c r="O1156" s="9">
        <f t="shared" ca="1" si="52"/>
        <v>17.476700000000001</v>
      </c>
    </row>
    <row r="1157" spans="1:15" ht="15" x14ac:dyDescent="0.2">
      <c r="A1157" s="10">
        <v>2099</v>
      </c>
      <c r="B1157" s="9">
        <f t="shared" ca="1" si="52"/>
        <v>15.674149999999999</v>
      </c>
      <c r="C1157" s="9">
        <f t="shared" ca="1" si="52"/>
        <v>15.674149999999999</v>
      </c>
      <c r="D1157" s="9">
        <f t="shared" ca="1" si="52"/>
        <v>15.675425000000002</v>
      </c>
      <c r="E1157" s="9">
        <f t="shared" ca="1" si="52"/>
        <v>17.686933333333332</v>
      </c>
      <c r="F1157" s="9">
        <f t="shared" ca="1" si="52"/>
        <v>17.686933333333332</v>
      </c>
      <c r="G1157" s="9">
        <f t="shared" ca="1" si="52"/>
        <v>17.691258333333334</v>
      </c>
      <c r="H1157" s="9">
        <f t="shared" ca="1" si="52"/>
        <v>36.030949999999997</v>
      </c>
      <c r="I1157" s="9">
        <f t="shared" ca="1" si="52"/>
        <v>36.035266666666665</v>
      </c>
      <c r="J1157" s="9">
        <f t="shared" ca="1" si="52"/>
        <v>36.030949999999997</v>
      </c>
      <c r="K1157" s="9">
        <f t="shared" ca="1" si="52"/>
        <v>36.035266666666665</v>
      </c>
      <c r="L1157" s="9">
        <f t="shared" ca="1" si="52"/>
        <v>17.686933333333332</v>
      </c>
      <c r="M1157" s="9">
        <f t="shared" ca="1" si="52"/>
        <v>17.691258333333334</v>
      </c>
      <c r="N1157" s="9">
        <f t="shared" ca="1" si="52"/>
        <v>17.686933333333332</v>
      </c>
      <c r="O1157" s="9">
        <f t="shared" ca="1" si="52"/>
        <v>17.691258333333334</v>
      </c>
    </row>
    <row r="1158" spans="1:15" ht="15" x14ac:dyDescent="0.2">
      <c r="A1158" s="10">
        <v>2100</v>
      </c>
      <c r="B1158" s="9">
        <f t="shared" ca="1" si="52"/>
        <v>15.862841666666663</v>
      </c>
      <c r="C1158" s="9">
        <f t="shared" ca="1" si="52"/>
        <v>15.862841666666663</v>
      </c>
      <c r="D1158" s="9">
        <f t="shared" ca="1" si="52"/>
        <v>15.864133333333335</v>
      </c>
      <c r="E1158" s="9">
        <f t="shared" ca="1" si="52"/>
        <v>17.901491666666669</v>
      </c>
      <c r="F1158" s="9">
        <f t="shared" ca="1" si="52"/>
        <v>17.901491666666669</v>
      </c>
      <c r="G1158" s="9">
        <f t="shared" ca="1" si="52"/>
        <v>17.905808333333329</v>
      </c>
      <c r="H1158" s="9">
        <f t="shared" ca="1" si="52"/>
        <v>36.489683333333332</v>
      </c>
      <c r="I1158" s="9">
        <f t="shared" ca="1" si="52"/>
        <v>36.493991666666666</v>
      </c>
      <c r="J1158" s="9">
        <f t="shared" ca="1" si="52"/>
        <v>36.489683333333332</v>
      </c>
      <c r="K1158" s="9">
        <f t="shared" ca="1" si="52"/>
        <v>36.493991666666666</v>
      </c>
      <c r="L1158" s="9">
        <f t="shared" ca="1" si="52"/>
        <v>17.901491666666669</v>
      </c>
      <c r="M1158" s="9">
        <f t="shared" ca="1" si="52"/>
        <v>17.905808333333329</v>
      </c>
      <c r="N1158" s="9">
        <f t="shared" ca="1" si="52"/>
        <v>17.901491666666669</v>
      </c>
      <c r="O1158" s="9">
        <f t="shared" ca="1" si="52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19" scale="60" orientation="landscape" horizontalDpi="1200" verticalDpi="1200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0" zoomScaleNormal="70" workbookViewId="0">
      <pane xSplit="1" ySplit="11" topLeftCell="B12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12" sqref="B12"/>
    </sheetView>
  </sheetViews>
  <sheetFormatPr defaultColWidth="7.109375" defaultRowHeight="12.75" x14ac:dyDescent="0.2"/>
  <cols>
    <col min="1" max="1" width="19.77734375" style="31" customWidth="1"/>
    <col min="2" max="4" width="16.109375" style="31" customWidth="1"/>
    <col min="5" max="5" width="21" style="31" customWidth="1"/>
    <col min="6" max="9" width="16.109375" style="31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s="22" customFormat="1" ht="15.75" x14ac:dyDescent="0.25">
      <c r="A1" s="108" t="s">
        <v>91</v>
      </c>
      <c r="B1" s="48"/>
      <c r="C1" s="48"/>
      <c r="D1" s="48"/>
      <c r="E1" s="48"/>
      <c r="F1" s="48"/>
      <c r="G1" s="48"/>
      <c r="H1" s="48"/>
      <c r="I1" s="48"/>
    </row>
    <row r="2" spans="1:17" s="22" customFormat="1" ht="15.75" x14ac:dyDescent="0.25">
      <c r="A2" s="109" t="s">
        <v>92</v>
      </c>
      <c r="B2" s="48"/>
      <c r="C2" s="48"/>
      <c r="D2" s="48"/>
      <c r="E2" s="48"/>
      <c r="F2" s="48"/>
      <c r="G2" s="48"/>
      <c r="H2" s="48"/>
      <c r="I2" s="48"/>
    </row>
    <row r="3" spans="1:17" s="22" customFormat="1" ht="15.75" x14ac:dyDescent="0.25">
      <c r="A3" s="109" t="s">
        <v>93</v>
      </c>
      <c r="B3" s="48"/>
      <c r="C3" s="48"/>
      <c r="D3" s="48"/>
      <c r="E3" s="48"/>
      <c r="F3" s="48"/>
      <c r="G3" s="48"/>
      <c r="H3" s="48"/>
      <c r="I3" s="48"/>
    </row>
    <row r="4" spans="1:17" s="22" customFormat="1" ht="15.75" x14ac:dyDescent="0.25">
      <c r="A4" s="109" t="s">
        <v>94</v>
      </c>
      <c r="B4" s="48"/>
      <c r="C4" s="48"/>
      <c r="D4" s="48"/>
      <c r="E4" s="48"/>
      <c r="F4" s="48"/>
      <c r="G4" s="48"/>
      <c r="H4" s="48"/>
      <c r="I4" s="48"/>
    </row>
    <row r="5" spans="1:17" s="22" customFormat="1" ht="15.75" x14ac:dyDescent="0.25">
      <c r="A5" s="108" t="s">
        <v>95</v>
      </c>
      <c r="B5" s="48"/>
      <c r="C5" s="48"/>
      <c r="D5" s="48"/>
      <c r="E5" s="48"/>
      <c r="F5" s="48"/>
      <c r="G5" s="48"/>
      <c r="H5" s="48"/>
      <c r="I5" s="48"/>
    </row>
    <row r="6" spans="1:17" s="22" customFormat="1" ht="15.75" x14ac:dyDescent="0.25">
      <c r="A6" s="108" t="s">
        <v>98</v>
      </c>
      <c r="B6" s="48"/>
      <c r="C6" s="48"/>
      <c r="D6" s="48"/>
      <c r="E6" s="48"/>
      <c r="F6" s="48"/>
      <c r="G6" s="48"/>
      <c r="H6" s="48"/>
      <c r="I6" s="48"/>
    </row>
    <row r="8" spans="1:17" ht="15.75" x14ac:dyDescent="0.25">
      <c r="A8" s="43" t="s">
        <v>27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43"/>
      <c r="B9" s="42"/>
      <c r="C9" s="41" t="s">
        <v>25</v>
      </c>
      <c r="D9" s="40">
        <f>1-0.273</f>
        <v>0.72699999999999998</v>
      </c>
      <c r="E9" s="41" t="s">
        <v>24</v>
      </c>
      <c r="F9" s="40">
        <f>1+0.273</f>
        <v>1.2730000000000001</v>
      </c>
      <c r="G9" s="8"/>
      <c r="H9" s="8"/>
      <c r="I9" s="8"/>
    </row>
    <row r="10" spans="1:17" s="36" customFormat="1" ht="28.9" customHeight="1" x14ac:dyDescent="0.25">
      <c r="B10" s="37" t="s">
        <v>37</v>
      </c>
      <c r="C10" s="37" t="s">
        <v>36</v>
      </c>
      <c r="D10" s="37" t="s">
        <v>35</v>
      </c>
      <c r="E10" s="39" t="s">
        <v>34</v>
      </c>
      <c r="F10" s="37" t="s">
        <v>33</v>
      </c>
      <c r="G10" s="39" t="s">
        <v>32</v>
      </c>
      <c r="H10" s="39" t="s">
        <v>31</v>
      </c>
      <c r="I10" s="37" t="s">
        <v>30</v>
      </c>
      <c r="J10" s="37" t="s">
        <v>29</v>
      </c>
      <c r="K10" s="37" t="s">
        <v>28</v>
      </c>
      <c r="L10" s="37"/>
    </row>
    <row r="11" spans="1:17" s="36" customFormat="1" ht="19.5" customHeight="1" x14ac:dyDescent="0.25">
      <c r="A11" s="38" t="s">
        <v>15</v>
      </c>
      <c r="B11" s="37" t="s">
        <v>14</v>
      </c>
      <c r="C11" s="37" t="s">
        <v>14</v>
      </c>
      <c r="D11" s="37" t="s">
        <v>14</v>
      </c>
      <c r="E11" s="37" t="s">
        <v>14</v>
      </c>
      <c r="F11" s="37" t="s">
        <v>14</v>
      </c>
      <c r="G11" s="37" t="s">
        <v>14</v>
      </c>
      <c r="H11" s="37" t="s">
        <v>14</v>
      </c>
      <c r="I11" s="37" t="s">
        <v>14</v>
      </c>
      <c r="J11" s="37" t="s">
        <v>14</v>
      </c>
      <c r="K11" s="37" t="s">
        <v>14</v>
      </c>
      <c r="L11" s="37"/>
    </row>
    <row r="12" spans="1:17" ht="15" x14ac:dyDescent="0.2">
      <c r="A12" s="13">
        <v>41275</v>
      </c>
      <c r="B12" s="14">
        <v>24.537438554750199</v>
      </c>
      <c r="C12" s="14">
        <v>24.1051915564654</v>
      </c>
      <c r="D12" s="14">
        <v>24.1051915564654</v>
      </c>
      <c r="E12" s="14">
        <v>23.9685330658994</v>
      </c>
      <c r="F12" s="14">
        <v>23.9685330658994</v>
      </c>
      <c r="G12" s="14">
        <v>24.239908537597501</v>
      </c>
      <c r="H12" s="14">
        <v>24.1051915564654</v>
      </c>
      <c r="I12" s="14">
        <v>24.1051915564654</v>
      </c>
      <c r="J12" s="14">
        <v>23.744985724561499</v>
      </c>
      <c r="K12" s="14">
        <v>24.1051915564654</v>
      </c>
      <c r="L12" s="14"/>
      <c r="M12" s="35"/>
      <c r="N12" s="35"/>
      <c r="O12" s="35"/>
      <c r="P12" s="35"/>
      <c r="Q12" s="35"/>
    </row>
    <row r="13" spans="1:17" ht="15" x14ac:dyDescent="0.2">
      <c r="A13" s="13">
        <v>41306</v>
      </c>
      <c r="B13" s="14">
        <v>25.612662092624401</v>
      </c>
      <c r="C13" s="14">
        <v>25.180415094339601</v>
      </c>
      <c r="D13" s="14">
        <v>25.180415094339601</v>
      </c>
      <c r="E13" s="14">
        <v>25.043756603773598</v>
      </c>
      <c r="F13" s="14">
        <v>25.043756603773598</v>
      </c>
      <c r="G13" s="14">
        <v>25.315132075471698</v>
      </c>
      <c r="H13" s="14">
        <v>25.180415094339601</v>
      </c>
      <c r="I13" s="14">
        <v>25.180415094339601</v>
      </c>
      <c r="J13" s="14">
        <v>24.8202092624357</v>
      </c>
      <c r="K13" s="14">
        <v>25.180415094339601</v>
      </c>
      <c r="L13" s="14"/>
      <c r="M13" s="35"/>
      <c r="N13" s="35"/>
      <c r="O13" s="35"/>
      <c r="P13" s="35"/>
      <c r="Q13" s="35"/>
    </row>
    <row r="14" spans="1:17" ht="15" x14ac:dyDescent="0.2">
      <c r="A14" s="13">
        <v>41334</v>
      </c>
      <c r="B14" s="14">
        <v>23.994085486637498</v>
      </c>
      <c r="C14" s="14">
        <v>23.561838488352802</v>
      </c>
      <c r="D14" s="14">
        <v>23.561838488352802</v>
      </c>
      <c r="E14" s="14">
        <v>23.425179997786799</v>
      </c>
      <c r="F14" s="14">
        <v>23.425179997786799</v>
      </c>
      <c r="G14" s="14">
        <v>23.696555469484899</v>
      </c>
      <c r="H14" s="14">
        <v>23.561838488352802</v>
      </c>
      <c r="I14" s="14">
        <v>23.561838488352802</v>
      </c>
      <c r="J14" s="14">
        <v>23.201632656448801</v>
      </c>
      <c r="K14" s="14">
        <v>23.561838488352802</v>
      </c>
      <c r="L14" s="14"/>
      <c r="M14" s="35"/>
      <c r="N14" s="35"/>
      <c r="O14" s="35"/>
      <c r="P14" s="35"/>
      <c r="Q14" s="35"/>
    </row>
    <row r="15" spans="1:17" ht="15" x14ac:dyDescent="0.2">
      <c r="A15" s="13">
        <v>41365</v>
      </c>
      <c r="B15" s="14">
        <v>22.9189005145798</v>
      </c>
      <c r="C15" s="14">
        <v>22.486653516295</v>
      </c>
      <c r="D15" s="14">
        <v>22.486653516295</v>
      </c>
      <c r="E15" s="14">
        <v>22.349995025729001</v>
      </c>
      <c r="F15" s="14">
        <v>22.349995025729001</v>
      </c>
      <c r="G15" s="14">
        <v>22.621370497427101</v>
      </c>
      <c r="H15" s="14">
        <v>22.486653516295</v>
      </c>
      <c r="I15" s="14">
        <v>22.486653516295</v>
      </c>
      <c r="J15" s="14">
        <v>22.126447684391099</v>
      </c>
      <c r="K15" s="14">
        <v>22.486653516295</v>
      </c>
      <c r="L15" s="14"/>
      <c r="M15" s="35"/>
      <c r="N15" s="35"/>
      <c r="O15" s="35"/>
      <c r="P15" s="35"/>
      <c r="Q15" s="35"/>
    </row>
    <row r="16" spans="1:17" ht="15" x14ac:dyDescent="0.2">
      <c r="A16" s="13">
        <v>41395</v>
      </c>
      <c r="B16" s="14">
        <v>22.8476548995739</v>
      </c>
      <c r="C16" s="14">
        <v>22.4154079012892</v>
      </c>
      <c r="D16" s="14">
        <v>22.4154079012892</v>
      </c>
      <c r="E16" s="14">
        <v>22.278749410723201</v>
      </c>
      <c r="F16" s="14">
        <v>22.278749410723201</v>
      </c>
      <c r="G16" s="14">
        <v>22.550124882421301</v>
      </c>
      <c r="H16" s="14">
        <v>22.4154079012892</v>
      </c>
      <c r="I16" s="14">
        <v>22.4154079012892</v>
      </c>
      <c r="J16" s="14">
        <v>22.055202069385299</v>
      </c>
      <c r="K16" s="14">
        <v>22.4154079012892</v>
      </c>
      <c r="L16" s="14"/>
      <c r="M16" s="35"/>
      <c r="N16" s="35"/>
      <c r="O16" s="35"/>
      <c r="P16" s="35"/>
      <c r="Q16" s="35"/>
    </row>
    <row r="17" spans="1:17" ht="15" x14ac:dyDescent="0.2">
      <c r="A17" s="13">
        <v>41426</v>
      </c>
      <c r="B17" s="14">
        <v>22.7692229845626</v>
      </c>
      <c r="C17" s="14">
        <v>22.336975986277899</v>
      </c>
      <c r="D17" s="14">
        <v>22.336975986277899</v>
      </c>
      <c r="E17" s="14">
        <v>22.200317495711801</v>
      </c>
      <c r="F17" s="14">
        <v>22.200317495711801</v>
      </c>
      <c r="G17" s="14">
        <v>22.471692967409901</v>
      </c>
      <c r="H17" s="14">
        <v>22.336975986277899</v>
      </c>
      <c r="I17" s="14">
        <v>22.336975986277899</v>
      </c>
      <c r="J17" s="14">
        <v>21.976770154373899</v>
      </c>
      <c r="K17" s="14">
        <v>22.336975986277899</v>
      </c>
      <c r="L17" s="14"/>
      <c r="M17" s="35"/>
      <c r="N17" s="35"/>
      <c r="O17" s="35"/>
      <c r="P17" s="35"/>
      <c r="Q17" s="35"/>
    </row>
    <row r="18" spans="1:17" ht="15" x14ac:dyDescent="0.2">
      <c r="A18" s="13">
        <v>41456</v>
      </c>
      <c r="B18" s="14">
        <v>23.7831210645715</v>
      </c>
      <c r="C18" s="14">
        <v>23.3508740662867</v>
      </c>
      <c r="D18" s="14">
        <v>23.3508740662867</v>
      </c>
      <c r="E18" s="14">
        <v>23.214215575720701</v>
      </c>
      <c r="F18" s="14">
        <v>23.214215575720701</v>
      </c>
      <c r="G18" s="14">
        <v>23.485591047418801</v>
      </c>
      <c r="H18" s="14">
        <v>23.3508740662867</v>
      </c>
      <c r="I18" s="14">
        <v>23.3508740662867</v>
      </c>
      <c r="J18" s="14">
        <v>22.990668234382799</v>
      </c>
      <c r="K18" s="14">
        <v>23.3508740662867</v>
      </c>
      <c r="L18" s="14"/>
      <c r="M18" s="35"/>
      <c r="N18" s="35"/>
      <c r="O18" s="35"/>
      <c r="P18" s="35"/>
      <c r="Q18" s="35"/>
    </row>
    <row r="19" spans="1:17" ht="15" x14ac:dyDescent="0.2">
      <c r="A19" s="13">
        <v>41487</v>
      </c>
      <c r="B19" s="14">
        <v>24.206792840148299</v>
      </c>
      <c r="C19" s="14">
        <v>23.7745458418635</v>
      </c>
      <c r="D19" s="14">
        <v>23.7745458418635</v>
      </c>
      <c r="E19" s="14">
        <v>23.637887351297501</v>
      </c>
      <c r="F19" s="14">
        <v>23.637887351297501</v>
      </c>
      <c r="G19" s="14">
        <v>23.909262822995601</v>
      </c>
      <c r="H19" s="14">
        <v>23.7745458418635</v>
      </c>
      <c r="I19" s="14">
        <v>23.7745458418635</v>
      </c>
      <c r="J19" s="14">
        <v>23.414340009959599</v>
      </c>
      <c r="K19" s="14">
        <v>23.7745458418635</v>
      </c>
      <c r="L19" s="14"/>
      <c r="M19" s="35"/>
      <c r="N19" s="35"/>
      <c r="O19" s="35"/>
      <c r="P19" s="35"/>
      <c r="Q19" s="35"/>
    </row>
    <row r="20" spans="1:17" ht="15" x14ac:dyDescent="0.2">
      <c r="A20" s="13">
        <v>41518</v>
      </c>
      <c r="B20" s="14">
        <v>24.869463121783902</v>
      </c>
      <c r="C20" s="14">
        <v>24.437216123499098</v>
      </c>
      <c r="D20" s="14">
        <v>24.437216123499098</v>
      </c>
      <c r="E20" s="14">
        <v>24.300557632933099</v>
      </c>
      <c r="F20" s="14">
        <v>24.300557632933099</v>
      </c>
      <c r="G20" s="14">
        <v>24.571933104631199</v>
      </c>
      <c r="H20" s="14">
        <v>24.437216123499098</v>
      </c>
      <c r="I20" s="14">
        <v>24.437216123499098</v>
      </c>
      <c r="J20" s="14">
        <v>24.077010291595201</v>
      </c>
      <c r="K20" s="14">
        <v>24.437216123499098</v>
      </c>
      <c r="L20" s="14"/>
      <c r="M20" s="35"/>
      <c r="N20" s="35"/>
      <c r="O20" s="35"/>
      <c r="P20" s="35"/>
      <c r="Q20" s="35"/>
    </row>
    <row r="21" spans="1:17" ht="15" x14ac:dyDescent="0.2">
      <c r="A21" s="13">
        <v>41548</v>
      </c>
      <c r="B21" s="14">
        <f>24.9731 * CHOOSE(CONTROL!$C$9, $D$9, 100%, $F$9) + CHOOSE(CONTROL!$C$27, 0.0021, 0)</f>
        <v>24.975199999999997</v>
      </c>
      <c r="C21" s="14">
        <f>24.5408 * CHOOSE(CONTROL!$C$9, $D$9, 100%, $F$9) + CHOOSE(CONTROL!$C$27, 0.0021, 0)</f>
        <v>24.542899999999999</v>
      </c>
      <c r="D21" s="14">
        <f>24.5408 * CHOOSE(CONTROL!$C$9, $D$9, 100%, $F$9) + CHOOSE(CONTROL!$C$27, 0.0021, 0)</f>
        <v>24.542899999999999</v>
      </c>
      <c r="E21" s="14">
        <f>24.4042 * CHOOSE(CONTROL!$C$9, $D$9, 100%, $F$9) + CHOOSE(CONTROL!$C$27, 0.0021, 0)</f>
        <v>24.406299999999998</v>
      </c>
      <c r="F21" s="14">
        <f>24.4042 * CHOOSE(CONTROL!$C$9, $D$9, 100%, $F$9) + CHOOSE(CONTROL!$C$27, 0.0021, 0)</f>
        <v>24.406299999999998</v>
      </c>
      <c r="G21" s="14">
        <f>24.6755 * CHOOSE(CONTROL!$C$9, $D$9, 100%, $F$9) + CHOOSE(CONTROL!$C$27, 0.0021, 0)</f>
        <v>24.677599999999998</v>
      </c>
      <c r="H21" s="14">
        <f>24.5408 * CHOOSE(CONTROL!$C$9, $D$9, 100%, $F$9) + CHOOSE(CONTROL!$C$27, 0.0021, 0)</f>
        <v>24.542899999999999</v>
      </c>
      <c r="I21" s="14">
        <f>24.5408 * CHOOSE(CONTROL!$C$9, $D$9, 100%, $F$9) + CHOOSE(CONTROL!$C$27, 0.0021, 0)</f>
        <v>24.542899999999999</v>
      </c>
      <c r="J21" s="14">
        <f>24.1806 * CHOOSE(CONTROL!$C$9, $D$9, 100%, $F$9) + CHOOSE(CONTROL!$C$27, 0.0021, 0)</f>
        <v>24.182699999999997</v>
      </c>
      <c r="K21" s="14">
        <f>24.5408 * CHOOSE(CONTROL!$C$9, $D$9, 100%, $F$9) + CHOOSE(CONTROL!$C$27, 0.0021, 0)</f>
        <v>24.542899999999999</v>
      </c>
      <c r="L21" s="14"/>
      <c r="M21" s="35"/>
      <c r="N21" s="35"/>
      <c r="O21" s="35"/>
      <c r="P21" s="35"/>
      <c r="Q21" s="35"/>
    </row>
    <row r="22" spans="1:17" ht="15" x14ac:dyDescent="0.2">
      <c r="A22" s="13">
        <v>41579</v>
      </c>
      <c r="B22" s="14">
        <f>24.9738 * CHOOSE(CONTROL!$C$9, $D$9, 100%, $F$9) + CHOOSE(CONTROL!$C$27, 0.0021, 0)</f>
        <v>24.975899999999999</v>
      </c>
      <c r="C22" s="14">
        <f>24.5415 * CHOOSE(CONTROL!$C$9, $D$9, 100%, $F$9) + CHOOSE(CONTROL!$C$27, 0.0021, 0)</f>
        <v>24.543599999999998</v>
      </c>
      <c r="D22" s="14">
        <f>24.5415 * CHOOSE(CONTROL!$C$9, $D$9, 100%, $F$9) + CHOOSE(CONTROL!$C$27, 0.0021, 0)</f>
        <v>24.543599999999998</v>
      </c>
      <c r="E22" s="14">
        <f>24.4049 * CHOOSE(CONTROL!$C$9, $D$9, 100%, $F$9) + CHOOSE(CONTROL!$C$27, 0.0021, 0)</f>
        <v>24.407</v>
      </c>
      <c r="F22" s="14">
        <f>24.4049 * CHOOSE(CONTROL!$C$9, $D$9, 100%, $F$9) + CHOOSE(CONTROL!$C$27, 0.0021, 0)</f>
        <v>24.407</v>
      </c>
      <c r="G22" s="14">
        <f>24.6763 * CHOOSE(CONTROL!$C$9, $D$9, 100%, $F$9) + CHOOSE(CONTROL!$C$27, 0.0021, 0)</f>
        <v>24.6784</v>
      </c>
      <c r="H22" s="14">
        <f>24.5415 * CHOOSE(CONTROL!$C$9, $D$9, 100%, $F$9) + CHOOSE(CONTROL!$C$27, 0.0021, 0)</f>
        <v>24.543599999999998</v>
      </c>
      <c r="I22" s="14">
        <f>24.5415 * CHOOSE(CONTROL!$C$9, $D$9, 100%, $F$9) + CHOOSE(CONTROL!$C$27, 0.0021, 0)</f>
        <v>24.543599999999998</v>
      </c>
      <c r="J22" s="14">
        <f>24.1813 * CHOOSE(CONTROL!$C$9, $D$9, 100%, $F$9) + CHOOSE(CONTROL!$C$27, 0.0021, 0)</f>
        <v>24.183399999999999</v>
      </c>
      <c r="K22" s="14">
        <f>24.5415 * CHOOSE(CONTROL!$C$9, $D$9, 100%, $F$9) + CHOOSE(CONTROL!$C$27, 0.0021, 0)</f>
        <v>24.543599999999998</v>
      </c>
      <c r="L22" s="14"/>
      <c r="M22" s="35"/>
      <c r="N22" s="35"/>
      <c r="O22" s="35"/>
      <c r="P22" s="35"/>
      <c r="Q22" s="35"/>
    </row>
    <row r="23" spans="1:17" ht="15" x14ac:dyDescent="0.2">
      <c r="A23" s="13">
        <v>41609</v>
      </c>
      <c r="B23" s="14">
        <f>24.9342 * CHOOSE(CONTROL!$C$9, $D$9, 100%, $F$9) + CHOOSE(CONTROL!$C$27, 0.0021, 0)</f>
        <v>24.936299999999999</v>
      </c>
      <c r="C23" s="14">
        <f>24.5019 * CHOOSE(CONTROL!$C$9, $D$9, 100%, $F$9) + CHOOSE(CONTROL!$C$27, 0.0021, 0)</f>
        <v>24.503999999999998</v>
      </c>
      <c r="D23" s="14">
        <f>24.5019 * CHOOSE(CONTROL!$C$9, $D$9, 100%, $F$9) + CHOOSE(CONTROL!$C$27, 0.0021, 0)</f>
        <v>24.503999999999998</v>
      </c>
      <c r="E23" s="14">
        <f>24.3653 * CHOOSE(CONTROL!$C$9, $D$9, 100%, $F$9) + CHOOSE(CONTROL!$C$27, 0.0021, 0)</f>
        <v>24.3674</v>
      </c>
      <c r="F23" s="14">
        <f>24.3653 * CHOOSE(CONTROL!$C$9, $D$9, 100%, $F$9) + CHOOSE(CONTROL!$C$27, 0.0021, 0)</f>
        <v>24.3674</v>
      </c>
      <c r="G23" s="14">
        <f>24.6366 * CHOOSE(CONTROL!$C$9, $D$9, 100%, $F$9) + CHOOSE(CONTROL!$C$27, 0.0021, 0)</f>
        <v>24.6387</v>
      </c>
      <c r="H23" s="14">
        <f>24.5019 * CHOOSE(CONTROL!$C$9, $D$9, 100%, $F$9) + CHOOSE(CONTROL!$C$27, 0.0021, 0)</f>
        <v>24.503999999999998</v>
      </c>
      <c r="I23" s="14">
        <f>24.5019 * CHOOSE(CONTROL!$C$9, $D$9, 100%, $F$9) + CHOOSE(CONTROL!$C$27, 0.0021, 0)</f>
        <v>24.503999999999998</v>
      </c>
      <c r="J23" s="14">
        <f>24.1417 * CHOOSE(CONTROL!$C$9, $D$9, 100%, $F$9) + CHOOSE(CONTROL!$C$27, 0.0021, 0)</f>
        <v>24.143799999999999</v>
      </c>
      <c r="K23" s="14">
        <f>24.5019 * CHOOSE(CONTROL!$C$9, $D$9, 100%, $F$9) + CHOOSE(CONTROL!$C$27, 0.0021, 0)</f>
        <v>24.503999999999998</v>
      </c>
      <c r="L23" s="14"/>
      <c r="M23" s="35"/>
      <c r="N23" s="35"/>
      <c r="O23" s="35"/>
      <c r="P23" s="35"/>
      <c r="Q23" s="35"/>
    </row>
    <row r="24" spans="1:17" ht="15" x14ac:dyDescent="0.2">
      <c r="A24" s="13">
        <v>41640</v>
      </c>
      <c r="B24" s="14">
        <f>24.8902 * CHOOSE(CONTROL!$C$9, $D$9, 100%, $F$9) + CHOOSE(CONTROL!$C$27, 0.0021, 0)</f>
        <v>24.892299999999999</v>
      </c>
      <c r="C24" s="14">
        <f>24.458 * CHOOSE(CONTROL!$C$9, $D$9, 100%, $F$9) + CHOOSE(CONTROL!$C$27, 0.0021, 0)</f>
        <v>24.460099999999997</v>
      </c>
      <c r="D24" s="14">
        <f>24.458 * CHOOSE(CONTROL!$C$9, $D$9, 100%, $F$9) + CHOOSE(CONTROL!$C$27, 0.0021, 0)</f>
        <v>24.460099999999997</v>
      </c>
      <c r="E24" s="14">
        <f>24.3213 * CHOOSE(CONTROL!$C$9, $D$9, 100%, $F$9) + CHOOSE(CONTROL!$C$27, 0.0021, 0)</f>
        <v>24.323399999999999</v>
      </c>
      <c r="F24" s="14">
        <f>24.3213 * CHOOSE(CONTROL!$C$9, $D$9, 100%, $F$9) + CHOOSE(CONTROL!$C$27, 0.0021, 0)</f>
        <v>24.323399999999999</v>
      </c>
      <c r="G24" s="14">
        <f>24.5927 * CHOOSE(CONTROL!$C$9, $D$9, 100%, $F$9) + CHOOSE(CONTROL!$C$27, 0.0021, 0)</f>
        <v>24.594799999999999</v>
      </c>
      <c r="H24" s="14">
        <f>24.458 * CHOOSE(CONTROL!$C$9, $D$9, 100%, $F$9) + CHOOSE(CONTROL!$C$27, 0.0021, 0)</f>
        <v>24.460099999999997</v>
      </c>
      <c r="I24" s="14">
        <f>24.458 * CHOOSE(CONTROL!$C$9, $D$9, 100%, $F$9) + CHOOSE(CONTROL!$C$27, 0.0021, 0)</f>
        <v>24.460099999999997</v>
      </c>
      <c r="J24" s="14">
        <f>24.0978 * CHOOSE(CONTROL!$C$9, $D$9, 100%, $F$9) + CHOOSE(CONTROL!$C$27, 0.0021, 0)</f>
        <v>24.099899999999998</v>
      </c>
      <c r="K24" s="14">
        <f>24.458 * CHOOSE(CONTROL!$C$9, $D$9, 100%, $F$9) + CHOOSE(CONTROL!$C$27, 0.0021, 0)</f>
        <v>24.460099999999997</v>
      </c>
      <c r="L24" s="14"/>
      <c r="M24" s="35"/>
      <c r="N24" s="35"/>
      <c r="O24" s="35"/>
      <c r="P24" s="35"/>
      <c r="Q24" s="35"/>
    </row>
    <row r="25" spans="1:17" ht="15" x14ac:dyDescent="0.2">
      <c r="A25" s="13">
        <v>41671</v>
      </c>
      <c r="B25" s="14">
        <f>24.7894 * CHOOSE(CONTROL!$C$9, $D$9, 100%, $F$9) + CHOOSE(CONTROL!$C$27, 0.0021, 0)</f>
        <v>24.791499999999999</v>
      </c>
      <c r="C25" s="14">
        <f>24.3571 * CHOOSE(CONTROL!$C$9, $D$9, 100%, $F$9) + CHOOSE(CONTROL!$C$27, 0.0021, 0)</f>
        <v>24.359199999999998</v>
      </c>
      <c r="D25" s="14">
        <f>24.3571 * CHOOSE(CONTROL!$C$9, $D$9, 100%, $F$9) + CHOOSE(CONTROL!$C$27, 0.0021, 0)</f>
        <v>24.359199999999998</v>
      </c>
      <c r="E25" s="14">
        <f>24.2205 * CHOOSE(CONTROL!$C$9, $D$9, 100%, $F$9) + CHOOSE(CONTROL!$C$27, 0.0021, 0)</f>
        <v>24.2226</v>
      </c>
      <c r="F25" s="14">
        <f>24.2205 * CHOOSE(CONTROL!$C$9, $D$9, 100%, $F$9) + CHOOSE(CONTROL!$C$27, 0.0021, 0)</f>
        <v>24.2226</v>
      </c>
      <c r="G25" s="14">
        <f>24.4918 * CHOOSE(CONTROL!$C$9, $D$9, 100%, $F$9) + CHOOSE(CONTROL!$C$27, 0.0021, 0)</f>
        <v>24.4939</v>
      </c>
      <c r="H25" s="14">
        <f>24.3571 * CHOOSE(CONTROL!$C$9, $D$9, 100%, $F$9) + CHOOSE(CONTROL!$C$27, 0.0021, 0)</f>
        <v>24.359199999999998</v>
      </c>
      <c r="I25" s="14">
        <f>24.3571 * CHOOSE(CONTROL!$C$9, $D$9, 100%, $F$9) + CHOOSE(CONTROL!$C$27, 0.0021, 0)</f>
        <v>24.359199999999998</v>
      </c>
      <c r="J25" s="14">
        <f>23.9969 * CHOOSE(CONTROL!$C$9, $D$9, 100%, $F$9) + CHOOSE(CONTROL!$C$27, 0.0021, 0)</f>
        <v>23.998999999999999</v>
      </c>
      <c r="K25" s="14">
        <f>24.3571 * CHOOSE(CONTROL!$C$9, $D$9, 100%, $F$9) + CHOOSE(CONTROL!$C$27, 0.0021, 0)</f>
        <v>24.359199999999998</v>
      </c>
      <c r="L25" s="14"/>
      <c r="M25" s="35"/>
      <c r="N25" s="35"/>
      <c r="O25" s="35"/>
      <c r="P25" s="35"/>
      <c r="Q25" s="35"/>
    </row>
    <row r="26" spans="1:17" ht="15" x14ac:dyDescent="0.2">
      <c r="A26" s="13">
        <v>41699</v>
      </c>
      <c r="B26" s="14">
        <f>24.6251 * CHOOSE(CONTROL!$C$9, $D$9, 100%, $F$9) + CHOOSE(CONTROL!$C$27, 0.0021, 0)</f>
        <v>24.627199999999998</v>
      </c>
      <c r="C26" s="14">
        <f>24.1929 * CHOOSE(CONTROL!$C$9, $D$9, 100%, $F$9) + CHOOSE(CONTROL!$C$27, 0.0021, 0)</f>
        <v>24.195</v>
      </c>
      <c r="D26" s="14">
        <f>24.1929 * CHOOSE(CONTROL!$C$9, $D$9, 100%, $F$9) + CHOOSE(CONTROL!$C$27, 0.0021, 0)</f>
        <v>24.195</v>
      </c>
      <c r="E26" s="14">
        <f>24.0562 * CHOOSE(CONTROL!$C$9, $D$9, 100%, $F$9) + CHOOSE(CONTROL!$C$27, 0.0021, 0)</f>
        <v>24.058299999999999</v>
      </c>
      <c r="F26" s="14">
        <f>24.0562 * CHOOSE(CONTROL!$C$9, $D$9, 100%, $F$9) + CHOOSE(CONTROL!$C$27, 0.0021, 0)</f>
        <v>24.058299999999999</v>
      </c>
      <c r="G26" s="14">
        <f>24.3276 * CHOOSE(CONTROL!$C$9, $D$9, 100%, $F$9) + CHOOSE(CONTROL!$C$27, 0.0021, 0)</f>
        <v>24.329699999999999</v>
      </c>
      <c r="H26" s="14">
        <f>24.1929 * CHOOSE(CONTROL!$C$9, $D$9, 100%, $F$9) + CHOOSE(CONTROL!$C$27, 0.0021, 0)</f>
        <v>24.195</v>
      </c>
      <c r="I26" s="14">
        <f>24.1929 * CHOOSE(CONTROL!$C$9, $D$9, 100%, $F$9) + CHOOSE(CONTROL!$C$27, 0.0021, 0)</f>
        <v>24.195</v>
      </c>
      <c r="J26" s="14">
        <f>23.8327 * CHOOSE(CONTROL!$C$9, $D$9, 100%, $F$9) + CHOOSE(CONTROL!$C$27, 0.0021, 0)</f>
        <v>23.834799999999998</v>
      </c>
      <c r="K26" s="14">
        <f>24.1929 * CHOOSE(CONTROL!$C$9, $D$9, 100%, $F$9) + CHOOSE(CONTROL!$C$27, 0.0021, 0)</f>
        <v>24.195</v>
      </c>
      <c r="L26" s="14"/>
      <c r="M26" s="35"/>
      <c r="N26" s="35"/>
      <c r="O26" s="35"/>
      <c r="P26" s="35"/>
      <c r="Q26" s="35"/>
    </row>
    <row r="27" spans="1:17" ht="15" x14ac:dyDescent="0.2">
      <c r="A27" s="13">
        <v>41730</v>
      </c>
      <c r="B27" s="14">
        <f>24.4479 * CHOOSE(CONTROL!$C$9, $D$9, 100%, $F$9) + CHOOSE(CONTROL!$C$27, 0.0021, 0)</f>
        <v>24.45</v>
      </c>
      <c r="C27" s="14">
        <f>24.0156 * CHOOSE(CONTROL!$C$9, $D$9, 100%, $F$9) + CHOOSE(CONTROL!$C$27, 0.0021, 0)</f>
        <v>24.017699999999998</v>
      </c>
      <c r="D27" s="14">
        <f>24.0156 * CHOOSE(CONTROL!$C$9, $D$9, 100%, $F$9) + CHOOSE(CONTROL!$C$27, 0.0021, 0)</f>
        <v>24.017699999999998</v>
      </c>
      <c r="E27" s="14">
        <f>23.879 * CHOOSE(CONTROL!$C$9, $D$9, 100%, $F$9) + CHOOSE(CONTROL!$C$27, 0.0021, 0)</f>
        <v>23.8811</v>
      </c>
      <c r="F27" s="14">
        <f>23.879 * CHOOSE(CONTROL!$C$9, $D$9, 100%, $F$9) + CHOOSE(CONTROL!$C$27, 0.0021, 0)</f>
        <v>23.8811</v>
      </c>
      <c r="G27" s="14">
        <f>24.1504 * CHOOSE(CONTROL!$C$9, $D$9, 100%, $F$9) + CHOOSE(CONTROL!$C$27, 0.0021, 0)</f>
        <v>24.1525</v>
      </c>
      <c r="H27" s="14">
        <f>24.0156 * CHOOSE(CONTROL!$C$9, $D$9, 100%, $F$9) + CHOOSE(CONTROL!$C$27, 0.0021, 0)</f>
        <v>24.017699999999998</v>
      </c>
      <c r="I27" s="14">
        <f>24.0156 * CHOOSE(CONTROL!$C$9, $D$9, 100%, $F$9) + CHOOSE(CONTROL!$C$27, 0.0021, 0)</f>
        <v>24.017699999999998</v>
      </c>
      <c r="J27" s="14">
        <f>23.6554 * CHOOSE(CONTROL!$C$9, $D$9, 100%, $F$9) + CHOOSE(CONTROL!$C$27, 0.0021, 0)</f>
        <v>23.657499999999999</v>
      </c>
      <c r="K27" s="14">
        <f>24.0156 * CHOOSE(CONTROL!$C$9, $D$9, 100%, $F$9) + CHOOSE(CONTROL!$C$27, 0.0021, 0)</f>
        <v>24.017699999999998</v>
      </c>
      <c r="L27" s="14"/>
      <c r="M27" s="35"/>
      <c r="N27" s="35"/>
      <c r="O27" s="35"/>
      <c r="P27" s="35"/>
      <c r="Q27" s="35"/>
    </row>
    <row r="28" spans="1:17" ht="15" x14ac:dyDescent="0.2">
      <c r="A28" s="13">
        <v>41760</v>
      </c>
      <c r="B28" s="14">
        <f>24.2649 * CHOOSE(CONTROL!$C$9, $D$9, 100%, $F$9) + CHOOSE(CONTROL!$C$27, 0.0021, 0)</f>
        <v>24.266999999999999</v>
      </c>
      <c r="C28" s="14">
        <f>23.8327 * CHOOSE(CONTROL!$C$9, $D$9, 100%, $F$9) + CHOOSE(CONTROL!$C$27, 0.0021, 0)</f>
        <v>23.834799999999998</v>
      </c>
      <c r="D28" s="14">
        <f>23.8327 * CHOOSE(CONTROL!$C$9, $D$9, 100%, $F$9) + CHOOSE(CONTROL!$C$27, 0.0021, 0)</f>
        <v>23.834799999999998</v>
      </c>
      <c r="E28" s="14">
        <f>23.696 * CHOOSE(CONTROL!$C$9, $D$9, 100%, $F$9) + CHOOSE(CONTROL!$C$27, 0.0021, 0)</f>
        <v>23.6981</v>
      </c>
      <c r="F28" s="14">
        <f>23.696 * CHOOSE(CONTROL!$C$9, $D$9, 100%, $F$9) + CHOOSE(CONTROL!$C$27, 0.0021, 0)</f>
        <v>23.6981</v>
      </c>
      <c r="G28" s="14">
        <f>23.9674 * CHOOSE(CONTROL!$C$9, $D$9, 100%, $F$9) + CHOOSE(CONTROL!$C$27, 0.0021, 0)</f>
        <v>23.9695</v>
      </c>
      <c r="H28" s="14">
        <f>23.8327 * CHOOSE(CONTROL!$C$9, $D$9, 100%, $F$9) + CHOOSE(CONTROL!$C$27, 0.0021, 0)</f>
        <v>23.834799999999998</v>
      </c>
      <c r="I28" s="14">
        <f>23.8327 * CHOOSE(CONTROL!$C$9, $D$9, 100%, $F$9) + CHOOSE(CONTROL!$C$27, 0.0021, 0)</f>
        <v>23.834799999999998</v>
      </c>
      <c r="J28" s="14">
        <f>23.4725 * CHOOSE(CONTROL!$C$9, $D$9, 100%, $F$9) + CHOOSE(CONTROL!$C$27, 0.0021, 0)</f>
        <v>23.474599999999999</v>
      </c>
      <c r="K28" s="14">
        <f>23.8327 * CHOOSE(CONTROL!$C$9, $D$9, 100%, $F$9) + CHOOSE(CONTROL!$C$27, 0.0021, 0)</f>
        <v>23.834799999999998</v>
      </c>
      <c r="L28" s="14"/>
      <c r="M28" s="35"/>
      <c r="N28" s="35"/>
      <c r="O28" s="35"/>
      <c r="P28" s="35"/>
      <c r="Q28" s="35"/>
    </row>
    <row r="29" spans="1:17" ht="15" x14ac:dyDescent="0.2">
      <c r="A29" s="13">
        <v>41791</v>
      </c>
      <c r="B29" s="14">
        <f>24.0769 * CHOOSE(CONTROL!$C$9, $D$9, 100%, $F$9) + CHOOSE(CONTROL!$C$27, 0.0021, 0)</f>
        <v>24.078999999999997</v>
      </c>
      <c r="C29" s="14">
        <f>23.6446 * CHOOSE(CONTROL!$C$9, $D$9, 100%, $F$9) + CHOOSE(CONTROL!$C$27, 0.0021, 0)</f>
        <v>23.646699999999999</v>
      </c>
      <c r="D29" s="14">
        <f>23.6446 * CHOOSE(CONTROL!$C$9, $D$9, 100%, $F$9) + CHOOSE(CONTROL!$C$27, 0.0021, 0)</f>
        <v>23.646699999999999</v>
      </c>
      <c r="E29" s="14">
        <f>23.508 * CHOOSE(CONTROL!$C$9, $D$9, 100%, $F$9) + CHOOSE(CONTROL!$C$27, 0.0021, 0)</f>
        <v>23.510099999999998</v>
      </c>
      <c r="F29" s="14">
        <f>23.508 * CHOOSE(CONTROL!$C$9, $D$9, 100%, $F$9) + CHOOSE(CONTROL!$C$27, 0.0021, 0)</f>
        <v>23.510099999999998</v>
      </c>
      <c r="G29" s="14">
        <f>23.7793 * CHOOSE(CONTROL!$C$9, $D$9, 100%, $F$9) + CHOOSE(CONTROL!$C$27, 0.0021, 0)</f>
        <v>23.781399999999998</v>
      </c>
      <c r="H29" s="14">
        <f>23.6446 * CHOOSE(CONTROL!$C$9, $D$9, 100%, $F$9) + CHOOSE(CONTROL!$C$27, 0.0021, 0)</f>
        <v>23.646699999999999</v>
      </c>
      <c r="I29" s="14">
        <f>23.6446 * CHOOSE(CONTROL!$C$9, $D$9, 100%, $F$9) + CHOOSE(CONTROL!$C$27, 0.0021, 0)</f>
        <v>23.646699999999999</v>
      </c>
      <c r="J29" s="14">
        <f>23.2844 * CHOOSE(CONTROL!$C$9, $D$9, 100%, $F$9) + CHOOSE(CONTROL!$C$27, 0.0021, 0)</f>
        <v>23.2865</v>
      </c>
      <c r="K29" s="14">
        <f>23.6446 * CHOOSE(CONTROL!$C$9, $D$9, 100%, $F$9) + CHOOSE(CONTROL!$C$27, 0.0021, 0)</f>
        <v>23.646699999999999</v>
      </c>
      <c r="L29" s="14"/>
      <c r="M29" s="35"/>
      <c r="N29" s="35"/>
      <c r="O29" s="35"/>
      <c r="P29" s="35"/>
      <c r="Q29" s="35"/>
    </row>
    <row r="30" spans="1:17" ht="15" x14ac:dyDescent="0.2">
      <c r="A30" s="13">
        <v>41821</v>
      </c>
      <c r="B30" s="14">
        <f>23.9429 * CHOOSE(CONTROL!$C$9, $D$9, 100%, $F$9) + CHOOSE(CONTROL!$C$27, 0.0021, 0)</f>
        <v>23.945</v>
      </c>
      <c r="C30" s="14">
        <f>23.5106 * CHOOSE(CONTROL!$C$9, $D$9, 100%, $F$9) + CHOOSE(CONTROL!$C$27, 0.0021, 0)</f>
        <v>23.512699999999999</v>
      </c>
      <c r="D30" s="14">
        <f>23.5106 * CHOOSE(CONTROL!$C$9, $D$9, 100%, $F$9) + CHOOSE(CONTROL!$C$27, 0.0021, 0)</f>
        <v>23.512699999999999</v>
      </c>
      <c r="E30" s="14">
        <f>23.374 * CHOOSE(CONTROL!$C$9, $D$9, 100%, $F$9) + CHOOSE(CONTROL!$C$27, 0.0021, 0)</f>
        <v>23.376099999999997</v>
      </c>
      <c r="F30" s="14">
        <f>23.374 * CHOOSE(CONTROL!$C$9, $D$9, 100%, $F$9) + CHOOSE(CONTROL!$C$27, 0.0021, 0)</f>
        <v>23.376099999999997</v>
      </c>
      <c r="G30" s="14">
        <f>23.6454 * CHOOSE(CONTROL!$C$9, $D$9, 100%, $F$9) + CHOOSE(CONTROL!$C$27, 0.0021, 0)</f>
        <v>23.647499999999997</v>
      </c>
      <c r="H30" s="14">
        <f>23.5106 * CHOOSE(CONTROL!$C$9, $D$9, 100%, $F$9) + CHOOSE(CONTROL!$C$27, 0.0021, 0)</f>
        <v>23.512699999999999</v>
      </c>
      <c r="I30" s="14">
        <f>23.5106 * CHOOSE(CONTROL!$C$9, $D$9, 100%, $F$9) + CHOOSE(CONTROL!$C$27, 0.0021, 0)</f>
        <v>23.512699999999999</v>
      </c>
      <c r="J30" s="14">
        <f>23.1504 * CHOOSE(CONTROL!$C$9, $D$9, 100%, $F$9) + CHOOSE(CONTROL!$C$27, 0.0021, 0)</f>
        <v>23.1525</v>
      </c>
      <c r="K30" s="14">
        <f>23.5106 * CHOOSE(CONTROL!$C$9, $D$9, 100%, $F$9) + CHOOSE(CONTROL!$C$27, 0.0021, 0)</f>
        <v>23.512699999999999</v>
      </c>
      <c r="L30" s="14"/>
      <c r="M30" s="35"/>
      <c r="N30" s="35"/>
      <c r="O30" s="35"/>
      <c r="P30" s="35"/>
      <c r="Q30" s="35"/>
    </row>
    <row r="31" spans="1:17" ht="15" x14ac:dyDescent="0.2">
      <c r="A31" s="13">
        <v>41852</v>
      </c>
      <c r="B31" s="14">
        <f>23.8341 * CHOOSE(CONTROL!$C$9, $D$9, 100%, $F$9) + CHOOSE(CONTROL!$C$27, 0.0021, 0)</f>
        <v>23.836199999999998</v>
      </c>
      <c r="C31" s="14">
        <f>23.4019 * CHOOSE(CONTROL!$C$9, $D$9, 100%, $F$9) + CHOOSE(CONTROL!$C$27, 0.0021, 0)</f>
        <v>23.404</v>
      </c>
      <c r="D31" s="14">
        <f>23.4019 * CHOOSE(CONTROL!$C$9, $D$9, 100%, $F$9) + CHOOSE(CONTROL!$C$27, 0.0021, 0)</f>
        <v>23.404</v>
      </c>
      <c r="E31" s="14">
        <f>23.2652 * CHOOSE(CONTROL!$C$9, $D$9, 100%, $F$9) + CHOOSE(CONTROL!$C$27, 0.0021, 0)</f>
        <v>23.267299999999999</v>
      </c>
      <c r="F31" s="14">
        <f>23.2652 * CHOOSE(CONTROL!$C$9, $D$9, 100%, $F$9) + CHOOSE(CONTROL!$C$27, 0.0021, 0)</f>
        <v>23.267299999999999</v>
      </c>
      <c r="G31" s="14">
        <f>23.5366 * CHOOSE(CONTROL!$C$9, $D$9, 100%, $F$9) + CHOOSE(CONTROL!$C$27, 0.0021, 0)</f>
        <v>23.538699999999999</v>
      </c>
      <c r="H31" s="14">
        <f>23.4019 * CHOOSE(CONTROL!$C$9, $D$9, 100%, $F$9) + CHOOSE(CONTROL!$C$27, 0.0021, 0)</f>
        <v>23.404</v>
      </c>
      <c r="I31" s="14">
        <f>23.4019 * CHOOSE(CONTROL!$C$9, $D$9, 100%, $F$9) + CHOOSE(CONTROL!$C$27, 0.0021, 0)</f>
        <v>23.404</v>
      </c>
      <c r="J31" s="14">
        <f>23.0416 * CHOOSE(CONTROL!$C$9, $D$9, 100%, $F$9) + CHOOSE(CONTROL!$C$27, 0.0021, 0)</f>
        <v>23.043699999999998</v>
      </c>
      <c r="K31" s="14">
        <f>23.4019 * CHOOSE(CONTROL!$C$9, $D$9, 100%, $F$9) + CHOOSE(CONTROL!$C$27, 0.0021, 0)</f>
        <v>23.404</v>
      </c>
      <c r="L31" s="14"/>
      <c r="M31" s="35"/>
      <c r="N31" s="35"/>
      <c r="O31" s="35"/>
      <c r="P31" s="35"/>
      <c r="Q31" s="35"/>
    </row>
    <row r="32" spans="1:17" ht="15" x14ac:dyDescent="0.2">
      <c r="A32" s="13">
        <v>41883</v>
      </c>
      <c r="B32" s="14">
        <f>23.7541 * CHOOSE(CONTROL!$C$9, $D$9, 100%, $F$9) + CHOOSE(CONTROL!$C$27, 0.0021, 0)</f>
        <v>23.7562</v>
      </c>
      <c r="C32" s="14">
        <f>23.3219 * CHOOSE(CONTROL!$C$9, $D$9, 100%, $F$9) + CHOOSE(CONTROL!$C$27, 0.0021, 0)</f>
        <v>23.323999999999998</v>
      </c>
      <c r="D32" s="14">
        <f>23.3219 * CHOOSE(CONTROL!$C$9, $D$9, 100%, $F$9) + CHOOSE(CONTROL!$C$27, 0.0021, 0)</f>
        <v>23.323999999999998</v>
      </c>
      <c r="E32" s="14">
        <f>23.1852 * CHOOSE(CONTROL!$C$9, $D$9, 100%, $F$9) + CHOOSE(CONTROL!$C$27, 0.0021, 0)</f>
        <v>23.187299999999997</v>
      </c>
      <c r="F32" s="14">
        <f>23.1852 * CHOOSE(CONTROL!$C$9, $D$9, 100%, $F$9) + CHOOSE(CONTROL!$C$27, 0.0021, 0)</f>
        <v>23.187299999999997</v>
      </c>
      <c r="G32" s="14">
        <f>23.4566 * CHOOSE(CONTROL!$C$9, $D$9, 100%, $F$9) + CHOOSE(CONTROL!$C$27, 0.0021, 0)</f>
        <v>23.4587</v>
      </c>
      <c r="H32" s="14">
        <f>23.3219 * CHOOSE(CONTROL!$C$9, $D$9, 100%, $F$9) + CHOOSE(CONTROL!$C$27, 0.0021, 0)</f>
        <v>23.323999999999998</v>
      </c>
      <c r="I32" s="14">
        <f>23.3219 * CHOOSE(CONTROL!$C$9, $D$9, 100%, $F$9) + CHOOSE(CONTROL!$C$27, 0.0021, 0)</f>
        <v>23.323999999999998</v>
      </c>
      <c r="J32" s="14">
        <f>22.9617 * CHOOSE(CONTROL!$C$9, $D$9, 100%, $F$9) + CHOOSE(CONTROL!$C$27, 0.0021, 0)</f>
        <v>22.963799999999999</v>
      </c>
      <c r="K32" s="14">
        <f>23.3219 * CHOOSE(CONTROL!$C$9, $D$9, 100%, $F$9) + CHOOSE(CONTROL!$C$27, 0.0021, 0)</f>
        <v>23.323999999999998</v>
      </c>
      <c r="L32" s="14"/>
      <c r="M32" s="35"/>
      <c r="N32" s="35"/>
      <c r="O32" s="35"/>
      <c r="P32" s="35"/>
      <c r="Q32" s="35"/>
    </row>
    <row r="33" spans="1:17" ht="15" x14ac:dyDescent="0.2">
      <c r="A33" s="13">
        <v>41913</v>
      </c>
      <c r="B33" s="14">
        <f>23.7181 * CHOOSE(CONTROL!$C$9, $D$9, 100%, $F$9) + CHOOSE(CONTROL!$C$27, 0.0021, 0)</f>
        <v>23.720199999999998</v>
      </c>
      <c r="C33" s="14">
        <f>23.2859 * CHOOSE(CONTROL!$C$9, $D$9, 100%, $F$9) + CHOOSE(CONTROL!$C$27, 0.0021, 0)</f>
        <v>23.288</v>
      </c>
      <c r="D33" s="14">
        <f>23.2859 * CHOOSE(CONTROL!$C$9, $D$9, 100%, $F$9) + CHOOSE(CONTROL!$C$27, 0.0021, 0)</f>
        <v>23.288</v>
      </c>
      <c r="E33" s="14">
        <f>23.1492 * CHOOSE(CONTROL!$C$9, $D$9, 100%, $F$9) + CHOOSE(CONTROL!$C$27, 0.0021, 0)</f>
        <v>23.151299999999999</v>
      </c>
      <c r="F33" s="14">
        <f>23.1492 * CHOOSE(CONTROL!$C$9, $D$9, 100%, $F$9) + CHOOSE(CONTROL!$C$27, 0.0021, 0)</f>
        <v>23.151299999999999</v>
      </c>
      <c r="G33" s="14">
        <f>23.4206 * CHOOSE(CONTROL!$C$9, $D$9, 100%, $F$9) + CHOOSE(CONTROL!$C$27, 0.0021, 0)</f>
        <v>23.422699999999999</v>
      </c>
      <c r="H33" s="14">
        <f>23.2859 * CHOOSE(CONTROL!$C$9, $D$9, 100%, $F$9) + CHOOSE(CONTROL!$C$27, 0.0021, 0)</f>
        <v>23.288</v>
      </c>
      <c r="I33" s="14">
        <f>23.2859 * CHOOSE(CONTROL!$C$9, $D$9, 100%, $F$9) + CHOOSE(CONTROL!$C$27, 0.0021, 0)</f>
        <v>23.288</v>
      </c>
      <c r="J33" s="14">
        <f>22.9257 * CHOOSE(CONTROL!$C$9, $D$9, 100%, $F$9) + CHOOSE(CONTROL!$C$27, 0.0021, 0)</f>
        <v>22.927799999999998</v>
      </c>
      <c r="K33" s="14">
        <f>23.2859 * CHOOSE(CONTROL!$C$9, $D$9, 100%, $F$9) + CHOOSE(CONTROL!$C$27, 0.0021, 0)</f>
        <v>23.288</v>
      </c>
      <c r="L33" s="14"/>
      <c r="M33" s="35"/>
      <c r="N33" s="35"/>
      <c r="O33" s="35"/>
      <c r="P33" s="35"/>
      <c r="Q33" s="35"/>
    </row>
    <row r="34" spans="1:17" ht="15" x14ac:dyDescent="0.2">
      <c r="A34" s="13">
        <v>41944</v>
      </c>
      <c r="B34" s="14">
        <f>23.6807 * CHOOSE(CONTROL!$C$9, $D$9, 100%, $F$9) + CHOOSE(CONTROL!$C$27, 0.0021, 0)</f>
        <v>23.6828</v>
      </c>
      <c r="C34" s="14">
        <f>23.2484 * CHOOSE(CONTROL!$C$9, $D$9, 100%, $F$9) + CHOOSE(CONTROL!$C$27, 0.0021, 0)</f>
        <v>23.250499999999999</v>
      </c>
      <c r="D34" s="14">
        <f>23.2484 * CHOOSE(CONTROL!$C$9, $D$9, 100%, $F$9) + CHOOSE(CONTROL!$C$27, 0.0021, 0)</f>
        <v>23.250499999999999</v>
      </c>
      <c r="E34" s="14">
        <f>23.1117 * CHOOSE(CONTROL!$C$9, $D$9, 100%, $F$9) + CHOOSE(CONTROL!$C$27, 0.0021, 0)</f>
        <v>23.113799999999998</v>
      </c>
      <c r="F34" s="14">
        <f>23.1117 * CHOOSE(CONTROL!$C$9, $D$9, 100%, $F$9) + CHOOSE(CONTROL!$C$27, 0.0021, 0)</f>
        <v>23.113799999999998</v>
      </c>
      <c r="G34" s="14">
        <f>23.3831 * CHOOSE(CONTROL!$C$9, $D$9, 100%, $F$9) + CHOOSE(CONTROL!$C$27, 0.0021, 0)</f>
        <v>23.385199999999998</v>
      </c>
      <c r="H34" s="14">
        <f>23.2484 * CHOOSE(CONTROL!$C$9, $D$9, 100%, $F$9) + CHOOSE(CONTROL!$C$27, 0.0021, 0)</f>
        <v>23.250499999999999</v>
      </c>
      <c r="I34" s="14">
        <f>23.2484 * CHOOSE(CONTROL!$C$9, $D$9, 100%, $F$9) + CHOOSE(CONTROL!$C$27, 0.0021, 0)</f>
        <v>23.250499999999999</v>
      </c>
      <c r="J34" s="14">
        <f>22.8882 * CHOOSE(CONTROL!$C$9, $D$9, 100%, $F$9) + CHOOSE(CONTROL!$C$27, 0.0021, 0)</f>
        <v>22.8903</v>
      </c>
      <c r="K34" s="14">
        <f>23.2484 * CHOOSE(CONTROL!$C$9, $D$9, 100%, $F$9) + CHOOSE(CONTROL!$C$27, 0.0021, 0)</f>
        <v>23.250499999999999</v>
      </c>
      <c r="L34" s="14"/>
      <c r="M34" s="35"/>
      <c r="N34" s="35"/>
      <c r="O34" s="35"/>
      <c r="P34" s="35"/>
      <c r="Q34" s="35"/>
    </row>
    <row r="35" spans="1:17" ht="15" x14ac:dyDescent="0.2">
      <c r="A35" s="13">
        <v>41974</v>
      </c>
      <c r="B35" s="14">
        <f>23.641 * CHOOSE(CONTROL!$C$9, $D$9, 100%, $F$9) + CHOOSE(CONTROL!$C$27, 0.0021, 0)</f>
        <v>23.643099999999997</v>
      </c>
      <c r="C35" s="14">
        <f>23.2088 * CHOOSE(CONTROL!$C$9, $D$9, 100%, $F$9) + CHOOSE(CONTROL!$C$27, 0.0021, 0)</f>
        <v>23.210899999999999</v>
      </c>
      <c r="D35" s="14">
        <f>23.2088 * CHOOSE(CONTROL!$C$9, $D$9, 100%, $F$9) + CHOOSE(CONTROL!$C$27, 0.0021, 0)</f>
        <v>23.210899999999999</v>
      </c>
      <c r="E35" s="14">
        <f>23.0721 * CHOOSE(CONTROL!$C$9, $D$9, 100%, $F$9) + CHOOSE(CONTROL!$C$27, 0.0021, 0)</f>
        <v>23.074199999999998</v>
      </c>
      <c r="F35" s="14">
        <f>23.0721 * CHOOSE(CONTROL!$C$9, $D$9, 100%, $F$9) + CHOOSE(CONTROL!$C$27, 0.0021, 0)</f>
        <v>23.074199999999998</v>
      </c>
      <c r="G35" s="14">
        <f>23.3435 * CHOOSE(CONTROL!$C$9, $D$9, 100%, $F$9) + CHOOSE(CONTROL!$C$27, 0.0021, 0)</f>
        <v>23.345599999999997</v>
      </c>
      <c r="H35" s="14">
        <f>23.2088 * CHOOSE(CONTROL!$C$9, $D$9, 100%, $F$9) + CHOOSE(CONTROL!$C$27, 0.0021, 0)</f>
        <v>23.210899999999999</v>
      </c>
      <c r="I35" s="14">
        <f>23.2088 * CHOOSE(CONTROL!$C$9, $D$9, 100%, $F$9) + CHOOSE(CONTROL!$C$27, 0.0021, 0)</f>
        <v>23.210899999999999</v>
      </c>
      <c r="J35" s="14">
        <f>22.8486 * CHOOSE(CONTROL!$C$9, $D$9, 100%, $F$9) + CHOOSE(CONTROL!$C$27, 0.0021, 0)</f>
        <v>22.8507</v>
      </c>
      <c r="K35" s="14">
        <f>23.2088 * CHOOSE(CONTROL!$C$9, $D$9, 100%, $F$9) + CHOOSE(CONTROL!$C$27, 0.0021, 0)</f>
        <v>23.210899999999999</v>
      </c>
      <c r="L35" s="14"/>
      <c r="M35" s="35"/>
      <c r="N35" s="35"/>
      <c r="O35" s="35"/>
      <c r="P35" s="35"/>
      <c r="Q35" s="35"/>
    </row>
    <row r="36" spans="1:17" ht="15" x14ac:dyDescent="0.2">
      <c r="A36" s="13">
        <v>42005</v>
      </c>
      <c r="B36" s="14">
        <f>23.5906 * CHOOSE(CONTROL!$C$9, $D$9, 100%, $F$9) + CHOOSE(CONTROL!$C$27, 0.0021, 0)</f>
        <v>23.592699999999997</v>
      </c>
      <c r="C36" s="14">
        <f>23.1584 * CHOOSE(CONTROL!$C$9, $D$9, 100%, $F$9) + CHOOSE(CONTROL!$C$27, 0.0021, 0)</f>
        <v>23.160499999999999</v>
      </c>
      <c r="D36" s="14">
        <f>23.1584 * CHOOSE(CONTROL!$C$9, $D$9, 100%, $F$9) + CHOOSE(CONTROL!$C$27, 0.0021, 0)</f>
        <v>23.160499999999999</v>
      </c>
      <c r="E36" s="14">
        <f>23.0217 * CHOOSE(CONTROL!$C$9, $D$9, 100%, $F$9) + CHOOSE(CONTROL!$C$27, 0.0021, 0)</f>
        <v>23.023799999999998</v>
      </c>
      <c r="F36" s="14">
        <f>23.0217 * CHOOSE(CONTROL!$C$9, $D$9, 100%, $F$9) + CHOOSE(CONTROL!$C$27, 0.0021, 0)</f>
        <v>23.023799999999998</v>
      </c>
      <c r="G36" s="14">
        <f>23.2931 * CHOOSE(CONTROL!$C$9, $D$9, 100%, $F$9) + CHOOSE(CONTROL!$C$27, 0.0021, 0)</f>
        <v>23.295199999999998</v>
      </c>
      <c r="H36" s="14">
        <f>23.1584 * CHOOSE(CONTROL!$C$9, $D$9, 100%, $F$9) + CHOOSE(CONTROL!$C$27, 0.0021, 0)</f>
        <v>23.160499999999999</v>
      </c>
      <c r="I36" s="14">
        <f>23.1584 * CHOOSE(CONTROL!$C$9, $D$9, 100%, $F$9) + CHOOSE(CONTROL!$C$27, 0.0021, 0)</f>
        <v>23.160499999999999</v>
      </c>
      <c r="J36" s="14">
        <f>23.1584 * CHOOSE(CONTROL!$C$9, $D$9, 100%, $F$9) + CHOOSE(CONTROL!$C$27, 0.0021, 0)</f>
        <v>23.160499999999999</v>
      </c>
      <c r="K36" s="14">
        <f>23.1584 * CHOOSE(CONTROL!$C$9, $D$9, 100%, $F$9) + CHOOSE(CONTROL!$C$27, 0.0021, 0)</f>
        <v>23.160499999999999</v>
      </c>
      <c r="L36" s="14"/>
      <c r="M36" s="35"/>
      <c r="N36" s="35"/>
      <c r="O36" s="35"/>
      <c r="P36" s="35"/>
      <c r="Q36" s="35"/>
    </row>
    <row r="37" spans="1:17" ht="15" x14ac:dyDescent="0.2">
      <c r="A37" s="13">
        <v>42036</v>
      </c>
      <c r="B37" s="14">
        <f>23.5114 * CHOOSE(CONTROL!$C$9, $D$9, 100%, $F$9) + CHOOSE(CONTROL!$C$27, 0.0021, 0)</f>
        <v>23.513499999999997</v>
      </c>
      <c r="C37" s="14">
        <f>23.0791 * CHOOSE(CONTROL!$C$9, $D$9, 100%, $F$9) + CHOOSE(CONTROL!$C$27, 0.0021, 0)</f>
        <v>23.081199999999999</v>
      </c>
      <c r="D37" s="14">
        <f>23.0791 * CHOOSE(CONTROL!$C$9, $D$9, 100%, $F$9) + CHOOSE(CONTROL!$C$27, 0.0021, 0)</f>
        <v>23.081199999999999</v>
      </c>
      <c r="E37" s="14">
        <f>22.9424 * CHOOSE(CONTROL!$C$9, $D$9, 100%, $F$9) + CHOOSE(CONTROL!$C$27, 0.0021, 0)</f>
        <v>22.944499999999998</v>
      </c>
      <c r="F37" s="14">
        <f>22.9424 * CHOOSE(CONTROL!$C$9, $D$9, 100%, $F$9) + CHOOSE(CONTROL!$C$27, 0.0021, 0)</f>
        <v>22.944499999999998</v>
      </c>
      <c r="G37" s="14">
        <f>23.2138 * CHOOSE(CONTROL!$C$9, $D$9, 100%, $F$9) + CHOOSE(CONTROL!$C$27, 0.0021, 0)</f>
        <v>23.215899999999998</v>
      </c>
      <c r="H37" s="14">
        <f>23.0791 * CHOOSE(CONTROL!$C$9, $D$9, 100%, $F$9) + CHOOSE(CONTROL!$C$27, 0.0021, 0)</f>
        <v>23.081199999999999</v>
      </c>
      <c r="I37" s="14">
        <f>23.0791 * CHOOSE(CONTROL!$C$9, $D$9, 100%, $F$9) + CHOOSE(CONTROL!$C$27, 0.0021, 0)</f>
        <v>23.081199999999999</v>
      </c>
      <c r="J37" s="14">
        <f>23.0791 * CHOOSE(CONTROL!$C$9, $D$9, 100%, $F$9) + CHOOSE(CONTROL!$C$27, 0.0021, 0)</f>
        <v>23.081199999999999</v>
      </c>
      <c r="K37" s="14">
        <f>23.0791 * CHOOSE(CONTROL!$C$9, $D$9, 100%, $F$9) + CHOOSE(CONTROL!$C$27, 0.0021, 0)</f>
        <v>23.081199999999999</v>
      </c>
      <c r="L37" s="14"/>
      <c r="M37" s="35"/>
      <c r="N37" s="35"/>
      <c r="O37" s="35"/>
      <c r="P37" s="35"/>
      <c r="Q37" s="35"/>
    </row>
    <row r="38" spans="1:17" ht="15" x14ac:dyDescent="0.2">
      <c r="A38" s="13">
        <v>42064</v>
      </c>
      <c r="B38" s="14">
        <f>23.4177 * CHOOSE(CONTROL!$C$9, $D$9, 100%, $F$9) + CHOOSE(CONTROL!$C$27, 0.0021, 0)</f>
        <v>23.419799999999999</v>
      </c>
      <c r="C38" s="14">
        <f>22.9855 * CHOOSE(CONTROL!$C$9, $D$9, 100%, $F$9) + CHOOSE(CONTROL!$C$27, 0.0021, 0)</f>
        <v>22.987599999999997</v>
      </c>
      <c r="D38" s="14">
        <f>22.9855 * CHOOSE(CONTROL!$C$9, $D$9, 100%, $F$9) + CHOOSE(CONTROL!$C$27, 0.0021, 0)</f>
        <v>22.987599999999997</v>
      </c>
      <c r="E38" s="14">
        <f>22.8488 * CHOOSE(CONTROL!$C$9, $D$9, 100%, $F$9) + CHOOSE(CONTROL!$C$27, 0.0021, 0)</f>
        <v>22.850899999999999</v>
      </c>
      <c r="F38" s="14">
        <f>22.8488 * CHOOSE(CONTROL!$C$9, $D$9, 100%, $F$9) + CHOOSE(CONTROL!$C$27, 0.0021, 0)</f>
        <v>22.850899999999999</v>
      </c>
      <c r="G38" s="14">
        <f>23.1202 * CHOOSE(CONTROL!$C$9, $D$9, 100%, $F$9) + CHOOSE(CONTROL!$C$27, 0.0021, 0)</f>
        <v>23.122299999999999</v>
      </c>
      <c r="H38" s="14">
        <f>22.9855 * CHOOSE(CONTROL!$C$9, $D$9, 100%, $F$9) + CHOOSE(CONTROL!$C$27, 0.0021, 0)</f>
        <v>22.987599999999997</v>
      </c>
      <c r="I38" s="14">
        <f>22.9855 * CHOOSE(CONTROL!$C$9, $D$9, 100%, $F$9) + CHOOSE(CONTROL!$C$27, 0.0021, 0)</f>
        <v>22.987599999999997</v>
      </c>
      <c r="J38" s="14">
        <f>22.9855 * CHOOSE(CONTROL!$C$9, $D$9, 100%, $F$9) + CHOOSE(CONTROL!$C$27, 0.0021, 0)</f>
        <v>22.987599999999997</v>
      </c>
      <c r="K38" s="14">
        <f>22.9855 * CHOOSE(CONTROL!$C$9, $D$9, 100%, $F$9) + CHOOSE(CONTROL!$C$27, 0.0021, 0)</f>
        <v>22.987599999999997</v>
      </c>
      <c r="L38" s="14"/>
      <c r="M38" s="35"/>
      <c r="N38" s="35"/>
      <c r="O38" s="35"/>
      <c r="P38" s="35"/>
      <c r="Q38" s="35"/>
    </row>
    <row r="39" spans="1:17" ht="15" x14ac:dyDescent="0.2">
      <c r="A39" s="13">
        <v>42095</v>
      </c>
      <c r="B39" s="14">
        <f>23.2556 * CHOOSE(CONTROL!$C$9, $D$9, 100%, $F$9) + CHOOSE(CONTROL!$C$27, 0.0021, 0)</f>
        <v>23.2577</v>
      </c>
      <c r="C39" s="14">
        <f>22.8234 * CHOOSE(CONTROL!$C$9, $D$9, 100%, $F$9) + CHOOSE(CONTROL!$C$27, 0.0021, 0)</f>
        <v>22.825499999999998</v>
      </c>
      <c r="D39" s="14">
        <f>22.8234 * CHOOSE(CONTROL!$C$9, $D$9, 100%, $F$9) + CHOOSE(CONTROL!$C$27, 0.0021, 0)</f>
        <v>22.825499999999998</v>
      </c>
      <c r="E39" s="14">
        <f>22.6867 * CHOOSE(CONTROL!$C$9, $D$9, 100%, $F$9) + CHOOSE(CONTROL!$C$27, 0.0021, 0)</f>
        <v>22.688799999999997</v>
      </c>
      <c r="F39" s="14">
        <f>22.6867 * CHOOSE(CONTROL!$C$9, $D$9, 100%, $F$9) + CHOOSE(CONTROL!$C$27, 0.0021, 0)</f>
        <v>22.688799999999997</v>
      </c>
      <c r="G39" s="14">
        <f>22.9581 * CHOOSE(CONTROL!$C$9, $D$9, 100%, $F$9) + CHOOSE(CONTROL!$C$27, 0.0021, 0)</f>
        <v>22.9602</v>
      </c>
      <c r="H39" s="14">
        <f>22.8234 * CHOOSE(CONTROL!$C$9, $D$9, 100%, $F$9) + CHOOSE(CONTROL!$C$27, 0.0021, 0)</f>
        <v>22.825499999999998</v>
      </c>
      <c r="I39" s="14">
        <f>22.8234 * CHOOSE(CONTROL!$C$9, $D$9, 100%, $F$9) + CHOOSE(CONTROL!$C$27, 0.0021, 0)</f>
        <v>22.825499999999998</v>
      </c>
      <c r="J39" s="14">
        <f>22.8234 * CHOOSE(CONTROL!$C$9, $D$9, 100%, $F$9) + CHOOSE(CONTROL!$C$27, 0.0021, 0)</f>
        <v>22.825499999999998</v>
      </c>
      <c r="K39" s="14">
        <f>22.8234 * CHOOSE(CONTROL!$C$9, $D$9, 100%, $F$9) + CHOOSE(CONTROL!$C$27, 0.0021, 0)</f>
        <v>22.825499999999998</v>
      </c>
      <c r="L39" s="14"/>
      <c r="M39" s="35"/>
      <c r="N39" s="35"/>
      <c r="O39" s="35"/>
      <c r="P39" s="35"/>
      <c r="Q39" s="35"/>
    </row>
    <row r="40" spans="1:17" ht="15" x14ac:dyDescent="0.2">
      <c r="A40" s="13">
        <v>42125</v>
      </c>
      <c r="B40" s="14">
        <f>23.0611 * CHOOSE(CONTROL!$C$9, $D$9, 100%, $F$9) + CHOOSE(CONTROL!$C$27, 0.0021, 0)</f>
        <v>23.063199999999998</v>
      </c>
      <c r="C40" s="14">
        <f>22.6289 * CHOOSE(CONTROL!$C$9, $D$9, 100%, $F$9) + CHOOSE(CONTROL!$C$27, 0.0021, 0)</f>
        <v>22.631</v>
      </c>
      <c r="D40" s="14">
        <f>22.6289 * CHOOSE(CONTROL!$C$9, $D$9, 100%, $F$9) + CHOOSE(CONTROL!$C$27, 0.0021, 0)</f>
        <v>22.631</v>
      </c>
      <c r="E40" s="14">
        <f>22.4922 * CHOOSE(CONTROL!$C$9, $D$9, 100%, $F$9) + CHOOSE(CONTROL!$C$27, 0.0021, 0)</f>
        <v>22.494299999999999</v>
      </c>
      <c r="F40" s="14">
        <f>22.4922 * CHOOSE(CONTROL!$C$9, $D$9, 100%, $F$9) + CHOOSE(CONTROL!$C$27, 0.0021, 0)</f>
        <v>22.494299999999999</v>
      </c>
      <c r="G40" s="14">
        <f>22.7636 * CHOOSE(CONTROL!$C$9, $D$9, 100%, $F$9) + CHOOSE(CONTROL!$C$27, 0.0021, 0)</f>
        <v>22.765699999999999</v>
      </c>
      <c r="H40" s="14">
        <f>22.6289 * CHOOSE(CONTROL!$C$9, $D$9, 100%, $F$9) + CHOOSE(CONTROL!$C$27, 0.0021, 0)</f>
        <v>22.631</v>
      </c>
      <c r="I40" s="14">
        <f>22.6289 * CHOOSE(CONTROL!$C$9, $D$9, 100%, $F$9) + CHOOSE(CONTROL!$C$27, 0.0021, 0)</f>
        <v>22.631</v>
      </c>
      <c r="J40" s="14">
        <f>22.6289 * CHOOSE(CONTROL!$C$9, $D$9, 100%, $F$9) + CHOOSE(CONTROL!$C$27, 0.0021, 0)</f>
        <v>22.631</v>
      </c>
      <c r="K40" s="14">
        <f>22.6289 * CHOOSE(CONTROL!$C$9, $D$9, 100%, $F$9) + CHOOSE(CONTROL!$C$27, 0.0021, 0)</f>
        <v>22.631</v>
      </c>
      <c r="L40" s="14"/>
      <c r="M40" s="35"/>
      <c r="N40" s="35"/>
      <c r="O40" s="35"/>
      <c r="P40" s="35"/>
      <c r="Q40" s="35"/>
    </row>
    <row r="41" spans="1:17" ht="15" x14ac:dyDescent="0.2">
      <c r="A41" s="13">
        <v>42156</v>
      </c>
      <c r="B41" s="14">
        <f>22.8738 * CHOOSE(CONTROL!$C$9, $D$9, 100%, $F$9) + CHOOSE(CONTROL!$C$27, 0.0021, 0)</f>
        <v>22.875899999999998</v>
      </c>
      <c r="C41" s="14">
        <f>22.4415 * CHOOSE(CONTROL!$C$9, $D$9, 100%, $F$9) + CHOOSE(CONTROL!$C$27, 0.0021, 0)</f>
        <v>22.4436</v>
      </c>
      <c r="D41" s="14">
        <f>22.4415 * CHOOSE(CONTROL!$C$9, $D$9, 100%, $F$9) + CHOOSE(CONTROL!$C$27, 0.0021, 0)</f>
        <v>22.4436</v>
      </c>
      <c r="E41" s="14">
        <f>22.3049 * CHOOSE(CONTROL!$C$9, $D$9, 100%, $F$9) + CHOOSE(CONTROL!$C$27, 0.0021, 0)</f>
        <v>22.306999999999999</v>
      </c>
      <c r="F41" s="14">
        <f>22.3049 * CHOOSE(CONTROL!$C$9, $D$9, 100%, $F$9) + CHOOSE(CONTROL!$C$27, 0.0021, 0)</f>
        <v>22.306999999999999</v>
      </c>
      <c r="G41" s="14">
        <f>22.5763 * CHOOSE(CONTROL!$C$9, $D$9, 100%, $F$9) + CHOOSE(CONTROL!$C$27, 0.0021, 0)</f>
        <v>22.578399999999998</v>
      </c>
      <c r="H41" s="14">
        <f>22.4415 * CHOOSE(CONTROL!$C$9, $D$9, 100%, $F$9) + CHOOSE(CONTROL!$C$27, 0.0021, 0)</f>
        <v>22.4436</v>
      </c>
      <c r="I41" s="14">
        <f>22.4415 * CHOOSE(CONTROL!$C$9, $D$9, 100%, $F$9) + CHOOSE(CONTROL!$C$27, 0.0021, 0)</f>
        <v>22.4436</v>
      </c>
      <c r="J41" s="14">
        <f>22.4415 * CHOOSE(CONTROL!$C$9, $D$9, 100%, $F$9) + CHOOSE(CONTROL!$C$27, 0.0021, 0)</f>
        <v>22.4436</v>
      </c>
      <c r="K41" s="14">
        <f>22.4415 * CHOOSE(CONTROL!$C$9, $D$9, 100%, $F$9) + CHOOSE(CONTROL!$C$27, 0.0021, 0)</f>
        <v>22.4436</v>
      </c>
      <c r="L41" s="14"/>
      <c r="M41" s="35"/>
      <c r="N41" s="35"/>
      <c r="O41" s="35"/>
      <c r="P41" s="35"/>
      <c r="Q41" s="35"/>
    </row>
    <row r="42" spans="1:17" ht="15" x14ac:dyDescent="0.2">
      <c r="A42" s="13">
        <v>42186</v>
      </c>
      <c r="B42" s="14">
        <f>22.7801 * CHOOSE(CONTROL!$C$9, $D$9, 100%, $F$9) + CHOOSE(CONTROL!$C$27, 0.0021, 0)</f>
        <v>22.7822</v>
      </c>
      <c r="C42" s="14">
        <f>22.3479 * CHOOSE(CONTROL!$C$9, $D$9, 100%, $F$9) + CHOOSE(CONTROL!$C$27, 0.0021, 0)</f>
        <v>22.349999999999998</v>
      </c>
      <c r="D42" s="14">
        <f>22.3479 * CHOOSE(CONTROL!$C$9, $D$9, 100%, $F$9) + CHOOSE(CONTROL!$C$27, 0.0021, 0)</f>
        <v>22.349999999999998</v>
      </c>
      <c r="E42" s="14">
        <f>22.2112 * CHOOSE(CONTROL!$C$9, $D$9, 100%, $F$9) + CHOOSE(CONTROL!$C$27, 0.0021, 0)</f>
        <v>22.2133</v>
      </c>
      <c r="F42" s="14">
        <f>22.2112 * CHOOSE(CONTROL!$C$9, $D$9, 100%, $F$9) + CHOOSE(CONTROL!$C$27, 0.0021, 0)</f>
        <v>22.2133</v>
      </c>
      <c r="G42" s="14">
        <f>22.4826 * CHOOSE(CONTROL!$C$9, $D$9, 100%, $F$9) + CHOOSE(CONTROL!$C$27, 0.0021, 0)</f>
        <v>22.4847</v>
      </c>
      <c r="H42" s="14">
        <f>22.3479 * CHOOSE(CONTROL!$C$9, $D$9, 100%, $F$9) + CHOOSE(CONTROL!$C$27, 0.0021, 0)</f>
        <v>22.349999999999998</v>
      </c>
      <c r="I42" s="14">
        <f>22.3479 * CHOOSE(CONTROL!$C$9, $D$9, 100%, $F$9) + CHOOSE(CONTROL!$C$27, 0.0021, 0)</f>
        <v>22.349999999999998</v>
      </c>
      <c r="J42" s="14">
        <f>22.3479 * CHOOSE(CONTROL!$C$9, $D$9, 100%, $F$9) + CHOOSE(CONTROL!$C$27, 0.0021, 0)</f>
        <v>22.349999999999998</v>
      </c>
      <c r="K42" s="14">
        <f>22.3479 * CHOOSE(CONTROL!$C$9, $D$9, 100%, $F$9) + CHOOSE(CONTROL!$C$27, 0.0021, 0)</f>
        <v>22.349999999999998</v>
      </c>
      <c r="L42" s="14"/>
      <c r="M42" s="35"/>
      <c r="N42" s="35"/>
      <c r="O42" s="35"/>
      <c r="P42" s="35"/>
      <c r="Q42" s="35"/>
    </row>
    <row r="43" spans="1:17" ht="15" x14ac:dyDescent="0.2">
      <c r="A43" s="13">
        <v>42217</v>
      </c>
      <c r="B43" s="14">
        <f>22.6865 * CHOOSE(CONTROL!$C$9, $D$9, 100%, $F$9) + CHOOSE(CONTROL!$C$27, 0.0021, 0)</f>
        <v>22.688599999999997</v>
      </c>
      <c r="C43" s="14">
        <f>22.2542 * CHOOSE(CONTROL!$C$9, $D$9, 100%, $F$9) + CHOOSE(CONTROL!$C$27, 0.0021, 0)</f>
        <v>22.2563</v>
      </c>
      <c r="D43" s="14">
        <f>22.2542 * CHOOSE(CONTROL!$C$9, $D$9, 100%, $F$9) + CHOOSE(CONTROL!$C$27, 0.0021, 0)</f>
        <v>22.2563</v>
      </c>
      <c r="E43" s="14">
        <f>22.1176 * CHOOSE(CONTROL!$C$9, $D$9, 100%, $F$9) + CHOOSE(CONTROL!$C$27, 0.0021, 0)</f>
        <v>22.119699999999998</v>
      </c>
      <c r="F43" s="14">
        <f>22.1176 * CHOOSE(CONTROL!$C$9, $D$9, 100%, $F$9) + CHOOSE(CONTROL!$C$27, 0.0021, 0)</f>
        <v>22.119699999999998</v>
      </c>
      <c r="G43" s="14">
        <f>22.389 * CHOOSE(CONTROL!$C$9, $D$9, 100%, $F$9) + CHOOSE(CONTROL!$C$27, 0.0021, 0)</f>
        <v>22.391099999999998</v>
      </c>
      <c r="H43" s="14">
        <f>22.2542 * CHOOSE(CONTROL!$C$9, $D$9, 100%, $F$9) + CHOOSE(CONTROL!$C$27, 0.0021, 0)</f>
        <v>22.2563</v>
      </c>
      <c r="I43" s="14">
        <f>22.2542 * CHOOSE(CONTROL!$C$9, $D$9, 100%, $F$9) + CHOOSE(CONTROL!$C$27, 0.0021, 0)</f>
        <v>22.2563</v>
      </c>
      <c r="J43" s="14">
        <f>22.2542 * CHOOSE(CONTROL!$C$9, $D$9, 100%, $F$9) + CHOOSE(CONTROL!$C$27, 0.0021, 0)</f>
        <v>22.2563</v>
      </c>
      <c r="K43" s="14">
        <f>22.2542 * CHOOSE(CONTROL!$C$9, $D$9, 100%, $F$9) + CHOOSE(CONTROL!$C$27, 0.0021, 0)</f>
        <v>22.2563</v>
      </c>
      <c r="L43" s="14"/>
      <c r="M43" s="35"/>
      <c r="N43" s="35"/>
      <c r="O43" s="35"/>
      <c r="P43" s="35"/>
      <c r="Q43" s="35"/>
    </row>
    <row r="44" spans="1:17" ht="15" x14ac:dyDescent="0.2">
      <c r="A44" s="13">
        <v>42248</v>
      </c>
      <c r="B44" s="14">
        <f>22.5928 * CHOOSE(CONTROL!$C$9, $D$9, 100%, $F$9) + CHOOSE(CONTROL!$C$27, 0.0021, 0)</f>
        <v>22.594899999999999</v>
      </c>
      <c r="C44" s="14">
        <f>22.1606 * CHOOSE(CONTROL!$C$9, $D$9, 100%, $F$9) + CHOOSE(CONTROL!$C$27, 0.0021, 0)</f>
        <v>22.162699999999997</v>
      </c>
      <c r="D44" s="14">
        <f>22.1606 * CHOOSE(CONTROL!$C$9, $D$9, 100%, $F$9) + CHOOSE(CONTROL!$C$27, 0.0021, 0)</f>
        <v>22.162699999999997</v>
      </c>
      <c r="E44" s="14">
        <f>22.0239 * CHOOSE(CONTROL!$C$9, $D$9, 100%, $F$9) + CHOOSE(CONTROL!$C$27, 0.0021, 0)</f>
        <v>22.026</v>
      </c>
      <c r="F44" s="14">
        <f>22.0239 * CHOOSE(CONTROL!$C$9, $D$9, 100%, $F$9) + CHOOSE(CONTROL!$C$27, 0.0021, 0)</f>
        <v>22.026</v>
      </c>
      <c r="G44" s="14">
        <f>22.2953 * CHOOSE(CONTROL!$C$9, $D$9, 100%, $F$9) + CHOOSE(CONTROL!$C$27, 0.0021, 0)</f>
        <v>22.2974</v>
      </c>
      <c r="H44" s="14">
        <f>22.1606 * CHOOSE(CONTROL!$C$9, $D$9, 100%, $F$9) + CHOOSE(CONTROL!$C$27, 0.0021, 0)</f>
        <v>22.162699999999997</v>
      </c>
      <c r="I44" s="14">
        <f>22.1606 * CHOOSE(CONTROL!$C$9, $D$9, 100%, $F$9) + CHOOSE(CONTROL!$C$27, 0.0021, 0)</f>
        <v>22.162699999999997</v>
      </c>
      <c r="J44" s="14">
        <f>22.1606 * CHOOSE(CONTROL!$C$9, $D$9, 100%, $F$9) + CHOOSE(CONTROL!$C$27, 0.0021, 0)</f>
        <v>22.162699999999997</v>
      </c>
      <c r="K44" s="14">
        <f>22.1606 * CHOOSE(CONTROL!$C$9, $D$9, 100%, $F$9) + CHOOSE(CONTROL!$C$27, 0.0021, 0)</f>
        <v>22.162699999999997</v>
      </c>
      <c r="L44" s="14"/>
      <c r="M44" s="35"/>
      <c r="N44" s="35"/>
      <c r="O44" s="35"/>
      <c r="P44" s="35"/>
      <c r="Q44" s="35"/>
    </row>
    <row r="45" spans="1:17" ht="15" x14ac:dyDescent="0.2">
      <c r="A45" s="13">
        <v>42278</v>
      </c>
      <c r="B45" s="14">
        <f>22.4956 * CHOOSE(CONTROL!$C$9, $D$9, 100%, $F$9) + CHOOSE(CONTROL!$C$27, 0.0021, 0)</f>
        <v>22.497699999999998</v>
      </c>
      <c r="C45" s="14">
        <f>22.0633 * CHOOSE(CONTROL!$C$9, $D$9, 100%, $F$9) + CHOOSE(CONTROL!$C$27, 0.0021, 0)</f>
        <v>22.0654</v>
      </c>
      <c r="D45" s="14">
        <f>22.0633 * CHOOSE(CONTROL!$C$9, $D$9, 100%, $F$9) + CHOOSE(CONTROL!$C$27, 0.0021, 0)</f>
        <v>22.0654</v>
      </c>
      <c r="E45" s="14">
        <f>21.9267 * CHOOSE(CONTROL!$C$9, $D$9, 100%, $F$9) + CHOOSE(CONTROL!$C$27, 0.0021, 0)</f>
        <v>21.928799999999999</v>
      </c>
      <c r="F45" s="14">
        <f>21.9267 * CHOOSE(CONTROL!$C$9, $D$9, 100%, $F$9) + CHOOSE(CONTROL!$C$27, 0.0021, 0)</f>
        <v>21.928799999999999</v>
      </c>
      <c r="G45" s="14">
        <f>22.198 * CHOOSE(CONTROL!$C$9, $D$9, 100%, $F$9) + CHOOSE(CONTROL!$C$27, 0.0021, 0)</f>
        <v>22.200099999999999</v>
      </c>
      <c r="H45" s="14">
        <f>22.0633 * CHOOSE(CONTROL!$C$9, $D$9, 100%, $F$9) + CHOOSE(CONTROL!$C$27, 0.0021, 0)</f>
        <v>22.0654</v>
      </c>
      <c r="I45" s="14">
        <f>22.0633 * CHOOSE(CONTROL!$C$9, $D$9, 100%, $F$9) + CHOOSE(CONTROL!$C$27, 0.0021, 0)</f>
        <v>22.0654</v>
      </c>
      <c r="J45" s="14">
        <f>22.0633 * CHOOSE(CONTROL!$C$9, $D$9, 100%, $F$9) + CHOOSE(CONTROL!$C$27, 0.0021, 0)</f>
        <v>22.0654</v>
      </c>
      <c r="K45" s="14">
        <f>22.0633 * CHOOSE(CONTROL!$C$9, $D$9, 100%, $F$9) + CHOOSE(CONTROL!$C$27, 0.0021, 0)</f>
        <v>22.0654</v>
      </c>
      <c r="L45" s="14"/>
      <c r="M45" s="35"/>
      <c r="N45" s="35"/>
      <c r="O45" s="35"/>
      <c r="P45" s="35"/>
      <c r="Q45" s="35"/>
    </row>
    <row r="46" spans="1:17" ht="15" x14ac:dyDescent="0.2">
      <c r="A46" s="13">
        <v>42309</v>
      </c>
      <c r="B46" s="14">
        <f>22.3983 * CHOOSE(CONTROL!$C$9, $D$9, 100%, $F$9) + CHOOSE(CONTROL!$C$27, 0.0021, 0)</f>
        <v>22.400399999999998</v>
      </c>
      <c r="C46" s="14">
        <f>21.9661 * CHOOSE(CONTROL!$C$9, $D$9, 100%, $F$9) + CHOOSE(CONTROL!$C$27, 0.0021, 0)</f>
        <v>21.9682</v>
      </c>
      <c r="D46" s="14">
        <f>21.9661 * CHOOSE(CONTROL!$C$9, $D$9, 100%, $F$9) + CHOOSE(CONTROL!$C$27, 0.0021, 0)</f>
        <v>21.9682</v>
      </c>
      <c r="E46" s="14">
        <f>21.8294 * CHOOSE(CONTROL!$C$9, $D$9, 100%, $F$9) + CHOOSE(CONTROL!$C$27, 0.0021, 0)</f>
        <v>21.831499999999998</v>
      </c>
      <c r="F46" s="14">
        <f>21.8294 * CHOOSE(CONTROL!$C$9, $D$9, 100%, $F$9) + CHOOSE(CONTROL!$C$27, 0.0021, 0)</f>
        <v>21.831499999999998</v>
      </c>
      <c r="G46" s="14">
        <f>22.1008 * CHOOSE(CONTROL!$C$9, $D$9, 100%, $F$9) + CHOOSE(CONTROL!$C$27, 0.0021, 0)</f>
        <v>22.102899999999998</v>
      </c>
      <c r="H46" s="14">
        <f>21.9661 * CHOOSE(CONTROL!$C$9, $D$9, 100%, $F$9) + CHOOSE(CONTROL!$C$27, 0.0021, 0)</f>
        <v>21.9682</v>
      </c>
      <c r="I46" s="14">
        <f>21.9661 * CHOOSE(CONTROL!$C$9, $D$9, 100%, $F$9) + CHOOSE(CONTROL!$C$27, 0.0021, 0)</f>
        <v>21.9682</v>
      </c>
      <c r="J46" s="14">
        <f>21.9661 * CHOOSE(CONTROL!$C$9, $D$9, 100%, $F$9) + CHOOSE(CONTROL!$C$27, 0.0021, 0)</f>
        <v>21.9682</v>
      </c>
      <c r="K46" s="14">
        <f>21.9661 * CHOOSE(CONTROL!$C$9, $D$9, 100%, $F$9) + CHOOSE(CONTROL!$C$27, 0.0021, 0)</f>
        <v>21.9682</v>
      </c>
      <c r="L46" s="14"/>
      <c r="M46" s="35"/>
      <c r="N46" s="35"/>
      <c r="O46" s="35"/>
      <c r="P46" s="35"/>
      <c r="Q46" s="35"/>
    </row>
    <row r="47" spans="1:17" ht="15" x14ac:dyDescent="0.2">
      <c r="A47" s="13">
        <v>42339</v>
      </c>
      <c r="B47" s="14">
        <f>22.3083 * CHOOSE(CONTROL!$C$9, $D$9, 100%, $F$9) + CHOOSE(CONTROL!$C$27, 0.0021, 0)</f>
        <v>22.310399999999998</v>
      </c>
      <c r="C47" s="14">
        <f>21.876 * CHOOSE(CONTROL!$C$9, $D$9, 100%, $F$9) + CHOOSE(CONTROL!$C$27, 0.0021, 0)</f>
        <v>21.8781</v>
      </c>
      <c r="D47" s="14">
        <f>21.876 * CHOOSE(CONTROL!$C$9, $D$9, 100%, $F$9) + CHOOSE(CONTROL!$C$27, 0.0021, 0)</f>
        <v>21.8781</v>
      </c>
      <c r="E47" s="14">
        <f>21.7394 * CHOOSE(CONTROL!$C$9, $D$9, 100%, $F$9) + CHOOSE(CONTROL!$C$27, 0.0021, 0)</f>
        <v>21.741499999999998</v>
      </c>
      <c r="F47" s="14">
        <f>21.7394 * CHOOSE(CONTROL!$C$9, $D$9, 100%, $F$9) + CHOOSE(CONTROL!$C$27, 0.0021, 0)</f>
        <v>21.741499999999998</v>
      </c>
      <c r="G47" s="14">
        <f>22.0107 * CHOOSE(CONTROL!$C$9, $D$9, 100%, $F$9) + CHOOSE(CONTROL!$C$27, 0.0021, 0)</f>
        <v>22.012799999999999</v>
      </c>
      <c r="H47" s="14">
        <f>21.876 * CHOOSE(CONTROL!$C$9, $D$9, 100%, $F$9) + CHOOSE(CONTROL!$C$27, 0.0021, 0)</f>
        <v>21.8781</v>
      </c>
      <c r="I47" s="14">
        <f>21.876 * CHOOSE(CONTROL!$C$9, $D$9, 100%, $F$9) + CHOOSE(CONTROL!$C$27, 0.0021, 0)</f>
        <v>21.8781</v>
      </c>
      <c r="J47" s="14">
        <f>21.876 * CHOOSE(CONTROL!$C$9, $D$9, 100%, $F$9) + CHOOSE(CONTROL!$C$27, 0.0021, 0)</f>
        <v>21.8781</v>
      </c>
      <c r="K47" s="14">
        <f>21.876 * CHOOSE(CONTROL!$C$9, $D$9, 100%, $F$9) + CHOOSE(CONTROL!$C$27, 0.0021, 0)</f>
        <v>21.8781</v>
      </c>
      <c r="L47" s="14"/>
      <c r="M47" s="35"/>
      <c r="N47" s="35"/>
      <c r="O47" s="35"/>
      <c r="P47" s="35"/>
      <c r="Q47" s="35"/>
    </row>
    <row r="48" spans="1:17" ht="15" x14ac:dyDescent="0.2">
      <c r="A48" s="13">
        <v>42370</v>
      </c>
      <c r="B48" s="14">
        <f>24.4956 * CHOOSE(CONTROL!$C$9, $D$9, 100%, $F$9) + CHOOSE(CONTROL!$C$27, 0.0021, 0)</f>
        <v>24.497699999999998</v>
      </c>
      <c r="C48" s="14">
        <f>24.0633 * CHOOSE(CONTROL!$C$9, $D$9, 100%, $F$9) + CHOOSE(CONTROL!$C$27, 0.0021, 0)</f>
        <v>24.0654</v>
      </c>
      <c r="D48" s="14">
        <f>24.0633 * CHOOSE(CONTROL!$C$9, $D$9, 100%, $F$9) + CHOOSE(CONTROL!$C$27, 0.0021, 0)</f>
        <v>24.0654</v>
      </c>
      <c r="E48" s="14">
        <f>23.9267 * CHOOSE(CONTROL!$C$9, $D$9, 100%, $F$9) + CHOOSE(CONTROL!$C$27, 0.0021, 0)</f>
        <v>23.928799999999999</v>
      </c>
      <c r="F48" s="14">
        <f>23.9267 * CHOOSE(CONTROL!$C$9, $D$9, 100%, $F$9) + CHOOSE(CONTROL!$C$27, 0.0021, 0)</f>
        <v>23.928799999999999</v>
      </c>
      <c r="G48" s="14">
        <f>24.1981 * CHOOSE(CONTROL!$C$9, $D$9, 100%, $F$9) + CHOOSE(CONTROL!$C$27, 0.0021, 0)</f>
        <v>24.200199999999999</v>
      </c>
      <c r="H48" s="14">
        <f>24.0633 * CHOOSE(CONTROL!$C$9, $D$9, 100%, $F$9) + CHOOSE(CONTROL!$C$27, 0.0021, 0)</f>
        <v>24.0654</v>
      </c>
      <c r="I48" s="14">
        <f>24.0633 * CHOOSE(CONTROL!$C$9, $D$9, 100%, $F$9) + CHOOSE(CONTROL!$C$27, 0.0021, 0)</f>
        <v>24.0654</v>
      </c>
      <c r="J48" s="14">
        <f>24.0633 * CHOOSE(CONTROL!$C$9, $D$9, 100%, $F$9) + CHOOSE(CONTROL!$C$27, 0.0021, 0)</f>
        <v>24.0654</v>
      </c>
      <c r="K48" s="14">
        <f>24.0633 * CHOOSE(CONTROL!$C$9, $D$9, 100%, $F$9) + CHOOSE(CONTROL!$C$27, 0.0021, 0)</f>
        <v>24.0654</v>
      </c>
      <c r="L48" s="14"/>
    </row>
    <row r="49" spans="1:12" ht="15" x14ac:dyDescent="0.2">
      <c r="A49" s="13">
        <v>42401</v>
      </c>
      <c r="B49" s="14">
        <f>23.912 * CHOOSE(CONTROL!$C$9, $D$9, 100%, $F$9) + CHOOSE(CONTROL!$C$27, 0.0021, 0)</f>
        <v>23.914099999999998</v>
      </c>
      <c r="C49" s="14">
        <f>23.4798 * CHOOSE(CONTROL!$C$9, $D$9, 100%, $F$9) + CHOOSE(CONTROL!$C$27, 0.0021, 0)</f>
        <v>23.4819</v>
      </c>
      <c r="D49" s="14">
        <f>23.4798 * CHOOSE(CONTROL!$C$9, $D$9, 100%, $F$9) + CHOOSE(CONTROL!$C$27, 0.0021, 0)</f>
        <v>23.4819</v>
      </c>
      <c r="E49" s="14">
        <f>23.3431 * CHOOSE(CONTROL!$C$9, $D$9, 100%, $F$9) + CHOOSE(CONTROL!$C$27, 0.0021, 0)</f>
        <v>23.345199999999998</v>
      </c>
      <c r="F49" s="14">
        <f>23.3431 * CHOOSE(CONTROL!$C$9, $D$9, 100%, $F$9) + CHOOSE(CONTROL!$C$27, 0.0021, 0)</f>
        <v>23.345199999999998</v>
      </c>
      <c r="G49" s="14">
        <f>23.6145 * CHOOSE(CONTROL!$C$9, $D$9, 100%, $F$9) + CHOOSE(CONTROL!$C$27, 0.0021, 0)</f>
        <v>23.616599999999998</v>
      </c>
      <c r="H49" s="14">
        <f>23.4798 * CHOOSE(CONTROL!$C$9, $D$9, 100%, $F$9) + CHOOSE(CONTROL!$C$27, 0.0021, 0)</f>
        <v>23.4819</v>
      </c>
      <c r="I49" s="14">
        <f>23.4798 * CHOOSE(CONTROL!$C$9, $D$9, 100%, $F$9) + CHOOSE(CONTROL!$C$27, 0.0021, 0)</f>
        <v>23.4819</v>
      </c>
      <c r="J49" s="14">
        <f>23.4798 * CHOOSE(CONTROL!$C$9, $D$9, 100%, $F$9) + CHOOSE(CONTROL!$C$27, 0.0021, 0)</f>
        <v>23.4819</v>
      </c>
      <c r="K49" s="14">
        <f>23.4798 * CHOOSE(CONTROL!$C$9, $D$9, 100%, $F$9) + CHOOSE(CONTROL!$C$27, 0.0021, 0)</f>
        <v>23.4819</v>
      </c>
      <c r="L49" s="14"/>
    </row>
    <row r="50" spans="1:12" ht="15" x14ac:dyDescent="0.2">
      <c r="A50" s="13">
        <v>42430</v>
      </c>
      <c r="B50" s="14">
        <f>23.6962 * CHOOSE(CONTROL!$C$9, $D$9, 100%, $F$9) + CHOOSE(CONTROL!$C$27, 0.0021, 0)</f>
        <v>23.6983</v>
      </c>
      <c r="C50" s="14">
        <f>23.264 * CHOOSE(CONTROL!$C$9, $D$9, 100%, $F$9) + CHOOSE(CONTROL!$C$27, 0.0021, 0)</f>
        <v>23.266099999999998</v>
      </c>
      <c r="D50" s="14">
        <f>23.264 * CHOOSE(CONTROL!$C$9, $D$9, 100%, $F$9) + CHOOSE(CONTROL!$C$27, 0.0021, 0)</f>
        <v>23.266099999999998</v>
      </c>
      <c r="E50" s="14">
        <f>23.1273 * CHOOSE(CONTROL!$C$9, $D$9, 100%, $F$9) + CHOOSE(CONTROL!$C$27, 0.0021, 0)</f>
        <v>23.1294</v>
      </c>
      <c r="F50" s="14">
        <f>23.1273 * CHOOSE(CONTROL!$C$9, $D$9, 100%, $F$9) + CHOOSE(CONTROL!$C$27, 0.0021, 0)</f>
        <v>23.1294</v>
      </c>
      <c r="G50" s="14">
        <f>23.3987 * CHOOSE(CONTROL!$C$9, $D$9, 100%, $F$9) + CHOOSE(CONTROL!$C$27, 0.0021, 0)</f>
        <v>23.4008</v>
      </c>
      <c r="H50" s="14">
        <f>23.264 * CHOOSE(CONTROL!$C$9, $D$9, 100%, $F$9) + CHOOSE(CONTROL!$C$27, 0.0021, 0)</f>
        <v>23.266099999999998</v>
      </c>
      <c r="I50" s="14">
        <f>23.264 * CHOOSE(CONTROL!$C$9, $D$9, 100%, $F$9) + CHOOSE(CONTROL!$C$27, 0.0021, 0)</f>
        <v>23.266099999999998</v>
      </c>
      <c r="J50" s="14">
        <f>23.264 * CHOOSE(CONTROL!$C$9, $D$9, 100%, $F$9) + CHOOSE(CONTROL!$C$27, 0.0021, 0)</f>
        <v>23.266099999999998</v>
      </c>
      <c r="K50" s="14">
        <f>23.264 * CHOOSE(CONTROL!$C$9, $D$9, 100%, $F$9) + CHOOSE(CONTROL!$C$27, 0.0021, 0)</f>
        <v>23.266099999999998</v>
      </c>
      <c r="L50" s="14"/>
    </row>
    <row r="51" spans="1:12" ht="15" x14ac:dyDescent="0.2">
      <c r="A51" s="13">
        <v>42461</v>
      </c>
      <c r="B51" s="14">
        <f>23.4288 * CHOOSE(CONTROL!$C$9, $D$9, 100%, $F$9) + CHOOSE(CONTROL!$C$27, 0.0021, 0)</f>
        <v>23.430899999999998</v>
      </c>
      <c r="C51" s="14">
        <f>22.9966 * CHOOSE(CONTROL!$C$9, $D$9, 100%, $F$9) + CHOOSE(CONTROL!$C$27, 0.0021, 0)</f>
        <v>22.998699999999999</v>
      </c>
      <c r="D51" s="14">
        <f>22.9966 * CHOOSE(CONTROL!$C$9, $D$9, 100%, $F$9) + CHOOSE(CONTROL!$C$27, 0.0021, 0)</f>
        <v>22.998699999999999</v>
      </c>
      <c r="E51" s="14">
        <f>22.8599 * CHOOSE(CONTROL!$C$9, $D$9, 100%, $F$9) + CHOOSE(CONTROL!$C$27, 0.0021, 0)</f>
        <v>22.861999999999998</v>
      </c>
      <c r="F51" s="14">
        <f>22.8599 * CHOOSE(CONTROL!$C$9, $D$9, 100%, $F$9) + CHOOSE(CONTROL!$C$27, 0.0021, 0)</f>
        <v>22.861999999999998</v>
      </c>
      <c r="G51" s="14">
        <f>23.1313 * CHOOSE(CONTROL!$C$9, $D$9, 100%, $F$9) + CHOOSE(CONTROL!$C$27, 0.0021, 0)</f>
        <v>23.133399999999998</v>
      </c>
      <c r="H51" s="14">
        <f>22.9966 * CHOOSE(CONTROL!$C$9, $D$9, 100%, $F$9) + CHOOSE(CONTROL!$C$27, 0.0021, 0)</f>
        <v>22.998699999999999</v>
      </c>
      <c r="I51" s="14">
        <f>22.9966 * CHOOSE(CONTROL!$C$9, $D$9, 100%, $F$9) + CHOOSE(CONTROL!$C$27, 0.0021, 0)</f>
        <v>22.998699999999999</v>
      </c>
      <c r="J51" s="14">
        <f>22.9966 * CHOOSE(CONTROL!$C$9, $D$9, 100%, $F$9) + CHOOSE(CONTROL!$C$27, 0.0021, 0)</f>
        <v>22.998699999999999</v>
      </c>
      <c r="K51" s="14">
        <f>22.9966 * CHOOSE(CONTROL!$C$9, $D$9, 100%, $F$9) + CHOOSE(CONTROL!$C$27, 0.0021, 0)</f>
        <v>22.998699999999999</v>
      </c>
      <c r="L51" s="14"/>
    </row>
    <row r="52" spans="1:12" ht="15" x14ac:dyDescent="0.2">
      <c r="A52" s="13">
        <v>42491</v>
      </c>
      <c r="B52" s="14">
        <f>23.9172 * CHOOSE(CONTROL!$C$9, $D$9, 100%, $F$9) + CHOOSE(CONTROL!$C$27, 0.0021, 0)</f>
        <v>23.9193</v>
      </c>
      <c r="C52" s="14">
        <f>23.4849 * CHOOSE(CONTROL!$C$9, $D$9, 100%, $F$9) + CHOOSE(CONTROL!$C$27, 0.0021, 0)</f>
        <v>23.486999999999998</v>
      </c>
      <c r="D52" s="14">
        <f>23.4849 * CHOOSE(CONTROL!$C$9, $D$9, 100%, $F$9) + CHOOSE(CONTROL!$C$27, 0.0021, 0)</f>
        <v>23.486999999999998</v>
      </c>
      <c r="E52" s="14">
        <f>23.3483 * CHOOSE(CONTROL!$C$9, $D$9, 100%, $F$9) + CHOOSE(CONTROL!$C$27, 0.0021, 0)</f>
        <v>23.350399999999997</v>
      </c>
      <c r="F52" s="14">
        <f>23.3483 * CHOOSE(CONTROL!$C$9, $D$9, 100%, $F$9) + CHOOSE(CONTROL!$C$27, 0.0021, 0)</f>
        <v>23.350399999999997</v>
      </c>
      <c r="G52" s="14">
        <f>23.6196 * CHOOSE(CONTROL!$C$9, $D$9, 100%, $F$9) + CHOOSE(CONTROL!$C$27, 0.0021, 0)</f>
        <v>23.621699999999997</v>
      </c>
      <c r="H52" s="14">
        <f>23.4849 * CHOOSE(CONTROL!$C$9, $D$9, 100%, $F$9) + CHOOSE(CONTROL!$C$27, 0.0021, 0)</f>
        <v>23.486999999999998</v>
      </c>
      <c r="I52" s="14">
        <f>23.4849 * CHOOSE(CONTROL!$C$9, $D$9, 100%, $F$9) + CHOOSE(CONTROL!$C$27, 0.0021, 0)</f>
        <v>23.486999999999998</v>
      </c>
      <c r="J52" s="14">
        <f>23.4849 * CHOOSE(CONTROL!$C$9, $D$9, 100%, $F$9) + CHOOSE(CONTROL!$C$27, 0.0021, 0)</f>
        <v>23.486999999999998</v>
      </c>
      <c r="K52" s="14">
        <f>23.4849 * CHOOSE(CONTROL!$C$9, $D$9, 100%, $F$9) + CHOOSE(CONTROL!$C$27, 0.0021, 0)</f>
        <v>23.486999999999998</v>
      </c>
      <c r="L52" s="14"/>
    </row>
    <row r="53" spans="1:12" ht="15" x14ac:dyDescent="0.2">
      <c r="A53" s="13">
        <v>42522</v>
      </c>
      <c r="B53" s="14">
        <f>24.2287 * CHOOSE(CONTROL!$C$9, $D$9, 100%, $F$9) + CHOOSE(CONTROL!$C$27, 0.0021, 0)</f>
        <v>24.230799999999999</v>
      </c>
      <c r="C53" s="14">
        <f>23.7964 * CHOOSE(CONTROL!$C$9, $D$9, 100%, $F$9) + CHOOSE(CONTROL!$C$27, 0.0021, 0)</f>
        <v>23.798499999999997</v>
      </c>
      <c r="D53" s="14">
        <f>23.7964 * CHOOSE(CONTROL!$C$9, $D$9, 100%, $F$9) + CHOOSE(CONTROL!$C$27, 0.0021, 0)</f>
        <v>23.798499999999997</v>
      </c>
      <c r="E53" s="14">
        <f>23.6598 * CHOOSE(CONTROL!$C$9, $D$9, 100%, $F$9) + CHOOSE(CONTROL!$C$27, 0.0021, 0)</f>
        <v>23.661899999999999</v>
      </c>
      <c r="F53" s="14">
        <f>23.6598 * CHOOSE(CONTROL!$C$9, $D$9, 100%, $F$9) + CHOOSE(CONTROL!$C$27, 0.0021, 0)</f>
        <v>23.661899999999999</v>
      </c>
      <c r="G53" s="14">
        <f>23.9311 * CHOOSE(CONTROL!$C$9, $D$9, 100%, $F$9) + CHOOSE(CONTROL!$C$27, 0.0021, 0)</f>
        <v>23.933199999999999</v>
      </c>
      <c r="H53" s="14">
        <f>23.7964 * CHOOSE(CONTROL!$C$9, $D$9, 100%, $F$9) + CHOOSE(CONTROL!$C$27, 0.0021, 0)</f>
        <v>23.798499999999997</v>
      </c>
      <c r="I53" s="14">
        <f>23.7964 * CHOOSE(CONTROL!$C$9, $D$9, 100%, $F$9) + CHOOSE(CONTROL!$C$27, 0.0021, 0)</f>
        <v>23.798499999999997</v>
      </c>
      <c r="J53" s="14">
        <f>23.7964 * CHOOSE(CONTROL!$C$9, $D$9, 100%, $F$9) + CHOOSE(CONTROL!$C$27, 0.0021, 0)</f>
        <v>23.798499999999997</v>
      </c>
      <c r="K53" s="14">
        <f>23.7964 * CHOOSE(CONTROL!$C$9, $D$9, 100%, $F$9) + CHOOSE(CONTROL!$C$27, 0.0021, 0)</f>
        <v>23.798499999999997</v>
      </c>
      <c r="L53" s="14"/>
    </row>
    <row r="54" spans="1:12" ht="15" x14ac:dyDescent="0.2">
      <c r="A54" s="13">
        <v>42552</v>
      </c>
      <c r="B54" s="14">
        <f>24.7151 * CHOOSE(CONTROL!$C$9, $D$9, 100%, $F$9) + CHOOSE(CONTROL!$C$27, 0.0021, 0)</f>
        <v>24.717199999999998</v>
      </c>
      <c r="C54" s="14">
        <f>24.2829 * CHOOSE(CONTROL!$C$9, $D$9, 100%, $F$9) + CHOOSE(CONTROL!$C$27, 0.0021, 0)</f>
        <v>24.285</v>
      </c>
      <c r="D54" s="14">
        <f>24.2829 * CHOOSE(CONTROL!$C$9, $D$9, 100%, $F$9) + CHOOSE(CONTROL!$C$27, 0.0021, 0)</f>
        <v>24.285</v>
      </c>
      <c r="E54" s="14">
        <f>24.1462 * CHOOSE(CONTROL!$C$9, $D$9, 100%, $F$9) + CHOOSE(CONTROL!$C$27, 0.0021, 0)</f>
        <v>24.148299999999999</v>
      </c>
      <c r="F54" s="14">
        <f>24.1462 * CHOOSE(CONTROL!$C$9, $D$9, 100%, $F$9) + CHOOSE(CONTROL!$C$27, 0.0021, 0)</f>
        <v>24.148299999999999</v>
      </c>
      <c r="G54" s="14">
        <f>24.4176 * CHOOSE(CONTROL!$C$9, $D$9, 100%, $F$9) + CHOOSE(CONTROL!$C$27, 0.0021, 0)</f>
        <v>24.419699999999999</v>
      </c>
      <c r="H54" s="14">
        <f>24.2829 * CHOOSE(CONTROL!$C$9, $D$9, 100%, $F$9) + CHOOSE(CONTROL!$C$27, 0.0021, 0)</f>
        <v>24.285</v>
      </c>
      <c r="I54" s="14">
        <f>24.2829 * CHOOSE(CONTROL!$C$9, $D$9, 100%, $F$9) + CHOOSE(CONTROL!$C$27, 0.0021, 0)</f>
        <v>24.285</v>
      </c>
      <c r="J54" s="14">
        <f>24.2829 * CHOOSE(CONTROL!$C$9, $D$9, 100%, $F$9) + CHOOSE(CONTROL!$C$27, 0.0021, 0)</f>
        <v>24.285</v>
      </c>
      <c r="K54" s="14">
        <f>24.2829 * CHOOSE(CONTROL!$C$9, $D$9, 100%, $F$9) + CHOOSE(CONTROL!$C$27, 0.0021, 0)</f>
        <v>24.285</v>
      </c>
      <c r="L54" s="14"/>
    </row>
    <row r="55" spans="1:12" ht="15" x14ac:dyDescent="0.2">
      <c r="A55" s="13">
        <v>42583</v>
      </c>
      <c r="B55" s="14">
        <f>24.8963 * CHOOSE(CONTROL!$C$9, $D$9, 100%, $F$9) + CHOOSE(CONTROL!$C$27, 0.0021, 0)</f>
        <v>24.898399999999999</v>
      </c>
      <c r="C55" s="14">
        <f>24.4641 * CHOOSE(CONTROL!$C$9, $D$9, 100%, $F$9) + CHOOSE(CONTROL!$C$27, 0.0021, 0)</f>
        <v>24.466199999999997</v>
      </c>
      <c r="D55" s="14">
        <f>24.4641 * CHOOSE(CONTROL!$C$9, $D$9, 100%, $F$9) + CHOOSE(CONTROL!$C$27, 0.0021, 0)</f>
        <v>24.466199999999997</v>
      </c>
      <c r="E55" s="14">
        <f>24.3274 * CHOOSE(CONTROL!$C$9, $D$9, 100%, $F$9) + CHOOSE(CONTROL!$C$27, 0.0021, 0)</f>
        <v>24.329499999999999</v>
      </c>
      <c r="F55" s="14">
        <f>24.3274 * CHOOSE(CONTROL!$C$9, $D$9, 100%, $F$9) + CHOOSE(CONTROL!$C$27, 0.0021, 0)</f>
        <v>24.329499999999999</v>
      </c>
      <c r="G55" s="14">
        <f>24.5988 * CHOOSE(CONTROL!$C$9, $D$9, 100%, $F$9) + CHOOSE(CONTROL!$C$27, 0.0021, 0)</f>
        <v>24.600899999999999</v>
      </c>
      <c r="H55" s="14">
        <f>24.4641 * CHOOSE(CONTROL!$C$9, $D$9, 100%, $F$9) + CHOOSE(CONTROL!$C$27, 0.0021, 0)</f>
        <v>24.466199999999997</v>
      </c>
      <c r="I55" s="14">
        <f>24.4641 * CHOOSE(CONTROL!$C$9, $D$9, 100%, $F$9) + CHOOSE(CONTROL!$C$27, 0.0021, 0)</f>
        <v>24.466199999999997</v>
      </c>
      <c r="J55" s="14">
        <f>24.4641 * CHOOSE(CONTROL!$C$9, $D$9, 100%, $F$9) + CHOOSE(CONTROL!$C$27, 0.0021, 0)</f>
        <v>24.466199999999997</v>
      </c>
      <c r="K55" s="14">
        <f>24.4641 * CHOOSE(CONTROL!$C$9, $D$9, 100%, $F$9) + CHOOSE(CONTROL!$C$27, 0.0021, 0)</f>
        <v>24.466199999999997</v>
      </c>
      <c r="L55" s="14"/>
    </row>
    <row r="56" spans="1:12" ht="15" x14ac:dyDescent="0.2">
      <c r="A56" s="13">
        <v>42614</v>
      </c>
      <c r="B56" s="14">
        <f>25.4035 * CHOOSE(CONTROL!$C$9, $D$9, 100%, $F$9) + CHOOSE(CONTROL!$C$27, 0.0021, 0)</f>
        <v>25.4056</v>
      </c>
      <c r="C56" s="14">
        <f>24.9712 * CHOOSE(CONTROL!$C$9, $D$9, 100%, $F$9) + CHOOSE(CONTROL!$C$27, 0.0021, 0)</f>
        <v>24.973299999999998</v>
      </c>
      <c r="D56" s="14">
        <f>24.9712 * CHOOSE(CONTROL!$C$9, $D$9, 100%, $F$9) + CHOOSE(CONTROL!$C$27, 0.0021, 0)</f>
        <v>24.973299999999998</v>
      </c>
      <c r="E56" s="14">
        <f>24.8346 * CHOOSE(CONTROL!$C$9, $D$9, 100%, $F$9) + CHOOSE(CONTROL!$C$27, 0.0021, 0)</f>
        <v>24.836699999999997</v>
      </c>
      <c r="F56" s="14">
        <f>24.8346 * CHOOSE(CONTROL!$C$9, $D$9, 100%, $F$9) + CHOOSE(CONTROL!$C$27, 0.0021, 0)</f>
        <v>24.836699999999997</v>
      </c>
      <c r="G56" s="14">
        <f>25.1059 * CHOOSE(CONTROL!$C$9, $D$9, 100%, $F$9) + CHOOSE(CONTROL!$C$27, 0.0021, 0)</f>
        <v>25.107999999999997</v>
      </c>
      <c r="H56" s="14">
        <f>24.9712 * CHOOSE(CONTROL!$C$9, $D$9, 100%, $F$9) + CHOOSE(CONTROL!$C$27, 0.0021, 0)</f>
        <v>24.973299999999998</v>
      </c>
      <c r="I56" s="14">
        <f>24.9712 * CHOOSE(CONTROL!$C$9, $D$9, 100%, $F$9) + CHOOSE(CONTROL!$C$27, 0.0021, 0)</f>
        <v>24.973299999999998</v>
      </c>
      <c r="J56" s="14">
        <f>24.9712 * CHOOSE(CONTROL!$C$9, $D$9, 100%, $F$9) + CHOOSE(CONTROL!$C$27, 0.0021, 0)</f>
        <v>24.973299999999998</v>
      </c>
      <c r="K56" s="14">
        <f>24.9712 * CHOOSE(CONTROL!$C$9, $D$9, 100%, $F$9) + CHOOSE(CONTROL!$C$27, 0.0021, 0)</f>
        <v>24.973299999999998</v>
      </c>
      <c r="L56" s="14"/>
    </row>
    <row r="57" spans="1:12" ht="15" x14ac:dyDescent="0.2">
      <c r="A57" s="13">
        <v>42644</v>
      </c>
      <c r="B57" s="14">
        <f>26.0353 * CHOOSE(CONTROL!$C$9, $D$9, 100%, $F$9) + CHOOSE(CONTROL!$C$27, 0.0021, 0)</f>
        <v>26.037399999999998</v>
      </c>
      <c r="C57" s="14">
        <f>25.6031 * CHOOSE(CONTROL!$C$9, $D$9, 100%, $F$9) + CHOOSE(CONTROL!$C$27, 0.0021, 0)</f>
        <v>25.6052</v>
      </c>
      <c r="D57" s="14">
        <f>25.6031 * CHOOSE(CONTROL!$C$9, $D$9, 100%, $F$9) + CHOOSE(CONTROL!$C$27, 0.0021, 0)</f>
        <v>25.6052</v>
      </c>
      <c r="E57" s="14">
        <f>25.4664 * CHOOSE(CONTROL!$C$9, $D$9, 100%, $F$9) + CHOOSE(CONTROL!$C$27, 0.0021, 0)</f>
        <v>25.468499999999999</v>
      </c>
      <c r="F57" s="14">
        <f>25.4664 * CHOOSE(CONTROL!$C$9, $D$9, 100%, $F$9) + CHOOSE(CONTROL!$C$27, 0.0021, 0)</f>
        <v>25.468499999999999</v>
      </c>
      <c r="G57" s="14">
        <f>25.7378 * CHOOSE(CONTROL!$C$9, $D$9, 100%, $F$9) + CHOOSE(CONTROL!$C$27, 0.0021, 0)</f>
        <v>25.739899999999999</v>
      </c>
      <c r="H57" s="14">
        <f>25.6031 * CHOOSE(CONTROL!$C$9, $D$9, 100%, $F$9) + CHOOSE(CONTROL!$C$27, 0.0021, 0)</f>
        <v>25.6052</v>
      </c>
      <c r="I57" s="14">
        <f>25.6031 * CHOOSE(CONTROL!$C$9, $D$9, 100%, $F$9) + CHOOSE(CONTROL!$C$27, 0.0021, 0)</f>
        <v>25.6052</v>
      </c>
      <c r="J57" s="14">
        <f>25.6031 * CHOOSE(CONTROL!$C$9, $D$9, 100%, $F$9) + CHOOSE(CONTROL!$C$27, 0.0021, 0)</f>
        <v>25.6052</v>
      </c>
      <c r="K57" s="14">
        <f>25.6031 * CHOOSE(CONTROL!$C$9, $D$9, 100%, $F$9) + CHOOSE(CONTROL!$C$27, 0.0021, 0)</f>
        <v>25.6052</v>
      </c>
      <c r="L57" s="14"/>
    </row>
    <row r="58" spans="1:12" ht="15" x14ac:dyDescent="0.2">
      <c r="A58" s="13">
        <v>42675</v>
      </c>
      <c r="B58" s="14">
        <f>26.1392 * CHOOSE(CONTROL!$C$9, $D$9, 100%, $F$9) + CHOOSE(CONTROL!$C$27, 0.0021, 0)</f>
        <v>26.141299999999998</v>
      </c>
      <c r="C58" s="14">
        <f>25.7069 * CHOOSE(CONTROL!$C$9, $D$9, 100%, $F$9) + CHOOSE(CONTROL!$C$27, 0.0021, 0)</f>
        <v>25.709</v>
      </c>
      <c r="D58" s="14">
        <f>25.7069 * CHOOSE(CONTROL!$C$9, $D$9, 100%, $F$9) + CHOOSE(CONTROL!$C$27, 0.0021, 0)</f>
        <v>25.709</v>
      </c>
      <c r="E58" s="14">
        <f>25.5703 * CHOOSE(CONTROL!$C$9, $D$9, 100%, $F$9) + CHOOSE(CONTROL!$C$27, 0.0021, 0)</f>
        <v>25.572399999999998</v>
      </c>
      <c r="F58" s="14">
        <f>25.5703 * CHOOSE(CONTROL!$C$9, $D$9, 100%, $F$9) + CHOOSE(CONTROL!$C$27, 0.0021, 0)</f>
        <v>25.572399999999998</v>
      </c>
      <c r="G58" s="14">
        <f>25.8416 * CHOOSE(CONTROL!$C$9, $D$9, 100%, $F$9) + CHOOSE(CONTROL!$C$27, 0.0021, 0)</f>
        <v>25.843699999999998</v>
      </c>
      <c r="H58" s="14">
        <f>25.7069 * CHOOSE(CONTROL!$C$9, $D$9, 100%, $F$9) + CHOOSE(CONTROL!$C$27, 0.0021, 0)</f>
        <v>25.709</v>
      </c>
      <c r="I58" s="14">
        <f>25.7069 * CHOOSE(CONTROL!$C$9, $D$9, 100%, $F$9) + CHOOSE(CONTROL!$C$27, 0.0021, 0)</f>
        <v>25.709</v>
      </c>
      <c r="J58" s="14">
        <f>25.7069 * CHOOSE(CONTROL!$C$9, $D$9, 100%, $F$9) + CHOOSE(CONTROL!$C$27, 0.0021, 0)</f>
        <v>25.709</v>
      </c>
      <c r="K58" s="14">
        <f>25.7069 * CHOOSE(CONTROL!$C$9, $D$9, 100%, $F$9) + CHOOSE(CONTROL!$C$27, 0.0021, 0)</f>
        <v>25.709</v>
      </c>
      <c r="L58" s="14"/>
    </row>
    <row r="59" spans="1:12" ht="15" x14ac:dyDescent="0.2">
      <c r="A59" s="13">
        <v>42705</v>
      </c>
      <c r="B59" s="14">
        <f>25.7198 * CHOOSE(CONTROL!$C$9, $D$9, 100%, $F$9) + CHOOSE(CONTROL!$C$27, 0.0021, 0)</f>
        <v>25.721899999999998</v>
      </c>
      <c r="C59" s="14">
        <f>25.2875 * CHOOSE(CONTROL!$C$9, $D$9, 100%, $F$9) + CHOOSE(CONTROL!$C$27, 0.0021, 0)</f>
        <v>25.2896</v>
      </c>
      <c r="D59" s="14">
        <f>25.2875 * CHOOSE(CONTROL!$C$9, $D$9, 100%, $F$9) + CHOOSE(CONTROL!$C$27, 0.0021, 0)</f>
        <v>25.2896</v>
      </c>
      <c r="E59" s="14">
        <f>25.1509 * CHOOSE(CONTROL!$C$9, $D$9, 100%, $F$9) + CHOOSE(CONTROL!$C$27, 0.0021, 0)</f>
        <v>25.152999999999999</v>
      </c>
      <c r="F59" s="14">
        <f>25.1509 * CHOOSE(CONTROL!$C$9, $D$9, 100%, $F$9) + CHOOSE(CONTROL!$C$27, 0.0021, 0)</f>
        <v>25.152999999999999</v>
      </c>
      <c r="G59" s="14">
        <f>25.4222 * CHOOSE(CONTROL!$C$9, $D$9, 100%, $F$9) + CHOOSE(CONTROL!$C$27, 0.0021, 0)</f>
        <v>25.424299999999999</v>
      </c>
      <c r="H59" s="14">
        <f>25.2875 * CHOOSE(CONTROL!$C$9, $D$9, 100%, $F$9) + CHOOSE(CONTROL!$C$27, 0.0021, 0)</f>
        <v>25.2896</v>
      </c>
      <c r="I59" s="14">
        <f>25.2875 * CHOOSE(CONTROL!$C$9, $D$9, 100%, $F$9) + CHOOSE(CONTROL!$C$27, 0.0021, 0)</f>
        <v>25.2896</v>
      </c>
      <c r="J59" s="14">
        <f>25.2875 * CHOOSE(CONTROL!$C$9, $D$9, 100%, $F$9) + CHOOSE(CONTROL!$C$27, 0.0021, 0)</f>
        <v>25.2896</v>
      </c>
      <c r="K59" s="14">
        <f>25.2875 * CHOOSE(CONTROL!$C$9, $D$9, 100%, $F$9) + CHOOSE(CONTROL!$C$27, 0.0021, 0)</f>
        <v>25.2896</v>
      </c>
      <c r="L59" s="14"/>
    </row>
    <row r="60" spans="1:12" ht="15" x14ac:dyDescent="0.2">
      <c r="A60" s="13">
        <v>42736</v>
      </c>
      <c r="B60" s="14">
        <f>25.2695 * CHOOSE(CONTROL!$C$9, $D$9, 100%, $F$9) + CHOOSE(CONTROL!$C$27, 0.0021, 0)</f>
        <v>25.271599999999999</v>
      </c>
      <c r="C60" s="14">
        <f>24.8373 * CHOOSE(CONTROL!$C$9, $D$9, 100%, $F$9) + CHOOSE(CONTROL!$C$27, 0.0021, 0)</f>
        <v>24.839399999999998</v>
      </c>
      <c r="D60" s="14">
        <f>24.8373 * CHOOSE(CONTROL!$C$9, $D$9, 100%, $F$9) + CHOOSE(CONTROL!$C$27, 0.0021, 0)</f>
        <v>24.839399999999998</v>
      </c>
      <c r="E60" s="14">
        <f>24.7006 * CHOOSE(CONTROL!$C$9, $D$9, 100%, $F$9) + CHOOSE(CONTROL!$C$27, 0.0021, 0)</f>
        <v>24.7027</v>
      </c>
      <c r="F60" s="14">
        <f>24.7006 * CHOOSE(CONTROL!$C$9, $D$9, 100%, $F$9) + CHOOSE(CONTROL!$C$27, 0.0021, 0)</f>
        <v>24.7027</v>
      </c>
      <c r="G60" s="14">
        <f>24.972 * CHOOSE(CONTROL!$C$9, $D$9, 100%, $F$9) + CHOOSE(CONTROL!$C$27, 0.0021, 0)</f>
        <v>24.9741</v>
      </c>
      <c r="H60" s="14">
        <f>24.8373 * CHOOSE(CONTROL!$C$9, $D$9, 100%, $F$9) + CHOOSE(CONTROL!$C$27, 0.0021, 0)</f>
        <v>24.839399999999998</v>
      </c>
      <c r="I60" s="14">
        <f>24.8373 * CHOOSE(CONTROL!$C$9, $D$9, 100%, $F$9) + CHOOSE(CONTROL!$C$27, 0.0021, 0)</f>
        <v>24.839399999999998</v>
      </c>
      <c r="J60" s="14">
        <f>24.8373 * CHOOSE(CONTROL!$C$9, $D$9, 100%, $F$9) + CHOOSE(CONTROL!$C$27, 0.0021, 0)</f>
        <v>24.839399999999998</v>
      </c>
      <c r="K60" s="14">
        <f>24.8373 * CHOOSE(CONTROL!$C$9, $D$9, 100%, $F$9) + CHOOSE(CONTROL!$C$27, 0.0021, 0)</f>
        <v>24.839399999999998</v>
      </c>
      <c r="L60" s="14"/>
    </row>
    <row r="61" spans="1:12" ht="15" x14ac:dyDescent="0.2">
      <c r="A61" s="13">
        <v>42767</v>
      </c>
      <c r="B61" s="14">
        <f>24.6656 * CHOOSE(CONTROL!$C$9, $D$9, 100%, $F$9) + CHOOSE(CONTROL!$C$27, 0.0021, 0)</f>
        <v>24.6677</v>
      </c>
      <c r="C61" s="14">
        <f>24.2333 * CHOOSE(CONTROL!$C$9, $D$9, 100%, $F$9) + CHOOSE(CONTROL!$C$27, 0.0021, 0)</f>
        <v>24.235399999999998</v>
      </c>
      <c r="D61" s="14">
        <f>24.2333 * CHOOSE(CONTROL!$C$9, $D$9, 100%, $F$9) + CHOOSE(CONTROL!$C$27, 0.0021, 0)</f>
        <v>24.235399999999998</v>
      </c>
      <c r="E61" s="14">
        <f>24.0967 * CHOOSE(CONTROL!$C$9, $D$9, 100%, $F$9) + CHOOSE(CONTROL!$C$27, 0.0021, 0)</f>
        <v>24.098799999999997</v>
      </c>
      <c r="F61" s="14">
        <f>24.0967 * CHOOSE(CONTROL!$C$9, $D$9, 100%, $F$9) + CHOOSE(CONTROL!$C$27, 0.0021, 0)</f>
        <v>24.098799999999997</v>
      </c>
      <c r="G61" s="14">
        <f>24.3681 * CHOOSE(CONTROL!$C$9, $D$9, 100%, $F$9) + CHOOSE(CONTROL!$C$27, 0.0021, 0)</f>
        <v>24.370199999999997</v>
      </c>
      <c r="H61" s="14">
        <f>24.2333 * CHOOSE(CONTROL!$C$9, $D$9, 100%, $F$9) + CHOOSE(CONTROL!$C$27, 0.0021, 0)</f>
        <v>24.235399999999998</v>
      </c>
      <c r="I61" s="14">
        <f>24.2333 * CHOOSE(CONTROL!$C$9, $D$9, 100%, $F$9) + CHOOSE(CONTROL!$C$27, 0.0021, 0)</f>
        <v>24.235399999999998</v>
      </c>
      <c r="J61" s="14">
        <f>24.2333 * CHOOSE(CONTROL!$C$9, $D$9, 100%, $F$9) + CHOOSE(CONTROL!$C$27, 0.0021, 0)</f>
        <v>24.235399999999998</v>
      </c>
      <c r="K61" s="14">
        <f>24.2333 * CHOOSE(CONTROL!$C$9, $D$9, 100%, $F$9) + CHOOSE(CONTROL!$C$27, 0.0021, 0)</f>
        <v>24.235399999999998</v>
      </c>
      <c r="L61" s="14"/>
    </row>
    <row r="62" spans="1:12" ht="15" x14ac:dyDescent="0.2">
      <c r="A62" s="13">
        <v>42795</v>
      </c>
      <c r="B62" s="14">
        <f>24.4423 * CHOOSE(CONTROL!$C$9, $D$9, 100%, $F$9) + CHOOSE(CONTROL!$C$27, 0.0021, 0)</f>
        <v>24.444399999999998</v>
      </c>
      <c r="C62" s="14">
        <f>24.01 * CHOOSE(CONTROL!$C$9, $D$9, 100%, $F$9) + CHOOSE(CONTROL!$C$27, 0.0021, 0)</f>
        <v>24.0121</v>
      </c>
      <c r="D62" s="14">
        <f>24.01 * CHOOSE(CONTROL!$C$9, $D$9, 100%, $F$9) + CHOOSE(CONTROL!$C$27, 0.0021, 0)</f>
        <v>24.0121</v>
      </c>
      <c r="E62" s="14">
        <f>23.8734 * CHOOSE(CONTROL!$C$9, $D$9, 100%, $F$9) + CHOOSE(CONTROL!$C$27, 0.0021, 0)</f>
        <v>23.875499999999999</v>
      </c>
      <c r="F62" s="14">
        <f>23.8734 * CHOOSE(CONTROL!$C$9, $D$9, 100%, $F$9) + CHOOSE(CONTROL!$C$27, 0.0021, 0)</f>
        <v>23.875499999999999</v>
      </c>
      <c r="G62" s="14">
        <f>24.1448 * CHOOSE(CONTROL!$C$9, $D$9, 100%, $F$9) + CHOOSE(CONTROL!$C$27, 0.0021, 0)</f>
        <v>24.146899999999999</v>
      </c>
      <c r="H62" s="14">
        <f>24.01 * CHOOSE(CONTROL!$C$9, $D$9, 100%, $F$9) + CHOOSE(CONTROL!$C$27, 0.0021, 0)</f>
        <v>24.0121</v>
      </c>
      <c r="I62" s="14">
        <f>24.01 * CHOOSE(CONTROL!$C$9, $D$9, 100%, $F$9) + CHOOSE(CONTROL!$C$27, 0.0021, 0)</f>
        <v>24.0121</v>
      </c>
      <c r="J62" s="14">
        <f>24.01 * CHOOSE(CONTROL!$C$9, $D$9, 100%, $F$9) + CHOOSE(CONTROL!$C$27, 0.0021, 0)</f>
        <v>24.0121</v>
      </c>
      <c r="K62" s="14">
        <f>24.01 * CHOOSE(CONTROL!$C$9, $D$9, 100%, $F$9) + CHOOSE(CONTROL!$C$27, 0.0021, 0)</f>
        <v>24.0121</v>
      </c>
      <c r="L62" s="14"/>
    </row>
    <row r="63" spans="1:12" ht="15" x14ac:dyDescent="0.2">
      <c r="A63" s="13">
        <v>42826</v>
      </c>
      <c r="B63" s="14">
        <f>24.1656 * CHOOSE(CONTROL!$C$9, $D$9, 100%, $F$9) + CHOOSE(CONTROL!$C$27, 0.0021, 0)</f>
        <v>24.1677</v>
      </c>
      <c r="C63" s="14">
        <f>23.7333 * CHOOSE(CONTROL!$C$9, $D$9, 100%, $F$9) + CHOOSE(CONTROL!$C$27, 0.0021, 0)</f>
        <v>23.735399999999998</v>
      </c>
      <c r="D63" s="14">
        <f>23.7333 * CHOOSE(CONTROL!$C$9, $D$9, 100%, $F$9) + CHOOSE(CONTROL!$C$27, 0.0021, 0)</f>
        <v>23.735399999999998</v>
      </c>
      <c r="E63" s="14">
        <f>23.5967 * CHOOSE(CONTROL!$C$9, $D$9, 100%, $F$9) + CHOOSE(CONTROL!$C$27, 0.0021, 0)</f>
        <v>23.598799999999997</v>
      </c>
      <c r="F63" s="14">
        <f>23.5967 * CHOOSE(CONTROL!$C$9, $D$9, 100%, $F$9) + CHOOSE(CONTROL!$C$27, 0.0021, 0)</f>
        <v>23.598799999999997</v>
      </c>
      <c r="G63" s="14">
        <f>23.8681 * CHOOSE(CONTROL!$C$9, $D$9, 100%, $F$9) + CHOOSE(CONTROL!$C$27, 0.0021, 0)</f>
        <v>23.870199999999997</v>
      </c>
      <c r="H63" s="14">
        <f>23.7333 * CHOOSE(CONTROL!$C$9, $D$9, 100%, $F$9) + CHOOSE(CONTROL!$C$27, 0.0021, 0)</f>
        <v>23.735399999999998</v>
      </c>
      <c r="I63" s="14">
        <f>23.7333 * CHOOSE(CONTROL!$C$9, $D$9, 100%, $F$9) + CHOOSE(CONTROL!$C$27, 0.0021, 0)</f>
        <v>23.735399999999998</v>
      </c>
      <c r="J63" s="14">
        <f>23.7333 * CHOOSE(CONTROL!$C$9, $D$9, 100%, $F$9) + CHOOSE(CONTROL!$C$27, 0.0021, 0)</f>
        <v>23.735399999999998</v>
      </c>
      <c r="K63" s="14">
        <f>23.7333 * CHOOSE(CONTROL!$C$9, $D$9, 100%, $F$9) + CHOOSE(CONTROL!$C$27, 0.0021, 0)</f>
        <v>23.735399999999998</v>
      </c>
      <c r="L63" s="14"/>
    </row>
    <row r="64" spans="1:12" ht="15" x14ac:dyDescent="0.2">
      <c r="A64" s="13">
        <v>42856</v>
      </c>
      <c r="B64" s="14">
        <f>24.6709 * CHOOSE(CONTROL!$C$9, $D$9, 100%, $F$9) + CHOOSE(CONTROL!$C$27, 0.0021, 0)</f>
        <v>24.672999999999998</v>
      </c>
      <c r="C64" s="14">
        <f>24.2387 * CHOOSE(CONTROL!$C$9, $D$9, 100%, $F$9) + CHOOSE(CONTROL!$C$27, 0.0021, 0)</f>
        <v>24.2408</v>
      </c>
      <c r="D64" s="14">
        <f>24.2387 * CHOOSE(CONTROL!$C$9, $D$9, 100%, $F$9) + CHOOSE(CONTROL!$C$27, 0.0021, 0)</f>
        <v>24.2408</v>
      </c>
      <c r="E64" s="14">
        <f>24.102 * CHOOSE(CONTROL!$C$9, $D$9, 100%, $F$9) + CHOOSE(CONTROL!$C$27, 0.0021, 0)</f>
        <v>24.104099999999999</v>
      </c>
      <c r="F64" s="14">
        <f>24.102 * CHOOSE(CONTROL!$C$9, $D$9, 100%, $F$9) + CHOOSE(CONTROL!$C$27, 0.0021, 0)</f>
        <v>24.104099999999999</v>
      </c>
      <c r="G64" s="14">
        <f>24.3734 * CHOOSE(CONTROL!$C$9, $D$9, 100%, $F$9) + CHOOSE(CONTROL!$C$27, 0.0021, 0)</f>
        <v>24.375499999999999</v>
      </c>
      <c r="H64" s="14">
        <f>24.2387 * CHOOSE(CONTROL!$C$9, $D$9, 100%, $F$9) + CHOOSE(CONTROL!$C$27, 0.0021, 0)</f>
        <v>24.2408</v>
      </c>
      <c r="I64" s="14">
        <f>24.2387 * CHOOSE(CONTROL!$C$9, $D$9, 100%, $F$9) + CHOOSE(CONTROL!$C$27, 0.0021, 0)</f>
        <v>24.2408</v>
      </c>
      <c r="J64" s="14">
        <f>24.2387 * CHOOSE(CONTROL!$C$9, $D$9, 100%, $F$9) + CHOOSE(CONTROL!$C$27, 0.0021, 0)</f>
        <v>24.2408</v>
      </c>
      <c r="K64" s="14">
        <f>24.2387 * CHOOSE(CONTROL!$C$9, $D$9, 100%, $F$9) + CHOOSE(CONTROL!$C$27, 0.0021, 0)</f>
        <v>24.2408</v>
      </c>
      <c r="L64" s="14"/>
    </row>
    <row r="65" spans="1:12" ht="15" x14ac:dyDescent="0.2">
      <c r="A65" s="13">
        <v>42887</v>
      </c>
      <c r="B65" s="14">
        <f>24.9933 * CHOOSE(CONTROL!$C$9, $D$9, 100%, $F$9) + CHOOSE(CONTROL!$C$27, 0.0021, 0)</f>
        <v>24.9954</v>
      </c>
      <c r="C65" s="14">
        <f>24.5611 * CHOOSE(CONTROL!$C$9, $D$9, 100%, $F$9) + CHOOSE(CONTROL!$C$27, 0.0021, 0)</f>
        <v>24.563199999999998</v>
      </c>
      <c r="D65" s="14">
        <f>24.5611 * CHOOSE(CONTROL!$C$9, $D$9, 100%, $F$9) + CHOOSE(CONTROL!$C$27, 0.0021, 0)</f>
        <v>24.563199999999998</v>
      </c>
      <c r="E65" s="14">
        <f>24.4244 * CHOOSE(CONTROL!$C$9, $D$9, 100%, $F$9) + CHOOSE(CONTROL!$C$27, 0.0021, 0)</f>
        <v>24.426499999999997</v>
      </c>
      <c r="F65" s="14">
        <f>24.4244 * CHOOSE(CONTROL!$C$9, $D$9, 100%, $F$9) + CHOOSE(CONTROL!$C$27, 0.0021, 0)</f>
        <v>24.426499999999997</v>
      </c>
      <c r="G65" s="14">
        <f>24.6958 * CHOOSE(CONTROL!$C$9, $D$9, 100%, $F$9) + CHOOSE(CONTROL!$C$27, 0.0021, 0)</f>
        <v>24.697899999999997</v>
      </c>
      <c r="H65" s="14">
        <f>24.5611 * CHOOSE(CONTROL!$C$9, $D$9, 100%, $F$9) + CHOOSE(CONTROL!$C$27, 0.0021, 0)</f>
        <v>24.563199999999998</v>
      </c>
      <c r="I65" s="14">
        <f>24.5611 * CHOOSE(CONTROL!$C$9, $D$9, 100%, $F$9) + CHOOSE(CONTROL!$C$27, 0.0021, 0)</f>
        <v>24.563199999999998</v>
      </c>
      <c r="J65" s="14">
        <f>24.5611 * CHOOSE(CONTROL!$C$9, $D$9, 100%, $F$9) + CHOOSE(CONTROL!$C$27, 0.0021, 0)</f>
        <v>24.563199999999998</v>
      </c>
      <c r="K65" s="14">
        <f>24.5611 * CHOOSE(CONTROL!$C$9, $D$9, 100%, $F$9) + CHOOSE(CONTROL!$C$27, 0.0021, 0)</f>
        <v>24.563199999999998</v>
      </c>
      <c r="L65" s="14"/>
    </row>
    <row r="66" spans="1:12" ht="15" x14ac:dyDescent="0.2">
      <c r="A66" s="13">
        <v>42917</v>
      </c>
      <c r="B66" s="14">
        <f>25.4967 * CHOOSE(CONTROL!$C$9, $D$9, 100%, $F$9) + CHOOSE(CONTROL!$C$27, 0.0021, 0)</f>
        <v>25.498799999999999</v>
      </c>
      <c r="C66" s="14">
        <f>25.0645 * CHOOSE(CONTROL!$C$9, $D$9, 100%, $F$9) + CHOOSE(CONTROL!$C$27, 0.0021, 0)</f>
        <v>25.066599999999998</v>
      </c>
      <c r="D66" s="14">
        <f>25.0645 * CHOOSE(CONTROL!$C$9, $D$9, 100%, $F$9) + CHOOSE(CONTROL!$C$27, 0.0021, 0)</f>
        <v>25.066599999999998</v>
      </c>
      <c r="E66" s="14">
        <f>24.9278 * CHOOSE(CONTROL!$C$9, $D$9, 100%, $F$9) + CHOOSE(CONTROL!$C$27, 0.0021, 0)</f>
        <v>24.9299</v>
      </c>
      <c r="F66" s="14">
        <f>24.9278 * CHOOSE(CONTROL!$C$9, $D$9, 100%, $F$9) + CHOOSE(CONTROL!$C$27, 0.0021, 0)</f>
        <v>24.9299</v>
      </c>
      <c r="G66" s="14">
        <f>25.1992 * CHOOSE(CONTROL!$C$9, $D$9, 100%, $F$9) + CHOOSE(CONTROL!$C$27, 0.0021, 0)</f>
        <v>25.2013</v>
      </c>
      <c r="H66" s="14">
        <f>25.0645 * CHOOSE(CONTROL!$C$9, $D$9, 100%, $F$9) + CHOOSE(CONTROL!$C$27, 0.0021, 0)</f>
        <v>25.066599999999998</v>
      </c>
      <c r="I66" s="14">
        <f>25.0645 * CHOOSE(CONTROL!$C$9, $D$9, 100%, $F$9) + CHOOSE(CONTROL!$C$27, 0.0021, 0)</f>
        <v>25.066599999999998</v>
      </c>
      <c r="J66" s="14">
        <f>25.0645 * CHOOSE(CONTROL!$C$9, $D$9, 100%, $F$9) + CHOOSE(CONTROL!$C$27, 0.0021, 0)</f>
        <v>25.066599999999998</v>
      </c>
      <c r="K66" s="14">
        <f>25.0645 * CHOOSE(CONTROL!$C$9, $D$9, 100%, $F$9) + CHOOSE(CONTROL!$C$27, 0.0021, 0)</f>
        <v>25.066599999999998</v>
      </c>
      <c r="L66" s="14"/>
    </row>
    <row r="67" spans="1:12" ht="15" x14ac:dyDescent="0.2">
      <c r="A67" s="13">
        <v>42948</v>
      </c>
      <c r="B67" s="14">
        <f>25.6842 * CHOOSE(CONTROL!$C$9, $D$9, 100%, $F$9) + CHOOSE(CONTROL!$C$27, 0.0021, 0)</f>
        <v>25.686299999999999</v>
      </c>
      <c r="C67" s="14">
        <f>25.252 * CHOOSE(CONTROL!$C$9, $D$9, 100%, $F$9) + CHOOSE(CONTROL!$C$27, 0.0021, 0)</f>
        <v>25.254099999999998</v>
      </c>
      <c r="D67" s="14">
        <f>25.252 * CHOOSE(CONTROL!$C$9, $D$9, 100%, $F$9) + CHOOSE(CONTROL!$C$27, 0.0021, 0)</f>
        <v>25.254099999999998</v>
      </c>
      <c r="E67" s="14">
        <f>25.1153 * CHOOSE(CONTROL!$C$9, $D$9, 100%, $F$9) + CHOOSE(CONTROL!$C$27, 0.0021, 0)</f>
        <v>25.1174</v>
      </c>
      <c r="F67" s="14">
        <f>25.1153 * CHOOSE(CONTROL!$C$9, $D$9, 100%, $F$9) + CHOOSE(CONTROL!$C$27, 0.0021, 0)</f>
        <v>25.1174</v>
      </c>
      <c r="G67" s="14">
        <f>25.3867 * CHOOSE(CONTROL!$C$9, $D$9, 100%, $F$9) + CHOOSE(CONTROL!$C$27, 0.0021, 0)</f>
        <v>25.3888</v>
      </c>
      <c r="H67" s="14">
        <f>25.252 * CHOOSE(CONTROL!$C$9, $D$9, 100%, $F$9) + CHOOSE(CONTROL!$C$27, 0.0021, 0)</f>
        <v>25.254099999999998</v>
      </c>
      <c r="I67" s="14">
        <f>25.252 * CHOOSE(CONTROL!$C$9, $D$9, 100%, $F$9) + CHOOSE(CONTROL!$C$27, 0.0021, 0)</f>
        <v>25.254099999999998</v>
      </c>
      <c r="J67" s="14">
        <f>25.252 * CHOOSE(CONTROL!$C$9, $D$9, 100%, $F$9) + CHOOSE(CONTROL!$C$27, 0.0021, 0)</f>
        <v>25.254099999999998</v>
      </c>
      <c r="K67" s="14">
        <f>25.252 * CHOOSE(CONTROL!$C$9, $D$9, 100%, $F$9) + CHOOSE(CONTROL!$C$27, 0.0021, 0)</f>
        <v>25.254099999999998</v>
      </c>
      <c r="L67" s="14"/>
    </row>
    <row r="68" spans="1:12" ht="15" x14ac:dyDescent="0.2">
      <c r="A68" s="13">
        <v>42979</v>
      </c>
      <c r="B68" s="14">
        <f>26.2091 * CHOOSE(CONTROL!$C$9, $D$9, 100%, $F$9) + CHOOSE(CONTROL!$C$27, 0.0021, 0)</f>
        <v>26.211199999999998</v>
      </c>
      <c r="C68" s="14">
        <f>25.7768 * CHOOSE(CONTROL!$C$9, $D$9, 100%, $F$9) + CHOOSE(CONTROL!$C$27, 0.0021, 0)</f>
        <v>25.7789</v>
      </c>
      <c r="D68" s="14">
        <f>25.7768 * CHOOSE(CONTROL!$C$9, $D$9, 100%, $F$9) + CHOOSE(CONTROL!$C$27, 0.0021, 0)</f>
        <v>25.7789</v>
      </c>
      <c r="E68" s="14">
        <f>25.6401 * CHOOSE(CONTROL!$C$9, $D$9, 100%, $F$9) + CHOOSE(CONTROL!$C$27, 0.0021, 0)</f>
        <v>25.642199999999999</v>
      </c>
      <c r="F68" s="14">
        <f>25.6401 * CHOOSE(CONTROL!$C$9, $D$9, 100%, $F$9) + CHOOSE(CONTROL!$C$27, 0.0021, 0)</f>
        <v>25.642199999999999</v>
      </c>
      <c r="G68" s="14">
        <f>25.9115 * CHOOSE(CONTROL!$C$9, $D$9, 100%, $F$9) + CHOOSE(CONTROL!$C$27, 0.0021, 0)</f>
        <v>25.913599999999999</v>
      </c>
      <c r="H68" s="14">
        <f>25.7768 * CHOOSE(CONTROL!$C$9, $D$9, 100%, $F$9) + CHOOSE(CONTROL!$C$27, 0.0021, 0)</f>
        <v>25.7789</v>
      </c>
      <c r="I68" s="14">
        <f>25.7768 * CHOOSE(CONTROL!$C$9, $D$9, 100%, $F$9) + CHOOSE(CONTROL!$C$27, 0.0021, 0)</f>
        <v>25.7789</v>
      </c>
      <c r="J68" s="14">
        <f>25.7768 * CHOOSE(CONTROL!$C$9, $D$9, 100%, $F$9) + CHOOSE(CONTROL!$C$27, 0.0021, 0)</f>
        <v>25.7789</v>
      </c>
      <c r="K68" s="14">
        <f>25.7768 * CHOOSE(CONTROL!$C$9, $D$9, 100%, $F$9) + CHOOSE(CONTROL!$C$27, 0.0021, 0)</f>
        <v>25.7789</v>
      </c>
      <c r="L68" s="14"/>
    </row>
    <row r="69" spans="1:12" ht="15" x14ac:dyDescent="0.2">
      <c r="A69" s="13">
        <v>43009</v>
      </c>
      <c r="B69" s="14">
        <f>26.8629 * CHOOSE(CONTROL!$C$9, $D$9, 100%, $F$9) + CHOOSE(CONTROL!$C$27, 0.0021, 0)</f>
        <v>26.864999999999998</v>
      </c>
      <c r="C69" s="14">
        <f>26.4307 * CHOOSE(CONTROL!$C$9, $D$9, 100%, $F$9) + CHOOSE(CONTROL!$C$27, 0.0021, 0)</f>
        <v>26.4328</v>
      </c>
      <c r="D69" s="14">
        <f>26.4307 * CHOOSE(CONTROL!$C$9, $D$9, 100%, $F$9) + CHOOSE(CONTROL!$C$27, 0.0021, 0)</f>
        <v>26.4328</v>
      </c>
      <c r="E69" s="14">
        <f>26.294 * CHOOSE(CONTROL!$C$9, $D$9, 100%, $F$9) + CHOOSE(CONTROL!$C$27, 0.0021, 0)</f>
        <v>26.296099999999999</v>
      </c>
      <c r="F69" s="14">
        <f>26.294 * CHOOSE(CONTROL!$C$9, $D$9, 100%, $F$9) + CHOOSE(CONTROL!$C$27, 0.0021, 0)</f>
        <v>26.296099999999999</v>
      </c>
      <c r="G69" s="14">
        <f>26.5654 * CHOOSE(CONTROL!$C$9, $D$9, 100%, $F$9) + CHOOSE(CONTROL!$C$27, 0.0021, 0)</f>
        <v>26.567499999999999</v>
      </c>
      <c r="H69" s="14">
        <f>26.4307 * CHOOSE(CONTROL!$C$9, $D$9, 100%, $F$9) + CHOOSE(CONTROL!$C$27, 0.0021, 0)</f>
        <v>26.4328</v>
      </c>
      <c r="I69" s="14">
        <f>26.4307 * CHOOSE(CONTROL!$C$9, $D$9, 100%, $F$9) + CHOOSE(CONTROL!$C$27, 0.0021, 0)</f>
        <v>26.4328</v>
      </c>
      <c r="J69" s="14">
        <f>26.4307 * CHOOSE(CONTROL!$C$9, $D$9, 100%, $F$9) + CHOOSE(CONTROL!$C$27, 0.0021, 0)</f>
        <v>26.4328</v>
      </c>
      <c r="K69" s="14">
        <f>26.4307 * CHOOSE(CONTROL!$C$9, $D$9, 100%, $F$9) + CHOOSE(CONTROL!$C$27, 0.0021, 0)</f>
        <v>26.4328</v>
      </c>
      <c r="L69" s="14"/>
    </row>
    <row r="70" spans="1:12" ht="15" x14ac:dyDescent="0.2">
      <c r="A70" s="13">
        <v>43040</v>
      </c>
      <c r="B70" s="14">
        <f>26.9704 * CHOOSE(CONTROL!$C$9, $D$9, 100%, $F$9) + CHOOSE(CONTROL!$C$27, 0.0021, 0)</f>
        <v>26.9725</v>
      </c>
      <c r="C70" s="14">
        <f>26.5382 * CHOOSE(CONTROL!$C$9, $D$9, 100%, $F$9) + CHOOSE(CONTROL!$C$27, 0.0021, 0)</f>
        <v>26.540299999999998</v>
      </c>
      <c r="D70" s="14">
        <f>26.5382 * CHOOSE(CONTROL!$C$9, $D$9, 100%, $F$9) + CHOOSE(CONTROL!$C$27, 0.0021, 0)</f>
        <v>26.540299999999998</v>
      </c>
      <c r="E70" s="14">
        <f>26.4015 * CHOOSE(CONTROL!$C$9, $D$9, 100%, $F$9) + CHOOSE(CONTROL!$C$27, 0.0021, 0)</f>
        <v>26.403599999999997</v>
      </c>
      <c r="F70" s="14">
        <f>26.4015 * CHOOSE(CONTROL!$C$9, $D$9, 100%, $F$9) + CHOOSE(CONTROL!$C$27, 0.0021, 0)</f>
        <v>26.403599999999997</v>
      </c>
      <c r="G70" s="14">
        <f>26.6729 * CHOOSE(CONTROL!$C$9, $D$9, 100%, $F$9) + CHOOSE(CONTROL!$C$27, 0.0021, 0)</f>
        <v>26.674999999999997</v>
      </c>
      <c r="H70" s="14">
        <f>26.5382 * CHOOSE(CONTROL!$C$9, $D$9, 100%, $F$9) + CHOOSE(CONTROL!$C$27, 0.0021, 0)</f>
        <v>26.540299999999998</v>
      </c>
      <c r="I70" s="14">
        <f>26.5382 * CHOOSE(CONTROL!$C$9, $D$9, 100%, $F$9) + CHOOSE(CONTROL!$C$27, 0.0021, 0)</f>
        <v>26.540299999999998</v>
      </c>
      <c r="J70" s="14">
        <f>26.5382 * CHOOSE(CONTROL!$C$9, $D$9, 100%, $F$9) + CHOOSE(CONTROL!$C$27, 0.0021, 0)</f>
        <v>26.540299999999998</v>
      </c>
      <c r="K70" s="14">
        <f>26.5382 * CHOOSE(CONTROL!$C$9, $D$9, 100%, $F$9) + CHOOSE(CONTROL!$C$27, 0.0021, 0)</f>
        <v>26.540299999999998</v>
      </c>
      <c r="L70" s="14"/>
    </row>
    <row r="71" spans="1:12" ht="15" x14ac:dyDescent="0.2">
      <c r="A71" s="13">
        <v>43070</v>
      </c>
      <c r="B71" s="14">
        <f>26.5364 * CHOOSE(CONTROL!$C$9, $D$9, 100%, $F$9) + CHOOSE(CONTROL!$C$27, 0.0021, 0)</f>
        <v>26.538499999999999</v>
      </c>
      <c r="C71" s="14">
        <f>26.1041 * CHOOSE(CONTROL!$C$9, $D$9, 100%, $F$9) + CHOOSE(CONTROL!$C$27, 0.0021, 0)</f>
        <v>26.106199999999998</v>
      </c>
      <c r="D71" s="14">
        <f>26.1041 * CHOOSE(CONTROL!$C$9, $D$9, 100%, $F$9) + CHOOSE(CONTROL!$C$27, 0.0021, 0)</f>
        <v>26.106199999999998</v>
      </c>
      <c r="E71" s="14">
        <f>25.9675 * CHOOSE(CONTROL!$C$9, $D$9, 100%, $F$9) + CHOOSE(CONTROL!$C$27, 0.0021, 0)</f>
        <v>25.9696</v>
      </c>
      <c r="F71" s="14">
        <f>25.9675 * CHOOSE(CONTROL!$C$9, $D$9, 100%, $F$9) + CHOOSE(CONTROL!$C$27, 0.0021, 0)</f>
        <v>25.9696</v>
      </c>
      <c r="G71" s="14">
        <f>26.2388 * CHOOSE(CONTROL!$C$9, $D$9, 100%, $F$9) + CHOOSE(CONTROL!$C$27, 0.0021, 0)</f>
        <v>26.2409</v>
      </c>
      <c r="H71" s="14">
        <f>26.1041 * CHOOSE(CONTROL!$C$9, $D$9, 100%, $F$9) + CHOOSE(CONTROL!$C$27, 0.0021, 0)</f>
        <v>26.106199999999998</v>
      </c>
      <c r="I71" s="14">
        <f>26.1041 * CHOOSE(CONTROL!$C$9, $D$9, 100%, $F$9) + CHOOSE(CONTROL!$C$27, 0.0021, 0)</f>
        <v>26.106199999999998</v>
      </c>
      <c r="J71" s="14">
        <f>26.1041 * CHOOSE(CONTROL!$C$9, $D$9, 100%, $F$9) + CHOOSE(CONTROL!$C$27, 0.0021, 0)</f>
        <v>26.106199999999998</v>
      </c>
      <c r="K71" s="14">
        <f>26.1041 * CHOOSE(CONTROL!$C$9, $D$9, 100%, $F$9) + CHOOSE(CONTROL!$C$27, 0.0021, 0)</f>
        <v>26.106199999999998</v>
      </c>
      <c r="L71" s="14"/>
    </row>
    <row r="72" spans="1:12" ht="15" x14ac:dyDescent="0.2">
      <c r="A72" s="13">
        <v>43101</v>
      </c>
      <c r="B72" s="14">
        <f>29.0805 * CHOOSE(CONTROL!$C$9, $D$9, 100%, $F$9) + CHOOSE(CONTROL!$C$27, 0.0021, 0)</f>
        <v>29.082599999999999</v>
      </c>
      <c r="C72" s="14">
        <f>28.6483 * CHOOSE(CONTROL!$C$9, $D$9, 100%, $F$9) + CHOOSE(CONTROL!$C$27, 0.0021, 0)</f>
        <v>28.650399999999998</v>
      </c>
      <c r="D72" s="14">
        <f>28.6483 * CHOOSE(CONTROL!$C$9, $D$9, 100%, $F$9) + CHOOSE(CONTROL!$C$27, 0.0021, 0)</f>
        <v>28.650399999999998</v>
      </c>
      <c r="E72" s="14">
        <f>28.5116 * CHOOSE(CONTROL!$C$9, $D$9, 100%, $F$9) + CHOOSE(CONTROL!$C$27, 0.0021, 0)</f>
        <v>28.5137</v>
      </c>
      <c r="F72" s="14">
        <f>28.5116 * CHOOSE(CONTROL!$C$9, $D$9, 100%, $F$9) + CHOOSE(CONTROL!$C$27, 0.0021, 0)</f>
        <v>28.5137</v>
      </c>
      <c r="G72" s="14">
        <f>28.783 * CHOOSE(CONTROL!$C$9, $D$9, 100%, $F$9) + CHOOSE(CONTROL!$C$27, 0.0021, 0)</f>
        <v>28.7851</v>
      </c>
      <c r="H72" s="14">
        <f>28.6483 * CHOOSE(CONTROL!$C$9, $D$9, 100%, $F$9) + CHOOSE(CONTROL!$C$27, 0.0021, 0)</f>
        <v>28.650399999999998</v>
      </c>
      <c r="I72" s="14">
        <f>28.6483 * CHOOSE(CONTROL!$C$9, $D$9, 100%, $F$9) + CHOOSE(CONTROL!$C$27, 0.0021, 0)</f>
        <v>28.650399999999998</v>
      </c>
      <c r="J72" s="14">
        <f>28.6483 * CHOOSE(CONTROL!$C$9, $D$9, 100%, $F$9) + CHOOSE(CONTROL!$C$27, 0.0021, 0)</f>
        <v>28.650399999999998</v>
      </c>
      <c r="K72" s="14">
        <f>28.6483 * CHOOSE(CONTROL!$C$9, $D$9, 100%, $F$9) + CHOOSE(CONTROL!$C$27, 0.0021, 0)</f>
        <v>28.650399999999998</v>
      </c>
      <c r="L72" s="14"/>
    </row>
    <row r="73" spans="1:12" ht="15" x14ac:dyDescent="0.2">
      <c r="A73" s="13">
        <v>43132</v>
      </c>
      <c r="B73" s="14">
        <f>28.3764 * CHOOSE(CONTROL!$C$9, $D$9, 100%, $F$9) + CHOOSE(CONTROL!$C$27, 0.0021, 0)</f>
        <v>28.378499999999999</v>
      </c>
      <c r="C73" s="14">
        <f>27.9442 * CHOOSE(CONTROL!$C$9, $D$9, 100%, $F$9) + CHOOSE(CONTROL!$C$27, 0.0021, 0)</f>
        <v>27.946299999999997</v>
      </c>
      <c r="D73" s="14">
        <f>27.9442 * CHOOSE(CONTROL!$C$9, $D$9, 100%, $F$9) + CHOOSE(CONTROL!$C$27, 0.0021, 0)</f>
        <v>27.946299999999997</v>
      </c>
      <c r="E73" s="14">
        <f>27.8075 * CHOOSE(CONTROL!$C$9, $D$9, 100%, $F$9) + CHOOSE(CONTROL!$C$27, 0.0021, 0)</f>
        <v>27.8096</v>
      </c>
      <c r="F73" s="14">
        <f>27.8075 * CHOOSE(CONTROL!$C$9, $D$9, 100%, $F$9) + CHOOSE(CONTROL!$C$27, 0.0021, 0)</f>
        <v>27.8096</v>
      </c>
      <c r="G73" s="14">
        <f>28.0789 * CHOOSE(CONTROL!$C$9, $D$9, 100%, $F$9) + CHOOSE(CONTROL!$C$27, 0.0021, 0)</f>
        <v>28.081</v>
      </c>
      <c r="H73" s="14">
        <f>27.9442 * CHOOSE(CONTROL!$C$9, $D$9, 100%, $F$9) + CHOOSE(CONTROL!$C$27, 0.0021, 0)</f>
        <v>27.946299999999997</v>
      </c>
      <c r="I73" s="14">
        <f>27.9442 * CHOOSE(CONTROL!$C$9, $D$9, 100%, $F$9) + CHOOSE(CONTROL!$C$27, 0.0021, 0)</f>
        <v>27.946299999999997</v>
      </c>
      <c r="J73" s="14">
        <f>27.9442 * CHOOSE(CONTROL!$C$9, $D$9, 100%, $F$9) + CHOOSE(CONTROL!$C$27, 0.0021, 0)</f>
        <v>27.946299999999997</v>
      </c>
      <c r="K73" s="14">
        <f>27.9442 * CHOOSE(CONTROL!$C$9, $D$9, 100%, $F$9) + CHOOSE(CONTROL!$C$27, 0.0021, 0)</f>
        <v>27.946299999999997</v>
      </c>
      <c r="L73" s="14"/>
    </row>
    <row r="74" spans="1:12" ht="15" x14ac:dyDescent="0.2">
      <c r="A74" s="13">
        <v>43160</v>
      </c>
      <c r="B74" s="14">
        <f>28.1161 * CHOOSE(CONTROL!$C$9, $D$9, 100%, $F$9) + CHOOSE(CONTROL!$C$27, 0.0021, 0)</f>
        <v>28.118199999999998</v>
      </c>
      <c r="C74" s="14">
        <f>27.6838 * CHOOSE(CONTROL!$C$9, $D$9, 100%, $F$9) + CHOOSE(CONTROL!$C$27, 0.0021, 0)</f>
        <v>27.6859</v>
      </c>
      <c r="D74" s="14">
        <f>27.6838 * CHOOSE(CONTROL!$C$9, $D$9, 100%, $F$9) + CHOOSE(CONTROL!$C$27, 0.0021, 0)</f>
        <v>27.6859</v>
      </c>
      <c r="E74" s="14">
        <f>27.5472 * CHOOSE(CONTROL!$C$9, $D$9, 100%, $F$9) + CHOOSE(CONTROL!$C$27, 0.0021, 0)</f>
        <v>27.549299999999999</v>
      </c>
      <c r="F74" s="14">
        <f>27.5472 * CHOOSE(CONTROL!$C$9, $D$9, 100%, $F$9) + CHOOSE(CONTROL!$C$27, 0.0021, 0)</f>
        <v>27.549299999999999</v>
      </c>
      <c r="G74" s="14">
        <f>27.8185 * CHOOSE(CONTROL!$C$9, $D$9, 100%, $F$9) + CHOOSE(CONTROL!$C$27, 0.0021, 0)</f>
        <v>27.820599999999999</v>
      </c>
      <c r="H74" s="14">
        <f>27.6838 * CHOOSE(CONTROL!$C$9, $D$9, 100%, $F$9) + CHOOSE(CONTROL!$C$27, 0.0021, 0)</f>
        <v>27.6859</v>
      </c>
      <c r="I74" s="14">
        <f>27.6838 * CHOOSE(CONTROL!$C$9, $D$9, 100%, $F$9) + CHOOSE(CONTROL!$C$27, 0.0021, 0)</f>
        <v>27.6859</v>
      </c>
      <c r="J74" s="14">
        <f>27.6838 * CHOOSE(CONTROL!$C$9, $D$9, 100%, $F$9) + CHOOSE(CONTROL!$C$27, 0.0021, 0)</f>
        <v>27.6859</v>
      </c>
      <c r="K74" s="14">
        <f>27.6838 * CHOOSE(CONTROL!$C$9, $D$9, 100%, $F$9) + CHOOSE(CONTROL!$C$27, 0.0021, 0)</f>
        <v>27.6859</v>
      </c>
      <c r="L74" s="14"/>
    </row>
    <row r="75" spans="1:12" ht="15" x14ac:dyDescent="0.2">
      <c r="A75" s="13">
        <v>43191</v>
      </c>
      <c r="B75" s="14">
        <f>27.7935 * CHOOSE(CONTROL!$C$9, $D$9, 100%, $F$9) + CHOOSE(CONTROL!$C$27, 0.0021, 0)</f>
        <v>27.7956</v>
      </c>
      <c r="C75" s="14">
        <f>27.3612 * CHOOSE(CONTROL!$C$9, $D$9, 100%, $F$9) + CHOOSE(CONTROL!$C$27, 0.0021, 0)</f>
        <v>27.363299999999999</v>
      </c>
      <c r="D75" s="14">
        <f>27.3612 * CHOOSE(CONTROL!$C$9, $D$9, 100%, $F$9) + CHOOSE(CONTROL!$C$27, 0.0021, 0)</f>
        <v>27.363299999999999</v>
      </c>
      <c r="E75" s="14">
        <f>27.2246 * CHOOSE(CONTROL!$C$9, $D$9, 100%, $F$9) + CHOOSE(CONTROL!$C$27, 0.0021, 0)</f>
        <v>27.226699999999997</v>
      </c>
      <c r="F75" s="14">
        <f>27.2246 * CHOOSE(CONTROL!$C$9, $D$9, 100%, $F$9) + CHOOSE(CONTROL!$C$27, 0.0021, 0)</f>
        <v>27.226699999999997</v>
      </c>
      <c r="G75" s="14">
        <f>27.496 * CHOOSE(CONTROL!$C$9, $D$9, 100%, $F$9) + CHOOSE(CONTROL!$C$27, 0.0021, 0)</f>
        <v>27.498099999999997</v>
      </c>
      <c r="H75" s="14">
        <f>27.3612 * CHOOSE(CONTROL!$C$9, $D$9, 100%, $F$9) + CHOOSE(CONTROL!$C$27, 0.0021, 0)</f>
        <v>27.363299999999999</v>
      </c>
      <c r="I75" s="14">
        <f>27.3612 * CHOOSE(CONTROL!$C$9, $D$9, 100%, $F$9) + CHOOSE(CONTROL!$C$27, 0.0021, 0)</f>
        <v>27.363299999999999</v>
      </c>
      <c r="J75" s="14">
        <f>27.3612 * CHOOSE(CONTROL!$C$9, $D$9, 100%, $F$9) + CHOOSE(CONTROL!$C$27, 0.0021, 0)</f>
        <v>27.363299999999999</v>
      </c>
      <c r="K75" s="14">
        <f>27.3612 * CHOOSE(CONTROL!$C$9, $D$9, 100%, $F$9) + CHOOSE(CONTROL!$C$27, 0.0021, 0)</f>
        <v>27.363299999999999</v>
      </c>
      <c r="L75" s="14"/>
    </row>
    <row r="76" spans="1:12" ht="15" x14ac:dyDescent="0.2">
      <c r="A76" s="13">
        <v>43221</v>
      </c>
      <c r="B76" s="14">
        <f>28.3827 * CHOOSE(CONTROL!$C$9, $D$9, 100%, $F$9) + CHOOSE(CONTROL!$C$27, 0.0021, 0)</f>
        <v>28.384799999999998</v>
      </c>
      <c r="C76" s="14">
        <f>27.9504 * CHOOSE(CONTROL!$C$9, $D$9, 100%, $F$9) + CHOOSE(CONTROL!$C$27, 0.0021, 0)</f>
        <v>27.952499999999997</v>
      </c>
      <c r="D76" s="14">
        <f>27.9504 * CHOOSE(CONTROL!$C$9, $D$9, 100%, $F$9) + CHOOSE(CONTROL!$C$27, 0.0021, 0)</f>
        <v>27.952499999999997</v>
      </c>
      <c r="E76" s="14">
        <f>27.8138 * CHOOSE(CONTROL!$C$9, $D$9, 100%, $F$9) + CHOOSE(CONTROL!$C$27, 0.0021, 0)</f>
        <v>27.815899999999999</v>
      </c>
      <c r="F76" s="14">
        <f>27.8138 * CHOOSE(CONTROL!$C$9, $D$9, 100%, $F$9) + CHOOSE(CONTROL!$C$27, 0.0021, 0)</f>
        <v>27.815899999999999</v>
      </c>
      <c r="G76" s="14">
        <f>28.0851 * CHOOSE(CONTROL!$C$9, $D$9, 100%, $F$9) + CHOOSE(CONTROL!$C$27, 0.0021, 0)</f>
        <v>28.087199999999999</v>
      </c>
      <c r="H76" s="14">
        <f>27.9504 * CHOOSE(CONTROL!$C$9, $D$9, 100%, $F$9) + CHOOSE(CONTROL!$C$27, 0.0021, 0)</f>
        <v>27.952499999999997</v>
      </c>
      <c r="I76" s="14">
        <f>27.9504 * CHOOSE(CONTROL!$C$9, $D$9, 100%, $F$9) + CHOOSE(CONTROL!$C$27, 0.0021, 0)</f>
        <v>27.952499999999997</v>
      </c>
      <c r="J76" s="14">
        <f>27.9504 * CHOOSE(CONTROL!$C$9, $D$9, 100%, $F$9) + CHOOSE(CONTROL!$C$27, 0.0021, 0)</f>
        <v>27.952499999999997</v>
      </c>
      <c r="K76" s="14">
        <f>27.9504 * CHOOSE(CONTROL!$C$9, $D$9, 100%, $F$9) + CHOOSE(CONTROL!$C$27, 0.0021, 0)</f>
        <v>27.952499999999997</v>
      </c>
      <c r="L76" s="14"/>
    </row>
    <row r="77" spans="1:12" ht="15" x14ac:dyDescent="0.2">
      <c r="A77" s="13">
        <v>43252</v>
      </c>
      <c r="B77" s="14">
        <f>28.7585 * CHOOSE(CONTROL!$C$9, $D$9, 100%, $F$9) + CHOOSE(CONTROL!$C$27, 0.0021, 0)</f>
        <v>28.7606</v>
      </c>
      <c r="C77" s="14">
        <f>28.3262 * CHOOSE(CONTROL!$C$9, $D$9, 100%, $F$9) + CHOOSE(CONTROL!$C$27, 0.0021, 0)</f>
        <v>28.328299999999999</v>
      </c>
      <c r="D77" s="14">
        <f>28.3262 * CHOOSE(CONTROL!$C$9, $D$9, 100%, $F$9) + CHOOSE(CONTROL!$C$27, 0.0021, 0)</f>
        <v>28.328299999999999</v>
      </c>
      <c r="E77" s="14">
        <f>28.1896 * CHOOSE(CONTROL!$C$9, $D$9, 100%, $F$9) + CHOOSE(CONTROL!$C$27, 0.0021, 0)</f>
        <v>28.191699999999997</v>
      </c>
      <c r="F77" s="14">
        <f>28.1896 * CHOOSE(CONTROL!$C$9, $D$9, 100%, $F$9) + CHOOSE(CONTROL!$C$27, 0.0021, 0)</f>
        <v>28.191699999999997</v>
      </c>
      <c r="G77" s="14">
        <f>28.461 * CHOOSE(CONTROL!$C$9, $D$9, 100%, $F$9) + CHOOSE(CONTROL!$C$27, 0.0021, 0)</f>
        <v>28.463099999999997</v>
      </c>
      <c r="H77" s="14">
        <f>28.3262 * CHOOSE(CONTROL!$C$9, $D$9, 100%, $F$9) + CHOOSE(CONTROL!$C$27, 0.0021, 0)</f>
        <v>28.328299999999999</v>
      </c>
      <c r="I77" s="14">
        <f>28.3262 * CHOOSE(CONTROL!$C$9, $D$9, 100%, $F$9) + CHOOSE(CONTROL!$C$27, 0.0021, 0)</f>
        <v>28.328299999999999</v>
      </c>
      <c r="J77" s="14">
        <f>28.3262 * CHOOSE(CONTROL!$C$9, $D$9, 100%, $F$9) + CHOOSE(CONTROL!$C$27, 0.0021, 0)</f>
        <v>28.328299999999999</v>
      </c>
      <c r="K77" s="14">
        <f>28.3262 * CHOOSE(CONTROL!$C$9, $D$9, 100%, $F$9) + CHOOSE(CONTROL!$C$27, 0.0021, 0)</f>
        <v>28.328299999999999</v>
      </c>
      <c r="L77" s="14"/>
    </row>
    <row r="78" spans="1:12" ht="15" x14ac:dyDescent="0.2">
      <c r="A78" s="13">
        <v>43282</v>
      </c>
      <c r="B78" s="14">
        <f>29.3454 * CHOOSE(CONTROL!$C$9, $D$9, 100%, $F$9) + CHOOSE(CONTROL!$C$27, 0.0021, 0)</f>
        <v>29.3475</v>
      </c>
      <c r="C78" s="14">
        <f>28.9132 * CHOOSE(CONTROL!$C$9, $D$9, 100%, $F$9) + CHOOSE(CONTROL!$C$27, 0.0021, 0)</f>
        <v>28.915299999999998</v>
      </c>
      <c r="D78" s="14">
        <f>28.9132 * CHOOSE(CONTROL!$C$9, $D$9, 100%, $F$9) + CHOOSE(CONTROL!$C$27, 0.0021, 0)</f>
        <v>28.915299999999998</v>
      </c>
      <c r="E78" s="14">
        <f>28.7765 * CHOOSE(CONTROL!$C$9, $D$9, 100%, $F$9) + CHOOSE(CONTROL!$C$27, 0.0021, 0)</f>
        <v>28.778599999999997</v>
      </c>
      <c r="F78" s="14">
        <f>28.7765 * CHOOSE(CONTROL!$C$9, $D$9, 100%, $F$9) + CHOOSE(CONTROL!$C$27, 0.0021, 0)</f>
        <v>28.778599999999997</v>
      </c>
      <c r="G78" s="14">
        <f>29.0479 * CHOOSE(CONTROL!$C$9, $D$9, 100%, $F$9) + CHOOSE(CONTROL!$C$27, 0.0021, 0)</f>
        <v>29.049999999999997</v>
      </c>
      <c r="H78" s="14">
        <f>28.9132 * CHOOSE(CONTROL!$C$9, $D$9, 100%, $F$9) + CHOOSE(CONTROL!$C$27, 0.0021, 0)</f>
        <v>28.915299999999998</v>
      </c>
      <c r="I78" s="14">
        <f>28.9132 * CHOOSE(CONTROL!$C$9, $D$9, 100%, $F$9) + CHOOSE(CONTROL!$C$27, 0.0021, 0)</f>
        <v>28.915299999999998</v>
      </c>
      <c r="J78" s="14">
        <f>28.9132 * CHOOSE(CONTROL!$C$9, $D$9, 100%, $F$9) + CHOOSE(CONTROL!$C$27, 0.0021, 0)</f>
        <v>28.915299999999998</v>
      </c>
      <c r="K78" s="14">
        <f>28.9132 * CHOOSE(CONTROL!$C$9, $D$9, 100%, $F$9) + CHOOSE(CONTROL!$C$27, 0.0021, 0)</f>
        <v>28.915299999999998</v>
      </c>
      <c r="L78" s="14"/>
    </row>
    <row r="79" spans="1:12" ht="15" x14ac:dyDescent="0.2">
      <c r="A79" s="13">
        <v>43313</v>
      </c>
      <c r="B79" s="14">
        <f>29.564 * CHOOSE(CONTROL!$C$9, $D$9, 100%, $F$9) + CHOOSE(CONTROL!$C$27, 0.0021, 0)</f>
        <v>29.566099999999999</v>
      </c>
      <c r="C79" s="14">
        <f>29.1317 * CHOOSE(CONTROL!$C$9, $D$9, 100%, $F$9) + CHOOSE(CONTROL!$C$27, 0.0021, 0)</f>
        <v>29.133799999999997</v>
      </c>
      <c r="D79" s="14">
        <f>29.1317 * CHOOSE(CONTROL!$C$9, $D$9, 100%, $F$9) + CHOOSE(CONTROL!$C$27, 0.0021, 0)</f>
        <v>29.133799999999997</v>
      </c>
      <c r="E79" s="14">
        <f>28.9951 * CHOOSE(CONTROL!$C$9, $D$9, 100%, $F$9) + CHOOSE(CONTROL!$C$27, 0.0021, 0)</f>
        <v>28.997199999999999</v>
      </c>
      <c r="F79" s="14">
        <f>28.9951 * CHOOSE(CONTROL!$C$9, $D$9, 100%, $F$9) + CHOOSE(CONTROL!$C$27, 0.0021, 0)</f>
        <v>28.997199999999999</v>
      </c>
      <c r="G79" s="14">
        <f>29.2665 * CHOOSE(CONTROL!$C$9, $D$9, 100%, $F$9) + CHOOSE(CONTROL!$C$27, 0.0021, 0)</f>
        <v>29.268599999999999</v>
      </c>
      <c r="H79" s="14">
        <f>29.1317 * CHOOSE(CONTROL!$C$9, $D$9, 100%, $F$9) + CHOOSE(CONTROL!$C$27, 0.0021, 0)</f>
        <v>29.133799999999997</v>
      </c>
      <c r="I79" s="14">
        <f>29.1317 * CHOOSE(CONTROL!$C$9, $D$9, 100%, $F$9) + CHOOSE(CONTROL!$C$27, 0.0021, 0)</f>
        <v>29.133799999999997</v>
      </c>
      <c r="J79" s="14">
        <f>29.1317 * CHOOSE(CONTROL!$C$9, $D$9, 100%, $F$9) + CHOOSE(CONTROL!$C$27, 0.0021, 0)</f>
        <v>29.133799999999997</v>
      </c>
      <c r="K79" s="14">
        <f>29.1317 * CHOOSE(CONTROL!$C$9, $D$9, 100%, $F$9) + CHOOSE(CONTROL!$C$27, 0.0021, 0)</f>
        <v>29.133799999999997</v>
      </c>
      <c r="L79" s="14"/>
    </row>
    <row r="80" spans="1:12" ht="15" x14ac:dyDescent="0.2">
      <c r="A80" s="13">
        <v>43344</v>
      </c>
      <c r="B80" s="14">
        <f>30.1759 * CHOOSE(CONTROL!$C$9, $D$9, 100%, $F$9) + CHOOSE(CONTROL!$C$27, 0.0021, 0)</f>
        <v>30.177999999999997</v>
      </c>
      <c r="C80" s="14">
        <f>29.7436 * CHOOSE(CONTROL!$C$9, $D$9, 100%, $F$9) + CHOOSE(CONTROL!$C$27, 0.0021, 0)</f>
        <v>29.745699999999999</v>
      </c>
      <c r="D80" s="14">
        <f>29.7436 * CHOOSE(CONTROL!$C$9, $D$9, 100%, $F$9) + CHOOSE(CONTROL!$C$27, 0.0021, 0)</f>
        <v>29.745699999999999</v>
      </c>
      <c r="E80" s="14">
        <f>29.607 * CHOOSE(CONTROL!$C$9, $D$9, 100%, $F$9) + CHOOSE(CONTROL!$C$27, 0.0021, 0)</f>
        <v>29.609099999999998</v>
      </c>
      <c r="F80" s="14">
        <f>29.607 * CHOOSE(CONTROL!$C$9, $D$9, 100%, $F$9) + CHOOSE(CONTROL!$C$27, 0.0021, 0)</f>
        <v>29.609099999999998</v>
      </c>
      <c r="G80" s="14">
        <f>29.8783 * CHOOSE(CONTROL!$C$9, $D$9, 100%, $F$9) + CHOOSE(CONTROL!$C$27, 0.0021, 0)</f>
        <v>29.880399999999998</v>
      </c>
      <c r="H80" s="14">
        <f>29.7436 * CHOOSE(CONTROL!$C$9, $D$9, 100%, $F$9) + CHOOSE(CONTROL!$C$27, 0.0021, 0)</f>
        <v>29.745699999999999</v>
      </c>
      <c r="I80" s="14">
        <f>29.7436 * CHOOSE(CONTROL!$C$9, $D$9, 100%, $F$9) + CHOOSE(CONTROL!$C$27, 0.0021, 0)</f>
        <v>29.745699999999999</v>
      </c>
      <c r="J80" s="14">
        <f>29.7436 * CHOOSE(CONTROL!$C$9, $D$9, 100%, $F$9) + CHOOSE(CONTROL!$C$27, 0.0021, 0)</f>
        <v>29.745699999999999</v>
      </c>
      <c r="K80" s="14">
        <f>29.7436 * CHOOSE(CONTROL!$C$9, $D$9, 100%, $F$9) + CHOOSE(CONTROL!$C$27, 0.0021, 0)</f>
        <v>29.745699999999999</v>
      </c>
      <c r="L80" s="14"/>
    </row>
    <row r="81" spans="1:12" ht="15" x14ac:dyDescent="0.2">
      <c r="A81" s="13">
        <v>43374</v>
      </c>
      <c r="B81" s="14">
        <f>30.9382 * CHOOSE(CONTROL!$C$9, $D$9, 100%, $F$9) + CHOOSE(CONTROL!$C$27, 0.0021, 0)</f>
        <v>30.940299999999997</v>
      </c>
      <c r="C81" s="14">
        <f>30.5059 * CHOOSE(CONTROL!$C$9, $D$9, 100%, $F$9) + CHOOSE(CONTROL!$C$27, 0.0021, 0)</f>
        <v>30.507999999999999</v>
      </c>
      <c r="D81" s="14">
        <f>30.5059 * CHOOSE(CONTROL!$C$9, $D$9, 100%, $F$9) + CHOOSE(CONTROL!$C$27, 0.0021, 0)</f>
        <v>30.507999999999999</v>
      </c>
      <c r="E81" s="14">
        <f>30.3693 * CHOOSE(CONTROL!$C$9, $D$9, 100%, $F$9) + CHOOSE(CONTROL!$C$27, 0.0021, 0)</f>
        <v>30.371399999999998</v>
      </c>
      <c r="F81" s="14">
        <f>30.3693 * CHOOSE(CONTROL!$C$9, $D$9, 100%, $F$9) + CHOOSE(CONTROL!$C$27, 0.0021, 0)</f>
        <v>30.371399999999998</v>
      </c>
      <c r="G81" s="14">
        <f>30.6407 * CHOOSE(CONTROL!$C$9, $D$9, 100%, $F$9) + CHOOSE(CONTROL!$C$27, 0.0021, 0)</f>
        <v>30.642799999999998</v>
      </c>
      <c r="H81" s="14">
        <f>30.5059 * CHOOSE(CONTROL!$C$9, $D$9, 100%, $F$9) + CHOOSE(CONTROL!$C$27, 0.0021, 0)</f>
        <v>30.507999999999999</v>
      </c>
      <c r="I81" s="14">
        <f>30.5059 * CHOOSE(CONTROL!$C$9, $D$9, 100%, $F$9) + CHOOSE(CONTROL!$C$27, 0.0021, 0)</f>
        <v>30.507999999999999</v>
      </c>
      <c r="J81" s="14">
        <f>30.5059 * CHOOSE(CONTROL!$C$9, $D$9, 100%, $F$9) + CHOOSE(CONTROL!$C$27, 0.0021, 0)</f>
        <v>30.507999999999999</v>
      </c>
      <c r="K81" s="14">
        <f>30.5059 * CHOOSE(CONTROL!$C$9, $D$9, 100%, $F$9) + CHOOSE(CONTROL!$C$27, 0.0021, 0)</f>
        <v>30.507999999999999</v>
      </c>
      <c r="L81" s="14"/>
    </row>
    <row r="82" spans="1:12" ht="15" x14ac:dyDescent="0.2">
      <c r="A82" s="13">
        <v>43405</v>
      </c>
      <c r="B82" s="14">
        <f>31.0635 * CHOOSE(CONTROL!$C$9, $D$9, 100%, $F$9) + CHOOSE(CONTROL!$C$27, 0.0021, 0)</f>
        <v>31.0656</v>
      </c>
      <c r="C82" s="14">
        <f>30.6313 * CHOOSE(CONTROL!$C$9, $D$9, 100%, $F$9) + CHOOSE(CONTROL!$C$27, 0.0021, 0)</f>
        <v>30.633399999999998</v>
      </c>
      <c r="D82" s="14">
        <f>30.6313 * CHOOSE(CONTROL!$C$9, $D$9, 100%, $F$9) + CHOOSE(CONTROL!$C$27, 0.0021, 0)</f>
        <v>30.633399999999998</v>
      </c>
      <c r="E82" s="14">
        <f>30.4946 * CHOOSE(CONTROL!$C$9, $D$9, 100%, $F$9) + CHOOSE(CONTROL!$C$27, 0.0021, 0)</f>
        <v>30.496699999999997</v>
      </c>
      <c r="F82" s="14">
        <f>30.4946 * CHOOSE(CONTROL!$C$9, $D$9, 100%, $F$9) + CHOOSE(CONTROL!$C$27, 0.0021, 0)</f>
        <v>30.496699999999997</v>
      </c>
      <c r="G82" s="14">
        <f>30.766 * CHOOSE(CONTROL!$C$9, $D$9, 100%, $F$9) + CHOOSE(CONTROL!$C$27, 0.0021, 0)</f>
        <v>30.768099999999997</v>
      </c>
      <c r="H82" s="14">
        <f>30.6313 * CHOOSE(CONTROL!$C$9, $D$9, 100%, $F$9) + CHOOSE(CONTROL!$C$27, 0.0021, 0)</f>
        <v>30.633399999999998</v>
      </c>
      <c r="I82" s="14">
        <f>30.6313 * CHOOSE(CONTROL!$C$9, $D$9, 100%, $F$9) + CHOOSE(CONTROL!$C$27, 0.0021, 0)</f>
        <v>30.633399999999998</v>
      </c>
      <c r="J82" s="14">
        <f>30.6313 * CHOOSE(CONTROL!$C$9, $D$9, 100%, $F$9) + CHOOSE(CONTROL!$C$27, 0.0021, 0)</f>
        <v>30.633399999999998</v>
      </c>
      <c r="K82" s="14">
        <f>30.6313 * CHOOSE(CONTROL!$C$9, $D$9, 100%, $F$9) + CHOOSE(CONTROL!$C$27, 0.0021, 0)</f>
        <v>30.633399999999998</v>
      </c>
      <c r="L82" s="14"/>
    </row>
    <row r="83" spans="1:12" ht="15" x14ac:dyDescent="0.2">
      <c r="A83" s="13">
        <v>43435</v>
      </c>
      <c r="B83" s="14">
        <f>30.5575 * CHOOSE(CONTROL!$C$9, $D$9, 100%, $F$9) + CHOOSE(CONTROL!$C$27, 0.0021, 0)</f>
        <v>30.5596</v>
      </c>
      <c r="C83" s="14">
        <f>30.1252 * CHOOSE(CONTROL!$C$9, $D$9, 100%, $F$9) + CHOOSE(CONTROL!$C$27, 0.0021, 0)</f>
        <v>30.127299999999998</v>
      </c>
      <c r="D83" s="14">
        <f>30.1252 * CHOOSE(CONTROL!$C$9, $D$9, 100%, $F$9) + CHOOSE(CONTROL!$C$27, 0.0021, 0)</f>
        <v>30.127299999999998</v>
      </c>
      <c r="E83" s="14">
        <f>29.9886 * CHOOSE(CONTROL!$C$9, $D$9, 100%, $F$9) + CHOOSE(CONTROL!$C$27, 0.0021, 0)</f>
        <v>29.9907</v>
      </c>
      <c r="F83" s="14">
        <f>29.9886 * CHOOSE(CONTROL!$C$9, $D$9, 100%, $F$9) + CHOOSE(CONTROL!$C$27, 0.0021, 0)</f>
        <v>29.9907</v>
      </c>
      <c r="G83" s="14">
        <f>30.2599 * CHOOSE(CONTROL!$C$9, $D$9, 100%, $F$9) + CHOOSE(CONTROL!$C$27, 0.0021, 0)</f>
        <v>30.261999999999997</v>
      </c>
      <c r="H83" s="14">
        <f>30.1252 * CHOOSE(CONTROL!$C$9, $D$9, 100%, $F$9) + CHOOSE(CONTROL!$C$27, 0.0021, 0)</f>
        <v>30.127299999999998</v>
      </c>
      <c r="I83" s="14">
        <f>30.1252 * CHOOSE(CONTROL!$C$9, $D$9, 100%, $F$9) + CHOOSE(CONTROL!$C$27, 0.0021, 0)</f>
        <v>30.127299999999998</v>
      </c>
      <c r="J83" s="14">
        <f>30.1252 * CHOOSE(CONTROL!$C$9, $D$9, 100%, $F$9) + CHOOSE(CONTROL!$C$27, 0.0021, 0)</f>
        <v>30.127299999999998</v>
      </c>
      <c r="K83" s="14">
        <f>30.1252 * CHOOSE(CONTROL!$C$9, $D$9, 100%, $F$9) + CHOOSE(CONTROL!$C$27, 0.0021, 0)</f>
        <v>30.127299999999998</v>
      </c>
      <c r="L83" s="14"/>
    </row>
    <row r="84" spans="1:12" ht="15" x14ac:dyDescent="0.2">
      <c r="A84" s="13">
        <v>43466</v>
      </c>
      <c r="B84" s="14">
        <f>30.3838 * CHOOSE(CONTROL!$C$9, $D$9, 100%, $F$9) + CHOOSE(CONTROL!$C$27, 0.0021, 0)</f>
        <v>30.385899999999999</v>
      </c>
      <c r="C84" s="14">
        <f>29.9516 * CHOOSE(CONTROL!$C$9, $D$9, 100%, $F$9) + CHOOSE(CONTROL!$C$27, 0.0021, 0)</f>
        <v>29.953699999999998</v>
      </c>
      <c r="D84" s="14">
        <f>29.9516 * CHOOSE(CONTROL!$C$9, $D$9, 100%, $F$9) + CHOOSE(CONTROL!$C$27, 0.0021, 0)</f>
        <v>29.953699999999998</v>
      </c>
      <c r="E84" s="14">
        <f>29.8149 * CHOOSE(CONTROL!$C$9, $D$9, 100%, $F$9) + CHOOSE(CONTROL!$C$27, 0.0021, 0)</f>
        <v>29.817</v>
      </c>
      <c r="F84" s="14">
        <f>29.8149 * CHOOSE(CONTROL!$C$9, $D$9, 100%, $F$9) + CHOOSE(CONTROL!$C$27, 0.0021, 0)</f>
        <v>29.817</v>
      </c>
      <c r="G84" s="14">
        <f>30.0863 * CHOOSE(CONTROL!$C$9, $D$9, 100%, $F$9) + CHOOSE(CONTROL!$C$27, 0.0021, 0)</f>
        <v>30.0884</v>
      </c>
      <c r="H84" s="14">
        <f>29.9516 * CHOOSE(CONTROL!$C$9, $D$9, 100%, $F$9) + CHOOSE(CONTROL!$C$27, 0.0021, 0)</f>
        <v>29.953699999999998</v>
      </c>
      <c r="I84" s="14">
        <f>29.9516 * CHOOSE(CONTROL!$C$9, $D$9, 100%, $F$9) + CHOOSE(CONTROL!$C$27, 0.0021, 0)</f>
        <v>29.953699999999998</v>
      </c>
      <c r="J84" s="14">
        <f>29.9516 * CHOOSE(CONTROL!$C$9, $D$9, 100%, $F$9) + CHOOSE(CONTROL!$C$27, 0.0021, 0)</f>
        <v>29.953699999999998</v>
      </c>
      <c r="K84" s="14">
        <f>29.9516 * CHOOSE(CONTROL!$C$9, $D$9, 100%, $F$9) + CHOOSE(CONTROL!$C$27, 0.0021, 0)</f>
        <v>29.953699999999998</v>
      </c>
      <c r="L84" s="14"/>
    </row>
    <row r="85" spans="1:12" ht="15" x14ac:dyDescent="0.2">
      <c r="A85" s="13">
        <v>43497</v>
      </c>
      <c r="B85" s="14">
        <f>29.6455 * CHOOSE(CONTROL!$C$9, $D$9, 100%, $F$9) + CHOOSE(CONTROL!$C$27, 0.0021, 0)</f>
        <v>29.647599999999997</v>
      </c>
      <c r="C85" s="14">
        <f>29.2132 * CHOOSE(CONTROL!$C$9, $D$9, 100%, $F$9) + CHOOSE(CONTROL!$C$27, 0.0021, 0)</f>
        <v>29.215299999999999</v>
      </c>
      <c r="D85" s="14">
        <f>29.2132 * CHOOSE(CONTROL!$C$9, $D$9, 100%, $F$9) + CHOOSE(CONTROL!$C$27, 0.0021, 0)</f>
        <v>29.215299999999999</v>
      </c>
      <c r="E85" s="14">
        <f>29.0766 * CHOOSE(CONTROL!$C$9, $D$9, 100%, $F$9) + CHOOSE(CONTROL!$C$27, 0.0021, 0)</f>
        <v>29.078699999999998</v>
      </c>
      <c r="F85" s="14">
        <f>29.0766 * CHOOSE(CONTROL!$C$9, $D$9, 100%, $F$9) + CHOOSE(CONTROL!$C$27, 0.0021, 0)</f>
        <v>29.078699999999998</v>
      </c>
      <c r="G85" s="14">
        <f>29.348 * CHOOSE(CONTROL!$C$9, $D$9, 100%, $F$9) + CHOOSE(CONTROL!$C$27, 0.0021, 0)</f>
        <v>29.350099999999998</v>
      </c>
      <c r="H85" s="14">
        <f>29.2132 * CHOOSE(CONTROL!$C$9, $D$9, 100%, $F$9) + CHOOSE(CONTROL!$C$27, 0.0021, 0)</f>
        <v>29.215299999999999</v>
      </c>
      <c r="I85" s="14">
        <f>29.2132 * CHOOSE(CONTROL!$C$9, $D$9, 100%, $F$9) + CHOOSE(CONTROL!$C$27, 0.0021, 0)</f>
        <v>29.215299999999999</v>
      </c>
      <c r="J85" s="14">
        <f>29.2132 * CHOOSE(CONTROL!$C$9, $D$9, 100%, $F$9) + CHOOSE(CONTROL!$C$27, 0.0021, 0)</f>
        <v>29.215299999999999</v>
      </c>
      <c r="K85" s="14">
        <f>29.2132 * CHOOSE(CONTROL!$C$9, $D$9, 100%, $F$9) + CHOOSE(CONTROL!$C$27, 0.0021, 0)</f>
        <v>29.215299999999999</v>
      </c>
      <c r="L85" s="14"/>
    </row>
    <row r="86" spans="1:12" ht="15" x14ac:dyDescent="0.2">
      <c r="A86" s="13">
        <v>43525</v>
      </c>
      <c r="B86" s="14">
        <f>29.3725 * CHOOSE(CONTROL!$C$9, $D$9, 100%, $F$9) + CHOOSE(CONTROL!$C$27, 0.0021, 0)</f>
        <v>29.374599999999997</v>
      </c>
      <c r="C86" s="14">
        <f>28.9402 * CHOOSE(CONTROL!$C$9, $D$9, 100%, $F$9) + CHOOSE(CONTROL!$C$27, 0.0021, 0)</f>
        <v>28.942299999999999</v>
      </c>
      <c r="D86" s="14">
        <f>28.9402 * CHOOSE(CONTROL!$C$9, $D$9, 100%, $F$9) + CHOOSE(CONTROL!$C$27, 0.0021, 0)</f>
        <v>28.942299999999999</v>
      </c>
      <c r="E86" s="14">
        <f>28.8036 * CHOOSE(CONTROL!$C$9, $D$9, 100%, $F$9) + CHOOSE(CONTROL!$C$27, 0.0021, 0)</f>
        <v>28.805699999999998</v>
      </c>
      <c r="F86" s="14">
        <f>28.8036 * CHOOSE(CONTROL!$C$9, $D$9, 100%, $F$9) + CHOOSE(CONTROL!$C$27, 0.0021, 0)</f>
        <v>28.805699999999998</v>
      </c>
      <c r="G86" s="14">
        <f>29.075 * CHOOSE(CONTROL!$C$9, $D$9, 100%, $F$9) + CHOOSE(CONTROL!$C$27, 0.0021, 0)</f>
        <v>29.077099999999998</v>
      </c>
      <c r="H86" s="14">
        <f>28.9402 * CHOOSE(CONTROL!$C$9, $D$9, 100%, $F$9) + CHOOSE(CONTROL!$C$27, 0.0021, 0)</f>
        <v>28.942299999999999</v>
      </c>
      <c r="I86" s="14">
        <f>28.9402 * CHOOSE(CONTROL!$C$9, $D$9, 100%, $F$9) + CHOOSE(CONTROL!$C$27, 0.0021, 0)</f>
        <v>28.942299999999999</v>
      </c>
      <c r="J86" s="14">
        <f>28.9402 * CHOOSE(CONTROL!$C$9, $D$9, 100%, $F$9) + CHOOSE(CONTROL!$C$27, 0.0021, 0)</f>
        <v>28.942299999999999</v>
      </c>
      <c r="K86" s="14">
        <f>28.9402 * CHOOSE(CONTROL!$C$9, $D$9, 100%, $F$9) + CHOOSE(CONTROL!$C$27, 0.0021, 0)</f>
        <v>28.942299999999999</v>
      </c>
      <c r="L86" s="14"/>
    </row>
    <row r="87" spans="1:12" ht="15" x14ac:dyDescent="0.2">
      <c r="A87" s="13">
        <v>43556</v>
      </c>
      <c r="B87" s="14">
        <f>29.0342 * CHOOSE(CONTROL!$C$9, $D$9, 100%, $F$9) + CHOOSE(CONTROL!$C$27, 0.0021, 0)</f>
        <v>29.036299999999997</v>
      </c>
      <c r="C87" s="14">
        <f>28.602 * CHOOSE(CONTROL!$C$9, $D$9, 100%, $F$9) + CHOOSE(CONTROL!$C$27, 0.0021, 0)</f>
        <v>28.604099999999999</v>
      </c>
      <c r="D87" s="14">
        <f>28.602 * CHOOSE(CONTROL!$C$9, $D$9, 100%, $F$9) + CHOOSE(CONTROL!$C$27, 0.0021, 0)</f>
        <v>28.604099999999999</v>
      </c>
      <c r="E87" s="14">
        <f>28.4653 * CHOOSE(CONTROL!$C$9, $D$9, 100%, $F$9) + CHOOSE(CONTROL!$C$27, 0.0021, 0)</f>
        <v>28.467399999999998</v>
      </c>
      <c r="F87" s="14">
        <f>28.4653 * CHOOSE(CONTROL!$C$9, $D$9, 100%, $F$9) + CHOOSE(CONTROL!$C$27, 0.0021, 0)</f>
        <v>28.467399999999998</v>
      </c>
      <c r="G87" s="14">
        <f>28.7367 * CHOOSE(CONTROL!$C$9, $D$9, 100%, $F$9) + CHOOSE(CONTROL!$C$27, 0.0021, 0)</f>
        <v>28.738799999999998</v>
      </c>
      <c r="H87" s="14">
        <f>28.602 * CHOOSE(CONTROL!$C$9, $D$9, 100%, $F$9) + CHOOSE(CONTROL!$C$27, 0.0021, 0)</f>
        <v>28.604099999999999</v>
      </c>
      <c r="I87" s="14">
        <f>28.602 * CHOOSE(CONTROL!$C$9, $D$9, 100%, $F$9) + CHOOSE(CONTROL!$C$27, 0.0021, 0)</f>
        <v>28.604099999999999</v>
      </c>
      <c r="J87" s="14">
        <f>28.602 * CHOOSE(CONTROL!$C$9, $D$9, 100%, $F$9) + CHOOSE(CONTROL!$C$27, 0.0021, 0)</f>
        <v>28.604099999999999</v>
      </c>
      <c r="K87" s="14">
        <f>28.602 * CHOOSE(CONTROL!$C$9, $D$9, 100%, $F$9) + CHOOSE(CONTROL!$C$27, 0.0021, 0)</f>
        <v>28.604099999999999</v>
      </c>
      <c r="L87" s="14"/>
    </row>
    <row r="88" spans="1:12" ht="15" x14ac:dyDescent="0.2">
      <c r="A88" s="13">
        <v>43586</v>
      </c>
      <c r="B88" s="14">
        <f>29.652 * CHOOSE(CONTROL!$C$9, $D$9, 100%, $F$9) + CHOOSE(CONTROL!$C$27, 0.0021, 0)</f>
        <v>29.6541</v>
      </c>
      <c r="C88" s="14">
        <f>29.2198 * CHOOSE(CONTROL!$C$9, $D$9, 100%, $F$9) + CHOOSE(CONTROL!$C$27, 0.0021, 0)</f>
        <v>29.221899999999998</v>
      </c>
      <c r="D88" s="14">
        <f>29.2198 * CHOOSE(CONTROL!$C$9, $D$9, 100%, $F$9) + CHOOSE(CONTROL!$C$27, 0.0021, 0)</f>
        <v>29.221899999999998</v>
      </c>
      <c r="E88" s="14">
        <f>29.0831 * CHOOSE(CONTROL!$C$9, $D$9, 100%, $F$9) + CHOOSE(CONTROL!$C$27, 0.0021, 0)</f>
        <v>29.0852</v>
      </c>
      <c r="F88" s="14">
        <f>29.0831 * CHOOSE(CONTROL!$C$9, $D$9, 100%, $F$9) + CHOOSE(CONTROL!$C$27, 0.0021, 0)</f>
        <v>29.0852</v>
      </c>
      <c r="G88" s="14">
        <f>29.3545 * CHOOSE(CONTROL!$C$9, $D$9, 100%, $F$9) + CHOOSE(CONTROL!$C$27, 0.0021, 0)</f>
        <v>29.3566</v>
      </c>
      <c r="H88" s="14">
        <f>29.2198 * CHOOSE(CONTROL!$C$9, $D$9, 100%, $F$9) + CHOOSE(CONTROL!$C$27, 0.0021, 0)</f>
        <v>29.221899999999998</v>
      </c>
      <c r="I88" s="14">
        <f>29.2198 * CHOOSE(CONTROL!$C$9, $D$9, 100%, $F$9) + CHOOSE(CONTROL!$C$27, 0.0021, 0)</f>
        <v>29.221899999999998</v>
      </c>
      <c r="J88" s="14">
        <f>29.2198 * CHOOSE(CONTROL!$C$9, $D$9, 100%, $F$9) + CHOOSE(CONTROL!$C$27, 0.0021, 0)</f>
        <v>29.221899999999998</v>
      </c>
      <c r="K88" s="14">
        <f>29.2198 * CHOOSE(CONTROL!$C$9, $D$9, 100%, $F$9) + CHOOSE(CONTROL!$C$27, 0.0021, 0)</f>
        <v>29.221899999999998</v>
      </c>
      <c r="L88" s="14"/>
    </row>
    <row r="89" spans="1:12" ht="15" x14ac:dyDescent="0.2">
      <c r="A89" s="13">
        <v>43617</v>
      </c>
      <c r="B89" s="14">
        <f>30.0461 * CHOOSE(CONTROL!$C$9, $D$9, 100%, $F$9) + CHOOSE(CONTROL!$C$27, 0.0021, 0)</f>
        <v>30.048199999999998</v>
      </c>
      <c r="C89" s="14">
        <f>29.6139 * CHOOSE(CONTROL!$C$9, $D$9, 100%, $F$9) + CHOOSE(CONTROL!$C$27, 0.0021, 0)</f>
        <v>29.616</v>
      </c>
      <c r="D89" s="14">
        <f>29.6139 * CHOOSE(CONTROL!$C$9, $D$9, 100%, $F$9) + CHOOSE(CONTROL!$C$27, 0.0021, 0)</f>
        <v>29.616</v>
      </c>
      <c r="E89" s="14">
        <f>29.4772 * CHOOSE(CONTROL!$C$9, $D$9, 100%, $F$9) + CHOOSE(CONTROL!$C$27, 0.0021, 0)</f>
        <v>29.479299999999999</v>
      </c>
      <c r="F89" s="14">
        <f>29.4772 * CHOOSE(CONTROL!$C$9, $D$9, 100%, $F$9) + CHOOSE(CONTROL!$C$27, 0.0021, 0)</f>
        <v>29.479299999999999</v>
      </c>
      <c r="G89" s="14">
        <f>29.7486 * CHOOSE(CONTROL!$C$9, $D$9, 100%, $F$9) + CHOOSE(CONTROL!$C$27, 0.0021, 0)</f>
        <v>29.750699999999998</v>
      </c>
      <c r="H89" s="14">
        <f>29.6139 * CHOOSE(CONTROL!$C$9, $D$9, 100%, $F$9) + CHOOSE(CONTROL!$C$27, 0.0021, 0)</f>
        <v>29.616</v>
      </c>
      <c r="I89" s="14">
        <f>29.6139 * CHOOSE(CONTROL!$C$9, $D$9, 100%, $F$9) + CHOOSE(CONTROL!$C$27, 0.0021, 0)</f>
        <v>29.616</v>
      </c>
      <c r="J89" s="14">
        <f>29.6139 * CHOOSE(CONTROL!$C$9, $D$9, 100%, $F$9) + CHOOSE(CONTROL!$C$27, 0.0021, 0)</f>
        <v>29.616</v>
      </c>
      <c r="K89" s="14">
        <f>29.6139 * CHOOSE(CONTROL!$C$9, $D$9, 100%, $F$9) + CHOOSE(CONTROL!$C$27, 0.0021, 0)</f>
        <v>29.616</v>
      </c>
      <c r="L89" s="14"/>
    </row>
    <row r="90" spans="1:12" ht="15" x14ac:dyDescent="0.2">
      <c r="A90" s="13">
        <v>43647</v>
      </c>
      <c r="B90" s="14">
        <f>30.6616 * CHOOSE(CONTROL!$C$9, $D$9, 100%, $F$9) + CHOOSE(CONTROL!$C$27, 0.0021, 0)</f>
        <v>30.663699999999999</v>
      </c>
      <c r="C90" s="14">
        <f>30.2294 * CHOOSE(CONTROL!$C$9, $D$9, 100%, $F$9) + CHOOSE(CONTROL!$C$27, 0.0021, 0)</f>
        <v>30.231499999999997</v>
      </c>
      <c r="D90" s="14">
        <f>30.2294 * CHOOSE(CONTROL!$C$9, $D$9, 100%, $F$9) + CHOOSE(CONTROL!$C$27, 0.0021, 0)</f>
        <v>30.231499999999997</v>
      </c>
      <c r="E90" s="14">
        <f>30.0927 * CHOOSE(CONTROL!$C$9, $D$9, 100%, $F$9) + CHOOSE(CONTROL!$C$27, 0.0021, 0)</f>
        <v>30.094799999999999</v>
      </c>
      <c r="F90" s="14">
        <f>30.0927 * CHOOSE(CONTROL!$C$9, $D$9, 100%, $F$9) + CHOOSE(CONTROL!$C$27, 0.0021, 0)</f>
        <v>30.094799999999999</v>
      </c>
      <c r="G90" s="14">
        <f>30.3641 * CHOOSE(CONTROL!$C$9, $D$9, 100%, $F$9) + CHOOSE(CONTROL!$C$27, 0.0021, 0)</f>
        <v>30.366199999999999</v>
      </c>
      <c r="H90" s="14">
        <f>30.2294 * CHOOSE(CONTROL!$C$9, $D$9, 100%, $F$9) + CHOOSE(CONTROL!$C$27, 0.0021, 0)</f>
        <v>30.231499999999997</v>
      </c>
      <c r="I90" s="14">
        <f>30.2294 * CHOOSE(CONTROL!$C$9, $D$9, 100%, $F$9) + CHOOSE(CONTROL!$C$27, 0.0021, 0)</f>
        <v>30.231499999999997</v>
      </c>
      <c r="J90" s="14">
        <f>30.2294 * CHOOSE(CONTROL!$C$9, $D$9, 100%, $F$9) + CHOOSE(CONTROL!$C$27, 0.0021, 0)</f>
        <v>30.231499999999997</v>
      </c>
      <c r="K90" s="14">
        <f>30.2294 * CHOOSE(CONTROL!$C$9, $D$9, 100%, $F$9) + CHOOSE(CONTROL!$C$27, 0.0021, 0)</f>
        <v>30.231499999999997</v>
      </c>
      <c r="L90" s="14"/>
    </row>
    <row r="91" spans="1:12" ht="15" x14ac:dyDescent="0.2">
      <c r="A91" s="13">
        <v>43678</v>
      </c>
      <c r="B91" s="14">
        <f>30.8908 * CHOOSE(CONTROL!$C$9, $D$9, 100%, $F$9) + CHOOSE(CONTROL!$C$27, 0.0021, 0)</f>
        <v>30.892899999999997</v>
      </c>
      <c r="C91" s="14">
        <f>30.4586 * CHOOSE(CONTROL!$C$9, $D$9, 100%, $F$9) + CHOOSE(CONTROL!$C$27, 0.0021, 0)</f>
        <v>30.460699999999999</v>
      </c>
      <c r="D91" s="14">
        <f>30.4586 * CHOOSE(CONTROL!$C$9, $D$9, 100%, $F$9) + CHOOSE(CONTROL!$C$27, 0.0021, 0)</f>
        <v>30.460699999999999</v>
      </c>
      <c r="E91" s="14">
        <f>30.3219 * CHOOSE(CONTROL!$C$9, $D$9, 100%, $F$9) + CHOOSE(CONTROL!$C$27, 0.0021, 0)</f>
        <v>30.323999999999998</v>
      </c>
      <c r="F91" s="14">
        <f>30.3219 * CHOOSE(CONTROL!$C$9, $D$9, 100%, $F$9) + CHOOSE(CONTROL!$C$27, 0.0021, 0)</f>
        <v>30.323999999999998</v>
      </c>
      <c r="G91" s="14">
        <f>30.5933 * CHOOSE(CONTROL!$C$9, $D$9, 100%, $F$9) + CHOOSE(CONTROL!$C$27, 0.0021, 0)</f>
        <v>30.595399999999998</v>
      </c>
      <c r="H91" s="14">
        <f>30.4586 * CHOOSE(CONTROL!$C$9, $D$9, 100%, $F$9) + CHOOSE(CONTROL!$C$27, 0.0021, 0)</f>
        <v>30.460699999999999</v>
      </c>
      <c r="I91" s="14">
        <f>30.4586 * CHOOSE(CONTROL!$C$9, $D$9, 100%, $F$9) + CHOOSE(CONTROL!$C$27, 0.0021, 0)</f>
        <v>30.460699999999999</v>
      </c>
      <c r="J91" s="14">
        <f>30.4586 * CHOOSE(CONTROL!$C$9, $D$9, 100%, $F$9) + CHOOSE(CONTROL!$C$27, 0.0021, 0)</f>
        <v>30.460699999999999</v>
      </c>
      <c r="K91" s="14">
        <f>30.4586 * CHOOSE(CONTROL!$C$9, $D$9, 100%, $F$9) + CHOOSE(CONTROL!$C$27, 0.0021, 0)</f>
        <v>30.460699999999999</v>
      </c>
      <c r="L91" s="14"/>
    </row>
    <row r="92" spans="1:12" ht="15" x14ac:dyDescent="0.2">
      <c r="A92" s="13">
        <v>43709</v>
      </c>
      <c r="B92" s="14">
        <f>31.5325 * CHOOSE(CONTROL!$C$9, $D$9, 100%, $F$9) + CHOOSE(CONTROL!$C$27, 0.0021, 0)</f>
        <v>31.534599999999998</v>
      </c>
      <c r="C92" s="14">
        <f>31.1002 * CHOOSE(CONTROL!$C$9, $D$9, 100%, $F$9) + CHOOSE(CONTROL!$C$27, 0.0021, 0)</f>
        <v>31.1023</v>
      </c>
      <c r="D92" s="14">
        <f>31.1002 * CHOOSE(CONTROL!$C$9, $D$9, 100%, $F$9) + CHOOSE(CONTROL!$C$27, 0.0021, 0)</f>
        <v>31.1023</v>
      </c>
      <c r="E92" s="14">
        <f>30.9636 * CHOOSE(CONTROL!$C$9, $D$9, 100%, $F$9) + CHOOSE(CONTROL!$C$27, 0.0021, 0)</f>
        <v>30.965699999999998</v>
      </c>
      <c r="F92" s="14">
        <f>30.9636 * CHOOSE(CONTROL!$C$9, $D$9, 100%, $F$9) + CHOOSE(CONTROL!$C$27, 0.0021, 0)</f>
        <v>30.965699999999998</v>
      </c>
      <c r="G92" s="14">
        <f>31.235 * CHOOSE(CONTROL!$C$9, $D$9, 100%, $F$9) + CHOOSE(CONTROL!$C$27, 0.0021, 0)</f>
        <v>31.237099999999998</v>
      </c>
      <c r="H92" s="14">
        <f>31.1002 * CHOOSE(CONTROL!$C$9, $D$9, 100%, $F$9) + CHOOSE(CONTROL!$C$27, 0.0021, 0)</f>
        <v>31.1023</v>
      </c>
      <c r="I92" s="14">
        <f>31.1002 * CHOOSE(CONTROL!$C$9, $D$9, 100%, $F$9) + CHOOSE(CONTROL!$C$27, 0.0021, 0)</f>
        <v>31.1023</v>
      </c>
      <c r="J92" s="14">
        <f>31.1002 * CHOOSE(CONTROL!$C$9, $D$9, 100%, $F$9) + CHOOSE(CONTROL!$C$27, 0.0021, 0)</f>
        <v>31.1023</v>
      </c>
      <c r="K92" s="14">
        <f>31.1002 * CHOOSE(CONTROL!$C$9, $D$9, 100%, $F$9) + CHOOSE(CONTROL!$C$27, 0.0021, 0)</f>
        <v>31.1023</v>
      </c>
      <c r="L92" s="14"/>
    </row>
    <row r="93" spans="1:12" ht="15" x14ac:dyDescent="0.2">
      <c r="A93" s="13">
        <v>43739</v>
      </c>
      <c r="B93" s="14">
        <f>32.3319 * CHOOSE(CONTROL!$C$9, $D$9, 100%, $F$9) + CHOOSE(CONTROL!$C$27, 0.0021, 0)</f>
        <v>32.333999999999996</v>
      </c>
      <c r="C93" s="14">
        <f>31.8997 * CHOOSE(CONTROL!$C$9, $D$9, 100%, $F$9) + CHOOSE(CONTROL!$C$27, 0.0021, 0)</f>
        <v>31.901799999999998</v>
      </c>
      <c r="D93" s="14">
        <f>31.8997 * CHOOSE(CONTROL!$C$9, $D$9, 100%, $F$9) + CHOOSE(CONTROL!$C$27, 0.0021, 0)</f>
        <v>31.901799999999998</v>
      </c>
      <c r="E93" s="14">
        <f>31.763 * CHOOSE(CONTROL!$C$9, $D$9, 100%, $F$9) + CHOOSE(CONTROL!$C$27, 0.0021, 0)</f>
        <v>31.7651</v>
      </c>
      <c r="F93" s="14">
        <f>31.763 * CHOOSE(CONTROL!$C$9, $D$9, 100%, $F$9) + CHOOSE(CONTROL!$C$27, 0.0021, 0)</f>
        <v>31.7651</v>
      </c>
      <c r="G93" s="14">
        <f>32.0344 * CHOOSE(CONTROL!$C$9, $D$9, 100%, $F$9) + CHOOSE(CONTROL!$C$27, 0.0021, 0)</f>
        <v>32.036499999999997</v>
      </c>
      <c r="H93" s="14">
        <f>31.8997 * CHOOSE(CONTROL!$C$9, $D$9, 100%, $F$9) + CHOOSE(CONTROL!$C$27, 0.0021, 0)</f>
        <v>31.901799999999998</v>
      </c>
      <c r="I93" s="14">
        <f>31.8997 * CHOOSE(CONTROL!$C$9, $D$9, 100%, $F$9) + CHOOSE(CONTROL!$C$27, 0.0021, 0)</f>
        <v>31.901799999999998</v>
      </c>
      <c r="J93" s="14">
        <f>31.8997 * CHOOSE(CONTROL!$C$9, $D$9, 100%, $F$9) + CHOOSE(CONTROL!$C$27, 0.0021, 0)</f>
        <v>31.901799999999998</v>
      </c>
      <c r="K93" s="14">
        <f>31.8997 * CHOOSE(CONTROL!$C$9, $D$9, 100%, $F$9) + CHOOSE(CONTROL!$C$27, 0.0021, 0)</f>
        <v>31.901799999999998</v>
      </c>
      <c r="L93" s="14"/>
    </row>
    <row r="94" spans="1:12" ht="15" x14ac:dyDescent="0.2">
      <c r="A94" s="13">
        <v>43770</v>
      </c>
      <c r="B94" s="14">
        <f>32.4633 * CHOOSE(CONTROL!$C$9, $D$9, 100%, $F$9) + CHOOSE(CONTROL!$C$27, 0.0021, 0)</f>
        <v>32.465399999999995</v>
      </c>
      <c r="C94" s="14">
        <f>32.0311 * CHOOSE(CONTROL!$C$9, $D$9, 100%, $F$9) + CHOOSE(CONTROL!$C$27, 0.0021, 0)</f>
        <v>32.033200000000001</v>
      </c>
      <c r="D94" s="14">
        <f>32.0311 * CHOOSE(CONTROL!$C$9, $D$9, 100%, $F$9) + CHOOSE(CONTROL!$C$27, 0.0021, 0)</f>
        <v>32.033200000000001</v>
      </c>
      <c r="E94" s="14">
        <f>31.8944 * CHOOSE(CONTROL!$C$9, $D$9, 100%, $F$9) + CHOOSE(CONTROL!$C$27, 0.0021, 0)</f>
        <v>31.8965</v>
      </c>
      <c r="F94" s="14">
        <f>31.8944 * CHOOSE(CONTROL!$C$9, $D$9, 100%, $F$9) + CHOOSE(CONTROL!$C$27, 0.0021, 0)</f>
        <v>31.8965</v>
      </c>
      <c r="G94" s="14">
        <f>32.1658 * CHOOSE(CONTROL!$C$9, $D$9, 100%, $F$9) + CHOOSE(CONTROL!$C$27, 0.0021, 0)</f>
        <v>32.167899999999996</v>
      </c>
      <c r="H94" s="14">
        <f>32.0311 * CHOOSE(CONTROL!$C$9, $D$9, 100%, $F$9) + CHOOSE(CONTROL!$C$27, 0.0021, 0)</f>
        <v>32.033200000000001</v>
      </c>
      <c r="I94" s="14">
        <f>32.0311 * CHOOSE(CONTROL!$C$9, $D$9, 100%, $F$9) + CHOOSE(CONTROL!$C$27, 0.0021, 0)</f>
        <v>32.033200000000001</v>
      </c>
      <c r="J94" s="14">
        <f>32.0311 * CHOOSE(CONTROL!$C$9, $D$9, 100%, $F$9) + CHOOSE(CONTROL!$C$27, 0.0021, 0)</f>
        <v>32.033200000000001</v>
      </c>
      <c r="K94" s="14">
        <f>32.0311 * CHOOSE(CONTROL!$C$9, $D$9, 100%, $F$9) + CHOOSE(CONTROL!$C$27, 0.0021, 0)</f>
        <v>32.033200000000001</v>
      </c>
      <c r="L94" s="14"/>
    </row>
    <row r="95" spans="1:12" ht="15" x14ac:dyDescent="0.2">
      <c r="A95" s="13">
        <v>43800</v>
      </c>
      <c r="B95" s="14">
        <f>31.9327 * CHOOSE(CONTROL!$C$9, $D$9, 100%, $F$9) + CHOOSE(CONTROL!$C$27, 0.0021, 0)</f>
        <v>31.934799999999999</v>
      </c>
      <c r="C95" s="14">
        <f>31.5004 * CHOOSE(CONTROL!$C$9, $D$9, 100%, $F$9) + CHOOSE(CONTROL!$C$27, 0.0021, 0)</f>
        <v>31.502499999999998</v>
      </c>
      <c r="D95" s="14">
        <f>31.5004 * CHOOSE(CONTROL!$C$9, $D$9, 100%, $F$9) + CHOOSE(CONTROL!$C$27, 0.0021, 0)</f>
        <v>31.502499999999998</v>
      </c>
      <c r="E95" s="14">
        <f>31.3638 * CHOOSE(CONTROL!$C$9, $D$9, 100%, $F$9) + CHOOSE(CONTROL!$C$27, 0.0021, 0)</f>
        <v>31.3659</v>
      </c>
      <c r="F95" s="14">
        <f>31.3638 * CHOOSE(CONTROL!$C$9, $D$9, 100%, $F$9) + CHOOSE(CONTROL!$C$27, 0.0021, 0)</f>
        <v>31.3659</v>
      </c>
      <c r="G95" s="14">
        <f>31.6351 * CHOOSE(CONTROL!$C$9, $D$9, 100%, $F$9) + CHOOSE(CONTROL!$C$27, 0.0021, 0)</f>
        <v>31.6372</v>
      </c>
      <c r="H95" s="14">
        <f>31.5004 * CHOOSE(CONTROL!$C$9, $D$9, 100%, $F$9) + CHOOSE(CONTROL!$C$27, 0.0021, 0)</f>
        <v>31.502499999999998</v>
      </c>
      <c r="I95" s="14">
        <f>31.5004 * CHOOSE(CONTROL!$C$9, $D$9, 100%, $F$9) + CHOOSE(CONTROL!$C$27, 0.0021, 0)</f>
        <v>31.502499999999998</v>
      </c>
      <c r="J95" s="14">
        <f>31.5004 * CHOOSE(CONTROL!$C$9, $D$9, 100%, $F$9) + CHOOSE(CONTROL!$C$27, 0.0021, 0)</f>
        <v>31.502499999999998</v>
      </c>
      <c r="K95" s="14">
        <f>31.5004 * CHOOSE(CONTROL!$C$9, $D$9, 100%, $F$9) + CHOOSE(CONTROL!$C$27, 0.0021, 0)</f>
        <v>31.502499999999998</v>
      </c>
      <c r="L95" s="14"/>
    </row>
    <row r="96" spans="1:12" ht="15" x14ac:dyDescent="0.2">
      <c r="A96" s="13">
        <v>43831</v>
      </c>
      <c r="B96" s="14">
        <f>31.9494 * CHOOSE(CONTROL!$C$9, $D$9, 100%, $F$9) + CHOOSE(CONTROL!$C$27, 0.0021, 0)</f>
        <v>31.951499999999999</v>
      </c>
      <c r="C96" s="14">
        <f>31.5172 * CHOOSE(CONTROL!$C$9, $D$9, 100%, $F$9) + CHOOSE(CONTROL!$C$27, 0.0021, 0)</f>
        <v>31.519299999999998</v>
      </c>
      <c r="D96" s="14">
        <f>31.5172 * CHOOSE(CONTROL!$C$9, $D$9, 100%, $F$9) + CHOOSE(CONTROL!$C$27, 0.0021, 0)</f>
        <v>31.519299999999998</v>
      </c>
      <c r="E96" s="14">
        <f>31.3805 * CHOOSE(CONTROL!$C$9, $D$9, 100%, $F$9) + CHOOSE(CONTROL!$C$27, 0.0021, 0)</f>
        <v>31.3826</v>
      </c>
      <c r="F96" s="14">
        <f>31.3805 * CHOOSE(CONTROL!$C$9, $D$9, 100%, $F$9) + CHOOSE(CONTROL!$C$27, 0.0021, 0)</f>
        <v>31.3826</v>
      </c>
      <c r="G96" s="14">
        <f>31.6519 * CHOOSE(CONTROL!$C$9, $D$9, 100%, $F$9) + CHOOSE(CONTROL!$C$27, 0.0021, 0)</f>
        <v>31.654</v>
      </c>
      <c r="H96" s="14">
        <f>31.5172 * CHOOSE(CONTROL!$C$9, $D$9, 100%, $F$9) + CHOOSE(CONTROL!$C$27, 0.0021, 0)</f>
        <v>31.519299999999998</v>
      </c>
      <c r="I96" s="14">
        <f>31.5172 * CHOOSE(CONTROL!$C$9, $D$9, 100%, $F$9) + CHOOSE(CONTROL!$C$27, 0.0021, 0)</f>
        <v>31.519299999999998</v>
      </c>
      <c r="J96" s="14">
        <f>31.5172 * CHOOSE(CONTROL!$C$9, $D$9, 100%, $F$9) + CHOOSE(CONTROL!$C$27, 0.0021, 0)</f>
        <v>31.519299999999998</v>
      </c>
      <c r="K96" s="14">
        <f>31.5172 * CHOOSE(CONTROL!$C$9, $D$9, 100%, $F$9) + CHOOSE(CONTROL!$C$27, 0.0021, 0)</f>
        <v>31.519299999999998</v>
      </c>
      <c r="L96" s="14"/>
    </row>
    <row r="97" spans="1:12" ht="15" x14ac:dyDescent="0.2">
      <c r="A97" s="13">
        <v>43862</v>
      </c>
      <c r="B97" s="14">
        <f>31.1699 * CHOOSE(CONTROL!$C$9, $D$9, 100%, $F$9) + CHOOSE(CONTROL!$C$27, 0.0021, 0)</f>
        <v>31.171999999999997</v>
      </c>
      <c r="C97" s="14">
        <f>30.7377 * CHOOSE(CONTROL!$C$9, $D$9, 100%, $F$9) + CHOOSE(CONTROL!$C$27, 0.0021, 0)</f>
        <v>30.739799999999999</v>
      </c>
      <c r="D97" s="14">
        <f>30.7377 * CHOOSE(CONTROL!$C$9, $D$9, 100%, $F$9) + CHOOSE(CONTROL!$C$27, 0.0021, 0)</f>
        <v>30.739799999999999</v>
      </c>
      <c r="E97" s="14">
        <f>30.601 * CHOOSE(CONTROL!$C$9, $D$9, 100%, $F$9) + CHOOSE(CONTROL!$C$27, 0.0021, 0)</f>
        <v>30.603099999999998</v>
      </c>
      <c r="F97" s="14">
        <f>30.601 * CHOOSE(CONTROL!$C$9, $D$9, 100%, $F$9) + CHOOSE(CONTROL!$C$27, 0.0021, 0)</f>
        <v>30.603099999999998</v>
      </c>
      <c r="G97" s="14">
        <f>30.8724 * CHOOSE(CONTROL!$C$9, $D$9, 100%, $F$9) + CHOOSE(CONTROL!$C$27, 0.0021, 0)</f>
        <v>30.874499999999998</v>
      </c>
      <c r="H97" s="14">
        <f>30.7377 * CHOOSE(CONTROL!$C$9, $D$9, 100%, $F$9) + CHOOSE(CONTROL!$C$27, 0.0021, 0)</f>
        <v>30.739799999999999</v>
      </c>
      <c r="I97" s="14">
        <f>30.7377 * CHOOSE(CONTROL!$C$9, $D$9, 100%, $F$9) + CHOOSE(CONTROL!$C$27, 0.0021, 0)</f>
        <v>30.739799999999999</v>
      </c>
      <c r="J97" s="14">
        <f>30.7377 * CHOOSE(CONTROL!$C$9, $D$9, 100%, $F$9) + CHOOSE(CONTROL!$C$27, 0.0021, 0)</f>
        <v>30.739799999999999</v>
      </c>
      <c r="K97" s="14">
        <f>30.7377 * CHOOSE(CONTROL!$C$9, $D$9, 100%, $F$9) + CHOOSE(CONTROL!$C$27, 0.0021, 0)</f>
        <v>30.739799999999999</v>
      </c>
      <c r="L97" s="14"/>
    </row>
    <row r="98" spans="1:12" ht="15" x14ac:dyDescent="0.2">
      <c r="A98" s="13">
        <v>43891</v>
      </c>
      <c r="B98" s="14">
        <f>30.8817 * CHOOSE(CONTROL!$C$9, $D$9, 100%, $F$9) + CHOOSE(CONTROL!$C$27, 0.0021, 0)</f>
        <v>30.883799999999997</v>
      </c>
      <c r="C98" s="14">
        <f>30.4494 * CHOOSE(CONTROL!$C$9, $D$9, 100%, $F$9) + CHOOSE(CONTROL!$C$27, 0.0021, 0)</f>
        <v>30.451499999999999</v>
      </c>
      <c r="D98" s="14">
        <f>30.4494 * CHOOSE(CONTROL!$C$9, $D$9, 100%, $F$9) + CHOOSE(CONTROL!$C$27, 0.0021, 0)</f>
        <v>30.451499999999999</v>
      </c>
      <c r="E98" s="14">
        <f>30.3128 * CHOOSE(CONTROL!$C$9, $D$9, 100%, $F$9) + CHOOSE(CONTROL!$C$27, 0.0021, 0)</f>
        <v>30.314899999999998</v>
      </c>
      <c r="F98" s="14">
        <f>30.3128 * CHOOSE(CONTROL!$C$9, $D$9, 100%, $F$9) + CHOOSE(CONTROL!$C$27, 0.0021, 0)</f>
        <v>30.314899999999998</v>
      </c>
      <c r="G98" s="14">
        <f>30.5841 * CHOOSE(CONTROL!$C$9, $D$9, 100%, $F$9) + CHOOSE(CONTROL!$C$27, 0.0021, 0)</f>
        <v>30.586199999999998</v>
      </c>
      <c r="H98" s="14">
        <f>30.4494 * CHOOSE(CONTROL!$C$9, $D$9, 100%, $F$9) + CHOOSE(CONTROL!$C$27, 0.0021, 0)</f>
        <v>30.451499999999999</v>
      </c>
      <c r="I98" s="14">
        <f>30.4494 * CHOOSE(CONTROL!$C$9, $D$9, 100%, $F$9) + CHOOSE(CONTROL!$C$27, 0.0021, 0)</f>
        <v>30.451499999999999</v>
      </c>
      <c r="J98" s="14">
        <f>30.4494 * CHOOSE(CONTROL!$C$9, $D$9, 100%, $F$9) + CHOOSE(CONTROL!$C$27, 0.0021, 0)</f>
        <v>30.451499999999999</v>
      </c>
      <c r="K98" s="14">
        <f>30.4494 * CHOOSE(CONTROL!$C$9, $D$9, 100%, $F$9) + CHOOSE(CONTROL!$C$27, 0.0021, 0)</f>
        <v>30.451499999999999</v>
      </c>
      <c r="L98" s="14"/>
    </row>
    <row r="99" spans="1:12" ht="15" x14ac:dyDescent="0.2">
      <c r="A99" s="13">
        <v>43922</v>
      </c>
      <c r="B99" s="14">
        <f>30.5245 * CHOOSE(CONTROL!$C$9, $D$9, 100%, $F$9) + CHOOSE(CONTROL!$C$27, 0.0021, 0)</f>
        <v>30.526599999999998</v>
      </c>
      <c r="C99" s="14">
        <f>30.0923 * CHOOSE(CONTROL!$C$9, $D$9, 100%, $F$9) + CHOOSE(CONTROL!$C$27, 0.0021, 0)</f>
        <v>30.0944</v>
      </c>
      <c r="D99" s="14">
        <f>30.0923 * CHOOSE(CONTROL!$C$9, $D$9, 100%, $F$9) + CHOOSE(CONTROL!$C$27, 0.0021, 0)</f>
        <v>30.0944</v>
      </c>
      <c r="E99" s="14">
        <f>29.9556 * CHOOSE(CONTROL!$C$9, $D$9, 100%, $F$9) + CHOOSE(CONTROL!$C$27, 0.0021, 0)</f>
        <v>29.957699999999999</v>
      </c>
      <c r="F99" s="14">
        <f>29.9556 * CHOOSE(CONTROL!$C$9, $D$9, 100%, $F$9) + CHOOSE(CONTROL!$C$27, 0.0021, 0)</f>
        <v>29.957699999999999</v>
      </c>
      <c r="G99" s="14">
        <f>30.227 * CHOOSE(CONTROL!$C$9, $D$9, 100%, $F$9) + CHOOSE(CONTROL!$C$27, 0.0021, 0)</f>
        <v>30.229099999999999</v>
      </c>
      <c r="H99" s="14">
        <f>30.0923 * CHOOSE(CONTROL!$C$9, $D$9, 100%, $F$9) + CHOOSE(CONTROL!$C$27, 0.0021, 0)</f>
        <v>30.0944</v>
      </c>
      <c r="I99" s="14">
        <f>30.0923 * CHOOSE(CONTROL!$C$9, $D$9, 100%, $F$9) + CHOOSE(CONTROL!$C$27, 0.0021, 0)</f>
        <v>30.0944</v>
      </c>
      <c r="J99" s="14">
        <f>30.0923 * CHOOSE(CONTROL!$C$9, $D$9, 100%, $F$9) + CHOOSE(CONTROL!$C$27, 0.0021, 0)</f>
        <v>30.0944</v>
      </c>
      <c r="K99" s="14">
        <f>30.0923 * CHOOSE(CONTROL!$C$9, $D$9, 100%, $F$9) + CHOOSE(CONTROL!$C$27, 0.0021, 0)</f>
        <v>30.0944</v>
      </c>
      <c r="L99" s="14"/>
    </row>
    <row r="100" spans="1:12" ht="15" x14ac:dyDescent="0.2">
      <c r="A100" s="13">
        <v>43952</v>
      </c>
      <c r="B100" s="14">
        <f>31.1768 * CHOOSE(CONTROL!$C$9, $D$9, 100%, $F$9) + CHOOSE(CONTROL!$C$27, 0.0021, 0)</f>
        <v>31.178899999999999</v>
      </c>
      <c r="C100" s="14">
        <f>30.7446 * CHOOSE(CONTROL!$C$9, $D$9, 100%, $F$9) + CHOOSE(CONTROL!$C$27, 0.0021, 0)</f>
        <v>30.746699999999997</v>
      </c>
      <c r="D100" s="14">
        <f>30.7446 * CHOOSE(CONTROL!$C$9, $D$9, 100%, $F$9) + CHOOSE(CONTROL!$C$27, 0.0021, 0)</f>
        <v>30.746699999999997</v>
      </c>
      <c r="E100" s="14">
        <f>30.6079 * CHOOSE(CONTROL!$C$9, $D$9, 100%, $F$9) + CHOOSE(CONTROL!$C$27, 0.0021, 0)</f>
        <v>30.61</v>
      </c>
      <c r="F100" s="14">
        <f>30.6079 * CHOOSE(CONTROL!$C$9, $D$9, 100%, $F$9) + CHOOSE(CONTROL!$C$27, 0.0021, 0)</f>
        <v>30.61</v>
      </c>
      <c r="G100" s="14">
        <f>30.8793 * CHOOSE(CONTROL!$C$9, $D$9, 100%, $F$9) + CHOOSE(CONTROL!$C$27, 0.0021, 0)</f>
        <v>30.881399999999999</v>
      </c>
      <c r="H100" s="14">
        <f>30.7446 * CHOOSE(CONTROL!$C$9, $D$9, 100%, $F$9) + CHOOSE(CONTROL!$C$27, 0.0021, 0)</f>
        <v>30.746699999999997</v>
      </c>
      <c r="I100" s="14">
        <f>30.7446 * CHOOSE(CONTROL!$C$9, $D$9, 100%, $F$9) + CHOOSE(CONTROL!$C$27, 0.0021, 0)</f>
        <v>30.746699999999997</v>
      </c>
      <c r="J100" s="14">
        <f>30.7446 * CHOOSE(CONTROL!$C$9, $D$9, 100%, $F$9) + CHOOSE(CONTROL!$C$27, 0.0021, 0)</f>
        <v>30.746699999999997</v>
      </c>
      <c r="K100" s="14">
        <f>30.7446 * CHOOSE(CONTROL!$C$9, $D$9, 100%, $F$9) + CHOOSE(CONTROL!$C$27, 0.0021, 0)</f>
        <v>30.746699999999997</v>
      </c>
      <c r="L100" s="14"/>
    </row>
    <row r="101" spans="1:12" ht="15" x14ac:dyDescent="0.2">
      <c r="A101" s="13">
        <v>43983</v>
      </c>
      <c r="B101" s="14">
        <f>31.5929 * CHOOSE(CONTROL!$C$9, $D$9, 100%, $F$9) + CHOOSE(CONTROL!$C$27, 0.0021, 0)</f>
        <v>31.594999999999999</v>
      </c>
      <c r="C101" s="14">
        <f>31.1606 * CHOOSE(CONTROL!$C$9, $D$9, 100%, $F$9) + CHOOSE(CONTROL!$C$27, 0.0021, 0)</f>
        <v>31.162699999999997</v>
      </c>
      <c r="D101" s="14">
        <f>31.1606 * CHOOSE(CONTROL!$C$9, $D$9, 100%, $F$9) + CHOOSE(CONTROL!$C$27, 0.0021, 0)</f>
        <v>31.162699999999997</v>
      </c>
      <c r="E101" s="14">
        <f>31.024 * CHOOSE(CONTROL!$C$9, $D$9, 100%, $F$9) + CHOOSE(CONTROL!$C$27, 0.0021, 0)</f>
        <v>31.0261</v>
      </c>
      <c r="F101" s="14">
        <f>31.024 * CHOOSE(CONTROL!$C$9, $D$9, 100%, $F$9) + CHOOSE(CONTROL!$C$27, 0.0021, 0)</f>
        <v>31.0261</v>
      </c>
      <c r="G101" s="14">
        <f>31.2953 * CHOOSE(CONTROL!$C$9, $D$9, 100%, $F$9) + CHOOSE(CONTROL!$C$27, 0.0021, 0)</f>
        <v>31.2974</v>
      </c>
      <c r="H101" s="14">
        <f>31.1606 * CHOOSE(CONTROL!$C$9, $D$9, 100%, $F$9) + CHOOSE(CONTROL!$C$27, 0.0021, 0)</f>
        <v>31.162699999999997</v>
      </c>
      <c r="I101" s="14">
        <f>31.1606 * CHOOSE(CONTROL!$C$9, $D$9, 100%, $F$9) + CHOOSE(CONTROL!$C$27, 0.0021, 0)</f>
        <v>31.162699999999997</v>
      </c>
      <c r="J101" s="14">
        <f>31.1606 * CHOOSE(CONTROL!$C$9, $D$9, 100%, $F$9) + CHOOSE(CONTROL!$C$27, 0.0021, 0)</f>
        <v>31.162699999999997</v>
      </c>
      <c r="K101" s="14">
        <f>31.1606 * CHOOSE(CONTROL!$C$9, $D$9, 100%, $F$9) + CHOOSE(CONTROL!$C$27, 0.0021, 0)</f>
        <v>31.162699999999997</v>
      </c>
      <c r="L101" s="14"/>
    </row>
    <row r="102" spans="1:12" ht="15" x14ac:dyDescent="0.2">
      <c r="A102" s="13">
        <v>44013</v>
      </c>
      <c r="B102" s="14">
        <f>32.2427 * CHOOSE(CONTROL!$C$9, $D$9, 100%, $F$9) + CHOOSE(CONTROL!$C$27, 0.0021, 0)</f>
        <v>32.244799999999998</v>
      </c>
      <c r="C102" s="14">
        <f>31.8104 * CHOOSE(CONTROL!$C$9, $D$9, 100%, $F$9) + CHOOSE(CONTROL!$C$27, 0.0021, 0)</f>
        <v>31.8125</v>
      </c>
      <c r="D102" s="14">
        <f>31.8104 * CHOOSE(CONTROL!$C$9, $D$9, 100%, $F$9) + CHOOSE(CONTROL!$C$27, 0.0021, 0)</f>
        <v>31.8125</v>
      </c>
      <c r="E102" s="14">
        <f>31.6738 * CHOOSE(CONTROL!$C$9, $D$9, 100%, $F$9) + CHOOSE(CONTROL!$C$27, 0.0021, 0)</f>
        <v>31.675899999999999</v>
      </c>
      <c r="F102" s="14">
        <f>31.6738 * CHOOSE(CONTROL!$C$9, $D$9, 100%, $F$9) + CHOOSE(CONTROL!$C$27, 0.0021, 0)</f>
        <v>31.675899999999999</v>
      </c>
      <c r="G102" s="14">
        <f>31.9451 * CHOOSE(CONTROL!$C$9, $D$9, 100%, $F$9) + CHOOSE(CONTROL!$C$27, 0.0021, 0)</f>
        <v>31.947199999999999</v>
      </c>
      <c r="H102" s="14">
        <f>31.8104 * CHOOSE(CONTROL!$C$9, $D$9, 100%, $F$9) + CHOOSE(CONTROL!$C$27, 0.0021, 0)</f>
        <v>31.8125</v>
      </c>
      <c r="I102" s="14">
        <f>31.8104 * CHOOSE(CONTROL!$C$9, $D$9, 100%, $F$9) + CHOOSE(CONTROL!$C$27, 0.0021, 0)</f>
        <v>31.8125</v>
      </c>
      <c r="J102" s="14">
        <f>31.8104 * CHOOSE(CONTROL!$C$9, $D$9, 100%, $F$9) + CHOOSE(CONTROL!$C$27, 0.0021, 0)</f>
        <v>31.8125</v>
      </c>
      <c r="K102" s="14">
        <f>31.8104 * CHOOSE(CONTROL!$C$9, $D$9, 100%, $F$9) + CHOOSE(CONTROL!$C$27, 0.0021, 0)</f>
        <v>31.8125</v>
      </c>
      <c r="L102" s="14"/>
    </row>
    <row r="103" spans="1:12" ht="15" x14ac:dyDescent="0.2">
      <c r="A103" s="13">
        <v>44044</v>
      </c>
      <c r="B103" s="14">
        <f>32.4846 * CHOOSE(CONTROL!$C$9, $D$9, 100%, $F$9) + CHOOSE(CONTROL!$C$27, 0.0021, 0)</f>
        <v>32.486699999999999</v>
      </c>
      <c r="C103" s="14">
        <f>32.0524 * CHOOSE(CONTROL!$C$9, $D$9, 100%, $F$9) + CHOOSE(CONTROL!$C$27, 0.0021, 0)</f>
        <v>32.054499999999997</v>
      </c>
      <c r="D103" s="14">
        <f>32.0524 * CHOOSE(CONTROL!$C$9, $D$9, 100%, $F$9) + CHOOSE(CONTROL!$C$27, 0.0021, 0)</f>
        <v>32.054499999999997</v>
      </c>
      <c r="E103" s="14">
        <f>31.9157 * CHOOSE(CONTROL!$C$9, $D$9, 100%, $F$9) + CHOOSE(CONTROL!$C$27, 0.0021, 0)</f>
        <v>31.9178</v>
      </c>
      <c r="F103" s="14">
        <f>31.9157 * CHOOSE(CONTROL!$C$9, $D$9, 100%, $F$9) + CHOOSE(CONTROL!$C$27, 0.0021, 0)</f>
        <v>31.9178</v>
      </c>
      <c r="G103" s="14">
        <f>32.1871 * CHOOSE(CONTROL!$C$9, $D$9, 100%, $F$9) + CHOOSE(CONTROL!$C$27, 0.0021, 0)</f>
        <v>32.1892</v>
      </c>
      <c r="H103" s="14">
        <f>32.0524 * CHOOSE(CONTROL!$C$9, $D$9, 100%, $F$9) + CHOOSE(CONTROL!$C$27, 0.0021, 0)</f>
        <v>32.054499999999997</v>
      </c>
      <c r="I103" s="14">
        <f>32.0524 * CHOOSE(CONTROL!$C$9, $D$9, 100%, $F$9) + CHOOSE(CONTROL!$C$27, 0.0021, 0)</f>
        <v>32.054499999999997</v>
      </c>
      <c r="J103" s="14">
        <f>32.0524 * CHOOSE(CONTROL!$C$9, $D$9, 100%, $F$9) + CHOOSE(CONTROL!$C$27, 0.0021, 0)</f>
        <v>32.054499999999997</v>
      </c>
      <c r="K103" s="14">
        <f>32.0524 * CHOOSE(CONTROL!$C$9, $D$9, 100%, $F$9) + CHOOSE(CONTROL!$C$27, 0.0021, 0)</f>
        <v>32.054499999999997</v>
      </c>
      <c r="L103" s="14"/>
    </row>
    <row r="104" spans="1:12" ht="15" x14ac:dyDescent="0.2">
      <c r="A104" s="13">
        <v>44075</v>
      </c>
      <c r="B104" s="14">
        <f>33.1621 * CHOOSE(CONTROL!$C$9, $D$9, 100%, $F$9) + CHOOSE(CONTROL!$C$27, 0.0021, 0)</f>
        <v>33.164200000000001</v>
      </c>
      <c r="C104" s="14">
        <f>32.7298 * CHOOSE(CONTROL!$C$9, $D$9, 100%, $F$9) + CHOOSE(CONTROL!$C$27, 0.0021, 0)</f>
        <v>32.731899999999996</v>
      </c>
      <c r="D104" s="14">
        <f>32.7298 * CHOOSE(CONTROL!$C$9, $D$9, 100%, $F$9) + CHOOSE(CONTROL!$C$27, 0.0021, 0)</f>
        <v>32.731899999999996</v>
      </c>
      <c r="E104" s="14">
        <f>32.5932 * CHOOSE(CONTROL!$C$9, $D$9, 100%, $F$9) + CHOOSE(CONTROL!$C$27, 0.0021, 0)</f>
        <v>32.595300000000002</v>
      </c>
      <c r="F104" s="14">
        <f>32.5932 * CHOOSE(CONTROL!$C$9, $D$9, 100%, $F$9) + CHOOSE(CONTROL!$C$27, 0.0021, 0)</f>
        <v>32.595300000000002</v>
      </c>
      <c r="G104" s="14">
        <f>32.8645 * CHOOSE(CONTROL!$C$9, $D$9, 100%, $F$9) + CHOOSE(CONTROL!$C$27, 0.0021, 0)</f>
        <v>32.866599999999998</v>
      </c>
      <c r="H104" s="14">
        <f>32.7298 * CHOOSE(CONTROL!$C$9, $D$9, 100%, $F$9) + CHOOSE(CONTROL!$C$27, 0.0021, 0)</f>
        <v>32.731899999999996</v>
      </c>
      <c r="I104" s="14">
        <f>32.7298 * CHOOSE(CONTROL!$C$9, $D$9, 100%, $F$9) + CHOOSE(CONTROL!$C$27, 0.0021, 0)</f>
        <v>32.731899999999996</v>
      </c>
      <c r="J104" s="14">
        <f>32.7298 * CHOOSE(CONTROL!$C$9, $D$9, 100%, $F$9) + CHOOSE(CONTROL!$C$27, 0.0021, 0)</f>
        <v>32.731899999999996</v>
      </c>
      <c r="K104" s="14">
        <f>32.7298 * CHOOSE(CONTROL!$C$9, $D$9, 100%, $F$9) + CHOOSE(CONTROL!$C$27, 0.0021, 0)</f>
        <v>32.731899999999996</v>
      </c>
      <c r="L104" s="14"/>
    </row>
    <row r="105" spans="1:12" ht="15" x14ac:dyDescent="0.2">
      <c r="A105" s="13">
        <v>44105</v>
      </c>
      <c r="B105" s="14">
        <f>34.006 * CHOOSE(CONTROL!$C$9, $D$9, 100%, $F$9) + CHOOSE(CONTROL!$C$27, 0.0021, 0)</f>
        <v>34.008099999999999</v>
      </c>
      <c r="C105" s="14">
        <f>33.5738 * CHOOSE(CONTROL!$C$9, $D$9, 100%, $F$9) + CHOOSE(CONTROL!$C$27, 0.0021, 0)</f>
        <v>33.575899999999997</v>
      </c>
      <c r="D105" s="14">
        <f>33.5738 * CHOOSE(CONTROL!$C$9, $D$9, 100%, $F$9) + CHOOSE(CONTROL!$C$27, 0.0021, 0)</f>
        <v>33.575899999999997</v>
      </c>
      <c r="E105" s="14">
        <f>33.4371 * CHOOSE(CONTROL!$C$9, $D$9, 100%, $F$9) + CHOOSE(CONTROL!$C$27, 0.0021, 0)</f>
        <v>33.4392</v>
      </c>
      <c r="F105" s="14">
        <f>33.4371 * CHOOSE(CONTROL!$C$9, $D$9, 100%, $F$9) + CHOOSE(CONTROL!$C$27, 0.0021, 0)</f>
        <v>33.4392</v>
      </c>
      <c r="G105" s="14">
        <f>33.7085 * CHOOSE(CONTROL!$C$9, $D$9, 100%, $F$9) + CHOOSE(CONTROL!$C$27, 0.0021, 0)</f>
        <v>33.710599999999999</v>
      </c>
      <c r="H105" s="14">
        <f>33.5738 * CHOOSE(CONTROL!$C$9, $D$9, 100%, $F$9) + CHOOSE(CONTROL!$C$27, 0.0021, 0)</f>
        <v>33.575899999999997</v>
      </c>
      <c r="I105" s="14">
        <f>33.5738 * CHOOSE(CONTROL!$C$9, $D$9, 100%, $F$9) + CHOOSE(CONTROL!$C$27, 0.0021, 0)</f>
        <v>33.575899999999997</v>
      </c>
      <c r="J105" s="14">
        <f>33.5738 * CHOOSE(CONTROL!$C$9, $D$9, 100%, $F$9) + CHOOSE(CONTROL!$C$27, 0.0021, 0)</f>
        <v>33.575899999999997</v>
      </c>
      <c r="K105" s="14">
        <f>33.5738 * CHOOSE(CONTROL!$C$9, $D$9, 100%, $F$9) + CHOOSE(CONTROL!$C$27, 0.0021, 0)</f>
        <v>33.575899999999997</v>
      </c>
      <c r="L105" s="14"/>
    </row>
    <row r="106" spans="1:12" ht="15" x14ac:dyDescent="0.2">
      <c r="A106" s="13">
        <v>44136</v>
      </c>
      <c r="B106" s="14">
        <f>34.1448 * CHOOSE(CONTROL!$C$9, $D$9, 100%, $F$9) + CHOOSE(CONTROL!$C$27, 0.0021, 0)</f>
        <v>34.146899999999995</v>
      </c>
      <c r="C106" s="14">
        <f>33.7125 * CHOOSE(CONTROL!$C$9, $D$9, 100%, $F$9) + CHOOSE(CONTROL!$C$27, 0.0021, 0)</f>
        <v>33.714599999999997</v>
      </c>
      <c r="D106" s="14">
        <f>33.7125 * CHOOSE(CONTROL!$C$9, $D$9, 100%, $F$9) + CHOOSE(CONTROL!$C$27, 0.0021, 0)</f>
        <v>33.714599999999997</v>
      </c>
      <c r="E106" s="14">
        <f>33.5759 * CHOOSE(CONTROL!$C$9, $D$9, 100%, $F$9) + CHOOSE(CONTROL!$C$27, 0.0021, 0)</f>
        <v>33.577999999999996</v>
      </c>
      <c r="F106" s="14">
        <f>33.5759 * CHOOSE(CONTROL!$C$9, $D$9, 100%, $F$9) + CHOOSE(CONTROL!$C$27, 0.0021, 0)</f>
        <v>33.577999999999996</v>
      </c>
      <c r="G106" s="14">
        <f>33.8472 * CHOOSE(CONTROL!$C$9, $D$9, 100%, $F$9) + CHOOSE(CONTROL!$C$27, 0.0021, 0)</f>
        <v>33.849299999999999</v>
      </c>
      <c r="H106" s="14">
        <f>33.7125 * CHOOSE(CONTROL!$C$9, $D$9, 100%, $F$9) + CHOOSE(CONTROL!$C$27, 0.0021, 0)</f>
        <v>33.714599999999997</v>
      </c>
      <c r="I106" s="14">
        <f>33.7125 * CHOOSE(CONTROL!$C$9, $D$9, 100%, $F$9) + CHOOSE(CONTROL!$C$27, 0.0021, 0)</f>
        <v>33.714599999999997</v>
      </c>
      <c r="J106" s="14">
        <f>33.7125 * CHOOSE(CONTROL!$C$9, $D$9, 100%, $F$9) + CHOOSE(CONTROL!$C$27, 0.0021, 0)</f>
        <v>33.714599999999997</v>
      </c>
      <c r="K106" s="14">
        <f>33.7125 * CHOOSE(CONTROL!$C$9, $D$9, 100%, $F$9) + CHOOSE(CONTROL!$C$27, 0.0021, 0)</f>
        <v>33.714599999999997</v>
      </c>
      <c r="L106" s="14"/>
    </row>
    <row r="107" spans="1:12" ht="15" x14ac:dyDescent="0.2">
      <c r="A107" s="13">
        <v>44166</v>
      </c>
      <c r="B107" s="14">
        <f>33.5845 * CHOOSE(CONTROL!$C$9, $D$9, 100%, $F$9) + CHOOSE(CONTROL!$C$27, 0.0021, 0)</f>
        <v>33.586599999999997</v>
      </c>
      <c r="C107" s="14">
        <f>33.1523 * CHOOSE(CONTROL!$C$9, $D$9, 100%, $F$9) + CHOOSE(CONTROL!$C$27, 0.0021, 0)</f>
        <v>33.154399999999995</v>
      </c>
      <c r="D107" s="14">
        <f>33.1523 * CHOOSE(CONTROL!$C$9, $D$9, 100%, $F$9) + CHOOSE(CONTROL!$C$27, 0.0021, 0)</f>
        <v>33.154399999999995</v>
      </c>
      <c r="E107" s="14">
        <f>33.0156 * CHOOSE(CONTROL!$C$9, $D$9, 100%, $F$9) + CHOOSE(CONTROL!$C$27, 0.0021, 0)</f>
        <v>33.017699999999998</v>
      </c>
      <c r="F107" s="14">
        <f>33.0156 * CHOOSE(CONTROL!$C$9, $D$9, 100%, $F$9) + CHOOSE(CONTROL!$C$27, 0.0021, 0)</f>
        <v>33.017699999999998</v>
      </c>
      <c r="G107" s="14">
        <f>33.287 * CHOOSE(CONTROL!$C$9, $D$9, 100%, $F$9) + CHOOSE(CONTROL!$C$27, 0.0021, 0)</f>
        <v>33.289099999999998</v>
      </c>
      <c r="H107" s="14">
        <f>33.1523 * CHOOSE(CONTROL!$C$9, $D$9, 100%, $F$9) + CHOOSE(CONTROL!$C$27, 0.0021, 0)</f>
        <v>33.154399999999995</v>
      </c>
      <c r="I107" s="14">
        <f>33.1523 * CHOOSE(CONTROL!$C$9, $D$9, 100%, $F$9) + CHOOSE(CONTROL!$C$27, 0.0021, 0)</f>
        <v>33.154399999999995</v>
      </c>
      <c r="J107" s="14">
        <f>33.1523 * CHOOSE(CONTROL!$C$9, $D$9, 100%, $F$9) + CHOOSE(CONTROL!$C$27, 0.0021, 0)</f>
        <v>33.154399999999995</v>
      </c>
      <c r="K107" s="14">
        <f>33.1523 * CHOOSE(CONTROL!$C$9, $D$9, 100%, $F$9) + CHOOSE(CONTROL!$C$27, 0.0021, 0)</f>
        <v>33.154399999999995</v>
      </c>
      <c r="L107" s="14"/>
    </row>
    <row r="108" spans="1:12" ht="15" x14ac:dyDescent="0.2">
      <c r="A108" s="13">
        <v>44197</v>
      </c>
      <c r="B108" s="14">
        <f>34.2322 * CHOOSE(CONTROL!$C$9, $D$9, 100%, $F$9) + CHOOSE(CONTROL!$C$27, 0.0021, 0)</f>
        <v>34.234299999999998</v>
      </c>
      <c r="C108" s="14">
        <f>33.7999 * CHOOSE(CONTROL!$C$9, $D$9, 100%, $F$9) + CHOOSE(CONTROL!$C$27, 0.0021, 0)</f>
        <v>33.802</v>
      </c>
      <c r="D108" s="14">
        <f>33.7999 * CHOOSE(CONTROL!$C$9, $D$9, 100%, $F$9) + CHOOSE(CONTROL!$C$27, 0.0021, 0)</f>
        <v>33.802</v>
      </c>
      <c r="E108" s="14">
        <f>33.6633 * CHOOSE(CONTROL!$C$9, $D$9, 100%, $F$9) + CHOOSE(CONTROL!$C$27, 0.0021, 0)</f>
        <v>33.665399999999998</v>
      </c>
      <c r="F108" s="14">
        <f>33.6633 * CHOOSE(CONTROL!$C$9, $D$9, 100%, $F$9) + CHOOSE(CONTROL!$C$27, 0.0021, 0)</f>
        <v>33.665399999999998</v>
      </c>
      <c r="G108" s="14">
        <f>33.9346 * CHOOSE(CONTROL!$C$9, $D$9, 100%, $F$9) + CHOOSE(CONTROL!$C$27, 0.0021, 0)</f>
        <v>33.936700000000002</v>
      </c>
      <c r="H108" s="14">
        <f>33.7999 * CHOOSE(CONTROL!$C$9, $D$9, 100%, $F$9) + CHOOSE(CONTROL!$C$27, 0.0021, 0)</f>
        <v>33.802</v>
      </c>
      <c r="I108" s="14">
        <f>33.7999 * CHOOSE(CONTROL!$C$9, $D$9, 100%, $F$9) + CHOOSE(CONTROL!$C$27, 0.0021, 0)</f>
        <v>33.802</v>
      </c>
      <c r="J108" s="14">
        <f>33.7999 * CHOOSE(CONTROL!$C$9, $D$9, 100%, $F$9) + CHOOSE(CONTROL!$C$27, 0.0021, 0)</f>
        <v>33.802</v>
      </c>
      <c r="K108" s="14">
        <f>33.7999 * CHOOSE(CONTROL!$C$9, $D$9, 100%, $F$9) + CHOOSE(CONTROL!$C$27, 0.0021, 0)</f>
        <v>33.802</v>
      </c>
      <c r="L108" s="14"/>
    </row>
    <row r="109" spans="1:12" ht="15" x14ac:dyDescent="0.2">
      <c r="A109" s="13">
        <v>44228</v>
      </c>
      <c r="B109" s="14">
        <f>33.3927 * CHOOSE(CONTROL!$C$9, $D$9, 100%, $F$9) + CHOOSE(CONTROL!$C$27, 0.0021, 0)</f>
        <v>33.394799999999996</v>
      </c>
      <c r="C109" s="14">
        <f>32.9604 * CHOOSE(CONTROL!$C$9, $D$9, 100%, $F$9) + CHOOSE(CONTROL!$C$27, 0.0021, 0)</f>
        <v>32.962499999999999</v>
      </c>
      <c r="D109" s="14">
        <f>32.9604 * CHOOSE(CONTROL!$C$9, $D$9, 100%, $F$9) + CHOOSE(CONTROL!$C$27, 0.0021, 0)</f>
        <v>32.962499999999999</v>
      </c>
      <c r="E109" s="14">
        <f>32.8238 * CHOOSE(CONTROL!$C$9, $D$9, 100%, $F$9) + CHOOSE(CONTROL!$C$27, 0.0021, 0)</f>
        <v>32.825899999999997</v>
      </c>
      <c r="F109" s="14">
        <f>32.8238 * CHOOSE(CONTROL!$C$9, $D$9, 100%, $F$9) + CHOOSE(CONTROL!$C$27, 0.0021, 0)</f>
        <v>32.825899999999997</v>
      </c>
      <c r="G109" s="14">
        <f>33.0951 * CHOOSE(CONTROL!$C$9, $D$9, 100%, $F$9) + CHOOSE(CONTROL!$C$27, 0.0021, 0)</f>
        <v>33.097200000000001</v>
      </c>
      <c r="H109" s="14">
        <f>32.9604 * CHOOSE(CONTROL!$C$9, $D$9, 100%, $F$9) + CHOOSE(CONTROL!$C$27, 0.0021, 0)</f>
        <v>32.962499999999999</v>
      </c>
      <c r="I109" s="14">
        <f>32.9604 * CHOOSE(CONTROL!$C$9, $D$9, 100%, $F$9) + CHOOSE(CONTROL!$C$27, 0.0021, 0)</f>
        <v>32.962499999999999</v>
      </c>
      <c r="J109" s="14">
        <f>32.9604 * CHOOSE(CONTROL!$C$9, $D$9, 100%, $F$9) + CHOOSE(CONTROL!$C$27, 0.0021, 0)</f>
        <v>32.962499999999999</v>
      </c>
      <c r="K109" s="14">
        <f>32.9604 * CHOOSE(CONTROL!$C$9, $D$9, 100%, $F$9) + CHOOSE(CONTROL!$C$27, 0.0021, 0)</f>
        <v>32.962499999999999</v>
      </c>
      <c r="L109" s="14"/>
    </row>
    <row r="110" spans="1:12" ht="15" x14ac:dyDescent="0.2">
      <c r="A110" s="13">
        <v>44256</v>
      </c>
      <c r="B110" s="14">
        <f>33.0823 * CHOOSE(CONTROL!$C$9, $D$9, 100%, $F$9) + CHOOSE(CONTROL!$C$27, 0.0021, 0)</f>
        <v>33.084399999999995</v>
      </c>
      <c r="C110" s="14">
        <f>32.65 * CHOOSE(CONTROL!$C$9, $D$9, 100%, $F$9) + CHOOSE(CONTROL!$C$27, 0.0021, 0)</f>
        <v>32.652099999999997</v>
      </c>
      <c r="D110" s="14">
        <f>32.65 * CHOOSE(CONTROL!$C$9, $D$9, 100%, $F$9) + CHOOSE(CONTROL!$C$27, 0.0021, 0)</f>
        <v>32.652099999999997</v>
      </c>
      <c r="E110" s="14">
        <f>32.5134 * CHOOSE(CONTROL!$C$9, $D$9, 100%, $F$9) + CHOOSE(CONTROL!$C$27, 0.0021, 0)</f>
        <v>32.515499999999996</v>
      </c>
      <c r="F110" s="14">
        <f>32.5134 * CHOOSE(CONTROL!$C$9, $D$9, 100%, $F$9) + CHOOSE(CONTROL!$C$27, 0.0021, 0)</f>
        <v>32.515499999999996</v>
      </c>
      <c r="G110" s="14">
        <f>32.7847 * CHOOSE(CONTROL!$C$9, $D$9, 100%, $F$9) + CHOOSE(CONTROL!$C$27, 0.0021, 0)</f>
        <v>32.786799999999999</v>
      </c>
      <c r="H110" s="14">
        <f>32.65 * CHOOSE(CONTROL!$C$9, $D$9, 100%, $F$9) + CHOOSE(CONTROL!$C$27, 0.0021, 0)</f>
        <v>32.652099999999997</v>
      </c>
      <c r="I110" s="14">
        <f>32.65 * CHOOSE(CONTROL!$C$9, $D$9, 100%, $F$9) + CHOOSE(CONTROL!$C$27, 0.0021, 0)</f>
        <v>32.652099999999997</v>
      </c>
      <c r="J110" s="14">
        <f>32.65 * CHOOSE(CONTROL!$C$9, $D$9, 100%, $F$9) + CHOOSE(CONTROL!$C$27, 0.0021, 0)</f>
        <v>32.652099999999997</v>
      </c>
      <c r="K110" s="14">
        <f>32.65 * CHOOSE(CONTROL!$C$9, $D$9, 100%, $F$9) + CHOOSE(CONTROL!$C$27, 0.0021, 0)</f>
        <v>32.652099999999997</v>
      </c>
      <c r="L110" s="14"/>
    </row>
    <row r="111" spans="1:12" ht="15" x14ac:dyDescent="0.2">
      <c r="A111" s="13">
        <v>44287</v>
      </c>
      <c r="B111" s="14">
        <f>32.6976 * CHOOSE(CONTROL!$C$9, $D$9, 100%, $F$9) + CHOOSE(CONTROL!$C$27, 0.0021, 0)</f>
        <v>32.6997</v>
      </c>
      <c r="C111" s="14">
        <f>32.2654 * CHOOSE(CONTROL!$C$9, $D$9, 100%, $F$9) + CHOOSE(CONTROL!$C$27, 0.0021, 0)</f>
        <v>32.267499999999998</v>
      </c>
      <c r="D111" s="14">
        <f>32.2654 * CHOOSE(CONTROL!$C$9, $D$9, 100%, $F$9) + CHOOSE(CONTROL!$C$27, 0.0021, 0)</f>
        <v>32.267499999999998</v>
      </c>
      <c r="E111" s="14">
        <f>32.1287 * CHOOSE(CONTROL!$C$9, $D$9, 100%, $F$9) + CHOOSE(CONTROL!$C$27, 0.0021, 0)</f>
        <v>32.130800000000001</v>
      </c>
      <c r="F111" s="14">
        <f>32.1287 * CHOOSE(CONTROL!$C$9, $D$9, 100%, $F$9) + CHOOSE(CONTROL!$C$27, 0.0021, 0)</f>
        <v>32.130800000000001</v>
      </c>
      <c r="G111" s="14">
        <f>32.4001 * CHOOSE(CONTROL!$C$9, $D$9, 100%, $F$9) + CHOOSE(CONTROL!$C$27, 0.0021, 0)</f>
        <v>32.402200000000001</v>
      </c>
      <c r="H111" s="14">
        <f>32.2654 * CHOOSE(CONTROL!$C$9, $D$9, 100%, $F$9) + CHOOSE(CONTROL!$C$27, 0.0021, 0)</f>
        <v>32.267499999999998</v>
      </c>
      <c r="I111" s="14">
        <f>32.2654 * CHOOSE(CONTROL!$C$9, $D$9, 100%, $F$9) + CHOOSE(CONTROL!$C$27, 0.0021, 0)</f>
        <v>32.267499999999998</v>
      </c>
      <c r="J111" s="14">
        <f>32.2654 * CHOOSE(CONTROL!$C$9, $D$9, 100%, $F$9) + CHOOSE(CONTROL!$C$27, 0.0021, 0)</f>
        <v>32.267499999999998</v>
      </c>
      <c r="K111" s="14">
        <f>32.2654 * CHOOSE(CONTROL!$C$9, $D$9, 100%, $F$9) + CHOOSE(CONTROL!$C$27, 0.0021, 0)</f>
        <v>32.267499999999998</v>
      </c>
      <c r="L111" s="14"/>
    </row>
    <row r="112" spans="1:12" ht="15" x14ac:dyDescent="0.2">
      <c r="A112" s="13">
        <v>44317</v>
      </c>
      <c r="B112" s="14">
        <f>33.4001 * CHOOSE(CONTROL!$C$9, $D$9, 100%, $F$9) + CHOOSE(CONTROL!$C$27, 0.0021, 0)</f>
        <v>33.402200000000001</v>
      </c>
      <c r="C112" s="14">
        <f>32.9679 * CHOOSE(CONTROL!$C$9, $D$9, 100%, $F$9) + CHOOSE(CONTROL!$C$27, 0.0021, 0)</f>
        <v>32.97</v>
      </c>
      <c r="D112" s="14">
        <f>32.9679 * CHOOSE(CONTROL!$C$9, $D$9, 100%, $F$9) + CHOOSE(CONTROL!$C$27, 0.0021, 0)</f>
        <v>32.97</v>
      </c>
      <c r="E112" s="14">
        <f>32.8312 * CHOOSE(CONTROL!$C$9, $D$9, 100%, $F$9) + CHOOSE(CONTROL!$C$27, 0.0021, 0)</f>
        <v>32.833300000000001</v>
      </c>
      <c r="F112" s="14">
        <f>32.8312 * CHOOSE(CONTROL!$C$9, $D$9, 100%, $F$9) + CHOOSE(CONTROL!$C$27, 0.0021, 0)</f>
        <v>32.833300000000001</v>
      </c>
      <c r="G112" s="14">
        <f>33.1026 * CHOOSE(CONTROL!$C$9, $D$9, 100%, $F$9) + CHOOSE(CONTROL!$C$27, 0.0021, 0)</f>
        <v>33.104700000000001</v>
      </c>
      <c r="H112" s="14">
        <f>32.9679 * CHOOSE(CONTROL!$C$9, $D$9, 100%, $F$9) + CHOOSE(CONTROL!$C$27, 0.0021, 0)</f>
        <v>32.97</v>
      </c>
      <c r="I112" s="14">
        <f>32.9679 * CHOOSE(CONTROL!$C$9, $D$9, 100%, $F$9) + CHOOSE(CONTROL!$C$27, 0.0021, 0)</f>
        <v>32.97</v>
      </c>
      <c r="J112" s="14">
        <f>32.9679 * CHOOSE(CONTROL!$C$9, $D$9, 100%, $F$9) + CHOOSE(CONTROL!$C$27, 0.0021, 0)</f>
        <v>32.97</v>
      </c>
      <c r="K112" s="14">
        <f>32.9679 * CHOOSE(CONTROL!$C$9, $D$9, 100%, $F$9) + CHOOSE(CONTROL!$C$27, 0.0021, 0)</f>
        <v>32.97</v>
      </c>
      <c r="L112" s="14"/>
    </row>
    <row r="113" spans="1:12" ht="15" x14ac:dyDescent="0.2">
      <c r="A113" s="13">
        <v>44348</v>
      </c>
      <c r="B113" s="14">
        <f>33.8482 * CHOOSE(CONTROL!$C$9, $D$9, 100%, $F$9) + CHOOSE(CONTROL!$C$27, 0.0021, 0)</f>
        <v>33.850299999999997</v>
      </c>
      <c r="C113" s="14">
        <f>33.416 * CHOOSE(CONTROL!$C$9, $D$9, 100%, $F$9) + CHOOSE(CONTROL!$C$27, 0.0021, 0)</f>
        <v>33.418099999999995</v>
      </c>
      <c r="D113" s="14">
        <f>33.416 * CHOOSE(CONTROL!$C$9, $D$9, 100%, $F$9) + CHOOSE(CONTROL!$C$27, 0.0021, 0)</f>
        <v>33.418099999999995</v>
      </c>
      <c r="E113" s="14">
        <f>33.2793 * CHOOSE(CONTROL!$C$9, $D$9, 100%, $F$9) + CHOOSE(CONTROL!$C$27, 0.0021, 0)</f>
        <v>33.281399999999998</v>
      </c>
      <c r="F113" s="14">
        <f>33.2793 * CHOOSE(CONTROL!$C$9, $D$9, 100%, $F$9) + CHOOSE(CONTROL!$C$27, 0.0021, 0)</f>
        <v>33.281399999999998</v>
      </c>
      <c r="G113" s="14">
        <f>33.5507 * CHOOSE(CONTROL!$C$9, $D$9, 100%, $F$9) + CHOOSE(CONTROL!$C$27, 0.0021, 0)</f>
        <v>33.552799999999998</v>
      </c>
      <c r="H113" s="14">
        <f>33.416 * CHOOSE(CONTROL!$C$9, $D$9, 100%, $F$9) + CHOOSE(CONTROL!$C$27, 0.0021, 0)</f>
        <v>33.418099999999995</v>
      </c>
      <c r="I113" s="14">
        <f>33.416 * CHOOSE(CONTROL!$C$9, $D$9, 100%, $F$9) + CHOOSE(CONTROL!$C$27, 0.0021, 0)</f>
        <v>33.418099999999995</v>
      </c>
      <c r="J113" s="14">
        <f>33.416 * CHOOSE(CONTROL!$C$9, $D$9, 100%, $F$9) + CHOOSE(CONTROL!$C$27, 0.0021, 0)</f>
        <v>33.418099999999995</v>
      </c>
      <c r="K113" s="14">
        <f>33.416 * CHOOSE(CONTROL!$C$9, $D$9, 100%, $F$9) + CHOOSE(CONTROL!$C$27, 0.0021, 0)</f>
        <v>33.418099999999995</v>
      </c>
      <c r="L113" s="14"/>
    </row>
    <row r="114" spans="1:12" ht="15" x14ac:dyDescent="0.2">
      <c r="A114" s="13">
        <v>44378</v>
      </c>
      <c r="B114" s="14">
        <f>34.548 * CHOOSE(CONTROL!$C$9, $D$9, 100%, $F$9) + CHOOSE(CONTROL!$C$27, 0.0021, 0)</f>
        <v>34.5501</v>
      </c>
      <c r="C114" s="14">
        <f>34.1158 * CHOOSE(CONTROL!$C$9, $D$9, 100%, $F$9) + CHOOSE(CONTROL!$C$27, 0.0021, 0)</f>
        <v>34.117899999999999</v>
      </c>
      <c r="D114" s="14">
        <f>34.1158 * CHOOSE(CONTROL!$C$9, $D$9, 100%, $F$9) + CHOOSE(CONTROL!$C$27, 0.0021, 0)</f>
        <v>34.117899999999999</v>
      </c>
      <c r="E114" s="14">
        <f>33.9791 * CHOOSE(CONTROL!$C$9, $D$9, 100%, $F$9) + CHOOSE(CONTROL!$C$27, 0.0021, 0)</f>
        <v>33.981200000000001</v>
      </c>
      <c r="F114" s="14">
        <f>33.9791 * CHOOSE(CONTROL!$C$9, $D$9, 100%, $F$9) + CHOOSE(CONTROL!$C$27, 0.0021, 0)</f>
        <v>33.981200000000001</v>
      </c>
      <c r="G114" s="14">
        <f>34.2505 * CHOOSE(CONTROL!$C$9, $D$9, 100%, $F$9) + CHOOSE(CONTROL!$C$27, 0.0021, 0)</f>
        <v>34.252600000000001</v>
      </c>
      <c r="H114" s="14">
        <f>34.1158 * CHOOSE(CONTROL!$C$9, $D$9, 100%, $F$9) + CHOOSE(CONTROL!$C$27, 0.0021, 0)</f>
        <v>34.117899999999999</v>
      </c>
      <c r="I114" s="14">
        <f>34.1158 * CHOOSE(CONTROL!$C$9, $D$9, 100%, $F$9) + CHOOSE(CONTROL!$C$27, 0.0021, 0)</f>
        <v>34.117899999999999</v>
      </c>
      <c r="J114" s="14">
        <f>34.1158 * CHOOSE(CONTROL!$C$9, $D$9, 100%, $F$9) + CHOOSE(CONTROL!$C$27, 0.0021, 0)</f>
        <v>34.117899999999999</v>
      </c>
      <c r="K114" s="14">
        <f>34.1158 * CHOOSE(CONTROL!$C$9, $D$9, 100%, $F$9) + CHOOSE(CONTROL!$C$27, 0.0021, 0)</f>
        <v>34.117899999999999</v>
      </c>
      <c r="L114" s="14"/>
    </row>
    <row r="115" spans="1:12" ht="15" x14ac:dyDescent="0.2">
      <c r="A115" s="13">
        <v>44409</v>
      </c>
      <c r="B115" s="14">
        <f>34.8086 * CHOOSE(CONTROL!$C$9, $D$9, 100%, $F$9) + CHOOSE(CONTROL!$C$27, 0.0021, 0)</f>
        <v>34.810699999999997</v>
      </c>
      <c r="C115" s="14">
        <f>34.3764 * CHOOSE(CONTROL!$C$9, $D$9, 100%, $F$9) + CHOOSE(CONTROL!$C$27, 0.0021, 0)</f>
        <v>34.378499999999995</v>
      </c>
      <c r="D115" s="14">
        <f>34.3764 * CHOOSE(CONTROL!$C$9, $D$9, 100%, $F$9) + CHOOSE(CONTROL!$C$27, 0.0021, 0)</f>
        <v>34.378499999999995</v>
      </c>
      <c r="E115" s="14">
        <f>34.2397 * CHOOSE(CONTROL!$C$9, $D$9, 100%, $F$9) + CHOOSE(CONTROL!$C$27, 0.0021, 0)</f>
        <v>34.241799999999998</v>
      </c>
      <c r="F115" s="14">
        <f>34.2397 * CHOOSE(CONTROL!$C$9, $D$9, 100%, $F$9) + CHOOSE(CONTROL!$C$27, 0.0021, 0)</f>
        <v>34.241799999999998</v>
      </c>
      <c r="G115" s="14">
        <f>34.5111 * CHOOSE(CONTROL!$C$9, $D$9, 100%, $F$9) + CHOOSE(CONTROL!$C$27, 0.0021, 0)</f>
        <v>34.513199999999998</v>
      </c>
      <c r="H115" s="14">
        <f>34.3764 * CHOOSE(CONTROL!$C$9, $D$9, 100%, $F$9) + CHOOSE(CONTROL!$C$27, 0.0021, 0)</f>
        <v>34.378499999999995</v>
      </c>
      <c r="I115" s="14">
        <f>34.3764 * CHOOSE(CONTROL!$C$9, $D$9, 100%, $F$9) + CHOOSE(CONTROL!$C$27, 0.0021, 0)</f>
        <v>34.378499999999995</v>
      </c>
      <c r="J115" s="14">
        <f>34.3764 * CHOOSE(CONTROL!$C$9, $D$9, 100%, $F$9) + CHOOSE(CONTROL!$C$27, 0.0021, 0)</f>
        <v>34.378499999999995</v>
      </c>
      <c r="K115" s="14">
        <f>34.3764 * CHOOSE(CONTROL!$C$9, $D$9, 100%, $F$9) + CHOOSE(CONTROL!$C$27, 0.0021, 0)</f>
        <v>34.378499999999995</v>
      </c>
      <c r="L115" s="14"/>
    </row>
    <row r="116" spans="1:12" ht="15" x14ac:dyDescent="0.2">
      <c r="A116" s="13">
        <v>44440</v>
      </c>
      <c r="B116" s="14">
        <f>35.5382 * CHOOSE(CONTROL!$C$9, $D$9, 100%, $F$9) + CHOOSE(CONTROL!$C$27, 0.0021, 0)</f>
        <v>35.540300000000002</v>
      </c>
      <c r="C116" s="14">
        <f>35.1059 * CHOOSE(CONTROL!$C$9, $D$9, 100%, $F$9) + CHOOSE(CONTROL!$C$27, 0.0021, 0)</f>
        <v>35.107999999999997</v>
      </c>
      <c r="D116" s="14">
        <f>35.1059 * CHOOSE(CONTROL!$C$9, $D$9, 100%, $F$9) + CHOOSE(CONTROL!$C$27, 0.0021, 0)</f>
        <v>35.107999999999997</v>
      </c>
      <c r="E116" s="14">
        <f>34.9693 * CHOOSE(CONTROL!$C$9, $D$9, 100%, $F$9) + CHOOSE(CONTROL!$C$27, 0.0021, 0)</f>
        <v>34.971399999999996</v>
      </c>
      <c r="F116" s="14">
        <f>34.9693 * CHOOSE(CONTROL!$C$9, $D$9, 100%, $F$9) + CHOOSE(CONTROL!$C$27, 0.0021, 0)</f>
        <v>34.971399999999996</v>
      </c>
      <c r="G116" s="14">
        <f>35.2406 * CHOOSE(CONTROL!$C$9, $D$9, 100%, $F$9) + CHOOSE(CONTROL!$C$27, 0.0021, 0)</f>
        <v>35.242699999999999</v>
      </c>
      <c r="H116" s="14">
        <f>35.1059 * CHOOSE(CONTROL!$C$9, $D$9, 100%, $F$9) + CHOOSE(CONTROL!$C$27, 0.0021, 0)</f>
        <v>35.107999999999997</v>
      </c>
      <c r="I116" s="14">
        <f>35.1059 * CHOOSE(CONTROL!$C$9, $D$9, 100%, $F$9) + CHOOSE(CONTROL!$C$27, 0.0021, 0)</f>
        <v>35.107999999999997</v>
      </c>
      <c r="J116" s="14">
        <f>35.1059 * CHOOSE(CONTROL!$C$9, $D$9, 100%, $F$9) + CHOOSE(CONTROL!$C$27, 0.0021, 0)</f>
        <v>35.107999999999997</v>
      </c>
      <c r="K116" s="14">
        <f>35.1059 * CHOOSE(CONTROL!$C$9, $D$9, 100%, $F$9) + CHOOSE(CONTROL!$C$27, 0.0021, 0)</f>
        <v>35.107999999999997</v>
      </c>
      <c r="L116" s="14"/>
    </row>
    <row r="117" spans="1:12" ht="15" x14ac:dyDescent="0.2">
      <c r="A117" s="13">
        <v>44470</v>
      </c>
      <c r="B117" s="14">
        <f>36.4471 * CHOOSE(CONTROL!$C$9, $D$9, 100%, $F$9) + CHOOSE(CONTROL!$C$27, 0.0021, 0)</f>
        <v>36.449199999999998</v>
      </c>
      <c r="C117" s="14">
        <f>36.0148 * CHOOSE(CONTROL!$C$9, $D$9, 100%, $F$9) + CHOOSE(CONTROL!$C$27, 0.0021, 0)</f>
        <v>36.0169</v>
      </c>
      <c r="D117" s="14">
        <f>36.0148 * CHOOSE(CONTROL!$C$9, $D$9, 100%, $F$9) + CHOOSE(CONTROL!$C$27, 0.0021, 0)</f>
        <v>36.0169</v>
      </c>
      <c r="E117" s="14">
        <f>35.8782 * CHOOSE(CONTROL!$C$9, $D$9, 100%, $F$9) + CHOOSE(CONTROL!$C$27, 0.0021, 0)</f>
        <v>35.880299999999998</v>
      </c>
      <c r="F117" s="14">
        <f>35.8782 * CHOOSE(CONTROL!$C$9, $D$9, 100%, $F$9) + CHOOSE(CONTROL!$C$27, 0.0021, 0)</f>
        <v>35.880299999999998</v>
      </c>
      <c r="G117" s="14">
        <f>36.1496 * CHOOSE(CONTROL!$C$9, $D$9, 100%, $F$9) + CHOOSE(CONTROL!$C$27, 0.0021, 0)</f>
        <v>36.151699999999998</v>
      </c>
      <c r="H117" s="14">
        <f>36.0148 * CHOOSE(CONTROL!$C$9, $D$9, 100%, $F$9) + CHOOSE(CONTROL!$C$27, 0.0021, 0)</f>
        <v>36.0169</v>
      </c>
      <c r="I117" s="14">
        <f>36.0148 * CHOOSE(CONTROL!$C$9, $D$9, 100%, $F$9) + CHOOSE(CONTROL!$C$27, 0.0021, 0)</f>
        <v>36.0169</v>
      </c>
      <c r="J117" s="14">
        <f>36.0148 * CHOOSE(CONTROL!$C$9, $D$9, 100%, $F$9) + CHOOSE(CONTROL!$C$27, 0.0021, 0)</f>
        <v>36.0169</v>
      </c>
      <c r="K117" s="14">
        <f>36.0148 * CHOOSE(CONTROL!$C$9, $D$9, 100%, $F$9) + CHOOSE(CONTROL!$C$27, 0.0021, 0)</f>
        <v>36.0169</v>
      </c>
      <c r="L117" s="14"/>
    </row>
    <row r="118" spans="1:12" ht="15" x14ac:dyDescent="0.2">
      <c r="A118" s="13">
        <v>44501</v>
      </c>
      <c r="B118" s="14">
        <f>36.5965 * CHOOSE(CONTROL!$C$9, $D$9, 100%, $F$9) + CHOOSE(CONTROL!$C$27, 0.0021, 0)</f>
        <v>36.598599999999998</v>
      </c>
      <c r="C118" s="14">
        <f>36.1643 * CHOOSE(CONTROL!$C$9, $D$9, 100%, $F$9) + CHOOSE(CONTROL!$C$27, 0.0021, 0)</f>
        <v>36.166399999999996</v>
      </c>
      <c r="D118" s="14">
        <f>36.1643 * CHOOSE(CONTROL!$C$9, $D$9, 100%, $F$9) + CHOOSE(CONTROL!$C$27, 0.0021, 0)</f>
        <v>36.166399999999996</v>
      </c>
      <c r="E118" s="14">
        <f>36.0276 * CHOOSE(CONTROL!$C$9, $D$9, 100%, $F$9) + CHOOSE(CONTROL!$C$27, 0.0021, 0)</f>
        <v>36.029699999999998</v>
      </c>
      <c r="F118" s="14">
        <f>36.0276 * CHOOSE(CONTROL!$C$9, $D$9, 100%, $F$9) + CHOOSE(CONTROL!$C$27, 0.0021, 0)</f>
        <v>36.029699999999998</v>
      </c>
      <c r="G118" s="14">
        <f>36.299 * CHOOSE(CONTROL!$C$9, $D$9, 100%, $F$9) + CHOOSE(CONTROL!$C$27, 0.0021, 0)</f>
        <v>36.301099999999998</v>
      </c>
      <c r="H118" s="14">
        <f>36.1643 * CHOOSE(CONTROL!$C$9, $D$9, 100%, $F$9) + CHOOSE(CONTROL!$C$27, 0.0021, 0)</f>
        <v>36.166399999999996</v>
      </c>
      <c r="I118" s="14">
        <f>36.1643 * CHOOSE(CONTROL!$C$9, $D$9, 100%, $F$9) + CHOOSE(CONTROL!$C$27, 0.0021, 0)</f>
        <v>36.166399999999996</v>
      </c>
      <c r="J118" s="14">
        <f>36.1643 * CHOOSE(CONTROL!$C$9, $D$9, 100%, $F$9) + CHOOSE(CONTROL!$C$27, 0.0021, 0)</f>
        <v>36.166399999999996</v>
      </c>
      <c r="K118" s="14">
        <f>36.1643 * CHOOSE(CONTROL!$C$9, $D$9, 100%, $F$9) + CHOOSE(CONTROL!$C$27, 0.0021, 0)</f>
        <v>36.166399999999996</v>
      </c>
      <c r="L118" s="14"/>
    </row>
    <row r="119" spans="1:12" ht="15" x14ac:dyDescent="0.2">
      <c r="A119" s="13">
        <v>44531</v>
      </c>
      <c r="B119" s="14">
        <f>35.9932 * CHOOSE(CONTROL!$C$9, $D$9, 100%, $F$9) + CHOOSE(CONTROL!$C$27, 0.0021, 0)</f>
        <v>35.9953</v>
      </c>
      <c r="C119" s="14">
        <f>35.5609 * CHOOSE(CONTROL!$C$9, $D$9, 100%, $F$9) + CHOOSE(CONTROL!$C$27, 0.0021, 0)</f>
        <v>35.562999999999995</v>
      </c>
      <c r="D119" s="14">
        <f>35.5609 * CHOOSE(CONTROL!$C$9, $D$9, 100%, $F$9) + CHOOSE(CONTROL!$C$27, 0.0021, 0)</f>
        <v>35.562999999999995</v>
      </c>
      <c r="E119" s="14">
        <f>35.4243 * CHOOSE(CONTROL!$C$9, $D$9, 100%, $F$9) + CHOOSE(CONTROL!$C$27, 0.0021, 0)</f>
        <v>35.426400000000001</v>
      </c>
      <c r="F119" s="14">
        <f>35.4243 * CHOOSE(CONTROL!$C$9, $D$9, 100%, $F$9) + CHOOSE(CONTROL!$C$27, 0.0021, 0)</f>
        <v>35.426400000000001</v>
      </c>
      <c r="G119" s="14">
        <f>35.6956 * CHOOSE(CONTROL!$C$9, $D$9, 100%, $F$9) + CHOOSE(CONTROL!$C$27, 0.0021, 0)</f>
        <v>35.697699999999998</v>
      </c>
      <c r="H119" s="14">
        <f>35.5609 * CHOOSE(CONTROL!$C$9, $D$9, 100%, $F$9) + CHOOSE(CONTROL!$C$27, 0.0021, 0)</f>
        <v>35.562999999999995</v>
      </c>
      <c r="I119" s="14">
        <f>35.5609 * CHOOSE(CONTROL!$C$9, $D$9, 100%, $F$9) + CHOOSE(CONTROL!$C$27, 0.0021, 0)</f>
        <v>35.562999999999995</v>
      </c>
      <c r="J119" s="14">
        <f>35.5609 * CHOOSE(CONTROL!$C$9, $D$9, 100%, $F$9) + CHOOSE(CONTROL!$C$27, 0.0021, 0)</f>
        <v>35.562999999999995</v>
      </c>
      <c r="K119" s="14">
        <f>35.5609 * CHOOSE(CONTROL!$C$9, $D$9, 100%, $F$9) + CHOOSE(CONTROL!$C$27, 0.0021, 0)</f>
        <v>35.562999999999995</v>
      </c>
      <c r="L119" s="14"/>
    </row>
    <row r="120" spans="1:12" ht="15" x14ac:dyDescent="0.2">
      <c r="A120" s="13">
        <v>44562</v>
      </c>
      <c r="B120" s="14">
        <f>36.7097 * CHOOSE(CONTROL!$C$9, $D$9, 100%, $F$9) + CHOOSE(CONTROL!$C$27, 0.0021, 0)</f>
        <v>36.711799999999997</v>
      </c>
      <c r="C120" s="14">
        <f>36.2774 * CHOOSE(CONTROL!$C$9, $D$9, 100%, $F$9) + CHOOSE(CONTROL!$C$27, 0.0021, 0)</f>
        <v>36.279499999999999</v>
      </c>
      <c r="D120" s="14">
        <f>36.2774 * CHOOSE(CONTROL!$C$9, $D$9, 100%, $F$9) + CHOOSE(CONTROL!$C$27, 0.0021, 0)</f>
        <v>36.279499999999999</v>
      </c>
      <c r="E120" s="14">
        <f>36.1408 * CHOOSE(CONTROL!$C$9, $D$9, 100%, $F$9) + CHOOSE(CONTROL!$C$27, 0.0021, 0)</f>
        <v>36.142899999999997</v>
      </c>
      <c r="F120" s="14">
        <f>36.1408 * CHOOSE(CONTROL!$C$9, $D$9, 100%, $F$9) + CHOOSE(CONTROL!$C$27, 0.0021, 0)</f>
        <v>36.142899999999997</v>
      </c>
      <c r="G120" s="14">
        <f>36.4121 * CHOOSE(CONTROL!$C$9, $D$9, 100%, $F$9) + CHOOSE(CONTROL!$C$27, 0.0021, 0)</f>
        <v>36.414200000000001</v>
      </c>
      <c r="H120" s="14">
        <f>36.2774 * CHOOSE(CONTROL!$C$9, $D$9, 100%, $F$9) + CHOOSE(CONTROL!$C$27, 0.0021, 0)</f>
        <v>36.279499999999999</v>
      </c>
      <c r="I120" s="14">
        <f>36.2774 * CHOOSE(CONTROL!$C$9, $D$9, 100%, $F$9) + CHOOSE(CONTROL!$C$27, 0.0021, 0)</f>
        <v>36.279499999999999</v>
      </c>
      <c r="J120" s="14">
        <f>36.2774 * CHOOSE(CONTROL!$C$9, $D$9, 100%, $F$9) + CHOOSE(CONTROL!$C$27, 0.0021, 0)</f>
        <v>36.279499999999999</v>
      </c>
      <c r="K120" s="14">
        <f>36.2774 * CHOOSE(CONTROL!$C$9, $D$9, 100%, $F$9) + CHOOSE(CONTROL!$C$27, 0.0021, 0)</f>
        <v>36.279499999999999</v>
      </c>
      <c r="L120" s="14"/>
    </row>
    <row r="121" spans="1:12" ht="15" x14ac:dyDescent="0.2">
      <c r="A121" s="13">
        <v>44593</v>
      </c>
      <c r="B121" s="14">
        <f>35.8051 * CHOOSE(CONTROL!$C$9, $D$9, 100%, $F$9) + CHOOSE(CONTROL!$C$27, 0.0021, 0)</f>
        <v>35.807200000000002</v>
      </c>
      <c r="C121" s="14">
        <f>35.3728 * CHOOSE(CONTROL!$C$9, $D$9, 100%, $F$9) + CHOOSE(CONTROL!$C$27, 0.0021, 0)</f>
        <v>35.374899999999997</v>
      </c>
      <c r="D121" s="14">
        <f>35.3728 * CHOOSE(CONTROL!$C$9, $D$9, 100%, $F$9) + CHOOSE(CONTROL!$C$27, 0.0021, 0)</f>
        <v>35.374899999999997</v>
      </c>
      <c r="E121" s="14">
        <f>35.2361 * CHOOSE(CONTROL!$C$9, $D$9, 100%, $F$9) + CHOOSE(CONTROL!$C$27, 0.0021, 0)</f>
        <v>35.238199999999999</v>
      </c>
      <c r="F121" s="14">
        <f>35.2361 * CHOOSE(CONTROL!$C$9, $D$9, 100%, $F$9) + CHOOSE(CONTROL!$C$27, 0.0021, 0)</f>
        <v>35.238199999999999</v>
      </c>
      <c r="G121" s="14">
        <f>35.5075 * CHOOSE(CONTROL!$C$9, $D$9, 100%, $F$9) + CHOOSE(CONTROL!$C$27, 0.0021, 0)</f>
        <v>35.509599999999999</v>
      </c>
      <c r="H121" s="14">
        <f>35.3728 * CHOOSE(CONTROL!$C$9, $D$9, 100%, $F$9) + CHOOSE(CONTROL!$C$27, 0.0021, 0)</f>
        <v>35.374899999999997</v>
      </c>
      <c r="I121" s="14">
        <f>35.3728 * CHOOSE(CONTROL!$C$9, $D$9, 100%, $F$9) + CHOOSE(CONTROL!$C$27, 0.0021, 0)</f>
        <v>35.374899999999997</v>
      </c>
      <c r="J121" s="14">
        <f>35.3728 * CHOOSE(CONTROL!$C$9, $D$9, 100%, $F$9) + CHOOSE(CONTROL!$C$27, 0.0021, 0)</f>
        <v>35.374899999999997</v>
      </c>
      <c r="K121" s="14">
        <f>35.3728 * CHOOSE(CONTROL!$C$9, $D$9, 100%, $F$9) + CHOOSE(CONTROL!$C$27, 0.0021, 0)</f>
        <v>35.374899999999997</v>
      </c>
      <c r="L121" s="14"/>
    </row>
    <row r="122" spans="1:12" ht="15" x14ac:dyDescent="0.2">
      <c r="A122" s="13">
        <v>44621</v>
      </c>
      <c r="B122" s="14">
        <f>35.4706 * CHOOSE(CONTROL!$C$9, $D$9, 100%, $F$9) + CHOOSE(CONTROL!$C$27, 0.0021, 0)</f>
        <v>35.472699999999996</v>
      </c>
      <c r="C122" s="14">
        <f>35.0383 * CHOOSE(CONTROL!$C$9, $D$9, 100%, $F$9) + CHOOSE(CONTROL!$C$27, 0.0021, 0)</f>
        <v>35.040399999999998</v>
      </c>
      <c r="D122" s="14">
        <f>35.0383 * CHOOSE(CONTROL!$C$9, $D$9, 100%, $F$9) + CHOOSE(CONTROL!$C$27, 0.0021, 0)</f>
        <v>35.040399999999998</v>
      </c>
      <c r="E122" s="14">
        <f>34.9017 * CHOOSE(CONTROL!$C$9, $D$9, 100%, $F$9) + CHOOSE(CONTROL!$C$27, 0.0021, 0)</f>
        <v>34.903799999999997</v>
      </c>
      <c r="F122" s="14">
        <f>34.9017 * CHOOSE(CONTROL!$C$9, $D$9, 100%, $F$9) + CHOOSE(CONTROL!$C$27, 0.0021, 0)</f>
        <v>34.903799999999997</v>
      </c>
      <c r="G122" s="14">
        <f>35.173 * CHOOSE(CONTROL!$C$9, $D$9, 100%, $F$9) + CHOOSE(CONTROL!$C$27, 0.0021, 0)</f>
        <v>35.1751</v>
      </c>
      <c r="H122" s="14">
        <f>35.0383 * CHOOSE(CONTROL!$C$9, $D$9, 100%, $F$9) + CHOOSE(CONTROL!$C$27, 0.0021, 0)</f>
        <v>35.040399999999998</v>
      </c>
      <c r="I122" s="14">
        <f>35.0383 * CHOOSE(CONTROL!$C$9, $D$9, 100%, $F$9) + CHOOSE(CONTROL!$C$27, 0.0021, 0)</f>
        <v>35.040399999999998</v>
      </c>
      <c r="J122" s="14">
        <f>35.0383 * CHOOSE(CONTROL!$C$9, $D$9, 100%, $F$9) + CHOOSE(CONTROL!$C$27, 0.0021, 0)</f>
        <v>35.040399999999998</v>
      </c>
      <c r="K122" s="14">
        <f>35.0383 * CHOOSE(CONTROL!$C$9, $D$9, 100%, $F$9) + CHOOSE(CONTROL!$C$27, 0.0021, 0)</f>
        <v>35.040399999999998</v>
      </c>
      <c r="L122" s="14"/>
    </row>
    <row r="123" spans="1:12" ht="15" x14ac:dyDescent="0.2">
      <c r="A123" s="13">
        <v>44652</v>
      </c>
      <c r="B123" s="14">
        <f>35.0561 * CHOOSE(CONTROL!$C$9, $D$9, 100%, $F$9) + CHOOSE(CONTROL!$C$27, 0.0021, 0)</f>
        <v>35.058199999999999</v>
      </c>
      <c r="C123" s="14">
        <f>34.6239 * CHOOSE(CONTROL!$C$9, $D$9, 100%, $F$9) + CHOOSE(CONTROL!$C$27, 0.0021, 0)</f>
        <v>34.625999999999998</v>
      </c>
      <c r="D123" s="14">
        <f>34.6239 * CHOOSE(CONTROL!$C$9, $D$9, 100%, $F$9) + CHOOSE(CONTROL!$C$27, 0.0021, 0)</f>
        <v>34.625999999999998</v>
      </c>
      <c r="E123" s="14">
        <f>34.4872 * CHOOSE(CONTROL!$C$9, $D$9, 100%, $F$9) + CHOOSE(CONTROL!$C$27, 0.0021, 0)</f>
        <v>34.4893</v>
      </c>
      <c r="F123" s="14">
        <f>34.4872 * CHOOSE(CONTROL!$C$9, $D$9, 100%, $F$9) + CHOOSE(CONTROL!$C$27, 0.0021, 0)</f>
        <v>34.4893</v>
      </c>
      <c r="G123" s="14">
        <f>34.7586 * CHOOSE(CONTROL!$C$9, $D$9, 100%, $F$9) + CHOOSE(CONTROL!$C$27, 0.0021, 0)</f>
        <v>34.7607</v>
      </c>
      <c r="H123" s="14">
        <f>34.6239 * CHOOSE(CONTROL!$C$9, $D$9, 100%, $F$9) + CHOOSE(CONTROL!$C$27, 0.0021, 0)</f>
        <v>34.625999999999998</v>
      </c>
      <c r="I123" s="14">
        <f>34.6239 * CHOOSE(CONTROL!$C$9, $D$9, 100%, $F$9) + CHOOSE(CONTROL!$C$27, 0.0021, 0)</f>
        <v>34.625999999999998</v>
      </c>
      <c r="J123" s="14">
        <f>34.6239 * CHOOSE(CONTROL!$C$9, $D$9, 100%, $F$9) + CHOOSE(CONTROL!$C$27, 0.0021, 0)</f>
        <v>34.625999999999998</v>
      </c>
      <c r="K123" s="14">
        <f>34.6239 * CHOOSE(CONTROL!$C$9, $D$9, 100%, $F$9) + CHOOSE(CONTROL!$C$27, 0.0021, 0)</f>
        <v>34.625999999999998</v>
      </c>
      <c r="L123" s="14"/>
    </row>
    <row r="124" spans="1:12" ht="15" x14ac:dyDescent="0.2">
      <c r="A124" s="13">
        <v>44682</v>
      </c>
      <c r="B124" s="14">
        <f>35.8131 * CHOOSE(CONTROL!$C$9, $D$9, 100%, $F$9) + CHOOSE(CONTROL!$C$27, 0.0021, 0)</f>
        <v>35.815199999999997</v>
      </c>
      <c r="C124" s="14">
        <f>35.3808 * CHOOSE(CONTROL!$C$9, $D$9, 100%, $F$9) + CHOOSE(CONTROL!$C$27, 0.0021, 0)</f>
        <v>35.382899999999999</v>
      </c>
      <c r="D124" s="14">
        <f>35.3808 * CHOOSE(CONTROL!$C$9, $D$9, 100%, $F$9) + CHOOSE(CONTROL!$C$27, 0.0021, 0)</f>
        <v>35.382899999999999</v>
      </c>
      <c r="E124" s="14">
        <f>35.2442 * CHOOSE(CONTROL!$C$9, $D$9, 100%, $F$9) + CHOOSE(CONTROL!$C$27, 0.0021, 0)</f>
        <v>35.246299999999998</v>
      </c>
      <c r="F124" s="14">
        <f>35.2442 * CHOOSE(CONTROL!$C$9, $D$9, 100%, $F$9) + CHOOSE(CONTROL!$C$27, 0.0021, 0)</f>
        <v>35.246299999999998</v>
      </c>
      <c r="G124" s="14">
        <f>35.5155 * CHOOSE(CONTROL!$C$9, $D$9, 100%, $F$9) + CHOOSE(CONTROL!$C$27, 0.0021, 0)</f>
        <v>35.517600000000002</v>
      </c>
      <c r="H124" s="14">
        <f>35.3808 * CHOOSE(CONTROL!$C$9, $D$9, 100%, $F$9) + CHOOSE(CONTROL!$C$27, 0.0021, 0)</f>
        <v>35.382899999999999</v>
      </c>
      <c r="I124" s="14">
        <f>35.3808 * CHOOSE(CONTROL!$C$9, $D$9, 100%, $F$9) + CHOOSE(CONTROL!$C$27, 0.0021, 0)</f>
        <v>35.382899999999999</v>
      </c>
      <c r="J124" s="14">
        <f>35.3808 * CHOOSE(CONTROL!$C$9, $D$9, 100%, $F$9) + CHOOSE(CONTROL!$C$27, 0.0021, 0)</f>
        <v>35.382899999999999</v>
      </c>
      <c r="K124" s="14">
        <f>35.3808 * CHOOSE(CONTROL!$C$9, $D$9, 100%, $F$9) + CHOOSE(CONTROL!$C$27, 0.0021, 0)</f>
        <v>35.382899999999999</v>
      </c>
      <c r="L124" s="14"/>
    </row>
    <row r="125" spans="1:12" ht="15" x14ac:dyDescent="0.2">
      <c r="A125" s="13">
        <v>44713</v>
      </c>
      <c r="B125" s="14">
        <f>36.2959 * CHOOSE(CONTROL!$C$9, $D$9, 100%, $F$9) + CHOOSE(CONTROL!$C$27, 0.0021, 0)</f>
        <v>36.298000000000002</v>
      </c>
      <c r="C125" s="14">
        <f>35.8637 * CHOOSE(CONTROL!$C$9, $D$9, 100%, $F$9) + CHOOSE(CONTROL!$C$27, 0.0021, 0)</f>
        <v>35.8658</v>
      </c>
      <c r="D125" s="14">
        <f>35.8637 * CHOOSE(CONTROL!$C$9, $D$9, 100%, $F$9) + CHOOSE(CONTROL!$C$27, 0.0021, 0)</f>
        <v>35.8658</v>
      </c>
      <c r="E125" s="14">
        <f>35.727 * CHOOSE(CONTROL!$C$9, $D$9, 100%, $F$9) + CHOOSE(CONTROL!$C$27, 0.0021, 0)</f>
        <v>35.729099999999995</v>
      </c>
      <c r="F125" s="14">
        <f>35.727 * CHOOSE(CONTROL!$C$9, $D$9, 100%, $F$9) + CHOOSE(CONTROL!$C$27, 0.0021, 0)</f>
        <v>35.729099999999995</v>
      </c>
      <c r="G125" s="14">
        <f>35.9984 * CHOOSE(CONTROL!$C$9, $D$9, 100%, $F$9) + CHOOSE(CONTROL!$C$27, 0.0021, 0)</f>
        <v>36.000499999999995</v>
      </c>
      <c r="H125" s="14">
        <f>35.8637 * CHOOSE(CONTROL!$C$9, $D$9, 100%, $F$9) + CHOOSE(CONTROL!$C$27, 0.0021, 0)</f>
        <v>35.8658</v>
      </c>
      <c r="I125" s="14">
        <f>35.8637 * CHOOSE(CONTROL!$C$9, $D$9, 100%, $F$9) + CHOOSE(CONTROL!$C$27, 0.0021, 0)</f>
        <v>35.8658</v>
      </c>
      <c r="J125" s="14">
        <f>35.8637 * CHOOSE(CONTROL!$C$9, $D$9, 100%, $F$9) + CHOOSE(CONTROL!$C$27, 0.0021, 0)</f>
        <v>35.8658</v>
      </c>
      <c r="K125" s="14">
        <f>35.8637 * CHOOSE(CONTROL!$C$9, $D$9, 100%, $F$9) + CHOOSE(CONTROL!$C$27, 0.0021, 0)</f>
        <v>35.8658</v>
      </c>
      <c r="L125" s="14"/>
    </row>
    <row r="126" spans="1:12" ht="15" x14ac:dyDescent="0.2">
      <c r="A126" s="13">
        <v>44743</v>
      </c>
      <c r="B126" s="14">
        <f>37.05 * CHOOSE(CONTROL!$C$9, $D$9, 100%, $F$9) + CHOOSE(CONTROL!$C$27, 0.0021, 0)</f>
        <v>37.052099999999996</v>
      </c>
      <c r="C126" s="14">
        <f>36.6178 * CHOOSE(CONTROL!$C$9, $D$9, 100%, $F$9) + CHOOSE(CONTROL!$C$27, 0.0021, 0)</f>
        <v>36.619900000000001</v>
      </c>
      <c r="D126" s="14">
        <f>36.6178 * CHOOSE(CONTROL!$C$9, $D$9, 100%, $F$9) + CHOOSE(CONTROL!$C$27, 0.0021, 0)</f>
        <v>36.619900000000001</v>
      </c>
      <c r="E126" s="14">
        <f>36.4811 * CHOOSE(CONTROL!$C$9, $D$9, 100%, $F$9) + CHOOSE(CONTROL!$C$27, 0.0021, 0)</f>
        <v>36.483199999999997</v>
      </c>
      <c r="F126" s="14">
        <f>36.4811 * CHOOSE(CONTROL!$C$9, $D$9, 100%, $F$9) + CHOOSE(CONTROL!$C$27, 0.0021, 0)</f>
        <v>36.483199999999997</v>
      </c>
      <c r="G126" s="14">
        <f>36.7525 * CHOOSE(CONTROL!$C$9, $D$9, 100%, $F$9) + CHOOSE(CONTROL!$C$27, 0.0021, 0)</f>
        <v>36.754599999999996</v>
      </c>
      <c r="H126" s="14">
        <f>36.6178 * CHOOSE(CONTROL!$C$9, $D$9, 100%, $F$9) + CHOOSE(CONTROL!$C$27, 0.0021, 0)</f>
        <v>36.619900000000001</v>
      </c>
      <c r="I126" s="14">
        <f>36.6178 * CHOOSE(CONTROL!$C$9, $D$9, 100%, $F$9) + CHOOSE(CONTROL!$C$27, 0.0021, 0)</f>
        <v>36.619900000000001</v>
      </c>
      <c r="J126" s="14">
        <f>36.6178 * CHOOSE(CONTROL!$C$9, $D$9, 100%, $F$9) + CHOOSE(CONTROL!$C$27, 0.0021, 0)</f>
        <v>36.619900000000001</v>
      </c>
      <c r="K126" s="14">
        <f>36.6178 * CHOOSE(CONTROL!$C$9, $D$9, 100%, $F$9) + CHOOSE(CONTROL!$C$27, 0.0021, 0)</f>
        <v>36.619900000000001</v>
      </c>
      <c r="L126" s="14"/>
    </row>
    <row r="127" spans="1:12" ht="15" x14ac:dyDescent="0.2">
      <c r="A127" s="13">
        <v>44774</v>
      </c>
      <c r="B127" s="14">
        <f>37.3308 * CHOOSE(CONTROL!$C$9, $D$9, 100%, $F$9) + CHOOSE(CONTROL!$C$27, 0.0021, 0)</f>
        <v>37.332900000000002</v>
      </c>
      <c r="C127" s="14">
        <f>36.8986 * CHOOSE(CONTROL!$C$9, $D$9, 100%, $F$9) + CHOOSE(CONTROL!$C$27, 0.0021, 0)</f>
        <v>36.900700000000001</v>
      </c>
      <c r="D127" s="14">
        <f>36.8986 * CHOOSE(CONTROL!$C$9, $D$9, 100%, $F$9) + CHOOSE(CONTROL!$C$27, 0.0021, 0)</f>
        <v>36.900700000000001</v>
      </c>
      <c r="E127" s="14">
        <f>36.7619 * CHOOSE(CONTROL!$C$9, $D$9, 100%, $F$9) + CHOOSE(CONTROL!$C$27, 0.0021, 0)</f>
        <v>36.763999999999996</v>
      </c>
      <c r="F127" s="14">
        <f>36.7619 * CHOOSE(CONTROL!$C$9, $D$9, 100%, $F$9) + CHOOSE(CONTROL!$C$27, 0.0021, 0)</f>
        <v>36.763999999999996</v>
      </c>
      <c r="G127" s="14">
        <f>37.0333 * CHOOSE(CONTROL!$C$9, $D$9, 100%, $F$9) + CHOOSE(CONTROL!$C$27, 0.0021, 0)</f>
        <v>37.035399999999996</v>
      </c>
      <c r="H127" s="14">
        <f>36.8986 * CHOOSE(CONTROL!$C$9, $D$9, 100%, $F$9) + CHOOSE(CONTROL!$C$27, 0.0021, 0)</f>
        <v>36.900700000000001</v>
      </c>
      <c r="I127" s="14">
        <f>36.8986 * CHOOSE(CONTROL!$C$9, $D$9, 100%, $F$9) + CHOOSE(CONTROL!$C$27, 0.0021, 0)</f>
        <v>36.900700000000001</v>
      </c>
      <c r="J127" s="14">
        <f>36.8986 * CHOOSE(CONTROL!$C$9, $D$9, 100%, $F$9) + CHOOSE(CONTROL!$C$27, 0.0021, 0)</f>
        <v>36.900700000000001</v>
      </c>
      <c r="K127" s="14">
        <f>36.8986 * CHOOSE(CONTROL!$C$9, $D$9, 100%, $F$9) + CHOOSE(CONTROL!$C$27, 0.0021, 0)</f>
        <v>36.900700000000001</v>
      </c>
      <c r="L127" s="14"/>
    </row>
    <row r="128" spans="1:12" ht="15" x14ac:dyDescent="0.2">
      <c r="A128" s="13">
        <v>44805</v>
      </c>
      <c r="B128" s="14">
        <f>38.117 * CHOOSE(CONTROL!$C$9, $D$9, 100%, $F$9) + CHOOSE(CONTROL!$C$27, 0.0021, 0)</f>
        <v>38.119099999999996</v>
      </c>
      <c r="C128" s="14">
        <f>37.6847 * CHOOSE(CONTROL!$C$9, $D$9, 100%, $F$9) + CHOOSE(CONTROL!$C$27, 0.0021, 0)</f>
        <v>37.686799999999998</v>
      </c>
      <c r="D128" s="14">
        <f>37.6847 * CHOOSE(CONTROL!$C$9, $D$9, 100%, $F$9) + CHOOSE(CONTROL!$C$27, 0.0021, 0)</f>
        <v>37.686799999999998</v>
      </c>
      <c r="E128" s="14">
        <f>37.5481 * CHOOSE(CONTROL!$C$9, $D$9, 100%, $F$9) + CHOOSE(CONTROL!$C$27, 0.0021, 0)</f>
        <v>37.550199999999997</v>
      </c>
      <c r="F128" s="14">
        <f>37.5481 * CHOOSE(CONTROL!$C$9, $D$9, 100%, $F$9) + CHOOSE(CONTROL!$C$27, 0.0021, 0)</f>
        <v>37.550199999999997</v>
      </c>
      <c r="G128" s="14">
        <f>37.8195 * CHOOSE(CONTROL!$C$9, $D$9, 100%, $F$9) + CHOOSE(CONTROL!$C$27, 0.0021, 0)</f>
        <v>37.821599999999997</v>
      </c>
      <c r="H128" s="14">
        <f>37.6847 * CHOOSE(CONTROL!$C$9, $D$9, 100%, $F$9) + CHOOSE(CONTROL!$C$27, 0.0021, 0)</f>
        <v>37.686799999999998</v>
      </c>
      <c r="I128" s="14">
        <f>37.6847 * CHOOSE(CONTROL!$C$9, $D$9, 100%, $F$9) + CHOOSE(CONTROL!$C$27, 0.0021, 0)</f>
        <v>37.686799999999998</v>
      </c>
      <c r="J128" s="14">
        <f>37.6847 * CHOOSE(CONTROL!$C$9, $D$9, 100%, $F$9) + CHOOSE(CONTROL!$C$27, 0.0021, 0)</f>
        <v>37.686799999999998</v>
      </c>
      <c r="K128" s="14">
        <f>37.6847 * CHOOSE(CONTROL!$C$9, $D$9, 100%, $F$9) + CHOOSE(CONTROL!$C$27, 0.0021, 0)</f>
        <v>37.686799999999998</v>
      </c>
      <c r="L128" s="14"/>
    </row>
    <row r="129" spans="1:12" ht="15" x14ac:dyDescent="0.2">
      <c r="A129" s="13">
        <v>44835</v>
      </c>
      <c r="B129" s="14">
        <f>39.0964 * CHOOSE(CONTROL!$C$9, $D$9, 100%, $F$9) + CHOOSE(CONTROL!$C$27, 0.0021, 0)</f>
        <v>39.098500000000001</v>
      </c>
      <c r="C129" s="14">
        <f>38.6642 * CHOOSE(CONTROL!$C$9, $D$9, 100%, $F$9) + CHOOSE(CONTROL!$C$27, 0.0021, 0)</f>
        <v>38.6663</v>
      </c>
      <c r="D129" s="14">
        <f>38.6642 * CHOOSE(CONTROL!$C$9, $D$9, 100%, $F$9) + CHOOSE(CONTROL!$C$27, 0.0021, 0)</f>
        <v>38.6663</v>
      </c>
      <c r="E129" s="14">
        <f>38.5275 * CHOOSE(CONTROL!$C$9, $D$9, 100%, $F$9) + CHOOSE(CONTROL!$C$27, 0.0021, 0)</f>
        <v>38.529600000000002</v>
      </c>
      <c r="F129" s="14">
        <f>38.5275 * CHOOSE(CONTROL!$C$9, $D$9, 100%, $F$9) + CHOOSE(CONTROL!$C$27, 0.0021, 0)</f>
        <v>38.529600000000002</v>
      </c>
      <c r="G129" s="14">
        <f>38.7989 * CHOOSE(CONTROL!$C$9, $D$9, 100%, $F$9) + CHOOSE(CONTROL!$C$27, 0.0021, 0)</f>
        <v>38.801000000000002</v>
      </c>
      <c r="H129" s="14">
        <f>38.6642 * CHOOSE(CONTROL!$C$9, $D$9, 100%, $F$9) + CHOOSE(CONTROL!$C$27, 0.0021, 0)</f>
        <v>38.6663</v>
      </c>
      <c r="I129" s="14">
        <f>38.6642 * CHOOSE(CONTROL!$C$9, $D$9, 100%, $F$9) + CHOOSE(CONTROL!$C$27, 0.0021, 0)</f>
        <v>38.6663</v>
      </c>
      <c r="J129" s="14">
        <f>38.6642 * CHOOSE(CONTROL!$C$9, $D$9, 100%, $F$9) + CHOOSE(CONTROL!$C$27, 0.0021, 0)</f>
        <v>38.6663</v>
      </c>
      <c r="K129" s="14">
        <f>38.6642 * CHOOSE(CONTROL!$C$9, $D$9, 100%, $F$9) + CHOOSE(CONTROL!$C$27, 0.0021, 0)</f>
        <v>38.6663</v>
      </c>
      <c r="L129" s="14"/>
    </row>
    <row r="130" spans="1:12" ht="15" x14ac:dyDescent="0.2">
      <c r="A130" s="13">
        <v>44866</v>
      </c>
      <c r="B130" s="14">
        <f>39.2574 * CHOOSE(CONTROL!$C$9, $D$9, 100%, $F$9) + CHOOSE(CONTROL!$C$27, 0.0021, 0)</f>
        <v>39.259499999999996</v>
      </c>
      <c r="C130" s="14">
        <f>38.8252 * CHOOSE(CONTROL!$C$9, $D$9, 100%, $F$9) + CHOOSE(CONTROL!$C$27, 0.0021, 0)</f>
        <v>38.827300000000001</v>
      </c>
      <c r="D130" s="14">
        <f>38.8252 * CHOOSE(CONTROL!$C$9, $D$9, 100%, $F$9) + CHOOSE(CONTROL!$C$27, 0.0021, 0)</f>
        <v>38.827300000000001</v>
      </c>
      <c r="E130" s="14">
        <f>38.6885 * CHOOSE(CONTROL!$C$9, $D$9, 100%, $F$9) + CHOOSE(CONTROL!$C$27, 0.0021, 0)</f>
        <v>38.690599999999996</v>
      </c>
      <c r="F130" s="14">
        <f>38.6885 * CHOOSE(CONTROL!$C$9, $D$9, 100%, $F$9) + CHOOSE(CONTROL!$C$27, 0.0021, 0)</f>
        <v>38.690599999999996</v>
      </c>
      <c r="G130" s="14">
        <f>38.9599 * CHOOSE(CONTROL!$C$9, $D$9, 100%, $F$9) + CHOOSE(CONTROL!$C$27, 0.0021, 0)</f>
        <v>38.961999999999996</v>
      </c>
      <c r="H130" s="14">
        <f>38.8252 * CHOOSE(CONTROL!$C$9, $D$9, 100%, $F$9) + CHOOSE(CONTROL!$C$27, 0.0021, 0)</f>
        <v>38.827300000000001</v>
      </c>
      <c r="I130" s="14">
        <f>38.8252 * CHOOSE(CONTROL!$C$9, $D$9, 100%, $F$9) + CHOOSE(CONTROL!$C$27, 0.0021, 0)</f>
        <v>38.827300000000001</v>
      </c>
      <c r="J130" s="14">
        <f>38.8252 * CHOOSE(CONTROL!$C$9, $D$9, 100%, $F$9) + CHOOSE(CONTROL!$C$27, 0.0021, 0)</f>
        <v>38.827300000000001</v>
      </c>
      <c r="K130" s="14">
        <f>38.8252 * CHOOSE(CONTROL!$C$9, $D$9, 100%, $F$9) + CHOOSE(CONTROL!$C$27, 0.0021, 0)</f>
        <v>38.827300000000001</v>
      </c>
      <c r="L130" s="14"/>
    </row>
    <row r="131" spans="1:12" ht="15" x14ac:dyDescent="0.2">
      <c r="A131" s="13">
        <v>44896</v>
      </c>
      <c r="B131" s="14">
        <f>38.6073 * CHOOSE(CONTROL!$C$9, $D$9, 100%, $F$9) + CHOOSE(CONTROL!$C$27, 0.0021, 0)</f>
        <v>38.609400000000001</v>
      </c>
      <c r="C131" s="14">
        <f>38.175 * CHOOSE(CONTROL!$C$9, $D$9, 100%, $F$9) + CHOOSE(CONTROL!$C$27, 0.0021, 0)</f>
        <v>38.177099999999996</v>
      </c>
      <c r="D131" s="14">
        <f>38.175 * CHOOSE(CONTROL!$C$9, $D$9, 100%, $F$9) + CHOOSE(CONTROL!$C$27, 0.0021, 0)</f>
        <v>38.177099999999996</v>
      </c>
      <c r="E131" s="14">
        <f>38.0384 * CHOOSE(CONTROL!$C$9, $D$9, 100%, $F$9) + CHOOSE(CONTROL!$C$27, 0.0021, 0)</f>
        <v>38.040500000000002</v>
      </c>
      <c r="F131" s="14">
        <f>38.0384 * CHOOSE(CONTROL!$C$9, $D$9, 100%, $F$9) + CHOOSE(CONTROL!$C$27, 0.0021, 0)</f>
        <v>38.040500000000002</v>
      </c>
      <c r="G131" s="14">
        <f>38.3097 * CHOOSE(CONTROL!$C$9, $D$9, 100%, $F$9) + CHOOSE(CONTROL!$C$27, 0.0021, 0)</f>
        <v>38.311799999999998</v>
      </c>
      <c r="H131" s="14">
        <f>38.175 * CHOOSE(CONTROL!$C$9, $D$9, 100%, $F$9) + CHOOSE(CONTROL!$C$27, 0.0021, 0)</f>
        <v>38.177099999999996</v>
      </c>
      <c r="I131" s="14">
        <f>38.175 * CHOOSE(CONTROL!$C$9, $D$9, 100%, $F$9) + CHOOSE(CONTROL!$C$27, 0.0021, 0)</f>
        <v>38.177099999999996</v>
      </c>
      <c r="J131" s="14">
        <f>38.175 * CHOOSE(CONTROL!$C$9, $D$9, 100%, $F$9) + CHOOSE(CONTROL!$C$27, 0.0021, 0)</f>
        <v>38.177099999999996</v>
      </c>
      <c r="K131" s="14">
        <f>38.175 * CHOOSE(CONTROL!$C$9, $D$9, 100%, $F$9) + CHOOSE(CONTROL!$C$27, 0.0021, 0)</f>
        <v>38.177099999999996</v>
      </c>
      <c r="L131" s="14"/>
    </row>
    <row r="132" spans="1:12" ht="15" x14ac:dyDescent="0.2">
      <c r="A132" s="13">
        <v>44927</v>
      </c>
      <c r="B132" s="14">
        <f>39.2328 * CHOOSE(CONTROL!$C$9, $D$9, 100%, $F$9) + CHOOSE(CONTROL!$C$27, 0.0021, 0)</f>
        <v>39.234899999999996</v>
      </c>
      <c r="C132" s="14">
        <f>38.8006 * CHOOSE(CONTROL!$C$9, $D$9, 100%, $F$9) + CHOOSE(CONTROL!$C$27, 0.0021, 0)</f>
        <v>38.802700000000002</v>
      </c>
      <c r="D132" s="14">
        <f>38.8006 * CHOOSE(CONTROL!$C$9, $D$9, 100%, $F$9) + CHOOSE(CONTROL!$C$27, 0.0021, 0)</f>
        <v>38.802700000000002</v>
      </c>
      <c r="E132" s="14">
        <f>38.6639 * CHOOSE(CONTROL!$C$9, $D$9, 100%, $F$9) + CHOOSE(CONTROL!$C$27, 0.0021, 0)</f>
        <v>38.665999999999997</v>
      </c>
      <c r="F132" s="14">
        <f>38.6639 * CHOOSE(CONTROL!$C$9, $D$9, 100%, $F$9) + CHOOSE(CONTROL!$C$27, 0.0021, 0)</f>
        <v>38.665999999999997</v>
      </c>
      <c r="G132" s="14">
        <f>38.9353 * CHOOSE(CONTROL!$C$9, $D$9, 100%, $F$9) + CHOOSE(CONTROL!$C$27, 0.0021, 0)</f>
        <v>38.937399999999997</v>
      </c>
      <c r="H132" s="14">
        <f>38.8006 * CHOOSE(CONTROL!$C$9, $D$9, 100%, $F$9) + CHOOSE(CONTROL!$C$27, 0.0021, 0)</f>
        <v>38.802700000000002</v>
      </c>
      <c r="I132" s="14">
        <f>38.8006 * CHOOSE(CONTROL!$C$9, $D$9, 100%, $F$9) + CHOOSE(CONTROL!$C$27, 0.0021, 0)</f>
        <v>38.802700000000002</v>
      </c>
      <c r="J132" s="14">
        <f>38.8006 * CHOOSE(CONTROL!$C$9, $D$9, 100%, $F$9) + CHOOSE(CONTROL!$C$27, 0.0021, 0)</f>
        <v>38.802700000000002</v>
      </c>
      <c r="K132" s="14">
        <f>38.8006 * CHOOSE(CONTROL!$C$9, $D$9, 100%, $F$9) + CHOOSE(CONTROL!$C$27, 0.0021, 0)</f>
        <v>38.802700000000002</v>
      </c>
      <c r="L132" s="14"/>
    </row>
    <row r="133" spans="1:12" ht="15" x14ac:dyDescent="0.2">
      <c r="A133" s="13">
        <v>44958</v>
      </c>
      <c r="B133" s="14">
        <f>38.2619 * CHOOSE(CONTROL!$C$9, $D$9, 100%, $F$9) + CHOOSE(CONTROL!$C$27, 0.0021, 0)</f>
        <v>38.263999999999996</v>
      </c>
      <c r="C133" s="14">
        <f>37.8296 * CHOOSE(CONTROL!$C$9, $D$9, 100%, $F$9) + CHOOSE(CONTROL!$C$27, 0.0021, 0)</f>
        <v>37.831699999999998</v>
      </c>
      <c r="D133" s="14">
        <f>37.8296 * CHOOSE(CONTROL!$C$9, $D$9, 100%, $F$9) + CHOOSE(CONTROL!$C$27, 0.0021, 0)</f>
        <v>37.831699999999998</v>
      </c>
      <c r="E133" s="14">
        <f>37.693 * CHOOSE(CONTROL!$C$9, $D$9, 100%, $F$9) + CHOOSE(CONTROL!$C$27, 0.0021, 0)</f>
        <v>37.695099999999996</v>
      </c>
      <c r="F133" s="14">
        <f>37.693 * CHOOSE(CONTROL!$C$9, $D$9, 100%, $F$9) + CHOOSE(CONTROL!$C$27, 0.0021, 0)</f>
        <v>37.695099999999996</v>
      </c>
      <c r="G133" s="14">
        <f>37.9644 * CHOOSE(CONTROL!$C$9, $D$9, 100%, $F$9) + CHOOSE(CONTROL!$C$27, 0.0021, 0)</f>
        <v>37.966499999999996</v>
      </c>
      <c r="H133" s="14">
        <f>37.8296 * CHOOSE(CONTROL!$C$9, $D$9, 100%, $F$9) + CHOOSE(CONTROL!$C$27, 0.0021, 0)</f>
        <v>37.831699999999998</v>
      </c>
      <c r="I133" s="14">
        <f>37.8296 * CHOOSE(CONTROL!$C$9, $D$9, 100%, $F$9) + CHOOSE(CONTROL!$C$27, 0.0021, 0)</f>
        <v>37.831699999999998</v>
      </c>
      <c r="J133" s="14">
        <f>37.8296 * CHOOSE(CONTROL!$C$9, $D$9, 100%, $F$9) + CHOOSE(CONTROL!$C$27, 0.0021, 0)</f>
        <v>37.831699999999998</v>
      </c>
      <c r="K133" s="14">
        <f>37.8296 * CHOOSE(CONTROL!$C$9, $D$9, 100%, $F$9) + CHOOSE(CONTROL!$C$27, 0.0021, 0)</f>
        <v>37.831699999999998</v>
      </c>
      <c r="L133" s="14"/>
    </row>
    <row r="134" spans="1:12" ht="15" x14ac:dyDescent="0.2">
      <c r="A134" s="13">
        <v>44986</v>
      </c>
      <c r="B134" s="14">
        <f>37.9029 * CHOOSE(CONTROL!$C$9, $D$9, 100%, $F$9) + CHOOSE(CONTROL!$C$27, 0.0021, 0)</f>
        <v>37.905000000000001</v>
      </c>
      <c r="C134" s="14">
        <f>37.4706 * CHOOSE(CONTROL!$C$9, $D$9, 100%, $F$9) + CHOOSE(CONTROL!$C$27, 0.0021, 0)</f>
        <v>37.472699999999996</v>
      </c>
      <c r="D134" s="14">
        <f>37.4706 * CHOOSE(CONTROL!$C$9, $D$9, 100%, $F$9) + CHOOSE(CONTROL!$C$27, 0.0021, 0)</f>
        <v>37.472699999999996</v>
      </c>
      <c r="E134" s="14">
        <f>37.334 * CHOOSE(CONTROL!$C$9, $D$9, 100%, $F$9) + CHOOSE(CONTROL!$C$27, 0.0021, 0)</f>
        <v>37.336100000000002</v>
      </c>
      <c r="F134" s="14">
        <f>37.334 * CHOOSE(CONTROL!$C$9, $D$9, 100%, $F$9) + CHOOSE(CONTROL!$C$27, 0.0021, 0)</f>
        <v>37.336100000000002</v>
      </c>
      <c r="G134" s="14">
        <f>37.6054 * CHOOSE(CONTROL!$C$9, $D$9, 100%, $F$9) + CHOOSE(CONTROL!$C$27, 0.0021, 0)</f>
        <v>37.607500000000002</v>
      </c>
      <c r="H134" s="14">
        <f>37.4706 * CHOOSE(CONTROL!$C$9, $D$9, 100%, $F$9) + CHOOSE(CONTROL!$C$27, 0.0021, 0)</f>
        <v>37.472699999999996</v>
      </c>
      <c r="I134" s="14">
        <f>37.4706 * CHOOSE(CONTROL!$C$9, $D$9, 100%, $F$9) + CHOOSE(CONTROL!$C$27, 0.0021, 0)</f>
        <v>37.472699999999996</v>
      </c>
      <c r="J134" s="14">
        <f>37.4706 * CHOOSE(CONTROL!$C$9, $D$9, 100%, $F$9) + CHOOSE(CONTROL!$C$27, 0.0021, 0)</f>
        <v>37.472699999999996</v>
      </c>
      <c r="K134" s="14">
        <f>37.4706 * CHOOSE(CONTROL!$C$9, $D$9, 100%, $F$9) + CHOOSE(CONTROL!$C$27, 0.0021, 0)</f>
        <v>37.472699999999996</v>
      </c>
      <c r="L134" s="14"/>
    </row>
    <row r="135" spans="1:12" ht="15" x14ac:dyDescent="0.2">
      <c r="A135" s="13">
        <v>45017</v>
      </c>
      <c r="B135" s="14">
        <f>37.458 * CHOOSE(CONTROL!$C$9, $D$9, 100%, $F$9) + CHOOSE(CONTROL!$C$27, 0.0021, 0)</f>
        <v>37.460099999999997</v>
      </c>
      <c r="C135" s="14">
        <f>37.0258 * CHOOSE(CONTROL!$C$9, $D$9, 100%, $F$9) + CHOOSE(CONTROL!$C$27, 0.0021, 0)</f>
        <v>37.027899999999995</v>
      </c>
      <c r="D135" s="14">
        <f>37.0258 * CHOOSE(CONTROL!$C$9, $D$9, 100%, $F$9) + CHOOSE(CONTROL!$C$27, 0.0021, 0)</f>
        <v>37.027899999999995</v>
      </c>
      <c r="E135" s="14">
        <f>36.8891 * CHOOSE(CONTROL!$C$9, $D$9, 100%, $F$9) + CHOOSE(CONTROL!$C$27, 0.0021, 0)</f>
        <v>36.891199999999998</v>
      </c>
      <c r="F135" s="14">
        <f>36.8891 * CHOOSE(CONTROL!$C$9, $D$9, 100%, $F$9) + CHOOSE(CONTROL!$C$27, 0.0021, 0)</f>
        <v>36.891199999999998</v>
      </c>
      <c r="G135" s="14">
        <f>37.1605 * CHOOSE(CONTROL!$C$9, $D$9, 100%, $F$9) + CHOOSE(CONTROL!$C$27, 0.0021, 0)</f>
        <v>37.162599999999998</v>
      </c>
      <c r="H135" s="14">
        <f>37.0258 * CHOOSE(CONTROL!$C$9, $D$9, 100%, $F$9) + CHOOSE(CONTROL!$C$27, 0.0021, 0)</f>
        <v>37.027899999999995</v>
      </c>
      <c r="I135" s="14">
        <f>37.0258 * CHOOSE(CONTROL!$C$9, $D$9, 100%, $F$9) + CHOOSE(CONTROL!$C$27, 0.0021, 0)</f>
        <v>37.027899999999995</v>
      </c>
      <c r="J135" s="14">
        <f>37.0258 * CHOOSE(CONTROL!$C$9, $D$9, 100%, $F$9) + CHOOSE(CONTROL!$C$27, 0.0021, 0)</f>
        <v>37.027899999999995</v>
      </c>
      <c r="K135" s="14">
        <f>37.0258 * CHOOSE(CONTROL!$C$9, $D$9, 100%, $F$9) + CHOOSE(CONTROL!$C$27, 0.0021, 0)</f>
        <v>37.027899999999995</v>
      </c>
      <c r="L135" s="14"/>
    </row>
    <row r="136" spans="1:12" ht="15" x14ac:dyDescent="0.2">
      <c r="A136" s="13">
        <v>45047</v>
      </c>
      <c r="B136" s="14">
        <f>38.2705 * CHOOSE(CONTROL!$C$9, $D$9, 100%, $F$9) + CHOOSE(CONTROL!$C$27, 0.0021, 0)</f>
        <v>38.272599999999997</v>
      </c>
      <c r="C136" s="14">
        <f>37.8382 * CHOOSE(CONTROL!$C$9, $D$9, 100%, $F$9) + CHOOSE(CONTROL!$C$27, 0.0021, 0)</f>
        <v>37.840299999999999</v>
      </c>
      <c r="D136" s="14">
        <f>37.8382 * CHOOSE(CONTROL!$C$9, $D$9, 100%, $F$9) + CHOOSE(CONTROL!$C$27, 0.0021, 0)</f>
        <v>37.840299999999999</v>
      </c>
      <c r="E136" s="14">
        <f>37.7016 * CHOOSE(CONTROL!$C$9, $D$9, 100%, $F$9) + CHOOSE(CONTROL!$C$27, 0.0021, 0)</f>
        <v>37.703699999999998</v>
      </c>
      <c r="F136" s="14">
        <f>37.7016 * CHOOSE(CONTROL!$C$9, $D$9, 100%, $F$9) + CHOOSE(CONTROL!$C$27, 0.0021, 0)</f>
        <v>37.703699999999998</v>
      </c>
      <c r="G136" s="14">
        <f>37.973 * CHOOSE(CONTROL!$C$9, $D$9, 100%, $F$9) + CHOOSE(CONTROL!$C$27, 0.0021, 0)</f>
        <v>37.975099999999998</v>
      </c>
      <c r="H136" s="14">
        <f>37.8382 * CHOOSE(CONTROL!$C$9, $D$9, 100%, $F$9) + CHOOSE(CONTROL!$C$27, 0.0021, 0)</f>
        <v>37.840299999999999</v>
      </c>
      <c r="I136" s="14">
        <f>37.8382 * CHOOSE(CONTROL!$C$9, $D$9, 100%, $F$9) + CHOOSE(CONTROL!$C$27, 0.0021, 0)</f>
        <v>37.840299999999999</v>
      </c>
      <c r="J136" s="14">
        <f>37.8382 * CHOOSE(CONTROL!$C$9, $D$9, 100%, $F$9) + CHOOSE(CONTROL!$C$27, 0.0021, 0)</f>
        <v>37.840299999999999</v>
      </c>
      <c r="K136" s="14">
        <f>37.8382 * CHOOSE(CONTROL!$C$9, $D$9, 100%, $F$9) + CHOOSE(CONTROL!$C$27, 0.0021, 0)</f>
        <v>37.840299999999999</v>
      </c>
      <c r="L136" s="14"/>
    </row>
    <row r="137" spans="1:12" ht="15" x14ac:dyDescent="0.2">
      <c r="A137" s="13">
        <v>45078</v>
      </c>
      <c r="B137" s="14">
        <f>38.7888 * CHOOSE(CONTROL!$C$9, $D$9, 100%, $F$9) + CHOOSE(CONTROL!$C$27, 0.0021, 0)</f>
        <v>38.790900000000001</v>
      </c>
      <c r="C137" s="14">
        <f>38.3565 * CHOOSE(CONTROL!$C$9, $D$9, 100%, $F$9) + CHOOSE(CONTROL!$C$27, 0.0021, 0)</f>
        <v>38.358599999999996</v>
      </c>
      <c r="D137" s="14">
        <f>38.3565 * CHOOSE(CONTROL!$C$9, $D$9, 100%, $F$9) + CHOOSE(CONTROL!$C$27, 0.0021, 0)</f>
        <v>38.358599999999996</v>
      </c>
      <c r="E137" s="14">
        <f>38.2198 * CHOOSE(CONTROL!$C$9, $D$9, 100%, $F$9) + CHOOSE(CONTROL!$C$27, 0.0021, 0)</f>
        <v>38.221899999999998</v>
      </c>
      <c r="F137" s="14">
        <f>38.2198 * CHOOSE(CONTROL!$C$9, $D$9, 100%, $F$9) + CHOOSE(CONTROL!$C$27, 0.0021, 0)</f>
        <v>38.221899999999998</v>
      </c>
      <c r="G137" s="14">
        <f>38.4912 * CHOOSE(CONTROL!$C$9, $D$9, 100%, $F$9) + CHOOSE(CONTROL!$C$27, 0.0021, 0)</f>
        <v>38.493299999999998</v>
      </c>
      <c r="H137" s="14">
        <f>38.3565 * CHOOSE(CONTROL!$C$9, $D$9, 100%, $F$9) + CHOOSE(CONTROL!$C$27, 0.0021, 0)</f>
        <v>38.358599999999996</v>
      </c>
      <c r="I137" s="14">
        <f>38.3565 * CHOOSE(CONTROL!$C$9, $D$9, 100%, $F$9) + CHOOSE(CONTROL!$C$27, 0.0021, 0)</f>
        <v>38.358599999999996</v>
      </c>
      <c r="J137" s="14">
        <f>38.3565 * CHOOSE(CONTROL!$C$9, $D$9, 100%, $F$9) + CHOOSE(CONTROL!$C$27, 0.0021, 0)</f>
        <v>38.358599999999996</v>
      </c>
      <c r="K137" s="14">
        <f>38.3565 * CHOOSE(CONTROL!$C$9, $D$9, 100%, $F$9) + CHOOSE(CONTROL!$C$27, 0.0021, 0)</f>
        <v>38.358599999999996</v>
      </c>
      <c r="L137" s="14"/>
    </row>
    <row r="138" spans="1:12" ht="15" x14ac:dyDescent="0.2">
      <c r="A138" s="13">
        <v>45108</v>
      </c>
      <c r="B138" s="14">
        <f>39.5981 * CHOOSE(CONTROL!$C$9, $D$9, 100%, $F$9) + CHOOSE(CONTROL!$C$27, 0.0021, 0)</f>
        <v>39.600200000000001</v>
      </c>
      <c r="C138" s="14">
        <f>39.1659 * CHOOSE(CONTROL!$C$9, $D$9, 100%, $F$9) + CHOOSE(CONTROL!$C$27, 0.0021, 0)</f>
        <v>39.167999999999999</v>
      </c>
      <c r="D138" s="14">
        <f>39.1659 * CHOOSE(CONTROL!$C$9, $D$9, 100%, $F$9) + CHOOSE(CONTROL!$C$27, 0.0021, 0)</f>
        <v>39.167999999999999</v>
      </c>
      <c r="E138" s="14">
        <f>39.0292 * CHOOSE(CONTROL!$C$9, $D$9, 100%, $F$9) + CHOOSE(CONTROL!$C$27, 0.0021, 0)</f>
        <v>39.031300000000002</v>
      </c>
      <c r="F138" s="14">
        <f>39.0292 * CHOOSE(CONTROL!$C$9, $D$9, 100%, $F$9) + CHOOSE(CONTROL!$C$27, 0.0021, 0)</f>
        <v>39.031300000000002</v>
      </c>
      <c r="G138" s="14">
        <f>39.3006 * CHOOSE(CONTROL!$C$9, $D$9, 100%, $F$9) + CHOOSE(CONTROL!$C$27, 0.0021, 0)</f>
        <v>39.302700000000002</v>
      </c>
      <c r="H138" s="14">
        <f>39.1659 * CHOOSE(CONTROL!$C$9, $D$9, 100%, $F$9) + CHOOSE(CONTROL!$C$27, 0.0021, 0)</f>
        <v>39.167999999999999</v>
      </c>
      <c r="I138" s="14">
        <f>39.1659 * CHOOSE(CONTROL!$C$9, $D$9, 100%, $F$9) + CHOOSE(CONTROL!$C$27, 0.0021, 0)</f>
        <v>39.167999999999999</v>
      </c>
      <c r="J138" s="14">
        <f>39.1659 * CHOOSE(CONTROL!$C$9, $D$9, 100%, $F$9) + CHOOSE(CONTROL!$C$27, 0.0021, 0)</f>
        <v>39.167999999999999</v>
      </c>
      <c r="K138" s="14">
        <f>39.1659 * CHOOSE(CONTROL!$C$9, $D$9, 100%, $F$9) + CHOOSE(CONTROL!$C$27, 0.0021, 0)</f>
        <v>39.167999999999999</v>
      </c>
      <c r="L138" s="14"/>
    </row>
    <row r="139" spans="1:12" ht="15" x14ac:dyDescent="0.2">
      <c r="A139" s="13">
        <v>45139</v>
      </c>
      <c r="B139" s="14">
        <f>39.8995 * CHOOSE(CONTROL!$C$9, $D$9, 100%, $F$9) + CHOOSE(CONTROL!$C$27, 0.0021, 0)</f>
        <v>39.901600000000002</v>
      </c>
      <c r="C139" s="14">
        <f>39.4673 * CHOOSE(CONTROL!$C$9, $D$9, 100%, $F$9) + CHOOSE(CONTROL!$C$27, 0.0021, 0)</f>
        <v>39.4694</v>
      </c>
      <c r="D139" s="14">
        <f>39.4673 * CHOOSE(CONTROL!$C$9, $D$9, 100%, $F$9) + CHOOSE(CONTROL!$C$27, 0.0021, 0)</f>
        <v>39.4694</v>
      </c>
      <c r="E139" s="14">
        <f>39.3306 * CHOOSE(CONTROL!$C$9, $D$9, 100%, $F$9) + CHOOSE(CONTROL!$C$27, 0.0021, 0)</f>
        <v>39.332699999999996</v>
      </c>
      <c r="F139" s="14">
        <f>39.3306 * CHOOSE(CONTROL!$C$9, $D$9, 100%, $F$9) + CHOOSE(CONTROL!$C$27, 0.0021, 0)</f>
        <v>39.332699999999996</v>
      </c>
      <c r="G139" s="14">
        <f>39.602 * CHOOSE(CONTROL!$C$9, $D$9, 100%, $F$9) + CHOOSE(CONTROL!$C$27, 0.0021, 0)</f>
        <v>39.604099999999995</v>
      </c>
      <c r="H139" s="14">
        <f>39.4673 * CHOOSE(CONTROL!$C$9, $D$9, 100%, $F$9) + CHOOSE(CONTROL!$C$27, 0.0021, 0)</f>
        <v>39.4694</v>
      </c>
      <c r="I139" s="14">
        <f>39.4673 * CHOOSE(CONTROL!$C$9, $D$9, 100%, $F$9) + CHOOSE(CONTROL!$C$27, 0.0021, 0)</f>
        <v>39.4694</v>
      </c>
      <c r="J139" s="14">
        <f>39.4673 * CHOOSE(CONTROL!$C$9, $D$9, 100%, $F$9) + CHOOSE(CONTROL!$C$27, 0.0021, 0)</f>
        <v>39.4694</v>
      </c>
      <c r="K139" s="14">
        <f>39.4673 * CHOOSE(CONTROL!$C$9, $D$9, 100%, $F$9) + CHOOSE(CONTROL!$C$27, 0.0021, 0)</f>
        <v>39.4694</v>
      </c>
      <c r="L139" s="14"/>
    </row>
    <row r="140" spans="1:12" ht="15" x14ac:dyDescent="0.2">
      <c r="A140" s="13">
        <v>45170</v>
      </c>
      <c r="B140" s="14">
        <f>40.7433 * CHOOSE(CONTROL!$C$9, $D$9, 100%, $F$9) + CHOOSE(CONTROL!$C$27, 0.0021, 0)</f>
        <v>40.745399999999997</v>
      </c>
      <c r="C140" s="14">
        <f>40.3111 * CHOOSE(CONTROL!$C$9, $D$9, 100%, $F$9) + CHOOSE(CONTROL!$C$27, 0.0021, 0)</f>
        <v>40.313200000000002</v>
      </c>
      <c r="D140" s="14">
        <f>40.3111 * CHOOSE(CONTROL!$C$9, $D$9, 100%, $F$9) + CHOOSE(CONTROL!$C$27, 0.0021, 0)</f>
        <v>40.313200000000002</v>
      </c>
      <c r="E140" s="14">
        <f>40.1744 * CHOOSE(CONTROL!$C$9, $D$9, 100%, $F$9) + CHOOSE(CONTROL!$C$27, 0.0021, 0)</f>
        <v>40.176499999999997</v>
      </c>
      <c r="F140" s="14">
        <f>40.1744 * CHOOSE(CONTROL!$C$9, $D$9, 100%, $F$9) + CHOOSE(CONTROL!$C$27, 0.0021, 0)</f>
        <v>40.176499999999997</v>
      </c>
      <c r="G140" s="14">
        <f>40.4458 * CHOOSE(CONTROL!$C$9, $D$9, 100%, $F$9) + CHOOSE(CONTROL!$C$27, 0.0021, 0)</f>
        <v>40.447899999999997</v>
      </c>
      <c r="H140" s="14">
        <f>40.3111 * CHOOSE(CONTROL!$C$9, $D$9, 100%, $F$9) + CHOOSE(CONTROL!$C$27, 0.0021, 0)</f>
        <v>40.313200000000002</v>
      </c>
      <c r="I140" s="14">
        <f>40.3111 * CHOOSE(CONTROL!$C$9, $D$9, 100%, $F$9) + CHOOSE(CONTROL!$C$27, 0.0021, 0)</f>
        <v>40.313200000000002</v>
      </c>
      <c r="J140" s="14">
        <f>40.3111 * CHOOSE(CONTROL!$C$9, $D$9, 100%, $F$9) + CHOOSE(CONTROL!$C$27, 0.0021, 0)</f>
        <v>40.313200000000002</v>
      </c>
      <c r="K140" s="14">
        <f>40.3111 * CHOOSE(CONTROL!$C$9, $D$9, 100%, $F$9) + CHOOSE(CONTROL!$C$27, 0.0021, 0)</f>
        <v>40.313200000000002</v>
      </c>
      <c r="L140" s="14"/>
    </row>
    <row r="141" spans="1:12" ht="15" x14ac:dyDescent="0.2">
      <c r="A141" s="13">
        <v>45200</v>
      </c>
      <c r="B141" s="14">
        <f>41.7945 * CHOOSE(CONTROL!$C$9, $D$9, 100%, $F$9) + CHOOSE(CONTROL!$C$27, 0.0021, 0)</f>
        <v>41.796599999999998</v>
      </c>
      <c r="C141" s="14">
        <f>41.3623 * CHOOSE(CONTROL!$C$9, $D$9, 100%, $F$9) + CHOOSE(CONTROL!$C$27, 0.0021, 0)</f>
        <v>41.364399999999996</v>
      </c>
      <c r="D141" s="14">
        <f>41.3623 * CHOOSE(CONTROL!$C$9, $D$9, 100%, $F$9) + CHOOSE(CONTROL!$C$27, 0.0021, 0)</f>
        <v>41.364399999999996</v>
      </c>
      <c r="E141" s="14">
        <f>41.2256 * CHOOSE(CONTROL!$C$9, $D$9, 100%, $F$9) + CHOOSE(CONTROL!$C$27, 0.0021, 0)</f>
        <v>41.227699999999999</v>
      </c>
      <c r="F141" s="14">
        <f>41.2256 * CHOOSE(CONTROL!$C$9, $D$9, 100%, $F$9) + CHOOSE(CONTROL!$C$27, 0.0021, 0)</f>
        <v>41.227699999999999</v>
      </c>
      <c r="G141" s="14">
        <f>41.497 * CHOOSE(CONTROL!$C$9, $D$9, 100%, $F$9) + CHOOSE(CONTROL!$C$27, 0.0021, 0)</f>
        <v>41.499099999999999</v>
      </c>
      <c r="H141" s="14">
        <f>41.3623 * CHOOSE(CONTROL!$C$9, $D$9, 100%, $F$9) + CHOOSE(CONTROL!$C$27, 0.0021, 0)</f>
        <v>41.364399999999996</v>
      </c>
      <c r="I141" s="14">
        <f>41.3623 * CHOOSE(CONTROL!$C$9, $D$9, 100%, $F$9) + CHOOSE(CONTROL!$C$27, 0.0021, 0)</f>
        <v>41.364399999999996</v>
      </c>
      <c r="J141" s="14">
        <f>41.3623 * CHOOSE(CONTROL!$C$9, $D$9, 100%, $F$9) + CHOOSE(CONTROL!$C$27, 0.0021, 0)</f>
        <v>41.364399999999996</v>
      </c>
      <c r="K141" s="14">
        <f>41.3623 * CHOOSE(CONTROL!$C$9, $D$9, 100%, $F$9) + CHOOSE(CONTROL!$C$27, 0.0021, 0)</f>
        <v>41.364399999999996</v>
      </c>
      <c r="L141" s="14"/>
    </row>
    <row r="142" spans="1:12" ht="15" x14ac:dyDescent="0.2">
      <c r="A142" s="13">
        <v>45231</v>
      </c>
      <c r="B142" s="14">
        <f>41.9673 * CHOOSE(CONTROL!$C$9, $D$9, 100%, $F$9) + CHOOSE(CONTROL!$C$27, 0.0021, 0)</f>
        <v>41.9694</v>
      </c>
      <c r="C142" s="14">
        <f>41.5351 * CHOOSE(CONTROL!$C$9, $D$9, 100%, $F$9) + CHOOSE(CONTROL!$C$27, 0.0021, 0)</f>
        <v>41.537199999999999</v>
      </c>
      <c r="D142" s="14">
        <f>41.5351 * CHOOSE(CONTROL!$C$9, $D$9, 100%, $F$9) + CHOOSE(CONTROL!$C$27, 0.0021, 0)</f>
        <v>41.537199999999999</v>
      </c>
      <c r="E142" s="14">
        <f>41.3984 * CHOOSE(CONTROL!$C$9, $D$9, 100%, $F$9) + CHOOSE(CONTROL!$C$27, 0.0021, 0)</f>
        <v>41.400500000000001</v>
      </c>
      <c r="F142" s="14">
        <f>41.3984 * CHOOSE(CONTROL!$C$9, $D$9, 100%, $F$9) + CHOOSE(CONTROL!$C$27, 0.0021, 0)</f>
        <v>41.400500000000001</v>
      </c>
      <c r="G142" s="14">
        <f>41.6698 * CHOOSE(CONTROL!$C$9, $D$9, 100%, $F$9) + CHOOSE(CONTROL!$C$27, 0.0021, 0)</f>
        <v>41.671900000000001</v>
      </c>
      <c r="H142" s="14">
        <f>41.5351 * CHOOSE(CONTROL!$C$9, $D$9, 100%, $F$9) + CHOOSE(CONTROL!$C$27, 0.0021, 0)</f>
        <v>41.537199999999999</v>
      </c>
      <c r="I142" s="14">
        <f>41.5351 * CHOOSE(CONTROL!$C$9, $D$9, 100%, $F$9) + CHOOSE(CONTROL!$C$27, 0.0021, 0)</f>
        <v>41.537199999999999</v>
      </c>
      <c r="J142" s="14">
        <f>41.5351 * CHOOSE(CONTROL!$C$9, $D$9, 100%, $F$9) + CHOOSE(CONTROL!$C$27, 0.0021, 0)</f>
        <v>41.537199999999999</v>
      </c>
      <c r="K142" s="14">
        <f>41.5351 * CHOOSE(CONTROL!$C$9, $D$9, 100%, $F$9) + CHOOSE(CONTROL!$C$27, 0.0021, 0)</f>
        <v>41.537199999999999</v>
      </c>
      <c r="L142" s="14"/>
    </row>
    <row r="143" spans="1:12" ht="15" x14ac:dyDescent="0.2">
      <c r="A143" s="13">
        <v>45261</v>
      </c>
      <c r="B143" s="14">
        <f>41.2695 * CHOOSE(CONTROL!$C$9, $D$9, 100%, $F$9) + CHOOSE(CONTROL!$C$27, 0.0021, 0)</f>
        <v>41.271599999999999</v>
      </c>
      <c r="C143" s="14">
        <f>40.8373 * CHOOSE(CONTROL!$C$9, $D$9, 100%, $F$9) + CHOOSE(CONTROL!$C$27, 0.0021, 0)</f>
        <v>40.839399999999998</v>
      </c>
      <c r="D143" s="14">
        <f>40.8373 * CHOOSE(CONTROL!$C$9, $D$9, 100%, $F$9) + CHOOSE(CONTROL!$C$27, 0.0021, 0)</f>
        <v>40.839399999999998</v>
      </c>
      <c r="E143" s="14">
        <f>40.7006 * CHOOSE(CONTROL!$C$9, $D$9, 100%, $F$9) + CHOOSE(CONTROL!$C$27, 0.0021, 0)</f>
        <v>40.7027</v>
      </c>
      <c r="F143" s="14">
        <f>40.7006 * CHOOSE(CONTROL!$C$9, $D$9, 100%, $F$9) + CHOOSE(CONTROL!$C$27, 0.0021, 0)</f>
        <v>40.7027</v>
      </c>
      <c r="G143" s="14">
        <f>40.972 * CHOOSE(CONTROL!$C$9, $D$9, 100%, $F$9) + CHOOSE(CONTROL!$C$27, 0.0021, 0)</f>
        <v>40.9741</v>
      </c>
      <c r="H143" s="14">
        <f>40.8373 * CHOOSE(CONTROL!$C$9, $D$9, 100%, $F$9) + CHOOSE(CONTROL!$C$27, 0.0021, 0)</f>
        <v>40.839399999999998</v>
      </c>
      <c r="I143" s="14">
        <f>40.8373 * CHOOSE(CONTROL!$C$9, $D$9, 100%, $F$9) + CHOOSE(CONTROL!$C$27, 0.0021, 0)</f>
        <v>40.839399999999998</v>
      </c>
      <c r="J143" s="14">
        <f>40.8373 * CHOOSE(CONTROL!$C$9, $D$9, 100%, $F$9) + CHOOSE(CONTROL!$C$27, 0.0021, 0)</f>
        <v>40.839399999999998</v>
      </c>
      <c r="K143" s="14">
        <f>40.8373 * CHOOSE(CONTROL!$C$9, $D$9, 100%, $F$9) + CHOOSE(CONTROL!$C$27, 0.0021, 0)</f>
        <v>40.839399999999998</v>
      </c>
      <c r="L143" s="14"/>
    </row>
    <row r="144" spans="1:12" ht="15" x14ac:dyDescent="0.2">
      <c r="A144" s="13">
        <v>45292</v>
      </c>
      <c r="B144" s="14">
        <f>41.8034 * CHOOSE(CONTROL!$C$9, $D$9, 100%, $F$9) + CHOOSE(CONTROL!$C$27, 0.0021, 0)</f>
        <v>41.805500000000002</v>
      </c>
      <c r="C144" s="14">
        <f>41.3712 * CHOOSE(CONTROL!$C$9, $D$9, 100%, $F$9) + CHOOSE(CONTROL!$C$27, 0.0021, 0)</f>
        <v>41.3733</v>
      </c>
      <c r="D144" s="14">
        <f>41.3712 * CHOOSE(CONTROL!$C$9, $D$9, 100%, $F$9) + CHOOSE(CONTROL!$C$27, 0.0021, 0)</f>
        <v>41.3733</v>
      </c>
      <c r="E144" s="14">
        <f>41.2345 * CHOOSE(CONTROL!$C$9, $D$9, 100%, $F$9) + CHOOSE(CONTROL!$C$27, 0.0021, 0)</f>
        <v>41.236599999999996</v>
      </c>
      <c r="F144" s="14">
        <f>41.2345 * CHOOSE(CONTROL!$C$9, $D$9, 100%, $F$9) + CHOOSE(CONTROL!$C$27, 0.0021, 0)</f>
        <v>41.236599999999996</v>
      </c>
      <c r="G144" s="14">
        <f>41.5059 * CHOOSE(CONTROL!$C$9, $D$9, 100%, $F$9) + CHOOSE(CONTROL!$C$27, 0.0021, 0)</f>
        <v>41.507999999999996</v>
      </c>
      <c r="H144" s="14">
        <f>41.3712 * CHOOSE(CONTROL!$C$9, $D$9, 100%, $F$9) + CHOOSE(CONTROL!$C$27, 0.0021, 0)</f>
        <v>41.3733</v>
      </c>
      <c r="I144" s="14">
        <f>41.3712 * CHOOSE(CONTROL!$C$9, $D$9, 100%, $F$9) + CHOOSE(CONTROL!$C$27, 0.0021, 0)</f>
        <v>41.3733</v>
      </c>
      <c r="J144" s="14">
        <f>41.3712 * CHOOSE(CONTROL!$C$9, $D$9, 100%, $F$9) + CHOOSE(CONTROL!$C$27, 0.0021, 0)</f>
        <v>41.3733</v>
      </c>
      <c r="K144" s="14">
        <f>41.3712 * CHOOSE(CONTROL!$C$9, $D$9, 100%, $F$9) + CHOOSE(CONTROL!$C$27, 0.0021, 0)</f>
        <v>41.3733</v>
      </c>
      <c r="L144" s="14"/>
    </row>
    <row r="145" spans="1:12" ht="15" x14ac:dyDescent="0.2">
      <c r="A145" s="13">
        <v>45323</v>
      </c>
      <c r="B145" s="14">
        <f>40.7649 * CHOOSE(CONTROL!$C$9, $D$9, 100%, $F$9) + CHOOSE(CONTROL!$C$27, 0.0021, 0)</f>
        <v>40.766999999999996</v>
      </c>
      <c r="C145" s="14">
        <f>40.3327 * CHOOSE(CONTROL!$C$9, $D$9, 100%, $F$9) + CHOOSE(CONTROL!$C$27, 0.0021, 0)</f>
        <v>40.334800000000001</v>
      </c>
      <c r="D145" s="14">
        <f>40.3327 * CHOOSE(CONTROL!$C$9, $D$9, 100%, $F$9) + CHOOSE(CONTROL!$C$27, 0.0021, 0)</f>
        <v>40.334800000000001</v>
      </c>
      <c r="E145" s="14">
        <f>40.196 * CHOOSE(CONTROL!$C$9, $D$9, 100%, $F$9) + CHOOSE(CONTROL!$C$27, 0.0021, 0)</f>
        <v>40.198099999999997</v>
      </c>
      <c r="F145" s="14">
        <f>40.196 * CHOOSE(CONTROL!$C$9, $D$9, 100%, $F$9) + CHOOSE(CONTROL!$C$27, 0.0021, 0)</f>
        <v>40.198099999999997</v>
      </c>
      <c r="G145" s="14">
        <f>40.4674 * CHOOSE(CONTROL!$C$9, $D$9, 100%, $F$9) + CHOOSE(CONTROL!$C$27, 0.0021, 0)</f>
        <v>40.469499999999996</v>
      </c>
      <c r="H145" s="14">
        <f>40.3327 * CHOOSE(CONTROL!$C$9, $D$9, 100%, $F$9) + CHOOSE(CONTROL!$C$27, 0.0021, 0)</f>
        <v>40.334800000000001</v>
      </c>
      <c r="I145" s="14">
        <f>40.3327 * CHOOSE(CONTROL!$C$9, $D$9, 100%, $F$9) + CHOOSE(CONTROL!$C$27, 0.0021, 0)</f>
        <v>40.334800000000001</v>
      </c>
      <c r="J145" s="14">
        <f>40.3327 * CHOOSE(CONTROL!$C$9, $D$9, 100%, $F$9) + CHOOSE(CONTROL!$C$27, 0.0021, 0)</f>
        <v>40.334800000000001</v>
      </c>
      <c r="K145" s="14">
        <f>40.3327 * CHOOSE(CONTROL!$C$9, $D$9, 100%, $F$9) + CHOOSE(CONTROL!$C$27, 0.0021, 0)</f>
        <v>40.334800000000001</v>
      </c>
      <c r="L145" s="14"/>
    </row>
    <row r="146" spans="1:12" ht="15" x14ac:dyDescent="0.2">
      <c r="A146" s="13">
        <v>45352</v>
      </c>
      <c r="B146" s="14">
        <f>40.3809 * CHOOSE(CONTROL!$C$9, $D$9, 100%, $F$9) + CHOOSE(CONTROL!$C$27, 0.0021, 0)</f>
        <v>40.382999999999996</v>
      </c>
      <c r="C146" s="14">
        <f>39.9487 * CHOOSE(CONTROL!$C$9, $D$9, 100%, $F$9) + CHOOSE(CONTROL!$C$27, 0.0021, 0)</f>
        <v>39.950800000000001</v>
      </c>
      <c r="D146" s="14">
        <f>39.9487 * CHOOSE(CONTROL!$C$9, $D$9, 100%, $F$9) + CHOOSE(CONTROL!$C$27, 0.0021, 0)</f>
        <v>39.950800000000001</v>
      </c>
      <c r="E146" s="14">
        <f>39.812 * CHOOSE(CONTROL!$C$9, $D$9, 100%, $F$9) + CHOOSE(CONTROL!$C$27, 0.0021, 0)</f>
        <v>39.814099999999996</v>
      </c>
      <c r="F146" s="14">
        <f>39.812 * CHOOSE(CONTROL!$C$9, $D$9, 100%, $F$9) + CHOOSE(CONTROL!$C$27, 0.0021, 0)</f>
        <v>39.814099999999996</v>
      </c>
      <c r="G146" s="14">
        <f>40.0834 * CHOOSE(CONTROL!$C$9, $D$9, 100%, $F$9) + CHOOSE(CONTROL!$C$27, 0.0021, 0)</f>
        <v>40.085499999999996</v>
      </c>
      <c r="H146" s="14">
        <f>39.9487 * CHOOSE(CONTROL!$C$9, $D$9, 100%, $F$9) + CHOOSE(CONTROL!$C$27, 0.0021, 0)</f>
        <v>39.950800000000001</v>
      </c>
      <c r="I146" s="14">
        <f>39.9487 * CHOOSE(CONTROL!$C$9, $D$9, 100%, $F$9) + CHOOSE(CONTROL!$C$27, 0.0021, 0)</f>
        <v>39.950800000000001</v>
      </c>
      <c r="J146" s="14">
        <f>39.9487 * CHOOSE(CONTROL!$C$9, $D$9, 100%, $F$9) + CHOOSE(CONTROL!$C$27, 0.0021, 0)</f>
        <v>39.950800000000001</v>
      </c>
      <c r="K146" s="14">
        <f>39.9487 * CHOOSE(CONTROL!$C$9, $D$9, 100%, $F$9) + CHOOSE(CONTROL!$C$27, 0.0021, 0)</f>
        <v>39.950800000000001</v>
      </c>
      <c r="L146" s="14"/>
    </row>
    <row r="147" spans="1:12" ht="15" x14ac:dyDescent="0.2">
      <c r="A147" s="13">
        <v>45383</v>
      </c>
      <c r="B147" s="14">
        <f>39.9051 * CHOOSE(CONTROL!$C$9, $D$9, 100%, $F$9) + CHOOSE(CONTROL!$C$27, 0.0021, 0)</f>
        <v>39.907199999999996</v>
      </c>
      <c r="C147" s="14">
        <f>39.4729 * CHOOSE(CONTROL!$C$9, $D$9, 100%, $F$9) + CHOOSE(CONTROL!$C$27, 0.0021, 0)</f>
        <v>39.475000000000001</v>
      </c>
      <c r="D147" s="14">
        <f>39.4729 * CHOOSE(CONTROL!$C$9, $D$9, 100%, $F$9) + CHOOSE(CONTROL!$C$27, 0.0021, 0)</f>
        <v>39.475000000000001</v>
      </c>
      <c r="E147" s="14">
        <f>39.3362 * CHOOSE(CONTROL!$C$9, $D$9, 100%, $F$9) + CHOOSE(CONTROL!$C$27, 0.0021, 0)</f>
        <v>39.338299999999997</v>
      </c>
      <c r="F147" s="14">
        <f>39.3362 * CHOOSE(CONTROL!$C$9, $D$9, 100%, $F$9) + CHOOSE(CONTROL!$C$27, 0.0021, 0)</f>
        <v>39.338299999999997</v>
      </c>
      <c r="G147" s="14">
        <f>39.6076 * CHOOSE(CONTROL!$C$9, $D$9, 100%, $F$9) + CHOOSE(CONTROL!$C$27, 0.0021, 0)</f>
        <v>39.609699999999997</v>
      </c>
      <c r="H147" s="14">
        <f>39.4729 * CHOOSE(CONTROL!$C$9, $D$9, 100%, $F$9) + CHOOSE(CONTROL!$C$27, 0.0021, 0)</f>
        <v>39.475000000000001</v>
      </c>
      <c r="I147" s="14">
        <f>39.4729 * CHOOSE(CONTROL!$C$9, $D$9, 100%, $F$9) + CHOOSE(CONTROL!$C$27, 0.0021, 0)</f>
        <v>39.475000000000001</v>
      </c>
      <c r="J147" s="14">
        <f>39.4729 * CHOOSE(CONTROL!$C$9, $D$9, 100%, $F$9) + CHOOSE(CONTROL!$C$27, 0.0021, 0)</f>
        <v>39.475000000000001</v>
      </c>
      <c r="K147" s="14">
        <f>39.4729 * CHOOSE(CONTROL!$C$9, $D$9, 100%, $F$9) + CHOOSE(CONTROL!$C$27, 0.0021, 0)</f>
        <v>39.475000000000001</v>
      </c>
      <c r="L147" s="14"/>
    </row>
    <row r="148" spans="1:12" ht="15" x14ac:dyDescent="0.2">
      <c r="A148" s="13">
        <v>45413</v>
      </c>
      <c r="B148" s="14">
        <f>40.7741 * CHOOSE(CONTROL!$C$9, $D$9, 100%, $F$9) + CHOOSE(CONTROL!$C$27, 0.0021, 0)</f>
        <v>40.776199999999996</v>
      </c>
      <c r="C148" s="14">
        <f>40.3419 * CHOOSE(CONTROL!$C$9, $D$9, 100%, $F$9) + CHOOSE(CONTROL!$C$27, 0.0021, 0)</f>
        <v>40.344000000000001</v>
      </c>
      <c r="D148" s="14">
        <f>40.3419 * CHOOSE(CONTROL!$C$9, $D$9, 100%, $F$9) + CHOOSE(CONTROL!$C$27, 0.0021, 0)</f>
        <v>40.344000000000001</v>
      </c>
      <c r="E148" s="14">
        <f>40.2052 * CHOOSE(CONTROL!$C$9, $D$9, 100%, $F$9) + CHOOSE(CONTROL!$C$27, 0.0021, 0)</f>
        <v>40.207299999999996</v>
      </c>
      <c r="F148" s="14">
        <f>40.2052 * CHOOSE(CONTROL!$C$9, $D$9, 100%, $F$9) + CHOOSE(CONTROL!$C$27, 0.0021, 0)</f>
        <v>40.207299999999996</v>
      </c>
      <c r="G148" s="14">
        <f>40.4766 * CHOOSE(CONTROL!$C$9, $D$9, 100%, $F$9) + CHOOSE(CONTROL!$C$27, 0.0021, 0)</f>
        <v>40.478699999999996</v>
      </c>
      <c r="H148" s="14">
        <f>40.3419 * CHOOSE(CONTROL!$C$9, $D$9, 100%, $F$9) + CHOOSE(CONTROL!$C$27, 0.0021, 0)</f>
        <v>40.344000000000001</v>
      </c>
      <c r="I148" s="14">
        <f>40.3419 * CHOOSE(CONTROL!$C$9, $D$9, 100%, $F$9) + CHOOSE(CONTROL!$C$27, 0.0021, 0)</f>
        <v>40.344000000000001</v>
      </c>
      <c r="J148" s="14">
        <f>40.3419 * CHOOSE(CONTROL!$C$9, $D$9, 100%, $F$9) + CHOOSE(CONTROL!$C$27, 0.0021, 0)</f>
        <v>40.344000000000001</v>
      </c>
      <c r="K148" s="14">
        <f>40.3419 * CHOOSE(CONTROL!$C$9, $D$9, 100%, $F$9) + CHOOSE(CONTROL!$C$27, 0.0021, 0)</f>
        <v>40.344000000000001</v>
      </c>
      <c r="L148" s="14"/>
    </row>
    <row r="149" spans="1:12" ht="15" x14ac:dyDescent="0.2">
      <c r="A149" s="13">
        <v>45444</v>
      </c>
      <c r="B149" s="14">
        <f>41.3285 * CHOOSE(CONTROL!$C$9, $D$9, 100%, $F$9) + CHOOSE(CONTROL!$C$27, 0.0021, 0)</f>
        <v>41.330599999999997</v>
      </c>
      <c r="C149" s="14">
        <f>40.8962 * CHOOSE(CONTROL!$C$9, $D$9, 100%, $F$9) + CHOOSE(CONTROL!$C$27, 0.0021, 0)</f>
        <v>40.898299999999999</v>
      </c>
      <c r="D149" s="14">
        <f>40.8962 * CHOOSE(CONTROL!$C$9, $D$9, 100%, $F$9) + CHOOSE(CONTROL!$C$27, 0.0021, 0)</f>
        <v>40.898299999999999</v>
      </c>
      <c r="E149" s="14">
        <f>40.7596 * CHOOSE(CONTROL!$C$9, $D$9, 100%, $F$9) + CHOOSE(CONTROL!$C$27, 0.0021, 0)</f>
        <v>40.761699999999998</v>
      </c>
      <c r="F149" s="14">
        <f>40.7596 * CHOOSE(CONTROL!$C$9, $D$9, 100%, $F$9) + CHOOSE(CONTROL!$C$27, 0.0021, 0)</f>
        <v>40.761699999999998</v>
      </c>
      <c r="G149" s="14">
        <f>41.0309 * CHOOSE(CONTROL!$C$9, $D$9, 100%, $F$9) + CHOOSE(CONTROL!$C$27, 0.0021, 0)</f>
        <v>41.033000000000001</v>
      </c>
      <c r="H149" s="14">
        <f>40.8962 * CHOOSE(CONTROL!$C$9, $D$9, 100%, $F$9) + CHOOSE(CONTROL!$C$27, 0.0021, 0)</f>
        <v>40.898299999999999</v>
      </c>
      <c r="I149" s="14">
        <f>40.8962 * CHOOSE(CONTROL!$C$9, $D$9, 100%, $F$9) + CHOOSE(CONTROL!$C$27, 0.0021, 0)</f>
        <v>40.898299999999999</v>
      </c>
      <c r="J149" s="14">
        <f>40.8962 * CHOOSE(CONTROL!$C$9, $D$9, 100%, $F$9) + CHOOSE(CONTROL!$C$27, 0.0021, 0)</f>
        <v>40.898299999999999</v>
      </c>
      <c r="K149" s="14">
        <f>40.8962 * CHOOSE(CONTROL!$C$9, $D$9, 100%, $F$9) + CHOOSE(CONTROL!$C$27, 0.0021, 0)</f>
        <v>40.898299999999999</v>
      </c>
      <c r="L149" s="14"/>
    </row>
    <row r="150" spans="1:12" ht="15" x14ac:dyDescent="0.2">
      <c r="A150" s="13">
        <v>45474</v>
      </c>
      <c r="B150" s="14">
        <f>42.1942 * CHOOSE(CONTROL!$C$9, $D$9, 100%, $F$9) + CHOOSE(CONTROL!$C$27, 0.0021, 0)</f>
        <v>42.196300000000001</v>
      </c>
      <c r="C150" s="14">
        <f>41.7619 * CHOOSE(CONTROL!$C$9, $D$9, 100%, $F$9) + CHOOSE(CONTROL!$C$27, 0.0021, 0)</f>
        <v>41.763999999999996</v>
      </c>
      <c r="D150" s="14">
        <f>41.7619 * CHOOSE(CONTROL!$C$9, $D$9, 100%, $F$9) + CHOOSE(CONTROL!$C$27, 0.0021, 0)</f>
        <v>41.763999999999996</v>
      </c>
      <c r="E150" s="14">
        <f>41.6253 * CHOOSE(CONTROL!$C$9, $D$9, 100%, $F$9) + CHOOSE(CONTROL!$C$27, 0.0021, 0)</f>
        <v>41.627400000000002</v>
      </c>
      <c r="F150" s="14">
        <f>41.6253 * CHOOSE(CONTROL!$C$9, $D$9, 100%, $F$9) + CHOOSE(CONTROL!$C$27, 0.0021, 0)</f>
        <v>41.627400000000002</v>
      </c>
      <c r="G150" s="14">
        <f>41.8966 * CHOOSE(CONTROL!$C$9, $D$9, 100%, $F$9) + CHOOSE(CONTROL!$C$27, 0.0021, 0)</f>
        <v>41.898699999999998</v>
      </c>
      <c r="H150" s="14">
        <f>41.7619 * CHOOSE(CONTROL!$C$9, $D$9, 100%, $F$9) + CHOOSE(CONTROL!$C$27, 0.0021, 0)</f>
        <v>41.763999999999996</v>
      </c>
      <c r="I150" s="14">
        <f>41.7619 * CHOOSE(CONTROL!$C$9, $D$9, 100%, $F$9) + CHOOSE(CONTROL!$C$27, 0.0021, 0)</f>
        <v>41.763999999999996</v>
      </c>
      <c r="J150" s="14">
        <f>41.7619 * CHOOSE(CONTROL!$C$9, $D$9, 100%, $F$9) + CHOOSE(CONTROL!$C$27, 0.0021, 0)</f>
        <v>41.763999999999996</v>
      </c>
      <c r="K150" s="14">
        <f>41.7619 * CHOOSE(CONTROL!$C$9, $D$9, 100%, $F$9) + CHOOSE(CONTROL!$C$27, 0.0021, 0)</f>
        <v>41.763999999999996</v>
      </c>
      <c r="L150" s="14"/>
    </row>
    <row r="151" spans="1:12" ht="15" x14ac:dyDescent="0.2">
      <c r="A151" s="13">
        <v>45505</v>
      </c>
      <c r="B151" s="14">
        <f>42.5165 * CHOOSE(CONTROL!$C$9, $D$9, 100%, $F$9) + CHOOSE(CONTROL!$C$27, 0.0021, 0)</f>
        <v>42.518599999999999</v>
      </c>
      <c r="C151" s="14">
        <f>42.0843 * CHOOSE(CONTROL!$C$9, $D$9, 100%, $F$9) + CHOOSE(CONTROL!$C$27, 0.0021, 0)</f>
        <v>42.086399999999998</v>
      </c>
      <c r="D151" s="14">
        <f>42.0843 * CHOOSE(CONTROL!$C$9, $D$9, 100%, $F$9) + CHOOSE(CONTROL!$C$27, 0.0021, 0)</f>
        <v>42.086399999999998</v>
      </c>
      <c r="E151" s="14">
        <f>41.9476 * CHOOSE(CONTROL!$C$9, $D$9, 100%, $F$9) + CHOOSE(CONTROL!$C$27, 0.0021, 0)</f>
        <v>41.9497</v>
      </c>
      <c r="F151" s="14">
        <f>41.9476 * CHOOSE(CONTROL!$C$9, $D$9, 100%, $F$9) + CHOOSE(CONTROL!$C$27, 0.0021, 0)</f>
        <v>41.9497</v>
      </c>
      <c r="G151" s="14">
        <f>42.219 * CHOOSE(CONTROL!$C$9, $D$9, 100%, $F$9) + CHOOSE(CONTROL!$C$27, 0.0021, 0)</f>
        <v>42.2211</v>
      </c>
      <c r="H151" s="14">
        <f>42.0843 * CHOOSE(CONTROL!$C$9, $D$9, 100%, $F$9) + CHOOSE(CONTROL!$C$27, 0.0021, 0)</f>
        <v>42.086399999999998</v>
      </c>
      <c r="I151" s="14">
        <f>42.0843 * CHOOSE(CONTROL!$C$9, $D$9, 100%, $F$9) + CHOOSE(CONTROL!$C$27, 0.0021, 0)</f>
        <v>42.086399999999998</v>
      </c>
      <c r="J151" s="14">
        <f>42.0843 * CHOOSE(CONTROL!$C$9, $D$9, 100%, $F$9) + CHOOSE(CONTROL!$C$27, 0.0021, 0)</f>
        <v>42.086399999999998</v>
      </c>
      <c r="K151" s="14">
        <f>42.0843 * CHOOSE(CONTROL!$C$9, $D$9, 100%, $F$9) + CHOOSE(CONTROL!$C$27, 0.0021, 0)</f>
        <v>42.086399999999998</v>
      </c>
      <c r="L151" s="14"/>
    </row>
    <row r="152" spans="1:12" ht="15" x14ac:dyDescent="0.2">
      <c r="A152" s="13">
        <v>45536</v>
      </c>
      <c r="B152" s="14">
        <f>43.419 * CHOOSE(CONTROL!$C$9, $D$9, 100%, $F$9) + CHOOSE(CONTROL!$C$27, 0.0021, 0)</f>
        <v>43.421099999999996</v>
      </c>
      <c r="C152" s="14">
        <f>42.9868 * CHOOSE(CONTROL!$C$9, $D$9, 100%, $F$9) + CHOOSE(CONTROL!$C$27, 0.0021, 0)</f>
        <v>42.988900000000001</v>
      </c>
      <c r="D152" s="14">
        <f>42.9868 * CHOOSE(CONTROL!$C$9, $D$9, 100%, $F$9) + CHOOSE(CONTROL!$C$27, 0.0021, 0)</f>
        <v>42.988900000000001</v>
      </c>
      <c r="E152" s="14">
        <f>42.8501 * CHOOSE(CONTROL!$C$9, $D$9, 100%, $F$9) + CHOOSE(CONTROL!$C$27, 0.0021, 0)</f>
        <v>42.852199999999996</v>
      </c>
      <c r="F152" s="14">
        <f>42.8501 * CHOOSE(CONTROL!$C$9, $D$9, 100%, $F$9) + CHOOSE(CONTROL!$C$27, 0.0021, 0)</f>
        <v>42.852199999999996</v>
      </c>
      <c r="G152" s="14">
        <f>43.1215 * CHOOSE(CONTROL!$C$9, $D$9, 100%, $F$9) + CHOOSE(CONTROL!$C$27, 0.0021, 0)</f>
        <v>43.123599999999996</v>
      </c>
      <c r="H152" s="14">
        <f>42.9868 * CHOOSE(CONTROL!$C$9, $D$9, 100%, $F$9) + CHOOSE(CONTROL!$C$27, 0.0021, 0)</f>
        <v>42.988900000000001</v>
      </c>
      <c r="I152" s="14">
        <f>42.9868 * CHOOSE(CONTROL!$C$9, $D$9, 100%, $F$9) + CHOOSE(CONTROL!$C$27, 0.0021, 0)</f>
        <v>42.988900000000001</v>
      </c>
      <c r="J152" s="14">
        <f>42.9868 * CHOOSE(CONTROL!$C$9, $D$9, 100%, $F$9) + CHOOSE(CONTROL!$C$27, 0.0021, 0)</f>
        <v>42.988900000000001</v>
      </c>
      <c r="K152" s="14">
        <f>42.9868 * CHOOSE(CONTROL!$C$9, $D$9, 100%, $F$9) + CHOOSE(CONTROL!$C$27, 0.0021, 0)</f>
        <v>42.988900000000001</v>
      </c>
      <c r="L152" s="14"/>
    </row>
    <row r="153" spans="1:12" ht="15" x14ac:dyDescent="0.2">
      <c r="A153" s="13">
        <v>45566</v>
      </c>
      <c r="B153" s="14">
        <f>44.5434 * CHOOSE(CONTROL!$C$9, $D$9, 100%, $F$9) + CHOOSE(CONTROL!$C$27, 0.0021, 0)</f>
        <v>44.545499999999997</v>
      </c>
      <c r="C153" s="14">
        <f>44.1112 * CHOOSE(CONTROL!$C$9, $D$9, 100%, $F$9) + CHOOSE(CONTROL!$C$27, 0.0021, 0)</f>
        <v>44.113299999999995</v>
      </c>
      <c r="D153" s="14">
        <f>44.1112 * CHOOSE(CONTROL!$C$9, $D$9, 100%, $F$9) + CHOOSE(CONTROL!$C$27, 0.0021, 0)</f>
        <v>44.113299999999995</v>
      </c>
      <c r="E153" s="14">
        <f>43.9745 * CHOOSE(CONTROL!$C$9, $D$9, 100%, $F$9) + CHOOSE(CONTROL!$C$27, 0.0021, 0)</f>
        <v>43.976599999999998</v>
      </c>
      <c r="F153" s="14">
        <f>43.9745 * CHOOSE(CONTROL!$C$9, $D$9, 100%, $F$9) + CHOOSE(CONTROL!$C$27, 0.0021, 0)</f>
        <v>43.976599999999998</v>
      </c>
      <c r="G153" s="14">
        <f>44.2459 * CHOOSE(CONTROL!$C$9, $D$9, 100%, $F$9) + CHOOSE(CONTROL!$C$27, 0.0021, 0)</f>
        <v>44.247999999999998</v>
      </c>
      <c r="H153" s="14">
        <f>44.1112 * CHOOSE(CONTROL!$C$9, $D$9, 100%, $F$9) + CHOOSE(CONTROL!$C$27, 0.0021, 0)</f>
        <v>44.113299999999995</v>
      </c>
      <c r="I153" s="14">
        <f>44.1112 * CHOOSE(CONTROL!$C$9, $D$9, 100%, $F$9) + CHOOSE(CONTROL!$C$27, 0.0021, 0)</f>
        <v>44.113299999999995</v>
      </c>
      <c r="J153" s="14">
        <f>44.1112 * CHOOSE(CONTROL!$C$9, $D$9, 100%, $F$9) + CHOOSE(CONTROL!$C$27, 0.0021, 0)</f>
        <v>44.113299999999995</v>
      </c>
      <c r="K153" s="14">
        <f>44.1112 * CHOOSE(CONTROL!$C$9, $D$9, 100%, $F$9) + CHOOSE(CONTROL!$C$27, 0.0021, 0)</f>
        <v>44.113299999999995</v>
      </c>
      <c r="L153" s="14"/>
    </row>
    <row r="154" spans="1:12" ht="15" x14ac:dyDescent="0.2">
      <c r="A154" s="13">
        <v>45597</v>
      </c>
      <c r="B154" s="14">
        <f>44.7282 * CHOOSE(CONTROL!$C$9, $D$9, 100%, $F$9) + CHOOSE(CONTROL!$C$27, 0.0021, 0)</f>
        <v>44.7303</v>
      </c>
      <c r="C154" s="14">
        <f>44.296 * CHOOSE(CONTROL!$C$9, $D$9, 100%, $F$9) + CHOOSE(CONTROL!$C$27, 0.0021, 0)</f>
        <v>44.298099999999998</v>
      </c>
      <c r="D154" s="14">
        <f>44.296 * CHOOSE(CONTROL!$C$9, $D$9, 100%, $F$9) + CHOOSE(CONTROL!$C$27, 0.0021, 0)</f>
        <v>44.298099999999998</v>
      </c>
      <c r="E154" s="14">
        <f>44.1593 * CHOOSE(CONTROL!$C$9, $D$9, 100%, $F$9) + CHOOSE(CONTROL!$C$27, 0.0021, 0)</f>
        <v>44.1614</v>
      </c>
      <c r="F154" s="14">
        <f>44.1593 * CHOOSE(CONTROL!$C$9, $D$9, 100%, $F$9) + CHOOSE(CONTROL!$C$27, 0.0021, 0)</f>
        <v>44.1614</v>
      </c>
      <c r="G154" s="14">
        <f>44.4307 * CHOOSE(CONTROL!$C$9, $D$9, 100%, $F$9) + CHOOSE(CONTROL!$C$27, 0.0021, 0)</f>
        <v>44.4328</v>
      </c>
      <c r="H154" s="14">
        <f>44.296 * CHOOSE(CONTROL!$C$9, $D$9, 100%, $F$9) + CHOOSE(CONTROL!$C$27, 0.0021, 0)</f>
        <v>44.298099999999998</v>
      </c>
      <c r="I154" s="14">
        <f>44.296 * CHOOSE(CONTROL!$C$9, $D$9, 100%, $F$9) + CHOOSE(CONTROL!$C$27, 0.0021, 0)</f>
        <v>44.298099999999998</v>
      </c>
      <c r="J154" s="14">
        <f>44.296 * CHOOSE(CONTROL!$C$9, $D$9, 100%, $F$9) + CHOOSE(CONTROL!$C$27, 0.0021, 0)</f>
        <v>44.298099999999998</v>
      </c>
      <c r="K154" s="14">
        <f>44.296 * CHOOSE(CONTROL!$C$9, $D$9, 100%, $F$9) + CHOOSE(CONTROL!$C$27, 0.0021, 0)</f>
        <v>44.298099999999998</v>
      </c>
      <c r="L154" s="14"/>
    </row>
    <row r="155" spans="1:12" ht="15" x14ac:dyDescent="0.2">
      <c r="A155" s="13">
        <v>45627</v>
      </c>
      <c r="B155" s="14">
        <f>43.9819 * CHOOSE(CONTROL!$C$9, $D$9, 100%, $F$9) + CHOOSE(CONTROL!$C$27, 0.0021, 0)</f>
        <v>43.984000000000002</v>
      </c>
      <c r="C155" s="14">
        <f>43.5496 * CHOOSE(CONTROL!$C$9, $D$9, 100%, $F$9) + CHOOSE(CONTROL!$C$27, 0.0021, 0)</f>
        <v>43.551699999999997</v>
      </c>
      <c r="D155" s="14">
        <f>43.5496 * CHOOSE(CONTROL!$C$9, $D$9, 100%, $F$9) + CHOOSE(CONTROL!$C$27, 0.0021, 0)</f>
        <v>43.551699999999997</v>
      </c>
      <c r="E155" s="14">
        <f>43.413 * CHOOSE(CONTROL!$C$9, $D$9, 100%, $F$9) + CHOOSE(CONTROL!$C$27, 0.0021, 0)</f>
        <v>43.415099999999995</v>
      </c>
      <c r="F155" s="14">
        <f>43.413 * CHOOSE(CONTROL!$C$9, $D$9, 100%, $F$9) + CHOOSE(CONTROL!$C$27, 0.0021, 0)</f>
        <v>43.415099999999995</v>
      </c>
      <c r="G155" s="14">
        <f>43.6843 * CHOOSE(CONTROL!$C$9, $D$9, 100%, $F$9) + CHOOSE(CONTROL!$C$27, 0.0021, 0)</f>
        <v>43.686399999999999</v>
      </c>
      <c r="H155" s="14">
        <f>43.5496 * CHOOSE(CONTROL!$C$9, $D$9, 100%, $F$9) + CHOOSE(CONTROL!$C$27, 0.0021, 0)</f>
        <v>43.551699999999997</v>
      </c>
      <c r="I155" s="14">
        <f>43.5496 * CHOOSE(CONTROL!$C$9, $D$9, 100%, $F$9) + CHOOSE(CONTROL!$C$27, 0.0021, 0)</f>
        <v>43.551699999999997</v>
      </c>
      <c r="J155" s="14">
        <f>43.5496 * CHOOSE(CONTROL!$C$9, $D$9, 100%, $F$9) + CHOOSE(CONTROL!$C$27, 0.0021, 0)</f>
        <v>43.551699999999997</v>
      </c>
      <c r="K155" s="14">
        <f>43.5496 * CHOOSE(CONTROL!$C$9, $D$9, 100%, $F$9) + CHOOSE(CONTROL!$C$27, 0.0021, 0)</f>
        <v>43.551699999999997</v>
      </c>
      <c r="L155" s="14"/>
    </row>
    <row r="156" spans="1:12" ht="15" x14ac:dyDescent="0.2">
      <c r="A156" s="13">
        <v>45658</v>
      </c>
      <c r="B156" s="14">
        <f>44.4236 * CHOOSE(CONTROL!$C$9, $D$9, 100%, $F$9) + CHOOSE(CONTROL!$C$27, 0.0021, 0)</f>
        <v>44.425699999999999</v>
      </c>
      <c r="C156" s="14">
        <f>43.9913 * CHOOSE(CONTROL!$C$9, $D$9, 100%, $F$9) + CHOOSE(CONTROL!$C$27, 0.0021, 0)</f>
        <v>43.993400000000001</v>
      </c>
      <c r="D156" s="14">
        <f>43.9913 * CHOOSE(CONTROL!$C$9, $D$9, 100%, $F$9) + CHOOSE(CONTROL!$C$27, 0.0021, 0)</f>
        <v>43.993400000000001</v>
      </c>
      <c r="E156" s="14">
        <f>43.8547 * CHOOSE(CONTROL!$C$9, $D$9, 100%, $F$9) + CHOOSE(CONTROL!$C$27, 0.0021, 0)</f>
        <v>43.8568</v>
      </c>
      <c r="F156" s="14">
        <f>43.8547 * CHOOSE(CONTROL!$C$9, $D$9, 100%, $F$9) + CHOOSE(CONTROL!$C$27, 0.0021, 0)</f>
        <v>43.8568</v>
      </c>
      <c r="G156" s="14">
        <f>44.126 * CHOOSE(CONTROL!$C$9, $D$9, 100%, $F$9) + CHOOSE(CONTROL!$C$27, 0.0021, 0)</f>
        <v>44.128099999999996</v>
      </c>
      <c r="H156" s="14">
        <f>43.9913 * CHOOSE(CONTROL!$C$9, $D$9, 100%, $F$9) + CHOOSE(CONTROL!$C$27, 0.0021, 0)</f>
        <v>43.993400000000001</v>
      </c>
      <c r="I156" s="14">
        <f>43.9913 * CHOOSE(CONTROL!$C$9, $D$9, 100%, $F$9) + CHOOSE(CONTROL!$C$27, 0.0021, 0)</f>
        <v>43.993400000000001</v>
      </c>
      <c r="J156" s="14">
        <f>43.9913 * CHOOSE(CONTROL!$C$9, $D$9, 100%, $F$9) + CHOOSE(CONTROL!$C$27, 0.0021, 0)</f>
        <v>43.993400000000001</v>
      </c>
      <c r="K156" s="14">
        <f>43.9913 * CHOOSE(CONTROL!$C$9, $D$9, 100%, $F$9) + CHOOSE(CONTROL!$C$27, 0.0021, 0)</f>
        <v>43.993400000000001</v>
      </c>
      <c r="L156" s="14"/>
    </row>
    <row r="157" spans="1:12" ht="15" x14ac:dyDescent="0.2">
      <c r="A157" s="13">
        <v>45689</v>
      </c>
      <c r="B157" s="14">
        <f>43.3162 * CHOOSE(CONTROL!$C$9, $D$9, 100%, $F$9) + CHOOSE(CONTROL!$C$27, 0.0021, 0)</f>
        <v>43.318300000000001</v>
      </c>
      <c r="C157" s="14">
        <f>42.884 * CHOOSE(CONTROL!$C$9, $D$9, 100%, $F$9) + CHOOSE(CONTROL!$C$27, 0.0021, 0)</f>
        <v>42.886099999999999</v>
      </c>
      <c r="D157" s="14">
        <f>42.884 * CHOOSE(CONTROL!$C$9, $D$9, 100%, $F$9) + CHOOSE(CONTROL!$C$27, 0.0021, 0)</f>
        <v>42.886099999999999</v>
      </c>
      <c r="E157" s="14">
        <f>42.7473 * CHOOSE(CONTROL!$C$9, $D$9, 100%, $F$9) + CHOOSE(CONTROL!$C$27, 0.0021, 0)</f>
        <v>42.749400000000001</v>
      </c>
      <c r="F157" s="14">
        <f>42.7473 * CHOOSE(CONTROL!$C$9, $D$9, 100%, $F$9) + CHOOSE(CONTROL!$C$27, 0.0021, 0)</f>
        <v>42.749400000000001</v>
      </c>
      <c r="G157" s="14">
        <f>43.0187 * CHOOSE(CONTROL!$C$9, $D$9, 100%, $F$9) + CHOOSE(CONTROL!$C$27, 0.0021, 0)</f>
        <v>43.020800000000001</v>
      </c>
      <c r="H157" s="14">
        <f>42.884 * CHOOSE(CONTROL!$C$9, $D$9, 100%, $F$9) + CHOOSE(CONTROL!$C$27, 0.0021, 0)</f>
        <v>42.886099999999999</v>
      </c>
      <c r="I157" s="14">
        <f>42.884 * CHOOSE(CONTROL!$C$9, $D$9, 100%, $F$9) + CHOOSE(CONTROL!$C$27, 0.0021, 0)</f>
        <v>42.886099999999999</v>
      </c>
      <c r="J157" s="14">
        <f>42.884 * CHOOSE(CONTROL!$C$9, $D$9, 100%, $F$9) + CHOOSE(CONTROL!$C$27, 0.0021, 0)</f>
        <v>42.886099999999999</v>
      </c>
      <c r="K157" s="14">
        <f>42.884 * CHOOSE(CONTROL!$C$9, $D$9, 100%, $F$9) + CHOOSE(CONTROL!$C$27, 0.0021, 0)</f>
        <v>42.886099999999999</v>
      </c>
      <c r="L157" s="14"/>
    </row>
    <row r="158" spans="1:12" ht="15" x14ac:dyDescent="0.2">
      <c r="A158" s="13">
        <v>45717</v>
      </c>
      <c r="B158" s="14">
        <f>42.9067 * CHOOSE(CONTROL!$C$9, $D$9, 100%, $F$9) + CHOOSE(CONTROL!$C$27, 0.0021, 0)</f>
        <v>42.908799999999999</v>
      </c>
      <c r="C158" s="14">
        <f>42.4745 * CHOOSE(CONTROL!$C$9, $D$9, 100%, $F$9) + CHOOSE(CONTROL!$C$27, 0.0021, 0)</f>
        <v>42.476599999999998</v>
      </c>
      <c r="D158" s="14">
        <f>42.4745 * CHOOSE(CONTROL!$C$9, $D$9, 100%, $F$9) + CHOOSE(CONTROL!$C$27, 0.0021, 0)</f>
        <v>42.476599999999998</v>
      </c>
      <c r="E158" s="14">
        <f>42.3378 * CHOOSE(CONTROL!$C$9, $D$9, 100%, $F$9) + CHOOSE(CONTROL!$C$27, 0.0021, 0)</f>
        <v>42.3399</v>
      </c>
      <c r="F158" s="14">
        <f>42.3378 * CHOOSE(CONTROL!$C$9, $D$9, 100%, $F$9) + CHOOSE(CONTROL!$C$27, 0.0021, 0)</f>
        <v>42.3399</v>
      </c>
      <c r="G158" s="14">
        <f>42.6092 * CHOOSE(CONTROL!$C$9, $D$9, 100%, $F$9) + CHOOSE(CONTROL!$C$27, 0.0021, 0)</f>
        <v>42.6113</v>
      </c>
      <c r="H158" s="14">
        <f>42.4745 * CHOOSE(CONTROL!$C$9, $D$9, 100%, $F$9) + CHOOSE(CONTROL!$C$27, 0.0021, 0)</f>
        <v>42.476599999999998</v>
      </c>
      <c r="I158" s="14">
        <f>42.4745 * CHOOSE(CONTROL!$C$9, $D$9, 100%, $F$9) + CHOOSE(CONTROL!$C$27, 0.0021, 0)</f>
        <v>42.476599999999998</v>
      </c>
      <c r="J158" s="14">
        <f>42.4745 * CHOOSE(CONTROL!$C$9, $D$9, 100%, $F$9) + CHOOSE(CONTROL!$C$27, 0.0021, 0)</f>
        <v>42.476599999999998</v>
      </c>
      <c r="K158" s="14">
        <f>42.4745 * CHOOSE(CONTROL!$C$9, $D$9, 100%, $F$9) + CHOOSE(CONTROL!$C$27, 0.0021, 0)</f>
        <v>42.476599999999998</v>
      </c>
      <c r="L158" s="14"/>
    </row>
    <row r="159" spans="1:12" ht="15" x14ac:dyDescent="0.2">
      <c r="A159" s="13">
        <v>45748</v>
      </c>
      <c r="B159" s="14">
        <f>42.3994 * CHOOSE(CONTROL!$C$9, $D$9, 100%, $F$9) + CHOOSE(CONTROL!$C$27, 0.0021, 0)</f>
        <v>42.401499999999999</v>
      </c>
      <c r="C159" s="14">
        <f>41.9671 * CHOOSE(CONTROL!$C$9, $D$9, 100%, $F$9) + CHOOSE(CONTROL!$C$27, 0.0021, 0)</f>
        <v>41.969200000000001</v>
      </c>
      <c r="D159" s="14">
        <f>41.9671 * CHOOSE(CONTROL!$C$9, $D$9, 100%, $F$9) + CHOOSE(CONTROL!$C$27, 0.0021, 0)</f>
        <v>41.969200000000001</v>
      </c>
      <c r="E159" s="14">
        <f>41.8305 * CHOOSE(CONTROL!$C$9, $D$9, 100%, $F$9) + CHOOSE(CONTROL!$C$27, 0.0021, 0)</f>
        <v>41.832599999999999</v>
      </c>
      <c r="F159" s="14">
        <f>41.8305 * CHOOSE(CONTROL!$C$9, $D$9, 100%, $F$9) + CHOOSE(CONTROL!$C$27, 0.0021, 0)</f>
        <v>41.832599999999999</v>
      </c>
      <c r="G159" s="14">
        <f>42.1019 * CHOOSE(CONTROL!$C$9, $D$9, 100%, $F$9) + CHOOSE(CONTROL!$C$27, 0.0021, 0)</f>
        <v>42.103999999999999</v>
      </c>
      <c r="H159" s="14">
        <f>41.9671 * CHOOSE(CONTROL!$C$9, $D$9, 100%, $F$9) + CHOOSE(CONTROL!$C$27, 0.0021, 0)</f>
        <v>41.969200000000001</v>
      </c>
      <c r="I159" s="14">
        <f>41.9671 * CHOOSE(CONTROL!$C$9, $D$9, 100%, $F$9) + CHOOSE(CONTROL!$C$27, 0.0021, 0)</f>
        <v>41.969200000000001</v>
      </c>
      <c r="J159" s="14">
        <f>41.9671 * CHOOSE(CONTROL!$C$9, $D$9, 100%, $F$9) + CHOOSE(CONTROL!$C$27, 0.0021, 0)</f>
        <v>41.969200000000001</v>
      </c>
      <c r="K159" s="14">
        <f>41.9671 * CHOOSE(CONTROL!$C$9, $D$9, 100%, $F$9) + CHOOSE(CONTROL!$C$27, 0.0021, 0)</f>
        <v>41.969200000000001</v>
      </c>
      <c r="L159" s="14"/>
    </row>
    <row r="160" spans="1:12" ht="15" x14ac:dyDescent="0.2">
      <c r="A160" s="13">
        <v>45778</v>
      </c>
      <c r="B160" s="14">
        <f>43.326 * CHOOSE(CONTROL!$C$9, $D$9, 100%, $F$9) + CHOOSE(CONTROL!$C$27, 0.0021, 0)</f>
        <v>43.328099999999999</v>
      </c>
      <c r="C160" s="14">
        <f>42.8938 * CHOOSE(CONTROL!$C$9, $D$9, 100%, $F$9) + CHOOSE(CONTROL!$C$27, 0.0021, 0)</f>
        <v>42.895899999999997</v>
      </c>
      <c r="D160" s="14">
        <f>42.8938 * CHOOSE(CONTROL!$C$9, $D$9, 100%, $F$9) + CHOOSE(CONTROL!$C$27, 0.0021, 0)</f>
        <v>42.895899999999997</v>
      </c>
      <c r="E160" s="14">
        <f>42.7571 * CHOOSE(CONTROL!$C$9, $D$9, 100%, $F$9) + CHOOSE(CONTROL!$C$27, 0.0021, 0)</f>
        <v>42.7592</v>
      </c>
      <c r="F160" s="14">
        <f>42.7571 * CHOOSE(CONTROL!$C$9, $D$9, 100%, $F$9) + CHOOSE(CONTROL!$C$27, 0.0021, 0)</f>
        <v>42.7592</v>
      </c>
      <c r="G160" s="14">
        <f>43.0285 * CHOOSE(CONTROL!$C$9, $D$9, 100%, $F$9) + CHOOSE(CONTROL!$C$27, 0.0021, 0)</f>
        <v>43.0306</v>
      </c>
      <c r="H160" s="14">
        <f>42.8938 * CHOOSE(CONTROL!$C$9, $D$9, 100%, $F$9) + CHOOSE(CONTROL!$C$27, 0.0021, 0)</f>
        <v>42.895899999999997</v>
      </c>
      <c r="I160" s="14">
        <f>42.8938 * CHOOSE(CONTROL!$C$9, $D$9, 100%, $F$9) + CHOOSE(CONTROL!$C$27, 0.0021, 0)</f>
        <v>42.895899999999997</v>
      </c>
      <c r="J160" s="14">
        <f>42.8938 * CHOOSE(CONTROL!$C$9, $D$9, 100%, $F$9) + CHOOSE(CONTROL!$C$27, 0.0021, 0)</f>
        <v>42.895899999999997</v>
      </c>
      <c r="K160" s="14">
        <f>42.8938 * CHOOSE(CONTROL!$C$9, $D$9, 100%, $F$9) + CHOOSE(CONTROL!$C$27, 0.0021, 0)</f>
        <v>42.895899999999997</v>
      </c>
      <c r="L160" s="14"/>
    </row>
    <row r="161" spans="1:12" ht="15" x14ac:dyDescent="0.2">
      <c r="A161" s="13">
        <v>45809</v>
      </c>
      <c r="B161" s="14">
        <f>43.9171 * CHOOSE(CONTROL!$C$9, $D$9, 100%, $F$9) + CHOOSE(CONTROL!$C$27, 0.0021, 0)</f>
        <v>43.919199999999996</v>
      </c>
      <c r="C161" s="14">
        <f>43.4848 * CHOOSE(CONTROL!$C$9, $D$9, 100%, $F$9) + CHOOSE(CONTROL!$C$27, 0.0021, 0)</f>
        <v>43.486899999999999</v>
      </c>
      <c r="D161" s="14">
        <f>43.4848 * CHOOSE(CONTROL!$C$9, $D$9, 100%, $F$9) + CHOOSE(CONTROL!$C$27, 0.0021, 0)</f>
        <v>43.486899999999999</v>
      </c>
      <c r="E161" s="14">
        <f>43.3482 * CHOOSE(CONTROL!$C$9, $D$9, 100%, $F$9) + CHOOSE(CONTROL!$C$27, 0.0021, 0)</f>
        <v>43.350299999999997</v>
      </c>
      <c r="F161" s="14">
        <f>43.3482 * CHOOSE(CONTROL!$C$9, $D$9, 100%, $F$9) + CHOOSE(CONTROL!$C$27, 0.0021, 0)</f>
        <v>43.350299999999997</v>
      </c>
      <c r="G161" s="14">
        <f>43.6196 * CHOOSE(CONTROL!$C$9, $D$9, 100%, $F$9) + CHOOSE(CONTROL!$C$27, 0.0021, 0)</f>
        <v>43.621699999999997</v>
      </c>
      <c r="H161" s="14">
        <f>43.4848 * CHOOSE(CONTROL!$C$9, $D$9, 100%, $F$9) + CHOOSE(CONTROL!$C$27, 0.0021, 0)</f>
        <v>43.486899999999999</v>
      </c>
      <c r="I161" s="14">
        <f>43.4848 * CHOOSE(CONTROL!$C$9, $D$9, 100%, $F$9) + CHOOSE(CONTROL!$C$27, 0.0021, 0)</f>
        <v>43.486899999999999</v>
      </c>
      <c r="J161" s="14">
        <f>43.4848 * CHOOSE(CONTROL!$C$9, $D$9, 100%, $F$9) + CHOOSE(CONTROL!$C$27, 0.0021, 0)</f>
        <v>43.486899999999999</v>
      </c>
      <c r="K161" s="14">
        <f>43.4848 * CHOOSE(CONTROL!$C$9, $D$9, 100%, $F$9) + CHOOSE(CONTROL!$C$27, 0.0021, 0)</f>
        <v>43.486899999999999</v>
      </c>
      <c r="L161" s="14"/>
    </row>
    <row r="162" spans="1:12" ht="15" x14ac:dyDescent="0.2">
      <c r="A162" s="13">
        <v>45839</v>
      </c>
      <c r="B162" s="14">
        <f>44.8402 * CHOOSE(CONTROL!$C$9, $D$9, 100%, $F$9) + CHOOSE(CONTROL!$C$27, 0.0021, 0)</f>
        <v>44.842300000000002</v>
      </c>
      <c r="C162" s="14">
        <f>44.4079 * CHOOSE(CONTROL!$C$9, $D$9, 100%, $F$9) + CHOOSE(CONTROL!$C$27, 0.0021, 0)</f>
        <v>44.41</v>
      </c>
      <c r="D162" s="14">
        <f>44.4079 * CHOOSE(CONTROL!$C$9, $D$9, 100%, $F$9) + CHOOSE(CONTROL!$C$27, 0.0021, 0)</f>
        <v>44.41</v>
      </c>
      <c r="E162" s="14">
        <f>44.2713 * CHOOSE(CONTROL!$C$9, $D$9, 100%, $F$9) + CHOOSE(CONTROL!$C$27, 0.0021, 0)</f>
        <v>44.273399999999995</v>
      </c>
      <c r="F162" s="14">
        <f>44.2713 * CHOOSE(CONTROL!$C$9, $D$9, 100%, $F$9) + CHOOSE(CONTROL!$C$27, 0.0021, 0)</f>
        <v>44.273399999999995</v>
      </c>
      <c r="G162" s="14">
        <f>44.5427 * CHOOSE(CONTROL!$C$9, $D$9, 100%, $F$9) + CHOOSE(CONTROL!$C$27, 0.0021, 0)</f>
        <v>44.544800000000002</v>
      </c>
      <c r="H162" s="14">
        <f>44.4079 * CHOOSE(CONTROL!$C$9, $D$9, 100%, $F$9) + CHOOSE(CONTROL!$C$27, 0.0021, 0)</f>
        <v>44.41</v>
      </c>
      <c r="I162" s="14">
        <f>44.4079 * CHOOSE(CONTROL!$C$9, $D$9, 100%, $F$9) + CHOOSE(CONTROL!$C$27, 0.0021, 0)</f>
        <v>44.41</v>
      </c>
      <c r="J162" s="14">
        <f>44.4079 * CHOOSE(CONTROL!$C$9, $D$9, 100%, $F$9) + CHOOSE(CONTROL!$C$27, 0.0021, 0)</f>
        <v>44.41</v>
      </c>
      <c r="K162" s="14">
        <f>44.4079 * CHOOSE(CONTROL!$C$9, $D$9, 100%, $F$9) + CHOOSE(CONTROL!$C$27, 0.0021, 0)</f>
        <v>44.41</v>
      </c>
      <c r="L162" s="14"/>
    </row>
    <row r="163" spans="1:12" ht="15" x14ac:dyDescent="0.2">
      <c r="A163" s="13">
        <v>45870</v>
      </c>
      <c r="B163" s="14">
        <f>45.184 * CHOOSE(CONTROL!$C$9, $D$9, 100%, $F$9) + CHOOSE(CONTROL!$C$27, 0.0021, 0)</f>
        <v>45.186099999999996</v>
      </c>
      <c r="C163" s="14">
        <f>44.7517 * CHOOSE(CONTROL!$C$9, $D$9, 100%, $F$9) + CHOOSE(CONTROL!$C$27, 0.0021, 0)</f>
        <v>44.753799999999998</v>
      </c>
      <c r="D163" s="14">
        <f>44.7517 * CHOOSE(CONTROL!$C$9, $D$9, 100%, $F$9) + CHOOSE(CONTROL!$C$27, 0.0021, 0)</f>
        <v>44.753799999999998</v>
      </c>
      <c r="E163" s="14">
        <f>44.615 * CHOOSE(CONTROL!$C$9, $D$9, 100%, $F$9) + CHOOSE(CONTROL!$C$27, 0.0021, 0)</f>
        <v>44.617100000000001</v>
      </c>
      <c r="F163" s="14">
        <f>44.615 * CHOOSE(CONTROL!$C$9, $D$9, 100%, $F$9) + CHOOSE(CONTROL!$C$27, 0.0021, 0)</f>
        <v>44.617100000000001</v>
      </c>
      <c r="G163" s="14">
        <f>44.8864 * CHOOSE(CONTROL!$C$9, $D$9, 100%, $F$9) + CHOOSE(CONTROL!$C$27, 0.0021, 0)</f>
        <v>44.888500000000001</v>
      </c>
      <c r="H163" s="14">
        <f>44.7517 * CHOOSE(CONTROL!$C$9, $D$9, 100%, $F$9) + CHOOSE(CONTROL!$C$27, 0.0021, 0)</f>
        <v>44.753799999999998</v>
      </c>
      <c r="I163" s="14">
        <f>44.7517 * CHOOSE(CONTROL!$C$9, $D$9, 100%, $F$9) + CHOOSE(CONTROL!$C$27, 0.0021, 0)</f>
        <v>44.753799999999998</v>
      </c>
      <c r="J163" s="14">
        <f>44.7517 * CHOOSE(CONTROL!$C$9, $D$9, 100%, $F$9) + CHOOSE(CONTROL!$C$27, 0.0021, 0)</f>
        <v>44.753799999999998</v>
      </c>
      <c r="K163" s="14">
        <f>44.7517 * CHOOSE(CONTROL!$C$9, $D$9, 100%, $F$9) + CHOOSE(CONTROL!$C$27, 0.0021, 0)</f>
        <v>44.753799999999998</v>
      </c>
      <c r="L163" s="14"/>
    </row>
    <row r="164" spans="1:12" ht="15" x14ac:dyDescent="0.2">
      <c r="A164" s="13">
        <v>45901</v>
      </c>
      <c r="B164" s="14">
        <f>46.1463 * CHOOSE(CONTROL!$C$9, $D$9, 100%, $F$9) + CHOOSE(CONTROL!$C$27, 0.0021, 0)</f>
        <v>46.148399999999995</v>
      </c>
      <c r="C164" s="14">
        <f>45.7141 * CHOOSE(CONTROL!$C$9, $D$9, 100%, $F$9) + CHOOSE(CONTROL!$C$27, 0.0021, 0)</f>
        <v>45.716200000000001</v>
      </c>
      <c r="D164" s="14">
        <f>45.7141 * CHOOSE(CONTROL!$C$9, $D$9, 100%, $F$9) + CHOOSE(CONTROL!$C$27, 0.0021, 0)</f>
        <v>45.716200000000001</v>
      </c>
      <c r="E164" s="14">
        <f>45.5774 * CHOOSE(CONTROL!$C$9, $D$9, 100%, $F$9) + CHOOSE(CONTROL!$C$27, 0.0021, 0)</f>
        <v>45.579499999999996</v>
      </c>
      <c r="F164" s="14">
        <f>45.5774 * CHOOSE(CONTROL!$C$9, $D$9, 100%, $F$9) + CHOOSE(CONTROL!$C$27, 0.0021, 0)</f>
        <v>45.579499999999996</v>
      </c>
      <c r="G164" s="14">
        <f>45.8488 * CHOOSE(CONTROL!$C$9, $D$9, 100%, $F$9) + CHOOSE(CONTROL!$C$27, 0.0021, 0)</f>
        <v>45.850899999999996</v>
      </c>
      <c r="H164" s="14">
        <f>45.7141 * CHOOSE(CONTROL!$C$9, $D$9, 100%, $F$9) + CHOOSE(CONTROL!$C$27, 0.0021, 0)</f>
        <v>45.716200000000001</v>
      </c>
      <c r="I164" s="14">
        <f>45.7141 * CHOOSE(CONTROL!$C$9, $D$9, 100%, $F$9) + CHOOSE(CONTROL!$C$27, 0.0021, 0)</f>
        <v>45.716200000000001</v>
      </c>
      <c r="J164" s="14">
        <f>45.7141 * CHOOSE(CONTROL!$C$9, $D$9, 100%, $F$9) + CHOOSE(CONTROL!$C$27, 0.0021, 0)</f>
        <v>45.716200000000001</v>
      </c>
      <c r="K164" s="14">
        <f>45.7141 * CHOOSE(CONTROL!$C$9, $D$9, 100%, $F$9) + CHOOSE(CONTROL!$C$27, 0.0021, 0)</f>
        <v>45.716200000000001</v>
      </c>
      <c r="L164" s="14"/>
    </row>
    <row r="165" spans="1:12" ht="15" x14ac:dyDescent="0.2">
      <c r="A165" s="13">
        <v>45931</v>
      </c>
      <c r="B165" s="14">
        <f>47.3452 * CHOOSE(CONTROL!$C$9, $D$9, 100%, $F$9) + CHOOSE(CONTROL!$C$27, 0.0021, 0)</f>
        <v>47.347299999999997</v>
      </c>
      <c r="C165" s="14">
        <f>46.913 * CHOOSE(CONTROL!$C$9, $D$9, 100%, $F$9) + CHOOSE(CONTROL!$C$27, 0.0021, 0)</f>
        <v>46.915099999999995</v>
      </c>
      <c r="D165" s="14">
        <f>46.913 * CHOOSE(CONTROL!$C$9, $D$9, 100%, $F$9) + CHOOSE(CONTROL!$C$27, 0.0021, 0)</f>
        <v>46.915099999999995</v>
      </c>
      <c r="E165" s="14">
        <f>46.7763 * CHOOSE(CONTROL!$C$9, $D$9, 100%, $F$9) + CHOOSE(CONTROL!$C$27, 0.0021, 0)</f>
        <v>46.778399999999998</v>
      </c>
      <c r="F165" s="14">
        <f>46.7763 * CHOOSE(CONTROL!$C$9, $D$9, 100%, $F$9) + CHOOSE(CONTROL!$C$27, 0.0021, 0)</f>
        <v>46.778399999999998</v>
      </c>
      <c r="G165" s="14">
        <f>47.0477 * CHOOSE(CONTROL!$C$9, $D$9, 100%, $F$9) + CHOOSE(CONTROL!$C$27, 0.0021, 0)</f>
        <v>47.049799999999998</v>
      </c>
      <c r="H165" s="14">
        <f>46.913 * CHOOSE(CONTROL!$C$9, $D$9, 100%, $F$9) + CHOOSE(CONTROL!$C$27, 0.0021, 0)</f>
        <v>46.915099999999995</v>
      </c>
      <c r="I165" s="14">
        <f>46.913 * CHOOSE(CONTROL!$C$9, $D$9, 100%, $F$9) + CHOOSE(CONTROL!$C$27, 0.0021, 0)</f>
        <v>46.915099999999995</v>
      </c>
      <c r="J165" s="14">
        <f>46.913 * CHOOSE(CONTROL!$C$9, $D$9, 100%, $F$9) + CHOOSE(CONTROL!$C$27, 0.0021, 0)</f>
        <v>46.915099999999995</v>
      </c>
      <c r="K165" s="14">
        <f>46.913 * CHOOSE(CONTROL!$C$9, $D$9, 100%, $F$9) + CHOOSE(CONTROL!$C$27, 0.0021, 0)</f>
        <v>46.915099999999995</v>
      </c>
      <c r="L165" s="14"/>
    </row>
    <row r="166" spans="1:12" ht="15" x14ac:dyDescent="0.2">
      <c r="A166" s="13">
        <v>45962</v>
      </c>
      <c r="B166" s="14">
        <f>47.5423 * CHOOSE(CONTROL!$C$9, $D$9, 100%, $F$9) + CHOOSE(CONTROL!$C$27, 0.0021, 0)</f>
        <v>47.544399999999996</v>
      </c>
      <c r="C166" s="14">
        <f>47.1101 * CHOOSE(CONTROL!$C$9, $D$9, 100%, $F$9) + CHOOSE(CONTROL!$C$27, 0.0021, 0)</f>
        <v>47.112200000000001</v>
      </c>
      <c r="D166" s="14">
        <f>47.1101 * CHOOSE(CONTROL!$C$9, $D$9, 100%, $F$9) + CHOOSE(CONTROL!$C$27, 0.0021, 0)</f>
        <v>47.112200000000001</v>
      </c>
      <c r="E166" s="14">
        <f>46.9734 * CHOOSE(CONTROL!$C$9, $D$9, 100%, $F$9) + CHOOSE(CONTROL!$C$27, 0.0021, 0)</f>
        <v>46.975499999999997</v>
      </c>
      <c r="F166" s="14">
        <f>46.9734 * CHOOSE(CONTROL!$C$9, $D$9, 100%, $F$9) + CHOOSE(CONTROL!$C$27, 0.0021, 0)</f>
        <v>46.975499999999997</v>
      </c>
      <c r="G166" s="14">
        <f>47.2448 * CHOOSE(CONTROL!$C$9, $D$9, 100%, $F$9) + CHOOSE(CONTROL!$C$27, 0.0021, 0)</f>
        <v>47.246899999999997</v>
      </c>
      <c r="H166" s="14">
        <f>47.1101 * CHOOSE(CONTROL!$C$9, $D$9, 100%, $F$9) + CHOOSE(CONTROL!$C$27, 0.0021, 0)</f>
        <v>47.112200000000001</v>
      </c>
      <c r="I166" s="14">
        <f>47.1101 * CHOOSE(CONTROL!$C$9, $D$9, 100%, $F$9) + CHOOSE(CONTROL!$C$27, 0.0021, 0)</f>
        <v>47.112200000000001</v>
      </c>
      <c r="J166" s="14">
        <f>47.1101 * CHOOSE(CONTROL!$C$9, $D$9, 100%, $F$9) + CHOOSE(CONTROL!$C$27, 0.0021, 0)</f>
        <v>47.112200000000001</v>
      </c>
      <c r="K166" s="14">
        <f>47.1101 * CHOOSE(CONTROL!$C$9, $D$9, 100%, $F$9) + CHOOSE(CONTROL!$C$27, 0.0021, 0)</f>
        <v>47.112200000000001</v>
      </c>
      <c r="L166" s="14"/>
    </row>
    <row r="167" spans="1:12" ht="15" x14ac:dyDescent="0.2">
      <c r="A167" s="13">
        <v>45992</v>
      </c>
      <c r="B167" s="14">
        <f>46.7465 * CHOOSE(CONTROL!$C$9, $D$9, 100%, $F$9) + CHOOSE(CONTROL!$C$27, 0.0021, 0)</f>
        <v>46.748599999999996</v>
      </c>
      <c r="C167" s="14">
        <f>46.3142 * CHOOSE(CONTROL!$C$9, $D$9, 100%, $F$9) + CHOOSE(CONTROL!$C$27, 0.0021, 0)</f>
        <v>46.316299999999998</v>
      </c>
      <c r="D167" s="14">
        <f>46.3142 * CHOOSE(CONTROL!$C$9, $D$9, 100%, $F$9) + CHOOSE(CONTROL!$C$27, 0.0021, 0)</f>
        <v>46.316299999999998</v>
      </c>
      <c r="E167" s="14">
        <f>46.1776 * CHOOSE(CONTROL!$C$9, $D$9, 100%, $F$9) + CHOOSE(CONTROL!$C$27, 0.0021, 0)</f>
        <v>46.179699999999997</v>
      </c>
      <c r="F167" s="14">
        <f>46.1776 * CHOOSE(CONTROL!$C$9, $D$9, 100%, $F$9) + CHOOSE(CONTROL!$C$27, 0.0021, 0)</f>
        <v>46.179699999999997</v>
      </c>
      <c r="G167" s="14">
        <f>46.4489 * CHOOSE(CONTROL!$C$9, $D$9, 100%, $F$9) + CHOOSE(CONTROL!$C$27, 0.0021, 0)</f>
        <v>46.451000000000001</v>
      </c>
      <c r="H167" s="14">
        <f>46.3142 * CHOOSE(CONTROL!$C$9, $D$9, 100%, $F$9) + CHOOSE(CONTROL!$C$27, 0.0021, 0)</f>
        <v>46.316299999999998</v>
      </c>
      <c r="I167" s="14">
        <f>46.3142 * CHOOSE(CONTROL!$C$9, $D$9, 100%, $F$9) + CHOOSE(CONTROL!$C$27, 0.0021, 0)</f>
        <v>46.316299999999998</v>
      </c>
      <c r="J167" s="14">
        <f>46.3142 * CHOOSE(CONTROL!$C$9, $D$9, 100%, $F$9) + CHOOSE(CONTROL!$C$27, 0.0021, 0)</f>
        <v>46.316299999999998</v>
      </c>
      <c r="K167" s="14">
        <f>46.3142 * CHOOSE(CONTROL!$C$9, $D$9, 100%, $F$9) + CHOOSE(CONTROL!$C$27, 0.0021, 0)</f>
        <v>46.316299999999998</v>
      </c>
      <c r="L167" s="14"/>
    </row>
    <row r="168" spans="1:12" ht="15" x14ac:dyDescent="0.2">
      <c r="A168" s="13">
        <v>46023</v>
      </c>
      <c r="B168" s="14">
        <f>46.3912 * CHOOSE(CONTROL!$C$9, $D$9, 100%, $F$9) + CHOOSE(CONTROL!$C$27, 0.0021, 0)</f>
        <v>46.393299999999996</v>
      </c>
      <c r="C168" s="14">
        <f>45.9589 * CHOOSE(CONTROL!$C$9, $D$9, 100%, $F$9) + CHOOSE(CONTROL!$C$27, 0.0021, 0)</f>
        <v>45.960999999999999</v>
      </c>
      <c r="D168" s="14">
        <f>45.9589 * CHOOSE(CONTROL!$C$9, $D$9, 100%, $F$9) + CHOOSE(CONTROL!$C$27, 0.0021, 0)</f>
        <v>45.960999999999999</v>
      </c>
      <c r="E168" s="14">
        <f>45.8223 * CHOOSE(CONTROL!$C$9, $D$9, 100%, $F$9) + CHOOSE(CONTROL!$C$27, 0.0021, 0)</f>
        <v>45.824399999999997</v>
      </c>
      <c r="F168" s="14">
        <f>45.8223 * CHOOSE(CONTROL!$C$9, $D$9, 100%, $F$9) + CHOOSE(CONTROL!$C$27, 0.0021, 0)</f>
        <v>45.824399999999997</v>
      </c>
      <c r="G168" s="14">
        <f>46.0936 * CHOOSE(CONTROL!$C$9, $D$9, 100%, $F$9) + CHOOSE(CONTROL!$C$27, 0.0021, 0)</f>
        <v>46.095700000000001</v>
      </c>
      <c r="H168" s="14">
        <f>45.9589 * CHOOSE(CONTROL!$C$9, $D$9, 100%, $F$9) + CHOOSE(CONTROL!$C$27, 0.0021, 0)</f>
        <v>45.960999999999999</v>
      </c>
      <c r="I168" s="14">
        <f>45.9589 * CHOOSE(CONTROL!$C$9, $D$9, 100%, $F$9) + CHOOSE(CONTROL!$C$27, 0.0021, 0)</f>
        <v>45.960999999999999</v>
      </c>
      <c r="J168" s="14">
        <f>45.9589 * CHOOSE(CONTROL!$C$9, $D$9, 100%, $F$9) + CHOOSE(CONTROL!$C$27, 0.0021, 0)</f>
        <v>45.960999999999999</v>
      </c>
      <c r="K168" s="14">
        <f>45.9589 * CHOOSE(CONTROL!$C$9, $D$9, 100%, $F$9) + CHOOSE(CONTROL!$C$27, 0.0021, 0)</f>
        <v>45.960999999999999</v>
      </c>
      <c r="L168" s="14"/>
    </row>
    <row r="169" spans="1:12" ht="15" x14ac:dyDescent="0.2">
      <c r="A169" s="13">
        <v>46054</v>
      </c>
      <c r="B169" s="14">
        <f>45.2321 * CHOOSE(CONTROL!$C$9, $D$9, 100%, $F$9) + CHOOSE(CONTROL!$C$27, 0.0021, 0)</f>
        <v>45.234200000000001</v>
      </c>
      <c r="C169" s="14">
        <f>44.7998 * CHOOSE(CONTROL!$C$9, $D$9, 100%, $F$9) + CHOOSE(CONTROL!$C$27, 0.0021, 0)</f>
        <v>44.801899999999996</v>
      </c>
      <c r="D169" s="14">
        <f>44.7998 * CHOOSE(CONTROL!$C$9, $D$9, 100%, $F$9) + CHOOSE(CONTROL!$C$27, 0.0021, 0)</f>
        <v>44.801899999999996</v>
      </c>
      <c r="E169" s="14">
        <f>44.6632 * CHOOSE(CONTROL!$C$9, $D$9, 100%, $F$9) + CHOOSE(CONTROL!$C$27, 0.0021, 0)</f>
        <v>44.665300000000002</v>
      </c>
      <c r="F169" s="14">
        <f>44.6632 * CHOOSE(CONTROL!$C$9, $D$9, 100%, $F$9) + CHOOSE(CONTROL!$C$27, 0.0021, 0)</f>
        <v>44.665300000000002</v>
      </c>
      <c r="G169" s="14">
        <f>44.9346 * CHOOSE(CONTROL!$C$9, $D$9, 100%, $F$9) + CHOOSE(CONTROL!$C$27, 0.0021, 0)</f>
        <v>44.936700000000002</v>
      </c>
      <c r="H169" s="14">
        <f>44.7998 * CHOOSE(CONTROL!$C$9, $D$9, 100%, $F$9) + CHOOSE(CONTROL!$C$27, 0.0021, 0)</f>
        <v>44.801899999999996</v>
      </c>
      <c r="I169" s="14">
        <f>44.7998 * CHOOSE(CONTROL!$C$9, $D$9, 100%, $F$9) + CHOOSE(CONTROL!$C$27, 0.0021, 0)</f>
        <v>44.801899999999996</v>
      </c>
      <c r="J169" s="14">
        <f>44.7998 * CHOOSE(CONTROL!$C$9, $D$9, 100%, $F$9) + CHOOSE(CONTROL!$C$27, 0.0021, 0)</f>
        <v>44.801899999999996</v>
      </c>
      <c r="K169" s="14">
        <f>44.7998 * CHOOSE(CONTROL!$C$9, $D$9, 100%, $F$9) + CHOOSE(CONTROL!$C$27, 0.0021, 0)</f>
        <v>44.801899999999996</v>
      </c>
      <c r="L169" s="14"/>
    </row>
    <row r="170" spans="1:12" ht="15" x14ac:dyDescent="0.2">
      <c r="A170" s="13">
        <v>46082</v>
      </c>
      <c r="B170" s="14">
        <f>44.8035 * CHOOSE(CONTROL!$C$9, $D$9, 100%, $F$9) + CHOOSE(CONTROL!$C$27, 0.0021, 0)</f>
        <v>44.805599999999998</v>
      </c>
      <c r="C170" s="14">
        <f>44.3713 * CHOOSE(CONTROL!$C$9, $D$9, 100%, $F$9) + CHOOSE(CONTROL!$C$27, 0.0021, 0)</f>
        <v>44.373399999999997</v>
      </c>
      <c r="D170" s="14">
        <f>44.3713 * CHOOSE(CONTROL!$C$9, $D$9, 100%, $F$9) + CHOOSE(CONTROL!$C$27, 0.0021, 0)</f>
        <v>44.373399999999997</v>
      </c>
      <c r="E170" s="14">
        <f>44.2346 * CHOOSE(CONTROL!$C$9, $D$9, 100%, $F$9) + CHOOSE(CONTROL!$C$27, 0.0021, 0)</f>
        <v>44.236699999999999</v>
      </c>
      <c r="F170" s="14">
        <f>44.2346 * CHOOSE(CONTROL!$C$9, $D$9, 100%, $F$9) + CHOOSE(CONTROL!$C$27, 0.0021, 0)</f>
        <v>44.236699999999999</v>
      </c>
      <c r="G170" s="14">
        <f>44.506 * CHOOSE(CONTROL!$C$9, $D$9, 100%, $F$9) + CHOOSE(CONTROL!$C$27, 0.0021, 0)</f>
        <v>44.508099999999999</v>
      </c>
      <c r="H170" s="14">
        <f>44.3713 * CHOOSE(CONTROL!$C$9, $D$9, 100%, $F$9) + CHOOSE(CONTROL!$C$27, 0.0021, 0)</f>
        <v>44.373399999999997</v>
      </c>
      <c r="I170" s="14">
        <f>44.3713 * CHOOSE(CONTROL!$C$9, $D$9, 100%, $F$9) + CHOOSE(CONTROL!$C$27, 0.0021, 0)</f>
        <v>44.373399999999997</v>
      </c>
      <c r="J170" s="14">
        <f>44.3713 * CHOOSE(CONTROL!$C$9, $D$9, 100%, $F$9) + CHOOSE(CONTROL!$C$27, 0.0021, 0)</f>
        <v>44.373399999999997</v>
      </c>
      <c r="K170" s="14">
        <f>44.3713 * CHOOSE(CONTROL!$C$9, $D$9, 100%, $F$9) + CHOOSE(CONTROL!$C$27, 0.0021, 0)</f>
        <v>44.373399999999997</v>
      </c>
      <c r="L170" s="14"/>
    </row>
    <row r="171" spans="1:12" ht="15" x14ac:dyDescent="0.2">
      <c r="A171" s="13">
        <v>46113</v>
      </c>
      <c r="B171" s="14">
        <f>44.2725 * CHOOSE(CONTROL!$C$9, $D$9, 100%, $F$9) + CHOOSE(CONTROL!$C$27, 0.0021, 0)</f>
        <v>44.2746</v>
      </c>
      <c r="C171" s="14">
        <f>43.8402 * CHOOSE(CONTROL!$C$9, $D$9, 100%, $F$9) + CHOOSE(CONTROL!$C$27, 0.0021, 0)</f>
        <v>43.842300000000002</v>
      </c>
      <c r="D171" s="14">
        <f>43.8402 * CHOOSE(CONTROL!$C$9, $D$9, 100%, $F$9) + CHOOSE(CONTROL!$C$27, 0.0021, 0)</f>
        <v>43.842300000000002</v>
      </c>
      <c r="E171" s="14">
        <f>43.7036 * CHOOSE(CONTROL!$C$9, $D$9, 100%, $F$9) + CHOOSE(CONTROL!$C$27, 0.0021, 0)</f>
        <v>43.7057</v>
      </c>
      <c r="F171" s="14">
        <f>43.7036 * CHOOSE(CONTROL!$C$9, $D$9, 100%, $F$9) + CHOOSE(CONTROL!$C$27, 0.0021, 0)</f>
        <v>43.7057</v>
      </c>
      <c r="G171" s="14">
        <f>43.9749 * CHOOSE(CONTROL!$C$9, $D$9, 100%, $F$9) + CHOOSE(CONTROL!$C$27, 0.0021, 0)</f>
        <v>43.976999999999997</v>
      </c>
      <c r="H171" s="14">
        <f>43.8402 * CHOOSE(CONTROL!$C$9, $D$9, 100%, $F$9) + CHOOSE(CONTROL!$C$27, 0.0021, 0)</f>
        <v>43.842300000000002</v>
      </c>
      <c r="I171" s="14">
        <f>43.8402 * CHOOSE(CONTROL!$C$9, $D$9, 100%, $F$9) + CHOOSE(CONTROL!$C$27, 0.0021, 0)</f>
        <v>43.842300000000002</v>
      </c>
      <c r="J171" s="14">
        <f>43.8402 * CHOOSE(CONTROL!$C$9, $D$9, 100%, $F$9) + CHOOSE(CONTROL!$C$27, 0.0021, 0)</f>
        <v>43.842300000000002</v>
      </c>
      <c r="K171" s="14">
        <f>43.8402 * CHOOSE(CONTROL!$C$9, $D$9, 100%, $F$9) + CHOOSE(CONTROL!$C$27, 0.0021, 0)</f>
        <v>43.842300000000002</v>
      </c>
      <c r="L171" s="14"/>
    </row>
    <row r="172" spans="1:12" ht="15" x14ac:dyDescent="0.2">
      <c r="A172" s="13">
        <v>46143</v>
      </c>
      <c r="B172" s="14">
        <f>45.2423 * CHOOSE(CONTROL!$C$9, $D$9, 100%, $F$9) + CHOOSE(CONTROL!$C$27, 0.0021, 0)</f>
        <v>45.244399999999999</v>
      </c>
      <c r="C172" s="14">
        <f>44.8101 * CHOOSE(CONTROL!$C$9, $D$9, 100%, $F$9) + CHOOSE(CONTROL!$C$27, 0.0021, 0)</f>
        <v>44.812199999999997</v>
      </c>
      <c r="D172" s="14">
        <f>44.8101 * CHOOSE(CONTROL!$C$9, $D$9, 100%, $F$9) + CHOOSE(CONTROL!$C$27, 0.0021, 0)</f>
        <v>44.812199999999997</v>
      </c>
      <c r="E172" s="14">
        <f>44.6734 * CHOOSE(CONTROL!$C$9, $D$9, 100%, $F$9) + CHOOSE(CONTROL!$C$27, 0.0021, 0)</f>
        <v>44.6755</v>
      </c>
      <c r="F172" s="14">
        <f>44.6734 * CHOOSE(CONTROL!$C$9, $D$9, 100%, $F$9) + CHOOSE(CONTROL!$C$27, 0.0021, 0)</f>
        <v>44.6755</v>
      </c>
      <c r="G172" s="14">
        <f>44.9448 * CHOOSE(CONTROL!$C$9, $D$9, 100%, $F$9) + CHOOSE(CONTROL!$C$27, 0.0021, 0)</f>
        <v>44.946899999999999</v>
      </c>
      <c r="H172" s="14">
        <f>44.8101 * CHOOSE(CONTROL!$C$9, $D$9, 100%, $F$9) + CHOOSE(CONTROL!$C$27, 0.0021, 0)</f>
        <v>44.812199999999997</v>
      </c>
      <c r="I172" s="14">
        <f>44.8101 * CHOOSE(CONTROL!$C$9, $D$9, 100%, $F$9) + CHOOSE(CONTROL!$C$27, 0.0021, 0)</f>
        <v>44.812199999999997</v>
      </c>
      <c r="J172" s="14">
        <f>44.8101 * CHOOSE(CONTROL!$C$9, $D$9, 100%, $F$9) + CHOOSE(CONTROL!$C$27, 0.0021, 0)</f>
        <v>44.812199999999997</v>
      </c>
      <c r="K172" s="14">
        <f>44.8101 * CHOOSE(CONTROL!$C$9, $D$9, 100%, $F$9) + CHOOSE(CONTROL!$C$27, 0.0021, 0)</f>
        <v>44.812199999999997</v>
      </c>
      <c r="L172" s="14"/>
    </row>
    <row r="173" spans="1:12" ht="15" x14ac:dyDescent="0.2">
      <c r="A173" s="13">
        <v>46174</v>
      </c>
      <c r="B173" s="14">
        <f>45.861 * CHOOSE(CONTROL!$C$9, $D$9, 100%, $F$9) + CHOOSE(CONTROL!$C$27, 0.0021, 0)</f>
        <v>45.863099999999996</v>
      </c>
      <c r="C173" s="14">
        <f>45.4288 * CHOOSE(CONTROL!$C$9, $D$9, 100%, $F$9) + CHOOSE(CONTROL!$C$27, 0.0021, 0)</f>
        <v>45.430900000000001</v>
      </c>
      <c r="D173" s="14">
        <f>45.4288 * CHOOSE(CONTROL!$C$9, $D$9, 100%, $F$9) + CHOOSE(CONTROL!$C$27, 0.0021, 0)</f>
        <v>45.430900000000001</v>
      </c>
      <c r="E173" s="14">
        <f>45.2921 * CHOOSE(CONTROL!$C$9, $D$9, 100%, $F$9) + CHOOSE(CONTROL!$C$27, 0.0021, 0)</f>
        <v>45.294199999999996</v>
      </c>
      <c r="F173" s="14">
        <f>45.2921 * CHOOSE(CONTROL!$C$9, $D$9, 100%, $F$9) + CHOOSE(CONTROL!$C$27, 0.0021, 0)</f>
        <v>45.294199999999996</v>
      </c>
      <c r="G173" s="14">
        <f>45.5635 * CHOOSE(CONTROL!$C$9, $D$9, 100%, $F$9) + CHOOSE(CONTROL!$C$27, 0.0021, 0)</f>
        <v>45.565599999999996</v>
      </c>
      <c r="H173" s="14">
        <f>45.4288 * CHOOSE(CONTROL!$C$9, $D$9, 100%, $F$9) + CHOOSE(CONTROL!$C$27, 0.0021, 0)</f>
        <v>45.430900000000001</v>
      </c>
      <c r="I173" s="14">
        <f>45.4288 * CHOOSE(CONTROL!$C$9, $D$9, 100%, $F$9) + CHOOSE(CONTROL!$C$27, 0.0021, 0)</f>
        <v>45.430900000000001</v>
      </c>
      <c r="J173" s="14">
        <f>45.4288 * CHOOSE(CONTROL!$C$9, $D$9, 100%, $F$9) + CHOOSE(CONTROL!$C$27, 0.0021, 0)</f>
        <v>45.430900000000001</v>
      </c>
      <c r="K173" s="14">
        <f>45.4288 * CHOOSE(CONTROL!$C$9, $D$9, 100%, $F$9) + CHOOSE(CONTROL!$C$27, 0.0021, 0)</f>
        <v>45.430900000000001</v>
      </c>
      <c r="L173" s="14"/>
    </row>
    <row r="174" spans="1:12" ht="15" x14ac:dyDescent="0.2">
      <c r="A174" s="13">
        <v>46204</v>
      </c>
      <c r="B174" s="14">
        <f>46.8273 * CHOOSE(CONTROL!$C$9, $D$9, 100%, $F$9) + CHOOSE(CONTROL!$C$27, 0.0021, 0)</f>
        <v>46.8294</v>
      </c>
      <c r="C174" s="14">
        <f>46.395 * CHOOSE(CONTROL!$C$9, $D$9, 100%, $F$9) + CHOOSE(CONTROL!$C$27, 0.0021, 0)</f>
        <v>46.397100000000002</v>
      </c>
      <c r="D174" s="14">
        <f>46.395 * CHOOSE(CONTROL!$C$9, $D$9, 100%, $F$9) + CHOOSE(CONTROL!$C$27, 0.0021, 0)</f>
        <v>46.397100000000002</v>
      </c>
      <c r="E174" s="14">
        <f>46.2583 * CHOOSE(CONTROL!$C$9, $D$9, 100%, $F$9) + CHOOSE(CONTROL!$C$27, 0.0021, 0)</f>
        <v>46.260399999999997</v>
      </c>
      <c r="F174" s="14">
        <f>46.2583 * CHOOSE(CONTROL!$C$9, $D$9, 100%, $F$9) + CHOOSE(CONTROL!$C$27, 0.0021, 0)</f>
        <v>46.260399999999997</v>
      </c>
      <c r="G174" s="14">
        <f>46.5297 * CHOOSE(CONTROL!$C$9, $D$9, 100%, $F$9) + CHOOSE(CONTROL!$C$27, 0.0021, 0)</f>
        <v>46.531799999999997</v>
      </c>
      <c r="H174" s="14">
        <f>46.395 * CHOOSE(CONTROL!$C$9, $D$9, 100%, $F$9) + CHOOSE(CONTROL!$C$27, 0.0021, 0)</f>
        <v>46.397100000000002</v>
      </c>
      <c r="I174" s="14">
        <f>46.395 * CHOOSE(CONTROL!$C$9, $D$9, 100%, $F$9) + CHOOSE(CONTROL!$C$27, 0.0021, 0)</f>
        <v>46.397100000000002</v>
      </c>
      <c r="J174" s="14">
        <f>46.395 * CHOOSE(CONTROL!$C$9, $D$9, 100%, $F$9) + CHOOSE(CONTROL!$C$27, 0.0021, 0)</f>
        <v>46.397100000000002</v>
      </c>
      <c r="K174" s="14">
        <f>46.395 * CHOOSE(CONTROL!$C$9, $D$9, 100%, $F$9) + CHOOSE(CONTROL!$C$27, 0.0021, 0)</f>
        <v>46.397100000000002</v>
      </c>
      <c r="L174" s="14"/>
    </row>
    <row r="175" spans="1:12" ht="15" x14ac:dyDescent="0.2">
      <c r="A175" s="13">
        <v>46235</v>
      </c>
      <c r="B175" s="14">
        <f>47.1871 * CHOOSE(CONTROL!$C$9, $D$9, 100%, $F$9) + CHOOSE(CONTROL!$C$27, 0.0021, 0)</f>
        <v>47.1892</v>
      </c>
      <c r="C175" s="14">
        <f>46.7548 * CHOOSE(CONTROL!$C$9, $D$9, 100%, $F$9) + CHOOSE(CONTROL!$C$27, 0.0021, 0)</f>
        <v>46.756900000000002</v>
      </c>
      <c r="D175" s="14">
        <f>46.7548 * CHOOSE(CONTROL!$C$9, $D$9, 100%, $F$9) + CHOOSE(CONTROL!$C$27, 0.0021, 0)</f>
        <v>46.756900000000002</v>
      </c>
      <c r="E175" s="14">
        <f>46.6182 * CHOOSE(CONTROL!$C$9, $D$9, 100%, $F$9) + CHOOSE(CONTROL!$C$27, 0.0021, 0)</f>
        <v>46.6203</v>
      </c>
      <c r="F175" s="14">
        <f>46.6182 * CHOOSE(CONTROL!$C$9, $D$9, 100%, $F$9) + CHOOSE(CONTROL!$C$27, 0.0021, 0)</f>
        <v>46.6203</v>
      </c>
      <c r="G175" s="14">
        <f>46.8895 * CHOOSE(CONTROL!$C$9, $D$9, 100%, $F$9) + CHOOSE(CONTROL!$C$27, 0.0021, 0)</f>
        <v>46.891599999999997</v>
      </c>
      <c r="H175" s="14">
        <f>46.7548 * CHOOSE(CONTROL!$C$9, $D$9, 100%, $F$9) + CHOOSE(CONTROL!$C$27, 0.0021, 0)</f>
        <v>46.756900000000002</v>
      </c>
      <c r="I175" s="14">
        <f>46.7548 * CHOOSE(CONTROL!$C$9, $D$9, 100%, $F$9) + CHOOSE(CONTROL!$C$27, 0.0021, 0)</f>
        <v>46.756900000000002</v>
      </c>
      <c r="J175" s="14">
        <f>46.7548 * CHOOSE(CONTROL!$C$9, $D$9, 100%, $F$9) + CHOOSE(CONTROL!$C$27, 0.0021, 0)</f>
        <v>46.756900000000002</v>
      </c>
      <c r="K175" s="14">
        <f>46.7548 * CHOOSE(CONTROL!$C$9, $D$9, 100%, $F$9) + CHOOSE(CONTROL!$C$27, 0.0021, 0)</f>
        <v>46.756900000000002</v>
      </c>
      <c r="L175" s="14"/>
    </row>
    <row r="176" spans="1:12" ht="15" x14ac:dyDescent="0.2">
      <c r="A176" s="13">
        <v>46266</v>
      </c>
      <c r="B176" s="14">
        <f>48.1944 * CHOOSE(CONTROL!$C$9, $D$9, 100%, $F$9) + CHOOSE(CONTROL!$C$27, 0.0021, 0)</f>
        <v>48.1965</v>
      </c>
      <c r="C176" s="14">
        <f>47.7621 * CHOOSE(CONTROL!$C$9, $D$9, 100%, $F$9) + CHOOSE(CONTROL!$C$27, 0.0021, 0)</f>
        <v>47.764199999999995</v>
      </c>
      <c r="D176" s="14">
        <f>47.7621 * CHOOSE(CONTROL!$C$9, $D$9, 100%, $F$9) + CHOOSE(CONTROL!$C$27, 0.0021, 0)</f>
        <v>47.764199999999995</v>
      </c>
      <c r="E176" s="14">
        <f>47.6254 * CHOOSE(CONTROL!$C$9, $D$9, 100%, $F$9) + CHOOSE(CONTROL!$C$27, 0.0021, 0)</f>
        <v>47.627499999999998</v>
      </c>
      <c r="F176" s="14">
        <f>47.6254 * CHOOSE(CONTROL!$C$9, $D$9, 100%, $F$9) + CHOOSE(CONTROL!$C$27, 0.0021, 0)</f>
        <v>47.627499999999998</v>
      </c>
      <c r="G176" s="14">
        <f>47.8968 * CHOOSE(CONTROL!$C$9, $D$9, 100%, $F$9) + CHOOSE(CONTROL!$C$27, 0.0021, 0)</f>
        <v>47.898899999999998</v>
      </c>
      <c r="H176" s="14">
        <f>47.7621 * CHOOSE(CONTROL!$C$9, $D$9, 100%, $F$9) + CHOOSE(CONTROL!$C$27, 0.0021, 0)</f>
        <v>47.764199999999995</v>
      </c>
      <c r="I176" s="14">
        <f>47.7621 * CHOOSE(CONTROL!$C$9, $D$9, 100%, $F$9) + CHOOSE(CONTROL!$C$27, 0.0021, 0)</f>
        <v>47.764199999999995</v>
      </c>
      <c r="J176" s="14">
        <f>47.7621 * CHOOSE(CONTROL!$C$9, $D$9, 100%, $F$9) + CHOOSE(CONTROL!$C$27, 0.0021, 0)</f>
        <v>47.764199999999995</v>
      </c>
      <c r="K176" s="14">
        <f>47.7621 * CHOOSE(CONTROL!$C$9, $D$9, 100%, $F$9) + CHOOSE(CONTROL!$C$27, 0.0021, 0)</f>
        <v>47.764199999999995</v>
      </c>
      <c r="L176" s="14"/>
    </row>
    <row r="177" spans="1:12" ht="15" x14ac:dyDescent="0.2">
      <c r="A177" s="13">
        <v>46296</v>
      </c>
      <c r="B177" s="14">
        <f>49.4493 * CHOOSE(CONTROL!$C$9, $D$9, 100%, $F$9) + CHOOSE(CONTROL!$C$27, 0.0021, 0)</f>
        <v>49.4514</v>
      </c>
      <c r="C177" s="14">
        <f>49.017 * CHOOSE(CONTROL!$C$9, $D$9, 100%, $F$9) + CHOOSE(CONTROL!$C$27, 0.0021, 0)</f>
        <v>49.019100000000002</v>
      </c>
      <c r="D177" s="14">
        <f>49.017 * CHOOSE(CONTROL!$C$9, $D$9, 100%, $F$9) + CHOOSE(CONTROL!$C$27, 0.0021, 0)</f>
        <v>49.019100000000002</v>
      </c>
      <c r="E177" s="14">
        <f>48.8804 * CHOOSE(CONTROL!$C$9, $D$9, 100%, $F$9) + CHOOSE(CONTROL!$C$27, 0.0021, 0)</f>
        <v>48.8825</v>
      </c>
      <c r="F177" s="14">
        <f>48.8804 * CHOOSE(CONTROL!$C$9, $D$9, 100%, $F$9) + CHOOSE(CONTROL!$C$27, 0.0021, 0)</f>
        <v>48.8825</v>
      </c>
      <c r="G177" s="14">
        <f>49.1518 * CHOOSE(CONTROL!$C$9, $D$9, 100%, $F$9) + CHOOSE(CONTROL!$C$27, 0.0021, 0)</f>
        <v>49.1539</v>
      </c>
      <c r="H177" s="14">
        <f>49.017 * CHOOSE(CONTROL!$C$9, $D$9, 100%, $F$9) + CHOOSE(CONTROL!$C$27, 0.0021, 0)</f>
        <v>49.019100000000002</v>
      </c>
      <c r="I177" s="14">
        <f>49.017 * CHOOSE(CONTROL!$C$9, $D$9, 100%, $F$9) + CHOOSE(CONTROL!$C$27, 0.0021, 0)</f>
        <v>49.019100000000002</v>
      </c>
      <c r="J177" s="14">
        <f>49.017 * CHOOSE(CONTROL!$C$9, $D$9, 100%, $F$9) + CHOOSE(CONTROL!$C$27, 0.0021, 0)</f>
        <v>49.019100000000002</v>
      </c>
      <c r="K177" s="14">
        <f>49.017 * CHOOSE(CONTROL!$C$9, $D$9, 100%, $F$9) + CHOOSE(CONTROL!$C$27, 0.0021, 0)</f>
        <v>49.019100000000002</v>
      </c>
      <c r="L177" s="14"/>
    </row>
    <row r="178" spans="1:12" ht="15" x14ac:dyDescent="0.2">
      <c r="A178" s="13">
        <v>46327</v>
      </c>
      <c r="B178" s="14">
        <f>49.6556 * CHOOSE(CONTROL!$C$9, $D$9, 100%, $F$9) + CHOOSE(CONTROL!$C$27, 0.0021, 0)</f>
        <v>49.657699999999998</v>
      </c>
      <c r="C178" s="14">
        <f>49.2233 * CHOOSE(CONTROL!$C$9, $D$9, 100%, $F$9) + CHOOSE(CONTROL!$C$27, 0.0021, 0)</f>
        <v>49.2254</v>
      </c>
      <c r="D178" s="14">
        <f>49.2233 * CHOOSE(CONTROL!$C$9, $D$9, 100%, $F$9) + CHOOSE(CONTROL!$C$27, 0.0021, 0)</f>
        <v>49.2254</v>
      </c>
      <c r="E178" s="14">
        <f>49.0867 * CHOOSE(CONTROL!$C$9, $D$9, 100%, $F$9) + CHOOSE(CONTROL!$C$27, 0.0021, 0)</f>
        <v>49.088799999999999</v>
      </c>
      <c r="F178" s="14">
        <f>49.0867 * CHOOSE(CONTROL!$C$9, $D$9, 100%, $F$9) + CHOOSE(CONTROL!$C$27, 0.0021, 0)</f>
        <v>49.088799999999999</v>
      </c>
      <c r="G178" s="14">
        <f>49.3581 * CHOOSE(CONTROL!$C$9, $D$9, 100%, $F$9) + CHOOSE(CONTROL!$C$27, 0.0021, 0)</f>
        <v>49.360199999999999</v>
      </c>
      <c r="H178" s="14">
        <f>49.2233 * CHOOSE(CONTROL!$C$9, $D$9, 100%, $F$9) + CHOOSE(CONTROL!$C$27, 0.0021, 0)</f>
        <v>49.2254</v>
      </c>
      <c r="I178" s="14">
        <f>49.2233 * CHOOSE(CONTROL!$C$9, $D$9, 100%, $F$9) + CHOOSE(CONTROL!$C$27, 0.0021, 0)</f>
        <v>49.2254</v>
      </c>
      <c r="J178" s="14">
        <f>49.2233 * CHOOSE(CONTROL!$C$9, $D$9, 100%, $F$9) + CHOOSE(CONTROL!$C$27, 0.0021, 0)</f>
        <v>49.2254</v>
      </c>
      <c r="K178" s="14">
        <f>49.2233 * CHOOSE(CONTROL!$C$9, $D$9, 100%, $F$9) + CHOOSE(CONTROL!$C$27, 0.0021, 0)</f>
        <v>49.2254</v>
      </c>
      <c r="L178" s="14"/>
    </row>
    <row r="179" spans="1:12" ht="15" x14ac:dyDescent="0.2">
      <c r="A179" s="13">
        <v>46357</v>
      </c>
      <c r="B179" s="14">
        <f>48.8225 * CHOOSE(CONTROL!$C$9, $D$9, 100%, $F$9) + CHOOSE(CONTROL!$C$27, 0.0021, 0)</f>
        <v>48.824599999999997</v>
      </c>
      <c r="C179" s="14">
        <f>48.3903 * CHOOSE(CONTROL!$C$9, $D$9, 100%, $F$9) + CHOOSE(CONTROL!$C$27, 0.0021, 0)</f>
        <v>48.392400000000002</v>
      </c>
      <c r="D179" s="14">
        <f>48.3903 * CHOOSE(CONTROL!$C$9, $D$9, 100%, $F$9) + CHOOSE(CONTROL!$C$27, 0.0021, 0)</f>
        <v>48.392400000000002</v>
      </c>
      <c r="E179" s="14">
        <f>48.2536 * CHOOSE(CONTROL!$C$9, $D$9, 100%, $F$9) + CHOOSE(CONTROL!$C$27, 0.0021, 0)</f>
        <v>48.255699999999997</v>
      </c>
      <c r="F179" s="14">
        <f>48.2536 * CHOOSE(CONTROL!$C$9, $D$9, 100%, $F$9) + CHOOSE(CONTROL!$C$27, 0.0021, 0)</f>
        <v>48.255699999999997</v>
      </c>
      <c r="G179" s="14">
        <f>48.525 * CHOOSE(CONTROL!$C$9, $D$9, 100%, $F$9) + CHOOSE(CONTROL!$C$27, 0.0021, 0)</f>
        <v>48.527099999999997</v>
      </c>
      <c r="H179" s="14">
        <f>48.3903 * CHOOSE(CONTROL!$C$9, $D$9, 100%, $F$9) + CHOOSE(CONTROL!$C$27, 0.0021, 0)</f>
        <v>48.392400000000002</v>
      </c>
      <c r="I179" s="14">
        <f>48.3903 * CHOOSE(CONTROL!$C$9, $D$9, 100%, $F$9) + CHOOSE(CONTROL!$C$27, 0.0021, 0)</f>
        <v>48.392400000000002</v>
      </c>
      <c r="J179" s="14">
        <f>48.3903 * CHOOSE(CONTROL!$C$9, $D$9, 100%, $F$9) + CHOOSE(CONTROL!$C$27, 0.0021, 0)</f>
        <v>48.392400000000002</v>
      </c>
      <c r="K179" s="14">
        <f>48.3903 * CHOOSE(CONTROL!$C$9, $D$9, 100%, $F$9) + CHOOSE(CONTROL!$C$27, 0.0021, 0)</f>
        <v>48.392400000000002</v>
      </c>
      <c r="L179" s="14"/>
    </row>
    <row r="180" spans="1:12" ht="15" x14ac:dyDescent="0.2">
      <c r="A180" s="13">
        <v>46388</v>
      </c>
      <c r="B180" s="14">
        <f>48.3954 * CHOOSE(CONTROL!$C$9, $D$9, 100%, $F$9) + CHOOSE(CONTROL!$C$27, 0.0021, 0)</f>
        <v>48.397500000000001</v>
      </c>
      <c r="C180" s="14">
        <f>47.9632 * CHOOSE(CONTROL!$C$9, $D$9, 100%, $F$9) + CHOOSE(CONTROL!$C$27, 0.0021, 0)</f>
        <v>47.965299999999999</v>
      </c>
      <c r="D180" s="14">
        <f>47.9632 * CHOOSE(CONTROL!$C$9, $D$9, 100%, $F$9) + CHOOSE(CONTROL!$C$27, 0.0021, 0)</f>
        <v>47.965299999999999</v>
      </c>
      <c r="E180" s="14">
        <f>47.8265 * CHOOSE(CONTROL!$C$9, $D$9, 100%, $F$9) + CHOOSE(CONTROL!$C$27, 0.0021, 0)</f>
        <v>47.828600000000002</v>
      </c>
      <c r="F180" s="14">
        <f>47.8265 * CHOOSE(CONTROL!$C$9, $D$9, 100%, $F$9) + CHOOSE(CONTROL!$C$27, 0.0021, 0)</f>
        <v>47.828600000000002</v>
      </c>
      <c r="G180" s="14">
        <f>48.0979 * CHOOSE(CONTROL!$C$9, $D$9, 100%, $F$9) + CHOOSE(CONTROL!$C$27, 0.0021, 0)</f>
        <v>48.1</v>
      </c>
      <c r="H180" s="14">
        <f>47.9632 * CHOOSE(CONTROL!$C$9, $D$9, 100%, $F$9) + CHOOSE(CONTROL!$C$27, 0.0021, 0)</f>
        <v>47.965299999999999</v>
      </c>
      <c r="I180" s="14">
        <f>47.9632 * CHOOSE(CONTROL!$C$9, $D$9, 100%, $F$9) + CHOOSE(CONTROL!$C$27, 0.0021, 0)</f>
        <v>47.965299999999999</v>
      </c>
      <c r="J180" s="14">
        <f>47.9632 * CHOOSE(CONTROL!$C$9, $D$9, 100%, $F$9) + CHOOSE(CONTROL!$C$27, 0.0021, 0)</f>
        <v>47.965299999999999</v>
      </c>
      <c r="K180" s="14">
        <f>47.9632 * CHOOSE(CONTROL!$C$9, $D$9, 100%, $F$9) + CHOOSE(CONTROL!$C$27, 0.0021, 0)</f>
        <v>47.965299999999999</v>
      </c>
      <c r="L180" s="14"/>
    </row>
    <row r="181" spans="1:12" ht="15" x14ac:dyDescent="0.2">
      <c r="A181" s="13">
        <v>46419</v>
      </c>
      <c r="B181" s="14">
        <f>47.1836 * CHOOSE(CONTROL!$C$9, $D$9, 100%, $F$9) + CHOOSE(CONTROL!$C$27, 0.0021, 0)</f>
        <v>47.185699999999997</v>
      </c>
      <c r="C181" s="14">
        <f>46.7514 * CHOOSE(CONTROL!$C$9, $D$9, 100%, $F$9) + CHOOSE(CONTROL!$C$27, 0.0021, 0)</f>
        <v>46.753499999999995</v>
      </c>
      <c r="D181" s="14">
        <f>46.7514 * CHOOSE(CONTROL!$C$9, $D$9, 100%, $F$9) + CHOOSE(CONTROL!$C$27, 0.0021, 0)</f>
        <v>46.753499999999995</v>
      </c>
      <c r="E181" s="14">
        <f>46.6147 * CHOOSE(CONTROL!$C$9, $D$9, 100%, $F$9) + CHOOSE(CONTROL!$C$27, 0.0021, 0)</f>
        <v>46.616799999999998</v>
      </c>
      <c r="F181" s="14">
        <f>46.6147 * CHOOSE(CONTROL!$C$9, $D$9, 100%, $F$9) + CHOOSE(CONTROL!$C$27, 0.0021, 0)</f>
        <v>46.616799999999998</v>
      </c>
      <c r="G181" s="14">
        <f>46.8861 * CHOOSE(CONTROL!$C$9, $D$9, 100%, $F$9) + CHOOSE(CONTROL!$C$27, 0.0021, 0)</f>
        <v>46.888199999999998</v>
      </c>
      <c r="H181" s="14">
        <f>46.7514 * CHOOSE(CONTROL!$C$9, $D$9, 100%, $F$9) + CHOOSE(CONTROL!$C$27, 0.0021, 0)</f>
        <v>46.753499999999995</v>
      </c>
      <c r="I181" s="14">
        <f>46.7514 * CHOOSE(CONTROL!$C$9, $D$9, 100%, $F$9) + CHOOSE(CONTROL!$C$27, 0.0021, 0)</f>
        <v>46.753499999999995</v>
      </c>
      <c r="J181" s="14">
        <f>46.7514 * CHOOSE(CONTROL!$C$9, $D$9, 100%, $F$9) + CHOOSE(CONTROL!$C$27, 0.0021, 0)</f>
        <v>46.753499999999995</v>
      </c>
      <c r="K181" s="14">
        <f>46.7514 * CHOOSE(CONTROL!$C$9, $D$9, 100%, $F$9) + CHOOSE(CONTROL!$C$27, 0.0021, 0)</f>
        <v>46.753499999999995</v>
      </c>
      <c r="L181" s="14"/>
    </row>
    <row r="182" spans="1:12" ht="15" x14ac:dyDescent="0.2">
      <c r="A182" s="13">
        <v>46447</v>
      </c>
      <c r="B182" s="14">
        <f>46.7356 * CHOOSE(CONTROL!$C$9, $D$9, 100%, $F$9) + CHOOSE(CONTROL!$C$27, 0.0021, 0)</f>
        <v>46.737699999999997</v>
      </c>
      <c r="C182" s="14">
        <f>46.3033 * CHOOSE(CONTROL!$C$9, $D$9, 100%, $F$9) + CHOOSE(CONTROL!$C$27, 0.0021, 0)</f>
        <v>46.305399999999999</v>
      </c>
      <c r="D182" s="14">
        <f>46.3033 * CHOOSE(CONTROL!$C$9, $D$9, 100%, $F$9) + CHOOSE(CONTROL!$C$27, 0.0021, 0)</f>
        <v>46.305399999999999</v>
      </c>
      <c r="E182" s="14">
        <f>46.1667 * CHOOSE(CONTROL!$C$9, $D$9, 100%, $F$9) + CHOOSE(CONTROL!$C$27, 0.0021, 0)</f>
        <v>46.168799999999997</v>
      </c>
      <c r="F182" s="14">
        <f>46.1667 * CHOOSE(CONTROL!$C$9, $D$9, 100%, $F$9) + CHOOSE(CONTROL!$C$27, 0.0021, 0)</f>
        <v>46.168799999999997</v>
      </c>
      <c r="G182" s="14">
        <f>46.4381 * CHOOSE(CONTROL!$C$9, $D$9, 100%, $F$9) + CHOOSE(CONTROL!$C$27, 0.0021, 0)</f>
        <v>46.440199999999997</v>
      </c>
      <c r="H182" s="14">
        <f>46.3033 * CHOOSE(CONTROL!$C$9, $D$9, 100%, $F$9) + CHOOSE(CONTROL!$C$27, 0.0021, 0)</f>
        <v>46.305399999999999</v>
      </c>
      <c r="I182" s="14">
        <f>46.3033 * CHOOSE(CONTROL!$C$9, $D$9, 100%, $F$9) + CHOOSE(CONTROL!$C$27, 0.0021, 0)</f>
        <v>46.305399999999999</v>
      </c>
      <c r="J182" s="14">
        <f>46.3033 * CHOOSE(CONTROL!$C$9, $D$9, 100%, $F$9) + CHOOSE(CONTROL!$C$27, 0.0021, 0)</f>
        <v>46.305399999999999</v>
      </c>
      <c r="K182" s="14">
        <f>46.3033 * CHOOSE(CONTROL!$C$9, $D$9, 100%, $F$9) + CHOOSE(CONTROL!$C$27, 0.0021, 0)</f>
        <v>46.305399999999999</v>
      </c>
      <c r="L182" s="14"/>
    </row>
    <row r="183" spans="1:12" ht="15" x14ac:dyDescent="0.2">
      <c r="A183" s="13">
        <v>46478</v>
      </c>
      <c r="B183" s="14">
        <f>46.1804 * CHOOSE(CONTROL!$C$9, $D$9, 100%, $F$9) + CHOOSE(CONTROL!$C$27, 0.0021, 0)</f>
        <v>46.182499999999997</v>
      </c>
      <c r="C183" s="14">
        <f>45.7482 * CHOOSE(CONTROL!$C$9, $D$9, 100%, $F$9) + CHOOSE(CONTROL!$C$27, 0.0021, 0)</f>
        <v>45.750299999999996</v>
      </c>
      <c r="D183" s="14">
        <f>45.7482 * CHOOSE(CONTROL!$C$9, $D$9, 100%, $F$9) + CHOOSE(CONTROL!$C$27, 0.0021, 0)</f>
        <v>45.750299999999996</v>
      </c>
      <c r="E183" s="14">
        <f>45.6115 * CHOOSE(CONTROL!$C$9, $D$9, 100%, $F$9) + CHOOSE(CONTROL!$C$27, 0.0021, 0)</f>
        <v>45.613599999999998</v>
      </c>
      <c r="F183" s="14">
        <f>45.6115 * CHOOSE(CONTROL!$C$9, $D$9, 100%, $F$9) + CHOOSE(CONTROL!$C$27, 0.0021, 0)</f>
        <v>45.613599999999998</v>
      </c>
      <c r="G183" s="14">
        <f>45.8829 * CHOOSE(CONTROL!$C$9, $D$9, 100%, $F$9) + CHOOSE(CONTROL!$C$27, 0.0021, 0)</f>
        <v>45.884999999999998</v>
      </c>
      <c r="H183" s="14">
        <f>45.7482 * CHOOSE(CONTROL!$C$9, $D$9, 100%, $F$9) + CHOOSE(CONTROL!$C$27, 0.0021, 0)</f>
        <v>45.750299999999996</v>
      </c>
      <c r="I183" s="14">
        <f>45.7482 * CHOOSE(CONTROL!$C$9, $D$9, 100%, $F$9) + CHOOSE(CONTROL!$C$27, 0.0021, 0)</f>
        <v>45.750299999999996</v>
      </c>
      <c r="J183" s="14">
        <f>45.7482 * CHOOSE(CONTROL!$C$9, $D$9, 100%, $F$9) + CHOOSE(CONTROL!$C$27, 0.0021, 0)</f>
        <v>45.750299999999996</v>
      </c>
      <c r="K183" s="14">
        <f>45.7482 * CHOOSE(CONTROL!$C$9, $D$9, 100%, $F$9) + CHOOSE(CONTROL!$C$27, 0.0021, 0)</f>
        <v>45.750299999999996</v>
      </c>
      <c r="L183" s="14"/>
    </row>
    <row r="184" spans="1:12" ht="15" x14ac:dyDescent="0.2">
      <c r="A184" s="13">
        <v>46508</v>
      </c>
      <c r="B184" s="14">
        <f>47.1944 * CHOOSE(CONTROL!$C$9, $D$9, 100%, $F$9) + CHOOSE(CONTROL!$C$27, 0.0021, 0)</f>
        <v>47.1965</v>
      </c>
      <c r="C184" s="14">
        <f>46.7621 * CHOOSE(CONTROL!$C$9, $D$9, 100%, $F$9) + CHOOSE(CONTROL!$C$27, 0.0021, 0)</f>
        <v>46.764199999999995</v>
      </c>
      <c r="D184" s="14">
        <f>46.7621 * CHOOSE(CONTROL!$C$9, $D$9, 100%, $F$9) + CHOOSE(CONTROL!$C$27, 0.0021, 0)</f>
        <v>46.764199999999995</v>
      </c>
      <c r="E184" s="14">
        <f>46.6255 * CHOOSE(CONTROL!$C$9, $D$9, 100%, $F$9) + CHOOSE(CONTROL!$C$27, 0.0021, 0)</f>
        <v>46.627600000000001</v>
      </c>
      <c r="F184" s="14">
        <f>46.6255 * CHOOSE(CONTROL!$C$9, $D$9, 100%, $F$9) + CHOOSE(CONTROL!$C$27, 0.0021, 0)</f>
        <v>46.627600000000001</v>
      </c>
      <c r="G184" s="14">
        <f>46.8968 * CHOOSE(CONTROL!$C$9, $D$9, 100%, $F$9) + CHOOSE(CONTROL!$C$27, 0.0021, 0)</f>
        <v>46.898899999999998</v>
      </c>
      <c r="H184" s="14">
        <f>46.7621 * CHOOSE(CONTROL!$C$9, $D$9, 100%, $F$9) + CHOOSE(CONTROL!$C$27, 0.0021, 0)</f>
        <v>46.764199999999995</v>
      </c>
      <c r="I184" s="14">
        <f>46.7621 * CHOOSE(CONTROL!$C$9, $D$9, 100%, $F$9) + CHOOSE(CONTROL!$C$27, 0.0021, 0)</f>
        <v>46.764199999999995</v>
      </c>
      <c r="J184" s="14">
        <f>46.7621 * CHOOSE(CONTROL!$C$9, $D$9, 100%, $F$9) + CHOOSE(CONTROL!$C$27, 0.0021, 0)</f>
        <v>46.764199999999995</v>
      </c>
      <c r="K184" s="14">
        <f>46.7621 * CHOOSE(CONTROL!$C$9, $D$9, 100%, $F$9) + CHOOSE(CONTROL!$C$27, 0.0021, 0)</f>
        <v>46.764199999999995</v>
      </c>
      <c r="L184" s="14"/>
    </row>
    <row r="185" spans="1:12" ht="15" x14ac:dyDescent="0.2">
      <c r="A185" s="13">
        <v>46539</v>
      </c>
      <c r="B185" s="14">
        <f>47.8412 * CHOOSE(CONTROL!$C$9, $D$9, 100%, $F$9) + CHOOSE(CONTROL!$C$27, 0.0021, 0)</f>
        <v>47.843299999999999</v>
      </c>
      <c r="C185" s="14">
        <f>47.4089 * CHOOSE(CONTROL!$C$9, $D$9, 100%, $F$9) + CHOOSE(CONTROL!$C$27, 0.0021, 0)</f>
        <v>47.411000000000001</v>
      </c>
      <c r="D185" s="14">
        <f>47.4089 * CHOOSE(CONTROL!$C$9, $D$9, 100%, $F$9) + CHOOSE(CONTROL!$C$27, 0.0021, 0)</f>
        <v>47.411000000000001</v>
      </c>
      <c r="E185" s="14">
        <f>47.2723 * CHOOSE(CONTROL!$C$9, $D$9, 100%, $F$9) + CHOOSE(CONTROL!$C$27, 0.0021, 0)</f>
        <v>47.2744</v>
      </c>
      <c r="F185" s="14">
        <f>47.2723 * CHOOSE(CONTROL!$C$9, $D$9, 100%, $F$9) + CHOOSE(CONTROL!$C$27, 0.0021, 0)</f>
        <v>47.2744</v>
      </c>
      <c r="G185" s="14">
        <f>47.5436 * CHOOSE(CONTROL!$C$9, $D$9, 100%, $F$9) + CHOOSE(CONTROL!$C$27, 0.0021, 0)</f>
        <v>47.545699999999997</v>
      </c>
      <c r="H185" s="14">
        <f>47.4089 * CHOOSE(CONTROL!$C$9, $D$9, 100%, $F$9) + CHOOSE(CONTROL!$C$27, 0.0021, 0)</f>
        <v>47.411000000000001</v>
      </c>
      <c r="I185" s="14">
        <f>47.4089 * CHOOSE(CONTROL!$C$9, $D$9, 100%, $F$9) + CHOOSE(CONTROL!$C$27, 0.0021, 0)</f>
        <v>47.411000000000001</v>
      </c>
      <c r="J185" s="14">
        <f>47.4089 * CHOOSE(CONTROL!$C$9, $D$9, 100%, $F$9) + CHOOSE(CONTROL!$C$27, 0.0021, 0)</f>
        <v>47.411000000000001</v>
      </c>
      <c r="K185" s="14">
        <f>47.4089 * CHOOSE(CONTROL!$C$9, $D$9, 100%, $F$9) + CHOOSE(CONTROL!$C$27, 0.0021, 0)</f>
        <v>47.411000000000001</v>
      </c>
      <c r="L185" s="14"/>
    </row>
    <row r="186" spans="1:12" ht="15" x14ac:dyDescent="0.2">
      <c r="A186" s="13">
        <v>46569</v>
      </c>
      <c r="B186" s="14">
        <f>48.8513 * CHOOSE(CONTROL!$C$9, $D$9, 100%, $F$9) + CHOOSE(CONTROL!$C$27, 0.0021, 0)</f>
        <v>48.853400000000001</v>
      </c>
      <c r="C186" s="14">
        <f>48.4191 * CHOOSE(CONTROL!$C$9, $D$9, 100%, $F$9) + CHOOSE(CONTROL!$C$27, 0.0021, 0)</f>
        <v>48.421199999999999</v>
      </c>
      <c r="D186" s="14">
        <f>48.4191 * CHOOSE(CONTROL!$C$9, $D$9, 100%, $F$9) + CHOOSE(CONTROL!$C$27, 0.0021, 0)</f>
        <v>48.421199999999999</v>
      </c>
      <c r="E186" s="14">
        <f>48.2824 * CHOOSE(CONTROL!$C$9, $D$9, 100%, $F$9) + CHOOSE(CONTROL!$C$27, 0.0021, 0)</f>
        <v>48.284500000000001</v>
      </c>
      <c r="F186" s="14">
        <f>48.2824 * CHOOSE(CONTROL!$C$9, $D$9, 100%, $F$9) + CHOOSE(CONTROL!$C$27, 0.0021, 0)</f>
        <v>48.284500000000001</v>
      </c>
      <c r="G186" s="14">
        <f>48.5538 * CHOOSE(CONTROL!$C$9, $D$9, 100%, $F$9) + CHOOSE(CONTROL!$C$27, 0.0021, 0)</f>
        <v>48.555900000000001</v>
      </c>
      <c r="H186" s="14">
        <f>48.4191 * CHOOSE(CONTROL!$C$9, $D$9, 100%, $F$9) + CHOOSE(CONTROL!$C$27, 0.0021, 0)</f>
        <v>48.421199999999999</v>
      </c>
      <c r="I186" s="14">
        <f>48.4191 * CHOOSE(CONTROL!$C$9, $D$9, 100%, $F$9) + CHOOSE(CONTROL!$C$27, 0.0021, 0)</f>
        <v>48.421199999999999</v>
      </c>
      <c r="J186" s="14">
        <f>48.4191 * CHOOSE(CONTROL!$C$9, $D$9, 100%, $F$9) + CHOOSE(CONTROL!$C$27, 0.0021, 0)</f>
        <v>48.421199999999999</v>
      </c>
      <c r="K186" s="14">
        <f>48.4191 * CHOOSE(CONTROL!$C$9, $D$9, 100%, $F$9) + CHOOSE(CONTROL!$C$27, 0.0021, 0)</f>
        <v>48.421199999999999</v>
      </c>
      <c r="L186" s="14"/>
    </row>
    <row r="187" spans="1:12" ht="15" x14ac:dyDescent="0.2">
      <c r="A187" s="13">
        <v>46600</v>
      </c>
      <c r="B187" s="14">
        <f>49.2275 * CHOOSE(CONTROL!$C$9, $D$9, 100%, $F$9) + CHOOSE(CONTROL!$C$27, 0.0021, 0)</f>
        <v>49.229599999999998</v>
      </c>
      <c r="C187" s="14">
        <f>48.7952 * CHOOSE(CONTROL!$C$9, $D$9, 100%, $F$9) + CHOOSE(CONTROL!$C$27, 0.0021, 0)</f>
        <v>48.7973</v>
      </c>
      <c r="D187" s="14">
        <f>48.7952 * CHOOSE(CONTROL!$C$9, $D$9, 100%, $F$9) + CHOOSE(CONTROL!$C$27, 0.0021, 0)</f>
        <v>48.7973</v>
      </c>
      <c r="E187" s="14">
        <f>48.6586 * CHOOSE(CONTROL!$C$9, $D$9, 100%, $F$9) + CHOOSE(CONTROL!$C$27, 0.0021, 0)</f>
        <v>48.660699999999999</v>
      </c>
      <c r="F187" s="14">
        <f>48.6586 * CHOOSE(CONTROL!$C$9, $D$9, 100%, $F$9) + CHOOSE(CONTROL!$C$27, 0.0021, 0)</f>
        <v>48.660699999999999</v>
      </c>
      <c r="G187" s="14">
        <f>48.9299 * CHOOSE(CONTROL!$C$9, $D$9, 100%, $F$9) + CHOOSE(CONTROL!$C$27, 0.0021, 0)</f>
        <v>48.932000000000002</v>
      </c>
      <c r="H187" s="14">
        <f>48.7952 * CHOOSE(CONTROL!$C$9, $D$9, 100%, $F$9) + CHOOSE(CONTROL!$C$27, 0.0021, 0)</f>
        <v>48.7973</v>
      </c>
      <c r="I187" s="14">
        <f>48.7952 * CHOOSE(CONTROL!$C$9, $D$9, 100%, $F$9) + CHOOSE(CONTROL!$C$27, 0.0021, 0)</f>
        <v>48.7973</v>
      </c>
      <c r="J187" s="14">
        <f>48.7952 * CHOOSE(CONTROL!$C$9, $D$9, 100%, $F$9) + CHOOSE(CONTROL!$C$27, 0.0021, 0)</f>
        <v>48.7973</v>
      </c>
      <c r="K187" s="14">
        <f>48.7952 * CHOOSE(CONTROL!$C$9, $D$9, 100%, $F$9) + CHOOSE(CONTROL!$C$27, 0.0021, 0)</f>
        <v>48.7973</v>
      </c>
      <c r="L187" s="14"/>
    </row>
    <row r="188" spans="1:12" ht="15" x14ac:dyDescent="0.2">
      <c r="A188" s="13">
        <v>46631</v>
      </c>
      <c r="B188" s="14">
        <f>50.2805 * CHOOSE(CONTROL!$C$9, $D$9, 100%, $F$9) + CHOOSE(CONTROL!$C$27, 0.0021, 0)</f>
        <v>50.282600000000002</v>
      </c>
      <c r="C188" s="14">
        <f>49.8483 * CHOOSE(CONTROL!$C$9, $D$9, 100%, $F$9) + CHOOSE(CONTROL!$C$27, 0.0021, 0)</f>
        <v>49.8504</v>
      </c>
      <c r="D188" s="14">
        <f>49.8483 * CHOOSE(CONTROL!$C$9, $D$9, 100%, $F$9) + CHOOSE(CONTROL!$C$27, 0.0021, 0)</f>
        <v>49.8504</v>
      </c>
      <c r="E188" s="14">
        <f>49.7116 * CHOOSE(CONTROL!$C$9, $D$9, 100%, $F$9) + CHOOSE(CONTROL!$C$27, 0.0021, 0)</f>
        <v>49.713699999999996</v>
      </c>
      <c r="F188" s="14">
        <f>49.7116 * CHOOSE(CONTROL!$C$9, $D$9, 100%, $F$9) + CHOOSE(CONTROL!$C$27, 0.0021, 0)</f>
        <v>49.713699999999996</v>
      </c>
      <c r="G188" s="14">
        <f>49.983 * CHOOSE(CONTROL!$C$9, $D$9, 100%, $F$9) + CHOOSE(CONTROL!$C$27, 0.0021, 0)</f>
        <v>49.985099999999996</v>
      </c>
      <c r="H188" s="14">
        <f>49.8483 * CHOOSE(CONTROL!$C$9, $D$9, 100%, $F$9) + CHOOSE(CONTROL!$C$27, 0.0021, 0)</f>
        <v>49.8504</v>
      </c>
      <c r="I188" s="14">
        <f>49.8483 * CHOOSE(CONTROL!$C$9, $D$9, 100%, $F$9) + CHOOSE(CONTROL!$C$27, 0.0021, 0)</f>
        <v>49.8504</v>
      </c>
      <c r="J188" s="14">
        <f>49.8483 * CHOOSE(CONTROL!$C$9, $D$9, 100%, $F$9) + CHOOSE(CONTROL!$C$27, 0.0021, 0)</f>
        <v>49.8504</v>
      </c>
      <c r="K188" s="14">
        <f>49.8483 * CHOOSE(CONTROL!$C$9, $D$9, 100%, $F$9) + CHOOSE(CONTROL!$C$27, 0.0021, 0)</f>
        <v>49.8504</v>
      </c>
      <c r="L188" s="14"/>
    </row>
    <row r="189" spans="1:12" ht="15" x14ac:dyDescent="0.2">
      <c r="A189" s="13">
        <v>46661</v>
      </c>
      <c r="B189" s="14">
        <f>51.5925 * CHOOSE(CONTROL!$C$9, $D$9, 100%, $F$9) + CHOOSE(CONTROL!$C$27, 0.0021, 0)</f>
        <v>51.5946</v>
      </c>
      <c r="C189" s="14">
        <f>51.1603 * CHOOSE(CONTROL!$C$9, $D$9, 100%, $F$9) + CHOOSE(CONTROL!$C$27, 0.0021, 0)</f>
        <v>51.162399999999998</v>
      </c>
      <c r="D189" s="14">
        <f>51.1603 * CHOOSE(CONTROL!$C$9, $D$9, 100%, $F$9) + CHOOSE(CONTROL!$C$27, 0.0021, 0)</f>
        <v>51.162399999999998</v>
      </c>
      <c r="E189" s="14">
        <f>51.0236 * CHOOSE(CONTROL!$C$9, $D$9, 100%, $F$9) + CHOOSE(CONTROL!$C$27, 0.0021, 0)</f>
        <v>51.025700000000001</v>
      </c>
      <c r="F189" s="14">
        <f>51.0236 * CHOOSE(CONTROL!$C$9, $D$9, 100%, $F$9) + CHOOSE(CONTROL!$C$27, 0.0021, 0)</f>
        <v>51.025700000000001</v>
      </c>
      <c r="G189" s="14">
        <f>51.295 * CHOOSE(CONTROL!$C$9, $D$9, 100%, $F$9) + CHOOSE(CONTROL!$C$27, 0.0021, 0)</f>
        <v>51.2971</v>
      </c>
      <c r="H189" s="14">
        <f>51.1603 * CHOOSE(CONTROL!$C$9, $D$9, 100%, $F$9) + CHOOSE(CONTROL!$C$27, 0.0021, 0)</f>
        <v>51.162399999999998</v>
      </c>
      <c r="I189" s="14">
        <f>51.1603 * CHOOSE(CONTROL!$C$9, $D$9, 100%, $F$9) + CHOOSE(CONTROL!$C$27, 0.0021, 0)</f>
        <v>51.162399999999998</v>
      </c>
      <c r="J189" s="14">
        <f>51.1603 * CHOOSE(CONTROL!$C$9, $D$9, 100%, $F$9) + CHOOSE(CONTROL!$C$27, 0.0021, 0)</f>
        <v>51.162399999999998</v>
      </c>
      <c r="K189" s="14">
        <f>51.1603 * CHOOSE(CONTROL!$C$9, $D$9, 100%, $F$9) + CHOOSE(CONTROL!$C$27, 0.0021, 0)</f>
        <v>51.162399999999998</v>
      </c>
      <c r="L189" s="14"/>
    </row>
    <row r="190" spans="1:12" ht="15" x14ac:dyDescent="0.2">
      <c r="A190" s="13">
        <v>46692</v>
      </c>
      <c r="B190" s="14">
        <f>51.8082 * CHOOSE(CONTROL!$C$9, $D$9, 100%, $F$9) + CHOOSE(CONTROL!$C$27, 0.0021, 0)</f>
        <v>51.810299999999998</v>
      </c>
      <c r="C190" s="14">
        <f>51.3759 * CHOOSE(CONTROL!$C$9, $D$9, 100%, $F$9) + CHOOSE(CONTROL!$C$27, 0.0021, 0)</f>
        <v>51.378</v>
      </c>
      <c r="D190" s="14">
        <f>51.3759 * CHOOSE(CONTROL!$C$9, $D$9, 100%, $F$9) + CHOOSE(CONTROL!$C$27, 0.0021, 0)</f>
        <v>51.378</v>
      </c>
      <c r="E190" s="14">
        <f>51.2393 * CHOOSE(CONTROL!$C$9, $D$9, 100%, $F$9) + CHOOSE(CONTROL!$C$27, 0.0021, 0)</f>
        <v>51.241399999999999</v>
      </c>
      <c r="F190" s="14">
        <f>51.2393 * CHOOSE(CONTROL!$C$9, $D$9, 100%, $F$9) + CHOOSE(CONTROL!$C$27, 0.0021, 0)</f>
        <v>51.241399999999999</v>
      </c>
      <c r="G190" s="14">
        <f>51.5106 * CHOOSE(CONTROL!$C$9, $D$9, 100%, $F$9) + CHOOSE(CONTROL!$C$27, 0.0021, 0)</f>
        <v>51.512699999999995</v>
      </c>
      <c r="H190" s="14">
        <f>51.3759 * CHOOSE(CONTROL!$C$9, $D$9, 100%, $F$9) + CHOOSE(CONTROL!$C$27, 0.0021, 0)</f>
        <v>51.378</v>
      </c>
      <c r="I190" s="14">
        <f>51.3759 * CHOOSE(CONTROL!$C$9, $D$9, 100%, $F$9) + CHOOSE(CONTROL!$C$27, 0.0021, 0)</f>
        <v>51.378</v>
      </c>
      <c r="J190" s="14">
        <f>51.3759 * CHOOSE(CONTROL!$C$9, $D$9, 100%, $F$9) + CHOOSE(CONTROL!$C$27, 0.0021, 0)</f>
        <v>51.378</v>
      </c>
      <c r="K190" s="14">
        <f>51.3759 * CHOOSE(CONTROL!$C$9, $D$9, 100%, $F$9) + CHOOSE(CONTROL!$C$27, 0.0021, 0)</f>
        <v>51.378</v>
      </c>
      <c r="L190" s="14"/>
    </row>
    <row r="191" spans="1:12" ht="15" x14ac:dyDescent="0.2">
      <c r="A191" s="13">
        <v>46722</v>
      </c>
      <c r="B191" s="14">
        <f>50.9373 * CHOOSE(CONTROL!$C$9, $D$9, 100%, $F$9) + CHOOSE(CONTROL!$C$27, 0.0021, 0)</f>
        <v>50.939399999999999</v>
      </c>
      <c r="C191" s="14">
        <f>50.505 * CHOOSE(CONTROL!$C$9, $D$9, 100%, $F$9) + CHOOSE(CONTROL!$C$27, 0.0021, 0)</f>
        <v>50.507100000000001</v>
      </c>
      <c r="D191" s="14">
        <f>50.505 * CHOOSE(CONTROL!$C$9, $D$9, 100%, $F$9) + CHOOSE(CONTROL!$C$27, 0.0021, 0)</f>
        <v>50.507100000000001</v>
      </c>
      <c r="E191" s="14">
        <f>50.3684 * CHOOSE(CONTROL!$C$9, $D$9, 100%, $F$9) + CHOOSE(CONTROL!$C$27, 0.0021, 0)</f>
        <v>50.3705</v>
      </c>
      <c r="F191" s="14">
        <f>50.3684 * CHOOSE(CONTROL!$C$9, $D$9, 100%, $F$9) + CHOOSE(CONTROL!$C$27, 0.0021, 0)</f>
        <v>50.3705</v>
      </c>
      <c r="G191" s="14">
        <f>50.6398 * CHOOSE(CONTROL!$C$9, $D$9, 100%, $F$9) + CHOOSE(CONTROL!$C$27, 0.0021, 0)</f>
        <v>50.6419</v>
      </c>
      <c r="H191" s="14">
        <f>50.505 * CHOOSE(CONTROL!$C$9, $D$9, 100%, $F$9) + CHOOSE(CONTROL!$C$27, 0.0021, 0)</f>
        <v>50.507100000000001</v>
      </c>
      <c r="I191" s="14">
        <f>50.505 * CHOOSE(CONTROL!$C$9, $D$9, 100%, $F$9) + CHOOSE(CONTROL!$C$27, 0.0021, 0)</f>
        <v>50.507100000000001</v>
      </c>
      <c r="J191" s="14">
        <f>50.505 * CHOOSE(CONTROL!$C$9, $D$9, 100%, $F$9) + CHOOSE(CONTROL!$C$27, 0.0021, 0)</f>
        <v>50.507100000000001</v>
      </c>
      <c r="K191" s="14">
        <f>50.505 * CHOOSE(CONTROL!$C$9, $D$9, 100%, $F$9) + CHOOSE(CONTROL!$C$27, 0.0021, 0)</f>
        <v>50.507100000000001</v>
      </c>
      <c r="L191" s="14"/>
    </row>
    <row r="192" spans="1:12" ht="15" x14ac:dyDescent="0.2">
      <c r="A192" s="13">
        <v>46753</v>
      </c>
      <c r="B192" s="14">
        <f>50.3976 * CHOOSE(CONTROL!$C$9, $D$9, 100%, $F$9) + CHOOSE(CONTROL!$C$27, 0.0021, 0)</f>
        <v>50.399699999999996</v>
      </c>
      <c r="C192" s="14">
        <f>49.9653 * CHOOSE(CONTROL!$C$9, $D$9, 100%, $F$9) + CHOOSE(CONTROL!$C$27, 0.0021, 0)</f>
        <v>49.967399999999998</v>
      </c>
      <c r="D192" s="14">
        <f>49.9653 * CHOOSE(CONTROL!$C$9, $D$9, 100%, $F$9) + CHOOSE(CONTROL!$C$27, 0.0021, 0)</f>
        <v>49.967399999999998</v>
      </c>
      <c r="E192" s="14">
        <f>49.8286 * CHOOSE(CONTROL!$C$9, $D$9, 100%, $F$9) + CHOOSE(CONTROL!$C$27, 0.0021, 0)</f>
        <v>49.8307</v>
      </c>
      <c r="F192" s="14">
        <f>49.8286 * CHOOSE(CONTROL!$C$9, $D$9, 100%, $F$9) + CHOOSE(CONTROL!$C$27, 0.0021, 0)</f>
        <v>49.8307</v>
      </c>
      <c r="G192" s="14">
        <f>50.1 * CHOOSE(CONTROL!$C$9, $D$9, 100%, $F$9) + CHOOSE(CONTROL!$C$27, 0.0021, 0)</f>
        <v>50.1021</v>
      </c>
      <c r="H192" s="14">
        <f>49.9653 * CHOOSE(CONTROL!$C$9, $D$9, 100%, $F$9) + CHOOSE(CONTROL!$C$27, 0.0021, 0)</f>
        <v>49.967399999999998</v>
      </c>
      <c r="I192" s="14">
        <f>49.9653 * CHOOSE(CONTROL!$C$9, $D$9, 100%, $F$9) + CHOOSE(CONTROL!$C$27, 0.0021, 0)</f>
        <v>49.967399999999998</v>
      </c>
      <c r="J192" s="14">
        <f>49.9653 * CHOOSE(CONTROL!$C$9, $D$9, 100%, $F$9) + CHOOSE(CONTROL!$C$27, 0.0021, 0)</f>
        <v>49.967399999999998</v>
      </c>
      <c r="K192" s="14">
        <f>49.9653 * CHOOSE(CONTROL!$C$9, $D$9, 100%, $F$9) + CHOOSE(CONTROL!$C$27, 0.0021, 0)</f>
        <v>49.967399999999998</v>
      </c>
      <c r="L192" s="14"/>
    </row>
    <row r="193" spans="1:12" ht="15" x14ac:dyDescent="0.2">
      <c r="A193" s="13">
        <v>46784</v>
      </c>
      <c r="B193" s="14">
        <f>49.1332 * CHOOSE(CONTROL!$C$9, $D$9, 100%, $F$9) + CHOOSE(CONTROL!$C$27, 0.0021, 0)</f>
        <v>49.135300000000001</v>
      </c>
      <c r="C193" s="14">
        <f>48.7009 * CHOOSE(CONTROL!$C$9, $D$9, 100%, $F$9) + CHOOSE(CONTROL!$C$27, 0.0021, 0)</f>
        <v>48.702999999999996</v>
      </c>
      <c r="D193" s="14">
        <f>48.7009 * CHOOSE(CONTROL!$C$9, $D$9, 100%, $F$9) + CHOOSE(CONTROL!$C$27, 0.0021, 0)</f>
        <v>48.702999999999996</v>
      </c>
      <c r="E193" s="14">
        <f>48.5643 * CHOOSE(CONTROL!$C$9, $D$9, 100%, $F$9) + CHOOSE(CONTROL!$C$27, 0.0021, 0)</f>
        <v>48.566400000000002</v>
      </c>
      <c r="F193" s="14">
        <f>48.5643 * CHOOSE(CONTROL!$C$9, $D$9, 100%, $F$9) + CHOOSE(CONTROL!$C$27, 0.0021, 0)</f>
        <v>48.566400000000002</v>
      </c>
      <c r="G193" s="14">
        <f>48.8356 * CHOOSE(CONTROL!$C$9, $D$9, 100%, $F$9) + CHOOSE(CONTROL!$C$27, 0.0021, 0)</f>
        <v>48.837699999999998</v>
      </c>
      <c r="H193" s="14">
        <f>48.7009 * CHOOSE(CONTROL!$C$9, $D$9, 100%, $F$9) + CHOOSE(CONTROL!$C$27, 0.0021, 0)</f>
        <v>48.702999999999996</v>
      </c>
      <c r="I193" s="14">
        <f>48.7009 * CHOOSE(CONTROL!$C$9, $D$9, 100%, $F$9) + CHOOSE(CONTROL!$C$27, 0.0021, 0)</f>
        <v>48.702999999999996</v>
      </c>
      <c r="J193" s="14">
        <f>48.7009 * CHOOSE(CONTROL!$C$9, $D$9, 100%, $F$9) + CHOOSE(CONTROL!$C$27, 0.0021, 0)</f>
        <v>48.702999999999996</v>
      </c>
      <c r="K193" s="14">
        <f>48.7009 * CHOOSE(CONTROL!$C$9, $D$9, 100%, $F$9) + CHOOSE(CONTROL!$C$27, 0.0021, 0)</f>
        <v>48.702999999999996</v>
      </c>
      <c r="L193" s="14"/>
    </row>
    <row r="194" spans="1:12" ht="15" x14ac:dyDescent="0.2">
      <c r="A194" s="13">
        <v>46813</v>
      </c>
      <c r="B194" s="14">
        <f>48.6656 * CHOOSE(CONTROL!$C$9, $D$9, 100%, $F$9) + CHOOSE(CONTROL!$C$27, 0.0021, 0)</f>
        <v>48.667699999999996</v>
      </c>
      <c r="C194" s="14">
        <f>48.2334 * CHOOSE(CONTROL!$C$9, $D$9, 100%, $F$9) + CHOOSE(CONTROL!$C$27, 0.0021, 0)</f>
        <v>48.235500000000002</v>
      </c>
      <c r="D194" s="14">
        <f>48.2334 * CHOOSE(CONTROL!$C$9, $D$9, 100%, $F$9) + CHOOSE(CONTROL!$C$27, 0.0021, 0)</f>
        <v>48.235500000000002</v>
      </c>
      <c r="E194" s="14">
        <f>48.0967 * CHOOSE(CONTROL!$C$9, $D$9, 100%, $F$9) + CHOOSE(CONTROL!$C$27, 0.0021, 0)</f>
        <v>48.098799999999997</v>
      </c>
      <c r="F194" s="14">
        <f>48.0967 * CHOOSE(CONTROL!$C$9, $D$9, 100%, $F$9) + CHOOSE(CONTROL!$C$27, 0.0021, 0)</f>
        <v>48.098799999999997</v>
      </c>
      <c r="G194" s="14">
        <f>48.3681 * CHOOSE(CONTROL!$C$9, $D$9, 100%, $F$9) + CHOOSE(CONTROL!$C$27, 0.0021, 0)</f>
        <v>48.370199999999997</v>
      </c>
      <c r="H194" s="14">
        <f>48.2334 * CHOOSE(CONTROL!$C$9, $D$9, 100%, $F$9) + CHOOSE(CONTROL!$C$27, 0.0021, 0)</f>
        <v>48.235500000000002</v>
      </c>
      <c r="I194" s="14">
        <f>48.2334 * CHOOSE(CONTROL!$C$9, $D$9, 100%, $F$9) + CHOOSE(CONTROL!$C$27, 0.0021, 0)</f>
        <v>48.235500000000002</v>
      </c>
      <c r="J194" s="14">
        <f>48.2334 * CHOOSE(CONTROL!$C$9, $D$9, 100%, $F$9) + CHOOSE(CONTROL!$C$27, 0.0021, 0)</f>
        <v>48.235500000000002</v>
      </c>
      <c r="K194" s="14">
        <f>48.2334 * CHOOSE(CONTROL!$C$9, $D$9, 100%, $F$9) + CHOOSE(CONTROL!$C$27, 0.0021, 0)</f>
        <v>48.235500000000002</v>
      </c>
      <c r="L194" s="14"/>
    </row>
    <row r="195" spans="1:12" ht="15" x14ac:dyDescent="0.2">
      <c r="A195" s="13">
        <v>46844</v>
      </c>
      <c r="B195" s="14">
        <f>48.0864 * CHOOSE(CONTROL!$C$9, $D$9, 100%, $F$9) + CHOOSE(CONTROL!$C$27, 0.0021, 0)</f>
        <v>48.088499999999996</v>
      </c>
      <c r="C195" s="14">
        <f>47.6541 * CHOOSE(CONTROL!$C$9, $D$9, 100%, $F$9) + CHOOSE(CONTROL!$C$27, 0.0021, 0)</f>
        <v>47.656199999999998</v>
      </c>
      <c r="D195" s="14">
        <f>47.6541 * CHOOSE(CONTROL!$C$9, $D$9, 100%, $F$9) + CHOOSE(CONTROL!$C$27, 0.0021, 0)</f>
        <v>47.656199999999998</v>
      </c>
      <c r="E195" s="14">
        <f>47.5174 * CHOOSE(CONTROL!$C$9, $D$9, 100%, $F$9) + CHOOSE(CONTROL!$C$27, 0.0021, 0)</f>
        <v>47.519500000000001</v>
      </c>
      <c r="F195" s="14">
        <f>47.5174 * CHOOSE(CONTROL!$C$9, $D$9, 100%, $F$9) + CHOOSE(CONTROL!$C$27, 0.0021, 0)</f>
        <v>47.519500000000001</v>
      </c>
      <c r="G195" s="14">
        <f>47.7888 * CHOOSE(CONTROL!$C$9, $D$9, 100%, $F$9) + CHOOSE(CONTROL!$C$27, 0.0021, 0)</f>
        <v>47.790900000000001</v>
      </c>
      <c r="H195" s="14">
        <f>47.6541 * CHOOSE(CONTROL!$C$9, $D$9, 100%, $F$9) + CHOOSE(CONTROL!$C$27, 0.0021, 0)</f>
        <v>47.656199999999998</v>
      </c>
      <c r="I195" s="14">
        <f>47.6541 * CHOOSE(CONTROL!$C$9, $D$9, 100%, $F$9) + CHOOSE(CONTROL!$C$27, 0.0021, 0)</f>
        <v>47.656199999999998</v>
      </c>
      <c r="J195" s="14">
        <f>47.6541 * CHOOSE(CONTROL!$C$9, $D$9, 100%, $F$9) + CHOOSE(CONTROL!$C$27, 0.0021, 0)</f>
        <v>47.656199999999998</v>
      </c>
      <c r="K195" s="14">
        <f>47.6541 * CHOOSE(CONTROL!$C$9, $D$9, 100%, $F$9) + CHOOSE(CONTROL!$C$27, 0.0021, 0)</f>
        <v>47.656199999999998</v>
      </c>
      <c r="L195" s="14"/>
    </row>
    <row r="196" spans="1:12" ht="15" x14ac:dyDescent="0.2">
      <c r="A196" s="13">
        <v>46874</v>
      </c>
      <c r="B196" s="14">
        <f>49.1444 * CHOOSE(CONTROL!$C$9, $D$9, 100%, $F$9) + CHOOSE(CONTROL!$C$27, 0.0021, 0)</f>
        <v>49.146499999999996</v>
      </c>
      <c r="C196" s="14">
        <f>48.7121 * CHOOSE(CONTROL!$C$9, $D$9, 100%, $F$9) + CHOOSE(CONTROL!$C$27, 0.0021, 0)</f>
        <v>48.714199999999998</v>
      </c>
      <c r="D196" s="14">
        <f>48.7121 * CHOOSE(CONTROL!$C$9, $D$9, 100%, $F$9) + CHOOSE(CONTROL!$C$27, 0.0021, 0)</f>
        <v>48.714199999999998</v>
      </c>
      <c r="E196" s="14">
        <f>48.5754 * CHOOSE(CONTROL!$C$9, $D$9, 100%, $F$9) + CHOOSE(CONTROL!$C$27, 0.0021, 0)</f>
        <v>48.577500000000001</v>
      </c>
      <c r="F196" s="14">
        <f>48.5754 * CHOOSE(CONTROL!$C$9, $D$9, 100%, $F$9) + CHOOSE(CONTROL!$C$27, 0.0021, 0)</f>
        <v>48.577500000000001</v>
      </c>
      <c r="G196" s="14">
        <f>48.8468 * CHOOSE(CONTROL!$C$9, $D$9, 100%, $F$9) + CHOOSE(CONTROL!$C$27, 0.0021, 0)</f>
        <v>48.8489</v>
      </c>
      <c r="H196" s="14">
        <f>48.7121 * CHOOSE(CONTROL!$C$9, $D$9, 100%, $F$9) + CHOOSE(CONTROL!$C$27, 0.0021, 0)</f>
        <v>48.714199999999998</v>
      </c>
      <c r="I196" s="14">
        <f>48.7121 * CHOOSE(CONTROL!$C$9, $D$9, 100%, $F$9) + CHOOSE(CONTROL!$C$27, 0.0021, 0)</f>
        <v>48.714199999999998</v>
      </c>
      <c r="J196" s="14">
        <f>48.7121 * CHOOSE(CONTROL!$C$9, $D$9, 100%, $F$9) + CHOOSE(CONTROL!$C$27, 0.0021, 0)</f>
        <v>48.714199999999998</v>
      </c>
      <c r="K196" s="14">
        <f>48.7121 * CHOOSE(CONTROL!$C$9, $D$9, 100%, $F$9) + CHOOSE(CONTROL!$C$27, 0.0021, 0)</f>
        <v>48.714199999999998</v>
      </c>
      <c r="L196" s="14"/>
    </row>
    <row r="197" spans="1:12" ht="15" x14ac:dyDescent="0.2">
      <c r="A197" s="13">
        <v>46905</v>
      </c>
      <c r="B197" s="14">
        <f>49.8193 * CHOOSE(CONTROL!$C$9, $D$9, 100%, $F$9) + CHOOSE(CONTROL!$C$27, 0.0021, 0)</f>
        <v>49.821399999999997</v>
      </c>
      <c r="C197" s="14">
        <f>49.387 * CHOOSE(CONTROL!$C$9, $D$9, 100%, $F$9) + CHOOSE(CONTROL!$C$27, 0.0021, 0)</f>
        <v>49.389099999999999</v>
      </c>
      <c r="D197" s="14">
        <f>49.387 * CHOOSE(CONTROL!$C$9, $D$9, 100%, $F$9) + CHOOSE(CONTROL!$C$27, 0.0021, 0)</f>
        <v>49.389099999999999</v>
      </c>
      <c r="E197" s="14">
        <f>49.2503 * CHOOSE(CONTROL!$C$9, $D$9, 100%, $F$9) + CHOOSE(CONTROL!$C$27, 0.0021, 0)</f>
        <v>49.252400000000002</v>
      </c>
      <c r="F197" s="14">
        <f>49.2503 * CHOOSE(CONTROL!$C$9, $D$9, 100%, $F$9) + CHOOSE(CONTROL!$C$27, 0.0021, 0)</f>
        <v>49.252400000000002</v>
      </c>
      <c r="G197" s="14">
        <f>49.5217 * CHOOSE(CONTROL!$C$9, $D$9, 100%, $F$9) + CHOOSE(CONTROL!$C$27, 0.0021, 0)</f>
        <v>49.523800000000001</v>
      </c>
      <c r="H197" s="14">
        <f>49.387 * CHOOSE(CONTROL!$C$9, $D$9, 100%, $F$9) + CHOOSE(CONTROL!$C$27, 0.0021, 0)</f>
        <v>49.389099999999999</v>
      </c>
      <c r="I197" s="14">
        <f>49.387 * CHOOSE(CONTROL!$C$9, $D$9, 100%, $F$9) + CHOOSE(CONTROL!$C$27, 0.0021, 0)</f>
        <v>49.389099999999999</v>
      </c>
      <c r="J197" s="14">
        <f>49.387 * CHOOSE(CONTROL!$C$9, $D$9, 100%, $F$9) + CHOOSE(CONTROL!$C$27, 0.0021, 0)</f>
        <v>49.389099999999999</v>
      </c>
      <c r="K197" s="14">
        <f>49.387 * CHOOSE(CONTROL!$C$9, $D$9, 100%, $F$9) + CHOOSE(CONTROL!$C$27, 0.0021, 0)</f>
        <v>49.389099999999999</v>
      </c>
      <c r="L197" s="14"/>
    </row>
    <row r="198" spans="1:12" ht="15" x14ac:dyDescent="0.2">
      <c r="A198" s="13">
        <v>46935</v>
      </c>
      <c r="B198" s="14">
        <f>50.8733 * CHOOSE(CONTROL!$C$9, $D$9, 100%, $F$9) + CHOOSE(CONTROL!$C$27, 0.0021, 0)</f>
        <v>50.875399999999999</v>
      </c>
      <c r="C198" s="14">
        <f>50.441 * CHOOSE(CONTROL!$C$9, $D$9, 100%, $F$9) + CHOOSE(CONTROL!$C$27, 0.0021, 0)</f>
        <v>50.443100000000001</v>
      </c>
      <c r="D198" s="14">
        <f>50.441 * CHOOSE(CONTROL!$C$9, $D$9, 100%, $F$9) + CHOOSE(CONTROL!$C$27, 0.0021, 0)</f>
        <v>50.443100000000001</v>
      </c>
      <c r="E198" s="14">
        <f>50.3043 * CHOOSE(CONTROL!$C$9, $D$9, 100%, $F$9) + CHOOSE(CONTROL!$C$27, 0.0021, 0)</f>
        <v>50.306399999999996</v>
      </c>
      <c r="F198" s="14">
        <f>50.3043 * CHOOSE(CONTROL!$C$9, $D$9, 100%, $F$9) + CHOOSE(CONTROL!$C$27, 0.0021, 0)</f>
        <v>50.306399999999996</v>
      </c>
      <c r="G198" s="14">
        <f>50.5757 * CHOOSE(CONTROL!$C$9, $D$9, 100%, $F$9) + CHOOSE(CONTROL!$C$27, 0.0021, 0)</f>
        <v>50.577799999999996</v>
      </c>
      <c r="H198" s="14">
        <f>50.441 * CHOOSE(CONTROL!$C$9, $D$9, 100%, $F$9) + CHOOSE(CONTROL!$C$27, 0.0021, 0)</f>
        <v>50.443100000000001</v>
      </c>
      <c r="I198" s="14">
        <f>50.441 * CHOOSE(CONTROL!$C$9, $D$9, 100%, $F$9) + CHOOSE(CONTROL!$C$27, 0.0021, 0)</f>
        <v>50.443100000000001</v>
      </c>
      <c r="J198" s="14">
        <f>50.441 * CHOOSE(CONTROL!$C$9, $D$9, 100%, $F$9) + CHOOSE(CONTROL!$C$27, 0.0021, 0)</f>
        <v>50.443100000000001</v>
      </c>
      <c r="K198" s="14">
        <f>50.441 * CHOOSE(CONTROL!$C$9, $D$9, 100%, $F$9) + CHOOSE(CONTROL!$C$27, 0.0021, 0)</f>
        <v>50.443100000000001</v>
      </c>
      <c r="L198" s="14"/>
    </row>
    <row r="199" spans="1:12" ht="15" x14ac:dyDescent="0.2">
      <c r="A199" s="13">
        <v>46966</v>
      </c>
      <c r="B199" s="14">
        <f>51.2658 * CHOOSE(CONTROL!$C$9, $D$9, 100%, $F$9) + CHOOSE(CONTROL!$C$27, 0.0021, 0)</f>
        <v>51.267899999999997</v>
      </c>
      <c r="C199" s="14">
        <f>50.8335 * CHOOSE(CONTROL!$C$9, $D$9, 100%, $F$9) + CHOOSE(CONTROL!$C$27, 0.0021, 0)</f>
        <v>50.835599999999999</v>
      </c>
      <c r="D199" s="14">
        <f>50.8335 * CHOOSE(CONTROL!$C$9, $D$9, 100%, $F$9) + CHOOSE(CONTROL!$C$27, 0.0021, 0)</f>
        <v>50.835599999999999</v>
      </c>
      <c r="E199" s="14">
        <f>50.6968 * CHOOSE(CONTROL!$C$9, $D$9, 100%, $F$9) + CHOOSE(CONTROL!$C$27, 0.0021, 0)</f>
        <v>50.698900000000002</v>
      </c>
      <c r="F199" s="14">
        <f>50.6968 * CHOOSE(CONTROL!$C$9, $D$9, 100%, $F$9) + CHOOSE(CONTROL!$C$27, 0.0021, 0)</f>
        <v>50.698900000000002</v>
      </c>
      <c r="G199" s="14">
        <f>50.9682 * CHOOSE(CONTROL!$C$9, $D$9, 100%, $F$9) + CHOOSE(CONTROL!$C$27, 0.0021, 0)</f>
        <v>50.970300000000002</v>
      </c>
      <c r="H199" s="14">
        <f>50.8335 * CHOOSE(CONTROL!$C$9, $D$9, 100%, $F$9) + CHOOSE(CONTROL!$C$27, 0.0021, 0)</f>
        <v>50.835599999999999</v>
      </c>
      <c r="I199" s="14">
        <f>50.8335 * CHOOSE(CONTROL!$C$9, $D$9, 100%, $F$9) + CHOOSE(CONTROL!$C$27, 0.0021, 0)</f>
        <v>50.835599999999999</v>
      </c>
      <c r="J199" s="14">
        <f>50.8335 * CHOOSE(CONTROL!$C$9, $D$9, 100%, $F$9) + CHOOSE(CONTROL!$C$27, 0.0021, 0)</f>
        <v>50.835599999999999</v>
      </c>
      <c r="K199" s="14">
        <f>50.8335 * CHOOSE(CONTROL!$C$9, $D$9, 100%, $F$9) + CHOOSE(CONTROL!$C$27, 0.0021, 0)</f>
        <v>50.835599999999999</v>
      </c>
      <c r="L199" s="14"/>
    </row>
    <row r="200" spans="1:12" ht="15" x14ac:dyDescent="0.2">
      <c r="A200" s="13">
        <v>46997</v>
      </c>
      <c r="B200" s="14">
        <f>52.3646 * CHOOSE(CONTROL!$C$9, $D$9, 100%, $F$9) + CHOOSE(CONTROL!$C$27, 0.0021, 0)</f>
        <v>52.366700000000002</v>
      </c>
      <c r="C200" s="14">
        <f>51.9323 * CHOOSE(CONTROL!$C$9, $D$9, 100%, $F$9) + CHOOSE(CONTROL!$C$27, 0.0021, 0)</f>
        <v>51.934399999999997</v>
      </c>
      <c r="D200" s="14">
        <f>51.9323 * CHOOSE(CONTROL!$C$9, $D$9, 100%, $F$9) + CHOOSE(CONTROL!$C$27, 0.0021, 0)</f>
        <v>51.934399999999997</v>
      </c>
      <c r="E200" s="14">
        <f>51.7956 * CHOOSE(CONTROL!$C$9, $D$9, 100%, $F$9) + CHOOSE(CONTROL!$C$27, 0.0021, 0)</f>
        <v>51.797699999999999</v>
      </c>
      <c r="F200" s="14">
        <f>51.7956 * CHOOSE(CONTROL!$C$9, $D$9, 100%, $F$9) + CHOOSE(CONTROL!$C$27, 0.0021, 0)</f>
        <v>51.797699999999999</v>
      </c>
      <c r="G200" s="14">
        <f>52.067 * CHOOSE(CONTROL!$C$9, $D$9, 100%, $F$9) + CHOOSE(CONTROL!$C$27, 0.0021, 0)</f>
        <v>52.069099999999999</v>
      </c>
      <c r="H200" s="14">
        <f>51.9323 * CHOOSE(CONTROL!$C$9, $D$9, 100%, $F$9) + CHOOSE(CONTROL!$C$27, 0.0021, 0)</f>
        <v>51.934399999999997</v>
      </c>
      <c r="I200" s="14">
        <f>51.9323 * CHOOSE(CONTROL!$C$9, $D$9, 100%, $F$9) + CHOOSE(CONTROL!$C$27, 0.0021, 0)</f>
        <v>51.934399999999997</v>
      </c>
      <c r="J200" s="14">
        <f>51.9323 * CHOOSE(CONTROL!$C$9, $D$9, 100%, $F$9) + CHOOSE(CONTROL!$C$27, 0.0021, 0)</f>
        <v>51.934399999999997</v>
      </c>
      <c r="K200" s="14">
        <f>51.9323 * CHOOSE(CONTROL!$C$9, $D$9, 100%, $F$9) + CHOOSE(CONTROL!$C$27, 0.0021, 0)</f>
        <v>51.934399999999997</v>
      </c>
      <c r="L200" s="14"/>
    </row>
    <row r="201" spans="1:12" ht="15" x14ac:dyDescent="0.2">
      <c r="A201" s="13">
        <v>47027</v>
      </c>
      <c r="B201" s="14">
        <f>53.7335 * CHOOSE(CONTROL!$C$9, $D$9, 100%, $F$9) + CHOOSE(CONTROL!$C$27, 0.0021, 0)</f>
        <v>53.735599999999998</v>
      </c>
      <c r="C201" s="14">
        <f>53.3012 * CHOOSE(CONTROL!$C$9, $D$9, 100%, $F$9) + CHOOSE(CONTROL!$C$27, 0.0021, 0)</f>
        <v>53.3033</v>
      </c>
      <c r="D201" s="14">
        <f>53.3012 * CHOOSE(CONTROL!$C$9, $D$9, 100%, $F$9) + CHOOSE(CONTROL!$C$27, 0.0021, 0)</f>
        <v>53.3033</v>
      </c>
      <c r="E201" s="14">
        <f>53.1646 * CHOOSE(CONTROL!$C$9, $D$9, 100%, $F$9) + CHOOSE(CONTROL!$C$27, 0.0021, 0)</f>
        <v>53.166699999999999</v>
      </c>
      <c r="F201" s="14">
        <f>53.1646 * CHOOSE(CONTROL!$C$9, $D$9, 100%, $F$9) + CHOOSE(CONTROL!$C$27, 0.0021, 0)</f>
        <v>53.166699999999999</v>
      </c>
      <c r="G201" s="14">
        <f>53.436 * CHOOSE(CONTROL!$C$9, $D$9, 100%, $F$9) + CHOOSE(CONTROL!$C$27, 0.0021, 0)</f>
        <v>53.438099999999999</v>
      </c>
      <c r="H201" s="14">
        <f>53.3012 * CHOOSE(CONTROL!$C$9, $D$9, 100%, $F$9) + CHOOSE(CONTROL!$C$27, 0.0021, 0)</f>
        <v>53.3033</v>
      </c>
      <c r="I201" s="14">
        <f>53.3012 * CHOOSE(CONTROL!$C$9, $D$9, 100%, $F$9) + CHOOSE(CONTROL!$C$27, 0.0021, 0)</f>
        <v>53.3033</v>
      </c>
      <c r="J201" s="14">
        <f>53.3012 * CHOOSE(CONTROL!$C$9, $D$9, 100%, $F$9) + CHOOSE(CONTROL!$C$27, 0.0021, 0)</f>
        <v>53.3033</v>
      </c>
      <c r="K201" s="14">
        <f>53.3012 * CHOOSE(CONTROL!$C$9, $D$9, 100%, $F$9) + CHOOSE(CONTROL!$C$27, 0.0021, 0)</f>
        <v>53.3033</v>
      </c>
      <c r="L201" s="14"/>
    </row>
    <row r="202" spans="1:12" ht="15" x14ac:dyDescent="0.2">
      <c r="A202" s="13">
        <v>47058</v>
      </c>
      <c r="B202" s="14">
        <f>53.9585 * CHOOSE(CONTROL!$C$9, $D$9, 100%, $F$9) + CHOOSE(CONTROL!$C$27, 0.0021, 0)</f>
        <v>53.960599999999999</v>
      </c>
      <c r="C202" s="14">
        <f>53.5263 * CHOOSE(CONTROL!$C$9, $D$9, 100%, $F$9) + CHOOSE(CONTROL!$C$27, 0.0021, 0)</f>
        <v>53.528399999999998</v>
      </c>
      <c r="D202" s="14">
        <f>53.5263 * CHOOSE(CONTROL!$C$9, $D$9, 100%, $F$9) + CHOOSE(CONTROL!$C$27, 0.0021, 0)</f>
        <v>53.528399999999998</v>
      </c>
      <c r="E202" s="14">
        <f>53.3896 * CHOOSE(CONTROL!$C$9, $D$9, 100%, $F$9) + CHOOSE(CONTROL!$C$27, 0.0021, 0)</f>
        <v>53.3917</v>
      </c>
      <c r="F202" s="14">
        <f>53.3896 * CHOOSE(CONTROL!$C$9, $D$9, 100%, $F$9) + CHOOSE(CONTROL!$C$27, 0.0021, 0)</f>
        <v>53.3917</v>
      </c>
      <c r="G202" s="14">
        <f>53.661 * CHOOSE(CONTROL!$C$9, $D$9, 100%, $F$9) + CHOOSE(CONTROL!$C$27, 0.0021, 0)</f>
        <v>53.6631</v>
      </c>
      <c r="H202" s="14">
        <f>53.5263 * CHOOSE(CONTROL!$C$9, $D$9, 100%, $F$9) + CHOOSE(CONTROL!$C$27, 0.0021, 0)</f>
        <v>53.528399999999998</v>
      </c>
      <c r="I202" s="14">
        <f>53.5263 * CHOOSE(CONTROL!$C$9, $D$9, 100%, $F$9) + CHOOSE(CONTROL!$C$27, 0.0021, 0)</f>
        <v>53.528399999999998</v>
      </c>
      <c r="J202" s="14">
        <f>53.5263 * CHOOSE(CONTROL!$C$9, $D$9, 100%, $F$9) + CHOOSE(CONTROL!$C$27, 0.0021, 0)</f>
        <v>53.528399999999998</v>
      </c>
      <c r="K202" s="14">
        <f>53.5263 * CHOOSE(CONTROL!$C$9, $D$9, 100%, $F$9) + CHOOSE(CONTROL!$C$27, 0.0021, 0)</f>
        <v>53.528399999999998</v>
      </c>
      <c r="L202" s="14"/>
    </row>
    <row r="203" spans="1:12" ht="15" x14ac:dyDescent="0.2">
      <c r="A203" s="13">
        <v>47088</v>
      </c>
      <c r="B203" s="14">
        <f>53.0498 * CHOOSE(CONTROL!$C$9, $D$9, 100%, $F$9) + CHOOSE(CONTROL!$C$27, 0.0021, 0)</f>
        <v>53.051899999999996</v>
      </c>
      <c r="C203" s="14">
        <f>52.6176 * CHOOSE(CONTROL!$C$9, $D$9, 100%, $F$9) + CHOOSE(CONTROL!$C$27, 0.0021, 0)</f>
        <v>52.619700000000002</v>
      </c>
      <c r="D203" s="14">
        <f>52.6176 * CHOOSE(CONTROL!$C$9, $D$9, 100%, $F$9) + CHOOSE(CONTROL!$C$27, 0.0021, 0)</f>
        <v>52.619700000000002</v>
      </c>
      <c r="E203" s="14">
        <f>52.4809 * CHOOSE(CONTROL!$C$9, $D$9, 100%, $F$9) + CHOOSE(CONTROL!$C$27, 0.0021, 0)</f>
        <v>52.482999999999997</v>
      </c>
      <c r="F203" s="14">
        <f>52.4809 * CHOOSE(CONTROL!$C$9, $D$9, 100%, $F$9) + CHOOSE(CONTROL!$C$27, 0.0021, 0)</f>
        <v>52.482999999999997</v>
      </c>
      <c r="G203" s="14">
        <f>52.7523 * CHOOSE(CONTROL!$C$9, $D$9, 100%, $F$9) + CHOOSE(CONTROL!$C$27, 0.0021, 0)</f>
        <v>52.754399999999997</v>
      </c>
      <c r="H203" s="14">
        <f>52.6176 * CHOOSE(CONTROL!$C$9, $D$9, 100%, $F$9) + CHOOSE(CONTROL!$C$27, 0.0021, 0)</f>
        <v>52.619700000000002</v>
      </c>
      <c r="I203" s="14">
        <f>52.6176 * CHOOSE(CONTROL!$C$9, $D$9, 100%, $F$9) + CHOOSE(CONTROL!$C$27, 0.0021, 0)</f>
        <v>52.619700000000002</v>
      </c>
      <c r="J203" s="14">
        <f>52.6176 * CHOOSE(CONTROL!$C$9, $D$9, 100%, $F$9) + CHOOSE(CONTROL!$C$27, 0.0021, 0)</f>
        <v>52.619700000000002</v>
      </c>
      <c r="K203" s="14">
        <f>52.6176 * CHOOSE(CONTROL!$C$9, $D$9, 100%, $F$9) + CHOOSE(CONTROL!$C$27, 0.0021, 0)</f>
        <v>52.619700000000002</v>
      </c>
      <c r="L203" s="14"/>
    </row>
    <row r="204" spans="1:12" ht="15" x14ac:dyDescent="0.2">
      <c r="A204" s="13">
        <v>47119</v>
      </c>
      <c r="B204" s="14">
        <f>52.5138 * CHOOSE(CONTROL!$C$9, $D$9, 100%, $F$9) + CHOOSE(CONTROL!$C$27, 0.0021, 0)</f>
        <v>52.515900000000002</v>
      </c>
      <c r="C204" s="14">
        <f>52.0816 * CHOOSE(CONTROL!$C$9, $D$9, 100%, $F$9) + CHOOSE(CONTROL!$C$27, 0.0021, 0)</f>
        <v>52.0837</v>
      </c>
      <c r="D204" s="14">
        <f>52.0816 * CHOOSE(CONTROL!$C$9, $D$9, 100%, $F$9) + CHOOSE(CONTROL!$C$27, 0.0021, 0)</f>
        <v>52.0837</v>
      </c>
      <c r="E204" s="14">
        <f>51.9449 * CHOOSE(CONTROL!$C$9, $D$9, 100%, $F$9) + CHOOSE(CONTROL!$C$27, 0.0021, 0)</f>
        <v>51.946999999999996</v>
      </c>
      <c r="F204" s="14">
        <f>51.9449 * CHOOSE(CONTROL!$C$9, $D$9, 100%, $F$9) + CHOOSE(CONTROL!$C$27, 0.0021, 0)</f>
        <v>51.946999999999996</v>
      </c>
      <c r="G204" s="14">
        <f>52.2163 * CHOOSE(CONTROL!$C$9, $D$9, 100%, $F$9) + CHOOSE(CONTROL!$C$27, 0.0021, 0)</f>
        <v>52.218399999999995</v>
      </c>
      <c r="H204" s="14">
        <f>52.0816 * CHOOSE(CONTROL!$C$9, $D$9, 100%, $F$9) + CHOOSE(CONTROL!$C$27, 0.0021, 0)</f>
        <v>52.0837</v>
      </c>
      <c r="I204" s="14">
        <f>52.0816 * CHOOSE(CONTROL!$C$9, $D$9, 100%, $F$9) + CHOOSE(CONTROL!$C$27, 0.0021, 0)</f>
        <v>52.0837</v>
      </c>
      <c r="J204" s="14">
        <f>52.0816 * CHOOSE(CONTROL!$C$9, $D$9, 100%, $F$9) + CHOOSE(CONTROL!$C$27, 0.0021, 0)</f>
        <v>52.0837</v>
      </c>
      <c r="K204" s="14">
        <f>52.0816 * CHOOSE(CONTROL!$C$9, $D$9, 100%, $F$9) + CHOOSE(CONTROL!$C$27, 0.0021, 0)</f>
        <v>52.0837</v>
      </c>
      <c r="L204" s="14"/>
    </row>
    <row r="205" spans="1:12" ht="15" x14ac:dyDescent="0.2">
      <c r="A205" s="13">
        <v>47150</v>
      </c>
      <c r="B205" s="14">
        <f>51.1938 * CHOOSE(CONTROL!$C$9, $D$9, 100%, $F$9) + CHOOSE(CONTROL!$C$27, 0.0021, 0)</f>
        <v>51.195900000000002</v>
      </c>
      <c r="C205" s="14">
        <f>50.7616 * CHOOSE(CONTROL!$C$9, $D$9, 100%, $F$9) + CHOOSE(CONTROL!$C$27, 0.0021, 0)</f>
        <v>50.7637</v>
      </c>
      <c r="D205" s="14">
        <f>50.7616 * CHOOSE(CONTROL!$C$9, $D$9, 100%, $F$9) + CHOOSE(CONTROL!$C$27, 0.0021, 0)</f>
        <v>50.7637</v>
      </c>
      <c r="E205" s="14">
        <f>50.6249 * CHOOSE(CONTROL!$C$9, $D$9, 100%, $F$9) + CHOOSE(CONTROL!$C$27, 0.0021, 0)</f>
        <v>50.626999999999995</v>
      </c>
      <c r="F205" s="14">
        <f>50.6249 * CHOOSE(CONTROL!$C$9, $D$9, 100%, $F$9) + CHOOSE(CONTROL!$C$27, 0.0021, 0)</f>
        <v>50.626999999999995</v>
      </c>
      <c r="G205" s="14">
        <f>50.8963 * CHOOSE(CONTROL!$C$9, $D$9, 100%, $F$9) + CHOOSE(CONTROL!$C$27, 0.0021, 0)</f>
        <v>50.898399999999995</v>
      </c>
      <c r="H205" s="14">
        <f>50.7616 * CHOOSE(CONTROL!$C$9, $D$9, 100%, $F$9) + CHOOSE(CONTROL!$C$27, 0.0021, 0)</f>
        <v>50.7637</v>
      </c>
      <c r="I205" s="14">
        <f>50.7616 * CHOOSE(CONTROL!$C$9, $D$9, 100%, $F$9) + CHOOSE(CONTROL!$C$27, 0.0021, 0)</f>
        <v>50.7637</v>
      </c>
      <c r="J205" s="14">
        <f>50.7616 * CHOOSE(CONTROL!$C$9, $D$9, 100%, $F$9) + CHOOSE(CONTROL!$C$27, 0.0021, 0)</f>
        <v>50.7637</v>
      </c>
      <c r="K205" s="14">
        <f>50.7616 * CHOOSE(CONTROL!$C$9, $D$9, 100%, $F$9) + CHOOSE(CONTROL!$C$27, 0.0021, 0)</f>
        <v>50.7637</v>
      </c>
      <c r="L205" s="14"/>
    </row>
    <row r="206" spans="1:12" ht="15" x14ac:dyDescent="0.2">
      <c r="A206" s="13">
        <v>47178</v>
      </c>
      <c r="B206" s="14">
        <f>50.7057 * CHOOSE(CONTROL!$C$9, $D$9, 100%, $F$9) + CHOOSE(CONTROL!$C$27, 0.0021, 0)</f>
        <v>50.707799999999999</v>
      </c>
      <c r="C206" s="14">
        <f>50.2735 * CHOOSE(CONTROL!$C$9, $D$9, 100%, $F$9) + CHOOSE(CONTROL!$C$27, 0.0021, 0)</f>
        <v>50.275599999999997</v>
      </c>
      <c r="D206" s="14">
        <f>50.2735 * CHOOSE(CONTROL!$C$9, $D$9, 100%, $F$9) + CHOOSE(CONTROL!$C$27, 0.0021, 0)</f>
        <v>50.275599999999997</v>
      </c>
      <c r="E206" s="14">
        <f>50.1368 * CHOOSE(CONTROL!$C$9, $D$9, 100%, $F$9) + CHOOSE(CONTROL!$C$27, 0.0021, 0)</f>
        <v>50.1389</v>
      </c>
      <c r="F206" s="14">
        <f>50.1368 * CHOOSE(CONTROL!$C$9, $D$9, 100%, $F$9) + CHOOSE(CONTROL!$C$27, 0.0021, 0)</f>
        <v>50.1389</v>
      </c>
      <c r="G206" s="14">
        <f>50.4082 * CHOOSE(CONTROL!$C$9, $D$9, 100%, $F$9) + CHOOSE(CONTROL!$C$27, 0.0021, 0)</f>
        <v>50.410299999999999</v>
      </c>
      <c r="H206" s="14">
        <f>50.2735 * CHOOSE(CONTROL!$C$9, $D$9, 100%, $F$9) + CHOOSE(CONTROL!$C$27, 0.0021, 0)</f>
        <v>50.275599999999997</v>
      </c>
      <c r="I206" s="14">
        <f>50.2735 * CHOOSE(CONTROL!$C$9, $D$9, 100%, $F$9) + CHOOSE(CONTROL!$C$27, 0.0021, 0)</f>
        <v>50.275599999999997</v>
      </c>
      <c r="J206" s="14">
        <f>50.2735 * CHOOSE(CONTROL!$C$9, $D$9, 100%, $F$9) + CHOOSE(CONTROL!$C$27, 0.0021, 0)</f>
        <v>50.275599999999997</v>
      </c>
      <c r="K206" s="14">
        <f>50.2735 * CHOOSE(CONTROL!$C$9, $D$9, 100%, $F$9) + CHOOSE(CONTROL!$C$27, 0.0021, 0)</f>
        <v>50.275599999999997</v>
      </c>
      <c r="L206" s="14"/>
    </row>
    <row r="207" spans="1:12" ht="15" x14ac:dyDescent="0.2">
      <c r="A207" s="13">
        <v>47209</v>
      </c>
      <c r="B207" s="14">
        <f>50.1009 * CHOOSE(CONTROL!$C$9, $D$9, 100%, $F$9) + CHOOSE(CONTROL!$C$27, 0.0021, 0)</f>
        <v>50.103000000000002</v>
      </c>
      <c r="C207" s="14">
        <f>49.6687 * CHOOSE(CONTROL!$C$9, $D$9, 100%, $F$9) + CHOOSE(CONTROL!$C$27, 0.0021, 0)</f>
        <v>49.6708</v>
      </c>
      <c r="D207" s="14">
        <f>49.6687 * CHOOSE(CONTROL!$C$9, $D$9, 100%, $F$9) + CHOOSE(CONTROL!$C$27, 0.0021, 0)</f>
        <v>49.6708</v>
      </c>
      <c r="E207" s="14">
        <f>49.532 * CHOOSE(CONTROL!$C$9, $D$9, 100%, $F$9) + CHOOSE(CONTROL!$C$27, 0.0021, 0)</f>
        <v>49.534099999999995</v>
      </c>
      <c r="F207" s="14">
        <f>49.532 * CHOOSE(CONTROL!$C$9, $D$9, 100%, $F$9) + CHOOSE(CONTROL!$C$27, 0.0021, 0)</f>
        <v>49.534099999999995</v>
      </c>
      <c r="G207" s="14">
        <f>49.8034 * CHOOSE(CONTROL!$C$9, $D$9, 100%, $F$9) + CHOOSE(CONTROL!$C$27, 0.0021, 0)</f>
        <v>49.805500000000002</v>
      </c>
      <c r="H207" s="14">
        <f>49.6687 * CHOOSE(CONTROL!$C$9, $D$9, 100%, $F$9) + CHOOSE(CONTROL!$C$27, 0.0021, 0)</f>
        <v>49.6708</v>
      </c>
      <c r="I207" s="14">
        <f>49.6687 * CHOOSE(CONTROL!$C$9, $D$9, 100%, $F$9) + CHOOSE(CONTROL!$C$27, 0.0021, 0)</f>
        <v>49.6708</v>
      </c>
      <c r="J207" s="14">
        <f>49.6687 * CHOOSE(CONTROL!$C$9, $D$9, 100%, $F$9) + CHOOSE(CONTROL!$C$27, 0.0021, 0)</f>
        <v>49.6708</v>
      </c>
      <c r="K207" s="14">
        <f>49.6687 * CHOOSE(CONTROL!$C$9, $D$9, 100%, $F$9) + CHOOSE(CONTROL!$C$27, 0.0021, 0)</f>
        <v>49.6708</v>
      </c>
      <c r="L207" s="14"/>
    </row>
    <row r="208" spans="1:12" ht="15" x14ac:dyDescent="0.2">
      <c r="A208" s="13">
        <v>47239</v>
      </c>
      <c r="B208" s="14">
        <f>51.2055 * CHOOSE(CONTROL!$C$9, $D$9, 100%, $F$9) + CHOOSE(CONTROL!$C$27, 0.0021, 0)</f>
        <v>51.207599999999999</v>
      </c>
      <c r="C208" s="14">
        <f>50.7732 * CHOOSE(CONTROL!$C$9, $D$9, 100%, $F$9) + CHOOSE(CONTROL!$C$27, 0.0021, 0)</f>
        <v>50.775300000000001</v>
      </c>
      <c r="D208" s="14">
        <f>50.7732 * CHOOSE(CONTROL!$C$9, $D$9, 100%, $F$9) + CHOOSE(CONTROL!$C$27, 0.0021, 0)</f>
        <v>50.775300000000001</v>
      </c>
      <c r="E208" s="14">
        <f>50.6366 * CHOOSE(CONTROL!$C$9, $D$9, 100%, $F$9) + CHOOSE(CONTROL!$C$27, 0.0021, 0)</f>
        <v>50.6387</v>
      </c>
      <c r="F208" s="14">
        <f>50.6366 * CHOOSE(CONTROL!$C$9, $D$9, 100%, $F$9) + CHOOSE(CONTROL!$C$27, 0.0021, 0)</f>
        <v>50.6387</v>
      </c>
      <c r="G208" s="14">
        <f>50.908 * CHOOSE(CONTROL!$C$9, $D$9, 100%, $F$9) + CHOOSE(CONTROL!$C$27, 0.0021, 0)</f>
        <v>50.9101</v>
      </c>
      <c r="H208" s="14">
        <f>50.7732 * CHOOSE(CONTROL!$C$9, $D$9, 100%, $F$9) + CHOOSE(CONTROL!$C$27, 0.0021, 0)</f>
        <v>50.775300000000001</v>
      </c>
      <c r="I208" s="14">
        <f>50.7732 * CHOOSE(CONTROL!$C$9, $D$9, 100%, $F$9) + CHOOSE(CONTROL!$C$27, 0.0021, 0)</f>
        <v>50.775300000000001</v>
      </c>
      <c r="J208" s="14">
        <f>50.7732 * CHOOSE(CONTROL!$C$9, $D$9, 100%, $F$9) + CHOOSE(CONTROL!$C$27, 0.0021, 0)</f>
        <v>50.775300000000001</v>
      </c>
      <c r="K208" s="14">
        <f>50.7732 * CHOOSE(CONTROL!$C$9, $D$9, 100%, $F$9) + CHOOSE(CONTROL!$C$27, 0.0021, 0)</f>
        <v>50.775300000000001</v>
      </c>
      <c r="L208" s="14"/>
    </row>
    <row r="209" spans="1:12" ht="15" x14ac:dyDescent="0.2">
      <c r="A209" s="13">
        <v>47270</v>
      </c>
      <c r="B209" s="14">
        <f>51.9101 * CHOOSE(CONTROL!$C$9, $D$9, 100%, $F$9) + CHOOSE(CONTROL!$C$27, 0.0021, 0)</f>
        <v>51.912199999999999</v>
      </c>
      <c r="C209" s="14">
        <f>51.4778 * CHOOSE(CONTROL!$C$9, $D$9, 100%, $F$9) + CHOOSE(CONTROL!$C$27, 0.0021, 0)</f>
        <v>51.479900000000001</v>
      </c>
      <c r="D209" s="14">
        <f>51.4778 * CHOOSE(CONTROL!$C$9, $D$9, 100%, $F$9) + CHOOSE(CONTROL!$C$27, 0.0021, 0)</f>
        <v>51.479900000000001</v>
      </c>
      <c r="E209" s="14">
        <f>51.3412 * CHOOSE(CONTROL!$C$9, $D$9, 100%, $F$9) + CHOOSE(CONTROL!$C$27, 0.0021, 0)</f>
        <v>51.343299999999999</v>
      </c>
      <c r="F209" s="14">
        <f>51.3412 * CHOOSE(CONTROL!$C$9, $D$9, 100%, $F$9) + CHOOSE(CONTROL!$C$27, 0.0021, 0)</f>
        <v>51.343299999999999</v>
      </c>
      <c r="G209" s="14">
        <f>51.6125 * CHOOSE(CONTROL!$C$9, $D$9, 100%, $F$9) + CHOOSE(CONTROL!$C$27, 0.0021, 0)</f>
        <v>51.614599999999996</v>
      </c>
      <c r="H209" s="14">
        <f>51.4778 * CHOOSE(CONTROL!$C$9, $D$9, 100%, $F$9) + CHOOSE(CONTROL!$C$27, 0.0021, 0)</f>
        <v>51.479900000000001</v>
      </c>
      <c r="I209" s="14">
        <f>51.4778 * CHOOSE(CONTROL!$C$9, $D$9, 100%, $F$9) + CHOOSE(CONTROL!$C$27, 0.0021, 0)</f>
        <v>51.479900000000001</v>
      </c>
      <c r="J209" s="14">
        <f>51.4778 * CHOOSE(CONTROL!$C$9, $D$9, 100%, $F$9) + CHOOSE(CONTROL!$C$27, 0.0021, 0)</f>
        <v>51.479900000000001</v>
      </c>
      <c r="K209" s="14">
        <f>51.4778 * CHOOSE(CONTROL!$C$9, $D$9, 100%, $F$9) + CHOOSE(CONTROL!$C$27, 0.0021, 0)</f>
        <v>51.479900000000001</v>
      </c>
      <c r="L209" s="14"/>
    </row>
    <row r="210" spans="1:12" ht="15" x14ac:dyDescent="0.2">
      <c r="A210" s="13">
        <v>47300</v>
      </c>
      <c r="B210" s="14">
        <f>53.0104 * CHOOSE(CONTROL!$C$9, $D$9, 100%, $F$9) + CHOOSE(CONTROL!$C$27, 0.0021, 0)</f>
        <v>53.012499999999996</v>
      </c>
      <c r="C210" s="14">
        <f>52.5782 * CHOOSE(CONTROL!$C$9, $D$9, 100%, $F$9) + CHOOSE(CONTROL!$C$27, 0.0021, 0)</f>
        <v>52.580300000000001</v>
      </c>
      <c r="D210" s="14">
        <f>52.5782 * CHOOSE(CONTROL!$C$9, $D$9, 100%, $F$9) + CHOOSE(CONTROL!$C$27, 0.0021, 0)</f>
        <v>52.580300000000001</v>
      </c>
      <c r="E210" s="14">
        <f>52.4415 * CHOOSE(CONTROL!$C$9, $D$9, 100%, $F$9) + CHOOSE(CONTROL!$C$27, 0.0021, 0)</f>
        <v>52.443599999999996</v>
      </c>
      <c r="F210" s="14">
        <f>52.4415 * CHOOSE(CONTROL!$C$9, $D$9, 100%, $F$9) + CHOOSE(CONTROL!$C$27, 0.0021, 0)</f>
        <v>52.443599999999996</v>
      </c>
      <c r="G210" s="14">
        <f>52.7129 * CHOOSE(CONTROL!$C$9, $D$9, 100%, $F$9) + CHOOSE(CONTROL!$C$27, 0.0021, 0)</f>
        <v>52.714999999999996</v>
      </c>
      <c r="H210" s="14">
        <f>52.5782 * CHOOSE(CONTROL!$C$9, $D$9, 100%, $F$9) + CHOOSE(CONTROL!$C$27, 0.0021, 0)</f>
        <v>52.580300000000001</v>
      </c>
      <c r="I210" s="14">
        <f>52.5782 * CHOOSE(CONTROL!$C$9, $D$9, 100%, $F$9) + CHOOSE(CONTROL!$C$27, 0.0021, 0)</f>
        <v>52.580300000000001</v>
      </c>
      <c r="J210" s="14">
        <f>52.5782 * CHOOSE(CONTROL!$C$9, $D$9, 100%, $F$9) + CHOOSE(CONTROL!$C$27, 0.0021, 0)</f>
        <v>52.580300000000001</v>
      </c>
      <c r="K210" s="14">
        <f>52.5782 * CHOOSE(CONTROL!$C$9, $D$9, 100%, $F$9) + CHOOSE(CONTROL!$C$27, 0.0021, 0)</f>
        <v>52.580300000000001</v>
      </c>
      <c r="L210" s="14"/>
    </row>
    <row r="211" spans="1:12" ht="15" x14ac:dyDescent="0.2">
      <c r="A211" s="13">
        <v>47331</v>
      </c>
      <c r="B211" s="14">
        <f>53.4202 * CHOOSE(CONTROL!$C$9, $D$9, 100%, $F$9) + CHOOSE(CONTROL!$C$27, 0.0021, 0)</f>
        <v>53.4223</v>
      </c>
      <c r="C211" s="14">
        <f>52.988 * CHOOSE(CONTROL!$C$9, $D$9, 100%, $F$9) + CHOOSE(CONTROL!$C$27, 0.0021, 0)</f>
        <v>52.990099999999998</v>
      </c>
      <c r="D211" s="14">
        <f>52.988 * CHOOSE(CONTROL!$C$9, $D$9, 100%, $F$9) + CHOOSE(CONTROL!$C$27, 0.0021, 0)</f>
        <v>52.990099999999998</v>
      </c>
      <c r="E211" s="14">
        <f>52.8513 * CHOOSE(CONTROL!$C$9, $D$9, 100%, $F$9) + CHOOSE(CONTROL!$C$27, 0.0021, 0)</f>
        <v>52.853400000000001</v>
      </c>
      <c r="F211" s="14">
        <f>52.8513 * CHOOSE(CONTROL!$C$9, $D$9, 100%, $F$9) + CHOOSE(CONTROL!$C$27, 0.0021, 0)</f>
        <v>52.853400000000001</v>
      </c>
      <c r="G211" s="14">
        <f>53.1227 * CHOOSE(CONTROL!$C$9, $D$9, 100%, $F$9) + CHOOSE(CONTROL!$C$27, 0.0021, 0)</f>
        <v>53.1248</v>
      </c>
      <c r="H211" s="14">
        <f>52.988 * CHOOSE(CONTROL!$C$9, $D$9, 100%, $F$9) + CHOOSE(CONTROL!$C$27, 0.0021, 0)</f>
        <v>52.990099999999998</v>
      </c>
      <c r="I211" s="14">
        <f>52.988 * CHOOSE(CONTROL!$C$9, $D$9, 100%, $F$9) + CHOOSE(CONTROL!$C$27, 0.0021, 0)</f>
        <v>52.990099999999998</v>
      </c>
      <c r="J211" s="14">
        <f>52.988 * CHOOSE(CONTROL!$C$9, $D$9, 100%, $F$9) + CHOOSE(CONTROL!$C$27, 0.0021, 0)</f>
        <v>52.990099999999998</v>
      </c>
      <c r="K211" s="14">
        <f>52.988 * CHOOSE(CONTROL!$C$9, $D$9, 100%, $F$9) + CHOOSE(CONTROL!$C$27, 0.0021, 0)</f>
        <v>52.990099999999998</v>
      </c>
      <c r="L211" s="14"/>
    </row>
    <row r="212" spans="1:12" ht="15" x14ac:dyDescent="0.2">
      <c r="A212" s="13">
        <v>47362</v>
      </c>
      <c r="B212" s="14">
        <f>54.5674 * CHOOSE(CONTROL!$C$9, $D$9, 100%, $F$9) + CHOOSE(CONTROL!$C$27, 0.0021, 0)</f>
        <v>54.569499999999998</v>
      </c>
      <c r="C212" s="14">
        <f>54.1351 * CHOOSE(CONTROL!$C$9, $D$9, 100%, $F$9) + CHOOSE(CONTROL!$C$27, 0.0021, 0)</f>
        <v>54.1372</v>
      </c>
      <c r="D212" s="14">
        <f>54.1351 * CHOOSE(CONTROL!$C$9, $D$9, 100%, $F$9) + CHOOSE(CONTROL!$C$27, 0.0021, 0)</f>
        <v>54.1372</v>
      </c>
      <c r="E212" s="14">
        <f>53.9984 * CHOOSE(CONTROL!$C$9, $D$9, 100%, $F$9) + CHOOSE(CONTROL!$C$27, 0.0021, 0)</f>
        <v>54.000499999999995</v>
      </c>
      <c r="F212" s="14">
        <f>53.9984 * CHOOSE(CONTROL!$C$9, $D$9, 100%, $F$9) + CHOOSE(CONTROL!$C$27, 0.0021, 0)</f>
        <v>54.000499999999995</v>
      </c>
      <c r="G212" s="14">
        <f>54.2698 * CHOOSE(CONTROL!$C$9, $D$9, 100%, $F$9) + CHOOSE(CONTROL!$C$27, 0.0021, 0)</f>
        <v>54.271899999999995</v>
      </c>
      <c r="H212" s="14">
        <f>54.1351 * CHOOSE(CONTROL!$C$9, $D$9, 100%, $F$9) + CHOOSE(CONTROL!$C$27, 0.0021, 0)</f>
        <v>54.1372</v>
      </c>
      <c r="I212" s="14">
        <f>54.1351 * CHOOSE(CONTROL!$C$9, $D$9, 100%, $F$9) + CHOOSE(CONTROL!$C$27, 0.0021, 0)</f>
        <v>54.1372</v>
      </c>
      <c r="J212" s="14">
        <f>54.1351 * CHOOSE(CONTROL!$C$9, $D$9, 100%, $F$9) + CHOOSE(CONTROL!$C$27, 0.0021, 0)</f>
        <v>54.1372</v>
      </c>
      <c r="K212" s="14">
        <f>54.1351 * CHOOSE(CONTROL!$C$9, $D$9, 100%, $F$9) + CHOOSE(CONTROL!$C$27, 0.0021, 0)</f>
        <v>54.1372</v>
      </c>
      <c r="L212" s="14"/>
    </row>
    <row r="213" spans="1:12" ht="15" x14ac:dyDescent="0.2">
      <c r="A213" s="13">
        <v>47392</v>
      </c>
      <c r="B213" s="14">
        <f>55.9965 * CHOOSE(CONTROL!$C$9, $D$9, 100%, $F$9) + CHOOSE(CONTROL!$C$27, 0.0021, 0)</f>
        <v>55.998599999999996</v>
      </c>
      <c r="C213" s="14">
        <f>55.5643 * CHOOSE(CONTROL!$C$9, $D$9, 100%, $F$9) + CHOOSE(CONTROL!$C$27, 0.0021, 0)</f>
        <v>55.566400000000002</v>
      </c>
      <c r="D213" s="14">
        <f>55.5643 * CHOOSE(CONTROL!$C$9, $D$9, 100%, $F$9) + CHOOSE(CONTROL!$C$27, 0.0021, 0)</f>
        <v>55.566400000000002</v>
      </c>
      <c r="E213" s="14">
        <f>55.4276 * CHOOSE(CONTROL!$C$9, $D$9, 100%, $F$9) + CHOOSE(CONTROL!$C$27, 0.0021, 0)</f>
        <v>55.429699999999997</v>
      </c>
      <c r="F213" s="14">
        <f>55.4276 * CHOOSE(CONTROL!$C$9, $D$9, 100%, $F$9) + CHOOSE(CONTROL!$C$27, 0.0021, 0)</f>
        <v>55.429699999999997</v>
      </c>
      <c r="G213" s="14">
        <f>55.699 * CHOOSE(CONTROL!$C$9, $D$9, 100%, $F$9) + CHOOSE(CONTROL!$C$27, 0.0021, 0)</f>
        <v>55.701099999999997</v>
      </c>
      <c r="H213" s="14">
        <f>55.5643 * CHOOSE(CONTROL!$C$9, $D$9, 100%, $F$9) + CHOOSE(CONTROL!$C$27, 0.0021, 0)</f>
        <v>55.566400000000002</v>
      </c>
      <c r="I213" s="14">
        <f>55.5643 * CHOOSE(CONTROL!$C$9, $D$9, 100%, $F$9) + CHOOSE(CONTROL!$C$27, 0.0021, 0)</f>
        <v>55.566400000000002</v>
      </c>
      <c r="J213" s="14">
        <f>55.5643 * CHOOSE(CONTROL!$C$9, $D$9, 100%, $F$9) + CHOOSE(CONTROL!$C$27, 0.0021, 0)</f>
        <v>55.566400000000002</v>
      </c>
      <c r="K213" s="14">
        <f>55.5643 * CHOOSE(CONTROL!$C$9, $D$9, 100%, $F$9) + CHOOSE(CONTROL!$C$27, 0.0021, 0)</f>
        <v>55.566400000000002</v>
      </c>
      <c r="L213" s="14"/>
    </row>
    <row r="214" spans="1:12" ht="15" x14ac:dyDescent="0.2">
      <c r="A214" s="13">
        <v>47423</v>
      </c>
      <c r="B214" s="14">
        <f>56.2315 * CHOOSE(CONTROL!$C$9, $D$9, 100%, $F$9) + CHOOSE(CONTROL!$C$27, 0.0021, 0)</f>
        <v>56.233599999999996</v>
      </c>
      <c r="C214" s="14">
        <f>55.7992 * CHOOSE(CONTROL!$C$9, $D$9, 100%, $F$9) + CHOOSE(CONTROL!$C$27, 0.0021, 0)</f>
        <v>55.801299999999998</v>
      </c>
      <c r="D214" s="14">
        <f>55.7992 * CHOOSE(CONTROL!$C$9, $D$9, 100%, $F$9) + CHOOSE(CONTROL!$C$27, 0.0021, 0)</f>
        <v>55.801299999999998</v>
      </c>
      <c r="E214" s="14">
        <f>55.6625 * CHOOSE(CONTROL!$C$9, $D$9, 100%, $F$9) + CHOOSE(CONTROL!$C$27, 0.0021, 0)</f>
        <v>55.6646</v>
      </c>
      <c r="F214" s="14">
        <f>55.6625 * CHOOSE(CONTROL!$C$9, $D$9, 100%, $F$9) + CHOOSE(CONTROL!$C$27, 0.0021, 0)</f>
        <v>55.6646</v>
      </c>
      <c r="G214" s="14">
        <f>55.9339 * CHOOSE(CONTROL!$C$9, $D$9, 100%, $F$9) + CHOOSE(CONTROL!$C$27, 0.0021, 0)</f>
        <v>55.936</v>
      </c>
      <c r="H214" s="14">
        <f>55.7992 * CHOOSE(CONTROL!$C$9, $D$9, 100%, $F$9) + CHOOSE(CONTROL!$C$27, 0.0021, 0)</f>
        <v>55.801299999999998</v>
      </c>
      <c r="I214" s="14">
        <f>55.7992 * CHOOSE(CONTROL!$C$9, $D$9, 100%, $F$9) + CHOOSE(CONTROL!$C$27, 0.0021, 0)</f>
        <v>55.801299999999998</v>
      </c>
      <c r="J214" s="14">
        <f>55.7992 * CHOOSE(CONTROL!$C$9, $D$9, 100%, $F$9) + CHOOSE(CONTROL!$C$27, 0.0021, 0)</f>
        <v>55.801299999999998</v>
      </c>
      <c r="K214" s="14">
        <f>55.7992 * CHOOSE(CONTROL!$C$9, $D$9, 100%, $F$9) + CHOOSE(CONTROL!$C$27, 0.0021, 0)</f>
        <v>55.801299999999998</v>
      </c>
      <c r="L214" s="14"/>
    </row>
    <row r="215" spans="1:12" ht="15" x14ac:dyDescent="0.2">
      <c r="A215" s="13">
        <v>47453</v>
      </c>
      <c r="B215" s="14">
        <f>55.2828 * CHOOSE(CONTROL!$C$9, $D$9, 100%, $F$9) + CHOOSE(CONTROL!$C$27, 0.0021, 0)</f>
        <v>55.2849</v>
      </c>
      <c r="C215" s="14">
        <f>54.8505 * CHOOSE(CONTROL!$C$9, $D$9, 100%, $F$9) + CHOOSE(CONTROL!$C$27, 0.0021, 0)</f>
        <v>54.852599999999995</v>
      </c>
      <c r="D215" s="14">
        <f>54.8505 * CHOOSE(CONTROL!$C$9, $D$9, 100%, $F$9) + CHOOSE(CONTROL!$C$27, 0.0021, 0)</f>
        <v>54.852599999999995</v>
      </c>
      <c r="E215" s="14">
        <f>54.7139 * CHOOSE(CONTROL!$C$9, $D$9, 100%, $F$9) + CHOOSE(CONTROL!$C$27, 0.0021, 0)</f>
        <v>54.716000000000001</v>
      </c>
      <c r="F215" s="14">
        <f>54.7139 * CHOOSE(CONTROL!$C$9, $D$9, 100%, $F$9) + CHOOSE(CONTROL!$C$27, 0.0021, 0)</f>
        <v>54.716000000000001</v>
      </c>
      <c r="G215" s="14">
        <f>54.9852 * CHOOSE(CONTROL!$C$9, $D$9, 100%, $F$9) + CHOOSE(CONTROL!$C$27, 0.0021, 0)</f>
        <v>54.987299999999998</v>
      </c>
      <c r="H215" s="14">
        <f>54.8505 * CHOOSE(CONTROL!$C$9, $D$9, 100%, $F$9) + CHOOSE(CONTROL!$C$27, 0.0021, 0)</f>
        <v>54.852599999999995</v>
      </c>
      <c r="I215" s="14">
        <f>54.8505 * CHOOSE(CONTROL!$C$9, $D$9, 100%, $F$9) + CHOOSE(CONTROL!$C$27, 0.0021, 0)</f>
        <v>54.852599999999995</v>
      </c>
      <c r="J215" s="14">
        <f>54.8505 * CHOOSE(CONTROL!$C$9, $D$9, 100%, $F$9) + CHOOSE(CONTROL!$C$27, 0.0021, 0)</f>
        <v>54.852599999999995</v>
      </c>
      <c r="K215" s="14">
        <f>54.8505 * CHOOSE(CONTROL!$C$9, $D$9, 100%, $F$9) + CHOOSE(CONTROL!$C$27, 0.0021, 0)</f>
        <v>54.852599999999995</v>
      </c>
      <c r="L215" s="14"/>
    </row>
    <row r="216" spans="1:12" ht="15" x14ac:dyDescent="0.2">
      <c r="A216" s="13">
        <v>47484</v>
      </c>
      <c r="B216" s="14">
        <f>54.6958 * CHOOSE(CONTROL!$C$9, $D$9, 100%, $F$9) + CHOOSE(CONTROL!$C$27, 0.0021, 0)</f>
        <v>54.697899999999997</v>
      </c>
      <c r="C216" s="14">
        <f>54.2636 * CHOOSE(CONTROL!$C$9, $D$9, 100%, $F$9) + CHOOSE(CONTROL!$C$27, 0.0021, 0)</f>
        <v>54.265699999999995</v>
      </c>
      <c r="D216" s="14">
        <f>54.2636 * CHOOSE(CONTROL!$C$9, $D$9, 100%, $F$9) + CHOOSE(CONTROL!$C$27, 0.0021, 0)</f>
        <v>54.265699999999995</v>
      </c>
      <c r="E216" s="14">
        <f>54.1269 * CHOOSE(CONTROL!$C$9, $D$9, 100%, $F$9) + CHOOSE(CONTROL!$C$27, 0.0021, 0)</f>
        <v>54.128999999999998</v>
      </c>
      <c r="F216" s="14">
        <f>54.1269 * CHOOSE(CONTROL!$C$9, $D$9, 100%, $F$9) + CHOOSE(CONTROL!$C$27, 0.0021, 0)</f>
        <v>54.128999999999998</v>
      </c>
      <c r="G216" s="14">
        <f>54.3983 * CHOOSE(CONTROL!$C$9, $D$9, 100%, $F$9) + CHOOSE(CONTROL!$C$27, 0.0021, 0)</f>
        <v>54.400399999999998</v>
      </c>
      <c r="H216" s="14">
        <f>54.2636 * CHOOSE(CONTROL!$C$9, $D$9, 100%, $F$9) + CHOOSE(CONTROL!$C$27, 0.0021, 0)</f>
        <v>54.265699999999995</v>
      </c>
      <c r="I216" s="14">
        <f>54.2636 * CHOOSE(CONTROL!$C$9, $D$9, 100%, $F$9) + CHOOSE(CONTROL!$C$27, 0.0021, 0)</f>
        <v>54.265699999999995</v>
      </c>
      <c r="J216" s="14">
        <f>54.2636 * CHOOSE(CONTROL!$C$9, $D$9, 100%, $F$9) + CHOOSE(CONTROL!$C$27, 0.0021, 0)</f>
        <v>54.265699999999995</v>
      </c>
      <c r="K216" s="14">
        <f>54.2636 * CHOOSE(CONTROL!$C$9, $D$9, 100%, $F$9) + CHOOSE(CONTROL!$C$27, 0.0021, 0)</f>
        <v>54.265699999999995</v>
      </c>
      <c r="L216" s="14"/>
    </row>
    <row r="217" spans="1:12" ht="15" x14ac:dyDescent="0.2">
      <c r="A217" s="13">
        <v>47515</v>
      </c>
      <c r="B217" s="14">
        <f>53.3184 * CHOOSE(CONTROL!$C$9, $D$9, 100%, $F$9) + CHOOSE(CONTROL!$C$27, 0.0021, 0)</f>
        <v>53.320499999999996</v>
      </c>
      <c r="C217" s="14">
        <f>52.8862 * CHOOSE(CONTROL!$C$9, $D$9, 100%, $F$9) + CHOOSE(CONTROL!$C$27, 0.0021, 0)</f>
        <v>52.888300000000001</v>
      </c>
      <c r="D217" s="14">
        <f>52.8862 * CHOOSE(CONTROL!$C$9, $D$9, 100%, $F$9) + CHOOSE(CONTROL!$C$27, 0.0021, 0)</f>
        <v>52.888300000000001</v>
      </c>
      <c r="E217" s="14">
        <f>52.7495 * CHOOSE(CONTROL!$C$9, $D$9, 100%, $F$9) + CHOOSE(CONTROL!$C$27, 0.0021, 0)</f>
        <v>52.751599999999996</v>
      </c>
      <c r="F217" s="14">
        <f>52.7495 * CHOOSE(CONTROL!$C$9, $D$9, 100%, $F$9) + CHOOSE(CONTROL!$C$27, 0.0021, 0)</f>
        <v>52.751599999999996</v>
      </c>
      <c r="G217" s="14">
        <f>53.0209 * CHOOSE(CONTROL!$C$9, $D$9, 100%, $F$9) + CHOOSE(CONTROL!$C$27, 0.0021, 0)</f>
        <v>53.022999999999996</v>
      </c>
      <c r="H217" s="14">
        <f>52.8862 * CHOOSE(CONTROL!$C$9, $D$9, 100%, $F$9) + CHOOSE(CONTROL!$C$27, 0.0021, 0)</f>
        <v>52.888300000000001</v>
      </c>
      <c r="I217" s="14">
        <f>52.8862 * CHOOSE(CONTROL!$C$9, $D$9, 100%, $F$9) + CHOOSE(CONTROL!$C$27, 0.0021, 0)</f>
        <v>52.888300000000001</v>
      </c>
      <c r="J217" s="14">
        <f>52.8862 * CHOOSE(CONTROL!$C$9, $D$9, 100%, $F$9) + CHOOSE(CONTROL!$C$27, 0.0021, 0)</f>
        <v>52.888300000000001</v>
      </c>
      <c r="K217" s="14">
        <f>52.8862 * CHOOSE(CONTROL!$C$9, $D$9, 100%, $F$9) + CHOOSE(CONTROL!$C$27, 0.0021, 0)</f>
        <v>52.888300000000001</v>
      </c>
      <c r="L217" s="14"/>
    </row>
    <row r="218" spans="1:12" ht="15" x14ac:dyDescent="0.2">
      <c r="A218" s="13">
        <v>47543</v>
      </c>
      <c r="B218" s="14">
        <f>52.8091 * CHOOSE(CONTROL!$C$9, $D$9, 100%, $F$9) + CHOOSE(CONTROL!$C$27, 0.0021, 0)</f>
        <v>52.811199999999999</v>
      </c>
      <c r="C218" s="14">
        <f>52.3769 * CHOOSE(CONTROL!$C$9, $D$9, 100%, $F$9) + CHOOSE(CONTROL!$C$27, 0.0021, 0)</f>
        <v>52.378999999999998</v>
      </c>
      <c r="D218" s="14">
        <f>52.3769 * CHOOSE(CONTROL!$C$9, $D$9, 100%, $F$9) + CHOOSE(CONTROL!$C$27, 0.0021, 0)</f>
        <v>52.378999999999998</v>
      </c>
      <c r="E218" s="14">
        <f>52.2402 * CHOOSE(CONTROL!$C$9, $D$9, 100%, $F$9) + CHOOSE(CONTROL!$C$27, 0.0021, 0)</f>
        <v>52.2423</v>
      </c>
      <c r="F218" s="14">
        <f>52.2402 * CHOOSE(CONTROL!$C$9, $D$9, 100%, $F$9) + CHOOSE(CONTROL!$C$27, 0.0021, 0)</f>
        <v>52.2423</v>
      </c>
      <c r="G218" s="14">
        <f>52.5116 * CHOOSE(CONTROL!$C$9, $D$9, 100%, $F$9) + CHOOSE(CONTROL!$C$27, 0.0021, 0)</f>
        <v>52.5137</v>
      </c>
      <c r="H218" s="14">
        <f>52.3769 * CHOOSE(CONTROL!$C$9, $D$9, 100%, $F$9) + CHOOSE(CONTROL!$C$27, 0.0021, 0)</f>
        <v>52.378999999999998</v>
      </c>
      <c r="I218" s="14">
        <f>52.3769 * CHOOSE(CONTROL!$C$9, $D$9, 100%, $F$9) + CHOOSE(CONTROL!$C$27, 0.0021, 0)</f>
        <v>52.378999999999998</v>
      </c>
      <c r="J218" s="14">
        <f>52.3769 * CHOOSE(CONTROL!$C$9, $D$9, 100%, $F$9) + CHOOSE(CONTROL!$C$27, 0.0021, 0)</f>
        <v>52.378999999999998</v>
      </c>
      <c r="K218" s="14">
        <f>52.3769 * CHOOSE(CONTROL!$C$9, $D$9, 100%, $F$9) + CHOOSE(CONTROL!$C$27, 0.0021, 0)</f>
        <v>52.378999999999998</v>
      </c>
      <c r="L218" s="14"/>
    </row>
    <row r="219" spans="1:12" ht="15" x14ac:dyDescent="0.2">
      <c r="A219" s="13">
        <v>47574</v>
      </c>
      <c r="B219" s="14">
        <f>52.1781 * CHOOSE(CONTROL!$C$9, $D$9, 100%, $F$9) + CHOOSE(CONTROL!$C$27, 0.0021, 0)</f>
        <v>52.180199999999999</v>
      </c>
      <c r="C219" s="14">
        <f>51.7458 * CHOOSE(CONTROL!$C$9, $D$9, 100%, $F$9) + CHOOSE(CONTROL!$C$27, 0.0021, 0)</f>
        <v>51.747900000000001</v>
      </c>
      <c r="D219" s="14">
        <f>51.7458 * CHOOSE(CONTROL!$C$9, $D$9, 100%, $F$9) + CHOOSE(CONTROL!$C$27, 0.0021, 0)</f>
        <v>51.747900000000001</v>
      </c>
      <c r="E219" s="14">
        <f>51.6092 * CHOOSE(CONTROL!$C$9, $D$9, 100%, $F$9) + CHOOSE(CONTROL!$C$27, 0.0021, 0)</f>
        <v>51.6113</v>
      </c>
      <c r="F219" s="14">
        <f>51.6092 * CHOOSE(CONTROL!$C$9, $D$9, 100%, $F$9) + CHOOSE(CONTROL!$C$27, 0.0021, 0)</f>
        <v>51.6113</v>
      </c>
      <c r="G219" s="14">
        <f>51.8806 * CHOOSE(CONTROL!$C$9, $D$9, 100%, $F$9) + CHOOSE(CONTROL!$C$27, 0.0021, 0)</f>
        <v>51.8827</v>
      </c>
      <c r="H219" s="14">
        <f>51.7458 * CHOOSE(CONTROL!$C$9, $D$9, 100%, $F$9) + CHOOSE(CONTROL!$C$27, 0.0021, 0)</f>
        <v>51.747900000000001</v>
      </c>
      <c r="I219" s="14">
        <f>51.7458 * CHOOSE(CONTROL!$C$9, $D$9, 100%, $F$9) + CHOOSE(CONTROL!$C$27, 0.0021, 0)</f>
        <v>51.747900000000001</v>
      </c>
      <c r="J219" s="14">
        <f>51.7458 * CHOOSE(CONTROL!$C$9, $D$9, 100%, $F$9) + CHOOSE(CONTROL!$C$27, 0.0021, 0)</f>
        <v>51.747900000000001</v>
      </c>
      <c r="K219" s="14">
        <f>51.7458 * CHOOSE(CONTROL!$C$9, $D$9, 100%, $F$9) + CHOOSE(CONTROL!$C$27, 0.0021, 0)</f>
        <v>51.747900000000001</v>
      </c>
      <c r="L219" s="14"/>
    </row>
    <row r="220" spans="1:12" ht="15" x14ac:dyDescent="0.2">
      <c r="A220" s="13">
        <v>47604</v>
      </c>
      <c r="B220" s="14">
        <f>53.3306 * CHOOSE(CONTROL!$C$9, $D$9, 100%, $F$9) + CHOOSE(CONTROL!$C$27, 0.0021, 0)</f>
        <v>53.332699999999996</v>
      </c>
      <c r="C220" s="14">
        <f>52.8984 * CHOOSE(CONTROL!$C$9, $D$9, 100%, $F$9) + CHOOSE(CONTROL!$C$27, 0.0021, 0)</f>
        <v>52.900500000000001</v>
      </c>
      <c r="D220" s="14">
        <f>52.8984 * CHOOSE(CONTROL!$C$9, $D$9, 100%, $F$9) + CHOOSE(CONTROL!$C$27, 0.0021, 0)</f>
        <v>52.900500000000001</v>
      </c>
      <c r="E220" s="14">
        <f>52.7617 * CHOOSE(CONTROL!$C$9, $D$9, 100%, $F$9) + CHOOSE(CONTROL!$C$27, 0.0021, 0)</f>
        <v>52.763799999999996</v>
      </c>
      <c r="F220" s="14">
        <f>52.7617 * CHOOSE(CONTROL!$C$9, $D$9, 100%, $F$9) + CHOOSE(CONTROL!$C$27, 0.0021, 0)</f>
        <v>52.763799999999996</v>
      </c>
      <c r="G220" s="14">
        <f>53.0331 * CHOOSE(CONTROL!$C$9, $D$9, 100%, $F$9) + CHOOSE(CONTROL!$C$27, 0.0021, 0)</f>
        <v>53.035199999999996</v>
      </c>
      <c r="H220" s="14">
        <f>52.8984 * CHOOSE(CONTROL!$C$9, $D$9, 100%, $F$9) + CHOOSE(CONTROL!$C$27, 0.0021, 0)</f>
        <v>52.900500000000001</v>
      </c>
      <c r="I220" s="14">
        <f>52.8984 * CHOOSE(CONTROL!$C$9, $D$9, 100%, $F$9) + CHOOSE(CONTROL!$C$27, 0.0021, 0)</f>
        <v>52.900500000000001</v>
      </c>
      <c r="J220" s="14">
        <f>52.8984 * CHOOSE(CONTROL!$C$9, $D$9, 100%, $F$9) + CHOOSE(CONTROL!$C$27, 0.0021, 0)</f>
        <v>52.900500000000001</v>
      </c>
      <c r="K220" s="14">
        <f>52.8984 * CHOOSE(CONTROL!$C$9, $D$9, 100%, $F$9) + CHOOSE(CONTROL!$C$27, 0.0021, 0)</f>
        <v>52.900500000000001</v>
      </c>
      <c r="L220" s="14"/>
    </row>
    <row r="221" spans="1:12" ht="15" x14ac:dyDescent="0.2">
      <c r="A221" s="13">
        <v>47635</v>
      </c>
      <c r="B221" s="14">
        <f>54.0658 * CHOOSE(CONTROL!$C$9, $D$9, 100%, $F$9) + CHOOSE(CONTROL!$C$27, 0.0021, 0)</f>
        <v>54.067900000000002</v>
      </c>
      <c r="C221" s="14">
        <f>53.6336 * CHOOSE(CONTROL!$C$9, $D$9, 100%, $F$9) + CHOOSE(CONTROL!$C$27, 0.0021, 0)</f>
        <v>53.6357</v>
      </c>
      <c r="D221" s="14">
        <f>53.6336 * CHOOSE(CONTROL!$C$9, $D$9, 100%, $F$9) + CHOOSE(CONTROL!$C$27, 0.0021, 0)</f>
        <v>53.6357</v>
      </c>
      <c r="E221" s="14">
        <f>53.4969 * CHOOSE(CONTROL!$C$9, $D$9, 100%, $F$9) + CHOOSE(CONTROL!$C$27, 0.0021, 0)</f>
        <v>53.498999999999995</v>
      </c>
      <c r="F221" s="14">
        <f>53.4969 * CHOOSE(CONTROL!$C$9, $D$9, 100%, $F$9) + CHOOSE(CONTROL!$C$27, 0.0021, 0)</f>
        <v>53.498999999999995</v>
      </c>
      <c r="G221" s="14">
        <f>53.7683 * CHOOSE(CONTROL!$C$9, $D$9, 100%, $F$9) + CHOOSE(CONTROL!$C$27, 0.0021, 0)</f>
        <v>53.770400000000002</v>
      </c>
      <c r="H221" s="14">
        <f>53.6336 * CHOOSE(CONTROL!$C$9, $D$9, 100%, $F$9) + CHOOSE(CONTROL!$C$27, 0.0021, 0)</f>
        <v>53.6357</v>
      </c>
      <c r="I221" s="14">
        <f>53.6336 * CHOOSE(CONTROL!$C$9, $D$9, 100%, $F$9) + CHOOSE(CONTROL!$C$27, 0.0021, 0)</f>
        <v>53.6357</v>
      </c>
      <c r="J221" s="14">
        <f>53.6336 * CHOOSE(CONTROL!$C$9, $D$9, 100%, $F$9) + CHOOSE(CONTROL!$C$27, 0.0021, 0)</f>
        <v>53.6357</v>
      </c>
      <c r="K221" s="14">
        <f>53.6336 * CHOOSE(CONTROL!$C$9, $D$9, 100%, $F$9) + CHOOSE(CONTROL!$C$27, 0.0021, 0)</f>
        <v>53.6357</v>
      </c>
      <c r="L221" s="14"/>
    </row>
    <row r="222" spans="1:12" ht="15" x14ac:dyDescent="0.2">
      <c r="A222" s="13">
        <v>47665</v>
      </c>
      <c r="B222" s="14">
        <f>55.214 * CHOOSE(CONTROL!$C$9, $D$9, 100%, $F$9) + CHOOSE(CONTROL!$C$27, 0.0021, 0)</f>
        <v>55.216099999999997</v>
      </c>
      <c r="C222" s="14">
        <f>54.7818 * CHOOSE(CONTROL!$C$9, $D$9, 100%, $F$9) + CHOOSE(CONTROL!$C$27, 0.0021, 0)</f>
        <v>54.783899999999996</v>
      </c>
      <c r="D222" s="14">
        <f>54.7818 * CHOOSE(CONTROL!$C$9, $D$9, 100%, $F$9) + CHOOSE(CONTROL!$C$27, 0.0021, 0)</f>
        <v>54.783899999999996</v>
      </c>
      <c r="E222" s="14">
        <f>54.6451 * CHOOSE(CONTROL!$C$9, $D$9, 100%, $F$9) + CHOOSE(CONTROL!$C$27, 0.0021, 0)</f>
        <v>54.647199999999998</v>
      </c>
      <c r="F222" s="14">
        <f>54.6451 * CHOOSE(CONTROL!$C$9, $D$9, 100%, $F$9) + CHOOSE(CONTROL!$C$27, 0.0021, 0)</f>
        <v>54.647199999999998</v>
      </c>
      <c r="G222" s="14">
        <f>54.9165 * CHOOSE(CONTROL!$C$9, $D$9, 100%, $F$9) + CHOOSE(CONTROL!$C$27, 0.0021, 0)</f>
        <v>54.918599999999998</v>
      </c>
      <c r="H222" s="14">
        <f>54.7818 * CHOOSE(CONTROL!$C$9, $D$9, 100%, $F$9) + CHOOSE(CONTROL!$C$27, 0.0021, 0)</f>
        <v>54.783899999999996</v>
      </c>
      <c r="I222" s="14">
        <f>54.7818 * CHOOSE(CONTROL!$C$9, $D$9, 100%, $F$9) + CHOOSE(CONTROL!$C$27, 0.0021, 0)</f>
        <v>54.783899999999996</v>
      </c>
      <c r="J222" s="14">
        <f>54.7818 * CHOOSE(CONTROL!$C$9, $D$9, 100%, $F$9) + CHOOSE(CONTROL!$C$27, 0.0021, 0)</f>
        <v>54.783899999999996</v>
      </c>
      <c r="K222" s="14">
        <f>54.7818 * CHOOSE(CONTROL!$C$9, $D$9, 100%, $F$9) + CHOOSE(CONTROL!$C$27, 0.0021, 0)</f>
        <v>54.783899999999996</v>
      </c>
      <c r="L222" s="14"/>
    </row>
    <row r="223" spans="1:12" ht="15" x14ac:dyDescent="0.2">
      <c r="A223" s="13">
        <v>47696</v>
      </c>
      <c r="B223" s="14">
        <f>55.5319 * CHOOSE(CONTROL!$C$9, $D$9, 100%, $F$9) + CHOOSE(CONTROL!$C$27, 0.0021, 0)</f>
        <v>55.533999999999999</v>
      </c>
      <c r="C223" s="14">
        <f>55.0997 * CHOOSE(CONTROL!$C$9, $D$9, 100%, $F$9) + CHOOSE(CONTROL!$C$27, 0.0021, 0)</f>
        <v>55.101799999999997</v>
      </c>
      <c r="D223" s="14">
        <f>55.0997 * CHOOSE(CONTROL!$C$9, $D$9, 100%, $F$9) + CHOOSE(CONTROL!$C$27, 0.0021, 0)</f>
        <v>55.101799999999997</v>
      </c>
      <c r="E223" s="14">
        <f>54.963 * CHOOSE(CONTROL!$C$9, $D$9, 100%, $F$9) + CHOOSE(CONTROL!$C$27, 0.0021, 0)</f>
        <v>54.9651</v>
      </c>
      <c r="F223" s="14">
        <f>54.963 * CHOOSE(CONTROL!$C$9, $D$9, 100%, $F$9) + CHOOSE(CONTROL!$C$27, 0.0021, 0)</f>
        <v>54.9651</v>
      </c>
      <c r="G223" s="14">
        <f>55.2344 * CHOOSE(CONTROL!$C$9, $D$9, 100%, $F$9) + CHOOSE(CONTROL!$C$27, 0.0021, 0)</f>
        <v>55.236499999999999</v>
      </c>
      <c r="H223" s="14">
        <f>55.0997 * CHOOSE(CONTROL!$C$9, $D$9, 100%, $F$9) + CHOOSE(CONTROL!$C$27, 0.0021, 0)</f>
        <v>55.101799999999997</v>
      </c>
      <c r="I223" s="14">
        <f>55.0997 * CHOOSE(CONTROL!$C$9, $D$9, 100%, $F$9) + CHOOSE(CONTROL!$C$27, 0.0021, 0)</f>
        <v>55.101799999999997</v>
      </c>
      <c r="J223" s="14">
        <f>55.0997 * CHOOSE(CONTROL!$C$9, $D$9, 100%, $F$9) + CHOOSE(CONTROL!$C$27, 0.0021, 0)</f>
        <v>55.101799999999997</v>
      </c>
      <c r="K223" s="14">
        <f>55.0997 * CHOOSE(CONTROL!$C$9, $D$9, 100%, $F$9) + CHOOSE(CONTROL!$C$27, 0.0021, 0)</f>
        <v>55.101799999999997</v>
      </c>
      <c r="L223" s="14"/>
    </row>
    <row r="224" spans="1:12" ht="15" x14ac:dyDescent="0.2">
      <c r="A224" s="13">
        <v>47727</v>
      </c>
      <c r="B224" s="14">
        <f>56.6145 * CHOOSE(CONTROL!$C$9, $D$9, 100%, $F$9) + CHOOSE(CONTROL!$C$27, 0.0021, 0)</f>
        <v>56.616599999999998</v>
      </c>
      <c r="C224" s="14">
        <f>56.1823 * CHOOSE(CONTROL!$C$9, $D$9, 100%, $F$9) + CHOOSE(CONTROL!$C$27, 0.0021, 0)</f>
        <v>56.184399999999997</v>
      </c>
      <c r="D224" s="14">
        <f>56.1823 * CHOOSE(CONTROL!$C$9, $D$9, 100%, $F$9) + CHOOSE(CONTROL!$C$27, 0.0021, 0)</f>
        <v>56.184399999999997</v>
      </c>
      <c r="E224" s="14">
        <f>56.0456 * CHOOSE(CONTROL!$C$9, $D$9, 100%, $F$9) + CHOOSE(CONTROL!$C$27, 0.0021, 0)</f>
        <v>56.047699999999999</v>
      </c>
      <c r="F224" s="14">
        <f>56.0456 * CHOOSE(CONTROL!$C$9, $D$9, 100%, $F$9) + CHOOSE(CONTROL!$C$27, 0.0021, 0)</f>
        <v>56.047699999999999</v>
      </c>
      <c r="G224" s="14">
        <f>56.317 * CHOOSE(CONTROL!$C$9, $D$9, 100%, $F$9) + CHOOSE(CONTROL!$C$27, 0.0021, 0)</f>
        <v>56.319099999999999</v>
      </c>
      <c r="H224" s="14">
        <f>56.1823 * CHOOSE(CONTROL!$C$9, $D$9, 100%, $F$9) + CHOOSE(CONTROL!$C$27, 0.0021, 0)</f>
        <v>56.184399999999997</v>
      </c>
      <c r="I224" s="14">
        <f>56.1823 * CHOOSE(CONTROL!$C$9, $D$9, 100%, $F$9) + CHOOSE(CONTROL!$C$27, 0.0021, 0)</f>
        <v>56.184399999999997</v>
      </c>
      <c r="J224" s="14">
        <f>56.1823 * CHOOSE(CONTROL!$C$9, $D$9, 100%, $F$9) + CHOOSE(CONTROL!$C$27, 0.0021, 0)</f>
        <v>56.184399999999997</v>
      </c>
      <c r="K224" s="14">
        <f>56.1823 * CHOOSE(CONTROL!$C$9, $D$9, 100%, $F$9) + CHOOSE(CONTROL!$C$27, 0.0021, 0)</f>
        <v>56.184399999999997</v>
      </c>
      <c r="L224" s="14"/>
    </row>
    <row r="225" spans="1:12" ht="15" x14ac:dyDescent="0.2">
      <c r="A225" s="13">
        <v>47757</v>
      </c>
      <c r="B225" s="14">
        <f>57.9849 * CHOOSE(CONTROL!$C$9, $D$9, 100%, $F$9) + CHOOSE(CONTROL!$C$27, 0.0021, 0)</f>
        <v>57.987000000000002</v>
      </c>
      <c r="C225" s="14">
        <f>57.5527 * CHOOSE(CONTROL!$C$9, $D$9, 100%, $F$9) + CHOOSE(CONTROL!$C$27, 0.0021, 0)</f>
        <v>57.5548</v>
      </c>
      <c r="D225" s="14">
        <f>57.5527 * CHOOSE(CONTROL!$C$9, $D$9, 100%, $F$9) + CHOOSE(CONTROL!$C$27, 0.0021, 0)</f>
        <v>57.5548</v>
      </c>
      <c r="E225" s="14">
        <f>57.416 * CHOOSE(CONTROL!$C$9, $D$9, 100%, $F$9) + CHOOSE(CONTROL!$C$27, 0.0021, 0)</f>
        <v>57.418099999999995</v>
      </c>
      <c r="F225" s="14">
        <f>57.416 * CHOOSE(CONTROL!$C$9, $D$9, 100%, $F$9) + CHOOSE(CONTROL!$C$27, 0.0021, 0)</f>
        <v>57.418099999999995</v>
      </c>
      <c r="G225" s="14">
        <f>57.6874 * CHOOSE(CONTROL!$C$9, $D$9, 100%, $F$9) + CHOOSE(CONTROL!$C$27, 0.0021, 0)</f>
        <v>57.689499999999995</v>
      </c>
      <c r="H225" s="14">
        <f>57.5527 * CHOOSE(CONTROL!$C$9, $D$9, 100%, $F$9) + CHOOSE(CONTROL!$C$27, 0.0021, 0)</f>
        <v>57.5548</v>
      </c>
      <c r="I225" s="14">
        <f>57.5527 * CHOOSE(CONTROL!$C$9, $D$9, 100%, $F$9) + CHOOSE(CONTROL!$C$27, 0.0021, 0)</f>
        <v>57.5548</v>
      </c>
      <c r="J225" s="14">
        <f>57.5527 * CHOOSE(CONTROL!$C$9, $D$9, 100%, $F$9) + CHOOSE(CONTROL!$C$27, 0.0021, 0)</f>
        <v>57.5548</v>
      </c>
      <c r="K225" s="14">
        <f>57.5527 * CHOOSE(CONTROL!$C$9, $D$9, 100%, $F$9) + CHOOSE(CONTROL!$C$27, 0.0021, 0)</f>
        <v>57.5548</v>
      </c>
      <c r="L225" s="14"/>
    </row>
    <row r="226" spans="1:12" ht="15" x14ac:dyDescent="0.2">
      <c r="A226" s="13">
        <v>47788</v>
      </c>
      <c r="B226" s="14">
        <f>58.1136 * CHOOSE(CONTROL!$C$9, $D$9, 100%, $F$9) + CHOOSE(CONTROL!$C$27, 0.0021, 0)</f>
        <v>58.115699999999997</v>
      </c>
      <c r="C226" s="14">
        <f>57.6814 * CHOOSE(CONTROL!$C$9, $D$9, 100%, $F$9) + CHOOSE(CONTROL!$C$27, 0.0021, 0)</f>
        <v>57.683499999999995</v>
      </c>
      <c r="D226" s="14">
        <f>57.6814 * CHOOSE(CONTROL!$C$9, $D$9, 100%, $F$9) + CHOOSE(CONTROL!$C$27, 0.0021, 0)</f>
        <v>57.683499999999995</v>
      </c>
      <c r="E226" s="14">
        <f>57.5447 * CHOOSE(CONTROL!$C$9, $D$9, 100%, $F$9) + CHOOSE(CONTROL!$C$27, 0.0021, 0)</f>
        <v>57.546799999999998</v>
      </c>
      <c r="F226" s="14">
        <f>57.5447 * CHOOSE(CONTROL!$C$9, $D$9, 100%, $F$9) + CHOOSE(CONTROL!$C$27, 0.0021, 0)</f>
        <v>57.546799999999998</v>
      </c>
      <c r="G226" s="14">
        <f>57.8161 * CHOOSE(CONTROL!$C$9, $D$9, 100%, $F$9) + CHOOSE(CONTROL!$C$27, 0.0021, 0)</f>
        <v>57.818199999999997</v>
      </c>
      <c r="H226" s="14">
        <f>57.6814 * CHOOSE(CONTROL!$C$9, $D$9, 100%, $F$9) + CHOOSE(CONTROL!$C$27, 0.0021, 0)</f>
        <v>57.683499999999995</v>
      </c>
      <c r="I226" s="14">
        <f>57.6814 * CHOOSE(CONTROL!$C$9, $D$9, 100%, $F$9) + CHOOSE(CONTROL!$C$27, 0.0021, 0)</f>
        <v>57.683499999999995</v>
      </c>
      <c r="J226" s="14">
        <f>57.6814 * CHOOSE(CONTROL!$C$9, $D$9, 100%, $F$9) + CHOOSE(CONTROL!$C$27, 0.0021, 0)</f>
        <v>57.683499999999995</v>
      </c>
      <c r="K226" s="14">
        <f>57.6814 * CHOOSE(CONTROL!$C$9, $D$9, 100%, $F$9) + CHOOSE(CONTROL!$C$27, 0.0021, 0)</f>
        <v>57.683499999999995</v>
      </c>
      <c r="L226" s="14"/>
    </row>
    <row r="227" spans="1:12" ht="15" x14ac:dyDescent="0.2">
      <c r="A227" s="13">
        <v>47818</v>
      </c>
      <c r="B227" s="14">
        <f>57.0191 * CHOOSE(CONTROL!$C$9, $D$9, 100%, $F$9) + CHOOSE(CONTROL!$C$27, 0.0021, 0)</f>
        <v>57.0212</v>
      </c>
      <c r="C227" s="14">
        <f>56.5868 * CHOOSE(CONTROL!$C$9, $D$9, 100%, $F$9) + CHOOSE(CONTROL!$C$27, 0.0021, 0)</f>
        <v>56.588899999999995</v>
      </c>
      <c r="D227" s="14">
        <f>56.5868 * CHOOSE(CONTROL!$C$9, $D$9, 100%, $F$9) + CHOOSE(CONTROL!$C$27, 0.0021, 0)</f>
        <v>56.588899999999995</v>
      </c>
      <c r="E227" s="14">
        <f>56.4502 * CHOOSE(CONTROL!$C$9, $D$9, 100%, $F$9) + CHOOSE(CONTROL!$C$27, 0.0021, 0)</f>
        <v>56.452300000000001</v>
      </c>
      <c r="F227" s="14">
        <f>56.4502 * CHOOSE(CONTROL!$C$9, $D$9, 100%, $F$9) + CHOOSE(CONTROL!$C$27, 0.0021, 0)</f>
        <v>56.452300000000001</v>
      </c>
      <c r="G227" s="14">
        <f>56.7215 * CHOOSE(CONTROL!$C$9, $D$9, 100%, $F$9) + CHOOSE(CONTROL!$C$27, 0.0021, 0)</f>
        <v>56.723599999999998</v>
      </c>
      <c r="H227" s="14">
        <f>56.5868 * CHOOSE(CONTROL!$C$9, $D$9, 100%, $F$9) + CHOOSE(CONTROL!$C$27, 0.0021, 0)</f>
        <v>56.588899999999995</v>
      </c>
      <c r="I227" s="14">
        <f>56.5868 * CHOOSE(CONTROL!$C$9, $D$9, 100%, $F$9) + CHOOSE(CONTROL!$C$27, 0.0021, 0)</f>
        <v>56.588899999999995</v>
      </c>
      <c r="J227" s="14">
        <f>56.5868 * CHOOSE(CONTROL!$C$9, $D$9, 100%, $F$9) + CHOOSE(CONTROL!$C$27, 0.0021, 0)</f>
        <v>56.588899999999995</v>
      </c>
      <c r="K227" s="14">
        <f>56.5868 * CHOOSE(CONTROL!$C$9, $D$9, 100%, $F$9) + CHOOSE(CONTROL!$C$27, 0.0021, 0)</f>
        <v>56.588899999999995</v>
      </c>
      <c r="L227" s="14"/>
    </row>
    <row r="228" spans="1:12" ht="15" x14ac:dyDescent="0.2">
      <c r="A228" s="13">
        <v>47849</v>
      </c>
      <c r="B228" s="14">
        <f>56.3273 * CHOOSE(CONTROL!$C$9, $D$9, 100%, $F$9) + CHOOSE(CONTROL!$C$27, 0.0021, 0)</f>
        <v>56.3294</v>
      </c>
      <c r="C228" s="14">
        <f>55.895 * CHOOSE(CONTROL!$C$9, $D$9, 100%, $F$9) + CHOOSE(CONTROL!$C$27, 0.0021, 0)</f>
        <v>55.897100000000002</v>
      </c>
      <c r="D228" s="14">
        <f>55.895 * CHOOSE(CONTROL!$C$9, $D$9, 100%, $F$9) + CHOOSE(CONTROL!$C$27, 0.0021, 0)</f>
        <v>55.897100000000002</v>
      </c>
      <c r="E228" s="14">
        <f>55.7584 * CHOOSE(CONTROL!$C$9, $D$9, 100%, $F$9) + CHOOSE(CONTROL!$C$27, 0.0021, 0)</f>
        <v>55.7605</v>
      </c>
      <c r="F228" s="14">
        <f>55.7584 * CHOOSE(CONTROL!$C$9, $D$9, 100%, $F$9) + CHOOSE(CONTROL!$C$27, 0.0021, 0)</f>
        <v>55.7605</v>
      </c>
      <c r="G228" s="14">
        <f>56.0298 * CHOOSE(CONTROL!$C$9, $D$9, 100%, $F$9) + CHOOSE(CONTROL!$C$27, 0.0021, 0)</f>
        <v>56.0319</v>
      </c>
      <c r="H228" s="14">
        <f>55.895 * CHOOSE(CONTROL!$C$9, $D$9, 100%, $F$9) + CHOOSE(CONTROL!$C$27, 0.0021, 0)</f>
        <v>55.897100000000002</v>
      </c>
      <c r="I228" s="14">
        <f>55.895 * CHOOSE(CONTROL!$C$9, $D$9, 100%, $F$9) + CHOOSE(CONTROL!$C$27, 0.0021, 0)</f>
        <v>55.897100000000002</v>
      </c>
      <c r="J228" s="14">
        <f>55.895 * CHOOSE(CONTROL!$C$9, $D$9, 100%, $F$9) + CHOOSE(CONTROL!$C$27, 0.0021, 0)</f>
        <v>55.897100000000002</v>
      </c>
      <c r="K228" s="14">
        <f>55.895 * CHOOSE(CONTROL!$C$9, $D$9, 100%, $F$9) + CHOOSE(CONTROL!$C$27, 0.0021, 0)</f>
        <v>55.897100000000002</v>
      </c>
      <c r="L228" s="14"/>
    </row>
    <row r="229" spans="1:12" ht="15" x14ac:dyDescent="0.2">
      <c r="A229" s="13">
        <v>47880</v>
      </c>
      <c r="B229" s="14">
        <f>54.7989 * CHOOSE(CONTROL!$C$9, $D$9, 100%, $F$9) + CHOOSE(CONTROL!$C$27, 0.0021, 0)</f>
        <v>54.801000000000002</v>
      </c>
      <c r="C229" s="14">
        <f>54.3666 * CHOOSE(CONTROL!$C$9, $D$9, 100%, $F$9) + CHOOSE(CONTROL!$C$27, 0.0021, 0)</f>
        <v>54.368699999999997</v>
      </c>
      <c r="D229" s="14">
        <f>54.3666 * CHOOSE(CONTROL!$C$9, $D$9, 100%, $F$9) + CHOOSE(CONTROL!$C$27, 0.0021, 0)</f>
        <v>54.368699999999997</v>
      </c>
      <c r="E229" s="14">
        <f>54.23 * CHOOSE(CONTROL!$C$9, $D$9, 100%, $F$9) + CHOOSE(CONTROL!$C$27, 0.0021, 0)</f>
        <v>54.232099999999996</v>
      </c>
      <c r="F229" s="14">
        <f>54.23 * CHOOSE(CONTROL!$C$9, $D$9, 100%, $F$9) + CHOOSE(CONTROL!$C$27, 0.0021, 0)</f>
        <v>54.232099999999996</v>
      </c>
      <c r="G229" s="14">
        <f>54.5014 * CHOOSE(CONTROL!$C$9, $D$9, 100%, $F$9) + CHOOSE(CONTROL!$C$27, 0.0021, 0)</f>
        <v>54.503499999999995</v>
      </c>
      <c r="H229" s="14">
        <f>54.3666 * CHOOSE(CONTROL!$C$9, $D$9, 100%, $F$9) + CHOOSE(CONTROL!$C$27, 0.0021, 0)</f>
        <v>54.368699999999997</v>
      </c>
      <c r="I229" s="14">
        <f>54.3666 * CHOOSE(CONTROL!$C$9, $D$9, 100%, $F$9) + CHOOSE(CONTROL!$C$27, 0.0021, 0)</f>
        <v>54.368699999999997</v>
      </c>
      <c r="J229" s="14">
        <f>54.3666 * CHOOSE(CONTROL!$C$9, $D$9, 100%, $F$9) + CHOOSE(CONTROL!$C$27, 0.0021, 0)</f>
        <v>54.368699999999997</v>
      </c>
      <c r="K229" s="14">
        <f>54.3666 * CHOOSE(CONTROL!$C$9, $D$9, 100%, $F$9) + CHOOSE(CONTROL!$C$27, 0.0021, 0)</f>
        <v>54.368699999999997</v>
      </c>
      <c r="L229" s="14"/>
    </row>
    <row r="230" spans="1:12" ht="15" x14ac:dyDescent="0.2">
      <c r="A230" s="13">
        <v>47908</v>
      </c>
      <c r="B230" s="14">
        <f>54.168 * CHOOSE(CONTROL!$C$9, $D$9, 100%, $F$9) + CHOOSE(CONTROL!$C$27, 0.0021, 0)</f>
        <v>54.170099999999998</v>
      </c>
      <c r="C230" s="14">
        <f>53.7357 * CHOOSE(CONTROL!$C$9, $D$9, 100%, $F$9) + CHOOSE(CONTROL!$C$27, 0.0021, 0)</f>
        <v>53.7378</v>
      </c>
      <c r="D230" s="14">
        <f>53.7357 * CHOOSE(CONTROL!$C$9, $D$9, 100%, $F$9) + CHOOSE(CONTROL!$C$27, 0.0021, 0)</f>
        <v>53.7378</v>
      </c>
      <c r="E230" s="14">
        <f>53.5991 * CHOOSE(CONTROL!$C$9, $D$9, 100%, $F$9) + CHOOSE(CONTROL!$C$27, 0.0021, 0)</f>
        <v>53.601199999999999</v>
      </c>
      <c r="F230" s="14">
        <f>53.5991 * CHOOSE(CONTROL!$C$9, $D$9, 100%, $F$9) + CHOOSE(CONTROL!$C$27, 0.0021, 0)</f>
        <v>53.601199999999999</v>
      </c>
      <c r="G230" s="14">
        <f>53.8704 * CHOOSE(CONTROL!$C$9, $D$9, 100%, $F$9) + CHOOSE(CONTROL!$C$27, 0.0021, 0)</f>
        <v>53.872499999999995</v>
      </c>
      <c r="H230" s="14">
        <f>53.7357 * CHOOSE(CONTROL!$C$9, $D$9, 100%, $F$9) + CHOOSE(CONTROL!$C$27, 0.0021, 0)</f>
        <v>53.7378</v>
      </c>
      <c r="I230" s="14">
        <f>53.7357 * CHOOSE(CONTROL!$C$9, $D$9, 100%, $F$9) + CHOOSE(CONTROL!$C$27, 0.0021, 0)</f>
        <v>53.7378</v>
      </c>
      <c r="J230" s="14">
        <f>53.7357 * CHOOSE(CONTROL!$C$9, $D$9, 100%, $F$9) + CHOOSE(CONTROL!$C$27, 0.0021, 0)</f>
        <v>53.7378</v>
      </c>
      <c r="K230" s="14">
        <f>53.7357 * CHOOSE(CONTROL!$C$9, $D$9, 100%, $F$9) + CHOOSE(CONTROL!$C$27, 0.0021, 0)</f>
        <v>53.7378</v>
      </c>
      <c r="L230" s="14"/>
    </row>
    <row r="231" spans="1:12" ht="15" x14ac:dyDescent="0.2">
      <c r="A231" s="13">
        <v>47939</v>
      </c>
      <c r="B231" s="14">
        <f>53.4146 * CHOOSE(CONTROL!$C$9, $D$9, 100%, $F$9) + CHOOSE(CONTROL!$C$27, 0.0021, 0)</f>
        <v>53.416699999999999</v>
      </c>
      <c r="C231" s="14">
        <f>52.9824 * CHOOSE(CONTROL!$C$9, $D$9, 100%, $F$9) + CHOOSE(CONTROL!$C$27, 0.0021, 0)</f>
        <v>52.984499999999997</v>
      </c>
      <c r="D231" s="14">
        <f>52.9824 * CHOOSE(CONTROL!$C$9, $D$9, 100%, $F$9) + CHOOSE(CONTROL!$C$27, 0.0021, 0)</f>
        <v>52.984499999999997</v>
      </c>
      <c r="E231" s="14">
        <f>52.8457 * CHOOSE(CONTROL!$C$9, $D$9, 100%, $F$9) + CHOOSE(CONTROL!$C$27, 0.0021, 0)</f>
        <v>52.847799999999999</v>
      </c>
      <c r="F231" s="14">
        <f>52.8457 * CHOOSE(CONTROL!$C$9, $D$9, 100%, $F$9) + CHOOSE(CONTROL!$C$27, 0.0021, 0)</f>
        <v>52.847799999999999</v>
      </c>
      <c r="G231" s="14">
        <f>53.1171 * CHOOSE(CONTROL!$C$9, $D$9, 100%, $F$9) + CHOOSE(CONTROL!$C$27, 0.0021, 0)</f>
        <v>53.119199999999999</v>
      </c>
      <c r="H231" s="14">
        <f>52.9824 * CHOOSE(CONTROL!$C$9, $D$9, 100%, $F$9) + CHOOSE(CONTROL!$C$27, 0.0021, 0)</f>
        <v>52.984499999999997</v>
      </c>
      <c r="I231" s="14">
        <f>52.9824 * CHOOSE(CONTROL!$C$9, $D$9, 100%, $F$9) + CHOOSE(CONTROL!$C$27, 0.0021, 0)</f>
        <v>52.984499999999997</v>
      </c>
      <c r="J231" s="14">
        <f>52.9824 * CHOOSE(CONTROL!$C$9, $D$9, 100%, $F$9) + CHOOSE(CONTROL!$C$27, 0.0021, 0)</f>
        <v>52.984499999999997</v>
      </c>
      <c r="K231" s="14">
        <f>52.9824 * CHOOSE(CONTROL!$C$9, $D$9, 100%, $F$9) + CHOOSE(CONTROL!$C$27, 0.0021, 0)</f>
        <v>52.984499999999997</v>
      </c>
      <c r="L231" s="14"/>
    </row>
    <row r="232" spans="1:12" ht="15" x14ac:dyDescent="0.2">
      <c r="A232" s="13">
        <v>47969</v>
      </c>
      <c r="B232" s="14">
        <f>54.4882 * CHOOSE(CONTROL!$C$9, $D$9, 100%, $F$9) + CHOOSE(CONTROL!$C$27, 0.0021, 0)</f>
        <v>54.490299999999998</v>
      </c>
      <c r="C232" s="14">
        <f>54.056 * CHOOSE(CONTROL!$C$9, $D$9, 100%, $F$9) + CHOOSE(CONTROL!$C$27, 0.0021, 0)</f>
        <v>54.058099999999996</v>
      </c>
      <c r="D232" s="14">
        <f>54.056 * CHOOSE(CONTROL!$C$9, $D$9, 100%, $F$9) + CHOOSE(CONTROL!$C$27, 0.0021, 0)</f>
        <v>54.058099999999996</v>
      </c>
      <c r="E232" s="14">
        <f>53.9193 * CHOOSE(CONTROL!$C$9, $D$9, 100%, $F$9) + CHOOSE(CONTROL!$C$27, 0.0021, 0)</f>
        <v>53.921399999999998</v>
      </c>
      <c r="F232" s="14">
        <f>53.9193 * CHOOSE(CONTROL!$C$9, $D$9, 100%, $F$9) + CHOOSE(CONTROL!$C$27, 0.0021, 0)</f>
        <v>53.921399999999998</v>
      </c>
      <c r="G232" s="14">
        <f>54.1907 * CHOOSE(CONTROL!$C$9, $D$9, 100%, $F$9) + CHOOSE(CONTROL!$C$27, 0.0021, 0)</f>
        <v>54.192799999999998</v>
      </c>
      <c r="H232" s="14">
        <f>54.056 * CHOOSE(CONTROL!$C$9, $D$9, 100%, $F$9) + CHOOSE(CONTROL!$C$27, 0.0021, 0)</f>
        <v>54.058099999999996</v>
      </c>
      <c r="I232" s="14">
        <f>54.056 * CHOOSE(CONTROL!$C$9, $D$9, 100%, $F$9) + CHOOSE(CONTROL!$C$27, 0.0021, 0)</f>
        <v>54.058099999999996</v>
      </c>
      <c r="J232" s="14">
        <f>54.056 * CHOOSE(CONTROL!$C$9, $D$9, 100%, $F$9) + CHOOSE(CONTROL!$C$27, 0.0021, 0)</f>
        <v>54.058099999999996</v>
      </c>
      <c r="K232" s="14">
        <f>54.056 * CHOOSE(CONTROL!$C$9, $D$9, 100%, $F$9) + CHOOSE(CONTROL!$C$27, 0.0021, 0)</f>
        <v>54.058099999999996</v>
      </c>
      <c r="L232" s="14"/>
    </row>
    <row r="233" spans="1:12" ht="15" x14ac:dyDescent="0.2">
      <c r="A233" s="13">
        <v>48000</v>
      </c>
      <c r="B233" s="14">
        <f>55.1313 * CHOOSE(CONTROL!$C$9, $D$9, 100%, $F$9) + CHOOSE(CONTROL!$C$27, 0.0021, 0)</f>
        <v>55.133400000000002</v>
      </c>
      <c r="C233" s="14">
        <f>54.699 * CHOOSE(CONTROL!$C$9, $D$9, 100%, $F$9) + CHOOSE(CONTROL!$C$27, 0.0021, 0)</f>
        <v>54.701099999999997</v>
      </c>
      <c r="D233" s="14">
        <f>54.699 * CHOOSE(CONTROL!$C$9, $D$9, 100%, $F$9) + CHOOSE(CONTROL!$C$27, 0.0021, 0)</f>
        <v>54.701099999999997</v>
      </c>
      <c r="E233" s="14">
        <f>54.5624 * CHOOSE(CONTROL!$C$9, $D$9, 100%, $F$9) + CHOOSE(CONTROL!$C$27, 0.0021, 0)</f>
        <v>54.564499999999995</v>
      </c>
      <c r="F233" s="14">
        <f>54.5624 * CHOOSE(CONTROL!$C$9, $D$9, 100%, $F$9) + CHOOSE(CONTROL!$C$27, 0.0021, 0)</f>
        <v>54.564499999999995</v>
      </c>
      <c r="G233" s="14">
        <f>54.8337 * CHOOSE(CONTROL!$C$9, $D$9, 100%, $F$9) + CHOOSE(CONTROL!$C$27, 0.0021, 0)</f>
        <v>54.835799999999999</v>
      </c>
      <c r="H233" s="14">
        <f>54.699 * CHOOSE(CONTROL!$C$9, $D$9, 100%, $F$9) + CHOOSE(CONTROL!$C$27, 0.0021, 0)</f>
        <v>54.701099999999997</v>
      </c>
      <c r="I233" s="14">
        <f>54.699 * CHOOSE(CONTROL!$C$9, $D$9, 100%, $F$9) + CHOOSE(CONTROL!$C$27, 0.0021, 0)</f>
        <v>54.701099999999997</v>
      </c>
      <c r="J233" s="14">
        <f>54.699 * CHOOSE(CONTROL!$C$9, $D$9, 100%, $F$9) + CHOOSE(CONTROL!$C$27, 0.0021, 0)</f>
        <v>54.701099999999997</v>
      </c>
      <c r="K233" s="14">
        <f>54.699 * CHOOSE(CONTROL!$C$9, $D$9, 100%, $F$9) + CHOOSE(CONTROL!$C$27, 0.0021, 0)</f>
        <v>54.701099999999997</v>
      </c>
      <c r="L233" s="14"/>
    </row>
    <row r="234" spans="1:12" ht="15" x14ac:dyDescent="0.2">
      <c r="A234" s="13">
        <v>48030</v>
      </c>
      <c r="B234" s="14">
        <f>56.192 * CHOOSE(CONTROL!$C$9, $D$9, 100%, $F$9) + CHOOSE(CONTROL!$C$27, 0.0021, 0)</f>
        <v>56.194099999999999</v>
      </c>
      <c r="C234" s="14">
        <f>55.7598 * CHOOSE(CONTROL!$C$9, $D$9, 100%, $F$9) + CHOOSE(CONTROL!$C$27, 0.0021, 0)</f>
        <v>55.761899999999997</v>
      </c>
      <c r="D234" s="14">
        <f>55.7598 * CHOOSE(CONTROL!$C$9, $D$9, 100%, $F$9) + CHOOSE(CONTROL!$C$27, 0.0021, 0)</f>
        <v>55.761899999999997</v>
      </c>
      <c r="E234" s="14">
        <f>55.6231 * CHOOSE(CONTROL!$C$9, $D$9, 100%, $F$9) + CHOOSE(CONTROL!$C$27, 0.0021, 0)</f>
        <v>55.6252</v>
      </c>
      <c r="F234" s="14">
        <f>55.6231 * CHOOSE(CONTROL!$C$9, $D$9, 100%, $F$9) + CHOOSE(CONTROL!$C$27, 0.0021, 0)</f>
        <v>55.6252</v>
      </c>
      <c r="G234" s="14">
        <f>55.8945 * CHOOSE(CONTROL!$C$9, $D$9, 100%, $F$9) + CHOOSE(CONTROL!$C$27, 0.0021, 0)</f>
        <v>55.896599999999999</v>
      </c>
      <c r="H234" s="14">
        <f>55.7598 * CHOOSE(CONTROL!$C$9, $D$9, 100%, $F$9) + CHOOSE(CONTROL!$C$27, 0.0021, 0)</f>
        <v>55.761899999999997</v>
      </c>
      <c r="I234" s="14">
        <f>55.7598 * CHOOSE(CONTROL!$C$9, $D$9, 100%, $F$9) + CHOOSE(CONTROL!$C$27, 0.0021, 0)</f>
        <v>55.761899999999997</v>
      </c>
      <c r="J234" s="14">
        <f>55.7598 * CHOOSE(CONTROL!$C$9, $D$9, 100%, $F$9) + CHOOSE(CONTROL!$C$27, 0.0021, 0)</f>
        <v>55.761899999999997</v>
      </c>
      <c r="K234" s="14">
        <f>55.7598 * CHOOSE(CONTROL!$C$9, $D$9, 100%, $F$9) + CHOOSE(CONTROL!$C$27, 0.0021, 0)</f>
        <v>55.761899999999997</v>
      </c>
      <c r="L234" s="14"/>
    </row>
    <row r="235" spans="1:12" ht="15" x14ac:dyDescent="0.2">
      <c r="A235" s="13">
        <v>48061</v>
      </c>
      <c r="B235" s="14">
        <f>56.5158 * CHOOSE(CONTROL!$C$9, $D$9, 100%, $F$9) + CHOOSE(CONTROL!$C$27, 0.0021, 0)</f>
        <v>56.517899999999997</v>
      </c>
      <c r="C235" s="14">
        <f>56.0836 * CHOOSE(CONTROL!$C$9, $D$9, 100%, $F$9) + CHOOSE(CONTROL!$C$27, 0.0021, 0)</f>
        <v>56.085699999999996</v>
      </c>
      <c r="D235" s="14">
        <f>56.0836 * CHOOSE(CONTROL!$C$9, $D$9, 100%, $F$9) + CHOOSE(CONTROL!$C$27, 0.0021, 0)</f>
        <v>56.085699999999996</v>
      </c>
      <c r="E235" s="14">
        <f>55.9469 * CHOOSE(CONTROL!$C$9, $D$9, 100%, $F$9) + CHOOSE(CONTROL!$C$27, 0.0021, 0)</f>
        <v>55.948999999999998</v>
      </c>
      <c r="F235" s="14">
        <f>55.9469 * CHOOSE(CONTROL!$C$9, $D$9, 100%, $F$9) + CHOOSE(CONTROL!$C$27, 0.0021, 0)</f>
        <v>55.948999999999998</v>
      </c>
      <c r="G235" s="14">
        <f>56.2183 * CHOOSE(CONTROL!$C$9, $D$9, 100%, $F$9) + CHOOSE(CONTROL!$C$27, 0.0021, 0)</f>
        <v>56.220399999999998</v>
      </c>
      <c r="H235" s="14">
        <f>56.0836 * CHOOSE(CONTROL!$C$9, $D$9, 100%, $F$9) + CHOOSE(CONTROL!$C$27, 0.0021, 0)</f>
        <v>56.085699999999996</v>
      </c>
      <c r="I235" s="14">
        <f>56.0836 * CHOOSE(CONTROL!$C$9, $D$9, 100%, $F$9) + CHOOSE(CONTROL!$C$27, 0.0021, 0)</f>
        <v>56.085699999999996</v>
      </c>
      <c r="J235" s="14">
        <f>56.0836 * CHOOSE(CONTROL!$C$9, $D$9, 100%, $F$9) + CHOOSE(CONTROL!$C$27, 0.0021, 0)</f>
        <v>56.085699999999996</v>
      </c>
      <c r="K235" s="14">
        <f>56.0836 * CHOOSE(CONTROL!$C$9, $D$9, 100%, $F$9) + CHOOSE(CONTROL!$C$27, 0.0021, 0)</f>
        <v>56.085699999999996</v>
      </c>
      <c r="L235" s="14"/>
    </row>
    <row r="236" spans="1:12" ht="15" x14ac:dyDescent="0.2">
      <c r="A236" s="13">
        <v>48092</v>
      </c>
      <c r="B236" s="14">
        <f>57.6184 * CHOOSE(CONTROL!$C$9, $D$9, 100%, $F$9) + CHOOSE(CONTROL!$C$27, 0.0021, 0)</f>
        <v>57.6205</v>
      </c>
      <c r="C236" s="14">
        <f>57.1862 * CHOOSE(CONTROL!$C$9, $D$9, 100%, $F$9) + CHOOSE(CONTROL!$C$27, 0.0021, 0)</f>
        <v>57.188299999999998</v>
      </c>
      <c r="D236" s="14">
        <f>57.1862 * CHOOSE(CONTROL!$C$9, $D$9, 100%, $F$9) + CHOOSE(CONTROL!$C$27, 0.0021, 0)</f>
        <v>57.188299999999998</v>
      </c>
      <c r="E236" s="14">
        <f>57.0495 * CHOOSE(CONTROL!$C$9, $D$9, 100%, $F$9) + CHOOSE(CONTROL!$C$27, 0.0021, 0)</f>
        <v>57.051600000000001</v>
      </c>
      <c r="F236" s="14">
        <f>57.0495 * CHOOSE(CONTROL!$C$9, $D$9, 100%, $F$9) + CHOOSE(CONTROL!$C$27, 0.0021, 0)</f>
        <v>57.051600000000001</v>
      </c>
      <c r="G236" s="14">
        <f>57.3209 * CHOOSE(CONTROL!$C$9, $D$9, 100%, $F$9) + CHOOSE(CONTROL!$C$27, 0.0021, 0)</f>
        <v>57.323</v>
      </c>
      <c r="H236" s="14">
        <f>57.1862 * CHOOSE(CONTROL!$C$9, $D$9, 100%, $F$9) + CHOOSE(CONTROL!$C$27, 0.0021, 0)</f>
        <v>57.188299999999998</v>
      </c>
      <c r="I236" s="14">
        <f>57.1862 * CHOOSE(CONTROL!$C$9, $D$9, 100%, $F$9) + CHOOSE(CONTROL!$C$27, 0.0021, 0)</f>
        <v>57.188299999999998</v>
      </c>
      <c r="J236" s="14">
        <f>57.1862 * CHOOSE(CONTROL!$C$9, $D$9, 100%, $F$9) + CHOOSE(CONTROL!$C$27, 0.0021, 0)</f>
        <v>57.188299999999998</v>
      </c>
      <c r="K236" s="14">
        <f>57.1862 * CHOOSE(CONTROL!$C$9, $D$9, 100%, $F$9) + CHOOSE(CONTROL!$C$27, 0.0021, 0)</f>
        <v>57.188299999999998</v>
      </c>
      <c r="L236" s="14"/>
    </row>
    <row r="237" spans="1:12" ht="15" x14ac:dyDescent="0.2">
      <c r="A237" s="13">
        <v>48122</v>
      </c>
      <c r="B237" s="14">
        <f>59.0142 * CHOOSE(CONTROL!$C$9, $D$9, 100%, $F$9) + CHOOSE(CONTROL!$C$27, 0.0021, 0)</f>
        <v>59.016300000000001</v>
      </c>
      <c r="C237" s="14">
        <f>58.5819 * CHOOSE(CONTROL!$C$9, $D$9, 100%, $F$9) + CHOOSE(CONTROL!$C$27, 0.0021, 0)</f>
        <v>58.583999999999996</v>
      </c>
      <c r="D237" s="14">
        <f>58.5819 * CHOOSE(CONTROL!$C$9, $D$9, 100%, $F$9) + CHOOSE(CONTROL!$C$27, 0.0021, 0)</f>
        <v>58.583999999999996</v>
      </c>
      <c r="E237" s="14">
        <f>58.4453 * CHOOSE(CONTROL!$C$9, $D$9, 100%, $F$9) + CHOOSE(CONTROL!$C$27, 0.0021, 0)</f>
        <v>58.447400000000002</v>
      </c>
      <c r="F237" s="14">
        <f>58.4453 * CHOOSE(CONTROL!$C$9, $D$9, 100%, $F$9) + CHOOSE(CONTROL!$C$27, 0.0021, 0)</f>
        <v>58.447400000000002</v>
      </c>
      <c r="G237" s="14">
        <f>58.7167 * CHOOSE(CONTROL!$C$9, $D$9, 100%, $F$9) + CHOOSE(CONTROL!$C$27, 0.0021, 0)</f>
        <v>58.718800000000002</v>
      </c>
      <c r="H237" s="14">
        <f>58.5819 * CHOOSE(CONTROL!$C$9, $D$9, 100%, $F$9) + CHOOSE(CONTROL!$C$27, 0.0021, 0)</f>
        <v>58.583999999999996</v>
      </c>
      <c r="I237" s="14">
        <f>58.5819 * CHOOSE(CONTROL!$C$9, $D$9, 100%, $F$9) + CHOOSE(CONTROL!$C$27, 0.0021, 0)</f>
        <v>58.583999999999996</v>
      </c>
      <c r="J237" s="14">
        <f>58.5819 * CHOOSE(CONTROL!$C$9, $D$9, 100%, $F$9) + CHOOSE(CONTROL!$C$27, 0.0021, 0)</f>
        <v>58.583999999999996</v>
      </c>
      <c r="K237" s="14">
        <f>58.5819 * CHOOSE(CONTROL!$C$9, $D$9, 100%, $F$9) + CHOOSE(CONTROL!$C$27, 0.0021, 0)</f>
        <v>58.583999999999996</v>
      </c>
      <c r="L237" s="14"/>
    </row>
    <row r="238" spans="1:12" ht="15" x14ac:dyDescent="0.2">
      <c r="A238" s="13">
        <v>48153</v>
      </c>
      <c r="B238" s="14">
        <f>59.1452 * CHOOSE(CONTROL!$C$9, $D$9, 100%, $F$9) + CHOOSE(CONTROL!$C$27, 0.0021, 0)</f>
        <v>59.147300000000001</v>
      </c>
      <c r="C238" s="14">
        <f>58.713 * CHOOSE(CONTROL!$C$9, $D$9, 100%, $F$9) + CHOOSE(CONTROL!$C$27, 0.0021, 0)</f>
        <v>58.7151</v>
      </c>
      <c r="D238" s="14">
        <f>58.713 * CHOOSE(CONTROL!$C$9, $D$9, 100%, $F$9) + CHOOSE(CONTROL!$C$27, 0.0021, 0)</f>
        <v>58.7151</v>
      </c>
      <c r="E238" s="14">
        <f>58.5763 * CHOOSE(CONTROL!$C$9, $D$9, 100%, $F$9) + CHOOSE(CONTROL!$C$27, 0.0021, 0)</f>
        <v>58.578400000000002</v>
      </c>
      <c r="F238" s="14">
        <f>58.5763 * CHOOSE(CONTROL!$C$9, $D$9, 100%, $F$9) + CHOOSE(CONTROL!$C$27, 0.0021, 0)</f>
        <v>58.578400000000002</v>
      </c>
      <c r="G238" s="14">
        <f>58.8477 * CHOOSE(CONTROL!$C$9, $D$9, 100%, $F$9) + CHOOSE(CONTROL!$C$27, 0.0021, 0)</f>
        <v>58.849800000000002</v>
      </c>
      <c r="H238" s="14">
        <f>58.713 * CHOOSE(CONTROL!$C$9, $D$9, 100%, $F$9) + CHOOSE(CONTROL!$C$27, 0.0021, 0)</f>
        <v>58.7151</v>
      </c>
      <c r="I238" s="14">
        <f>58.713 * CHOOSE(CONTROL!$C$9, $D$9, 100%, $F$9) + CHOOSE(CONTROL!$C$27, 0.0021, 0)</f>
        <v>58.7151</v>
      </c>
      <c r="J238" s="14">
        <f>58.713 * CHOOSE(CONTROL!$C$9, $D$9, 100%, $F$9) + CHOOSE(CONTROL!$C$27, 0.0021, 0)</f>
        <v>58.7151</v>
      </c>
      <c r="K238" s="14">
        <f>58.713 * CHOOSE(CONTROL!$C$9, $D$9, 100%, $F$9) + CHOOSE(CONTROL!$C$27, 0.0021, 0)</f>
        <v>58.7151</v>
      </c>
      <c r="L238" s="14"/>
    </row>
    <row r="239" spans="1:12" ht="15" x14ac:dyDescent="0.2">
      <c r="A239" s="13">
        <v>48183</v>
      </c>
      <c r="B239" s="14">
        <f>58.0305 * CHOOSE(CONTROL!$C$9, $D$9, 100%, $F$9) + CHOOSE(CONTROL!$C$27, 0.0021, 0)</f>
        <v>58.032600000000002</v>
      </c>
      <c r="C239" s="14">
        <f>57.5982 * CHOOSE(CONTROL!$C$9, $D$9, 100%, $F$9) + CHOOSE(CONTROL!$C$27, 0.0021, 0)</f>
        <v>57.600299999999997</v>
      </c>
      <c r="D239" s="14">
        <f>57.5982 * CHOOSE(CONTROL!$C$9, $D$9, 100%, $F$9) + CHOOSE(CONTROL!$C$27, 0.0021, 0)</f>
        <v>57.600299999999997</v>
      </c>
      <c r="E239" s="14">
        <f>57.4616 * CHOOSE(CONTROL!$C$9, $D$9, 100%, $F$9) + CHOOSE(CONTROL!$C$27, 0.0021, 0)</f>
        <v>57.463699999999996</v>
      </c>
      <c r="F239" s="14">
        <f>57.4616 * CHOOSE(CONTROL!$C$9, $D$9, 100%, $F$9) + CHOOSE(CONTROL!$C$27, 0.0021, 0)</f>
        <v>57.463699999999996</v>
      </c>
      <c r="G239" s="14">
        <f>57.7329 * CHOOSE(CONTROL!$C$9, $D$9, 100%, $F$9) + CHOOSE(CONTROL!$C$27, 0.0021, 0)</f>
        <v>57.734999999999999</v>
      </c>
      <c r="H239" s="14">
        <f>57.5982 * CHOOSE(CONTROL!$C$9, $D$9, 100%, $F$9) + CHOOSE(CONTROL!$C$27, 0.0021, 0)</f>
        <v>57.600299999999997</v>
      </c>
      <c r="I239" s="14">
        <f>57.5982 * CHOOSE(CONTROL!$C$9, $D$9, 100%, $F$9) + CHOOSE(CONTROL!$C$27, 0.0021, 0)</f>
        <v>57.600299999999997</v>
      </c>
      <c r="J239" s="14">
        <f>57.5982 * CHOOSE(CONTROL!$C$9, $D$9, 100%, $F$9) + CHOOSE(CONTROL!$C$27, 0.0021, 0)</f>
        <v>57.600299999999997</v>
      </c>
      <c r="K239" s="14">
        <f>57.5982 * CHOOSE(CONTROL!$C$9, $D$9, 100%, $F$9) + CHOOSE(CONTROL!$C$27, 0.0021, 0)</f>
        <v>57.600299999999997</v>
      </c>
      <c r="L239" s="14"/>
    </row>
    <row r="240" spans="1:12" ht="15" x14ac:dyDescent="0.2">
      <c r="A240" s="13">
        <v>48214</v>
      </c>
      <c r="B240" s="14">
        <f>57.3259 * CHOOSE(CONTROL!$C$9, $D$9, 100%, $F$9) + CHOOSE(CONTROL!$C$27, 0.0021, 0)</f>
        <v>57.327999999999996</v>
      </c>
      <c r="C240" s="14">
        <f>56.8936 * CHOOSE(CONTROL!$C$9, $D$9, 100%, $F$9) + CHOOSE(CONTROL!$C$27, 0.0021, 0)</f>
        <v>56.895699999999998</v>
      </c>
      <c r="D240" s="14">
        <f>56.8936 * CHOOSE(CONTROL!$C$9, $D$9, 100%, $F$9) + CHOOSE(CONTROL!$C$27, 0.0021, 0)</f>
        <v>56.895699999999998</v>
      </c>
      <c r="E240" s="14">
        <f>56.757 * CHOOSE(CONTROL!$C$9, $D$9, 100%, $F$9) + CHOOSE(CONTROL!$C$27, 0.0021, 0)</f>
        <v>56.759099999999997</v>
      </c>
      <c r="F240" s="14">
        <f>56.757 * CHOOSE(CONTROL!$C$9, $D$9, 100%, $F$9) + CHOOSE(CONTROL!$C$27, 0.0021, 0)</f>
        <v>56.759099999999997</v>
      </c>
      <c r="G240" s="14">
        <f>57.0284 * CHOOSE(CONTROL!$C$9, $D$9, 100%, $F$9) + CHOOSE(CONTROL!$C$27, 0.0021, 0)</f>
        <v>57.030499999999996</v>
      </c>
      <c r="H240" s="14">
        <f>56.8936 * CHOOSE(CONTROL!$C$9, $D$9, 100%, $F$9) + CHOOSE(CONTROL!$C$27, 0.0021, 0)</f>
        <v>56.895699999999998</v>
      </c>
      <c r="I240" s="14">
        <f>56.8936 * CHOOSE(CONTROL!$C$9, $D$9, 100%, $F$9) + CHOOSE(CONTROL!$C$27, 0.0021, 0)</f>
        <v>56.895699999999998</v>
      </c>
      <c r="J240" s="14">
        <f>56.8936 * CHOOSE(CONTROL!$C$9, $D$9, 100%, $F$9) + CHOOSE(CONTROL!$C$27, 0.0021, 0)</f>
        <v>56.895699999999998</v>
      </c>
      <c r="K240" s="14">
        <f>56.8936 * CHOOSE(CONTROL!$C$9, $D$9, 100%, $F$9) + CHOOSE(CONTROL!$C$27, 0.0021, 0)</f>
        <v>56.895699999999998</v>
      </c>
      <c r="L240" s="14"/>
    </row>
    <row r="241" spans="1:12" ht="15" x14ac:dyDescent="0.2">
      <c r="A241" s="13">
        <v>48245</v>
      </c>
      <c r="B241" s="14">
        <f>55.7692 * CHOOSE(CONTROL!$C$9, $D$9, 100%, $F$9) + CHOOSE(CONTROL!$C$27, 0.0021, 0)</f>
        <v>55.771299999999997</v>
      </c>
      <c r="C241" s="14">
        <f>55.337 * CHOOSE(CONTROL!$C$9, $D$9, 100%, $F$9) + CHOOSE(CONTROL!$C$27, 0.0021, 0)</f>
        <v>55.339100000000002</v>
      </c>
      <c r="D241" s="14">
        <f>55.337 * CHOOSE(CONTROL!$C$9, $D$9, 100%, $F$9) + CHOOSE(CONTROL!$C$27, 0.0021, 0)</f>
        <v>55.339100000000002</v>
      </c>
      <c r="E241" s="14">
        <f>55.2003 * CHOOSE(CONTROL!$C$9, $D$9, 100%, $F$9) + CHOOSE(CONTROL!$C$27, 0.0021, 0)</f>
        <v>55.202399999999997</v>
      </c>
      <c r="F241" s="14">
        <f>55.2003 * CHOOSE(CONTROL!$C$9, $D$9, 100%, $F$9) + CHOOSE(CONTROL!$C$27, 0.0021, 0)</f>
        <v>55.202399999999997</v>
      </c>
      <c r="G241" s="14">
        <f>55.4717 * CHOOSE(CONTROL!$C$9, $D$9, 100%, $F$9) + CHOOSE(CONTROL!$C$27, 0.0021, 0)</f>
        <v>55.473799999999997</v>
      </c>
      <c r="H241" s="14">
        <f>55.337 * CHOOSE(CONTROL!$C$9, $D$9, 100%, $F$9) + CHOOSE(CONTROL!$C$27, 0.0021, 0)</f>
        <v>55.339100000000002</v>
      </c>
      <c r="I241" s="14">
        <f>55.337 * CHOOSE(CONTROL!$C$9, $D$9, 100%, $F$9) + CHOOSE(CONTROL!$C$27, 0.0021, 0)</f>
        <v>55.339100000000002</v>
      </c>
      <c r="J241" s="14">
        <f>55.337 * CHOOSE(CONTROL!$C$9, $D$9, 100%, $F$9) + CHOOSE(CONTROL!$C$27, 0.0021, 0)</f>
        <v>55.339100000000002</v>
      </c>
      <c r="K241" s="14">
        <f>55.337 * CHOOSE(CONTROL!$C$9, $D$9, 100%, $F$9) + CHOOSE(CONTROL!$C$27, 0.0021, 0)</f>
        <v>55.339100000000002</v>
      </c>
      <c r="L241" s="14"/>
    </row>
    <row r="242" spans="1:12" ht="15" x14ac:dyDescent="0.2">
      <c r="A242" s="13">
        <v>48274</v>
      </c>
      <c r="B242" s="14">
        <f>55.1267 * CHOOSE(CONTROL!$C$9, $D$9, 100%, $F$9) + CHOOSE(CONTROL!$C$27, 0.0021, 0)</f>
        <v>55.128799999999998</v>
      </c>
      <c r="C242" s="14">
        <f>54.6944 * CHOOSE(CONTROL!$C$9, $D$9, 100%, $F$9) + CHOOSE(CONTROL!$C$27, 0.0021, 0)</f>
        <v>54.6965</v>
      </c>
      <c r="D242" s="14">
        <f>54.6944 * CHOOSE(CONTROL!$C$9, $D$9, 100%, $F$9) + CHOOSE(CONTROL!$C$27, 0.0021, 0)</f>
        <v>54.6965</v>
      </c>
      <c r="E242" s="14">
        <f>54.5578 * CHOOSE(CONTROL!$C$9, $D$9, 100%, $F$9) + CHOOSE(CONTROL!$C$27, 0.0021, 0)</f>
        <v>54.559899999999999</v>
      </c>
      <c r="F242" s="14">
        <f>54.5578 * CHOOSE(CONTROL!$C$9, $D$9, 100%, $F$9) + CHOOSE(CONTROL!$C$27, 0.0021, 0)</f>
        <v>54.559899999999999</v>
      </c>
      <c r="G242" s="14">
        <f>54.8291 * CHOOSE(CONTROL!$C$9, $D$9, 100%, $F$9) + CHOOSE(CONTROL!$C$27, 0.0021, 0)</f>
        <v>54.831199999999995</v>
      </c>
      <c r="H242" s="14">
        <f>54.6944 * CHOOSE(CONTROL!$C$9, $D$9, 100%, $F$9) + CHOOSE(CONTROL!$C$27, 0.0021, 0)</f>
        <v>54.6965</v>
      </c>
      <c r="I242" s="14">
        <f>54.6944 * CHOOSE(CONTROL!$C$9, $D$9, 100%, $F$9) + CHOOSE(CONTROL!$C$27, 0.0021, 0)</f>
        <v>54.6965</v>
      </c>
      <c r="J242" s="14">
        <f>54.6944 * CHOOSE(CONTROL!$C$9, $D$9, 100%, $F$9) + CHOOSE(CONTROL!$C$27, 0.0021, 0)</f>
        <v>54.6965</v>
      </c>
      <c r="K242" s="14">
        <f>54.6944 * CHOOSE(CONTROL!$C$9, $D$9, 100%, $F$9) + CHOOSE(CONTROL!$C$27, 0.0021, 0)</f>
        <v>54.6965</v>
      </c>
      <c r="L242" s="14"/>
    </row>
    <row r="243" spans="1:12" ht="15" x14ac:dyDescent="0.2">
      <c r="A243" s="13">
        <v>48305</v>
      </c>
      <c r="B243" s="14">
        <f>54.3594 * CHOOSE(CONTROL!$C$9, $D$9, 100%, $F$9) + CHOOSE(CONTROL!$C$27, 0.0021, 0)</f>
        <v>54.361499999999999</v>
      </c>
      <c r="C243" s="14">
        <f>53.9272 * CHOOSE(CONTROL!$C$9, $D$9, 100%, $F$9) + CHOOSE(CONTROL!$C$27, 0.0021, 0)</f>
        <v>53.929299999999998</v>
      </c>
      <c r="D243" s="14">
        <f>53.9272 * CHOOSE(CONTROL!$C$9, $D$9, 100%, $F$9) + CHOOSE(CONTROL!$C$27, 0.0021, 0)</f>
        <v>53.929299999999998</v>
      </c>
      <c r="E243" s="14">
        <f>53.7905 * CHOOSE(CONTROL!$C$9, $D$9, 100%, $F$9) + CHOOSE(CONTROL!$C$27, 0.0021, 0)</f>
        <v>53.7926</v>
      </c>
      <c r="F243" s="14">
        <f>53.7905 * CHOOSE(CONTROL!$C$9, $D$9, 100%, $F$9) + CHOOSE(CONTROL!$C$27, 0.0021, 0)</f>
        <v>53.7926</v>
      </c>
      <c r="G243" s="14">
        <f>54.0619 * CHOOSE(CONTROL!$C$9, $D$9, 100%, $F$9) + CHOOSE(CONTROL!$C$27, 0.0021, 0)</f>
        <v>54.064</v>
      </c>
      <c r="H243" s="14">
        <f>53.9272 * CHOOSE(CONTROL!$C$9, $D$9, 100%, $F$9) + CHOOSE(CONTROL!$C$27, 0.0021, 0)</f>
        <v>53.929299999999998</v>
      </c>
      <c r="I243" s="14">
        <f>53.9272 * CHOOSE(CONTROL!$C$9, $D$9, 100%, $F$9) + CHOOSE(CONTROL!$C$27, 0.0021, 0)</f>
        <v>53.929299999999998</v>
      </c>
      <c r="J243" s="14">
        <f>53.9272 * CHOOSE(CONTROL!$C$9, $D$9, 100%, $F$9) + CHOOSE(CONTROL!$C$27, 0.0021, 0)</f>
        <v>53.929299999999998</v>
      </c>
      <c r="K243" s="14">
        <f>53.9272 * CHOOSE(CONTROL!$C$9, $D$9, 100%, $F$9) + CHOOSE(CONTROL!$C$27, 0.0021, 0)</f>
        <v>53.929299999999998</v>
      </c>
      <c r="L243" s="14"/>
    </row>
    <row r="244" spans="1:12" ht="15" x14ac:dyDescent="0.2">
      <c r="A244" s="13">
        <v>48335</v>
      </c>
      <c r="B244" s="14">
        <f>55.4528 * CHOOSE(CONTROL!$C$9, $D$9, 100%, $F$9) + CHOOSE(CONTROL!$C$27, 0.0021, 0)</f>
        <v>55.454900000000002</v>
      </c>
      <c r="C244" s="14">
        <f>55.0206 * CHOOSE(CONTROL!$C$9, $D$9, 100%, $F$9) + CHOOSE(CONTROL!$C$27, 0.0021, 0)</f>
        <v>55.0227</v>
      </c>
      <c r="D244" s="14">
        <f>55.0206 * CHOOSE(CONTROL!$C$9, $D$9, 100%, $F$9) + CHOOSE(CONTROL!$C$27, 0.0021, 0)</f>
        <v>55.0227</v>
      </c>
      <c r="E244" s="14">
        <f>54.8839 * CHOOSE(CONTROL!$C$9, $D$9, 100%, $F$9) + CHOOSE(CONTROL!$C$27, 0.0021, 0)</f>
        <v>54.885999999999996</v>
      </c>
      <c r="F244" s="14">
        <f>54.8839 * CHOOSE(CONTROL!$C$9, $D$9, 100%, $F$9) + CHOOSE(CONTROL!$C$27, 0.0021, 0)</f>
        <v>54.885999999999996</v>
      </c>
      <c r="G244" s="14">
        <f>55.1553 * CHOOSE(CONTROL!$C$9, $D$9, 100%, $F$9) + CHOOSE(CONTROL!$C$27, 0.0021, 0)</f>
        <v>55.157399999999996</v>
      </c>
      <c r="H244" s="14">
        <f>55.0206 * CHOOSE(CONTROL!$C$9, $D$9, 100%, $F$9) + CHOOSE(CONTROL!$C$27, 0.0021, 0)</f>
        <v>55.0227</v>
      </c>
      <c r="I244" s="14">
        <f>55.0206 * CHOOSE(CONTROL!$C$9, $D$9, 100%, $F$9) + CHOOSE(CONTROL!$C$27, 0.0021, 0)</f>
        <v>55.0227</v>
      </c>
      <c r="J244" s="14">
        <f>55.0206 * CHOOSE(CONTROL!$C$9, $D$9, 100%, $F$9) + CHOOSE(CONTROL!$C$27, 0.0021, 0)</f>
        <v>55.0227</v>
      </c>
      <c r="K244" s="14">
        <f>55.0206 * CHOOSE(CONTROL!$C$9, $D$9, 100%, $F$9) + CHOOSE(CONTROL!$C$27, 0.0021, 0)</f>
        <v>55.0227</v>
      </c>
      <c r="L244" s="14"/>
    </row>
    <row r="245" spans="1:12" ht="15" x14ac:dyDescent="0.2">
      <c r="A245" s="13">
        <v>48366</v>
      </c>
      <c r="B245" s="14">
        <f>56.1078 * CHOOSE(CONTROL!$C$9, $D$9, 100%, $F$9) + CHOOSE(CONTROL!$C$27, 0.0021, 0)</f>
        <v>56.109899999999996</v>
      </c>
      <c r="C245" s="14">
        <f>55.6755 * CHOOSE(CONTROL!$C$9, $D$9, 100%, $F$9) + CHOOSE(CONTROL!$C$27, 0.0021, 0)</f>
        <v>55.677599999999998</v>
      </c>
      <c r="D245" s="14">
        <f>55.6755 * CHOOSE(CONTROL!$C$9, $D$9, 100%, $F$9) + CHOOSE(CONTROL!$C$27, 0.0021, 0)</f>
        <v>55.677599999999998</v>
      </c>
      <c r="E245" s="14">
        <f>55.5389 * CHOOSE(CONTROL!$C$9, $D$9, 100%, $F$9) + CHOOSE(CONTROL!$C$27, 0.0021, 0)</f>
        <v>55.540999999999997</v>
      </c>
      <c r="F245" s="14">
        <f>55.5389 * CHOOSE(CONTROL!$C$9, $D$9, 100%, $F$9) + CHOOSE(CONTROL!$C$27, 0.0021, 0)</f>
        <v>55.540999999999997</v>
      </c>
      <c r="G245" s="14">
        <f>55.8102 * CHOOSE(CONTROL!$C$9, $D$9, 100%, $F$9) + CHOOSE(CONTROL!$C$27, 0.0021, 0)</f>
        <v>55.8123</v>
      </c>
      <c r="H245" s="14">
        <f>55.6755 * CHOOSE(CONTROL!$C$9, $D$9, 100%, $F$9) + CHOOSE(CONTROL!$C$27, 0.0021, 0)</f>
        <v>55.677599999999998</v>
      </c>
      <c r="I245" s="14">
        <f>55.6755 * CHOOSE(CONTROL!$C$9, $D$9, 100%, $F$9) + CHOOSE(CONTROL!$C$27, 0.0021, 0)</f>
        <v>55.677599999999998</v>
      </c>
      <c r="J245" s="14">
        <f>55.6755 * CHOOSE(CONTROL!$C$9, $D$9, 100%, $F$9) + CHOOSE(CONTROL!$C$27, 0.0021, 0)</f>
        <v>55.677599999999998</v>
      </c>
      <c r="K245" s="14">
        <f>55.6755 * CHOOSE(CONTROL!$C$9, $D$9, 100%, $F$9) + CHOOSE(CONTROL!$C$27, 0.0021, 0)</f>
        <v>55.677599999999998</v>
      </c>
      <c r="L245" s="14"/>
    </row>
    <row r="246" spans="1:12" ht="15" x14ac:dyDescent="0.2">
      <c r="A246" s="13">
        <v>48396</v>
      </c>
      <c r="B246" s="14">
        <f>57.1881 * CHOOSE(CONTROL!$C$9, $D$9, 100%, $F$9) + CHOOSE(CONTROL!$C$27, 0.0021, 0)</f>
        <v>57.190199999999997</v>
      </c>
      <c r="C246" s="14">
        <f>56.7559 * CHOOSE(CONTROL!$C$9, $D$9, 100%, $F$9) + CHOOSE(CONTROL!$C$27, 0.0021, 0)</f>
        <v>56.757999999999996</v>
      </c>
      <c r="D246" s="14">
        <f>56.7559 * CHOOSE(CONTROL!$C$9, $D$9, 100%, $F$9) + CHOOSE(CONTROL!$C$27, 0.0021, 0)</f>
        <v>56.757999999999996</v>
      </c>
      <c r="E246" s="14">
        <f>56.6192 * CHOOSE(CONTROL!$C$9, $D$9, 100%, $F$9) + CHOOSE(CONTROL!$C$27, 0.0021, 0)</f>
        <v>56.621299999999998</v>
      </c>
      <c r="F246" s="14">
        <f>56.6192 * CHOOSE(CONTROL!$C$9, $D$9, 100%, $F$9) + CHOOSE(CONTROL!$C$27, 0.0021, 0)</f>
        <v>56.621299999999998</v>
      </c>
      <c r="G246" s="14">
        <f>56.8906 * CHOOSE(CONTROL!$C$9, $D$9, 100%, $F$9) + CHOOSE(CONTROL!$C$27, 0.0021, 0)</f>
        <v>56.892699999999998</v>
      </c>
      <c r="H246" s="14">
        <f>56.7559 * CHOOSE(CONTROL!$C$9, $D$9, 100%, $F$9) + CHOOSE(CONTROL!$C$27, 0.0021, 0)</f>
        <v>56.757999999999996</v>
      </c>
      <c r="I246" s="14">
        <f>56.7559 * CHOOSE(CONTROL!$C$9, $D$9, 100%, $F$9) + CHOOSE(CONTROL!$C$27, 0.0021, 0)</f>
        <v>56.757999999999996</v>
      </c>
      <c r="J246" s="14">
        <f>56.7559 * CHOOSE(CONTROL!$C$9, $D$9, 100%, $F$9) + CHOOSE(CONTROL!$C$27, 0.0021, 0)</f>
        <v>56.757999999999996</v>
      </c>
      <c r="K246" s="14">
        <f>56.7559 * CHOOSE(CONTROL!$C$9, $D$9, 100%, $F$9) + CHOOSE(CONTROL!$C$27, 0.0021, 0)</f>
        <v>56.757999999999996</v>
      </c>
      <c r="L246" s="14"/>
    </row>
    <row r="247" spans="1:12" ht="15" x14ac:dyDescent="0.2">
      <c r="A247" s="13">
        <v>48427</v>
      </c>
      <c r="B247" s="14">
        <f>57.5179 * CHOOSE(CONTROL!$C$9, $D$9, 100%, $F$9) + CHOOSE(CONTROL!$C$27, 0.0021, 0)</f>
        <v>57.519999999999996</v>
      </c>
      <c r="C247" s="14">
        <f>57.0857 * CHOOSE(CONTROL!$C$9, $D$9, 100%, $F$9) + CHOOSE(CONTROL!$C$27, 0.0021, 0)</f>
        <v>57.087800000000001</v>
      </c>
      <c r="D247" s="14">
        <f>57.0857 * CHOOSE(CONTROL!$C$9, $D$9, 100%, $F$9) + CHOOSE(CONTROL!$C$27, 0.0021, 0)</f>
        <v>57.087800000000001</v>
      </c>
      <c r="E247" s="14">
        <f>56.949 * CHOOSE(CONTROL!$C$9, $D$9, 100%, $F$9) + CHOOSE(CONTROL!$C$27, 0.0021, 0)</f>
        <v>56.951099999999997</v>
      </c>
      <c r="F247" s="14">
        <f>56.949 * CHOOSE(CONTROL!$C$9, $D$9, 100%, $F$9) + CHOOSE(CONTROL!$C$27, 0.0021, 0)</f>
        <v>56.951099999999997</v>
      </c>
      <c r="G247" s="14">
        <f>57.2204 * CHOOSE(CONTROL!$C$9, $D$9, 100%, $F$9) + CHOOSE(CONTROL!$C$27, 0.0021, 0)</f>
        <v>57.222499999999997</v>
      </c>
      <c r="H247" s="14">
        <f>57.0857 * CHOOSE(CONTROL!$C$9, $D$9, 100%, $F$9) + CHOOSE(CONTROL!$C$27, 0.0021, 0)</f>
        <v>57.087800000000001</v>
      </c>
      <c r="I247" s="14">
        <f>57.0857 * CHOOSE(CONTROL!$C$9, $D$9, 100%, $F$9) + CHOOSE(CONTROL!$C$27, 0.0021, 0)</f>
        <v>57.087800000000001</v>
      </c>
      <c r="J247" s="14">
        <f>57.0857 * CHOOSE(CONTROL!$C$9, $D$9, 100%, $F$9) + CHOOSE(CONTROL!$C$27, 0.0021, 0)</f>
        <v>57.087800000000001</v>
      </c>
      <c r="K247" s="14">
        <f>57.0857 * CHOOSE(CONTROL!$C$9, $D$9, 100%, $F$9) + CHOOSE(CONTROL!$C$27, 0.0021, 0)</f>
        <v>57.087800000000001</v>
      </c>
      <c r="L247" s="14"/>
    </row>
    <row r="248" spans="1:12" ht="15" x14ac:dyDescent="0.2">
      <c r="A248" s="13">
        <v>48458</v>
      </c>
      <c r="B248" s="14">
        <f>58.6409 * CHOOSE(CONTROL!$C$9, $D$9, 100%, $F$9) + CHOOSE(CONTROL!$C$27, 0.0021, 0)</f>
        <v>58.643000000000001</v>
      </c>
      <c r="C248" s="14">
        <f>58.2087 * CHOOSE(CONTROL!$C$9, $D$9, 100%, $F$9) + CHOOSE(CONTROL!$C$27, 0.0021, 0)</f>
        <v>58.210799999999999</v>
      </c>
      <c r="D248" s="14">
        <f>58.2087 * CHOOSE(CONTROL!$C$9, $D$9, 100%, $F$9) + CHOOSE(CONTROL!$C$27, 0.0021, 0)</f>
        <v>58.210799999999999</v>
      </c>
      <c r="E248" s="14">
        <f>58.072 * CHOOSE(CONTROL!$C$9, $D$9, 100%, $F$9) + CHOOSE(CONTROL!$C$27, 0.0021, 0)</f>
        <v>58.074100000000001</v>
      </c>
      <c r="F248" s="14">
        <f>58.072 * CHOOSE(CONTROL!$C$9, $D$9, 100%, $F$9) + CHOOSE(CONTROL!$C$27, 0.0021, 0)</f>
        <v>58.074100000000001</v>
      </c>
      <c r="G248" s="14">
        <f>58.3434 * CHOOSE(CONTROL!$C$9, $D$9, 100%, $F$9) + CHOOSE(CONTROL!$C$27, 0.0021, 0)</f>
        <v>58.345500000000001</v>
      </c>
      <c r="H248" s="14">
        <f>58.2087 * CHOOSE(CONTROL!$C$9, $D$9, 100%, $F$9) + CHOOSE(CONTROL!$C$27, 0.0021, 0)</f>
        <v>58.210799999999999</v>
      </c>
      <c r="I248" s="14">
        <f>58.2087 * CHOOSE(CONTROL!$C$9, $D$9, 100%, $F$9) + CHOOSE(CONTROL!$C$27, 0.0021, 0)</f>
        <v>58.210799999999999</v>
      </c>
      <c r="J248" s="14">
        <f>58.2087 * CHOOSE(CONTROL!$C$9, $D$9, 100%, $F$9) + CHOOSE(CONTROL!$C$27, 0.0021, 0)</f>
        <v>58.210799999999999</v>
      </c>
      <c r="K248" s="14">
        <f>58.2087 * CHOOSE(CONTROL!$C$9, $D$9, 100%, $F$9) + CHOOSE(CONTROL!$C$27, 0.0021, 0)</f>
        <v>58.210799999999999</v>
      </c>
      <c r="L248" s="14"/>
    </row>
    <row r="249" spans="1:12" ht="15" x14ac:dyDescent="0.2">
      <c r="A249" s="13">
        <v>48488</v>
      </c>
      <c r="B249" s="14">
        <f>60.0625 * CHOOSE(CONTROL!$C$9, $D$9, 100%, $F$9) + CHOOSE(CONTROL!$C$27, 0.0021, 0)</f>
        <v>60.064599999999999</v>
      </c>
      <c r="C249" s="14">
        <f>59.6302 * CHOOSE(CONTROL!$C$9, $D$9, 100%, $F$9) + CHOOSE(CONTROL!$C$27, 0.0021, 0)</f>
        <v>59.632300000000001</v>
      </c>
      <c r="D249" s="14">
        <f>59.6302 * CHOOSE(CONTROL!$C$9, $D$9, 100%, $F$9) + CHOOSE(CONTROL!$C$27, 0.0021, 0)</f>
        <v>59.632300000000001</v>
      </c>
      <c r="E249" s="14">
        <f>59.4935 * CHOOSE(CONTROL!$C$9, $D$9, 100%, $F$9) + CHOOSE(CONTROL!$C$27, 0.0021, 0)</f>
        <v>59.495599999999996</v>
      </c>
      <c r="F249" s="14">
        <f>59.4935 * CHOOSE(CONTROL!$C$9, $D$9, 100%, $F$9) + CHOOSE(CONTROL!$C$27, 0.0021, 0)</f>
        <v>59.495599999999996</v>
      </c>
      <c r="G249" s="14">
        <f>59.7649 * CHOOSE(CONTROL!$C$9, $D$9, 100%, $F$9) + CHOOSE(CONTROL!$C$27, 0.0021, 0)</f>
        <v>59.766999999999996</v>
      </c>
      <c r="H249" s="14">
        <f>59.6302 * CHOOSE(CONTROL!$C$9, $D$9, 100%, $F$9) + CHOOSE(CONTROL!$C$27, 0.0021, 0)</f>
        <v>59.632300000000001</v>
      </c>
      <c r="I249" s="14">
        <f>59.6302 * CHOOSE(CONTROL!$C$9, $D$9, 100%, $F$9) + CHOOSE(CONTROL!$C$27, 0.0021, 0)</f>
        <v>59.632300000000001</v>
      </c>
      <c r="J249" s="14">
        <f>59.6302 * CHOOSE(CONTROL!$C$9, $D$9, 100%, $F$9) + CHOOSE(CONTROL!$C$27, 0.0021, 0)</f>
        <v>59.632300000000001</v>
      </c>
      <c r="K249" s="14">
        <f>59.6302 * CHOOSE(CONTROL!$C$9, $D$9, 100%, $F$9) + CHOOSE(CONTROL!$C$27, 0.0021, 0)</f>
        <v>59.632300000000001</v>
      </c>
      <c r="L249" s="14"/>
    </row>
    <row r="250" spans="1:12" ht="15" x14ac:dyDescent="0.2">
      <c r="A250" s="13">
        <v>48519</v>
      </c>
      <c r="B250" s="14">
        <f>60.1959 * CHOOSE(CONTROL!$C$9, $D$9, 100%, $F$9) + CHOOSE(CONTROL!$C$27, 0.0021, 0)</f>
        <v>60.198</v>
      </c>
      <c r="C250" s="14">
        <f>59.7637 * CHOOSE(CONTROL!$C$9, $D$9, 100%, $F$9) + CHOOSE(CONTROL!$C$27, 0.0021, 0)</f>
        <v>59.765799999999999</v>
      </c>
      <c r="D250" s="14">
        <f>59.7637 * CHOOSE(CONTROL!$C$9, $D$9, 100%, $F$9) + CHOOSE(CONTROL!$C$27, 0.0021, 0)</f>
        <v>59.765799999999999</v>
      </c>
      <c r="E250" s="14">
        <f>59.627 * CHOOSE(CONTROL!$C$9, $D$9, 100%, $F$9) + CHOOSE(CONTROL!$C$27, 0.0021, 0)</f>
        <v>59.629100000000001</v>
      </c>
      <c r="F250" s="14">
        <f>59.627 * CHOOSE(CONTROL!$C$9, $D$9, 100%, $F$9) + CHOOSE(CONTROL!$C$27, 0.0021, 0)</f>
        <v>59.629100000000001</v>
      </c>
      <c r="G250" s="14">
        <f>59.8984 * CHOOSE(CONTROL!$C$9, $D$9, 100%, $F$9) + CHOOSE(CONTROL!$C$27, 0.0021, 0)</f>
        <v>59.900500000000001</v>
      </c>
      <c r="H250" s="14">
        <f>59.7637 * CHOOSE(CONTROL!$C$9, $D$9, 100%, $F$9) + CHOOSE(CONTROL!$C$27, 0.0021, 0)</f>
        <v>59.765799999999999</v>
      </c>
      <c r="I250" s="14">
        <f>59.7637 * CHOOSE(CONTROL!$C$9, $D$9, 100%, $F$9) + CHOOSE(CONTROL!$C$27, 0.0021, 0)</f>
        <v>59.765799999999999</v>
      </c>
      <c r="J250" s="14">
        <f>59.7637 * CHOOSE(CONTROL!$C$9, $D$9, 100%, $F$9) + CHOOSE(CONTROL!$C$27, 0.0021, 0)</f>
        <v>59.765799999999999</v>
      </c>
      <c r="K250" s="14">
        <f>59.7637 * CHOOSE(CONTROL!$C$9, $D$9, 100%, $F$9) + CHOOSE(CONTROL!$C$27, 0.0021, 0)</f>
        <v>59.765799999999999</v>
      </c>
      <c r="L250" s="14"/>
    </row>
    <row r="251" spans="1:12" ht="15" x14ac:dyDescent="0.2">
      <c r="A251" s="13">
        <v>48549</v>
      </c>
      <c r="B251" s="14">
        <f>59.0605 * CHOOSE(CONTROL!$C$9, $D$9, 100%, $F$9) + CHOOSE(CONTROL!$C$27, 0.0021, 0)</f>
        <v>59.062599999999996</v>
      </c>
      <c r="C251" s="14">
        <f>58.6283 * CHOOSE(CONTROL!$C$9, $D$9, 100%, $F$9) + CHOOSE(CONTROL!$C$27, 0.0021, 0)</f>
        <v>58.630400000000002</v>
      </c>
      <c r="D251" s="14">
        <f>58.6283 * CHOOSE(CONTROL!$C$9, $D$9, 100%, $F$9) + CHOOSE(CONTROL!$C$27, 0.0021, 0)</f>
        <v>58.630400000000002</v>
      </c>
      <c r="E251" s="14">
        <f>58.4916 * CHOOSE(CONTROL!$C$9, $D$9, 100%, $F$9) + CHOOSE(CONTROL!$C$27, 0.0021, 0)</f>
        <v>58.493699999999997</v>
      </c>
      <c r="F251" s="14">
        <f>58.4916 * CHOOSE(CONTROL!$C$9, $D$9, 100%, $F$9) + CHOOSE(CONTROL!$C$27, 0.0021, 0)</f>
        <v>58.493699999999997</v>
      </c>
      <c r="G251" s="14">
        <f>58.763 * CHOOSE(CONTROL!$C$9, $D$9, 100%, $F$9) + CHOOSE(CONTROL!$C$27, 0.0021, 0)</f>
        <v>58.765099999999997</v>
      </c>
      <c r="H251" s="14">
        <f>58.6283 * CHOOSE(CONTROL!$C$9, $D$9, 100%, $F$9) + CHOOSE(CONTROL!$C$27, 0.0021, 0)</f>
        <v>58.630400000000002</v>
      </c>
      <c r="I251" s="14">
        <f>58.6283 * CHOOSE(CONTROL!$C$9, $D$9, 100%, $F$9) + CHOOSE(CONTROL!$C$27, 0.0021, 0)</f>
        <v>58.630400000000002</v>
      </c>
      <c r="J251" s="14">
        <f>58.6283 * CHOOSE(CONTROL!$C$9, $D$9, 100%, $F$9) + CHOOSE(CONTROL!$C$27, 0.0021, 0)</f>
        <v>58.630400000000002</v>
      </c>
      <c r="K251" s="14">
        <f>58.6283 * CHOOSE(CONTROL!$C$9, $D$9, 100%, $F$9) + CHOOSE(CONTROL!$C$27, 0.0021, 0)</f>
        <v>58.630400000000002</v>
      </c>
      <c r="L251" s="14"/>
    </row>
    <row r="252" spans="1:12" ht="15" x14ac:dyDescent="0.2">
      <c r="A252" s="13">
        <v>48580</v>
      </c>
      <c r="B252" s="14">
        <f>58.343 * CHOOSE(CONTROL!$C$9, $D$9, 100%, $F$9) + CHOOSE(CONTROL!$C$27, 0.0021, 0)</f>
        <v>58.345100000000002</v>
      </c>
      <c r="C252" s="14">
        <f>57.9107 * CHOOSE(CONTROL!$C$9, $D$9, 100%, $F$9) + CHOOSE(CONTROL!$C$27, 0.0021, 0)</f>
        <v>57.912799999999997</v>
      </c>
      <c r="D252" s="14">
        <f>57.9107 * CHOOSE(CONTROL!$C$9, $D$9, 100%, $F$9) + CHOOSE(CONTROL!$C$27, 0.0021, 0)</f>
        <v>57.912799999999997</v>
      </c>
      <c r="E252" s="14">
        <f>57.774 * CHOOSE(CONTROL!$C$9, $D$9, 100%, $F$9) + CHOOSE(CONTROL!$C$27, 0.0021, 0)</f>
        <v>57.7761</v>
      </c>
      <c r="F252" s="14">
        <f>57.774 * CHOOSE(CONTROL!$C$9, $D$9, 100%, $F$9) + CHOOSE(CONTROL!$C$27, 0.0021, 0)</f>
        <v>57.7761</v>
      </c>
      <c r="G252" s="14">
        <f>58.0454 * CHOOSE(CONTROL!$C$9, $D$9, 100%, $F$9) + CHOOSE(CONTROL!$C$27, 0.0021, 0)</f>
        <v>58.047499999999999</v>
      </c>
      <c r="H252" s="14">
        <f>57.9107 * CHOOSE(CONTROL!$C$9, $D$9, 100%, $F$9) + CHOOSE(CONTROL!$C$27, 0.0021, 0)</f>
        <v>57.912799999999997</v>
      </c>
      <c r="I252" s="14">
        <f>57.9107 * CHOOSE(CONTROL!$C$9, $D$9, 100%, $F$9) + CHOOSE(CONTROL!$C$27, 0.0021, 0)</f>
        <v>57.912799999999997</v>
      </c>
      <c r="J252" s="14">
        <f>57.9107 * CHOOSE(CONTROL!$C$9, $D$9, 100%, $F$9) + CHOOSE(CONTROL!$C$27, 0.0021, 0)</f>
        <v>57.912799999999997</v>
      </c>
      <c r="K252" s="14">
        <f>57.9107 * CHOOSE(CONTROL!$C$9, $D$9, 100%, $F$9) + CHOOSE(CONTROL!$C$27, 0.0021, 0)</f>
        <v>57.912799999999997</v>
      </c>
      <c r="L252" s="14"/>
    </row>
    <row r="253" spans="1:12" ht="15" x14ac:dyDescent="0.2">
      <c r="A253" s="13">
        <v>48611</v>
      </c>
      <c r="B253" s="14">
        <f>56.7575 * CHOOSE(CONTROL!$C$9, $D$9, 100%, $F$9) + CHOOSE(CONTROL!$C$27, 0.0021, 0)</f>
        <v>56.759599999999999</v>
      </c>
      <c r="C253" s="14">
        <f>56.3253 * CHOOSE(CONTROL!$C$9, $D$9, 100%, $F$9) + CHOOSE(CONTROL!$C$27, 0.0021, 0)</f>
        <v>56.327399999999997</v>
      </c>
      <c r="D253" s="14">
        <f>56.3253 * CHOOSE(CONTROL!$C$9, $D$9, 100%, $F$9) + CHOOSE(CONTROL!$C$27, 0.0021, 0)</f>
        <v>56.327399999999997</v>
      </c>
      <c r="E253" s="14">
        <f>56.1886 * CHOOSE(CONTROL!$C$9, $D$9, 100%, $F$9) + CHOOSE(CONTROL!$C$27, 0.0021, 0)</f>
        <v>56.1907</v>
      </c>
      <c r="F253" s="14">
        <f>56.1886 * CHOOSE(CONTROL!$C$9, $D$9, 100%, $F$9) + CHOOSE(CONTROL!$C$27, 0.0021, 0)</f>
        <v>56.1907</v>
      </c>
      <c r="G253" s="14">
        <f>56.46 * CHOOSE(CONTROL!$C$9, $D$9, 100%, $F$9) + CHOOSE(CONTROL!$C$27, 0.0021, 0)</f>
        <v>56.4621</v>
      </c>
      <c r="H253" s="14">
        <f>56.3253 * CHOOSE(CONTROL!$C$9, $D$9, 100%, $F$9) + CHOOSE(CONTROL!$C$27, 0.0021, 0)</f>
        <v>56.327399999999997</v>
      </c>
      <c r="I253" s="14">
        <f>56.3253 * CHOOSE(CONTROL!$C$9, $D$9, 100%, $F$9) + CHOOSE(CONTROL!$C$27, 0.0021, 0)</f>
        <v>56.327399999999997</v>
      </c>
      <c r="J253" s="14">
        <f>56.3253 * CHOOSE(CONTROL!$C$9, $D$9, 100%, $F$9) + CHOOSE(CONTROL!$C$27, 0.0021, 0)</f>
        <v>56.327399999999997</v>
      </c>
      <c r="K253" s="14">
        <f>56.3253 * CHOOSE(CONTROL!$C$9, $D$9, 100%, $F$9) + CHOOSE(CONTROL!$C$27, 0.0021, 0)</f>
        <v>56.327399999999997</v>
      </c>
      <c r="L253" s="14"/>
    </row>
    <row r="254" spans="1:12" ht="15" x14ac:dyDescent="0.2">
      <c r="A254" s="13">
        <v>48639</v>
      </c>
      <c r="B254" s="14">
        <f>56.1031 * CHOOSE(CONTROL!$C$9, $D$9, 100%, $F$9) + CHOOSE(CONTROL!$C$27, 0.0021, 0)</f>
        <v>56.105199999999996</v>
      </c>
      <c r="C254" s="14">
        <f>55.6708 * CHOOSE(CONTROL!$C$9, $D$9, 100%, $F$9) + CHOOSE(CONTROL!$C$27, 0.0021, 0)</f>
        <v>55.672899999999998</v>
      </c>
      <c r="D254" s="14">
        <f>55.6708 * CHOOSE(CONTROL!$C$9, $D$9, 100%, $F$9) + CHOOSE(CONTROL!$C$27, 0.0021, 0)</f>
        <v>55.672899999999998</v>
      </c>
      <c r="E254" s="14">
        <f>55.5342 * CHOOSE(CONTROL!$C$9, $D$9, 100%, $F$9) + CHOOSE(CONTROL!$C$27, 0.0021, 0)</f>
        <v>55.536299999999997</v>
      </c>
      <c r="F254" s="14">
        <f>55.5342 * CHOOSE(CONTROL!$C$9, $D$9, 100%, $F$9) + CHOOSE(CONTROL!$C$27, 0.0021, 0)</f>
        <v>55.536299999999997</v>
      </c>
      <c r="G254" s="14">
        <f>55.8055 * CHOOSE(CONTROL!$C$9, $D$9, 100%, $F$9) + CHOOSE(CONTROL!$C$27, 0.0021, 0)</f>
        <v>55.807600000000001</v>
      </c>
      <c r="H254" s="14">
        <f>55.6708 * CHOOSE(CONTROL!$C$9, $D$9, 100%, $F$9) + CHOOSE(CONTROL!$C$27, 0.0021, 0)</f>
        <v>55.672899999999998</v>
      </c>
      <c r="I254" s="14">
        <f>55.6708 * CHOOSE(CONTROL!$C$9, $D$9, 100%, $F$9) + CHOOSE(CONTROL!$C$27, 0.0021, 0)</f>
        <v>55.672899999999998</v>
      </c>
      <c r="J254" s="14">
        <f>55.6708 * CHOOSE(CONTROL!$C$9, $D$9, 100%, $F$9) + CHOOSE(CONTROL!$C$27, 0.0021, 0)</f>
        <v>55.672899999999998</v>
      </c>
      <c r="K254" s="14">
        <f>55.6708 * CHOOSE(CONTROL!$C$9, $D$9, 100%, $F$9) + CHOOSE(CONTROL!$C$27, 0.0021, 0)</f>
        <v>55.672899999999998</v>
      </c>
      <c r="L254" s="14"/>
    </row>
    <row r="255" spans="1:12" ht="15" x14ac:dyDescent="0.2">
      <c r="A255" s="13">
        <v>48670</v>
      </c>
      <c r="B255" s="14">
        <f>55.3216 * CHOOSE(CONTROL!$C$9, $D$9, 100%, $F$9) + CHOOSE(CONTROL!$C$27, 0.0021, 0)</f>
        <v>55.323699999999995</v>
      </c>
      <c r="C255" s="14">
        <f>54.8894 * CHOOSE(CONTROL!$C$9, $D$9, 100%, $F$9) + CHOOSE(CONTROL!$C$27, 0.0021, 0)</f>
        <v>54.891500000000001</v>
      </c>
      <c r="D255" s="14">
        <f>54.8894 * CHOOSE(CONTROL!$C$9, $D$9, 100%, $F$9) + CHOOSE(CONTROL!$C$27, 0.0021, 0)</f>
        <v>54.891500000000001</v>
      </c>
      <c r="E255" s="14">
        <f>54.7527 * CHOOSE(CONTROL!$C$9, $D$9, 100%, $F$9) + CHOOSE(CONTROL!$C$27, 0.0021, 0)</f>
        <v>54.754799999999996</v>
      </c>
      <c r="F255" s="14">
        <f>54.7527 * CHOOSE(CONTROL!$C$9, $D$9, 100%, $F$9) + CHOOSE(CONTROL!$C$27, 0.0021, 0)</f>
        <v>54.754799999999996</v>
      </c>
      <c r="G255" s="14">
        <f>55.0241 * CHOOSE(CONTROL!$C$9, $D$9, 100%, $F$9) + CHOOSE(CONTROL!$C$27, 0.0021, 0)</f>
        <v>55.026199999999996</v>
      </c>
      <c r="H255" s="14">
        <f>54.8894 * CHOOSE(CONTROL!$C$9, $D$9, 100%, $F$9) + CHOOSE(CONTROL!$C$27, 0.0021, 0)</f>
        <v>54.891500000000001</v>
      </c>
      <c r="I255" s="14">
        <f>54.8894 * CHOOSE(CONTROL!$C$9, $D$9, 100%, $F$9) + CHOOSE(CONTROL!$C$27, 0.0021, 0)</f>
        <v>54.891500000000001</v>
      </c>
      <c r="J255" s="14">
        <f>54.8894 * CHOOSE(CONTROL!$C$9, $D$9, 100%, $F$9) + CHOOSE(CONTROL!$C$27, 0.0021, 0)</f>
        <v>54.891500000000001</v>
      </c>
      <c r="K255" s="14">
        <f>54.8894 * CHOOSE(CONTROL!$C$9, $D$9, 100%, $F$9) + CHOOSE(CONTROL!$C$27, 0.0021, 0)</f>
        <v>54.891500000000001</v>
      </c>
      <c r="L255" s="14"/>
    </row>
    <row r="256" spans="1:12" ht="15" x14ac:dyDescent="0.2">
      <c r="A256" s="13">
        <v>48700</v>
      </c>
      <c r="B256" s="14">
        <f>56.4353 * CHOOSE(CONTROL!$C$9, $D$9, 100%, $F$9) + CHOOSE(CONTROL!$C$27, 0.0021, 0)</f>
        <v>56.437399999999997</v>
      </c>
      <c r="C256" s="14">
        <f>56.003 * CHOOSE(CONTROL!$C$9, $D$9, 100%, $F$9) + CHOOSE(CONTROL!$C$27, 0.0021, 0)</f>
        <v>56.005099999999999</v>
      </c>
      <c r="D256" s="14">
        <f>56.003 * CHOOSE(CONTROL!$C$9, $D$9, 100%, $F$9) + CHOOSE(CONTROL!$C$27, 0.0021, 0)</f>
        <v>56.005099999999999</v>
      </c>
      <c r="E256" s="14">
        <f>55.8664 * CHOOSE(CONTROL!$C$9, $D$9, 100%, $F$9) + CHOOSE(CONTROL!$C$27, 0.0021, 0)</f>
        <v>55.868499999999997</v>
      </c>
      <c r="F256" s="14">
        <f>55.8664 * CHOOSE(CONTROL!$C$9, $D$9, 100%, $F$9) + CHOOSE(CONTROL!$C$27, 0.0021, 0)</f>
        <v>55.868499999999997</v>
      </c>
      <c r="G256" s="14">
        <f>56.1378 * CHOOSE(CONTROL!$C$9, $D$9, 100%, $F$9) + CHOOSE(CONTROL!$C$27, 0.0021, 0)</f>
        <v>56.139899999999997</v>
      </c>
      <c r="H256" s="14">
        <f>56.003 * CHOOSE(CONTROL!$C$9, $D$9, 100%, $F$9) + CHOOSE(CONTROL!$C$27, 0.0021, 0)</f>
        <v>56.005099999999999</v>
      </c>
      <c r="I256" s="14">
        <f>56.003 * CHOOSE(CONTROL!$C$9, $D$9, 100%, $F$9) + CHOOSE(CONTROL!$C$27, 0.0021, 0)</f>
        <v>56.005099999999999</v>
      </c>
      <c r="J256" s="14">
        <f>56.003 * CHOOSE(CONTROL!$C$9, $D$9, 100%, $F$9) + CHOOSE(CONTROL!$C$27, 0.0021, 0)</f>
        <v>56.005099999999999</v>
      </c>
      <c r="K256" s="14">
        <f>56.003 * CHOOSE(CONTROL!$C$9, $D$9, 100%, $F$9) + CHOOSE(CONTROL!$C$27, 0.0021, 0)</f>
        <v>56.005099999999999</v>
      </c>
      <c r="L256" s="14"/>
    </row>
    <row r="257" spans="1:12" ht="15" x14ac:dyDescent="0.2">
      <c r="A257" s="13">
        <v>48731</v>
      </c>
      <c r="B257" s="14">
        <f>57.1023 * CHOOSE(CONTROL!$C$9, $D$9, 100%, $F$9) + CHOOSE(CONTROL!$C$27, 0.0021, 0)</f>
        <v>57.104399999999998</v>
      </c>
      <c r="C257" s="14">
        <f>56.6701 * CHOOSE(CONTROL!$C$9, $D$9, 100%, $F$9) + CHOOSE(CONTROL!$C$27, 0.0021, 0)</f>
        <v>56.672199999999997</v>
      </c>
      <c r="D257" s="14">
        <f>56.6701 * CHOOSE(CONTROL!$C$9, $D$9, 100%, $F$9) + CHOOSE(CONTROL!$C$27, 0.0021, 0)</f>
        <v>56.672199999999997</v>
      </c>
      <c r="E257" s="14">
        <f>56.5334 * CHOOSE(CONTROL!$C$9, $D$9, 100%, $F$9) + CHOOSE(CONTROL!$C$27, 0.0021, 0)</f>
        <v>56.535499999999999</v>
      </c>
      <c r="F257" s="14">
        <f>56.5334 * CHOOSE(CONTROL!$C$9, $D$9, 100%, $F$9) + CHOOSE(CONTROL!$C$27, 0.0021, 0)</f>
        <v>56.535499999999999</v>
      </c>
      <c r="G257" s="14">
        <f>56.8048 * CHOOSE(CONTROL!$C$9, $D$9, 100%, $F$9) + CHOOSE(CONTROL!$C$27, 0.0021, 0)</f>
        <v>56.806899999999999</v>
      </c>
      <c r="H257" s="14">
        <f>56.6701 * CHOOSE(CONTROL!$C$9, $D$9, 100%, $F$9) + CHOOSE(CONTROL!$C$27, 0.0021, 0)</f>
        <v>56.672199999999997</v>
      </c>
      <c r="I257" s="14">
        <f>56.6701 * CHOOSE(CONTROL!$C$9, $D$9, 100%, $F$9) + CHOOSE(CONTROL!$C$27, 0.0021, 0)</f>
        <v>56.672199999999997</v>
      </c>
      <c r="J257" s="14">
        <f>56.6701 * CHOOSE(CONTROL!$C$9, $D$9, 100%, $F$9) + CHOOSE(CONTROL!$C$27, 0.0021, 0)</f>
        <v>56.672199999999997</v>
      </c>
      <c r="K257" s="14">
        <f>56.6701 * CHOOSE(CONTROL!$C$9, $D$9, 100%, $F$9) + CHOOSE(CONTROL!$C$27, 0.0021, 0)</f>
        <v>56.672199999999997</v>
      </c>
      <c r="L257" s="14"/>
    </row>
    <row r="258" spans="1:12" ht="15" x14ac:dyDescent="0.2">
      <c r="A258" s="13">
        <v>48761</v>
      </c>
      <c r="B258" s="14">
        <f>58.2027 * CHOOSE(CONTROL!$C$9, $D$9, 100%, $F$9) + CHOOSE(CONTROL!$C$27, 0.0021, 0)</f>
        <v>58.204799999999999</v>
      </c>
      <c r="C258" s="14">
        <f>57.7704 * CHOOSE(CONTROL!$C$9, $D$9, 100%, $F$9) + CHOOSE(CONTROL!$C$27, 0.0021, 0)</f>
        <v>57.772500000000001</v>
      </c>
      <c r="D258" s="14">
        <f>57.7704 * CHOOSE(CONTROL!$C$9, $D$9, 100%, $F$9) + CHOOSE(CONTROL!$C$27, 0.0021, 0)</f>
        <v>57.772500000000001</v>
      </c>
      <c r="E258" s="14">
        <f>57.6337 * CHOOSE(CONTROL!$C$9, $D$9, 100%, $F$9) + CHOOSE(CONTROL!$C$27, 0.0021, 0)</f>
        <v>57.635799999999996</v>
      </c>
      <c r="F258" s="14">
        <f>57.6337 * CHOOSE(CONTROL!$C$9, $D$9, 100%, $F$9) + CHOOSE(CONTROL!$C$27, 0.0021, 0)</f>
        <v>57.635799999999996</v>
      </c>
      <c r="G258" s="14">
        <f>57.9051 * CHOOSE(CONTROL!$C$9, $D$9, 100%, $F$9) + CHOOSE(CONTROL!$C$27, 0.0021, 0)</f>
        <v>57.907199999999996</v>
      </c>
      <c r="H258" s="14">
        <f>57.7704 * CHOOSE(CONTROL!$C$9, $D$9, 100%, $F$9) + CHOOSE(CONTROL!$C$27, 0.0021, 0)</f>
        <v>57.772500000000001</v>
      </c>
      <c r="I258" s="14">
        <f>57.7704 * CHOOSE(CONTROL!$C$9, $D$9, 100%, $F$9) + CHOOSE(CONTROL!$C$27, 0.0021, 0)</f>
        <v>57.772500000000001</v>
      </c>
      <c r="J258" s="14">
        <f>57.7704 * CHOOSE(CONTROL!$C$9, $D$9, 100%, $F$9) + CHOOSE(CONTROL!$C$27, 0.0021, 0)</f>
        <v>57.772500000000001</v>
      </c>
      <c r="K258" s="14">
        <f>57.7704 * CHOOSE(CONTROL!$C$9, $D$9, 100%, $F$9) + CHOOSE(CONTROL!$C$27, 0.0021, 0)</f>
        <v>57.772500000000001</v>
      </c>
      <c r="L258" s="14"/>
    </row>
    <row r="259" spans="1:12" ht="15" x14ac:dyDescent="0.2">
      <c r="A259" s="13">
        <v>48792</v>
      </c>
      <c r="B259" s="14">
        <f>58.5385 * CHOOSE(CONTROL!$C$9, $D$9, 100%, $F$9) + CHOOSE(CONTROL!$C$27, 0.0021, 0)</f>
        <v>58.540599999999998</v>
      </c>
      <c r="C259" s="14">
        <f>58.1063 * CHOOSE(CONTROL!$C$9, $D$9, 100%, $F$9) + CHOOSE(CONTROL!$C$27, 0.0021, 0)</f>
        <v>58.108399999999996</v>
      </c>
      <c r="D259" s="14">
        <f>58.1063 * CHOOSE(CONTROL!$C$9, $D$9, 100%, $F$9) + CHOOSE(CONTROL!$C$27, 0.0021, 0)</f>
        <v>58.108399999999996</v>
      </c>
      <c r="E259" s="14">
        <f>57.9696 * CHOOSE(CONTROL!$C$9, $D$9, 100%, $F$9) + CHOOSE(CONTROL!$C$27, 0.0021, 0)</f>
        <v>57.971699999999998</v>
      </c>
      <c r="F259" s="14">
        <f>57.9696 * CHOOSE(CONTROL!$C$9, $D$9, 100%, $F$9) + CHOOSE(CONTROL!$C$27, 0.0021, 0)</f>
        <v>57.971699999999998</v>
      </c>
      <c r="G259" s="14">
        <f>58.241 * CHOOSE(CONTROL!$C$9, $D$9, 100%, $F$9) + CHOOSE(CONTROL!$C$27, 0.0021, 0)</f>
        <v>58.243099999999998</v>
      </c>
      <c r="H259" s="14">
        <f>58.1063 * CHOOSE(CONTROL!$C$9, $D$9, 100%, $F$9) + CHOOSE(CONTROL!$C$27, 0.0021, 0)</f>
        <v>58.108399999999996</v>
      </c>
      <c r="I259" s="14">
        <f>58.1063 * CHOOSE(CONTROL!$C$9, $D$9, 100%, $F$9) + CHOOSE(CONTROL!$C$27, 0.0021, 0)</f>
        <v>58.108399999999996</v>
      </c>
      <c r="J259" s="14">
        <f>58.1063 * CHOOSE(CONTROL!$C$9, $D$9, 100%, $F$9) + CHOOSE(CONTROL!$C$27, 0.0021, 0)</f>
        <v>58.108399999999996</v>
      </c>
      <c r="K259" s="14">
        <f>58.1063 * CHOOSE(CONTROL!$C$9, $D$9, 100%, $F$9) + CHOOSE(CONTROL!$C$27, 0.0021, 0)</f>
        <v>58.108399999999996</v>
      </c>
      <c r="L259" s="14"/>
    </row>
    <row r="260" spans="1:12" ht="15" x14ac:dyDescent="0.2">
      <c r="A260" s="13">
        <v>48823</v>
      </c>
      <c r="B260" s="14">
        <f>59.6823 * CHOOSE(CONTROL!$C$9, $D$9, 100%, $F$9) + CHOOSE(CONTROL!$C$27, 0.0021, 0)</f>
        <v>59.684399999999997</v>
      </c>
      <c r="C260" s="14">
        <f>59.25 * CHOOSE(CONTROL!$C$9, $D$9, 100%, $F$9) + CHOOSE(CONTROL!$C$27, 0.0021, 0)</f>
        <v>59.252099999999999</v>
      </c>
      <c r="D260" s="14">
        <f>59.25 * CHOOSE(CONTROL!$C$9, $D$9, 100%, $F$9) + CHOOSE(CONTROL!$C$27, 0.0021, 0)</f>
        <v>59.252099999999999</v>
      </c>
      <c r="E260" s="14">
        <f>59.1134 * CHOOSE(CONTROL!$C$9, $D$9, 100%, $F$9) + CHOOSE(CONTROL!$C$27, 0.0021, 0)</f>
        <v>59.115499999999997</v>
      </c>
      <c r="F260" s="14">
        <f>59.1134 * CHOOSE(CONTROL!$C$9, $D$9, 100%, $F$9) + CHOOSE(CONTROL!$C$27, 0.0021, 0)</f>
        <v>59.115499999999997</v>
      </c>
      <c r="G260" s="14">
        <f>59.3847 * CHOOSE(CONTROL!$C$9, $D$9, 100%, $F$9) + CHOOSE(CONTROL!$C$27, 0.0021, 0)</f>
        <v>59.386800000000001</v>
      </c>
      <c r="H260" s="14">
        <f>59.25 * CHOOSE(CONTROL!$C$9, $D$9, 100%, $F$9) + CHOOSE(CONTROL!$C$27, 0.0021, 0)</f>
        <v>59.252099999999999</v>
      </c>
      <c r="I260" s="14">
        <f>59.25 * CHOOSE(CONTROL!$C$9, $D$9, 100%, $F$9) + CHOOSE(CONTROL!$C$27, 0.0021, 0)</f>
        <v>59.252099999999999</v>
      </c>
      <c r="J260" s="14">
        <f>59.25 * CHOOSE(CONTROL!$C$9, $D$9, 100%, $F$9) + CHOOSE(CONTROL!$C$27, 0.0021, 0)</f>
        <v>59.252099999999999</v>
      </c>
      <c r="K260" s="14">
        <f>59.25 * CHOOSE(CONTROL!$C$9, $D$9, 100%, $F$9) + CHOOSE(CONTROL!$C$27, 0.0021, 0)</f>
        <v>59.252099999999999</v>
      </c>
      <c r="L260" s="14"/>
    </row>
    <row r="261" spans="1:12" ht="15" x14ac:dyDescent="0.2">
      <c r="A261" s="13">
        <v>48853</v>
      </c>
      <c r="B261" s="14">
        <f>61.1301 * CHOOSE(CONTROL!$C$9, $D$9, 100%, $F$9) + CHOOSE(CONTROL!$C$27, 0.0021, 0)</f>
        <v>61.132199999999997</v>
      </c>
      <c r="C261" s="14">
        <f>60.6978 * CHOOSE(CONTROL!$C$9, $D$9, 100%, $F$9) + CHOOSE(CONTROL!$C$27, 0.0021, 0)</f>
        <v>60.6999</v>
      </c>
      <c r="D261" s="14">
        <f>60.6978 * CHOOSE(CONTROL!$C$9, $D$9, 100%, $F$9) + CHOOSE(CONTROL!$C$27, 0.0021, 0)</f>
        <v>60.6999</v>
      </c>
      <c r="E261" s="14">
        <f>60.5612 * CHOOSE(CONTROL!$C$9, $D$9, 100%, $F$9) + CHOOSE(CONTROL!$C$27, 0.0021, 0)</f>
        <v>60.563299999999998</v>
      </c>
      <c r="F261" s="14">
        <f>60.5612 * CHOOSE(CONTROL!$C$9, $D$9, 100%, $F$9) + CHOOSE(CONTROL!$C$27, 0.0021, 0)</f>
        <v>60.563299999999998</v>
      </c>
      <c r="G261" s="14">
        <f>60.8326 * CHOOSE(CONTROL!$C$9, $D$9, 100%, $F$9) + CHOOSE(CONTROL!$C$27, 0.0021, 0)</f>
        <v>60.834699999999998</v>
      </c>
      <c r="H261" s="14">
        <f>60.6978 * CHOOSE(CONTROL!$C$9, $D$9, 100%, $F$9) + CHOOSE(CONTROL!$C$27, 0.0021, 0)</f>
        <v>60.6999</v>
      </c>
      <c r="I261" s="14">
        <f>60.6978 * CHOOSE(CONTROL!$C$9, $D$9, 100%, $F$9) + CHOOSE(CONTROL!$C$27, 0.0021, 0)</f>
        <v>60.6999</v>
      </c>
      <c r="J261" s="14">
        <f>60.6978 * CHOOSE(CONTROL!$C$9, $D$9, 100%, $F$9) + CHOOSE(CONTROL!$C$27, 0.0021, 0)</f>
        <v>60.6999</v>
      </c>
      <c r="K261" s="14">
        <f>60.6978 * CHOOSE(CONTROL!$C$9, $D$9, 100%, $F$9) + CHOOSE(CONTROL!$C$27, 0.0021, 0)</f>
        <v>60.6999</v>
      </c>
      <c r="L261" s="14"/>
    </row>
    <row r="262" spans="1:12" ht="15" x14ac:dyDescent="0.2">
      <c r="A262" s="13">
        <v>48884</v>
      </c>
      <c r="B262" s="14">
        <f>61.266 * CHOOSE(CONTROL!$C$9, $D$9, 100%, $F$9) + CHOOSE(CONTROL!$C$27, 0.0021, 0)</f>
        <v>61.268099999999997</v>
      </c>
      <c r="C262" s="14">
        <f>60.8338 * CHOOSE(CONTROL!$C$9, $D$9, 100%, $F$9) + CHOOSE(CONTROL!$C$27, 0.0021, 0)</f>
        <v>60.835899999999995</v>
      </c>
      <c r="D262" s="14">
        <f>60.8338 * CHOOSE(CONTROL!$C$9, $D$9, 100%, $F$9) + CHOOSE(CONTROL!$C$27, 0.0021, 0)</f>
        <v>60.835899999999995</v>
      </c>
      <c r="E262" s="14">
        <f>60.6971 * CHOOSE(CONTROL!$C$9, $D$9, 100%, $F$9) + CHOOSE(CONTROL!$C$27, 0.0021, 0)</f>
        <v>60.699199999999998</v>
      </c>
      <c r="F262" s="14">
        <f>60.6971 * CHOOSE(CONTROL!$C$9, $D$9, 100%, $F$9) + CHOOSE(CONTROL!$C$27, 0.0021, 0)</f>
        <v>60.699199999999998</v>
      </c>
      <c r="G262" s="14">
        <f>60.9685 * CHOOSE(CONTROL!$C$9, $D$9, 100%, $F$9) + CHOOSE(CONTROL!$C$27, 0.0021, 0)</f>
        <v>60.970599999999997</v>
      </c>
      <c r="H262" s="14">
        <f>60.8338 * CHOOSE(CONTROL!$C$9, $D$9, 100%, $F$9) + CHOOSE(CONTROL!$C$27, 0.0021, 0)</f>
        <v>60.835899999999995</v>
      </c>
      <c r="I262" s="14">
        <f>60.8338 * CHOOSE(CONTROL!$C$9, $D$9, 100%, $F$9) + CHOOSE(CONTROL!$C$27, 0.0021, 0)</f>
        <v>60.835899999999995</v>
      </c>
      <c r="J262" s="14">
        <f>60.8338 * CHOOSE(CONTROL!$C$9, $D$9, 100%, $F$9) + CHOOSE(CONTROL!$C$27, 0.0021, 0)</f>
        <v>60.835899999999995</v>
      </c>
      <c r="K262" s="14">
        <f>60.8338 * CHOOSE(CONTROL!$C$9, $D$9, 100%, $F$9) + CHOOSE(CONTROL!$C$27, 0.0021, 0)</f>
        <v>60.835899999999995</v>
      </c>
      <c r="L262" s="14"/>
    </row>
    <row r="263" spans="1:12" ht="15" x14ac:dyDescent="0.2">
      <c r="A263" s="13">
        <v>48914</v>
      </c>
      <c r="B263" s="14">
        <f>60.1097 * CHOOSE(CONTROL!$C$9, $D$9, 100%, $F$9) + CHOOSE(CONTROL!$C$27, 0.0021, 0)</f>
        <v>60.111799999999995</v>
      </c>
      <c r="C263" s="14">
        <f>59.6774 * CHOOSE(CONTROL!$C$9, $D$9, 100%, $F$9) + CHOOSE(CONTROL!$C$27, 0.0021, 0)</f>
        <v>59.679499999999997</v>
      </c>
      <c r="D263" s="14">
        <f>59.6774 * CHOOSE(CONTROL!$C$9, $D$9, 100%, $F$9) + CHOOSE(CONTROL!$C$27, 0.0021, 0)</f>
        <v>59.679499999999997</v>
      </c>
      <c r="E263" s="14">
        <f>59.5408 * CHOOSE(CONTROL!$C$9, $D$9, 100%, $F$9) + CHOOSE(CONTROL!$C$27, 0.0021, 0)</f>
        <v>59.542899999999996</v>
      </c>
      <c r="F263" s="14">
        <f>59.5408 * CHOOSE(CONTROL!$C$9, $D$9, 100%, $F$9) + CHOOSE(CONTROL!$C$27, 0.0021, 0)</f>
        <v>59.542899999999996</v>
      </c>
      <c r="G263" s="14">
        <f>59.8121 * CHOOSE(CONTROL!$C$9, $D$9, 100%, $F$9) + CHOOSE(CONTROL!$C$27, 0.0021, 0)</f>
        <v>59.8142</v>
      </c>
      <c r="H263" s="14">
        <f>59.6774 * CHOOSE(CONTROL!$C$9, $D$9, 100%, $F$9) + CHOOSE(CONTROL!$C$27, 0.0021, 0)</f>
        <v>59.679499999999997</v>
      </c>
      <c r="I263" s="14">
        <f>59.6774 * CHOOSE(CONTROL!$C$9, $D$9, 100%, $F$9) + CHOOSE(CONTROL!$C$27, 0.0021, 0)</f>
        <v>59.679499999999997</v>
      </c>
      <c r="J263" s="14">
        <f>59.6774 * CHOOSE(CONTROL!$C$9, $D$9, 100%, $F$9) + CHOOSE(CONTROL!$C$27, 0.0021, 0)</f>
        <v>59.679499999999997</v>
      </c>
      <c r="K263" s="14">
        <f>59.6774 * CHOOSE(CONTROL!$C$9, $D$9, 100%, $F$9) + CHOOSE(CONTROL!$C$27, 0.0021, 0)</f>
        <v>59.679499999999997</v>
      </c>
      <c r="L263" s="14"/>
    </row>
    <row r="264" spans="1:12" ht="15" x14ac:dyDescent="0.2">
      <c r="A264" s="13">
        <v>48945</v>
      </c>
      <c r="B264" s="14">
        <f>59.3788 * CHOOSE(CONTROL!$C$9, $D$9, 100%, $F$9) + CHOOSE(CONTROL!$C$27, 0.0021, 0)</f>
        <v>59.380899999999997</v>
      </c>
      <c r="C264" s="14">
        <f>58.9466 * CHOOSE(CONTROL!$C$9, $D$9, 100%, $F$9) + CHOOSE(CONTROL!$C$27, 0.0021, 0)</f>
        <v>58.948699999999995</v>
      </c>
      <c r="D264" s="14">
        <f>58.9466 * CHOOSE(CONTROL!$C$9, $D$9, 100%, $F$9) + CHOOSE(CONTROL!$C$27, 0.0021, 0)</f>
        <v>58.948699999999995</v>
      </c>
      <c r="E264" s="14">
        <f>58.8099 * CHOOSE(CONTROL!$C$9, $D$9, 100%, $F$9) + CHOOSE(CONTROL!$C$27, 0.0021, 0)</f>
        <v>58.811999999999998</v>
      </c>
      <c r="F264" s="14">
        <f>58.8099 * CHOOSE(CONTROL!$C$9, $D$9, 100%, $F$9) + CHOOSE(CONTROL!$C$27, 0.0021, 0)</f>
        <v>58.811999999999998</v>
      </c>
      <c r="G264" s="14">
        <f>59.0813 * CHOOSE(CONTROL!$C$9, $D$9, 100%, $F$9) + CHOOSE(CONTROL!$C$27, 0.0021, 0)</f>
        <v>59.083399999999997</v>
      </c>
      <c r="H264" s="14">
        <f>58.9466 * CHOOSE(CONTROL!$C$9, $D$9, 100%, $F$9) + CHOOSE(CONTROL!$C$27, 0.0021, 0)</f>
        <v>58.948699999999995</v>
      </c>
      <c r="I264" s="14">
        <f>58.9466 * CHOOSE(CONTROL!$C$9, $D$9, 100%, $F$9) + CHOOSE(CONTROL!$C$27, 0.0021, 0)</f>
        <v>58.948699999999995</v>
      </c>
      <c r="J264" s="14">
        <f>58.9466 * CHOOSE(CONTROL!$C$9, $D$9, 100%, $F$9) + CHOOSE(CONTROL!$C$27, 0.0021, 0)</f>
        <v>58.948699999999995</v>
      </c>
      <c r="K264" s="14">
        <f>58.9466 * CHOOSE(CONTROL!$C$9, $D$9, 100%, $F$9) + CHOOSE(CONTROL!$C$27, 0.0021, 0)</f>
        <v>58.948699999999995</v>
      </c>
      <c r="L264" s="14"/>
    </row>
    <row r="265" spans="1:12" ht="15" x14ac:dyDescent="0.2">
      <c r="A265" s="13">
        <v>48976</v>
      </c>
      <c r="B265" s="14">
        <f>57.7641 * CHOOSE(CONTROL!$C$9, $D$9, 100%, $F$9) + CHOOSE(CONTROL!$C$27, 0.0021, 0)</f>
        <v>57.766199999999998</v>
      </c>
      <c r="C265" s="14">
        <f>57.3318 * CHOOSE(CONTROL!$C$9, $D$9, 100%, $F$9) + CHOOSE(CONTROL!$C$27, 0.0021, 0)</f>
        <v>57.3339</v>
      </c>
      <c r="D265" s="14">
        <f>57.3318 * CHOOSE(CONTROL!$C$9, $D$9, 100%, $F$9) + CHOOSE(CONTROL!$C$27, 0.0021, 0)</f>
        <v>57.3339</v>
      </c>
      <c r="E265" s="14">
        <f>57.1952 * CHOOSE(CONTROL!$C$9, $D$9, 100%, $F$9) + CHOOSE(CONTROL!$C$27, 0.0021, 0)</f>
        <v>57.197299999999998</v>
      </c>
      <c r="F265" s="14">
        <f>57.1952 * CHOOSE(CONTROL!$C$9, $D$9, 100%, $F$9) + CHOOSE(CONTROL!$C$27, 0.0021, 0)</f>
        <v>57.197299999999998</v>
      </c>
      <c r="G265" s="14">
        <f>57.4666 * CHOOSE(CONTROL!$C$9, $D$9, 100%, $F$9) + CHOOSE(CONTROL!$C$27, 0.0021, 0)</f>
        <v>57.468699999999998</v>
      </c>
      <c r="H265" s="14">
        <f>57.3318 * CHOOSE(CONTROL!$C$9, $D$9, 100%, $F$9) + CHOOSE(CONTROL!$C$27, 0.0021, 0)</f>
        <v>57.3339</v>
      </c>
      <c r="I265" s="14">
        <f>57.3318 * CHOOSE(CONTROL!$C$9, $D$9, 100%, $F$9) + CHOOSE(CONTROL!$C$27, 0.0021, 0)</f>
        <v>57.3339</v>
      </c>
      <c r="J265" s="14">
        <f>57.3318 * CHOOSE(CONTROL!$C$9, $D$9, 100%, $F$9) + CHOOSE(CONTROL!$C$27, 0.0021, 0)</f>
        <v>57.3339</v>
      </c>
      <c r="K265" s="14">
        <f>57.3318 * CHOOSE(CONTROL!$C$9, $D$9, 100%, $F$9) + CHOOSE(CONTROL!$C$27, 0.0021, 0)</f>
        <v>57.3339</v>
      </c>
      <c r="L265" s="14"/>
    </row>
    <row r="266" spans="1:12" ht="15" x14ac:dyDescent="0.2">
      <c r="A266" s="13">
        <v>49004</v>
      </c>
      <c r="B266" s="14">
        <f>57.0975 * CHOOSE(CONTROL!$C$9, $D$9, 100%, $F$9) + CHOOSE(CONTROL!$C$27, 0.0021, 0)</f>
        <v>57.099599999999995</v>
      </c>
      <c r="C266" s="14">
        <f>56.6653 * CHOOSE(CONTROL!$C$9, $D$9, 100%, $F$9) + CHOOSE(CONTROL!$C$27, 0.0021, 0)</f>
        <v>56.667400000000001</v>
      </c>
      <c r="D266" s="14">
        <f>56.6653 * CHOOSE(CONTROL!$C$9, $D$9, 100%, $F$9) + CHOOSE(CONTROL!$C$27, 0.0021, 0)</f>
        <v>56.667400000000001</v>
      </c>
      <c r="E266" s="14">
        <f>56.5286 * CHOOSE(CONTROL!$C$9, $D$9, 100%, $F$9) + CHOOSE(CONTROL!$C$27, 0.0021, 0)</f>
        <v>56.530699999999996</v>
      </c>
      <c r="F266" s="14">
        <f>56.5286 * CHOOSE(CONTROL!$C$9, $D$9, 100%, $F$9) + CHOOSE(CONTROL!$C$27, 0.0021, 0)</f>
        <v>56.530699999999996</v>
      </c>
      <c r="G266" s="14">
        <f>56.8 * CHOOSE(CONTROL!$C$9, $D$9, 100%, $F$9) + CHOOSE(CONTROL!$C$27, 0.0021, 0)</f>
        <v>56.802099999999996</v>
      </c>
      <c r="H266" s="14">
        <f>56.6653 * CHOOSE(CONTROL!$C$9, $D$9, 100%, $F$9) + CHOOSE(CONTROL!$C$27, 0.0021, 0)</f>
        <v>56.667400000000001</v>
      </c>
      <c r="I266" s="14">
        <f>56.6653 * CHOOSE(CONTROL!$C$9, $D$9, 100%, $F$9) + CHOOSE(CONTROL!$C$27, 0.0021, 0)</f>
        <v>56.667400000000001</v>
      </c>
      <c r="J266" s="14">
        <f>56.6653 * CHOOSE(CONTROL!$C$9, $D$9, 100%, $F$9) + CHOOSE(CONTROL!$C$27, 0.0021, 0)</f>
        <v>56.667400000000001</v>
      </c>
      <c r="K266" s="14">
        <f>56.6653 * CHOOSE(CONTROL!$C$9, $D$9, 100%, $F$9) + CHOOSE(CONTROL!$C$27, 0.0021, 0)</f>
        <v>56.667400000000001</v>
      </c>
      <c r="L266" s="14"/>
    </row>
    <row r="267" spans="1:12" ht="15" x14ac:dyDescent="0.2">
      <c r="A267" s="13">
        <v>49035</v>
      </c>
      <c r="B267" s="14">
        <f>56.3017 * CHOOSE(CONTROL!$C$9, $D$9, 100%, $F$9) + CHOOSE(CONTROL!$C$27, 0.0021, 0)</f>
        <v>56.303799999999995</v>
      </c>
      <c r="C267" s="14">
        <f>55.8694 * CHOOSE(CONTROL!$C$9, $D$9, 100%, $F$9) + CHOOSE(CONTROL!$C$27, 0.0021, 0)</f>
        <v>55.871499999999997</v>
      </c>
      <c r="D267" s="14">
        <f>55.8694 * CHOOSE(CONTROL!$C$9, $D$9, 100%, $F$9) + CHOOSE(CONTROL!$C$27, 0.0021, 0)</f>
        <v>55.871499999999997</v>
      </c>
      <c r="E267" s="14">
        <f>55.7328 * CHOOSE(CONTROL!$C$9, $D$9, 100%, $F$9) + CHOOSE(CONTROL!$C$27, 0.0021, 0)</f>
        <v>55.734899999999996</v>
      </c>
      <c r="F267" s="14">
        <f>55.7328 * CHOOSE(CONTROL!$C$9, $D$9, 100%, $F$9) + CHOOSE(CONTROL!$C$27, 0.0021, 0)</f>
        <v>55.734899999999996</v>
      </c>
      <c r="G267" s="14">
        <f>56.0041 * CHOOSE(CONTROL!$C$9, $D$9, 100%, $F$9) + CHOOSE(CONTROL!$C$27, 0.0021, 0)</f>
        <v>56.0062</v>
      </c>
      <c r="H267" s="14">
        <f>55.8694 * CHOOSE(CONTROL!$C$9, $D$9, 100%, $F$9) + CHOOSE(CONTROL!$C$27, 0.0021, 0)</f>
        <v>55.871499999999997</v>
      </c>
      <c r="I267" s="14">
        <f>55.8694 * CHOOSE(CONTROL!$C$9, $D$9, 100%, $F$9) + CHOOSE(CONTROL!$C$27, 0.0021, 0)</f>
        <v>55.871499999999997</v>
      </c>
      <c r="J267" s="14">
        <f>55.8694 * CHOOSE(CONTROL!$C$9, $D$9, 100%, $F$9) + CHOOSE(CONTROL!$C$27, 0.0021, 0)</f>
        <v>55.871499999999997</v>
      </c>
      <c r="K267" s="14">
        <f>55.8694 * CHOOSE(CONTROL!$C$9, $D$9, 100%, $F$9) + CHOOSE(CONTROL!$C$27, 0.0021, 0)</f>
        <v>55.871499999999997</v>
      </c>
      <c r="L267" s="14"/>
    </row>
    <row r="268" spans="1:12" ht="15" x14ac:dyDescent="0.2">
      <c r="A268" s="13">
        <v>49065</v>
      </c>
      <c r="B268" s="14">
        <f>57.4359 * CHOOSE(CONTROL!$C$9, $D$9, 100%, $F$9) + CHOOSE(CONTROL!$C$27, 0.0021, 0)</f>
        <v>57.437999999999995</v>
      </c>
      <c r="C268" s="14">
        <f>57.0036 * CHOOSE(CONTROL!$C$9, $D$9, 100%, $F$9) + CHOOSE(CONTROL!$C$27, 0.0021, 0)</f>
        <v>57.005699999999997</v>
      </c>
      <c r="D268" s="14">
        <f>57.0036 * CHOOSE(CONTROL!$C$9, $D$9, 100%, $F$9) + CHOOSE(CONTROL!$C$27, 0.0021, 0)</f>
        <v>57.005699999999997</v>
      </c>
      <c r="E268" s="14">
        <f>56.867 * CHOOSE(CONTROL!$C$9, $D$9, 100%, $F$9) + CHOOSE(CONTROL!$C$27, 0.0021, 0)</f>
        <v>56.869099999999996</v>
      </c>
      <c r="F268" s="14">
        <f>56.867 * CHOOSE(CONTROL!$C$9, $D$9, 100%, $F$9) + CHOOSE(CONTROL!$C$27, 0.0021, 0)</f>
        <v>56.869099999999996</v>
      </c>
      <c r="G268" s="14">
        <f>57.1384 * CHOOSE(CONTROL!$C$9, $D$9, 100%, $F$9) + CHOOSE(CONTROL!$C$27, 0.0021, 0)</f>
        <v>57.140499999999996</v>
      </c>
      <c r="H268" s="14">
        <f>57.0036 * CHOOSE(CONTROL!$C$9, $D$9, 100%, $F$9) + CHOOSE(CONTROL!$C$27, 0.0021, 0)</f>
        <v>57.005699999999997</v>
      </c>
      <c r="I268" s="14">
        <f>57.0036 * CHOOSE(CONTROL!$C$9, $D$9, 100%, $F$9) + CHOOSE(CONTROL!$C$27, 0.0021, 0)</f>
        <v>57.005699999999997</v>
      </c>
      <c r="J268" s="14">
        <f>57.0036 * CHOOSE(CONTROL!$C$9, $D$9, 100%, $F$9) + CHOOSE(CONTROL!$C$27, 0.0021, 0)</f>
        <v>57.005699999999997</v>
      </c>
      <c r="K268" s="14">
        <f>57.0036 * CHOOSE(CONTROL!$C$9, $D$9, 100%, $F$9) + CHOOSE(CONTROL!$C$27, 0.0021, 0)</f>
        <v>57.005699999999997</v>
      </c>
      <c r="L268" s="14"/>
    </row>
    <row r="269" spans="1:12" ht="15" x14ac:dyDescent="0.2">
      <c r="A269" s="13">
        <v>49096</v>
      </c>
      <c r="B269" s="14">
        <f>58.1152 * CHOOSE(CONTROL!$C$9, $D$9, 100%, $F$9) + CHOOSE(CONTROL!$C$27, 0.0021, 0)</f>
        <v>58.1173</v>
      </c>
      <c r="C269" s="14">
        <f>57.683 * CHOOSE(CONTROL!$C$9, $D$9, 100%, $F$9) + CHOOSE(CONTROL!$C$27, 0.0021, 0)</f>
        <v>57.685099999999998</v>
      </c>
      <c r="D269" s="14">
        <f>57.683 * CHOOSE(CONTROL!$C$9, $D$9, 100%, $F$9) + CHOOSE(CONTROL!$C$27, 0.0021, 0)</f>
        <v>57.685099999999998</v>
      </c>
      <c r="E269" s="14">
        <f>57.5463 * CHOOSE(CONTROL!$C$9, $D$9, 100%, $F$9) + CHOOSE(CONTROL!$C$27, 0.0021, 0)</f>
        <v>57.548400000000001</v>
      </c>
      <c r="F269" s="14">
        <f>57.5463 * CHOOSE(CONTROL!$C$9, $D$9, 100%, $F$9) + CHOOSE(CONTROL!$C$27, 0.0021, 0)</f>
        <v>57.548400000000001</v>
      </c>
      <c r="G269" s="14">
        <f>57.8177 * CHOOSE(CONTROL!$C$9, $D$9, 100%, $F$9) + CHOOSE(CONTROL!$C$27, 0.0021, 0)</f>
        <v>57.819800000000001</v>
      </c>
      <c r="H269" s="14">
        <f>57.683 * CHOOSE(CONTROL!$C$9, $D$9, 100%, $F$9) + CHOOSE(CONTROL!$C$27, 0.0021, 0)</f>
        <v>57.685099999999998</v>
      </c>
      <c r="I269" s="14">
        <f>57.683 * CHOOSE(CONTROL!$C$9, $D$9, 100%, $F$9) + CHOOSE(CONTROL!$C$27, 0.0021, 0)</f>
        <v>57.685099999999998</v>
      </c>
      <c r="J269" s="14">
        <f>57.683 * CHOOSE(CONTROL!$C$9, $D$9, 100%, $F$9) + CHOOSE(CONTROL!$C$27, 0.0021, 0)</f>
        <v>57.685099999999998</v>
      </c>
      <c r="K269" s="14">
        <f>57.683 * CHOOSE(CONTROL!$C$9, $D$9, 100%, $F$9) + CHOOSE(CONTROL!$C$27, 0.0021, 0)</f>
        <v>57.685099999999998</v>
      </c>
      <c r="L269" s="14"/>
    </row>
    <row r="270" spans="1:12" ht="15" x14ac:dyDescent="0.2">
      <c r="A270" s="13">
        <v>49126</v>
      </c>
      <c r="B270" s="14">
        <f>59.2359 * CHOOSE(CONTROL!$C$9, $D$9, 100%, $F$9) + CHOOSE(CONTROL!$C$27, 0.0021, 0)</f>
        <v>59.238</v>
      </c>
      <c r="C270" s="14">
        <f>58.8037 * CHOOSE(CONTROL!$C$9, $D$9, 100%, $F$9) + CHOOSE(CONTROL!$C$27, 0.0021, 0)</f>
        <v>58.805799999999998</v>
      </c>
      <c r="D270" s="14">
        <f>58.8037 * CHOOSE(CONTROL!$C$9, $D$9, 100%, $F$9) + CHOOSE(CONTROL!$C$27, 0.0021, 0)</f>
        <v>58.805799999999998</v>
      </c>
      <c r="E270" s="14">
        <f>58.667 * CHOOSE(CONTROL!$C$9, $D$9, 100%, $F$9) + CHOOSE(CONTROL!$C$27, 0.0021, 0)</f>
        <v>58.6691</v>
      </c>
      <c r="F270" s="14">
        <f>58.667 * CHOOSE(CONTROL!$C$9, $D$9, 100%, $F$9) + CHOOSE(CONTROL!$C$27, 0.0021, 0)</f>
        <v>58.6691</v>
      </c>
      <c r="G270" s="14">
        <f>58.9384 * CHOOSE(CONTROL!$C$9, $D$9, 100%, $F$9) + CHOOSE(CONTROL!$C$27, 0.0021, 0)</f>
        <v>58.9405</v>
      </c>
      <c r="H270" s="14">
        <f>58.8037 * CHOOSE(CONTROL!$C$9, $D$9, 100%, $F$9) + CHOOSE(CONTROL!$C$27, 0.0021, 0)</f>
        <v>58.805799999999998</v>
      </c>
      <c r="I270" s="14">
        <f>58.8037 * CHOOSE(CONTROL!$C$9, $D$9, 100%, $F$9) + CHOOSE(CONTROL!$C$27, 0.0021, 0)</f>
        <v>58.805799999999998</v>
      </c>
      <c r="J270" s="14">
        <f>58.8037 * CHOOSE(CONTROL!$C$9, $D$9, 100%, $F$9) + CHOOSE(CONTROL!$C$27, 0.0021, 0)</f>
        <v>58.805799999999998</v>
      </c>
      <c r="K270" s="14">
        <f>58.8037 * CHOOSE(CONTROL!$C$9, $D$9, 100%, $F$9) + CHOOSE(CONTROL!$C$27, 0.0021, 0)</f>
        <v>58.805799999999998</v>
      </c>
      <c r="L270" s="14"/>
    </row>
    <row r="271" spans="1:12" ht="15" x14ac:dyDescent="0.2">
      <c r="A271" s="13">
        <v>49157</v>
      </c>
      <c r="B271" s="14">
        <f>59.578 * CHOOSE(CONTROL!$C$9, $D$9, 100%, $F$9) + CHOOSE(CONTROL!$C$27, 0.0021, 0)</f>
        <v>59.580100000000002</v>
      </c>
      <c r="C271" s="14">
        <f>59.1457 * CHOOSE(CONTROL!$C$9, $D$9, 100%, $F$9) + CHOOSE(CONTROL!$C$27, 0.0021, 0)</f>
        <v>59.147799999999997</v>
      </c>
      <c r="D271" s="14">
        <f>59.1457 * CHOOSE(CONTROL!$C$9, $D$9, 100%, $F$9) + CHOOSE(CONTROL!$C$27, 0.0021, 0)</f>
        <v>59.147799999999997</v>
      </c>
      <c r="E271" s="14">
        <f>59.0091 * CHOOSE(CONTROL!$C$9, $D$9, 100%, $F$9) + CHOOSE(CONTROL!$C$27, 0.0021, 0)</f>
        <v>59.011199999999995</v>
      </c>
      <c r="F271" s="14">
        <f>59.0091 * CHOOSE(CONTROL!$C$9, $D$9, 100%, $F$9) + CHOOSE(CONTROL!$C$27, 0.0021, 0)</f>
        <v>59.011199999999995</v>
      </c>
      <c r="G271" s="14">
        <f>59.2805 * CHOOSE(CONTROL!$C$9, $D$9, 100%, $F$9) + CHOOSE(CONTROL!$C$27, 0.0021, 0)</f>
        <v>59.282600000000002</v>
      </c>
      <c r="H271" s="14">
        <f>59.1457 * CHOOSE(CONTROL!$C$9, $D$9, 100%, $F$9) + CHOOSE(CONTROL!$C$27, 0.0021, 0)</f>
        <v>59.147799999999997</v>
      </c>
      <c r="I271" s="14">
        <f>59.1457 * CHOOSE(CONTROL!$C$9, $D$9, 100%, $F$9) + CHOOSE(CONTROL!$C$27, 0.0021, 0)</f>
        <v>59.147799999999997</v>
      </c>
      <c r="J271" s="14">
        <f>59.1457 * CHOOSE(CONTROL!$C$9, $D$9, 100%, $F$9) + CHOOSE(CONTROL!$C$27, 0.0021, 0)</f>
        <v>59.147799999999997</v>
      </c>
      <c r="K271" s="14">
        <f>59.1457 * CHOOSE(CONTROL!$C$9, $D$9, 100%, $F$9) + CHOOSE(CONTROL!$C$27, 0.0021, 0)</f>
        <v>59.147799999999997</v>
      </c>
      <c r="L271" s="14"/>
    </row>
    <row r="272" spans="1:12" ht="15" x14ac:dyDescent="0.2">
      <c r="A272" s="13">
        <v>49188</v>
      </c>
      <c r="B272" s="14">
        <f>60.7429 * CHOOSE(CONTROL!$C$9, $D$9, 100%, $F$9) + CHOOSE(CONTROL!$C$27, 0.0021, 0)</f>
        <v>60.744999999999997</v>
      </c>
      <c r="C272" s="14">
        <f>60.3106 * CHOOSE(CONTROL!$C$9, $D$9, 100%, $F$9) + CHOOSE(CONTROL!$C$27, 0.0021, 0)</f>
        <v>60.3127</v>
      </c>
      <c r="D272" s="14">
        <f>60.3106 * CHOOSE(CONTROL!$C$9, $D$9, 100%, $F$9) + CHOOSE(CONTROL!$C$27, 0.0021, 0)</f>
        <v>60.3127</v>
      </c>
      <c r="E272" s="14">
        <f>60.174 * CHOOSE(CONTROL!$C$9, $D$9, 100%, $F$9) + CHOOSE(CONTROL!$C$27, 0.0021, 0)</f>
        <v>60.176099999999998</v>
      </c>
      <c r="F272" s="14">
        <f>60.174 * CHOOSE(CONTROL!$C$9, $D$9, 100%, $F$9) + CHOOSE(CONTROL!$C$27, 0.0021, 0)</f>
        <v>60.176099999999998</v>
      </c>
      <c r="G272" s="14">
        <f>60.4454 * CHOOSE(CONTROL!$C$9, $D$9, 100%, $F$9) + CHOOSE(CONTROL!$C$27, 0.0021, 0)</f>
        <v>60.447499999999998</v>
      </c>
      <c r="H272" s="14">
        <f>60.3106 * CHOOSE(CONTROL!$C$9, $D$9, 100%, $F$9) + CHOOSE(CONTROL!$C$27, 0.0021, 0)</f>
        <v>60.3127</v>
      </c>
      <c r="I272" s="14">
        <f>60.3106 * CHOOSE(CONTROL!$C$9, $D$9, 100%, $F$9) + CHOOSE(CONTROL!$C$27, 0.0021, 0)</f>
        <v>60.3127</v>
      </c>
      <c r="J272" s="14">
        <f>60.3106 * CHOOSE(CONTROL!$C$9, $D$9, 100%, $F$9) + CHOOSE(CONTROL!$C$27, 0.0021, 0)</f>
        <v>60.3127</v>
      </c>
      <c r="K272" s="14">
        <f>60.3106 * CHOOSE(CONTROL!$C$9, $D$9, 100%, $F$9) + CHOOSE(CONTROL!$C$27, 0.0021, 0)</f>
        <v>60.3127</v>
      </c>
      <c r="L272" s="14"/>
    </row>
    <row r="273" spans="1:12" ht="15" x14ac:dyDescent="0.2">
      <c r="A273" s="13">
        <v>49218</v>
      </c>
      <c r="B273" s="14">
        <f>62.2175 * CHOOSE(CONTROL!$C$9, $D$9, 100%, $F$9) + CHOOSE(CONTROL!$C$27, 0.0021, 0)</f>
        <v>62.2196</v>
      </c>
      <c r="C273" s="14">
        <f>61.7852 * CHOOSE(CONTROL!$C$9, $D$9, 100%, $F$9) + CHOOSE(CONTROL!$C$27, 0.0021, 0)</f>
        <v>61.787300000000002</v>
      </c>
      <c r="D273" s="14">
        <f>61.7852 * CHOOSE(CONTROL!$C$9, $D$9, 100%, $F$9) + CHOOSE(CONTROL!$C$27, 0.0021, 0)</f>
        <v>61.787300000000002</v>
      </c>
      <c r="E273" s="14">
        <f>61.6485 * CHOOSE(CONTROL!$C$9, $D$9, 100%, $F$9) + CHOOSE(CONTROL!$C$27, 0.0021, 0)</f>
        <v>61.650599999999997</v>
      </c>
      <c r="F273" s="14">
        <f>61.6485 * CHOOSE(CONTROL!$C$9, $D$9, 100%, $F$9) + CHOOSE(CONTROL!$C$27, 0.0021, 0)</f>
        <v>61.650599999999997</v>
      </c>
      <c r="G273" s="14">
        <f>61.9199 * CHOOSE(CONTROL!$C$9, $D$9, 100%, $F$9) + CHOOSE(CONTROL!$C$27, 0.0021, 0)</f>
        <v>61.921999999999997</v>
      </c>
      <c r="H273" s="14">
        <f>61.7852 * CHOOSE(CONTROL!$C$9, $D$9, 100%, $F$9) + CHOOSE(CONTROL!$C$27, 0.0021, 0)</f>
        <v>61.787300000000002</v>
      </c>
      <c r="I273" s="14">
        <f>61.7852 * CHOOSE(CONTROL!$C$9, $D$9, 100%, $F$9) + CHOOSE(CONTROL!$C$27, 0.0021, 0)</f>
        <v>61.787300000000002</v>
      </c>
      <c r="J273" s="14">
        <f>61.7852 * CHOOSE(CONTROL!$C$9, $D$9, 100%, $F$9) + CHOOSE(CONTROL!$C$27, 0.0021, 0)</f>
        <v>61.787300000000002</v>
      </c>
      <c r="K273" s="14">
        <f>61.7852 * CHOOSE(CONTROL!$C$9, $D$9, 100%, $F$9) + CHOOSE(CONTROL!$C$27, 0.0021, 0)</f>
        <v>61.787300000000002</v>
      </c>
      <c r="L273" s="14"/>
    </row>
    <row r="274" spans="1:12" ht="15" x14ac:dyDescent="0.2">
      <c r="A274" s="13">
        <v>49249</v>
      </c>
      <c r="B274" s="14">
        <f>62.3559 * CHOOSE(CONTROL!$C$9, $D$9, 100%, $F$9) + CHOOSE(CONTROL!$C$27, 0.0021, 0)</f>
        <v>62.357999999999997</v>
      </c>
      <c r="C274" s="14">
        <f>61.9236 * CHOOSE(CONTROL!$C$9, $D$9, 100%, $F$9) + CHOOSE(CONTROL!$C$27, 0.0021, 0)</f>
        <v>61.925699999999999</v>
      </c>
      <c r="D274" s="14">
        <f>61.9236 * CHOOSE(CONTROL!$C$9, $D$9, 100%, $F$9) + CHOOSE(CONTROL!$C$27, 0.0021, 0)</f>
        <v>61.925699999999999</v>
      </c>
      <c r="E274" s="14">
        <f>61.787 * CHOOSE(CONTROL!$C$9, $D$9, 100%, $F$9) + CHOOSE(CONTROL!$C$27, 0.0021, 0)</f>
        <v>61.789099999999998</v>
      </c>
      <c r="F274" s="14">
        <f>61.787 * CHOOSE(CONTROL!$C$9, $D$9, 100%, $F$9) + CHOOSE(CONTROL!$C$27, 0.0021, 0)</f>
        <v>61.789099999999998</v>
      </c>
      <c r="G274" s="14">
        <f>62.0584 * CHOOSE(CONTROL!$C$9, $D$9, 100%, $F$9) + CHOOSE(CONTROL!$C$27, 0.0021, 0)</f>
        <v>62.060499999999998</v>
      </c>
      <c r="H274" s="14">
        <f>61.9236 * CHOOSE(CONTROL!$C$9, $D$9, 100%, $F$9) + CHOOSE(CONTROL!$C$27, 0.0021, 0)</f>
        <v>61.925699999999999</v>
      </c>
      <c r="I274" s="14">
        <f>61.9236 * CHOOSE(CONTROL!$C$9, $D$9, 100%, $F$9) + CHOOSE(CONTROL!$C$27, 0.0021, 0)</f>
        <v>61.925699999999999</v>
      </c>
      <c r="J274" s="14">
        <f>61.9236 * CHOOSE(CONTROL!$C$9, $D$9, 100%, $F$9) + CHOOSE(CONTROL!$C$27, 0.0021, 0)</f>
        <v>61.925699999999999</v>
      </c>
      <c r="K274" s="14">
        <f>61.9236 * CHOOSE(CONTROL!$C$9, $D$9, 100%, $F$9) + CHOOSE(CONTROL!$C$27, 0.0021, 0)</f>
        <v>61.925699999999999</v>
      </c>
      <c r="L274" s="14"/>
    </row>
    <row r="275" spans="1:12" ht="15" x14ac:dyDescent="0.2">
      <c r="A275" s="13">
        <v>49279</v>
      </c>
      <c r="B275" s="14">
        <f>61.1782 * CHOOSE(CONTROL!$C$9, $D$9, 100%, $F$9) + CHOOSE(CONTROL!$C$27, 0.0021, 0)</f>
        <v>61.180299999999995</v>
      </c>
      <c r="C275" s="14">
        <f>60.7459 * CHOOSE(CONTROL!$C$9, $D$9, 100%, $F$9) + CHOOSE(CONTROL!$C$27, 0.0021, 0)</f>
        <v>60.747999999999998</v>
      </c>
      <c r="D275" s="14">
        <f>60.7459 * CHOOSE(CONTROL!$C$9, $D$9, 100%, $F$9) + CHOOSE(CONTROL!$C$27, 0.0021, 0)</f>
        <v>60.747999999999998</v>
      </c>
      <c r="E275" s="14">
        <f>60.6093 * CHOOSE(CONTROL!$C$9, $D$9, 100%, $F$9) + CHOOSE(CONTROL!$C$27, 0.0021, 0)</f>
        <v>60.611399999999996</v>
      </c>
      <c r="F275" s="14">
        <f>60.6093 * CHOOSE(CONTROL!$C$9, $D$9, 100%, $F$9) + CHOOSE(CONTROL!$C$27, 0.0021, 0)</f>
        <v>60.611399999999996</v>
      </c>
      <c r="G275" s="14">
        <f>60.8806 * CHOOSE(CONTROL!$C$9, $D$9, 100%, $F$9) + CHOOSE(CONTROL!$C$27, 0.0021, 0)</f>
        <v>60.8827</v>
      </c>
      <c r="H275" s="14">
        <f>60.7459 * CHOOSE(CONTROL!$C$9, $D$9, 100%, $F$9) + CHOOSE(CONTROL!$C$27, 0.0021, 0)</f>
        <v>60.747999999999998</v>
      </c>
      <c r="I275" s="14">
        <f>60.7459 * CHOOSE(CONTROL!$C$9, $D$9, 100%, $F$9) + CHOOSE(CONTROL!$C$27, 0.0021, 0)</f>
        <v>60.747999999999998</v>
      </c>
      <c r="J275" s="14">
        <f>60.7459 * CHOOSE(CONTROL!$C$9, $D$9, 100%, $F$9) + CHOOSE(CONTROL!$C$27, 0.0021, 0)</f>
        <v>60.747999999999998</v>
      </c>
      <c r="K275" s="14">
        <f>60.7459 * CHOOSE(CONTROL!$C$9, $D$9, 100%, $F$9) + CHOOSE(CONTROL!$C$27, 0.0021, 0)</f>
        <v>60.747999999999998</v>
      </c>
      <c r="L275" s="14"/>
    </row>
    <row r="276" spans="1:12" ht="15" x14ac:dyDescent="0.2">
      <c r="A276" s="13">
        <v>49310</v>
      </c>
      <c r="B276" s="14">
        <f>60.4338 * CHOOSE(CONTROL!$C$9, $D$9, 100%, $F$9) + CHOOSE(CONTROL!$C$27, 0.0021, 0)</f>
        <v>60.435899999999997</v>
      </c>
      <c r="C276" s="14">
        <f>60.0016 * CHOOSE(CONTROL!$C$9, $D$9, 100%, $F$9) + CHOOSE(CONTROL!$C$27, 0.0021, 0)</f>
        <v>60.003700000000002</v>
      </c>
      <c r="D276" s="14">
        <f>60.0016 * CHOOSE(CONTROL!$C$9, $D$9, 100%, $F$9) + CHOOSE(CONTROL!$C$27, 0.0021, 0)</f>
        <v>60.003700000000002</v>
      </c>
      <c r="E276" s="14">
        <f>59.8649 * CHOOSE(CONTROL!$C$9, $D$9, 100%, $F$9) + CHOOSE(CONTROL!$C$27, 0.0021, 0)</f>
        <v>59.866999999999997</v>
      </c>
      <c r="F276" s="14">
        <f>59.8649 * CHOOSE(CONTROL!$C$9, $D$9, 100%, $F$9) + CHOOSE(CONTROL!$C$27, 0.0021, 0)</f>
        <v>59.866999999999997</v>
      </c>
      <c r="G276" s="14">
        <f>60.1363 * CHOOSE(CONTROL!$C$9, $D$9, 100%, $F$9) + CHOOSE(CONTROL!$C$27, 0.0021, 0)</f>
        <v>60.138399999999997</v>
      </c>
      <c r="H276" s="14">
        <f>60.0016 * CHOOSE(CONTROL!$C$9, $D$9, 100%, $F$9) + CHOOSE(CONTROL!$C$27, 0.0021, 0)</f>
        <v>60.003700000000002</v>
      </c>
      <c r="I276" s="14">
        <f>60.0016 * CHOOSE(CONTROL!$C$9, $D$9, 100%, $F$9) + CHOOSE(CONTROL!$C$27, 0.0021, 0)</f>
        <v>60.003700000000002</v>
      </c>
      <c r="J276" s="14">
        <f>60.0016 * CHOOSE(CONTROL!$C$9, $D$9, 100%, $F$9) + CHOOSE(CONTROL!$C$27, 0.0021, 0)</f>
        <v>60.003700000000002</v>
      </c>
      <c r="K276" s="14">
        <f>60.0016 * CHOOSE(CONTROL!$C$9, $D$9, 100%, $F$9) + CHOOSE(CONTROL!$C$27, 0.0021, 0)</f>
        <v>60.003700000000002</v>
      </c>
      <c r="L276" s="14"/>
    </row>
    <row r="277" spans="1:12" ht="15" x14ac:dyDescent="0.2">
      <c r="A277" s="13">
        <v>49341</v>
      </c>
      <c r="B277" s="14">
        <f>58.7893 * CHOOSE(CONTROL!$C$9, $D$9, 100%, $F$9) + CHOOSE(CONTROL!$C$27, 0.0021, 0)</f>
        <v>58.791399999999996</v>
      </c>
      <c r="C277" s="14">
        <f>58.357 * CHOOSE(CONTROL!$C$9, $D$9, 100%, $F$9) + CHOOSE(CONTROL!$C$27, 0.0021, 0)</f>
        <v>58.359099999999998</v>
      </c>
      <c r="D277" s="14">
        <f>58.357 * CHOOSE(CONTROL!$C$9, $D$9, 100%, $F$9) + CHOOSE(CONTROL!$C$27, 0.0021, 0)</f>
        <v>58.359099999999998</v>
      </c>
      <c r="E277" s="14">
        <f>58.2203 * CHOOSE(CONTROL!$C$9, $D$9, 100%, $F$9) + CHOOSE(CONTROL!$C$27, 0.0021, 0)</f>
        <v>58.2224</v>
      </c>
      <c r="F277" s="14">
        <f>58.2203 * CHOOSE(CONTROL!$C$9, $D$9, 100%, $F$9) + CHOOSE(CONTROL!$C$27, 0.0021, 0)</f>
        <v>58.2224</v>
      </c>
      <c r="G277" s="14">
        <f>58.4917 * CHOOSE(CONTROL!$C$9, $D$9, 100%, $F$9) + CHOOSE(CONTROL!$C$27, 0.0021, 0)</f>
        <v>58.4938</v>
      </c>
      <c r="H277" s="14">
        <f>58.357 * CHOOSE(CONTROL!$C$9, $D$9, 100%, $F$9) + CHOOSE(CONTROL!$C$27, 0.0021, 0)</f>
        <v>58.359099999999998</v>
      </c>
      <c r="I277" s="14">
        <f>58.357 * CHOOSE(CONTROL!$C$9, $D$9, 100%, $F$9) + CHOOSE(CONTROL!$C$27, 0.0021, 0)</f>
        <v>58.359099999999998</v>
      </c>
      <c r="J277" s="14">
        <f>58.357 * CHOOSE(CONTROL!$C$9, $D$9, 100%, $F$9) + CHOOSE(CONTROL!$C$27, 0.0021, 0)</f>
        <v>58.359099999999998</v>
      </c>
      <c r="K277" s="14">
        <f>58.357 * CHOOSE(CONTROL!$C$9, $D$9, 100%, $F$9) + CHOOSE(CONTROL!$C$27, 0.0021, 0)</f>
        <v>58.359099999999998</v>
      </c>
      <c r="L277" s="14"/>
    </row>
    <row r="278" spans="1:12" ht="15" x14ac:dyDescent="0.2">
      <c r="A278" s="13">
        <v>49369</v>
      </c>
      <c r="B278" s="14">
        <f>58.1104 * CHOOSE(CONTROL!$C$9, $D$9, 100%, $F$9) + CHOOSE(CONTROL!$C$27, 0.0021, 0)</f>
        <v>58.112499999999997</v>
      </c>
      <c r="C278" s="14">
        <f>57.6781 * CHOOSE(CONTROL!$C$9, $D$9, 100%, $F$9) + CHOOSE(CONTROL!$C$27, 0.0021, 0)</f>
        <v>57.680199999999999</v>
      </c>
      <c r="D278" s="14">
        <f>57.6781 * CHOOSE(CONTROL!$C$9, $D$9, 100%, $F$9) + CHOOSE(CONTROL!$C$27, 0.0021, 0)</f>
        <v>57.680199999999999</v>
      </c>
      <c r="E278" s="14">
        <f>57.5415 * CHOOSE(CONTROL!$C$9, $D$9, 100%, $F$9) + CHOOSE(CONTROL!$C$27, 0.0021, 0)</f>
        <v>57.543599999999998</v>
      </c>
      <c r="F278" s="14">
        <f>57.5415 * CHOOSE(CONTROL!$C$9, $D$9, 100%, $F$9) + CHOOSE(CONTROL!$C$27, 0.0021, 0)</f>
        <v>57.543599999999998</v>
      </c>
      <c r="G278" s="14">
        <f>57.8129 * CHOOSE(CONTROL!$C$9, $D$9, 100%, $F$9) + CHOOSE(CONTROL!$C$27, 0.0021, 0)</f>
        <v>57.814999999999998</v>
      </c>
      <c r="H278" s="14">
        <f>57.6781 * CHOOSE(CONTROL!$C$9, $D$9, 100%, $F$9) + CHOOSE(CONTROL!$C$27, 0.0021, 0)</f>
        <v>57.680199999999999</v>
      </c>
      <c r="I278" s="14">
        <f>57.6781 * CHOOSE(CONTROL!$C$9, $D$9, 100%, $F$9) + CHOOSE(CONTROL!$C$27, 0.0021, 0)</f>
        <v>57.680199999999999</v>
      </c>
      <c r="J278" s="14">
        <f>57.6781 * CHOOSE(CONTROL!$C$9, $D$9, 100%, $F$9) + CHOOSE(CONTROL!$C$27, 0.0021, 0)</f>
        <v>57.680199999999999</v>
      </c>
      <c r="K278" s="14">
        <f>57.6781 * CHOOSE(CONTROL!$C$9, $D$9, 100%, $F$9) + CHOOSE(CONTROL!$C$27, 0.0021, 0)</f>
        <v>57.680199999999999</v>
      </c>
      <c r="L278" s="14"/>
    </row>
    <row r="279" spans="1:12" ht="15" x14ac:dyDescent="0.2">
      <c r="A279" s="13">
        <v>49400</v>
      </c>
      <c r="B279" s="14">
        <f>57.2998 * CHOOSE(CONTROL!$C$9, $D$9, 100%, $F$9) + CHOOSE(CONTROL!$C$27, 0.0021, 0)</f>
        <v>57.301899999999996</v>
      </c>
      <c r="C279" s="14">
        <f>56.8676 * CHOOSE(CONTROL!$C$9, $D$9, 100%, $F$9) + CHOOSE(CONTROL!$C$27, 0.0021, 0)</f>
        <v>56.869700000000002</v>
      </c>
      <c r="D279" s="14">
        <f>56.8676 * CHOOSE(CONTROL!$C$9, $D$9, 100%, $F$9) + CHOOSE(CONTROL!$C$27, 0.0021, 0)</f>
        <v>56.869700000000002</v>
      </c>
      <c r="E279" s="14">
        <f>56.7309 * CHOOSE(CONTROL!$C$9, $D$9, 100%, $F$9) + CHOOSE(CONTROL!$C$27, 0.0021, 0)</f>
        <v>56.732999999999997</v>
      </c>
      <c r="F279" s="14">
        <f>56.7309 * CHOOSE(CONTROL!$C$9, $D$9, 100%, $F$9) + CHOOSE(CONTROL!$C$27, 0.0021, 0)</f>
        <v>56.732999999999997</v>
      </c>
      <c r="G279" s="14">
        <f>57.0023 * CHOOSE(CONTROL!$C$9, $D$9, 100%, $F$9) + CHOOSE(CONTROL!$C$27, 0.0021, 0)</f>
        <v>57.004399999999997</v>
      </c>
      <c r="H279" s="14">
        <f>56.8676 * CHOOSE(CONTROL!$C$9, $D$9, 100%, $F$9) + CHOOSE(CONTROL!$C$27, 0.0021, 0)</f>
        <v>56.869700000000002</v>
      </c>
      <c r="I279" s="14">
        <f>56.8676 * CHOOSE(CONTROL!$C$9, $D$9, 100%, $F$9) + CHOOSE(CONTROL!$C$27, 0.0021, 0)</f>
        <v>56.869700000000002</v>
      </c>
      <c r="J279" s="14">
        <f>56.8676 * CHOOSE(CONTROL!$C$9, $D$9, 100%, $F$9) + CHOOSE(CONTROL!$C$27, 0.0021, 0)</f>
        <v>56.869700000000002</v>
      </c>
      <c r="K279" s="14">
        <f>56.8676 * CHOOSE(CONTROL!$C$9, $D$9, 100%, $F$9) + CHOOSE(CONTROL!$C$27, 0.0021, 0)</f>
        <v>56.869700000000002</v>
      </c>
      <c r="L279" s="14"/>
    </row>
    <row r="280" spans="1:12" ht="15" x14ac:dyDescent="0.2">
      <c r="A280" s="13">
        <v>49430</v>
      </c>
      <c r="B280" s="14">
        <f>58.455 * CHOOSE(CONTROL!$C$9, $D$9, 100%, $F$9) + CHOOSE(CONTROL!$C$27, 0.0021, 0)</f>
        <v>58.457099999999997</v>
      </c>
      <c r="C280" s="14">
        <f>58.0227 * CHOOSE(CONTROL!$C$9, $D$9, 100%, $F$9) + CHOOSE(CONTROL!$C$27, 0.0021, 0)</f>
        <v>58.024799999999999</v>
      </c>
      <c r="D280" s="14">
        <f>58.0227 * CHOOSE(CONTROL!$C$9, $D$9, 100%, $F$9) + CHOOSE(CONTROL!$C$27, 0.0021, 0)</f>
        <v>58.024799999999999</v>
      </c>
      <c r="E280" s="14">
        <f>57.8861 * CHOOSE(CONTROL!$C$9, $D$9, 100%, $F$9) + CHOOSE(CONTROL!$C$27, 0.0021, 0)</f>
        <v>57.888199999999998</v>
      </c>
      <c r="F280" s="14">
        <f>57.8861 * CHOOSE(CONTROL!$C$9, $D$9, 100%, $F$9) + CHOOSE(CONTROL!$C$27, 0.0021, 0)</f>
        <v>57.888199999999998</v>
      </c>
      <c r="G280" s="14">
        <f>58.1574 * CHOOSE(CONTROL!$C$9, $D$9, 100%, $F$9) + CHOOSE(CONTROL!$C$27, 0.0021, 0)</f>
        <v>58.159500000000001</v>
      </c>
      <c r="H280" s="14">
        <f>58.0227 * CHOOSE(CONTROL!$C$9, $D$9, 100%, $F$9) + CHOOSE(CONTROL!$C$27, 0.0021, 0)</f>
        <v>58.024799999999999</v>
      </c>
      <c r="I280" s="14">
        <f>58.0227 * CHOOSE(CONTROL!$C$9, $D$9, 100%, $F$9) + CHOOSE(CONTROL!$C$27, 0.0021, 0)</f>
        <v>58.024799999999999</v>
      </c>
      <c r="J280" s="14">
        <f>58.0227 * CHOOSE(CONTROL!$C$9, $D$9, 100%, $F$9) + CHOOSE(CONTROL!$C$27, 0.0021, 0)</f>
        <v>58.024799999999999</v>
      </c>
      <c r="K280" s="14">
        <f>58.0227 * CHOOSE(CONTROL!$C$9, $D$9, 100%, $F$9) + CHOOSE(CONTROL!$C$27, 0.0021, 0)</f>
        <v>58.024799999999999</v>
      </c>
      <c r="L280" s="14"/>
    </row>
    <row r="281" spans="1:12" ht="15" x14ac:dyDescent="0.2">
      <c r="A281" s="34">
        <v>49461</v>
      </c>
      <c r="B281" s="14">
        <f>59.1469 * CHOOSE(CONTROL!$C$9, $D$9, 100%, $F$9) + CHOOSE(CONTROL!$C$27, 0.0021, 0)</f>
        <v>59.149000000000001</v>
      </c>
      <c r="C281" s="14">
        <f>58.7146 * CHOOSE(CONTROL!$C$9, $D$9, 100%, $F$9) + CHOOSE(CONTROL!$C$27, 0.0021, 0)</f>
        <v>58.716699999999996</v>
      </c>
      <c r="D281" s="14">
        <f>58.7146 * CHOOSE(CONTROL!$C$9, $D$9, 100%, $F$9) + CHOOSE(CONTROL!$C$27, 0.0021, 0)</f>
        <v>58.716699999999996</v>
      </c>
      <c r="E281" s="14">
        <f>58.578 * CHOOSE(CONTROL!$C$9, $D$9, 100%, $F$9) + CHOOSE(CONTROL!$C$27, 0.0021, 0)</f>
        <v>58.580100000000002</v>
      </c>
      <c r="F281" s="14">
        <f>58.578 * CHOOSE(CONTROL!$C$9, $D$9, 100%, $F$9) + CHOOSE(CONTROL!$C$27, 0.0021, 0)</f>
        <v>58.580100000000002</v>
      </c>
      <c r="G281" s="14">
        <f>58.8494 * CHOOSE(CONTROL!$C$9, $D$9, 100%, $F$9) + CHOOSE(CONTROL!$C$27, 0.0021, 0)</f>
        <v>58.851500000000001</v>
      </c>
      <c r="H281" s="14">
        <f>58.7146 * CHOOSE(CONTROL!$C$9, $D$9, 100%, $F$9) + CHOOSE(CONTROL!$C$27, 0.0021, 0)</f>
        <v>58.716699999999996</v>
      </c>
      <c r="I281" s="14">
        <f>58.7146 * CHOOSE(CONTROL!$C$9, $D$9, 100%, $F$9) + CHOOSE(CONTROL!$C$27, 0.0021, 0)</f>
        <v>58.716699999999996</v>
      </c>
      <c r="J281" s="14">
        <f>58.7146 * CHOOSE(CONTROL!$C$9, $D$9, 100%, $F$9) + CHOOSE(CONTROL!$C$27, 0.0021, 0)</f>
        <v>58.716699999999996</v>
      </c>
      <c r="K281" s="14">
        <f>58.7146 * CHOOSE(CONTROL!$C$9, $D$9, 100%, $F$9) + CHOOSE(CONTROL!$C$27, 0.0021, 0)</f>
        <v>58.716699999999996</v>
      </c>
      <c r="L281" s="14"/>
    </row>
    <row r="282" spans="1:12" ht="15" x14ac:dyDescent="0.2">
      <c r="A282" s="34">
        <v>49491</v>
      </c>
      <c r="B282" s="14">
        <f>60.2883 * CHOOSE(CONTROL!$C$9, $D$9, 100%, $F$9) + CHOOSE(CONTROL!$C$27, 0.0021, 0)</f>
        <v>60.290399999999998</v>
      </c>
      <c r="C282" s="14">
        <f>59.856 * CHOOSE(CONTROL!$C$9, $D$9, 100%, $F$9) + CHOOSE(CONTROL!$C$27, 0.0021, 0)</f>
        <v>59.8581</v>
      </c>
      <c r="D282" s="14">
        <f>59.856 * CHOOSE(CONTROL!$C$9, $D$9, 100%, $F$9) + CHOOSE(CONTROL!$C$27, 0.0021, 0)</f>
        <v>59.8581</v>
      </c>
      <c r="E282" s="14">
        <f>59.7194 * CHOOSE(CONTROL!$C$9, $D$9, 100%, $F$9) + CHOOSE(CONTROL!$C$27, 0.0021, 0)</f>
        <v>59.721499999999999</v>
      </c>
      <c r="F282" s="14">
        <f>59.7194 * CHOOSE(CONTROL!$C$9, $D$9, 100%, $F$9) + CHOOSE(CONTROL!$C$27, 0.0021, 0)</f>
        <v>59.721499999999999</v>
      </c>
      <c r="G282" s="14">
        <f>59.9907 * CHOOSE(CONTROL!$C$9, $D$9, 100%, $F$9) + CHOOSE(CONTROL!$C$27, 0.0021, 0)</f>
        <v>59.992799999999995</v>
      </c>
      <c r="H282" s="14">
        <f>59.856 * CHOOSE(CONTROL!$C$9, $D$9, 100%, $F$9) + CHOOSE(CONTROL!$C$27, 0.0021, 0)</f>
        <v>59.8581</v>
      </c>
      <c r="I282" s="14">
        <f>59.856 * CHOOSE(CONTROL!$C$9, $D$9, 100%, $F$9) + CHOOSE(CONTROL!$C$27, 0.0021, 0)</f>
        <v>59.8581</v>
      </c>
      <c r="J282" s="14">
        <f>59.856 * CHOOSE(CONTROL!$C$9, $D$9, 100%, $F$9) + CHOOSE(CONTROL!$C$27, 0.0021, 0)</f>
        <v>59.8581</v>
      </c>
      <c r="K282" s="14">
        <f>59.856 * CHOOSE(CONTROL!$C$9, $D$9, 100%, $F$9) + CHOOSE(CONTROL!$C$27, 0.0021, 0)</f>
        <v>59.8581</v>
      </c>
      <c r="L282" s="14"/>
    </row>
    <row r="283" spans="1:12" ht="15" x14ac:dyDescent="0.2">
      <c r="A283" s="34">
        <v>49522</v>
      </c>
      <c r="B283" s="14">
        <f>60.6367 * CHOOSE(CONTROL!$C$9, $D$9, 100%, $F$9) + CHOOSE(CONTROL!$C$27, 0.0021, 0)</f>
        <v>60.638799999999996</v>
      </c>
      <c r="C283" s="14">
        <f>60.2044 * CHOOSE(CONTROL!$C$9, $D$9, 100%, $F$9) + CHOOSE(CONTROL!$C$27, 0.0021, 0)</f>
        <v>60.206499999999998</v>
      </c>
      <c r="D283" s="14">
        <f>60.2044 * CHOOSE(CONTROL!$C$9, $D$9, 100%, $F$9) + CHOOSE(CONTROL!$C$27, 0.0021, 0)</f>
        <v>60.206499999999998</v>
      </c>
      <c r="E283" s="14">
        <f>60.0678 * CHOOSE(CONTROL!$C$9, $D$9, 100%, $F$9) + CHOOSE(CONTROL!$C$27, 0.0021, 0)</f>
        <v>60.069899999999997</v>
      </c>
      <c r="F283" s="14">
        <f>60.0678 * CHOOSE(CONTROL!$C$9, $D$9, 100%, $F$9) + CHOOSE(CONTROL!$C$27, 0.0021, 0)</f>
        <v>60.069899999999997</v>
      </c>
      <c r="G283" s="14">
        <f>60.3391 * CHOOSE(CONTROL!$C$9, $D$9, 100%, $F$9) + CHOOSE(CONTROL!$C$27, 0.0021, 0)</f>
        <v>60.341200000000001</v>
      </c>
      <c r="H283" s="14">
        <f>60.2044 * CHOOSE(CONTROL!$C$9, $D$9, 100%, $F$9) + CHOOSE(CONTROL!$C$27, 0.0021, 0)</f>
        <v>60.206499999999998</v>
      </c>
      <c r="I283" s="14">
        <f>60.2044 * CHOOSE(CONTROL!$C$9, $D$9, 100%, $F$9) + CHOOSE(CONTROL!$C$27, 0.0021, 0)</f>
        <v>60.206499999999998</v>
      </c>
      <c r="J283" s="14">
        <f>60.2044 * CHOOSE(CONTROL!$C$9, $D$9, 100%, $F$9) + CHOOSE(CONTROL!$C$27, 0.0021, 0)</f>
        <v>60.206499999999998</v>
      </c>
      <c r="K283" s="14">
        <f>60.2044 * CHOOSE(CONTROL!$C$9, $D$9, 100%, $F$9) + CHOOSE(CONTROL!$C$27, 0.0021, 0)</f>
        <v>60.206499999999998</v>
      </c>
      <c r="L283" s="14"/>
    </row>
    <row r="284" spans="1:12" ht="15" x14ac:dyDescent="0.2">
      <c r="A284" s="34">
        <v>49553</v>
      </c>
      <c r="B284" s="14">
        <f>61.8231 * CHOOSE(CONTROL!$C$9, $D$9, 100%, $F$9) + CHOOSE(CONTROL!$C$27, 0.0021, 0)</f>
        <v>61.825199999999995</v>
      </c>
      <c r="C284" s="14">
        <f>61.3909 * CHOOSE(CONTROL!$C$9, $D$9, 100%, $F$9) + CHOOSE(CONTROL!$C$27, 0.0021, 0)</f>
        <v>61.393000000000001</v>
      </c>
      <c r="D284" s="14">
        <f>61.3909 * CHOOSE(CONTROL!$C$9, $D$9, 100%, $F$9) + CHOOSE(CONTROL!$C$27, 0.0021, 0)</f>
        <v>61.393000000000001</v>
      </c>
      <c r="E284" s="14">
        <f>61.2542 * CHOOSE(CONTROL!$C$9, $D$9, 100%, $F$9) + CHOOSE(CONTROL!$C$27, 0.0021, 0)</f>
        <v>61.256299999999996</v>
      </c>
      <c r="F284" s="14">
        <f>61.2542 * CHOOSE(CONTROL!$C$9, $D$9, 100%, $F$9) + CHOOSE(CONTROL!$C$27, 0.0021, 0)</f>
        <v>61.256299999999996</v>
      </c>
      <c r="G284" s="14">
        <f>61.5256 * CHOOSE(CONTROL!$C$9, $D$9, 100%, $F$9) + CHOOSE(CONTROL!$C$27, 0.0021, 0)</f>
        <v>61.527699999999996</v>
      </c>
      <c r="H284" s="14">
        <f>61.3909 * CHOOSE(CONTROL!$C$9, $D$9, 100%, $F$9) + CHOOSE(CONTROL!$C$27, 0.0021, 0)</f>
        <v>61.393000000000001</v>
      </c>
      <c r="I284" s="14">
        <f>61.3909 * CHOOSE(CONTROL!$C$9, $D$9, 100%, $F$9) + CHOOSE(CONTROL!$C$27, 0.0021, 0)</f>
        <v>61.393000000000001</v>
      </c>
      <c r="J284" s="14">
        <f>61.3909 * CHOOSE(CONTROL!$C$9, $D$9, 100%, $F$9) + CHOOSE(CONTROL!$C$27, 0.0021, 0)</f>
        <v>61.393000000000001</v>
      </c>
      <c r="K284" s="14">
        <f>61.3909 * CHOOSE(CONTROL!$C$9, $D$9, 100%, $F$9) + CHOOSE(CONTROL!$C$27, 0.0021, 0)</f>
        <v>61.393000000000001</v>
      </c>
      <c r="L284" s="14"/>
    </row>
    <row r="285" spans="1:12" ht="15" x14ac:dyDescent="0.2">
      <c r="A285" s="34">
        <v>49583</v>
      </c>
      <c r="B285" s="14">
        <f>63.3249 * CHOOSE(CONTROL!$C$9, $D$9, 100%, $F$9) + CHOOSE(CONTROL!$C$27, 0.0021, 0)</f>
        <v>63.326999999999998</v>
      </c>
      <c r="C285" s="14">
        <f>62.8927 * CHOOSE(CONTROL!$C$9, $D$9, 100%, $F$9) + CHOOSE(CONTROL!$C$27, 0.0021, 0)</f>
        <v>62.894799999999996</v>
      </c>
      <c r="D285" s="14">
        <f>62.8927 * CHOOSE(CONTROL!$C$9, $D$9, 100%, $F$9) + CHOOSE(CONTROL!$C$27, 0.0021, 0)</f>
        <v>62.894799999999996</v>
      </c>
      <c r="E285" s="14">
        <f>62.756 * CHOOSE(CONTROL!$C$9, $D$9, 100%, $F$9) + CHOOSE(CONTROL!$C$27, 0.0021, 0)</f>
        <v>62.758099999999999</v>
      </c>
      <c r="F285" s="14">
        <f>62.756 * CHOOSE(CONTROL!$C$9, $D$9, 100%, $F$9) + CHOOSE(CONTROL!$C$27, 0.0021, 0)</f>
        <v>62.758099999999999</v>
      </c>
      <c r="G285" s="14">
        <f>63.0274 * CHOOSE(CONTROL!$C$9, $D$9, 100%, $F$9) + CHOOSE(CONTROL!$C$27, 0.0021, 0)</f>
        <v>63.029499999999999</v>
      </c>
      <c r="H285" s="14">
        <f>62.8927 * CHOOSE(CONTROL!$C$9, $D$9, 100%, $F$9) + CHOOSE(CONTROL!$C$27, 0.0021, 0)</f>
        <v>62.894799999999996</v>
      </c>
      <c r="I285" s="14">
        <f>62.8927 * CHOOSE(CONTROL!$C$9, $D$9, 100%, $F$9) + CHOOSE(CONTROL!$C$27, 0.0021, 0)</f>
        <v>62.894799999999996</v>
      </c>
      <c r="J285" s="14">
        <f>62.8927 * CHOOSE(CONTROL!$C$9, $D$9, 100%, $F$9) + CHOOSE(CONTROL!$C$27, 0.0021, 0)</f>
        <v>62.894799999999996</v>
      </c>
      <c r="K285" s="14">
        <f>62.8927 * CHOOSE(CONTROL!$C$9, $D$9, 100%, $F$9) + CHOOSE(CONTROL!$C$27, 0.0021, 0)</f>
        <v>62.894799999999996</v>
      </c>
      <c r="L285" s="14"/>
    </row>
    <row r="286" spans="1:12" ht="15" x14ac:dyDescent="0.2">
      <c r="A286" s="34">
        <v>49614</v>
      </c>
      <c r="B286" s="14">
        <f>63.4659 * CHOOSE(CONTROL!$C$9, $D$9, 100%, $F$9) + CHOOSE(CONTROL!$C$27, 0.0021, 0)</f>
        <v>63.467999999999996</v>
      </c>
      <c r="C286" s="14">
        <f>63.0337 * CHOOSE(CONTROL!$C$9, $D$9, 100%, $F$9) + CHOOSE(CONTROL!$C$27, 0.0021, 0)</f>
        <v>63.035800000000002</v>
      </c>
      <c r="D286" s="14">
        <f>63.0337 * CHOOSE(CONTROL!$C$9, $D$9, 100%, $F$9) + CHOOSE(CONTROL!$C$27, 0.0021, 0)</f>
        <v>63.035800000000002</v>
      </c>
      <c r="E286" s="14">
        <f>62.897 * CHOOSE(CONTROL!$C$9, $D$9, 100%, $F$9) + CHOOSE(CONTROL!$C$27, 0.0021, 0)</f>
        <v>62.899099999999997</v>
      </c>
      <c r="F286" s="14">
        <f>62.897 * CHOOSE(CONTROL!$C$9, $D$9, 100%, $F$9) + CHOOSE(CONTROL!$C$27, 0.0021, 0)</f>
        <v>62.899099999999997</v>
      </c>
      <c r="G286" s="14">
        <f>63.1684 * CHOOSE(CONTROL!$C$9, $D$9, 100%, $F$9) + CHOOSE(CONTROL!$C$27, 0.0021, 0)</f>
        <v>63.170499999999997</v>
      </c>
      <c r="H286" s="14">
        <f>63.0337 * CHOOSE(CONTROL!$C$9, $D$9, 100%, $F$9) + CHOOSE(CONTROL!$C$27, 0.0021, 0)</f>
        <v>63.035800000000002</v>
      </c>
      <c r="I286" s="14">
        <f>63.0337 * CHOOSE(CONTROL!$C$9, $D$9, 100%, $F$9) + CHOOSE(CONTROL!$C$27, 0.0021, 0)</f>
        <v>63.035800000000002</v>
      </c>
      <c r="J286" s="14">
        <f>63.0337 * CHOOSE(CONTROL!$C$9, $D$9, 100%, $F$9) + CHOOSE(CONTROL!$C$27, 0.0021, 0)</f>
        <v>63.035800000000002</v>
      </c>
      <c r="K286" s="14">
        <f>63.0337 * CHOOSE(CONTROL!$C$9, $D$9, 100%, $F$9) + CHOOSE(CONTROL!$C$27, 0.0021, 0)</f>
        <v>63.035800000000002</v>
      </c>
      <c r="L286" s="14"/>
    </row>
    <row r="287" spans="1:12" ht="15" x14ac:dyDescent="0.2">
      <c r="A287" s="34">
        <v>49644</v>
      </c>
      <c r="B287" s="14">
        <f>62.2664 * CHOOSE(CONTROL!$C$9, $D$9, 100%, $F$9) + CHOOSE(CONTROL!$C$27, 0.0021, 0)</f>
        <v>62.268499999999996</v>
      </c>
      <c r="C287" s="14">
        <f>61.8342 * CHOOSE(CONTROL!$C$9, $D$9, 100%, $F$9) + CHOOSE(CONTROL!$C$27, 0.0021, 0)</f>
        <v>61.836300000000001</v>
      </c>
      <c r="D287" s="14">
        <f>61.8342 * CHOOSE(CONTROL!$C$9, $D$9, 100%, $F$9) + CHOOSE(CONTROL!$C$27, 0.0021, 0)</f>
        <v>61.836300000000001</v>
      </c>
      <c r="E287" s="14">
        <f>61.6975 * CHOOSE(CONTROL!$C$9, $D$9, 100%, $F$9) + CHOOSE(CONTROL!$C$27, 0.0021, 0)</f>
        <v>61.699599999999997</v>
      </c>
      <c r="F287" s="14">
        <f>61.6975 * CHOOSE(CONTROL!$C$9, $D$9, 100%, $F$9) + CHOOSE(CONTROL!$C$27, 0.0021, 0)</f>
        <v>61.699599999999997</v>
      </c>
      <c r="G287" s="14">
        <f>61.9689 * CHOOSE(CONTROL!$C$9, $D$9, 100%, $F$9) + CHOOSE(CONTROL!$C$27, 0.0021, 0)</f>
        <v>61.970999999999997</v>
      </c>
      <c r="H287" s="14">
        <f>61.8342 * CHOOSE(CONTROL!$C$9, $D$9, 100%, $F$9) + CHOOSE(CONTROL!$C$27, 0.0021, 0)</f>
        <v>61.836300000000001</v>
      </c>
      <c r="I287" s="14">
        <f>61.8342 * CHOOSE(CONTROL!$C$9, $D$9, 100%, $F$9) + CHOOSE(CONTROL!$C$27, 0.0021, 0)</f>
        <v>61.836300000000001</v>
      </c>
      <c r="J287" s="14">
        <f>61.8342 * CHOOSE(CONTROL!$C$9, $D$9, 100%, $F$9) + CHOOSE(CONTROL!$C$27, 0.0021, 0)</f>
        <v>61.836300000000001</v>
      </c>
      <c r="K287" s="14">
        <f>61.8342 * CHOOSE(CONTROL!$C$9, $D$9, 100%, $F$9) + CHOOSE(CONTROL!$C$27, 0.0021, 0)</f>
        <v>61.836300000000001</v>
      </c>
      <c r="L287" s="14"/>
    </row>
    <row r="288" spans="1:12" ht="15" x14ac:dyDescent="0.2">
      <c r="A288" s="34">
        <v>49675</v>
      </c>
      <c r="B288" s="14">
        <f>61.5083 * CHOOSE(CONTROL!$C$9, $D$9, 100%, $F$9) + CHOOSE(CONTROL!$C$27, 0.0021, 0)</f>
        <v>61.510399999999997</v>
      </c>
      <c r="C288" s="14">
        <f>61.0761 * CHOOSE(CONTROL!$C$9, $D$9, 100%, $F$9) + CHOOSE(CONTROL!$C$27, 0.0021, 0)</f>
        <v>61.078199999999995</v>
      </c>
      <c r="D288" s="14">
        <f>61.0761 * CHOOSE(CONTROL!$C$9, $D$9, 100%, $F$9) + CHOOSE(CONTROL!$C$27, 0.0021, 0)</f>
        <v>61.078199999999995</v>
      </c>
      <c r="E288" s="14">
        <f>60.9394 * CHOOSE(CONTROL!$C$9, $D$9, 100%, $F$9) + CHOOSE(CONTROL!$C$27, 0.0021, 0)</f>
        <v>60.941499999999998</v>
      </c>
      <c r="F288" s="14">
        <f>60.9394 * CHOOSE(CONTROL!$C$9, $D$9, 100%, $F$9) + CHOOSE(CONTROL!$C$27, 0.0021, 0)</f>
        <v>60.941499999999998</v>
      </c>
      <c r="G288" s="14">
        <f>61.2108 * CHOOSE(CONTROL!$C$9, $D$9, 100%, $F$9) + CHOOSE(CONTROL!$C$27, 0.0021, 0)</f>
        <v>61.212899999999998</v>
      </c>
      <c r="H288" s="14">
        <f>61.0761 * CHOOSE(CONTROL!$C$9, $D$9, 100%, $F$9) + CHOOSE(CONTROL!$C$27, 0.0021, 0)</f>
        <v>61.078199999999995</v>
      </c>
      <c r="I288" s="14">
        <f>61.0761 * CHOOSE(CONTROL!$C$9, $D$9, 100%, $F$9) + CHOOSE(CONTROL!$C$27, 0.0021, 0)</f>
        <v>61.078199999999995</v>
      </c>
      <c r="J288" s="14">
        <f>61.0761 * CHOOSE(CONTROL!$C$9, $D$9, 100%, $F$9) + CHOOSE(CONTROL!$C$27, 0.0021, 0)</f>
        <v>61.078199999999995</v>
      </c>
      <c r="K288" s="14">
        <f>61.0761 * CHOOSE(CONTROL!$C$9, $D$9, 100%, $F$9) + CHOOSE(CONTROL!$C$27, 0.0021, 0)</f>
        <v>61.078199999999995</v>
      </c>
      <c r="L288" s="14"/>
    </row>
    <row r="289" spans="1:12" ht="15" x14ac:dyDescent="0.2">
      <c r="A289" s="34">
        <v>49706</v>
      </c>
      <c r="B289" s="14">
        <f>59.8334 * CHOOSE(CONTROL!$C$9, $D$9, 100%, $F$9) + CHOOSE(CONTROL!$C$27, 0.0021, 0)</f>
        <v>59.835499999999996</v>
      </c>
      <c r="C289" s="14">
        <f>59.4011 * CHOOSE(CONTROL!$C$9, $D$9, 100%, $F$9) + CHOOSE(CONTROL!$C$27, 0.0021, 0)</f>
        <v>59.403199999999998</v>
      </c>
      <c r="D289" s="14">
        <f>59.4011 * CHOOSE(CONTROL!$C$9, $D$9, 100%, $F$9) + CHOOSE(CONTROL!$C$27, 0.0021, 0)</f>
        <v>59.403199999999998</v>
      </c>
      <c r="E289" s="14">
        <f>59.2645 * CHOOSE(CONTROL!$C$9, $D$9, 100%, $F$9) + CHOOSE(CONTROL!$C$27, 0.0021, 0)</f>
        <v>59.266599999999997</v>
      </c>
      <c r="F289" s="14">
        <f>59.2645 * CHOOSE(CONTROL!$C$9, $D$9, 100%, $F$9) + CHOOSE(CONTROL!$C$27, 0.0021, 0)</f>
        <v>59.266599999999997</v>
      </c>
      <c r="G289" s="14">
        <f>59.5358 * CHOOSE(CONTROL!$C$9, $D$9, 100%, $F$9) + CHOOSE(CONTROL!$C$27, 0.0021, 0)</f>
        <v>59.5379</v>
      </c>
      <c r="H289" s="14">
        <f>59.4011 * CHOOSE(CONTROL!$C$9, $D$9, 100%, $F$9) + CHOOSE(CONTROL!$C$27, 0.0021, 0)</f>
        <v>59.403199999999998</v>
      </c>
      <c r="I289" s="14">
        <f>59.4011 * CHOOSE(CONTROL!$C$9, $D$9, 100%, $F$9) + CHOOSE(CONTROL!$C$27, 0.0021, 0)</f>
        <v>59.403199999999998</v>
      </c>
      <c r="J289" s="14">
        <f>59.4011 * CHOOSE(CONTROL!$C$9, $D$9, 100%, $F$9) + CHOOSE(CONTROL!$C$27, 0.0021, 0)</f>
        <v>59.403199999999998</v>
      </c>
      <c r="K289" s="14">
        <f>59.4011 * CHOOSE(CONTROL!$C$9, $D$9, 100%, $F$9) + CHOOSE(CONTROL!$C$27, 0.0021, 0)</f>
        <v>59.403199999999998</v>
      </c>
      <c r="L289" s="14"/>
    </row>
    <row r="290" spans="1:12" ht="15" x14ac:dyDescent="0.2">
      <c r="A290" s="34">
        <v>49735</v>
      </c>
      <c r="B290" s="14">
        <f>59.1419 * CHOOSE(CONTROL!$C$9, $D$9, 100%, $F$9) + CHOOSE(CONTROL!$C$27, 0.0021, 0)</f>
        <v>59.143999999999998</v>
      </c>
      <c r="C290" s="14">
        <f>58.7097 * CHOOSE(CONTROL!$C$9, $D$9, 100%, $F$9) + CHOOSE(CONTROL!$C$27, 0.0021, 0)</f>
        <v>58.711799999999997</v>
      </c>
      <c r="D290" s="14">
        <f>58.7097 * CHOOSE(CONTROL!$C$9, $D$9, 100%, $F$9) + CHOOSE(CONTROL!$C$27, 0.0021, 0)</f>
        <v>58.711799999999997</v>
      </c>
      <c r="E290" s="14">
        <f>58.573 * CHOOSE(CONTROL!$C$9, $D$9, 100%, $F$9) + CHOOSE(CONTROL!$C$27, 0.0021, 0)</f>
        <v>58.575099999999999</v>
      </c>
      <c r="F290" s="14">
        <f>58.573 * CHOOSE(CONTROL!$C$9, $D$9, 100%, $F$9) + CHOOSE(CONTROL!$C$27, 0.0021, 0)</f>
        <v>58.575099999999999</v>
      </c>
      <c r="G290" s="14">
        <f>58.8444 * CHOOSE(CONTROL!$C$9, $D$9, 100%, $F$9) + CHOOSE(CONTROL!$C$27, 0.0021, 0)</f>
        <v>58.846499999999999</v>
      </c>
      <c r="H290" s="14">
        <f>58.7097 * CHOOSE(CONTROL!$C$9, $D$9, 100%, $F$9) + CHOOSE(CONTROL!$C$27, 0.0021, 0)</f>
        <v>58.711799999999997</v>
      </c>
      <c r="I290" s="14">
        <f>58.7097 * CHOOSE(CONTROL!$C$9, $D$9, 100%, $F$9) + CHOOSE(CONTROL!$C$27, 0.0021, 0)</f>
        <v>58.711799999999997</v>
      </c>
      <c r="J290" s="14">
        <f>58.7097 * CHOOSE(CONTROL!$C$9, $D$9, 100%, $F$9) + CHOOSE(CONTROL!$C$27, 0.0021, 0)</f>
        <v>58.711799999999997</v>
      </c>
      <c r="K290" s="14">
        <f>58.7097 * CHOOSE(CONTROL!$C$9, $D$9, 100%, $F$9) + CHOOSE(CONTROL!$C$27, 0.0021, 0)</f>
        <v>58.711799999999997</v>
      </c>
      <c r="L290" s="14"/>
    </row>
    <row r="291" spans="1:12" ht="15" x14ac:dyDescent="0.2">
      <c r="A291" s="34">
        <v>49766</v>
      </c>
      <c r="B291" s="14">
        <f>58.3164 * CHOOSE(CONTROL!$C$9, $D$9, 100%, $F$9) + CHOOSE(CONTROL!$C$27, 0.0021, 0)</f>
        <v>58.3185</v>
      </c>
      <c r="C291" s="14">
        <f>57.8841 * CHOOSE(CONTROL!$C$9, $D$9, 100%, $F$9) + CHOOSE(CONTROL!$C$27, 0.0021, 0)</f>
        <v>57.886199999999995</v>
      </c>
      <c r="D291" s="14">
        <f>57.8841 * CHOOSE(CONTROL!$C$9, $D$9, 100%, $F$9) + CHOOSE(CONTROL!$C$27, 0.0021, 0)</f>
        <v>57.886199999999995</v>
      </c>
      <c r="E291" s="14">
        <f>57.7475 * CHOOSE(CONTROL!$C$9, $D$9, 100%, $F$9) + CHOOSE(CONTROL!$C$27, 0.0021, 0)</f>
        <v>57.749600000000001</v>
      </c>
      <c r="F291" s="14">
        <f>57.7475 * CHOOSE(CONTROL!$C$9, $D$9, 100%, $F$9) + CHOOSE(CONTROL!$C$27, 0.0021, 0)</f>
        <v>57.749600000000001</v>
      </c>
      <c r="G291" s="14">
        <f>58.0188 * CHOOSE(CONTROL!$C$9, $D$9, 100%, $F$9) + CHOOSE(CONTROL!$C$27, 0.0021, 0)</f>
        <v>58.020899999999997</v>
      </c>
      <c r="H291" s="14">
        <f>57.8841 * CHOOSE(CONTROL!$C$9, $D$9, 100%, $F$9) + CHOOSE(CONTROL!$C$27, 0.0021, 0)</f>
        <v>57.886199999999995</v>
      </c>
      <c r="I291" s="14">
        <f>57.8841 * CHOOSE(CONTROL!$C$9, $D$9, 100%, $F$9) + CHOOSE(CONTROL!$C$27, 0.0021, 0)</f>
        <v>57.886199999999995</v>
      </c>
      <c r="J291" s="14">
        <f>57.8841 * CHOOSE(CONTROL!$C$9, $D$9, 100%, $F$9) + CHOOSE(CONTROL!$C$27, 0.0021, 0)</f>
        <v>57.886199999999995</v>
      </c>
      <c r="K291" s="14">
        <f>57.8841 * CHOOSE(CONTROL!$C$9, $D$9, 100%, $F$9) + CHOOSE(CONTROL!$C$27, 0.0021, 0)</f>
        <v>57.886199999999995</v>
      </c>
      <c r="L291" s="14"/>
    </row>
    <row r="292" spans="1:12" ht="15" x14ac:dyDescent="0.2">
      <c r="A292" s="34">
        <v>49796</v>
      </c>
      <c r="B292" s="14">
        <f>59.4929 * CHOOSE(CONTROL!$C$9, $D$9, 100%, $F$9) + CHOOSE(CONTROL!$C$27, 0.0021, 0)</f>
        <v>59.494999999999997</v>
      </c>
      <c r="C292" s="14">
        <f>59.0607 * CHOOSE(CONTROL!$C$9, $D$9, 100%, $F$9) + CHOOSE(CONTROL!$C$27, 0.0021, 0)</f>
        <v>59.062799999999996</v>
      </c>
      <c r="D292" s="14">
        <f>59.0607 * CHOOSE(CONTROL!$C$9, $D$9, 100%, $F$9) + CHOOSE(CONTROL!$C$27, 0.0021, 0)</f>
        <v>59.062799999999996</v>
      </c>
      <c r="E292" s="14">
        <f>58.924 * CHOOSE(CONTROL!$C$9, $D$9, 100%, $F$9) + CHOOSE(CONTROL!$C$27, 0.0021, 0)</f>
        <v>58.926099999999998</v>
      </c>
      <c r="F292" s="14">
        <f>58.924 * CHOOSE(CONTROL!$C$9, $D$9, 100%, $F$9) + CHOOSE(CONTROL!$C$27, 0.0021, 0)</f>
        <v>58.926099999999998</v>
      </c>
      <c r="G292" s="14">
        <f>59.1954 * CHOOSE(CONTROL!$C$9, $D$9, 100%, $F$9) + CHOOSE(CONTROL!$C$27, 0.0021, 0)</f>
        <v>59.197499999999998</v>
      </c>
      <c r="H292" s="14">
        <f>59.0607 * CHOOSE(CONTROL!$C$9, $D$9, 100%, $F$9) + CHOOSE(CONTROL!$C$27, 0.0021, 0)</f>
        <v>59.062799999999996</v>
      </c>
      <c r="I292" s="14">
        <f>59.0607 * CHOOSE(CONTROL!$C$9, $D$9, 100%, $F$9) + CHOOSE(CONTROL!$C$27, 0.0021, 0)</f>
        <v>59.062799999999996</v>
      </c>
      <c r="J292" s="14">
        <f>59.0607 * CHOOSE(CONTROL!$C$9, $D$9, 100%, $F$9) + CHOOSE(CONTROL!$C$27, 0.0021, 0)</f>
        <v>59.062799999999996</v>
      </c>
      <c r="K292" s="14">
        <f>59.0607 * CHOOSE(CONTROL!$C$9, $D$9, 100%, $F$9) + CHOOSE(CONTROL!$C$27, 0.0021, 0)</f>
        <v>59.062799999999996</v>
      </c>
      <c r="L292" s="14"/>
    </row>
    <row r="293" spans="1:12" ht="15" x14ac:dyDescent="0.2">
      <c r="A293" s="34">
        <v>49827</v>
      </c>
      <c r="B293" s="14">
        <f>60.1976 * CHOOSE(CONTROL!$C$9, $D$9, 100%, $F$9) + CHOOSE(CONTROL!$C$27, 0.0021, 0)</f>
        <v>60.1997</v>
      </c>
      <c r="C293" s="14">
        <f>59.7654 * CHOOSE(CONTROL!$C$9, $D$9, 100%, $F$9) + CHOOSE(CONTROL!$C$27, 0.0021, 0)</f>
        <v>59.767499999999998</v>
      </c>
      <c r="D293" s="14">
        <f>59.7654 * CHOOSE(CONTROL!$C$9, $D$9, 100%, $F$9) + CHOOSE(CONTROL!$C$27, 0.0021, 0)</f>
        <v>59.767499999999998</v>
      </c>
      <c r="E293" s="14">
        <f>59.6287 * CHOOSE(CONTROL!$C$9, $D$9, 100%, $F$9) + CHOOSE(CONTROL!$C$27, 0.0021, 0)</f>
        <v>59.630800000000001</v>
      </c>
      <c r="F293" s="14">
        <f>59.6287 * CHOOSE(CONTROL!$C$9, $D$9, 100%, $F$9) + CHOOSE(CONTROL!$C$27, 0.0021, 0)</f>
        <v>59.630800000000001</v>
      </c>
      <c r="G293" s="14">
        <f>59.9001 * CHOOSE(CONTROL!$C$9, $D$9, 100%, $F$9) + CHOOSE(CONTROL!$C$27, 0.0021, 0)</f>
        <v>59.902200000000001</v>
      </c>
      <c r="H293" s="14">
        <f>59.7654 * CHOOSE(CONTROL!$C$9, $D$9, 100%, $F$9) + CHOOSE(CONTROL!$C$27, 0.0021, 0)</f>
        <v>59.767499999999998</v>
      </c>
      <c r="I293" s="14">
        <f>59.7654 * CHOOSE(CONTROL!$C$9, $D$9, 100%, $F$9) + CHOOSE(CONTROL!$C$27, 0.0021, 0)</f>
        <v>59.767499999999998</v>
      </c>
      <c r="J293" s="14">
        <f>59.7654 * CHOOSE(CONTROL!$C$9, $D$9, 100%, $F$9) + CHOOSE(CONTROL!$C$27, 0.0021, 0)</f>
        <v>59.767499999999998</v>
      </c>
      <c r="K293" s="14">
        <f>59.7654 * CHOOSE(CONTROL!$C$9, $D$9, 100%, $F$9) + CHOOSE(CONTROL!$C$27, 0.0021, 0)</f>
        <v>59.767499999999998</v>
      </c>
      <c r="L293" s="14"/>
    </row>
    <row r="294" spans="1:12" ht="15" x14ac:dyDescent="0.2">
      <c r="A294" s="34">
        <v>49857</v>
      </c>
      <c r="B294" s="14">
        <f>61.3601 * CHOOSE(CONTROL!$C$9, $D$9, 100%, $F$9) + CHOOSE(CONTROL!$C$27, 0.0021, 0)</f>
        <v>61.362200000000001</v>
      </c>
      <c r="C294" s="14">
        <f>60.9278 * CHOOSE(CONTROL!$C$9, $D$9, 100%, $F$9) + CHOOSE(CONTROL!$C$27, 0.0021, 0)</f>
        <v>60.929899999999996</v>
      </c>
      <c r="D294" s="14">
        <f>60.9278 * CHOOSE(CONTROL!$C$9, $D$9, 100%, $F$9) + CHOOSE(CONTROL!$C$27, 0.0021, 0)</f>
        <v>60.929899999999996</v>
      </c>
      <c r="E294" s="14">
        <f>60.7912 * CHOOSE(CONTROL!$C$9, $D$9, 100%, $F$9) + CHOOSE(CONTROL!$C$27, 0.0021, 0)</f>
        <v>60.793300000000002</v>
      </c>
      <c r="F294" s="14">
        <f>60.7912 * CHOOSE(CONTROL!$C$9, $D$9, 100%, $F$9) + CHOOSE(CONTROL!$C$27, 0.0021, 0)</f>
        <v>60.793300000000002</v>
      </c>
      <c r="G294" s="14">
        <f>61.0626 * CHOOSE(CONTROL!$C$9, $D$9, 100%, $F$9) + CHOOSE(CONTROL!$C$27, 0.0021, 0)</f>
        <v>61.064700000000002</v>
      </c>
      <c r="H294" s="14">
        <f>60.9278 * CHOOSE(CONTROL!$C$9, $D$9, 100%, $F$9) + CHOOSE(CONTROL!$C$27, 0.0021, 0)</f>
        <v>60.929899999999996</v>
      </c>
      <c r="I294" s="14">
        <f>60.9278 * CHOOSE(CONTROL!$C$9, $D$9, 100%, $F$9) + CHOOSE(CONTROL!$C$27, 0.0021, 0)</f>
        <v>60.929899999999996</v>
      </c>
      <c r="J294" s="14">
        <f>60.9278 * CHOOSE(CONTROL!$C$9, $D$9, 100%, $F$9) + CHOOSE(CONTROL!$C$27, 0.0021, 0)</f>
        <v>60.929899999999996</v>
      </c>
      <c r="K294" s="14">
        <f>60.9278 * CHOOSE(CONTROL!$C$9, $D$9, 100%, $F$9) + CHOOSE(CONTROL!$C$27, 0.0021, 0)</f>
        <v>60.929899999999996</v>
      </c>
      <c r="L294" s="14"/>
    </row>
    <row r="295" spans="1:12" ht="15" x14ac:dyDescent="0.2">
      <c r="A295" s="34">
        <v>49888</v>
      </c>
      <c r="B295" s="14">
        <f>61.7149 * CHOOSE(CONTROL!$C$9, $D$9, 100%, $F$9) + CHOOSE(CONTROL!$C$27, 0.0021, 0)</f>
        <v>61.716999999999999</v>
      </c>
      <c r="C295" s="14">
        <f>61.2827 * CHOOSE(CONTROL!$C$9, $D$9, 100%, $F$9) + CHOOSE(CONTROL!$C$27, 0.0021, 0)</f>
        <v>61.284799999999997</v>
      </c>
      <c r="D295" s="14">
        <f>61.2827 * CHOOSE(CONTROL!$C$9, $D$9, 100%, $F$9) + CHOOSE(CONTROL!$C$27, 0.0021, 0)</f>
        <v>61.284799999999997</v>
      </c>
      <c r="E295" s="14">
        <f>61.146 * CHOOSE(CONTROL!$C$9, $D$9, 100%, $F$9) + CHOOSE(CONTROL!$C$27, 0.0021, 0)</f>
        <v>61.148099999999999</v>
      </c>
      <c r="F295" s="14">
        <f>61.146 * CHOOSE(CONTROL!$C$9, $D$9, 100%, $F$9) + CHOOSE(CONTROL!$C$27, 0.0021, 0)</f>
        <v>61.148099999999999</v>
      </c>
      <c r="G295" s="14">
        <f>61.4174 * CHOOSE(CONTROL!$C$9, $D$9, 100%, $F$9) + CHOOSE(CONTROL!$C$27, 0.0021, 0)</f>
        <v>61.419499999999999</v>
      </c>
      <c r="H295" s="14">
        <f>61.2827 * CHOOSE(CONTROL!$C$9, $D$9, 100%, $F$9) + CHOOSE(CONTROL!$C$27, 0.0021, 0)</f>
        <v>61.284799999999997</v>
      </c>
      <c r="I295" s="14">
        <f>61.2827 * CHOOSE(CONTROL!$C$9, $D$9, 100%, $F$9) + CHOOSE(CONTROL!$C$27, 0.0021, 0)</f>
        <v>61.284799999999997</v>
      </c>
      <c r="J295" s="14">
        <f>61.2827 * CHOOSE(CONTROL!$C$9, $D$9, 100%, $F$9) + CHOOSE(CONTROL!$C$27, 0.0021, 0)</f>
        <v>61.284799999999997</v>
      </c>
      <c r="K295" s="14">
        <f>61.2827 * CHOOSE(CONTROL!$C$9, $D$9, 100%, $F$9) + CHOOSE(CONTROL!$C$27, 0.0021, 0)</f>
        <v>61.284799999999997</v>
      </c>
      <c r="L295" s="14"/>
    </row>
    <row r="296" spans="1:12" ht="15" x14ac:dyDescent="0.2">
      <c r="A296" s="34">
        <v>49919</v>
      </c>
      <c r="B296" s="14">
        <f>62.9233 * CHOOSE(CONTROL!$C$9, $D$9, 100%, $F$9) + CHOOSE(CONTROL!$C$27, 0.0021, 0)</f>
        <v>62.925399999999996</v>
      </c>
      <c r="C296" s="14">
        <f>62.491 * CHOOSE(CONTROL!$C$9, $D$9, 100%, $F$9) + CHOOSE(CONTROL!$C$27, 0.0021, 0)</f>
        <v>62.493099999999998</v>
      </c>
      <c r="D296" s="14">
        <f>62.491 * CHOOSE(CONTROL!$C$9, $D$9, 100%, $F$9) + CHOOSE(CONTROL!$C$27, 0.0021, 0)</f>
        <v>62.493099999999998</v>
      </c>
      <c r="E296" s="14">
        <f>62.3544 * CHOOSE(CONTROL!$C$9, $D$9, 100%, $F$9) + CHOOSE(CONTROL!$C$27, 0.0021, 0)</f>
        <v>62.356499999999997</v>
      </c>
      <c r="F296" s="14">
        <f>62.3544 * CHOOSE(CONTROL!$C$9, $D$9, 100%, $F$9) + CHOOSE(CONTROL!$C$27, 0.0021, 0)</f>
        <v>62.356499999999997</v>
      </c>
      <c r="G296" s="14">
        <f>62.6257 * CHOOSE(CONTROL!$C$9, $D$9, 100%, $F$9) + CHOOSE(CONTROL!$C$27, 0.0021, 0)</f>
        <v>62.627800000000001</v>
      </c>
      <c r="H296" s="14">
        <f>62.491 * CHOOSE(CONTROL!$C$9, $D$9, 100%, $F$9) + CHOOSE(CONTROL!$C$27, 0.0021, 0)</f>
        <v>62.493099999999998</v>
      </c>
      <c r="I296" s="14">
        <f>62.491 * CHOOSE(CONTROL!$C$9, $D$9, 100%, $F$9) + CHOOSE(CONTROL!$C$27, 0.0021, 0)</f>
        <v>62.493099999999998</v>
      </c>
      <c r="J296" s="14">
        <f>62.491 * CHOOSE(CONTROL!$C$9, $D$9, 100%, $F$9) + CHOOSE(CONTROL!$C$27, 0.0021, 0)</f>
        <v>62.493099999999998</v>
      </c>
      <c r="K296" s="14">
        <f>62.491 * CHOOSE(CONTROL!$C$9, $D$9, 100%, $F$9) + CHOOSE(CONTROL!$C$27, 0.0021, 0)</f>
        <v>62.493099999999998</v>
      </c>
      <c r="L296" s="14"/>
    </row>
    <row r="297" spans="1:12" ht="15" x14ac:dyDescent="0.2">
      <c r="A297" s="34">
        <v>49949</v>
      </c>
      <c r="B297" s="14">
        <f>64.4528 * CHOOSE(CONTROL!$C$9, $D$9, 100%, $F$9) + CHOOSE(CONTROL!$C$27, 0.0021, 0)</f>
        <v>64.454899999999995</v>
      </c>
      <c r="C297" s="14">
        <f>64.0206 * CHOOSE(CONTROL!$C$9, $D$9, 100%, $F$9) + CHOOSE(CONTROL!$C$27, 0.0021, 0)</f>
        <v>64.0227</v>
      </c>
      <c r="D297" s="14">
        <f>64.0206 * CHOOSE(CONTROL!$C$9, $D$9, 100%, $F$9) + CHOOSE(CONTROL!$C$27, 0.0021, 0)</f>
        <v>64.0227</v>
      </c>
      <c r="E297" s="14">
        <f>63.8839 * CHOOSE(CONTROL!$C$9, $D$9, 100%, $F$9) + CHOOSE(CONTROL!$C$27, 0.0021, 0)</f>
        <v>63.885999999999996</v>
      </c>
      <c r="F297" s="14">
        <f>63.8839 * CHOOSE(CONTROL!$C$9, $D$9, 100%, $F$9) + CHOOSE(CONTROL!$C$27, 0.0021, 0)</f>
        <v>63.885999999999996</v>
      </c>
      <c r="G297" s="14">
        <f>64.1553 * CHOOSE(CONTROL!$C$9, $D$9, 100%, $F$9) + CHOOSE(CONTROL!$C$27, 0.0021, 0)</f>
        <v>64.157399999999996</v>
      </c>
      <c r="H297" s="14">
        <f>64.0206 * CHOOSE(CONTROL!$C$9, $D$9, 100%, $F$9) + CHOOSE(CONTROL!$C$27, 0.0021, 0)</f>
        <v>64.0227</v>
      </c>
      <c r="I297" s="14">
        <f>64.0206 * CHOOSE(CONTROL!$C$9, $D$9, 100%, $F$9) + CHOOSE(CONTROL!$C$27, 0.0021, 0)</f>
        <v>64.0227</v>
      </c>
      <c r="J297" s="14">
        <f>64.0206 * CHOOSE(CONTROL!$C$9, $D$9, 100%, $F$9) + CHOOSE(CONTROL!$C$27, 0.0021, 0)</f>
        <v>64.0227</v>
      </c>
      <c r="K297" s="14">
        <f>64.0206 * CHOOSE(CONTROL!$C$9, $D$9, 100%, $F$9) + CHOOSE(CONTROL!$C$27, 0.0021, 0)</f>
        <v>64.0227</v>
      </c>
      <c r="L297" s="14"/>
    </row>
    <row r="298" spans="1:12" ht="15" x14ac:dyDescent="0.2">
      <c r="A298" s="34">
        <v>49980</v>
      </c>
      <c r="B298" s="14">
        <f>64.5964 * CHOOSE(CONTROL!$C$9, $D$9, 100%, $F$9) + CHOOSE(CONTROL!$C$27, 0.0021, 0)</f>
        <v>64.598500000000001</v>
      </c>
      <c r="C298" s="14">
        <f>64.1642 * CHOOSE(CONTROL!$C$9, $D$9, 100%, $F$9) + CHOOSE(CONTROL!$C$27, 0.0021, 0)</f>
        <v>64.166299999999993</v>
      </c>
      <c r="D298" s="14">
        <f>64.1642 * CHOOSE(CONTROL!$C$9, $D$9, 100%, $F$9) + CHOOSE(CONTROL!$C$27, 0.0021, 0)</f>
        <v>64.166299999999993</v>
      </c>
      <c r="E298" s="14">
        <f>64.0275 * CHOOSE(CONTROL!$C$9, $D$9, 100%, $F$9) + CHOOSE(CONTROL!$C$27, 0.0021, 0)</f>
        <v>64.029600000000002</v>
      </c>
      <c r="F298" s="14">
        <f>64.0275 * CHOOSE(CONTROL!$C$9, $D$9, 100%, $F$9) + CHOOSE(CONTROL!$C$27, 0.0021, 0)</f>
        <v>64.029600000000002</v>
      </c>
      <c r="G298" s="14">
        <f>64.2989 * CHOOSE(CONTROL!$C$9, $D$9, 100%, $F$9) + CHOOSE(CONTROL!$C$27, 0.0021, 0)</f>
        <v>64.301000000000002</v>
      </c>
      <c r="H298" s="14">
        <f>64.1642 * CHOOSE(CONTROL!$C$9, $D$9, 100%, $F$9) + CHOOSE(CONTROL!$C$27, 0.0021, 0)</f>
        <v>64.166299999999993</v>
      </c>
      <c r="I298" s="14">
        <f>64.1642 * CHOOSE(CONTROL!$C$9, $D$9, 100%, $F$9) + CHOOSE(CONTROL!$C$27, 0.0021, 0)</f>
        <v>64.166299999999993</v>
      </c>
      <c r="J298" s="14">
        <f>64.1642 * CHOOSE(CONTROL!$C$9, $D$9, 100%, $F$9) + CHOOSE(CONTROL!$C$27, 0.0021, 0)</f>
        <v>64.166299999999993</v>
      </c>
      <c r="K298" s="14">
        <f>64.1642 * CHOOSE(CONTROL!$C$9, $D$9, 100%, $F$9) + CHOOSE(CONTROL!$C$27, 0.0021, 0)</f>
        <v>64.166299999999993</v>
      </c>
      <c r="L298" s="14"/>
    </row>
    <row r="299" spans="1:12" ht="15" x14ac:dyDescent="0.2">
      <c r="A299" s="34">
        <v>50010</v>
      </c>
      <c r="B299" s="14">
        <f>63.3748 * CHOOSE(CONTROL!$C$9, $D$9, 100%, $F$9) + CHOOSE(CONTROL!$C$27, 0.0021, 0)</f>
        <v>63.376899999999999</v>
      </c>
      <c r="C299" s="14">
        <f>62.9425 * CHOOSE(CONTROL!$C$9, $D$9, 100%, $F$9) + CHOOSE(CONTROL!$C$27, 0.0021, 0)</f>
        <v>62.944600000000001</v>
      </c>
      <c r="D299" s="14">
        <f>62.9425 * CHOOSE(CONTROL!$C$9, $D$9, 100%, $F$9) + CHOOSE(CONTROL!$C$27, 0.0021, 0)</f>
        <v>62.944600000000001</v>
      </c>
      <c r="E299" s="14">
        <f>62.8059 * CHOOSE(CONTROL!$C$9, $D$9, 100%, $F$9) + CHOOSE(CONTROL!$C$27, 0.0021, 0)</f>
        <v>62.808</v>
      </c>
      <c r="F299" s="14">
        <f>62.8059 * CHOOSE(CONTROL!$C$9, $D$9, 100%, $F$9) + CHOOSE(CONTROL!$C$27, 0.0021, 0)</f>
        <v>62.808</v>
      </c>
      <c r="G299" s="14">
        <f>63.0773 * CHOOSE(CONTROL!$C$9, $D$9, 100%, $F$9) + CHOOSE(CONTROL!$C$27, 0.0021, 0)</f>
        <v>63.0794</v>
      </c>
      <c r="H299" s="14">
        <f>62.9425 * CHOOSE(CONTROL!$C$9, $D$9, 100%, $F$9) + CHOOSE(CONTROL!$C$27, 0.0021, 0)</f>
        <v>62.944600000000001</v>
      </c>
      <c r="I299" s="14">
        <f>62.9425 * CHOOSE(CONTROL!$C$9, $D$9, 100%, $F$9) + CHOOSE(CONTROL!$C$27, 0.0021, 0)</f>
        <v>62.944600000000001</v>
      </c>
      <c r="J299" s="14">
        <f>62.9425 * CHOOSE(CONTROL!$C$9, $D$9, 100%, $F$9) + CHOOSE(CONTROL!$C$27, 0.0021, 0)</f>
        <v>62.944600000000001</v>
      </c>
      <c r="K299" s="14">
        <f>62.9425 * CHOOSE(CONTROL!$C$9, $D$9, 100%, $F$9) + CHOOSE(CONTROL!$C$27, 0.0021, 0)</f>
        <v>62.944600000000001</v>
      </c>
      <c r="L299" s="14"/>
    </row>
    <row r="300" spans="1:12" ht="15" x14ac:dyDescent="0.2">
      <c r="A300" s="34">
        <v>50041</v>
      </c>
      <c r="B300" s="14">
        <f>62.6027 * CHOOSE(CONTROL!$C$9, $D$9, 100%, $F$9) + CHOOSE(CONTROL!$C$27, 0.0021, 0)</f>
        <v>62.604799999999997</v>
      </c>
      <c r="C300" s="14">
        <f>62.1704 * CHOOSE(CONTROL!$C$9, $D$9, 100%, $F$9) + CHOOSE(CONTROL!$C$27, 0.0021, 0)</f>
        <v>62.172499999999999</v>
      </c>
      <c r="D300" s="14">
        <f>62.1704 * CHOOSE(CONTROL!$C$9, $D$9, 100%, $F$9) + CHOOSE(CONTROL!$C$27, 0.0021, 0)</f>
        <v>62.172499999999999</v>
      </c>
      <c r="E300" s="14">
        <f>62.0338 * CHOOSE(CONTROL!$C$9, $D$9, 100%, $F$9) + CHOOSE(CONTROL!$C$27, 0.0021, 0)</f>
        <v>62.035899999999998</v>
      </c>
      <c r="F300" s="14">
        <f>62.0338 * CHOOSE(CONTROL!$C$9, $D$9, 100%, $F$9) + CHOOSE(CONTROL!$C$27, 0.0021, 0)</f>
        <v>62.035899999999998</v>
      </c>
      <c r="G300" s="14">
        <f>62.3051 * CHOOSE(CONTROL!$C$9, $D$9, 100%, $F$9) + CHOOSE(CONTROL!$C$27, 0.0021, 0)</f>
        <v>62.307200000000002</v>
      </c>
      <c r="H300" s="14">
        <f>62.1704 * CHOOSE(CONTROL!$C$9, $D$9, 100%, $F$9) + CHOOSE(CONTROL!$C$27, 0.0021, 0)</f>
        <v>62.172499999999999</v>
      </c>
      <c r="I300" s="14">
        <f>62.1704 * CHOOSE(CONTROL!$C$9, $D$9, 100%, $F$9) + CHOOSE(CONTROL!$C$27, 0.0021, 0)</f>
        <v>62.172499999999999</v>
      </c>
      <c r="J300" s="14">
        <f>62.1704 * CHOOSE(CONTROL!$C$9, $D$9, 100%, $F$9) + CHOOSE(CONTROL!$C$27, 0.0021, 0)</f>
        <v>62.172499999999999</v>
      </c>
      <c r="K300" s="14">
        <f>62.1704 * CHOOSE(CONTROL!$C$9, $D$9, 100%, $F$9) + CHOOSE(CONTROL!$C$27, 0.0021, 0)</f>
        <v>62.172499999999999</v>
      </c>
      <c r="L300" s="14"/>
    </row>
    <row r="301" spans="1:12" ht="15" x14ac:dyDescent="0.2">
      <c r="A301" s="34">
        <v>50072</v>
      </c>
      <c r="B301" s="14">
        <f>60.8968 * CHOOSE(CONTROL!$C$9, $D$9, 100%, $F$9) + CHOOSE(CONTROL!$C$27, 0.0021, 0)</f>
        <v>60.898899999999998</v>
      </c>
      <c r="C301" s="14">
        <f>60.4645 * CHOOSE(CONTROL!$C$9, $D$9, 100%, $F$9) + CHOOSE(CONTROL!$C$27, 0.0021, 0)</f>
        <v>60.4666</v>
      </c>
      <c r="D301" s="14">
        <f>60.4645 * CHOOSE(CONTROL!$C$9, $D$9, 100%, $F$9) + CHOOSE(CONTROL!$C$27, 0.0021, 0)</f>
        <v>60.4666</v>
      </c>
      <c r="E301" s="14">
        <f>60.3279 * CHOOSE(CONTROL!$C$9, $D$9, 100%, $F$9) + CHOOSE(CONTROL!$C$27, 0.0021, 0)</f>
        <v>60.33</v>
      </c>
      <c r="F301" s="14">
        <f>60.3279 * CHOOSE(CONTROL!$C$9, $D$9, 100%, $F$9) + CHOOSE(CONTROL!$C$27, 0.0021, 0)</f>
        <v>60.33</v>
      </c>
      <c r="G301" s="14">
        <f>60.5992 * CHOOSE(CONTROL!$C$9, $D$9, 100%, $F$9) + CHOOSE(CONTROL!$C$27, 0.0021, 0)</f>
        <v>60.601300000000002</v>
      </c>
      <c r="H301" s="14">
        <f>60.4645 * CHOOSE(CONTROL!$C$9, $D$9, 100%, $F$9) + CHOOSE(CONTROL!$C$27, 0.0021, 0)</f>
        <v>60.4666</v>
      </c>
      <c r="I301" s="14">
        <f>60.4645 * CHOOSE(CONTROL!$C$9, $D$9, 100%, $F$9) + CHOOSE(CONTROL!$C$27, 0.0021, 0)</f>
        <v>60.4666</v>
      </c>
      <c r="J301" s="14">
        <f>60.4645 * CHOOSE(CONTROL!$C$9, $D$9, 100%, $F$9) + CHOOSE(CONTROL!$C$27, 0.0021, 0)</f>
        <v>60.4666</v>
      </c>
      <c r="K301" s="14">
        <f>60.4645 * CHOOSE(CONTROL!$C$9, $D$9, 100%, $F$9) + CHOOSE(CONTROL!$C$27, 0.0021, 0)</f>
        <v>60.4666</v>
      </c>
      <c r="L301" s="14"/>
    </row>
    <row r="302" spans="1:12" ht="15" x14ac:dyDescent="0.2">
      <c r="A302" s="34">
        <v>50100</v>
      </c>
      <c r="B302" s="14">
        <f>60.1926 * CHOOSE(CONTROL!$C$9, $D$9, 100%, $F$9) + CHOOSE(CONTROL!$C$27, 0.0021, 0)</f>
        <v>60.194699999999997</v>
      </c>
      <c r="C302" s="14">
        <f>59.7603 * CHOOSE(CONTROL!$C$9, $D$9, 100%, $F$9) + CHOOSE(CONTROL!$C$27, 0.0021, 0)</f>
        <v>59.7624</v>
      </c>
      <c r="D302" s="14">
        <f>59.7603 * CHOOSE(CONTROL!$C$9, $D$9, 100%, $F$9) + CHOOSE(CONTROL!$C$27, 0.0021, 0)</f>
        <v>59.7624</v>
      </c>
      <c r="E302" s="14">
        <f>59.6237 * CHOOSE(CONTROL!$C$9, $D$9, 100%, $F$9) + CHOOSE(CONTROL!$C$27, 0.0021, 0)</f>
        <v>59.625799999999998</v>
      </c>
      <c r="F302" s="14">
        <f>59.6237 * CHOOSE(CONTROL!$C$9, $D$9, 100%, $F$9) + CHOOSE(CONTROL!$C$27, 0.0021, 0)</f>
        <v>59.625799999999998</v>
      </c>
      <c r="G302" s="14">
        <f>59.895 * CHOOSE(CONTROL!$C$9, $D$9, 100%, $F$9) + CHOOSE(CONTROL!$C$27, 0.0021, 0)</f>
        <v>59.897100000000002</v>
      </c>
      <c r="H302" s="14">
        <f>59.7603 * CHOOSE(CONTROL!$C$9, $D$9, 100%, $F$9) + CHOOSE(CONTROL!$C$27, 0.0021, 0)</f>
        <v>59.7624</v>
      </c>
      <c r="I302" s="14">
        <f>59.7603 * CHOOSE(CONTROL!$C$9, $D$9, 100%, $F$9) + CHOOSE(CONTROL!$C$27, 0.0021, 0)</f>
        <v>59.7624</v>
      </c>
      <c r="J302" s="14">
        <f>59.7603 * CHOOSE(CONTROL!$C$9, $D$9, 100%, $F$9) + CHOOSE(CONTROL!$C$27, 0.0021, 0)</f>
        <v>59.7624</v>
      </c>
      <c r="K302" s="14">
        <f>59.7603 * CHOOSE(CONTROL!$C$9, $D$9, 100%, $F$9) + CHOOSE(CONTROL!$C$27, 0.0021, 0)</f>
        <v>59.7624</v>
      </c>
      <c r="L302" s="14"/>
    </row>
    <row r="303" spans="1:12" ht="15" x14ac:dyDescent="0.2">
      <c r="A303" s="34">
        <v>50131</v>
      </c>
      <c r="B303" s="14">
        <f>59.3517 * CHOOSE(CONTROL!$C$9, $D$9, 100%, $F$9) + CHOOSE(CONTROL!$C$27, 0.0021, 0)</f>
        <v>59.3538</v>
      </c>
      <c r="C303" s="14">
        <f>58.9195 * CHOOSE(CONTROL!$C$9, $D$9, 100%, $F$9) + CHOOSE(CONTROL!$C$27, 0.0021, 0)</f>
        <v>58.921599999999998</v>
      </c>
      <c r="D303" s="14">
        <f>58.9195 * CHOOSE(CONTROL!$C$9, $D$9, 100%, $F$9) + CHOOSE(CONTROL!$C$27, 0.0021, 0)</f>
        <v>58.921599999999998</v>
      </c>
      <c r="E303" s="14">
        <f>58.7828 * CHOOSE(CONTROL!$C$9, $D$9, 100%, $F$9) + CHOOSE(CONTROL!$C$27, 0.0021, 0)</f>
        <v>58.7849</v>
      </c>
      <c r="F303" s="14">
        <f>58.7828 * CHOOSE(CONTROL!$C$9, $D$9, 100%, $F$9) + CHOOSE(CONTROL!$C$27, 0.0021, 0)</f>
        <v>58.7849</v>
      </c>
      <c r="G303" s="14">
        <f>59.0542 * CHOOSE(CONTROL!$C$9, $D$9, 100%, $F$9) + CHOOSE(CONTROL!$C$27, 0.0021, 0)</f>
        <v>59.0563</v>
      </c>
      <c r="H303" s="14">
        <f>58.9195 * CHOOSE(CONTROL!$C$9, $D$9, 100%, $F$9) + CHOOSE(CONTROL!$C$27, 0.0021, 0)</f>
        <v>58.921599999999998</v>
      </c>
      <c r="I303" s="14">
        <f>58.9195 * CHOOSE(CONTROL!$C$9, $D$9, 100%, $F$9) + CHOOSE(CONTROL!$C$27, 0.0021, 0)</f>
        <v>58.921599999999998</v>
      </c>
      <c r="J303" s="14">
        <f>58.9195 * CHOOSE(CONTROL!$C$9, $D$9, 100%, $F$9) + CHOOSE(CONTROL!$C$27, 0.0021, 0)</f>
        <v>58.921599999999998</v>
      </c>
      <c r="K303" s="14">
        <f>58.9195 * CHOOSE(CONTROL!$C$9, $D$9, 100%, $F$9) + CHOOSE(CONTROL!$C$27, 0.0021, 0)</f>
        <v>58.921599999999998</v>
      </c>
      <c r="L303" s="14"/>
    </row>
    <row r="304" spans="1:12" ht="15" x14ac:dyDescent="0.2">
      <c r="A304" s="34">
        <v>50161</v>
      </c>
      <c r="B304" s="14">
        <f>60.55 * CHOOSE(CONTROL!$C$9, $D$9, 100%, $F$9) + CHOOSE(CONTROL!$C$27, 0.0021, 0)</f>
        <v>60.552099999999996</v>
      </c>
      <c r="C304" s="14">
        <f>60.1178 * CHOOSE(CONTROL!$C$9, $D$9, 100%, $F$9) + CHOOSE(CONTROL!$C$27, 0.0021, 0)</f>
        <v>60.119900000000001</v>
      </c>
      <c r="D304" s="14">
        <f>60.1178 * CHOOSE(CONTROL!$C$9, $D$9, 100%, $F$9) + CHOOSE(CONTROL!$C$27, 0.0021, 0)</f>
        <v>60.119900000000001</v>
      </c>
      <c r="E304" s="14">
        <f>59.9811 * CHOOSE(CONTROL!$C$9, $D$9, 100%, $F$9) + CHOOSE(CONTROL!$C$27, 0.0021, 0)</f>
        <v>59.983199999999997</v>
      </c>
      <c r="F304" s="14">
        <f>59.9811 * CHOOSE(CONTROL!$C$9, $D$9, 100%, $F$9) + CHOOSE(CONTROL!$C$27, 0.0021, 0)</f>
        <v>59.983199999999997</v>
      </c>
      <c r="G304" s="14">
        <f>60.2525 * CHOOSE(CONTROL!$C$9, $D$9, 100%, $F$9) + CHOOSE(CONTROL!$C$27, 0.0021, 0)</f>
        <v>60.254599999999996</v>
      </c>
      <c r="H304" s="14">
        <f>60.1178 * CHOOSE(CONTROL!$C$9, $D$9, 100%, $F$9) + CHOOSE(CONTROL!$C$27, 0.0021, 0)</f>
        <v>60.119900000000001</v>
      </c>
      <c r="I304" s="14">
        <f>60.1178 * CHOOSE(CONTROL!$C$9, $D$9, 100%, $F$9) + CHOOSE(CONTROL!$C$27, 0.0021, 0)</f>
        <v>60.119900000000001</v>
      </c>
      <c r="J304" s="14">
        <f>60.1178 * CHOOSE(CONTROL!$C$9, $D$9, 100%, $F$9) + CHOOSE(CONTROL!$C$27, 0.0021, 0)</f>
        <v>60.119900000000001</v>
      </c>
      <c r="K304" s="14">
        <f>60.1178 * CHOOSE(CONTROL!$C$9, $D$9, 100%, $F$9) + CHOOSE(CONTROL!$C$27, 0.0021, 0)</f>
        <v>60.119900000000001</v>
      </c>
      <c r="L304" s="14"/>
    </row>
    <row r="305" spans="1:12" ht="15" x14ac:dyDescent="0.2">
      <c r="A305" s="34">
        <v>50192</v>
      </c>
      <c r="B305" s="14">
        <f>61.2677 * CHOOSE(CONTROL!$C$9, $D$9, 100%, $F$9) + CHOOSE(CONTROL!$C$27, 0.0021, 0)</f>
        <v>61.269799999999996</v>
      </c>
      <c r="C305" s="14">
        <f>60.8355 * CHOOSE(CONTROL!$C$9, $D$9, 100%, $F$9) + CHOOSE(CONTROL!$C$27, 0.0021, 0)</f>
        <v>60.837600000000002</v>
      </c>
      <c r="D305" s="14">
        <f>60.8355 * CHOOSE(CONTROL!$C$9, $D$9, 100%, $F$9) + CHOOSE(CONTROL!$C$27, 0.0021, 0)</f>
        <v>60.837600000000002</v>
      </c>
      <c r="E305" s="14">
        <f>60.6988 * CHOOSE(CONTROL!$C$9, $D$9, 100%, $F$9) + CHOOSE(CONTROL!$C$27, 0.0021, 0)</f>
        <v>60.700899999999997</v>
      </c>
      <c r="F305" s="14">
        <f>60.6988 * CHOOSE(CONTROL!$C$9, $D$9, 100%, $F$9) + CHOOSE(CONTROL!$C$27, 0.0021, 0)</f>
        <v>60.700899999999997</v>
      </c>
      <c r="G305" s="14">
        <f>60.9702 * CHOOSE(CONTROL!$C$9, $D$9, 100%, $F$9) + CHOOSE(CONTROL!$C$27, 0.0021, 0)</f>
        <v>60.972299999999997</v>
      </c>
      <c r="H305" s="14">
        <f>60.8355 * CHOOSE(CONTROL!$C$9, $D$9, 100%, $F$9) + CHOOSE(CONTROL!$C$27, 0.0021, 0)</f>
        <v>60.837600000000002</v>
      </c>
      <c r="I305" s="14">
        <f>60.8355 * CHOOSE(CONTROL!$C$9, $D$9, 100%, $F$9) + CHOOSE(CONTROL!$C$27, 0.0021, 0)</f>
        <v>60.837600000000002</v>
      </c>
      <c r="J305" s="14">
        <f>60.8355 * CHOOSE(CONTROL!$C$9, $D$9, 100%, $F$9) + CHOOSE(CONTROL!$C$27, 0.0021, 0)</f>
        <v>60.837600000000002</v>
      </c>
      <c r="K305" s="14">
        <f>60.8355 * CHOOSE(CONTROL!$C$9, $D$9, 100%, $F$9) + CHOOSE(CONTROL!$C$27, 0.0021, 0)</f>
        <v>60.837600000000002</v>
      </c>
      <c r="L305" s="14"/>
    </row>
    <row r="306" spans="1:12" ht="15" x14ac:dyDescent="0.2">
      <c r="A306" s="34">
        <v>50222</v>
      </c>
      <c r="B306" s="14">
        <f>62.4517 * CHOOSE(CONTROL!$C$9, $D$9, 100%, $F$9) + CHOOSE(CONTROL!$C$27, 0.0021, 0)</f>
        <v>62.453800000000001</v>
      </c>
      <c r="C306" s="14">
        <f>62.0195 * CHOOSE(CONTROL!$C$9, $D$9, 100%, $F$9) + CHOOSE(CONTROL!$C$27, 0.0021, 0)</f>
        <v>62.021599999999999</v>
      </c>
      <c r="D306" s="14">
        <f>62.0195 * CHOOSE(CONTROL!$C$9, $D$9, 100%, $F$9) + CHOOSE(CONTROL!$C$27, 0.0021, 0)</f>
        <v>62.021599999999999</v>
      </c>
      <c r="E306" s="14">
        <f>61.8828 * CHOOSE(CONTROL!$C$9, $D$9, 100%, $F$9) + CHOOSE(CONTROL!$C$27, 0.0021, 0)</f>
        <v>61.884900000000002</v>
      </c>
      <c r="F306" s="14">
        <f>61.8828 * CHOOSE(CONTROL!$C$9, $D$9, 100%, $F$9) + CHOOSE(CONTROL!$C$27, 0.0021, 0)</f>
        <v>61.884900000000002</v>
      </c>
      <c r="G306" s="14">
        <f>62.1542 * CHOOSE(CONTROL!$C$9, $D$9, 100%, $F$9) + CHOOSE(CONTROL!$C$27, 0.0021, 0)</f>
        <v>62.156300000000002</v>
      </c>
      <c r="H306" s="14">
        <f>62.0195 * CHOOSE(CONTROL!$C$9, $D$9, 100%, $F$9) + CHOOSE(CONTROL!$C$27, 0.0021, 0)</f>
        <v>62.021599999999999</v>
      </c>
      <c r="I306" s="14">
        <f>62.0195 * CHOOSE(CONTROL!$C$9, $D$9, 100%, $F$9) + CHOOSE(CONTROL!$C$27, 0.0021, 0)</f>
        <v>62.021599999999999</v>
      </c>
      <c r="J306" s="14">
        <f>62.0195 * CHOOSE(CONTROL!$C$9, $D$9, 100%, $F$9) + CHOOSE(CONTROL!$C$27, 0.0021, 0)</f>
        <v>62.021599999999999</v>
      </c>
      <c r="K306" s="14">
        <f>62.0195 * CHOOSE(CONTROL!$C$9, $D$9, 100%, $F$9) + CHOOSE(CONTROL!$C$27, 0.0021, 0)</f>
        <v>62.021599999999999</v>
      </c>
      <c r="L306" s="14"/>
    </row>
    <row r="307" spans="1:12" ht="15" x14ac:dyDescent="0.2">
      <c r="A307" s="34">
        <v>50253</v>
      </c>
      <c r="B307" s="14">
        <f>62.8131 * CHOOSE(CONTROL!$C$9, $D$9, 100%, $F$9) + CHOOSE(CONTROL!$C$27, 0.0021, 0)</f>
        <v>62.815199999999997</v>
      </c>
      <c r="C307" s="14">
        <f>62.3808 * CHOOSE(CONTROL!$C$9, $D$9, 100%, $F$9) + CHOOSE(CONTROL!$C$27, 0.0021, 0)</f>
        <v>62.382899999999999</v>
      </c>
      <c r="D307" s="14">
        <f>62.3808 * CHOOSE(CONTROL!$C$9, $D$9, 100%, $F$9) + CHOOSE(CONTROL!$C$27, 0.0021, 0)</f>
        <v>62.382899999999999</v>
      </c>
      <c r="E307" s="14">
        <f>62.2442 * CHOOSE(CONTROL!$C$9, $D$9, 100%, $F$9) + CHOOSE(CONTROL!$C$27, 0.0021, 0)</f>
        <v>62.246299999999998</v>
      </c>
      <c r="F307" s="14">
        <f>62.2442 * CHOOSE(CONTROL!$C$9, $D$9, 100%, $F$9) + CHOOSE(CONTROL!$C$27, 0.0021, 0)</f>
        <v>62.246299999999998</v>
      </c>
      <c r="G307" s="14">
        <f>62.5156 * CHOOSE(CONTROL!$C$9, $D$9, 100%, $F$9) + CHOOSE(CONTROL!$C$27, 0.0021, 0)</f>
        <v>62.517699999999998</v>
      </c>
      <c r="H307" s="14">
        <f>62.3808 * CHOOSE(CONTROL!$C$9, $D$9, 100%, $F$9) + CHOOSE(CONTROL!$C$27, 0.0021, 0)</f>
        <v>62.382899999999999</v>
      </c>
      <c r="I307" s="14">
        <f>62.3808 * CHOOSE(CONTROL!$C$9, $D$9, 100%, $F$9) + CHOOSE(CONTROL!$C$27, 0.0021, 0)</f>
        <v>62.382899999999999</v>
      </c>
      <c r="J307" s="14">
        <f>62.3808 * CHOOSE(CONTROL!$C$9, $D$9, 100%, $F$9) + CHOOSE(CONTROL!$C$27, 0.0021, 0)</f>
        <v>62.382899999999999</v>
      </c>
      <c r="K307" s="14">
        <f>62.3808 * CHOOSE(CONTROL!$C$9, $D$9, 100%, $F$9) + CHOOSE(CONTROL!$C$27, 0.0021, 0)</f>
        <v>62.382899999999999</v>
      </c>
      <c r="L307" s="14"/>
    </row>
    <row r="308" spans="1:12" ht="15" x14ac:dyDescent="0.2">
      <c r="A308" s="34">
        <v>50284</v>
      </c>
      <c r="B308" s="14">
        <f>64.0438 * CHOOSE(CONTROL!$C$9, $D$9, 100%, $F$9) + CHOOSE(CONTROL!$C$27, 0.0021, 0)</f>
        <v>64.045900000000003</v>
      </c>
      <c r="C308" s="14">
        <f>63.6115 * CHOOSE(CONTROL!$C$9, $D$9, 100%, $F$9) + CHOOSE(CONTROL!$C$27, 0.0021, 0)</f>
        <v>63.613599999999998</v>
      </c>
      <c r="D308" s="14">
        <f>63.6115 * CHOOSE(CONTROL!$C$9, $D$9, 100%, $F$9) + CHOOSE(CONTROL!$C$27, 0.0021, 0)</f>
        <v>63.613599999999998</v>
      </c>
      <c r="E308" s="14">
        <f>63.4749 * CHOOSE(CONTROL!$C$9, $D$9, 100%, $F$9) + CHOOSE(CONTROL!$C$27, 0.0021, 0)</f>
        <v>63.476999999999997</v>
      </c>
      <c r="F308" s="14">
        <f>63.4749 * CHOOSE(CONTROL!$C$9, $D$9, 100%, $F$9) + CHOOSE(CONTROL!$C$27, 0.0021, 0)</f>
        <v>63.476999999999997</v>
      </c>
      <c r="G308" s="14">
        <f>63.7462 * CHOOSE(CONTROL!$C$9, $D$9, 100%, $F$9) + CHOOSE(CONTROL!$C$27, 0.0021, 0)</f>
        <v>63.7483</v>
      </c>
      <c r="H308" s="14">
        <f>63.6115 * CHOOSE(CONTROL!$C$9, $D$9, 100%, $F$9) + CHOOSE(CONTROL!$C$27, 0.0021, 0)</f>
        <v>63.613599999999998</v>
      </c>
      <c r="I308" s="14">
        <f>63.6115 * CHOOSE(CONTROL!$C$9, $D$9, 100%, $F$9) + CHOOSE(CONTROL!$C$27, 0.0021, 0)</f>
        <v>63.613599999999998</v>
      </c>
      <c r="J308" s="14">
        <f>63.6115 * CHOOSE(CONTROL!$C$9, $D$9, 100%, $F$9) + CHOOSE(CONTROL!$C$27, 0.0021, 0)</f>
        <v>63.613599999999998</v>
      </c>
      <c r="K308" s="14">
        <f>63.6115 * CHOOSE(CONTROL!$C$9, $D$9, 100%, $F$9) + CHOOSE(CONTROL!$C$27, 0.0021, 0)</f>
        <v>63.613599999999998</v>
      </c>
      <c r="L308" s="14"/>
    </row>
    <row r="309" spans="1:12" ht="15" x14ac:dyDescent="0.2">
      <c r="A309" s="34">
        <v>50314</v>
      </c>
      <c r="B309" s="14">
        <f>65.6016 * CHOOSE(CONTROL!$C$9, $D$9, 100%, $F$9) + CHOOSE(CONTROL!$C$27, 0.0021, 0)</f>
        <v>65.603700000000003</v>
      </c>
      <c r="C309" s="14">
        <f>65.1694 * CHOOSE(CONTROL!$C$9, $D$9, 100%, $F$9) + CHOOSE(CONTROL!$C$27, 0.0021, 0)</f>
        <v>65.171499999999995</v>
      </c>
      <c r="D309" s="14">
        <f>65.1694 * CHOOSE(CONTROL!$C$9, $D$9, 100%, $F$9) + CHOOSE(CONTROL!$C$27, 0.0021, 0)</f>
        <v>65.171499999999995</v>
      </c>
      <c r="E309" s="14">
        <f>65.0327 * CHOOSE(CONTROL!$C$9, $D$9, 100%, $F$9) + CHOOSE(CONTROL!$C$27, 0.0021, 0)</f>
        <v>65.034800000000004</v>
      </c>
      <c r="F309" s="14">
        <f>65.0327 * CHOOSE(CONTROL!$C$9, $D$9, 100%, $F$9) + CHOOSE(CONTROL!$C$27, 0.0021, 0)</f>
        <v>65.034800000000004</v>
      </c>
      <c r="G309" s="14">
        <f>65.3041 * CHOOSE(CONTROL!$C$9, $D$9, 100%, $F$9) + CHOOSE(CONTROL!$C$27, 0.0021, 0)</f>
        <v>65.306200000000004</v>
      </c>
      <c r="H309" s="14">
        <f>65.1694 * CHOOSE(CONTROL!$C$9, $D$9, 100%, $F$9) + CHOOSE(CONTROL!$C$27, 0.0021, 0)</f>
        <v>65.171499999999995</v>
      </c>
      <c r="I309" s="14">
        <f>65.1694 * CHOOSE(CONTROL!$C$9, $D$9, 100%, $F$9) + CHOOSE(CONTROL!$C$27, 0.0021, 0)</f>
        <v>65.171499999999995</v>
      </c>
      <c r="J309" s="14">
        <f>65.1694 * CHOOSE(CONTROL!$C$9, $D$9, 100%, $F$9) + CHOOSE(CONTROL!$C$27, 0.0021, 0)</f>
        <v>65.171499999999995</v>
      </c>
      <c r="K309" s="14">
        <f>65.1694 * CHOOSE(CONTROL!$C$9, $D$9, 100%, $F$9) + CHOOSE(CONTROL!$C$27, 0.0021, 0)</f>
        <v>65.171499999999995</v>
      </c>
      <c r="L309" s="14"/>
    </row>
    <row r="310" spans="1:12" ht="15" x14ac:dyDescent="0.2">
      <c r="A310" s="34">
        <v>50345</v>
      </c>
      <c r="B310" s="14">
        <f>65.7479 * CHOOSE(CONTROL!$C$9, $D$9, 100%, $F$9) + CHOOSE(CONTROL!$C$27, 0.0021, 0)</f>
        <v>65.75</v>
      </c>
      <c r="C310" s="14">
        <f>65.3156 * CHOOSE(CONTROL!$C$9, $D$9, 100%, $F$9) + CHOOSE(CONTROL!$C$27, 0.0021, 0)</f>
        <v>65.317700000000002</v>
      </c>
      <c r="D310" s="14">
        <f>65.3156 * CHOOSE(CONTROL!$C$9, $D$9, 100%, $F$9) + CHOOSE(CONTROL!$C$27, 0.0021, 0)</f>
        <v>65.317700000000002</v>
      </c>
      <c r="E310" s="14">
        <f>65.179 * CHOOSE(CONTROL!$C$9, $D$9, 100%, $F$9) + CHOOSE(CONTROL!$C$27, 0.0021, 0)</f>
        <v>65.181100000000001</v>
      </c>
      <c r="F310" s="14">
        <f>65.179 * CHOOSE(CONTROL!$C$9, $D$9, 100%, $F$9) + CHOOSE(CONTROL!$C$27, 0.0021, 0)</f>
        <v>65.181100000000001</v>
      </c>
      <c r="G310" s="14">
        <f>65.4503 * CHOOSE(CONTROL!$C$9, $D$9, 100%, $F$9) + CHOOSE(CONTROL!$C$27, 0.0021, 0)</f>
        <v>65.452399999999997</v>
      </c>
      <c r="H310" s="14">
        <f>65.3156 * CHOOSE(CONTROL!$C$9, $D$9, 100%, $F$9) + CHOOSE(CONTROL!$C$27, 0.0021, 0)</f>
        <v>65.317700000000002</v>
      </c>
      <c r="I310" s="14">
        <f>65.3156 * CHOOSE(CONTROL!$C$9, $D$9, 100%, $F$9) + CHOOSE(CONTROL!$C$27, 0.0021, 0)</f>
        <v>65.317700000000002</v>
      </c>
      <c r="J310" s="14">
        <f>65.3156 * CHOOSE(CONTROL!$C$9, $D$9, 100%, $F$9) + CHOOSE(CONTROL!$C$27, 0.0021, 0)</f>
        <v>65.317700000000002</v>
      </c>
      <c r="K310" s="14">
        <f>65.3156 * CHOOSE(CONTROL!$C$9, $D$9, 100%, $F$9) + CHOOSE(CONTROL!$C$27, 0.0021, 0)</f>
        <v>65.317700000000002</v>
      </c>
      <c r="L310" s="14"/>
    </row>
    <row r="311" spans="1:12" ht="15" x14ac:dyDescent="0.2">
      <c r="A311" s="34">
        <v>50375</v>
      </c>
      <c r="B311" s="14">
        <f>64.5036 * CHOOSE(CONTROL!$C$9, $D$9, 100%, $F$9) + CHOOSE(CONTROL!$C$27, 0.0021, 0)</f>
        <v>64.505700000000004</v>
      </c>
      <c r="C311" s="14">
        <f>64.0714 * CHOOSE(CONTROL!$C$9, $D$9, 100%, $F$9) + CHOOSE(CONTROL!$C$27, 0.0021, 0)</f>
        <v>64.073499999999996</v>
      </c>
      <c r="D311" s="14">
        <f>64.0714 * CHOOSE(CONTROL!$C$9, $D$9, 100%, $F$9) + CHOOSE(CONTROL!$C$27, 0.0021, 0)</f>
        <v>64.073499999999996</v>
      </c>
      <c r="E311" s="14">
        <f>63.9347 * CHOOSE(CONTROL!$C$9, $D$9, 100%, $F$9) + CHOOSE(CONTROL!$C$27, 0.0021, 0)</f>
        <v>63.936799999999998</v>
      </c>
      <c r="F311" s="14">
        <f>63.9347 * CHOOSE(CONTROL!$C$9, $D$9, 100%, $F$9) + CHOOSE(CONTROL!$C$27, 0.0021, 0)</f>
        <v>63.936799999999998</v>
      </c>
      <c r="G311" s="14">
        <f>64.2061 * CHOOSE(CONTROL!$C$9, $D$9, 100%, $F$9) + CHOOSE(CONTROL!$C$27, 0.0021, 0)</f>
        <v>64.208200000000005</v>
      </c>
      <c r="H311" s="14">
        <f>64.0714 * CHOOSE(CONTROL!$C$9, $D$9, 100%, $F$9) + CHOOSE(CONTROL!$C$27, 0.0021, 0)</f>
        <v>64.073499999999996</v>
      </c>
      <c r="I311" s="14">
        <f>64.0714 * CHOOSE(CONTROL!$C$9, $D$9, 100%, $F$9) + CHOOSE(CONTROL!$C$27, 0.0021, 0)</f>
        <v>64.073499999999996</v>
      </c>
      <c r="J311" s="14">
        <f>64.0714 * CHOOSE(CONTROL!$C$9, $D$9, 100%, $F$9) + CHOOSE(CONTROL!$C$27, 0.0021, 0)</f>
        <v>64.073499999999996</v>
      </c>
      <c r="K311" s="14">
        <f>64.0714 * CHOOSE(CONTROL!$C$9, $D$9, 100%, $F$9) + CHOOSE(CONTROL!$C$27, 0.0021, 0)</f>
        <v>64.073499999999996</v>
      </c>
      <c r="L311" s="14"/>
    </row>
    <row r="312" spans="1:12" ht="15.75" x14ac:dyDescent="0.25">
      <c r="A312" s="33">
        <v>50436</v>
      </c>
      <c r="B312" s="14">
        <f>63.7172 * CHOOSE(CONTROL!$C$9, $D$9, 100%, $F$9) + CHOOSE(CONTROL!$C$27, 0.0021, 0)</f>
        <v>63.719299999999997</v>
      </c>
      <c r="C312" s="14">
        <f>63.285 * CHOOSE(CONTROL!$C$9, $D$9, 100%, $F$9) + CHOOSE(CONTROL!$C$27, 0.0021, 0)</f>
        <v>63.287099999999995</v>
      </c>
      <c r="D312" s="14">
        <f>63.285 * CHOOSE(CONTROL!$C$9, $D$9, 100%, $F$9) + CHOOSE(CONTROL!$C$27, 0.0021, 0)</f>
        <v>63.287099999999995</v>
      </c>
      <c r="E312" s="14">
        <f>63.1483 * CHOOSE(CONTROL!$C$9, $D$9, 100%, $F$9) + CHOOSE(CONTROL!$C$27, 0.0021, 0)</f>
        <v>63.150399999999998</v>
      </c>
      <c r="F312" s="14">
        <f>63.1483 * CHOOSE(CONTROL!$C$9, $D$9, 100%, $F$9) + CHOOSE(CONTROL!$C$27, 0.0021, 0)</f>
        <v>63.150399999999998</v>
      </c>
      <c r="G312" s="14">
        <f>63.4197 * CHOOSE(CONTROL!$C$9, $D$9, 100%, $F$9) + CHOOSE(CONTROL!$C$27, 0.0021, 0)</f>
        <v>63.421799999999998</v>
      </c>
      <c r="H312" s="14">
        <f>63.285 * CHOOSE(CONTROL!$C$9, $D$9, 100%, $F$9) + CHOOSE(CONTROL!$C$27, 0.0021, 0)</f>
        <v>63.287099999999995</v>
      </c>
      <c r="I312" s="14">
        <f>63.285 * CHOOSE(CONTROL!$C$9, $D$9, 100%, $F$9) + CHOOSE(CONTROL!$C$27, 0.0021, 0)</f>
        <v>63.287099999999995</v>
      </c>
      <c r="J312" s="14">
        <f>63.285 * CHOOSE(CONTROL!$C$9, $D$9, 100%, $F$9) + CHOOSE(CONTROL!$C$27, 0.0021, 0)</f>
        <v>63.287099999999995</v>
      </c>
      <c r="K312" s="14">
        <f>63.285 * CHOOSE(CONTROL!$C$9, $D$9, 100%, $F$9) + CHOOSE(CONTROL!$C$27, 0.0021, 0)</f>
        <v>63.287099999999995</v>
      </c>
      <c r="L312" s="14"/>
    </row>
    <row r="313" spans="1:12" ht="15.75" x14ac:dyDescent="0.25">
      <c r="A313" s="33">
        <v>50464</v>
      </c>
      <c r="B313" s="14">
        <f>61.9798 * CHOOSE(CONTROL!$C$9, $D$9, 100%, $F$9) + CHOOSE(CONTROL!$C$27, 0.0021, 0)</f>
        <v>61.981899999999996</v>
      </c>
      <c r="C313" s="14">
        <f>61.5476 * CHOOSE(CONTROL!$C$9, $D$9, 100%, $F$9) + CHOOSE(CONTROL!$C$27, 0.0021, 0)</f>
        <v>61.549700000000001</v>
      </c>
      <c r="D313" s="14">
        <f>61.5476 * CHOOSE(CONTROL!$C$9, $D$9, 100%, $F$9) + CHOOSE(CONTROL!$C$27, 0.0021, 0)</f>
        <v>61.549700000000001</v>
      </c>
      <c r="E313" s="14">
        <f>61.4109 * CHOOSE(CONTROL!$C$9, $D$9, 100%, $F$9) + CHOOSE(CONTROL!$C$27, 0.0021, 0)</f>
        <v>61.412999999999997</v>
      </c>
      <c r="F313" s="14">
        <f>61.4109 * CHOOSE(CONTROL!$C$9, $D$9, 100%, $F$9) + CHOOSE(CONTROL!$C$27, 0.0021, 0)</f>
        <v>61.412999999999997</v>
      </c>
      <c r="G313" s="14">
        <f>61.6823 * CHOOSE(CONTROL!$C$9, $D$9, 100%, $F$9) + CHOOSE(CONTROL!$C$27, 0.0021, 0)</f>
        <v>61.684399999999997</v>
      </c>
      <c r="H313" s="14">
        <f>61.5476 * CHOOSE(CONTROL!$C$9, $D$9, 100%, $F$9) + CHOOSE(CONTROL!$C$27, 0.0021, 0)</f>
        <v>61.549700000000001</v>
      </c>
      <c r="I313" s="14">
        <f>61.5476 * CHOOSE(CONTROL!$C$9, $D$9, 100%, $F$9) + CHOOSE(CONTROL!$C$27, 0.0021, 0)</f>
        <v>61.549700000000001</v>
      </c>
      <c r="J313" s="14">
        <f>61.5476 * CHOOSE(CONTROL!$C$9, $D$9, 100%, $F$9) + CHOOSE(CONTROL!$C$27, 0.0021, 0)</f>
        <v>61.549700000000001</v>
      </c>
      <c r="K313" s="14">
        <f>61.5476 * CHOOSE(CONTROL!$C$9, $D$9, 100%, $F$9) + CHOOSE(CONTROL!$C$27, 0.0021, 0)</f>
        <v>61.549700000000001</v>
      </c>
      <c r="L313" s="14"/>
    </row>
    <row r="314" spans="1:12" ht="15.75" x14ac:dyDescent="0.25">
      <c r="A314" s="33">
        <v>50495</v>
      </c>
      <c r="B314" s="14">
        <f>61.2626 * CHOOSE(CONTROL!$C$9, $D$9, 100%, $F$9) + CHOOSE(CONTROL!$C$27, 0.0021, 0)</f>
        <v>61.264699999999998</v>
      </c>
      <c r="C314" s="14">
        <f>60.8304 * CHOOSE(CONTROL!$C$9, $D$9, 100%, $F$9) + CHOOSE(CONTROL!$C$27, 0.0021, 0)</f>
        <v>60.832499999999996</v>
      </c>
      <c r="D314" s="14">
        <f>60.8304 * CHOOSE(CONTROL!$C$9, $D$9, 100%, $F$9) + CHOOSE(CONTROL!$C$27, 0.0021, 0)</f>
        <v>60.832499999999996</v>
      </c>
      <c r="E314" s="14">
        <f>60.6937 * CHOOSE(CONTROL!$C$9, $D$9, 100%, $F$9) + CHOOSE(CONTROL!$C$27, 0.0021, 0)</f>
        <v>60.695799999999998</v>
      </c>
      <c r="F314" s="14">
        <f>60.6937 * CHOOSE(CONTROL!$C$9, $D$9, 100%, $F$9) + CHOOSE(CONTROL!$C$27, 0.0021, 0)</f>
        <v>60.695799999999998</v>
      </c>
      <c r="G314" s="14">
        <f>60.9651 * CHOOSE(CONTROL!$C$9, $D$9, 100%, $F$9) + CHOOSE(CONTROL!$C$27, 0.0021, 0)</f>
        <v>60.967199999999998</v>
      </c>
      <c r="H314" s="14">
        <f>60.8304 * CHOOSE(CONTROL!$C$9, $D$9, 100%, $F$9) + CHOOSE(CONTROL!$C$27, 0.0021, 0)</f>
        <v>60.832499999999996</v>
      </c>
      <c r="I314" s="14">
        <f>60.8304 * CHOOSE(CONTROL!$C$9, $D$9, 100%, $F$9) + CHOOSE(CONTROL!$C$27, 0.0021, 0)</f>
        <v>60.832499999999996</v>
      </c>
      <c r="J314" s="14">
        <f>60.8304 * CHOOSE(CONTROL!$C$9, $D$9, 100%, $F$9) + CHOOSE(CONTROL!$C$27, 0.0021, 0)</f>
        <v>60.832499999999996</v>
      </c>
      <c r="K314" s="14">
        <f>60.8304 * CHOOSE(CONTROL!$C$9, $D$9, 100%, $F$9) + CHOOSE(CONTROL!$C$27, 0.0021, 0)</f>
        <v>60.832499999999996</v>
      </c>
      <c r="L314" s="14"/>
    </row>
    <row r="315" spans="1:12" ht="15.75" x14ac:dyDescent="0.25">
      <c r="A315" s="33">
        <v>50525</v>
      </c>
      <c r="B315" s="14">
        <f>60.4062 * CHOOSE(CONTROL!$C$9, $D$9, 100%, $F$9) + CHOOSE(CONTROL!$C$27, 0.0021, 0)</f>
        <v>60.408299999999997</v>
      </c>
      <c r="C315" s="14">
        <f>59.974 * CHOOSE(CONTROL!$C$9, $D$9, 100%, $F$9) + CHOOSE(CONTROL!$C$27, 0.0021, 0)</f>
        <v>59.976099999999995</v>
      </c>
      <c r="D315" s="14">
        <f>59.974 * CHOOSE(CONTROL!$C$9, $D$9, 100%, $F$9) + CHOOSE(CONTROL!$C$27, 0.0021, 0)</f>
        <v>59.976099999999995</v>
      </c>
      <c r="E315" s="14">
        <f>59.8373 * CHOOSE(CONTROL!$C$9, $D$9, 100%, $F$9) + CHOOSE(CONTROL!$C$27, 0.0021, 0)</f>
        <v>59.839399999999998</v>
      </c>
      <c r="F315" s="14">
        <f>59.8373 * CHOOSE(CONTROL!$C$9, $D$9, 100%, $F$9) + CHOOSE(CONTROL!$C$27, 0.0021, 0)</f>
        <v>59.839399999999998</v>
      </c>
      <c r="G315" s="14">
        <f>60.1087 * CHOOSE(CONTROL!$C$9, $D$9, 100%, $F$9) + CHOOSE(CONTROL!$C$27, 0.0021, 0)</f>
        <v>60.110799999999998</v>
      </c>
      <c r="H315" s="14">
        <f>59.974 * CHOOSE(CONTROL!$C$9, $D$9, 100%, $F$9) + CHOOSE(CONTROL!$C$27, 0.0021, 0)</f>
        <v>59.976099999999995</v>
      </c>
      <c r="I315" s="14">
        <f>59.974 * CHOOSE(CONTROL!$C$9, $D$9, 100%, $F$9) + CHOOSE(CONTROL!$C$27, 0.0021, 0)</f>
        <v>59.976099999999995</v>
      </c>
      <c r="J315" s="14">
        <f>59.974 * CHOOSE(CONTROL!$C$9, $D$9, 100%, $F$9) + CHOOSE(CONTROL!$C$27, 0.0021, 0)</f>
        <v>59.976099999999995</v>
      </c>
      <c r="K315" s="14">
        <f>59.974 * CHOOSE(CONTROL!$C$9, $D$9, 100%, $F$9) + CHOOSE(CONTROL!$C$27, 0.0021, 0)</f>
        <v>59.976099999999995</v>
      </c>
      <c r="L315" s="14"/>
    </row>
    <row r="316" spans="1:12" ht="15.75" x14ac:dyDescent="0.25">
      <c r="A316" s="33">
        <v>50556</v>
      </c>
      <c r="B316" s="14">
        <f>61.6267 * CHOOSE(CONTROL!$C$9, $D$9, 100%, $F$9) + CHOOSE(CONTROL!$C$27, 0.0021, 0)</f>
        <v>61.628799999999998</v>
      </c>
      <c r="C316" s="14">
        <f>61.1944 * CHOOSE(CONTROL!$C$9, $D$9, 100%, $F$9) + CHOOSE(CONTROL!$C$27, 0.0021, 0)</f>
        <v>61.1965</v>
      </c>
      <c r="D316" s="14">
        <f>61.1944 * CHOOSE(CONTROL!$C$9, $D$9, 100%, $F$9) + CHOOSE(CONTROL!$C$27, 0.0021, 0)</f>
        <v>61.1965</v>
      </c>
      <c r="E316" s="14">
        <f>61.0578 * CHOOSE(CONTROL!$C$9, $D$9, 100%, $F$9) + CHOOSE(CONTROL!$C$27, 0.0021, 0)</f>
        <v>61.059899999999999</v>
      </c>
      <c r="F316" s="14">
        <f>61.0578 * CHOOSE(CONTROL!$C$9, $D$9, 100%, $F$9) + CHOOSE(CONTROL!$C$27, 0.0021, 0)</f>
        <v>61.059899999999999</v>
      </c>
      <c r="G316" s="14">
        <f>61.3291 * CHOOSE(CONTROL!$C$9, $D$9, 100%, $F$9) + CHOOSE(CONTROL!$C$27, 0.0021, 0)</f>
        <v>61.331199999999995</v>
      </c>
      <c r="H316" s="14">
        <f>61.1944 * CHOOSE(CONTROL!$C$9, $D$9, 100%, $F$9) + CHOOSE(CONTROL!$C$27, 0.0021, 0)</f>
        <v>61.1965</v>
      </c>
      <c r="I316" s="14">
        <f>61.1944 * CHOOSE(CONTROL!$C$9, $D$9, 100%, $F$9) + CHOOSE(CONTROL!$C$27, 0.0021, 0)</f>
        <v>61.1965</v>
      </c>
      <c r="J316" s="14">
        <f>61.1944 * CHOOSE(CONTROL!$C$9, $D$9, 100%, $F$9) + CHOOSE(CONTROL!$C$27, 0.0021, 0)</f>
        <v>61.1965</v>
      </c>
      <c r="K316" s="14">
        <f>61.1944 * CHOOSE(CONTROL!$C$9, $D$9, 100%, $F$9) + CHOOSE(CONTROL!$C$27, 0.0021, 0)</f>
        <v>61.1965</v>
      </c>
      <c r="L316" s="14"/>
    </row>
    <row r="317" spans="1:12" ht="15.75" x14ac:dyDescent="0.25">
      <c r="A317" s="33">
        <v>50586</v>
      </c>
      <c r="B317" s="14">
        <f>62.3576 * CHOOSE(CONTROL!$C$9, $D$9, 100%, $F$9) + CHOOSE(CONTROL!$C$27, 0.0021, 0)</f>
        <v>62.359699999999997</v>
      </c>
      <c r="C317" s="14">
        <f>61.9254 * CHOOSE(CONTROL!$C$9, $D$9, 100%, $F$9) + CHOOSE(CONTROL!$C$27, 0.0021, 0)</f>
        <v>61.927500000000002</v>
      </c>
      <c r="D317" s="14">
        <f>61.9254 * CHOOSE(CONTROL!$C$9, $D$9, 100%, $F$9) + CHOOSE(CONTROL!$C$27, 0.0021, 0)</f>
        <v>61.927500000000002</v>
      </c>
      <c r="E317" s="14">
        <f>61.7887 * CHOOSE(CONTROL!$C$9, $D$9, 100%, $F$9) + CHOOSE(CONTROL!$C$27, 0.0021, 0)</f>
        <v>61.790799999999997</v>
      </c>
      <c r="F317" s="14">
        <f>61.7887 * CHOOSE(CONTROL!$C$9, $D$9, 100%, $F$9) + CHOOSE(CONTROL!$C$27, 0.0021, 0)</f>
        <v>61.790799999999997</v>
      </c>
      <c r="G317" s="14">
        <f>62.0601 * CHOOSE(CONTROL!$C$9, $D$9, 100%, $F$9) + CHOOSE(CONTROL!$C$27, 0.0021, 0)</f>
        <v>62.062199999999997</v>
      </c>
      <c r="H317" s="14">
        <f>61.9254 * CHOOSE(CONTROL!$C$9, $D$9, 100%, $F$9) + CHOOSE(CONTROL!$C$27, 0.0021, 0)</f>
        <v>61.927500000000002</v>
      </c>
      <c r="I317" s="14">
        <f>61.9254 * CHOOSE(CONTROL!$C$9, $D$9, 100%, $F$9) + CHOOSE(CONTROL!$C$27, 0.0021, 0)</f>
        <v>61.927500000000002</v>
      </c>
      <c r="J317" s="14">
        <f>61.9254 * CHOOSE(CONTROL!$C$9, $D$9, 100%, $F$9) + CHOOSE(CONTROL!$C$27, 0.0021, 0)</f>
        <v>61.927500000000002</v>
      </c>
      <c r="K317" s="14">
        <f>61.9254 * CHOOSE(CONTROL!$C$9, $D$9, 100%, $F$9) + CHOOSE(CONTROL!$C$27, 0.0021, 0)</f>
        <v>61.927500000000002</v>
      </c>
      <c r="L317" s="14"/>
    </row>
    <row r="318" spans="1:12" ht="15.75" x14ac:dyDescent="0.25">
      <c r="A318" s="33">
        <v>50617</v>
      </c>
      <c r="B318" s="14">
        <f>63.5635 * CHOOSE(CONTROL!$C$9, $D$9, 100%, $F$9) + CHOOSE(CONTROL!$C$27, 0.0021, 0)</f>
        <v>63.565599999999996</v>
      </c>
      <c r="C318" s="14">
        <f>63.1312 * CHOOSE(CONTROL!$C$9, $D$9, 100%, $F$9) + CHOOSE(CONTROL!$C$27, 0.0021, 0)</f>
        <v>63.133299999999998</v>
      </c>
      <c r="D318" s="14">
        <f>63.1312 * CHOOSE(CONTROL!$C$9, $D$9, 100%, $F$9) + CHOOSE(CONTROL!$C$27, 0.0021, 0)</f>
        <v>63.133299999999998</v>
      </c>
      <c r="E318" s="14">
        <f>62.9946 * CHOOSE(CONTROL!$C$9, $D$9, 100%, $F$9) + CHOOSE(CONTROL!$C$27, 0.0021, 0)</f>
        <v>62.996699999999997</v>
      </c>
      <c r="F318" s="14">
        <f>62.9946 * CHOOSE(CONTROL!$C$9, $D$9, 100%, $F$9) + CHOOSE(CONTROL!$C$27, 0.0021, 0)</f>
        <v>62.996699999999997</v>
      </c>
      <c r="G318" s="14">
        <f>63.266 * CHOOSE(CONTROL!$C$9, $D$9, 100%, $F$9) + CHOOSE(CONTROL!$C$27, 0.0021, 0)</f>
        <v>63.268099999999997</v>
      </c>
      <c r="H318" s="14">
        <f>63.1312 * CHOOSE(CONTROL!$C$9, $D$9, 100%, $F$9) + CHOOSE(CONTROL!$C$27, 0.0021, 0)</f>
        <v>63.133299999999998</v>
      </c>
      <c r="I318" s="14">
        <f>63.1312 * CHOOSE(CONTROL!$C$9, $D$9, 100%, $F$9) + CHOOSE(CONTROL!$C$27, 0.0021, 0)</f>
        <v>63.133299999999998</v>
      </c>
      <c r="J318" s="14">
        <f>63.1312 * CHOOSE(CONTROL!$C$9, $D$9, 100%, $F$9) + CHOOSE(CONTROL!$C$27, 0.0021, 0)</f>
        <v>63.133299999999998</v>
      </c>
      <c r="K318" s="14">
        <f>63.1312 * CHOOSE(CONTROL!$C$9, $D$9, 100%, $F$9) + CHOOSE(CONTROL!$C$27, 0.0021, 0)</f>
        <v>63.133299999999998</v>
      </c>
      <c r="L318" s="14"/>
    </row>
    <row r="319" spans="1:12" ht="15.75" x14ac:dyDescent="0.25">
      <c r="A319" s="33">
        <v>50648</v>
      </c>
      <c r="B319" s="14">
        <f>63.9316 * CHOOSE(CONTROL!$C$9, $D$9, 100%, $F$9) + CHOOSE(CONTROL!$C$27, 0.0021, 0)</f>
        <v>63.933700000000002</v>
      </c>
      <c r="C319" s="14">
        <f>63.4993 * CHOOSE(CONTROL!$C$9, $D$9, 100%, $F$9) + CHOOSE(CONTROL!$C$27, 0.0021, 0)</f>
        <v>63.501399999999997</v>
      </c>
      <c r="D319" s="14">
        <f>63.4993 * CHOOSE(CONTROL!$C$9, $D$9, 100%, $F$9) + CHOOSE(CONTROL!$C$27, 0.0021, 0)</f>
        <v>63.501399999999997</v>
      </c>
      <c r="E319" s="14">
        <f>63.3626 * CHOOSE(CONTROL!$C$9, $D$9, 100%, $F$9) + CHOOSE(CONTROL!$C$27, 0.0021, 0)</f>
        <v>63.364699999999999</v>
      </c>
      <c r="F319" s="14">
        <f>63.3626 * CHOOSE(CONTROL!$C$9, $D$9, 100%, $F$9) + CHOOSE(CONTROL!$C$27, 0.0021, 0)</f>
        <v>63.364699999999999</v>
      </c>
      <c r="G319" s="14">
        <f>63.634 * CHOOSE(CONTROL!$C$9, $D$9, 100%, $F$9) + CHOOSE(CONTROL!$C$27, 0.0021, 0)</f>
        <v>63.636099999999999</v>
      </c>
      <c r="H319" s="14">
        <f>63.4993 * CHOOSE(CONTROL!$C$9, $D$9, 100%, $F$9) + CHOOSE(CONTROL!$C$27, 0.0021, 0)</f>
        <v>63.501399999999997</v>
      </c>
      <c r="I319" s="14">
        <f>63.4993 * CHOOSE(CONTROL!$C$9, $D$9, 100%, $F$9) + CHOOSE(CONTROL!$C$27, 0.0021, 0)</f>
        <v>63.501399999999997</v>
      </c>
      <c r="J319" s="14">
        <f>63.4993 * CHOOSE(CONTROL!$C$9, $D$9, 100%, $F$9) + CHOOSE(CONTROL!$C$27, 0.0021, 0)</f>
        <v>63.501399999999997</v>
      </c>
      <c r="K319" s="14">
        <f>63.4993 * CHOOSE(CONTROL!$C$9, $D$9, 100%, $F$9) + CHOOSE(CONTROL!$C$27, 0.0021, 0)</f>
        <v>63.501399999999997</v>
      </c>
      <c r="L319" s="14"/>
    </row>
    <row r="320" spans="1:12" ht="15.75" x14ac:dyDescent="0.25">
      <c r="A320" s="33">
        <v>50678</v>
      </c>
      <c r="B320" s="14">
        <f>65.185 * CHOOSE(CONTROL!$C$9, $D$9, 100%, $F$9) + CHOOSE(CONTROL!$C$27, 0.0021, 0)</f>
        <v>65.187100000000001</v>
      </c>
      <c r="C320" s="14">
        <f>64.7527 * CHOOSE(CONTROL!$C$9, $D$9, 100%, $F$9) + CHOOSE(CONTROL!$C$27, 0.0021, 0)</f>
        <v>64.754800000000003</v>
      </c>
      <c r="D320" s="14">
        <f>64.7527 * CHOOSE(CONTROL!$C$9, $D$9, 100%, $F$9) + CHOOSE(CONTROL!$C$27, 0.0021, 0)</f>
        <v>64.754800000000003</v>
      </c>
      <c r="E320" s="14">
        <f>64.6161 * CHOOSE(CONTROL!$C$9, $D$9, 100%, $F$9) + CHOOSE(CONTROL!$C$27, 0.0021, 0)</f>
        <v>64.618200000000002</v>
      </c>
      <c r="F320" s="14">
        <f>64.6161 * CHOOSE(CONTROL!$C$9, $D$9, 100%, $F$9) + CHOOSE(CONTROL!$C$27, 0.0021, 0)</f>
        <v>64.618200000000002</v>
      </c>
      <c r="G320" s="14">
        <f>64.8875 * CHOOSE(CONTROL!$C$9, $D$9, 100%, $F$9) + CHOOSE(CONTROL!$C$27, 0.0021, 0)</f>
        <v>64.889600000000002</v>
      </c>
      <c r="H320" s="14">
        <f>64.7527 * CHOOSE(CONTROL!$C$9, $D$9, 100%, $F$9) + CHOOSE(CONTROL!$C$27, 0.0021, 0)</f>
        <v>64.754800000000003</v>
      </c>
      <c r="I320" s="14">
        <f>64.7527 * CHOOSE(CONTROL!$C$9, $D$9, 100%, $F$9) + CHOOSE(CONTROL!$C$27, 0.0021, 0)</f>
        <v>64.754800000000003</v>
      </c>
      <c r="J320" s="14">
        <f>64.7527 * CHOOSE(CONTROL!$C$9, $D$9, 100%, $F$9) + CHOOSE(CONTROL!$C$27, 0.0021, 0)</f>
        <v>64.754800000000003</v>
      </c>
      <c r="K320" s="14">
        <f>64.7527 * CHOOSE(CONTROL!$C$9, $D$9, 100%, $F$9) + CHOOSE(CONTROL!$C$27, 0.0021, 0)</f>
        <v>64.754800000000003</v>
      </c>
      <c r="L320" s="14"/>
    </row>
    <row r="321" spans="1:12" ht="15.75" x14ac:dyDescent="0.25">
      <c r="A321" s="33">
        <v>50709</v>
      </c>
      <c r="B321" s="14">
        <f>66.7716 * CHOOSE(CONTROL!$C$9, $D$9, 100%, $F$9) + CHOOSE(CONTROL!$C$27, 0.0021, 0)</f>
        <v>66.773700000000005</v>
      </c>
      <c r="C321" s="14">
        <f>66.3394 * CHOOSE(CONTROL!$C$9, $D$9, 100%, $F$9) + CHOOSE(CONTROL!$C$27, 0.0021, 0)</f>
        <v>66.341499999999996</v>
      </c>
      <c r="D321" s="14">
        <f>66.3394 * CHOOSE(CONTROL!$C$9, $D$9, 100%, $F$9) + CHOOSE(CONTROL!$C$27, 0.0021, 0)</f>
        <v>66.341499999999996</v>
      </c>
      <c r="E321" s="14">
        <f>66.2027 * CHOOSE(CONTROL!$C$9, $D$9, 100%, $F$9) + CHOOSE(CONTROL!$C$27, 0.0021, 0)</f>
        <v>66.204799999999992</v>
      </c>
      <c r="F321" s="14">
        <f>66.2027 * CHOOSE(CONTROL!$C$9, $D$9, 100%, $F$9) + CHOOSE(CONTROL!$C$27, 0.0021, 0)</f>
        <v>66.204799999999992</v>
      </c>
      <c r="G321" s="14">
        <f>66.4741 * CHOOSE(CONTROL!$C$9, $D$9, 100%, $F$9) + CHOOSE(CONTROL!$C$27, 0.0021, 0)</f>
        <v>66.476200000000006</v>
      </c>
      <c r="H321" s="14">
        <f>66.3394 * CHOOSE(CONTROL!$C$9, $D$9, 100%, $F$9) + CHOOSE(CONTROL!$C$27, 0.0021, 0)</f>
        <v>66.341499999999996</v>
      </c>
      <c r="I321" s="14">
        <f>66.3394 * CHOOSE(CONTROL!$C$9, $D$9, 100%, $F$9) + CHOOSE(CONTROL!$C$27, 0.0021, 0)</f>
        <v>66.341499999999996</v>
      </c>
      <c r="J321" s="14">
        <f>66.3394 * CHOOSE(CONTROL!$C$9, $D$9, 100%, $F$9) + CHOOSE(CONTROL!$C$27, 0.0021, 0)</f>
        <v>66.341499999999996</v>
      </c>
      <c r="K321" s="14">
        <f>66.3394 * CHOOSE(CONTROL!$C$9, $D$9, 100%, $F$9) + CHOOSE(CONTROL!$C$27, 0.0021, 0)</f>
        <v>66.341499999999996</v>
      </c>
      <c r="L321" s="14"/>
    </row>
    <row r="322" spans="1:12" ht="15.75" x14ac:dyDescent="0.25">
      <c r="A322" s="33">
        <v>50739</v>
      </c>
      <c r="B322" s="14">
        <f>66.9206 * CHOOSE(CONTROL!$C$9, $D$9, 100%, $F$9) + CHOOSE(CONTROL!$C$27, 0.0021, 0)</f>
        <v>66.922699999999992</v>
      </c>
      <c r="C322" s="14">
        <f>66.4883 * CHOOSE(CONTROL!$C$9, $D$9, 100%, $F$9) + CHOOSE(CONTROL!$C$27, 0.0021, 0)</f>
        <v>66.490399999999994</v>
      </c>
      <c r="D322" s="14">
        <f>66.4883 * CHOOSE(CONTROL!$C$9, $D$9, 100%, $F$9) + CHOOSE(CONTROL!$C$27, 0.0021, 0)</f>
        <v>66.490399999999994</v>
      </c>
      <c r="E322" s="14">
        <f>66.3517 * CHOOSE(CONTROL!$C$9, $D$9, 100%, $F$9) + CHOOSE(CONTROL!$C$27, 0.0021, 0)</f>
        <v>66.353799999999993</v>
      </c>
      <c r="F322" s="14">
        <f>66.3517 * CHOOSE(CONTROL!$C$9, $D$9, 100%, $F$9) + CHOOSE(CONTROL!$C$27, 0.0021, 0)</f>
        <v>66.353799999999993</v>
      </c>
      <c r="G322" s="14">
        <f>66.623 * CHOOSE(CONTROL!$C$9, $D$9, 100%, $F$9) + CHOOSE(CONTROL!$C$27, 0.0021, 0)</f>
        <v>66.625100000000003</v>
      </c>
      <c r="H322" s="14">
        <f>66.4883 * CHOOSE(CONTROL!$C$9, $D$9, 100%, $F$9) + CHOOSE(CONTROL!$C$27, 0.0021, 0)</f>
        <v>66.490399999999994</v>
      </c>
      <c r="I322" s="14">
        <f>66.4883 * CHOOSE(CONTROL!$C$9, $D$9, 100%, $F$9) + CHOOSE(CONTROL!$C$27, 0.0021, 0)</f>
        <v>66.490399999999994</v>
      </c>
      <c r="J322" s="14">
        <f>66.4883 * CHOOSE(CONTROL!$C$9, $D$9, 100%, $F$9) + CHOOSE(CONTROL!$C$27, 0.0021, 0)</f>
        <v>66.490399999999994</v>
      </c>
      <c r="K322" s="14">
        <f>66.4883 * CHOOSE(CONTROL!$C$9, $D$9, 100%, $F$9) + CHOOSE(CONTROL!$C$27, 0.0021, 0)</f>
        <v>66.490399999999994</v>
      </c>
      <c r="L322" s="14"/>
    </row>
    <row r="323" spans="1:12" ht="15.75" x14ac:dyDescent="0.25">
      <c r="A323" s="33">
        <v>50770</v>
      </c>
      <c r="B323" s="14">
        <f>65.6534 * CHOOSE(CONTROL!$C$9, $D$9, 100%, $F$9) + CHOOSE(CONTROL!$C$27, 0.0021, 0)</f>
        <v>65.655500000000004</v>
      </c>
      <c r="C323" s="14">
        <f>65.2211 * CHOOSE(CONTROL!$C$9, $D$9, 100%, $F$9) + CHOOSE(CONTROL!$C$27, 0.0021, 0)</f>
        <v>65.223200000000006</v>
      </c>
      <c r="D323" s="14">
        <f>65.2211 * CHOOSE(CONTROL!$C$9, $D$9, 100%, $F$9) + CHOOSE(CONTROL!$C$27, 0.0021, 0)</f>
        <v>65.223200000000006</v>
      </c>
      <c r="E323" s="14">
        <f>65.0845 * CHOOSE(CONTROL!$C$9, $D$9, 100%, $F$9) + CHOOSE(CONTROL!$C$27, 0.0021, 0)</f>
        <v>65.086600000000004</v>
      </c>
      <c r="F323" s="14">
        <f>65.0845 * CHOOSE(CONTROL!$C$9, $D$9, 100%, $F$9) + CHOOSE(CONTROL!$C$27, 0.0021, 0)</f>
        <v>65.086600000000004</v>
      </c>
      <c r="G323" s="14">
        <f>65.3558 * CHOOSE(CONTROL!$C$9, $D$9, 100%, $F$9) + CHOOSE(CONTROL!$C$27, 0.0021, 0)</f>
        <v>65.357900000000001</v>
      </c>
      <c r="H323" s="14">
        <f>65.2211 * CHOOSE(CONTROL!$C$9, $D$9, 100%, $F$9) + CHOOSE(CONTROL!$C$27, 0.0021, 0)</f>
        <v>65.223200000000006</v>
      </c>
      <c r="I323" s="14">
        <f>65.2211 * CHOOSE(CONTROL!$C$9, $D$9, 100%, $F$9) + CHOOSE(CONTROL!$C$27, 0.0021, 0)</f>
        <v>65.223200000000006</v>
      </c>
      <c r="J323" s="14">
        <f>65.2211 * CHOOSE(CONTROL!$C$9, $D$9, 100%, $F$9) + CHOOSE(CONTROL!$C$27, 0.0021, 0)</f>
        <v>65.223200000000006</v>
      </c>
      <c r="K323" s="14">
        <f>65.2211 * CHOOSE(CONTROL!$C$9, $D$9, 100%, $F$9) + CHOOSE(CONTROL!$C$27, 0.0021, 0)</f>
        <v>65.223200000000006</v>
      </c>
      <c r="L323" s="14"/>
    </row>
    <row r="324" spans="1:12" ht="15.75" x14ac:dyDescent="0.25">
      <c r="A324" s="33">
        <v>50801</v>
      </c>
      <c r="B324" s="14">
        <f>64.8524 * CHOOSE(CONTROL!$C$9, $D$9, 100%, $F$9) + CHOOSE(CONTROL!$C$27, 0.0021, 0)</f>
        <v>64.854500000000002</v>
      </c>
      <c r="C324" s="14">
        <f>64.4202 * CHOOSE(CONTROL!$C$9, $D$9, 100%, $F$9) + CHOOSE(CONTROL!$C$27, 0.0021, 0)</f>
        <v>64.422299999999993</v>
      </c>
      <c r="D324" s="14">
        <f>64.4202 * CHOOSE(CONTROL!$C$9, $D$9, 100%, $F$9) + CHOOSE(CONTROL!$C$27, 0.0021, 0)</f>
        <v>64.422299999999993</v>
      </c>
      <c r="E324" s="14">
        <f>64.2835 * CHOOSE(CONTROL!$C$9, $D$9, 100%, $F$9) + CHOOSE(CONTROL!$C$27, 0.0021, 0)</f>
        <v>64.285600000000002</v>
      </c>
      <c r="F324" s="14">
        <f>64.2835 * CHOOSE(CONTROL!$C$9, $D$9, 100%, $F$9) + CHOOSE(CONTROL!$C$27, 0.0021, 0)</f>
        <v>64.285600000000002</v>
      </c>
      <c r="G324" s="14">
        <f>64.5549 * CHOOSE(CONTROL!$C$9, $D$9, 100%, $F$9) + CHOOSE(CONTROL!$C$27, 0.0021, 0)</f>
        <v>64.557000000000002</v>
      </c>
      <c r="H324" s="14">
        <f>64.4202 * CHOOSE(CONTROL!$C$9, $D$9, 100%, $F$9) + CHOOSE(CONTROL!$C$27, 0.0021, 0)</f>
        <v>64.422299999999993</v>
      </c>
      <c r="I324" s="14">
        <f>64.4202 * CHOOSE(CONTROL!$C$9, $D$9, 100%, $F$9) + CHOOSE(CONTROL!$C$27, 0.0021, 0)</f>
        <v>64.422299999999993</v>
      </c>
      <c r="J324" s="14">
        <f>64.4202 * CHOOSE(CONTROL!$C$9, $D$9, 100%, $F$9) + CHOOSE(CONTROL!$C$27, 0.0021, 0)</f>
        <v>64.422299999999993</v>
      </c>
      <c r="K324" s="14">
        <f>64.4202 * CHOOSE(CONTROL!$C$9, $D$9, 100%, $F$9) + CHOOSE(CONTROL!$C$27, 0.0021, 0)</f>
        <v>64.422299999999993</v>
      </c>
      <c r="L324" s="14"/>
    </row>
    <row r="325" spans="1:12" ht="15.75" x14ac:dyDescent="0.25">
      <c r="A325" s="33">
        <v>50829</v>
      </c>
      <c r="B325" s="14">
        <f>63.0829 * CHOOSE(CONTROL!$C$9, $D$9, 100%, $F$9) + CHOOSE(CONTROL!$C$27, 0.0021, 0)</f>
        <v>63.085000000000001</v>
      </c>
      <c r="C325" s="14">
        <f>62.6506 * CHOOSE(CONTROL!$C$9, $D$9, 100%, $F$9) + CHOOSE(CONTROL!$C$27, 0.0021, 0)</f>
        <v>62.652699999999996</v>
      </c>
      <c r="D325" s="14">
        <f>62.6506 * CHOOSE(CONTROL!$C$9, $D$9, 100%, $F$9) + CHOOSE(CONTROL!$C$27, 0.0021, 0)</f>
        <v>62.652699999999996</v>
      </c>
      <c r="E325" s="14">
        <f>62.514 * CHOOSE(CONTROL!$C$9, $D$9, 100%, $F$9) + CHOOSE(CONTROL!$C$27, 0.0021, 0)</f>
        <v>62.516100000000002</v>
      </c>
      <c r="F325" s="14">
        <f>62.514 * CHOOSE(CONTROL!$C$9, $D$9, 100%, $F$9) + CHOOSE(CONTROL!$C$27, 0.0021, 0)</f>
        <v>62.516100000000002</v>
      </c>
      <c r="G325" s="14">
        <f>62.7854 * CHOOSE(CONTROL!$C$9, $D$9, 100%, $F$9) + CHOOSE(CONTROL!$C$27, 0.0021, 0)</f>
        <v>62.787500000000001</v>
      </c>
      <c r="H325" s="14">
        <f>62.6506 * CHOOSE(CONTROL!$C$9, $D$9, 100%, $F$9) + CHOOSE(CONTROL!$C$27, 0.0021, 0)</f>
        <v>62.652699999999996</v>
      </c>
      <c r="I325" s="14">
        <f>62.6506 * CHOOSE(CONTROL!$C$9, $D$9, 100%, $F$9) + CHOOSE(CONTROL!$C$27, 0.0021, 0)</f>
        <v>62.652699999999996</v>
      </c>
      <c r="J325" s="14">
        <f>62.6506 * CHOOSE(CONTROL!$C$9, $D$9, 100%, $F$9) + CHOOSE(CONTROL!$C$27, 0.0021, 0)</f>
        <v>62.652699999999996</v>
      </c>
      <c r="K325" s="14">
        <f>62.6506 * CHOOSE(CONTROL!$C$9, $D$9, 100%, $F$9) + CHOOSE(CONTROL!$C$27, 0.0021, 0)</f>
        <v>62.652699999999996</v>
      </c>
      <c r="L325" s="14"/>
    </row>
    <row r="326" spans="1:12" ht="15.75" x14ac:dyDescent="0.25">
      <c r="A326" s="33">
        <v>50860</v>
      </c>
      <c r="B326" s="14">
        <f>62.3524 * CHOOSE(CONTROL!$C$9, $D$9, 100%, $F$9) + CHOOSE(CONTROL!$C$27, 0.0021, 0)</f>
        <v>62.354500000000002</v>
      </c>
      <c r="C326" s="14">
        <f>61.9202 * CHOOSE(CONTROL!$C$9, $D$9, 100%, $F$9) + CHOOSE(CONTROL!$C$27, 0.0021, 0)</f>
        <v>61.9223</v>
      </c>
      <c r="D326" s="14">
        <f>61.9202 * CHOOSE(CONTROL!$C$9, $D$9, 100%, $F$9) + CHOOSE(CONTROL!$C$27, 0.0021, 0)</f>
        <v>61.9223</v>
      </c>
      <c r="E326" s="14">
        <f>61.7835 * CHOOSE(CONTROL!$C$9, $D$9, 100%, $F$9) + CHOOSE(CONTROL!$C$27, 0.0021, 0)</f>
        <v>61.785599999999995</v>
      </c>
      <c r="F326" s="14">
        <f>61.7835 * CHOOSE(CONTROL!$C$9, $D$9, 100%, $F$9) + CHOOSE(CONTROL!$C$27, 0.0021, 0)</f>
        <v>61.785599999999995</v>
      </c>
      <c r="G326" s="14">
        <f>62.0549 * CHOOSE(CONTROL!$C$9, $D$9, 100%, $F$9) + CHOOSE(CONTROL!$C$27, 0.0021, 0)</f>
        <v>62.057000000000002</v>
      </c>
      <c r="H326" s="14">
        <f>61.9202 * CHOOSE(CONTROL!$C$9, $D$9, 100%, $F$9) + CHOOSE(CONTROL!$C$27, 0.0021, 0)</f>
        <v>61.9223</v>
      </c>
      <c r="I326" s="14">
        <f>61.9202 * CHOOSE(CONTROL!$C$9, $D$9, 100%, $F$9) + CHOOSE(CONTROL!$C$27, 0.0021, 0)</f>
        <v>61.9223</v>
      </c>
      <c r="J326" s="14">
        <f>61.9202 * CHOOSE(CONTROL!$C$9, $D$9, 100%, $F$9) + CHOOSE(CONTROL!$C$27, 0.0021, 0)</f>
        <v>61.9223</v>
      </c>
      <c r="K326" s="14">
        <f>61.9202 * CHOOSE(CONTROL!$C$9, $D$9, 100%, $F$9) + CHOOSE(CONTROL!$C$27, 0.0021, 0)</f>
        <v>61.9223</v>
      </c>
      <c r="L326" s="14"/>
    </row>
    <row r="327" spans="1:12" ht="15.75" x14ac:dyDescent="0.25">
      <c r="A327" s="33">
        <v>50890</v>
      </c>
      <c r="B327" s="14">
        <f>61.4802 * CHOOSE(CONTROL!$C$9, $D$9, 100%, $F$9) + CHOOSE(CONTROL!$C$27, 0.0021, 0)</f>
        <v>61.482300000000002</v>
      </c>
      <c r="C327" s="14">
        <f>61.048 * CHOOSE(CONTROL!$C$9, $D$9, 100%, $F$9) + CHOOSE(CONTROL!$C$27, 0.0021, 0)</f>
        <v>61.0501</v>
      </c>
      <c r="D327" s="14">
        <f>61.048 * CHOOSE(CONTROL!$C$9, $D$9, 100%, $F$9) + CHOOSE(CONTROL!$C$27, 0.0021, 0)</f>
        <v>61.0501</v>
      </c>
      <c r="E327" s="14">
        <f>60.9113 * CHOOSE(CONTROL!$C$9, $D$9, 100%, $F$9) + CHOOSE(CONTROL!$C$27, 0.0021, 0)</f>
        <v>60.913399999999996</v>
      </c>
      <c r="F327" s="14">
        <f>60.9113 * CHOOSE(CONTROL!$C$9, $D$9, 100%, $F$9) + CHOOSE(CONTROL!$C$27, 0.0021, 0)</f>
        <v>60.913399999999996</v>
      </c>
      <c r="G327" s="14">
        <f>61.1827 * CHOOSE(CONTROL!$C$9, $D$9, 100%, $F$9) + CHOOSE(CONTROL!$C$27, 0.0021, 0)</f>
        <v>61.184799999999996</v>
      </c>
      <c r="H327" s="14">
        <f>61.048 * CHOOSE(CONTROL!$C$9, $D$9, 100%, $F$9) + CHOOSE(CONTROL!$C$27, 0.0021, 0)</f>
        <v>61.0501</v>
      </c>
      <c r="I327" s="14">
        <f>61.048 * CHOOSE(CONTROL!$C$9, $D$9, 100%, $F$9) + CHOOSE(CONTROL!$C$27, 0.0021, 0)</f>
        <v>61.0501</v>
      </c>
      <c r="J327" s="14">
        <f>61.048 * CHOOSE(CONTROL!$C$9, $D$9, 100%, $F$9) + CHOOSE(CONTROL!$C$27, 0.0021, 0)</f>
        <v>61.0501</v>
      </c>
      <c r="K327" s="14">
        <f>61.048 * CHOOSE(CONTROL!$C$9, $D$9, 100%, $F$9) + CHOOSE(CONTROL!$C$27, 0.0021, 0)</f>
        <v>61.0501</v>
      </c>
      <c r="L327" s="14"/>
    </row>
    <row r="328" spans="1:12" ht="15.75" x14ac:dyDescent="0.25">
      <c r="A328" s="33">
        <v>50921</v>
      </c>
      <c r="B328" s="14">
        <f>62.7232 * CHOOSE(CONTROL!$C$9, $D$9, 100%, $F$9) + CHOOSE(CONTROL!$C$27, 0.0021, 0)</f>
        <v>62.725299999999997</v>
      </c>
      <c r="C328" s="14">
        <f>62.291 * CHOOSE(CONTROL!$C$9, $D$9, 100%, $F$9) + CHOOSE(CONTROL!$C$27, 0.0021, 0)</f>
        <v>62.293099999999995</v>
      </c>
      <c r="D328" s="14">
        <f>62.291 * CHOOSE(CONTROL!$C$9, $D$9, 100%, $F$9) + CHOOSE(CONTROL!$C$27, 0.0021, 0)</f>
        <v>62.293099999999995</v>
      </c>
      <c r="E328" s="14">
        <f>62.1543 * CHOOSE(CONTROL!$C$9, $D$9, 100%, $F$9) + CHOOSE(CONTROL!$C$27, 0.0021, 0)</f>
        <v>62.156399999999998</v>
      </c>
      <c r="F328" s="14">
        <f>62.1543 * CHOOSE(CONTROL!$C$9, $D$9, 100%, $F$9) + CHOOSE(CONTROL!$C$27, 0.0021, 0)</f>
        <v>62.156399999999998</v>
      </c>
      <c r="G328" s="14">
        <f>62.4257 * CHOOSE(CONTROL!$C$9, $D$9, 100%, $F$9) + CHOOSE(CONTROL!$C$27, 0.0021, 0)</f>
        <v>62.427799999999998</v>
      </c>
      <c r="H328" s="14">
        <f>62.291 * CHOOSE(CONTROL!$C$9, $D$9, 100%, $F$9) + CHOOSE(CONTROL!$C$27, 0.0021, 0)</f>
        <v>62.293099999999995</v>
      </c>
      <c r="I328" s="14">
        <f>62.291 * CHOOSE(CONTROL!$C$9, $D$9, 100%, $F$9) + CHOOSE(CONTROL!$C$27, 0.0021, 0)</f>
        <v>62.293099999999995</v>
      </c>
      <c r="J328" s="14">
        <f>62.291 * CHOOSE(CONTROL!$C$9, $D$9, 100%, $F$9) + CHOOSE(CONTROL!$C$27, 0.0021, 0)</f>
        <v>62.293099999999995</v>
      </c>
      <c r="K328" s="14">
        <f>62.291 * CHOOSE(CONTROL!$C$9, $D$9, 100%, $F$9) + CHOOSE(CONTROL!$C$27, 0.0021, 0)</f>
        <v>62.293099999999995</v>
      </c>
      <c r="L328" s="14"/>
    </row>
    <row r="329" spans="1:12" ht="15.75" x14ac:dyDescent="0.25">
      <c r="A329" s="33">
        <v>50951</v>
      </c>
      <c r="B329" s="14">
        <f>63.4677 * CHOOSE(CONTROL!$C$9, $D$9, 100%, $F$9) + CHOOSE(CONTROL!$C$27, 0.0021, 0)</f>
        <v>63.469799999999999</v>
      </c>
      <c r="C329" s="14">
        <f>63.0354 * CHOOSE(CONTROL!$C$9, $D$9, 100%, $F$9) + CHOOSE(CONTROL!$C$27, 0.0021, 0)</f>
        <v>63.037500000000001</v>
      </c>
      <c r="D329" s="14">
        <f>63.0354 * CHOOSE(CONTROL!$C$9, $D$9, 100%, $F$9) + CHOOSE(CONTROL!$C$27, 0.0021, 0)</f>
        <v>63.037500000000001</v>
      </c>
      <c r="E329" s="14">
        <f>62.8988 * CHOOSE(CONTROL!$C$9, $D$9, 100%, $F$9) + CHOOSE(CONTROL!$C$27, 0.0021, 0)</f>
        <v>62.9009</v>
      </c>
      <c r="F329" s="14">
        <f>62.8988 * CHOOSE(CONTROL!$C$9, $D$9, 100%, $F$9) + CHOOSE(CONTROL!$C$27, 0.0021, 0)</f>
        <v>62.9009</v>
      </c>
      <c r="G329" s="14">
        <f>63.1702 * CHOOSE(CONTROL!$C$9, $D$9, 100%, $F$9) + CHOOSE(CONTROL!$C$27, 0.0021, 0)</f>
        <v>63.1723</v>
      </c>
      <c r="H329" s="14">
        <f>63.0354 * CHOOSE(CONTROL!$C$9, $D$9, 100%, $F$9) + CHOOSE(CONTROL!$C$27, 0.0021, 0)</f>
        <v>63.037500000000001</v>
      </c>
      <c r="I329" s="14">
        <f>63.0354 * CHOOSE(CONTROL!$C$9, $D$9, 100%, $F$9) + CHOOSE(CONTROL!$C$27, 0.0021, 0)</f>
        <v>63.037500000000001</v>
      </c>
      <c r="J329" s="14">
        <f>63.0354 * CHOOSE(CONTROL!$C$9, $D$9, 100%, $F$9) + CHOOSE(CONTROL!$C$27, 0.0021, 0)</f>
        <v>63.037500000000001</v>
      </c>
      <c r="K329" s="14">
        <f>63.0354 * CHOOSE(CONTROL!$C$9, $D$9, 100%, $F$9) + CHOOSE(CONTROL!$C$27, 0.0021, 0)</f>
        <v>63.037500000000001</v>
      </c>
      <c r="L329" s="14"/>
    </row>
    <row r="330" spans="1:12" ht="15.75" x14ac:dyDescent="0.25">
      <c r="A330" s="33">
        <v>50982</v>
      </c>
      <c r="B330" s="14">
        <f>64.6958 * CHOOSE(CONTROL!$C$9, $D$9, 100%, $F$9) + CHOOSE(CONTROL!$C$27, 0.0021, 0)</f>
        <v>64.697900000000004</v>
      </c>
      <c r="C330" s="14">
        <f>64.2636 * CHOOSE(CONTROL!$C$9, $D$9, 100%, $F$9) + CHOOSE(CONTROL!$C$27, 0.0021, 0)</f>
        <v>64.265699999999995</v>
      </c>
      <c r="D330" s="14">
        <f>64.2636 * CHOOSE(CONTROL!$C$9, $D$9, 100%, $F$9) + CHOOSE(CONTROL!$C$27, 0.0021, 0)</f>
        <v>64.265699999999995</v>
      </c>
      <c r="E330" s="14">
        <f>64.1269 * CHOOSE(CONTROL!$C$9, $D$9, 100%, $F$9) + CHOOSE(CONTROL!$C$27, 0.0021, 0)</f>
        <v>64.129000000000005</v>
      </c>
      <c r="F330" s="14">
        <f>64.1269 * CHOOSE(CONTROL!$C$9, $D$9, 100%, $F$9) + CHOOSE(CONTROL!$C$27, 0.0021, 0)</f>
        <v>64.129000000000005</v>
      </c>
      <c r="G330" s="14">
        <f>64.3983 * CHOOSE(CONTROL!$C$9, $D$9, 100%, $F$9) + CHOOSE(CONTROL!$C$27, 0.0021, 0)</f>
        <v>64.400400000000005</v>
      </c>
      <c r="H330" s="14">
        <f>64.2636 * CHOOSE(CONTROL!$C$9, $D$9, 100%, $F$9) + CHOOSE(CONTROL!$C$27, 0.0021, 0)</f>
        <v>64.265699999999995</v>
      </c>
      <c r="I330" s="14">
        <f>64.2636 * CHOOSE(CONTROL!$C$9, $D$9, 100%, $F$9) + CHOOSE(CONTROL!$C$27, 0.0021, 0)</f>
        <v>64.265699999999995</v>
      </c>
      <c r="J330" s="14">
        <f>64.2636 * CHOOSE(CONTROL!$C$9, $D$9, 100%, $F$9) + CHOOSE(CONTROL!$C$27, 0.0021, 0)</f>
        <v>64.265699999999995</v>
      </c>
      <c r="K330" s="14">
        <f>64.2636 * CHOOSE(CONTROL!$C$9, $D$9, 100%, $F$9) + CHOOSE(CONTROL!$C$27, 0.0021, 0)</f>
        <v>64.265699999999995</v>
      </c>
      <c r="L330" s="14"/>
    </row>
    <row r="331" spans="1:12" ht="15.75" x14ac:dyDescent="0.25">
      <c r="A331" s="33">
        <v>51013</v>
      </c>
      <c r="B331" s="14">
        <f>65.0707 * CHOOSE(CONTROL!$C$9, $D$9, 100%, $F$9) + CHOOSE(CONTROL!$C$27, 0.0021, 0)</f>
        <v>65.072800000000001</v>
      </c>
      <c r="C331" s="14">
        <f>64.6384 * CHOOSE(CONTROL!$C$9, $D$9, 100%, $F$9) + CHOOSE(CONTROL!$C$27, 0.0021, 0)</f>
        <v>64.640500000000003</v>
      </c>
      <c r="D331" s="14">
        <f>64.6384 * CHOOSE(CONTROL!$C$9, $D$9, 100%, $F$9) + CHOOSE(CONTROL!$C$27, 0.0021, 0)</f>
        <v>64.640500000000003</v>
      </c>
      <c r="E331" s="14">
        <f>64.5018 * CHOOSE(CONTROL!$C$9, $D$9, 100%, $F$9) + CHOOSE(CONTROL!$C$27, 0.0021, 0)</f>
        <v>64.503900000000002</v>
      </c>
      <c r="F331" s="14">
        <f>64.5018 * CHOOSE(CONTROL!$C$9, $D$9, 100%, $F$9) + CHOOSE(CONTROL!$C$27, 0.0021, 0)</f>
        <v>64.503900000000002</v>
      </c>
      <c r="G331" s="14">
        <f>64.7732 * CHOOSE(CONTROL!$C$9, $D$9, 100%, $F$9) + CHOOSE(CONTROL!$C$27, 0.0021, 0)</f>
        <v>64.775300000000001</v>
      </c>
      <c r="H331" s="14">
        <f>64.6384 * CHOOSE(CONTROL!$C$9, $D$9, 100%, $F$9) + CHOOSE(CONTROL!$C$27, 0.0021, 0)</f>
        <v>64.640500000000003</v>
      </c>
      <c r="I331" s="14">
        <f>64.6384 * CHOOSE(CONTROL!$C$9, $D$9, 100%, $F$9) + CHOOSE(CONTROL!$C$27, 0.0021, 0)</f>
        <v>64.640500000000003</v>
      </c>
      <c r="J331" s="14">
        <f>64.6384 * CHOOSE(CONTROL!$C$9, $D$9, 100%, $F$9) + CHOOSE(CONTROL!$C$27, 0.0021, 0)</f>
        <v>64.640500000000003</v>
      </c>
      <c r="K331" s="14">
        <f>64.6384 * CHOOSE(CONTROL!$C$9, $D$9, 100%, $F$9) + CHOOSE(CONTROL!$C$27, 0.0021, 0)</f>
        <v>64.640500000000003</v>
      </c>
      <c r="L331" s="14"/>
    </row>
    <row r="332" spans="1:12" ht="15.75" x14ac:dyDescent="0.25">
      <c r="A332" s="33">
        <v>51043</v>
      </c>
      <c r="B332" s="14">
        <f>66.3473 * CHOOSE(CONTROL!$C$9, $D$9, 100%, $F$9) + CHOOSE(CONTROL!$C$27, 0.0021, 0)</f>
        <v>66.349400000000003</v>
      </c>
      <c r="C332" s="14">
        <f>65.915 * CHOOSE(CONTROL!$C$9, $D$9, 100%, $F$9) + CHOOSE(CONTROL!$C$27, 0.0021, 0)</f>
        <v>65.917100000000005</v>
      </c>
      <c r="D332" s="14">
        <f>65.915 * CHOOSE(CONTROL!$C$9, $D$9, 100%, $F$9) + CHOOSE(CONTROL!$C$27, 0.0021, 0)</f>
        <v>65.917100000000005</v>
      </c>
      <c r="E332" s="14">
        <f>65.7784 * CHOOSE(CONTROL!$C$9, $D$9, 100%, $F$9) + CHOOSE(CONTROL!$C$27, 0.0021, 0)</f>
        <v>65.780500000000004</v>
      </c>
      <c r="F332" s="14">
        <f>65.7784 * CHOOSE(CONTROL!$C$9, $D$9, 100%, $F$9) + CHOOSE(CONTROL!$C$27, 0.0021, 0)</f>
        <v>65.780500000000004</v>
      </c>
      <c r="G332" s="14">
        <f>66.0498 * CHOOSE(CONTROL!$C$9, $D$9, 100%, $F$9) + CHOOSE(CONTROL!$C$27, 0.0021, 0)</f>
        <v>66.051900000000003</v>
      </c>
      <c r="H332" s="14">
        <f>65.915 * CHOOSE(CONTROL!$C$9, $D$9, 100%, $F$9) + CHOOSE(CONTROL!$C$27, 0.0021, 0)</f>
        <v>65.917100000000005</v>
      </c>
      <c r="I332" s="14">
        <f>65.915 * CHOOSE(CONTROL!$C$9, $D$9, 100%, $F$9) + CHOOSE(CONTROL!$C$27, 0.0021, 0)</f>
        <v>65.917100000000005</v>
      </c>
      <c r="J332" s="14">
        <f>65.915 * CHOOSE(CONTROL!$C$9, $D$9, 100%, $F$9) + CHOOSE(CONTROL!$C$27, 0.0021, 0)</f>
        <v>65.917100000000005</v>
      </c>
      <c r="K332" s="14">
        <f>65.915 * CHOOSE(CONTROL!$C$9, $D$9, 100%, $F$9) + CHOOSE(CONTROL!$C$27, 0.0021, 0)</f>
        <v>65.917100000000005</v>
      </c>
      <c r="L332" s="14"/>
    </row>
    <row r="333" spans="1:12" ht="15.75" x14ac:dyDescent="0.25">
      <c r="A333" s="33">
        <v>51074</v>
      </c>
      <c r="B333" s="14">
        <f>67.9632 * CHOOSE(CONTROL!$C$9, $D$9, 100%, $F$9) + CHOOSE(CONTROL!$C$27, 0.0021, 0)</f>
        <v>67.965299999999999</v>
      </c>
      <c r="C333" s="14">
        <f>67.531 * CHOOSE(CONTROL!$C$9, $D$9, 100%, $F$9) + CHOOSE(CONTROL!$C$27, 0.0021, 0)</f>
        <v>67.533100000000005</v>
      </c>
      <c r="D333" s="14">
        <f>67.531 * CHOOSE(CONTROL!$C$9, $D$9, 100%, $F$9) + CHOOSE(CONTROL!$C$27, 0.0021, 0)</f>
        <v>67.533100000000005</v>
      </c>
      <c r="E333" s="14">
        <f>67.3943 * CHOOSE(CONTROL!$C$9, $D$9, 100%, $F$9) + CHOOSE(CONTROL!$C$27, 0.0021, 0)</f>
        <v>67.3964</v>
      </c>
      <c r="F333" s="14">
        <f>67.3943 * CHOOSE(CONTROL!$C$9, $D$9, 100%, $F$9) + CHOOSE(CONTROL!$C$27, 0.0021, 0)</f>
        <v>67.3964</v>
      </c>
      <c r="G333" s="14">
        <f>67.6657 * CHOOSE(CONTROL!$C$9, $D$9, 100%, $F$9) + CHOOSE(CONTROL!$C$27, 0.0021, 0)</f>
        <v>67.6678</v>
      </c>
      <c r="H333" s="14">
        <f>67.531 * CHOOSE(CONTROL!$C$9, $D$9, 100%, $F$9) + CHOOSE(CONTROL!$C$27, 0.0021, 0)</f>
        <v>67.533100000000005</v>
      </c>
      <c r="I333" s="14">
        <f>67.531 * CHOOSE(CONTROL!$C$9, $D$9, 100%, $F$9) + CHOOSE(CONTROL!$C$27, 0.0021, 0)</f>
        <v>67.533100000000005</v>
      </c>
      <c r="J333" s="14">
        <f>67.531 * CHOOSE(CONTROL!$C$9, $D$9, 100%, $F$9) + CHOOSE(CONTROL!$C$27, 0.0021, 0)</f>
        <v>67.533100000000005</v>
      </c>
      <c r="K333" s="14">
        <f>67.531 * CHOOSE(CONTROL!$C$9, $D$9, 100%, $F$9) + CHOOSE(CONTROL!$C$27, 0.0021, 0)</f>
        <v>67.533100000000005</v>
      </c>
      <c r="L333" s="14"/>
    </row>
    <row r="334" spans="1:12" ht="15.75" x14ac:dyDescent="0.25">
      <c r="A334" s="33">
        <v>51104</v>
      </c>
      <c r="B334" s="14">
        <f>68.1149 * CHOOSE(CONTROL!$C$9, $D$9, 100%, $F$9) + CHOOSE(CONTROL!$C$27, 0.0021, 0)</f>
        <v>68.117000000000004</v>
      </c>
      <c r="C334" s="14">
        <f>67.6827 * CHOOSE(CONTROL!$C$9, $D$9, 100%, $F$9) + CHOOSE(CONTROL!$C$27, 0.0021, 0)</f>
        <v>67.684799999999996</v>
      </c>
      <c r="D334" s="14">
        <f>67.6827 * CHOOSE(CONTROL!$C$9, $D$9, 100%, $F$9) + CHOOSE(CONTROL!$C$27, 0.0021, 0)</f>
        <v>67.684799999999996</v>
      </c>
      <c r="E334" s="14">
        <f>67.546 * CHOOSE(CONTROL!$C$9, $D$9, 100%, $F$9) + CHOOSE(CONTROL!$C$27, 0.0021, 0)</f>
        <v>67.548100000000005</v>
      </c>
      <c r="F334" s="14">
        <f>67.546 * CHOOSE(CONTROL!$C$9, $D$9, 100%, $F$9) + CHOOSE(CONTROL!$C$27, 0.0021, 0)</f>
        <v>67.548100000000005</v>
      </c>
      <c r="G334" s="14">
        <f>67.8174 * CHOOSE(CONTROL!$C$9, $D$9, 100%, $F$9) + CHOOSE(CONTROL!$C$27, 0.0021, 0)</f>
        <v>67.819500000000005</v>
      </c>
      <c r="H334" s="14">
        <f>67.6827 * CHOOSE(CONTROL!$C$9, $D$9, 100%, $F$9) + CHOOSE(CONTROL!$C$27, 0.0021, 0)</f>
        <v>67.684799999999996</v>
      </c>
      <c r="I334" s="14">
        <f>67.6827 * CHOOSE(CONTROL!$C$9, $D$9, 100%, $F$9) + CHOOSE(CONTROL!$C$27, 0.0021, 0)</f>
        <v>67.684799999999996</v>
      </c>
      <c r="J334" s="14">
        <f>67.6827 * CHOOSE(CONTROL!$C$9, $D$9, 100%, $F$9) + CHOOSE(CONTROL!$C$27, 0.0021, 0)</f>
        <v>67.684799999999996</v>
      </c>
      <c r="K334" s="14">
        <f>67.6827 * CHOOSE(CONTROL!$C$9, $D$9, 100%, $F$9) + CHOOSE(CONTROL!$C$27, 0.0021, 0)</f>
        <v>67.684799999999996</v>
      </c>
      <c r="L334" s="14"/>
    </row>
    <row r="335" spans="1:12" ht="15.75" x14ac:dyDescent="0.25">
      <c r="A335" s="33">
        <v>51135</v>
      </c>
      <c r="B335" s="14">
        <f>66.8243 * CHOOSE(CONTROL!$C$9, $D$9, 100%, $F$9) + CHOOSE(CONTROL!$C$27, 0.0021, 0)</f>
        <v>66.826399999999992</v>
      </c>
      <c r="C335" s="14">
        <f>66.3921 * CHOOSE(CONTROL!$C$9, $D$9, 100%, $F$9) + CHOOSE(CONTROL!$C$27, 0.0021, 0)</f>
        <v>66.394199999999998</v>
      </c>
      <c r="D335" s="14">
        <f>66.3921 * CHOOSE(CONTROL!$C$9, $D$9, 100%, $F$9) + CHOOSE(CONTROL!$C$27, 0.0021, 0)</f>
        <v>66.394199999999998</v>
      </c>
      <c r="E335" s="14">
        <f>66.2554 * CHOOSE(CONTROL!$C$9, $D$9, 100%, $F$9) + CHOOSE(CONTROL!$C$27, 0.0021, 0)</f>
        <v>66.257499999999993</v>
      </c>
      <c r="F335" s="14">
        <f>66.2554 * CHOOSE(CONTROL!$C$9, $D$9, 100%, $F$9) + CHOOSE(CONTROL!$C$27, 0.0021, 0)</f>
        <v>66.257499999999993</v>
      </c>
      <c r="G335" s="14">
        <f>66.5268 * CHOOSE(CONTROL!$C$9, $D$9, 100%, $F$9) + CHOOSE(CONTROL!$C$27, 0.0021, 0)</f>
        <v>66.528899999999993</v>
      </c>
      <c r="H335" s="14">
        <f>66.3921 * CHOOSE(CONTROL!$C$9, $D$9, 100%, $F$9) + CHOOSE(CONTROL!$C$27, 0.0021, 0)</f>
        <v>66.394199999999998</v>
      </c>
      <c r="I335" s="14">
        <f>66.3921 * CHOOSE(CONTROL!$C$9, $D$9, 100%, $F$9) + CHOOSE(CONTROL!$C$27, 0.0021, 0)</f>
        <v>66.394199999999998</v>
      </c>
      <c r="J335" s="14">
        <f>66.3921 * CHOOSE(CONTROL!$C$9, $D$9, 100%, $F$9) + CHOOSE(CONTROL!$C$27, 0.0021, 0)</f>
        <v>66.394199999999998</v>
      </c>
      <c r="K335" s="14">
        <f>66.3921 * CHOOSE(CONTROL!$C$9, $D$9, 100%, $F$9) + CHOOSE(CONTROL!$C$27, 0.0021, 0)</f>
        <v>66.394199999999998</v>
      </c>
      <c r="L335" s="14"/>
    </row>
    <row r="336" spans="1:12" ht="15.75" x14ac:dyDescent="0.25">
      <c r="A336" s="33">
        <v>51166</v>
      </c>
      <c r="B336" s="14">
        <f>66.0086 * CHOOSE(CONTROL!$C$9, $D$9, 100%, $F$9) + CHOOSE(CONTROL!$C$27, 0.0021, 0)</f>
        <v>66.0107</v>
      </c>
      <c r="C336" s="14">
        <f>65.5763 * CHOOSE(CONTROL!$C$9, $D$9, 100%, $F$9) + CHOOSE(CONTROL!$C$27, 0.0021, 0)</f>
        <v>65.578400000000002</v>
      </c>
      <c r="D336" s="14">
        <f>65.5763 * CHOOSE(CONTROL!$C$9, $D$9, 100%, $F$9) + CHOOSE(CONTROL!$C$27, 0.0021, 0)</f>
        <v>65.578400000000002</v>
      </c>
      <c r="E336" s="14">
        <f>65.4397 * CHOOSE(CONTROL!$C$9, $D$9, 100%, $F$9) + CHOOSE(CONTROL!$C$27, 0.0021, 0)</f>
        <v>65.441800000000001</v>
      </c>
      <c r="F336" s="14">
        <f>65.4397 * CHOOSE(CONTROL!$C$9, $D$9, 100%, $F$9) + CHOOSE(CONTROL!$C$27, 0.0021, 0)</f>
        <v>65.441800000000001</v>
      </c>
      <c r="G336" s="14">
        <f>65.711 * CHOOSE(CONTROL!$C$9, $D$9, 100%, $F$9) + CHOOSE(CONTROL!$C$27, 0.0021, 0)</f>
        <v>65.713099999999997</v>
      </c>
      <c r="H336" s="14">
        <f>65.5763 * CHOOSE(CONTROL!$C$9, $D$9, 100%, $F$9) + CHOOSE(CONTROL!$C$27, 0.0021, 0)</f>
        <v>65.578400000000002</v>
      </c>
      <c r="I336" s="14">
        <f>65.5763 * CHOOSE(CONTROL!$C$9, $D$9, 100%, $F$9) + CHOOSE(CONTROL!$C$27, 0.0021, 0)</f>
        <v>65.578400000000002</v>
      </c>
      <c r="J336" s="14">
        <f>65.5763 * CHOOSE(CONTROL!$C$9, $D$9, 100%, $F$9) + CHOOSE(CONTROL!$C$27, 0.0021, 0)</f>
        <v>65.578400000000002</v>
      </c>
      <c r="K336" s="14">
        <f>65.5763 * CHOOSE(CONTROL!$C$9, $D$9, 100%, $F$9) + CHOOSE(CONTROL!$C$27, 0.0021, 0)</f>
        <v>65.578400000000002</v>
      </c>
      <c r="L336" s="14"/>
    </row>
    <row r="337" spans="1:12" ht="15.75" x14ac:dyDescent="0.25">
      <c r="A337" s="33">
        <v>51194</v>
      </c>
      <c r="B337" s="14">
        <f>64.2063 * CHOOSE(CONTROL!$C$9, $D$9, 100%, $F$9) + CHOOSE(CONTROL!$C$27, 0.0021, 0)</f>
        <v>64.208399999999997</v>
      </c>
      <c r="C337" s="14">
        <f>63.7741 * CHOOSE(CONTROL!$C$9, $D$9, 100%, $F$9) + CHOOSE(CONTROL!$C$27, 0.0021, 0)</f>
        <v>63.776199999999996</v>
      </c>
      <c r="D337" s="14">
        <f>63.7741 * CHOOSE(CONTROL!$C$9, $D$9, 100%, $F$9) + CHOOSE(CONTROL!$C$27, 0.0021, 0)</f>
        <v>63.776199999999996</v>
      </c>
      <c r="E337" s="14">
        <f>63.6374 * CHOOSE(CONTROL!$C$9, $D$9, 100%, $F$9) + CHOOSE(CONTROL!$C$27, 0.0021, 0)</f>
        <v>63.639499999999998</v>
      </c>
      <c r="F337" s="14">
        <f>63.6374 * CHOOSE(CONTROL!$C$9, $D$9, 100%, $F$9) + CHOOSE(CONTROL!$C$27, 0.0021, 0)</f>
        <v>63.639499999999998</v>
      </c>
      <c r="G337" s="14">
        <f>63.9088 * CHOOSE(CONTROL!$C$9, $D$9, 100%, $F$9) + CHOOSE(CONTROL!$C$27, 0.0021, 0)</f>
        <v>63.910899999999998</v>
      </c>
      <c r="H337" s="14">
        <f>63.7741 * CHOOSE(CONTROL!$C$9, $D$9, 100%, $F$9) + CHOOSE(CONTROL!$C$27, 0.0021, 0)</f>
        <v>63.776199999999996</v>
      </c>
      <c r="I337" s="14">
        <f>63.7741 * CHOOSE(CONTROL!$C$9, $D$9, 100%, $F$9) + CHOOSE(CONTROL!$C$27, 0.0021, 0)</f>
        <v>63.776199999999996</v>
      </c>
      <c r="J337" s="14">
        <f>63.7741 * CHOOSE(CONTROL!$C$9, $D$9, 100%, $F$9) + CHOOSE(CONTROL!$C$27, 0.0021, 0)</f>
        <v>63.776199999999996</v>
      </c>
      <c r="K337" s="14">
        <f>63.7741 * CHOOSE(CONTROL!$C$9, $D$9, 100%, $F$9) + CHOOSE(CONTROL!$C$27, 0.0021, 0)</f>
        <v>63.776199999999996</v>
      </c>
      <c r="L337" s="14"/>
    </row>
    <row r="338" spans="1:12" ht="15.75" x14ac:dyDescent="0.25">
      <c r="A338" s="33">
        <v>51226</v>
      </c>
      <c r="B338" s="14">
        <f>63.4624 * CHOOSE(CONTROL!$C$9, $D$9, 100%, $F$9) + CHOOSE(CONTROL!$C$27, 0.0021, 0)</f>
        <v>63.464500000000001</v>
      </c>
      <c r="C338" s="14">
        <f>63.0301 * CHOOSE(CONTROL!$C$9, $D$9, 100%, $F$9) + CHOOSE(CONTROL!$C$27, 0.0021, 0)</f>
        <v>63.032199999999996</v>
      </c>
      <c r="D338" s="14">
        <f>63.0301 * CHOOSE(CONTROL!$C$9, $D$9, 100%, $F$9) + CHOOSE(CONTROL!$C$27, 0.0021, 0)</f>
        <v>63.032199999999996</v>
      </c>
      <c r="E338" s="14">
        <f>62.8935 * CHOOSE(CONTROL!$C$9, $D$9, 100%, $F$9) + CHOOSE(CONTROL!$C$27, 0.0021, 0)</f>
        <v>62.895600000000002</v>
      </c>
      <c r="F338" s="14">
        <f>62.8935 * CHOOSE(CONTROL!$C$9, $D$9, 100%, $F$9) + CHOOSE(CONTROL!$C$27, 0.0021, 0)</f>
        <v>62.895600000000002</v>
      </c>
      <c r="G338" s="14">
        <f>63.1648 * CHOOSE(CONTROL!$C$9, $D$9, 100%, $F$9) + CHOOSE(CONTROL!$C$27, 0.0021, 0)</f>
        <v>63.166899999999998</v>
      </c>
      <c r="H338" s="14">
        <f>63.0301 * CHOOSE(CONTROL!$C$9, $D$9, 100%, $F$9) + CHOOSE(CONTROL!$C$27, 0.0021, 0)</f>
        <v>63.032199999999996</v>
      </c>
      <c r="I338" s="14">
        <f>63.0301 * CHOOSE(CONTROL!$C$9, $D$9, 100%, $F$9) + CHOOSE(CONTROL!$C$27, 0.0021, 0)</f>
        <v>63.032199999999996</v>
      </c>
      <c r="J338" s="14">
        <f>63.0301 * CHOOSE(CONTROL!$C$9, $D$9, 100%, $F$9) + CHOOSE(CONTROL!$C$27, 0.0021, 0)</f>
        <v>63.032199999999996</v>
      </c>
      <c r="K338" s="14">
        <f>63.0301 * CHOOSE(CONTROL!$C$9, $D$9, 100%, $F$9) + CHOOSE(CONTROL!$C$27, 0.0021, 0)</f>
        <v>63.032199999999996</v>
      </c>
      <c r="L338" s="14"/>
    </row>
    <row r="339" spans="1:12" ht="15.75" x14ac:dyDescent="0.25">
      <c r="A339" s="33">
        <v>51256</v>
      </c>
      <c r="B339" s="14">
        <f>62.5741 * CHOOSE(CONTROL!$C$9, $D$9, 100%, $F$9) + CHOOSE(CONTROL!$C$27, 0.0021, 0)</f>
        <v>62.5762</v>
      </c>
      <c r="C339" s="14">
        <f>62.1418 * CHOOSE(CONTROL!$C$9, $D$9, 100%, $F$9) + CHOOSE(CONTROL!$C$27, 0.0021, 0)</f>
        <v>62.143900000000002</v>
      </c>
      <c r="D339" s="14">
        <f>62.1418 * CHOOSE(CONTROL!$C$9, $D$9, 100%, $F$9) + CHOOSE(CONTROL!$C$27, 0.0021, 0)</f>
        <v>62.143900000000002</v>
      </c>
      <c r="E339" s="14">
        <f>62.0052 * CHOOSE(CONTROL!$C$9, $D$9, 100%, $F$9) + CHOOSE(CONTROL!$C$27, 0.0021, 0)</f>
        <v>62.007300000000001</v>
      </c>
      <c r="F339" s="14">
        <f>62.0052 * CHOOSE(CONTROL!$C$9, $D$9, 100%, $F$9) + CHOOSE(CONTROL!$C$27, 0.0021, 0)</f>
        <v>62.007300000000001</v>
      </c>
      <c r="G339" s="14">
        <f>62.2765 * CHOOSE(CONTROL!$C$9, $D$9, 100%, $F$9) + CHOOSE(CONTROL!$C$27, 0.0021, 0)</f>
        <v>62.278599999999997</v>
      </c>
      <c r="H339" s="14">
        <f>62.1418 * CHOOSE(CONTROL!$C$9, $D$9, 100%, $F$9) + CHOOSE(CONTROL!$C$27, 0.0021, 0)</f>
        <v>62.143900000000002</v>
      </c>
      <c r="I339" s="14">
        <f>62.1418 * CHOOSE(CONTROL!$C$9, $D$9, 100%, $F$9) + CHOOSE(CONTROL!$C$27, 0.0021, 0)</f>
        <v>62.143900000000002</v>
      </c>
      <c r="J339" s="14">
        <f>62.1418 * CHOOSE(CONTROL!$C$9, $D$9, 100%, $F$9) + CHOOSE(CONTROL!$C$27, 0.0021, 0)</f>
        <v>62.143900000000002</v>
      </c>
      <c r="K339" s="14">
        <f>62.1418 * CHOOSE(CONTROL!$C$9, $D$9, 100%, $F$9) + CHOOSE(CONTROL!$C$27, 0.0021, 0)</f>
        <v>62.143900000000002</v>
      </c>
      <c r="L339" s="14"/>
    </row>
    <row r="340" spans="1:12" ht="15.75" x14ac:dyDescent="0.25">
      <c r="A340" s="33">
        <v>51287</v>
      </c>
      <c r="B340" s="14">
        <f>63.84 * CHOOSE(CONTROL!$C$9, $D$9, 100%, $F$9) + CHOOSE(CONTROL!$C$27, 0.0021, 0)</f>
        <v>63.842100000000002</v>
      </c>
      <c r="C340" s="14">
        <f>63.4078 * CHOOSE(CONTROL!$C$9, $D$9, 100%, $F$9) + CHOOSE(CONTROL!$C$27, 0.0021, 0)</f>
        <v>63.4099</v>
      </c>
      <c r="D340" s="14">
        <f>63.4078 * CHOOSE(CONTROL!$C$9, $D$9, 100%, $F$9) + CHOOSE(CONTROL!$C$27, 0.0021, 0)</f>
        <v>63.4099</v>
      </c>
      <c r="E340" s="14">
        <f>63.2711 * CHOOSE(CONTROL!$C$9, $D$9, 100%, $F$9) + CHOOSE(CONTROL!$C$27, 0.0021, 0)</f>
        <v>63.273199999999996</v>
      </c>
      <c r="F340" s="14">
        <f>63.2711 * CHOOSE(CONTROL!$C$9, $D$9, 100%, $F$9) + CHOOSE(CONTROL!$C$27, 0.0021, 0)</f>
        <v>63.273199999999996</v>
      </c>
      <c r="G340" s="14">
        <f>63.5425 * CHOOSE(CONTROL!$C$9, $D$9, 100%, $F$9) + CHOOSE(CONTROL!$C$27, 0.0021, 0)</f>
        <v>63.544599999999996</v>
      </c>
      <c r="H340" s="14">
        <f>63.4078 * CHOOSE(CONTROL!$C$9, $D$9, 100%, $F$9) + CHOOSE(CONTROL!$C$27, 0.0021, 0)</f>
        <v>63.4099</v>
      </c>
      <c r="I340" s="14">
        <f>63.4078 * CHOOSE(CONTROL!$C$9, $D$9, 100%, $F$9) + CHOOSE(CONTROL!$C$27, 0.0021, 0)</f>
        <v>63.4099</v>
      </c>
      <c r="J340" s="14">
        <f>63.4078 * CHOOSE(CONTROL!$C$9, $D$9, 100%, $F$9) + CHOOSE(CONTROL!$C$27, 0.0021, 0)</f>
        <v>63.4099</v>
      </c>
      <c r="K340" s="14">
        <f>63.4078 * CHOOSE(CONTROL!$C$9, $D$9, 100%, $F$9) + CHOOSE(CONTROL!$C$27, 0.0021, 0)</f>
        <v>63.4099</v>
      </c>
      <c r="L340" s="14"/>
    </row>
    <row r="341" spans="1:12" ht="15.75" x14ac:dyDescent="0.25">
      <c r="A341" s="33">
        <v>51317</v>
      </c>
      <c r="B341" s="14">
        <f>64.5983 * CHOOSE(CONTROL!$C$9, $D$9, 100%, $F$9) + CHOOSE(CONTROL!$C$27, 0.0021, 0)</f>
        <v>64.600399999999993</v>
      </c>
      <c r="C341" s="14">
        <f>64.166 * CHOOSE(CONTROL!$C$9, $D$9, 100%, $F$9) + CHOOSE(CONTROL!$C$27, 0.0021, 0)</f>
        <v>64.168099999999995</v>
      </c>
      <c r="D341" s="14">
        <f>64.166 * CHOOSE(CONTROL!$C$9, $D$9, 100%, $F$9) + CHOOSE(CONTROL!$C$27, 0.0021, 0)</f>
        <v>64.168099999999995</v>
      </c>
      <c r="E341" s="14">
        <f>64.0294 * CHOOSE(CONTROL!$C$9, $D$9, 100%, $F$9) + CHOOSE(CONTROL!$C$27, 0.0021, 0)</f>
        <v>64.031499999999994</v>
      </c>
      <c r="F341" s="14">
        <f>64.0294 * CHOOSE(CONTROL!$C$9, $D$9, 100%, $F$9) + CHOOSE(CONTROL!$C$27, 0.0021, 0)</f>
        <v>64.031499999999994</v>
      </c>
      <c r="G341" s="14">
        <f>64.3007 * CHOOSE(CONTROL!$C$9, $D$9, 100%, $F$9) + CHOOSE(CONTROL!$C$27, 0.0021, 0)</f>
        <v>64.302800000000005</v>
      </c>
      <c r="H341" s="14">
        <f>64.166 * CHOOSE(CONTROL!$C$9, $D$9, 100%, $F$9) + CHOOSE(CONTROL!$C$27, 0.0021, 0)</f>
        <v>64.168099999999995</v>
      </c>
      <c r="I341" s="14">
        <f>64.166 * CHOOSE(CONTROL!$C$9, $D$9, 100%, $F$9) + CHOOSE(CONTROL!$C$27, 0.0021, 0)</f>
        <v>64.168099999999995</v>
      </c>
      <c r="J341" s="14">
        <f>64.166 * CHOOSE(CONTROL!$C$9, $D$9, 100%, $F$9) + CHOOSE(CONTROL!$C$27, 0.0021, 0)</f>
        <v>64.168099999999995</v>
      </c>
      <c r="K341" s="14">
        <f>64.166 * CHOOSE(CONTROL!$C$9, $D$9, 100%, $F$9) + CHOOSE(CONTROL!$C$27, 0.0021, 0)</f>
        <v>64.168099999999995</v>
      </c>
      <c r="L341" s="14"/>
    </row>
    <row r="342" spans="1:12" ht="15.75" x14ac:dyDescent="0.25">
      <c r="A342" s="33">
        <v>51348</v>
      </c>
      <c r="B342" s="14">
        <f>65.8491 * CHOOSE(CONTROL!$C$9, $D$9, 100%, $F$9) + CHOOSE(CONTROL!$C$27, 0.0021, 0)</f>
        <v>65.851200000000006</v>
      </c>
      <c r="C342" s="14">
        <f>65.4168 * CHOOSE(CONTROL!$C$9, $D$9, 100%, $F$9) + CHOOSE(CONTROL!$C$27, 0.0021, 0)</f>
        <v>65.418899999999994</v>
      </c>
      <c r="D342" s="14">
        <f>65.4168 * CHOOSE(CONTROL!$C$9, $D$9, 100%, $F$9) + CHOOSE(CONTROL!$C$27, 0.0021, 0)</f>
        <v>65.418899999999994</v>
      </c>
      <c r="E342" s="14">
        <f>65.2802 * CHOOSE(CONTROL!$C$9, $D$9, 100%, $F$9) + CHOOSE(CONTROL!$C$27, 0.0021, 0)</f>
        <v>65.282299999999992</v>
      </c>
      <c r="F342" s="14">
        <f>65.2802 * CHOOSE(CONTROL!$C$9, $D$9, 100%, $F$9) + CHOOSE(CONTROL!$C$27, 0.0021, 0)</f>
        <v>65.282299999999992</v>
      </c>
      <c r="G342" s="14">
        <f>65.5516 * CHOOSE(CONTROL!$C$9, $D$9, 100%, $F$9) + CHOOSE(CONTROL!$C$27, 0.0021, 0)</f>
        <v>65.553699999999992</v>
      </c>
      <c r="H342" s="14">
        <f>65.4168 * CHOOSE(CONTROL!$C$9, $D$9, 100%, $F$9) + CHOOSE(CONTROL!$C$27, 0.0021, 0)</f>
        <v>65.418899999999994</v>
      </c>
      <c r="I342" s="14">
        <f>65.4168 * CHOOSE(CONTROL!$C$9, $D$9, 100%, $F$9) + CHOOSE(CONTROL!$C$27, 0.0021, 0)</f>
        <v>65.418899999999994</v>
      </c>
      <c r="J342" s="14">
        <f>65.4168 * CHOOSE(CONTROL!$C$9, $D$9, 100%, $F$9) + CHOOSE(CONTROL!$C$27, 0.0021, 0)</f>
        <v>65.418899999999994</v>
      </c>
      <c r="K342" s="14">
        <f>65.4168 * CHOOSE(CONTROL!$C$9, $D$9, 100%, $F$9) + CHOOSE(CONTROL!$C$27, 0.0021, 0)</f>
        <v>65.418899999999994</v>
      </c>
      <c r="L342" s="14"/>
    </row>
    <row r="343" spans="1:12" ht="15.75" x14ac:dyDescent="0.25">
      <c r="A343" s="33">
        <v>51379</v>
      </c>
      <c r="B343" s="14">
        <f>66.2309 * CHOOSE(CONTROL!$C$9, $D$9, 100%, $F$9) + CHOOSE(CONTROL!$C$27, 0.0021, 0)</f>
        <v>66.233000000000004</v>
      </c>
      <c r="C343" s="14">
        <f>65.7986 * CHOOSE(CONTROL!$C$9, $D$9, 100%, $F$9) + CHOOSE(CONTROL!$C$27, 0.0021, 0)</f>
        <v>65.800699999999992</v>
      </c>
      <c r="D343" s="14">
        <f>65.7986 * CHOOSE(CONTROL!$C$9, $D$9, 100%, $F$9) + CHOOSE(CONTROL!$C$27, 0.0021, 0)</f>
        <v>65.800699999999992</v>
      </c>
      <c r="E343" s="14">
        <f>65.662 * CHOOSE(CONTROL!$C$9, $D$9, 100%, $F$9) + CHOOSE(CONTROL!$C$27, 0.0021, 0)</f>
        <v>65.664100000000005</v>
      </c>
      <c r="F343" s="14">
        <f>65.662 * CHOOSE(CONTROL!$C$9, $D$9, 100%, $F$9) + CHOOSE(CONTROL!$C$27, 0.0021, 0)</f>
        <v>65.664100000000005</v>
      </c>
      <c r="G343" s="14">
        <f>65.9334 * CHOOSE(CONTROL!$C$9, $D$9, 100%, $F$9) + CHOOSE(CONTROL!$C$27, 0.0021, 0)</f>
        <v>65.935500000000005</v>
      </c>
      <c r="H343" s="14">
        <f>65.7986 * CHOOSE(CONTROL!$C$9, $D$9, 100%, $F$9) + CHOOSE(CONTROL!$C$27, 0.0021, 0)</f>
        <v>65.800699999999992</v>
      </c>
      <c r="I343" s="14">
        <f>65.7986 * CHOOSE(CONTROL!$C$9, $D$9, 100%, $F$9) + CHOOSE(CONTROL!$C$27, 0.0021, 0)</f>
        <v>65.800699999999992</v>
      </c>
      <c r="J343" s="14">
        <f>65.7986 * CHOOSE(CONTROL!$C$9, $D$9, 100%, $F$9) + CHOOSE(CONTROL!$C$27, 0.0021, 0)</f>
        <v>65.800699999999992</v>
      </c>
      <c r="K343" s="14">
        <f>65.7986 * CHOOSE(CONTROL!$C$9, $D$9, 100%, $F$9) + CHOOSE(CONTROL!$C$27, 0.0021, 0)</f>
        <v>65.800699999999992</v>
      </c>
      <c r="L343" s="14"/>
    </row>
    <row r="344" spans="1:12" ht="15.75" x14ac:dyDescent="0.25">
      <c r="A344" s="33">
        <v>51409</v>
      </c>
      <c r="B344" s="14">
        <f>67.5311 * CHOOSE(CONTROL!$C$9, $D$9, 100%, $F$9) + CHOOSE(CONTROL!$C$27, 0.0021, 0)</f>
        <v>67.533199999999994</v>
      </c>
      <c r="C344" s="14">
        <f>67.0988 * CHOOSE(CONTROL!$C$9, $D$9, 100%, $F$9) + CHOOSE(CONTROL!$C$27, 0.0021, 0)</f>
        <v>67.100899999999996</v>
      </c>
      <c r="D344" s="14">
        <f>67.0988 * CHOOSE(CONTROL!$C$9, $D$9, 100%, $F$9) + CHOOSE(CONTROL!$C$27, 0.0021, 0)</f>
        <v>67.100899999999996</v>
      </c>
      <c r="E344" s="14">
        <f>66.9622 * CHOOSE(CONTROL!$C$9, $D$9, 100%, $F$9) + CHOOSE(CONTROL!$C$27, 0.0021, 0)</f>
        <v>66.964299999999994</v>
      </c>
      <c r="F344" s="14">
        <f>66.9622 * CHOOSE(CONTROL!$C$9, $D$9, 100%, $F$9) + CHOOSE(CONTROL!$C$27, 0.0021, 0)</f>
        <v>66.964299999999994</v>
      </c>
      <c r="G344" s="14">
        <f>67.2335 * CHOOSE(CONTROL!$C$9, $D$9, 100%, $F$9) + CHOOSE(CONTROL!$C$27, 0.0021, 0)</f>
        <v>67.235600000000005</v>
      </c>
      <c r="H344" s="14">
        <f>67.0988 * CHOOSE(CONTROL!$C$9, $D$9, 100%, $F$9) + CHOOSE(CONTROL!$C$27, 0.0021, 0)</f>
        <v>67.100899999999996</v>
      </c>
      <c r="I344" s="14">
        <f>67.0988 * CHOOSE(CONTROL!$C$9, $D$9, 100%, $F$9) + CHOOSE(CONTROL!$C$27, 0.0021, 0)</f>
        <v>67.100899999999996</v>
      </c>
      <c r="J344" s="14">
        <f>67.0988 * CHOOSE(CONTROL!$C$9, $D$9, 100%, $F$9) + CHOOSE(CONTROL!$C$27, 0.0021, 0)</f>
        <v>67.100899999999996</v>
      </c>
      <c r="K344" s="14">
        <f>67.0988 * CHOOSE(CONTROL!$C$9, $D$9, 100%, $F$9) + CHOOSE(CONTROL!$C$27, 0.0021, 0)</f>
        <v>67.100899999999996</v>
      </c>
      <c r="L344" s="14"/>
    </row>
    <row r="345" spans="1:12" ht="15.75" x14ac:dyDescent="0.25">
      <c r="A345" s="33">
        <v>51440</v>
      </c>
      <c r="B345" s="14">
        <f>69.1769 * CHOOSE(CONTROL!$C$9, $D$9, 100%, $F$9) + CHOOSE(CONTROL!$C$27, 0.0021, 0)</f>
        <v>69.179000000000002</v>
      </c>
      <c r="C345" s="14">
        <f>68.7446 * CHOOSE(CONTROL!$C$9, $D$9, 100%, $F$9) + CHOOSE(CONTROL!$C$27, 0.0021, 0)</f>
        <v>68.746700000000004</v>
      </c>
      <c r="D345" s="14">
        <f>68.7446 * CHOOSE(CONTROL!$C$9, $D$9, 100%, $F$9) + CHOOSE(CONTROL!$C$27, 0.0021, 0)</f>
        <v>68.746700000000004</v>
      </c>
      <c r="E345" s="14">
        <f>68.608 * CHOOSE(CONTROL!$C$9, $D$9, 100%, $F$9) + CHOOSE(CONTROL!$C$27, 0.0021, 0)</f>
        <v>68.610100000000003</v>
      </c>
      <c r="F345" s="14">
        <f>68.608 * CHOOSE(CONTROL!$C$9, $D$9, 100%, $F$9) + CHOOSE(CONTROL!$C$27, 0.0021, 0)</f>
        <v>68.610100000000003</v>
      </c>
      <c r="G345" s="14">
        <f>68.8794 * CHOOSE(CONTROL!$C$9, $D$9, 100%, $F$9) + CHOOSE(CONTROL!$C$27, 0.0021, 0)</f>
        <v>68.881500000000003</v>
      </c>
      <c r="H345" s="14">
        <f>68.7446 * CHOOSE(CONTROL!$C$9, $D$9, 100%, $F$9) + CHOOSE(CONTROL!$C$27, 0.0021, 0)</f>
        <v>68.746700000000004</v>
      </c>
      <c r="I345" s="14">
        <f>68.7446 * CHOOSE(CONTROL!$C$9, $D$9, 100%, $F$9) + CHOOSE(CONTROL!$C$27, 0.0021, 0)</f>
        <v>68.746700000000004</v>
      </c>
      <c r="J345" s="14">
        <f>68.7446 * CHOOSE(CONTROL!$C$9, $D$9, 100%, $F$9) + CHOOSE(CONTROL!$C$27, 0.0021, 0)</f>
        <v>68.746700000000004</v>
      </c>
      <c r="K345" s="14">
        <f>68.7446 * CHOOSE(CONTROL!$C$9, $D$9, 100%, $F$9) + CHOOSE(CONTROL!$C$27, 0.0021, 0)</f>
        <v>68.746700000000004</v>
      </c>
      <c r="L345" s="14"/>
    </row>
    <row r="346" spans="1:12" ht="15.75" x14ac:dyDescent="0.25">
      <c r="A346" s="33">
        <v>51470</v>
      </c>
      <c r="B346" s="14">
        <f>69.3314 * CHOOSE(CONTROL!$C$9, $D$9, 100%, $F$9) + CHOOSE(CONTROL!$C$27, 0.0021, 0)</f>
        <v>69.333500000000001</v>
      </c>
      <c r="C346" s="14">
        <f>68.8991 * CHOOSE(CONTROL!$C$9, $D$9, 100%, $F$9) + CHOOSE(CONTROL!$C$27, 0.0021, 0)</f>
        <v>68.901200000000003</v>
      </c>
      <c r="D346" s="14">
        <f>68.8991 * CHOOSE(CONTROL!$C$9, $D$9, 100%, $F$9) + CHOOSE(CONTROL!$C$27, 0.0021, 0)</f>
        <v>68.901200000000003</v>
      </c>
      <c r="E346" s="14">
        <f>68.7625 * CHOOSE(CONTROL!$C$9, $D$9, 100%, $F$9) + CHOOSE(CONTROL!$C$27, 0.0021, 0)</f>
        <v>68.764600000000002</v>
      </c>
      <c r="F346" s="14">
        <f>68.7625 * CHOOSE(CONTROL!$C$9, $D$9, 100%, $F$9) + CHOOSE(CONTROL!$C$27, 0.0021, 0)</f>
        <v>68.764600000000002</v>
      </c>
      <c r="G346" s="14">
        <f>69.0339 * CHOOSE(CONTROL!$C$9, $D$9, 100%, $F$9) + CHOOSE(CONTROL!$C$27, 0.0021, 0)</f>
        <v>69.036000000000001</v>
      </c>
      <c r="H346" s="14">
        <f>68.8991 * CHOOSE(CONTROL!$C$9, $D$9, 100%, $F$9) + CHOOSE(CONTROL!$C$27, 0.0021, 0)</f>
        <v>68.901200000000003</v>
      </c>
      <c r="I346" s="14">
        <f>68.8991 * CHOOSE(CONTROL!$C$9, $D$9, 100%, $F$9) + CHOOSE(CONTROL!$C$27, 0.0021, 0)</f>
        <v>68.901200000000003</v>
      </c>
      <c r="J346" s="14">
        <f>68.8991 * CHOOSE(CONTROL!$C$9, $D$9, 100%, $F$9) + CHOOSE(CONTROL!$C$27, 0.0021, 0)</f>
        <v>68.901200000000003</v>
      </c>
      <c r="K346" s="14">
        <f>68.8991 * CHOOSE(CONTROL!$C$9, $D$9, 100%, $F$9) + CHOOSE(CONTROL!$C$27, 0.0021, 0)</f>
        <v>68.901200000000003</v>
      </c>
      <c r="L346" s="14"/>
    </row>
    <row r="347" spans="1:12" ht="15.75" x14ac:dyDescent="0.25">
      <c r="A347" s="33">
        <v>51501</v>
      </c>
      <c r="B347" s="14">
        <f>68.0169 * CHOOSE(CONTROL!$C$9, $D$9, 100%, $F$9) + CHOOSE(CONTROL!$C$27, 0.0021, 0)</f>
        <v>68.019000000000005</v>
      </c>
      <c r="C347" s="14">
        <f>67.5847 * CHOOSE(CONTROL!$C$9, $D$9, 100%, $F$9) + CHOOSE(CONTROL!$C$27, 0.0021, 0)</f>
        <v>67.586799999999997</v>
      </c>
      <c r="D347" s="14">
        <f>67.5847 * CHOOSE(CONTROL!$C$9, $D$9, 100%, $F$9) + CHOOSE(CONTROL!$C$27, 0.0021, 0)</f>
        <v>67.586799999999997</v>
      </c>
      <c r="E347" s="14">
        <f>67.448 * CHOOSE(CONTROL!$C$9, $D$9, 100%, $F$9) + CHOOSE(CONTROL!$C$27, 0.0021, 0)</f>
        <v>67.450099999999992</v>
      </c>
      <c r="F347" s="14">
        <f>67.448 * CHOOSE(CONTROL!$C$9, $D$9, 100%, $F$9) + CHOOSE(CONTROL!$C$27, 0.0021, 0)</f>
        <v>67.450099999999992</v>
      </c>
      <c r="G347" s="14">
        <f>67.7194 * CHOOSE(CONTROL!$C$9, $D$9, 100%, $F$9) + CHOOSE(CONTROL!$C$27, 0.0021, 0)</f>
        <v>67.721499999999992</v>
      </c>
      <c r="H347" s="14">
        <f>67.5847 * CHOOSE(CONTROL!$C$9, $D$9, 100%, $F$9) + CHOOSE(CONTROL!$C$27, 0.0021, 0)</f>
        <v>67.586799999999997</v>
      </c>
      <c r="I347" s="14">
        <f>67.5847 * CHOOSE(CONTROL!$C$9, $D$9, 100%, $F$9) + CHOOSE(CONTROL!$C$27, 0.0021, 0)</f>
        <v>67.586799999999997</v>
      </c>
      <c r="J347" s="14">
        <f>67.5847 * CHOOSE(CONTROL!$C$9, $D$9, 100%, $F$9) + CHOOSE(CONTROL!$C$27, 0.0021, 0)</f>
        <v>67.586799999999997</v>
      </c>
      <c r="K347" s="14">
        <f>67.5847 * CHOOSE(CONTROL!$C$9, $D$9, 100%, $F$9) + CHOOSE(CONTROL!$C$27, 0.0021, 0)</f>
        <v>67.586799999999997</v>
      </c>
      <c r="L347" s="14"/>
    </row>
    <row r="348" spans="1:12" ht="15.75" x14ac:dyDescent="0.25">
      <c r="A348" s="33">
        <v>51532</v>
      </c>
      <c r="B348" s="14">
        <f>67.1861 * CHOOSE(CONTROL!$C$9, $D$9, 100%, $F$9) + CHOOSE(CONTROL!$C$27, 0.0021, 0)</f>
        <v>67.188199999999995</v>
      </c>
      <c r="C348" s="14">
        <f>66.7539 * CHOOSE(CONTROL!$C$9, $D$9, 100%, $F$9) + CHOOSE(CONTROL!$C$27, 0.0021, 0)</f>
        <v>66.756</v>
      </c>
      <c r="D348" s="14">
        <f>66.7539 * CHOOSE(CONTROL!$C$9, $D$9, 100%, $F$9) + CHOOSE(CONTROL!$C$27, 0.0021, 0)</f>
        <v>66.756</v>
      </c>
      <c r="E348" s="14">
        <f>66.6172 * CHOOSE(CONTROL!$C$9, $D$9, 100%, $F$9) + CHOOSE(CONTROL!$C$27, 0.0021, 0)</f>
        <v>66.619299999999996</v>
      </c>
      <c r="F348" s="14">
        <f>66.6172 * CHOOSE(CONTROL!$C$9, $D$9, 100%, $F$9) + CHOOSE(CONTROL!$C$27, 0.0021, 0)</f>
        <v>66.619299999999996</v>
      </c>
      <c r="G348" s="14">
        <f>66.8886 * CHOOSE(CONTROL!$C$9, $D$9, 100%, $F$9) + CHOOSE(CONTROL!$C$27, 0.0021, 0)</f>
        <v>66.890699999999995</v>
      </c>
      <c r="H348" s="14">
        <f>66.7539 * CHOOSE(CONTROL!$C$9, $D$9, 100%, $F$9) + CHOOSE(CONTROL!$C$27, 0.0021, 0)</f>
        <v>66.756</v>
      </c>
      <c r="I348" s="14">
        <f>66.7539 * CHOOSE(CONTROL!$C$9, $D$9, 100%, $F$9) + CHOOSE(CONTROL!$C$27, 0.0021, 0)</f>
        <v>66.756</v>
      </c>
      <c r="J348" s="14">
        <f>66.7539 * CHOOSE(CONTROL!$C$9, $D$9, 100%, $F$9) + CHOOSE(CONTROL!$C$27, 0.0021, 0)</f>
        <v>66.756</v>
      </c>
      <c r="K348" s="14">
        <f>66.7539 * CHOOSE(CONTROL!$C$9, $D$9, 100%, $F$9) + CHOOSE(CONTROL!$C$27, 0.0021, 0)</f>
        <v>66.756</v>
      </c>
      <c r="L348" s="14"/>
    </row>
    <row r="349" spans="1:12" ht="15.75" x14ac:dyDescent="0.25">
      <c r="A349" s="33">
        <v>51560</v>
      </c>
      <c r="B349" s="14">
        <f>65.3506 * CHOOSE(CONTROL!$C$9, $D$9, 100%, $F$9) + CHOOSE(CONTROL!$C$27, 0.0021, 0)</f>
        <v>65.352699999999999</v>
      </c>
      <c r="C349" s="14">
        <f>64.9183 * CHOOSE(CONTROL!$C$9, $D$9, 100%, $F$9) + CHOOSE(CONTROL!$C$27, 0.0021, 0)</f>
        <v>64.920400000000001</v>
      </c>
      <c r="D349" s="14">
        <f>64.9183 * CHOOSE(CONTROL!$C$9, $D$9, 100%, $F$9) + CHOOSE(CONTROL!$C$27, 0.0021, 0)</f>
        <v>64.920400000000001</v>
      </c>
      <c r="E349" s="14">
        <f>64.7816 * CHOOSE(CONTROL!$C$9, $D$9, 100%, $F$9) + CHOOSE(CONTROL!$C$27, 0.0021, 0)</f>
        <v>64.783699999999996</v>
      </c>
      <c r="F349" s="14">
        <f>64.7816 * CHOOSE(CONTROL!$C$9, $D$9, 100%, $F$9) + CHOOSE(CONTROL!$C$27, 0.0021, 0)</f>
        <v>64.783699999999996</v>
      </c>
      <c r="G349" s="14">
        <f>65.053 * CHOOSE(CONTROL!$C$9, $D$9, 100%, $F$9) + CHOOSE(CONTROL!$C$27, 0.0021, 0)</f>
        <v>65.055099999999996</v>
      </c>
      <c r="H349" s="14">
        <f>64.9183 * CHOOSE(CONTROL!$C$9, $D$9, 100%, $F$9) + CHOOSE(CONTROL!$C$27, 0.0021, 0)</f>
        <v>64.920400000000001</v>
      </c>
      <c r="I349" s="14">
        <f>64.9183 * CHOOSE(CONTROL!$C$9, $D$9, 100%, $F$9) + CHOOSE(CONTROL!$C$27, 0.0021, 0)</f>
        <v>64.920400000000001</v>
      </c>
      <c r="J349" s="14">
        <f>64.9183 * CHOOSE(CONTROL!$C$9, $D$9, 100%, $F$9) + CHOOSE(CONTROL!$C$27, 0.0021, 0)</f>
        <v>64.920400000000001</v>
      </c>
      <c r="K349" s="14">
        <f>64.9183 * CHOOSE(CONTROL!$C$9, $D$9, 100%, $F$9) + CHOOSE(CONTROL!$C$27, 0.0021, 0)</f>
        <v>64.920400000000001</v>
      </c>
      <c r="L349" s="14"/>
    </row>
    <row r="350" spans="1:12" ht="15.75" x14ac:dyDescent="0.25">
      <c r="A350" s="33">
        <v>51591</v>
      </c>
      <c r="B350" s="14">
        <f>64.5928 * CHOOSE(CONTROL!$C$9, $D$9, 100%, $F$9) + CHOOSE(CONTROL!$C$27, 0.0021, 0)</f>
        <v>64.594899999999996</v>
      </c>
      <c r="C350" s="14">
        <f>64.1606 * CHOOSE(CONTROL!$C$9, $D$9, 100%, $F$9) + CHOOSE(CONTROL!$C$27, 0.0021, 0)</f>
        <v>64.162700000000001</v>
      </c>
      <c r="D350" s="14">
        <f>64.1606 * CHOOSE(CONTROL!$C$9, $D$9, 100%, $F$9) + CHOOSE(CONTROL!$C$27, 0.0021, 0)</f>
        <v>64.162700000000001</v>
      </c>
      <c r="E350" s="14">
        <f>64.0239 * CHOOSE(CONTROL!$C$9, $D$9, 100%, $F$9) + CHOOSE(CONTROL!$C$27, 0.0021, 0)</f>
        <v>64.025999999999996</v>
      </c>
      <c r="F350" s="14">
        <f>64.0239 * CHOOSE(CONTROL!$C$9, $D$9, 100%, $F$9) + CHOOSE(CONTROL!$C$27, 0.0021, 0)</f>
        <v>64.025999999999996</v>
      </c>
      <c r="G350" s="14">
        <f>64.2953 * CHOOSE(CONTROL!$C$9, $D$9, 100%, $F$9) + CHOOSE(CONTROL!$C$27, 0.0021, 0)</f>
        <v>64.297399999999996</v>
      </c>
      <c r="H350" s="14">
        <f>64.1606 * CHOOSE(CONTROL!$C$9, $D$9, 100%, $F$9) + CHOOSE(CONTROL!$C$27, 0.0021, 0)</f>
        <v>64.162700000000001</v>
      </c>
      <c r="I350" s="14">
        <f>64.1606 * CHOOSE(CONTROL!$C$9, $D$9, 100%, $F$9) + CHOOSE(CONTROL!$C$27, 0.0021, 0)</f>
        <v>64.162700000000001</v>
      </c>
      <c r="J350" s="14">
        <f>64.1606 * CHOOSE(CONTROL!$C$9, $D$9, 100%, $F$9) + CHOOSE(CONTROL!$C$27, 0.0021, 0)</f>
        <v>64.162700000000001</v>
      </c>
      <c r="K350" s="14">
        <f>64.1606 * CHOOSE(CONTROL!$C$9, $D$9, 100%, $F$9) + CHOOSE(CONTROL!$C$27, 0.0021, 0)</f>
        <v>64.162700000000001</v>
      </c>
      <c r="L350" s="14"/>
    </row>
    <row r="351" spans="1:12" ht="15.75" x14ac:dyDescent="0.25">
      <c r="A351" s="33">
        <v>51621</v>
      </c>
      <c r="B351" s="14">
        <f>63.6881 * CHOOSE(CONTROL!$C$9, $D$9, 100%, $F$9) + CHOOSE(CONTROL!$C$27, 0.0021, 0)</f>
        <v>63.690199999999997</v>
      </c>
      <c r="C351" s="14">
        <f>63.2559 * CHOOSE(CONTROL!$C$9, $D$9, 100%, $F$9) + CHOOSE(CONTROL!$C$27, 0.0021, 0)</f>
        <v>63.257999999999996</v>
      </c>
      <c r="D351" s="14">
        <f>63.2559 * CHOOSE(CONTROL!$C$9, $D$9, 100%, $F$9) + CHOOSE(CONTROL!$C$27, 0.0021, 0)</f>
        <v>63.257999999999996</v>
      </c>
      <c r="E351" s="14">
        <f>63.1192 * CHOOSE(CONTROL!$C$9, $D$9, 100%, $F$9) + CHOOSE(CONTROL!$C$27, 0.0021, 0)</f>
        <v>63.121299999999998</v>
      </c>
      <c r="F351" s="14">
        <f>63.1192 * CHOOSE(CONTROL!$C$9, $D$9, 100%, $F$9) + CHOOSE(CONTROL!$C$27, 0.0021, 0)</f>
        <v>63.121299999999998</v>
      </c>
      <c r="G351" s="14">
        <f>63.3906 * CHOOSE(CONTROL!$C$9, $D$9, 100%, $F$9) + CHOOSE(CONTROL!$C$27, 0.0021, 0)</f>
        <v>63.392699999999998</v>
      </c>
      <c r="H351" s="14">
        <f>63.2559 * CHOOSE(CONTROL!$C$9, $D$9, 100%, $F$9) + CHOOSE(CONTROL!$C$27, 0.0021, 0)</f>
        <v>63.257999999999996</v>
      </c>
      <c r="I351" s="14">
        <f>63.2559 * CHOOSE(CONTROL!$C$9, $D$9, 100%, $F$9) + CHOOSE(CONTROL!$C$27, 0.0021, 0)</f>
        <v>63.257999999999996</v>
      </c>
      <c r="J351" s="14">
        <f>63.2559 * CHOOSE(CONTROL!$C$9, $D$9, 100%, $F$9) + CHOOSE(CONTROL!$C$27, 0.0021, 0)</f>
        <v>63.257999999999996</v>
      </c>
      <c r="K351" s="14">
        <f>63.2559 * CHOOSE(CONTROL!$C$9, $D$9, 100%, $F$9) + CHOOSE(CONTROL!$C$27, 0.0021, 0)</f>
        <v>63.257999999999996</v>
      </c>
      <c r="L351" s="14"/>
    </row>
    <row r="352" spans="1:12" ht="15.75" x14ac:dyDescent="0.25">
      <c r="A352" s="33">
        <v>51652</v>
      </c>
      <c r="B352" s="14">
        <f>64.9775 * CHOOSE(CONTROL!$C$9, $D$9, 100%, $F$9) + CHOOSE(CONTROL!$C$27, 0.0021, 0)</f>
        <v>64.979600000000005</v>
      </c>
      <c r="C352" s="14">
        <f>64.5452 * CHOOSE(CONTROL!$C$9, $D$9, 100%, $F$9) + CHOOSE(CONTROL!$C$27, 0.0021, 0)</f>
        <v>64.547299999999993</v>
      </c>
      <c r="D352" s="14">
        <f>64.5452 * CHOOSE(CONTROL!$C$9, $D$9, 100%, $F$9) + CHOOSE(CONTROL!$C$27, 0.0021, 0)</f>
        <v>64.547299999999993</v>
      </c>
      <c r="E352" s="14">
        <f>64.4086 * CHOOSE(CONTROL!$C$9, $D$9, 100%, $F$9) + CHOOSE(CONTROL!$C$27, 0.0021, 0)</f>
        <v>64.410700000000006</v>
      </c>
      <c r="F352" s="14">
        <f>64.4086 * CHOOSE(CONTROL!$C$9, $D$9, 100%, $F$9) + CHOOSE(CONTROL!$C$27, 0.0021, 0)</f>
        <v>64.410700000000006</v>
      </c>
      <c r="G352" s="14">
        <f>64.6799 * CHOOSE(CONTROL!$C$9, $D$9, 100%, $F$9) + CHOOSE(CONTROL!$C$27, 0.0021, 0)</f>
        <v>64.682000000000002</v>
      </c>
      <c r="H352" s="14">
        <f>64.5452 * CHOOSE(CONTROL!$C$9, $D$9, 100%, $F$9) + CHOOSE(CONTROL!$C$27, 0.0021, 0)</f>
        <v>64.547299999999993</v>
      </c>
      <c r="I352" s="14">
        <f>64.5452 * CHOOSE(CONTROL!$C$9, $D$9, 100%, $F$9) + CHOOSE(CONTROL!$C$27, 0.0021, 0)</f>
        <v>64.547299999999993</v>
      </c>
      <c r="J352" s="14">
        <f>64.5452 * CHOOSE(CONTROL!$C$9, $D$9, 100%, $F$9) + CHOOSE(CONTROL!$C$27, 0.0021, 0)</f>
        <v>64.547299999999993</v>
      </c>
      <c r="K352" s="14">
        <f>64.5452 * CHOOSE(CONTROL!$C$9, $D$9, 100%, $F$9) + CHOOSE(CONTROL!$C$27, 0.0021, 0)</f>
        <v>64.547299999999993</v>
      </c>
      <c r="L352" s="14"/>
    </row>
    <row r="353" spans="1:12" ht="15.75" x14ac:dyDescent="0.25">
      <c r="A353" s="33">
        <v>51682</v>
      </c>
      <c r="B353" s="14">
        <f>65.7497 * CHOOSE(CONTROL!$C$9, $D$9, 100%, $F$9) + CHOOSE(CONTROL!$C$27, 0.0021, 0)</f>
        <v>65.751800000000003</v>
      </c>
      <c r="C353" s="14">
        <f>65.3175 * CHOOSE(CONTROL!$C$9, $D$9, 100%, $F$9) + CHOOSE(CONTROL!$C$27, 0.0021, 0)</f>
        <v>65.319599999999994</v>
      </c>
      <c r="D353" s="14">
        <f>65.3175 * CHOOSE(CONTROL!$C$9, $D$9, 100%, $F$9) + CHOOSE(CONTROL!$C$27, 0.0021, 0)</f>
        <v>65.319599999999994</v>
      </c>
      <c r="E353" s="14">
        <f>65.1808 * CHOOSE(CONTROL!$C$9, $D$9, 100%, $F$9) + CHOOSE(CONTROL!$C$27, 0.0021, 0)</f>
        <v>65.182900000000004</v>
      </c>
      <c r="F353" s="14">
        <f>65.1808 * CHOOSE(CONTROL!$C$9, $D$9, 100%, $F$9) + CHOOSE(CONTROL!$C$27, 0.0021, 0)</f>
        <v>65.182900000000004</v>
      </c>
      <c r="G353" s="14">
        <f>65.4522 * CHOOSE(CONTROL!$C$9, $D$9, 100%, $F$9) + CHOOSE(CONTROL!$C$27, 0.0021, 0)</f>
        <v>65.454300000000003</v>
      </c>
      <c r="H353" s="14">
        <f>65.3175 * CHOOSE(CONTROL!$C$9, $D$9, 100%, $F$9) + CHOOSE(CONTROL!$C$27, 0.0021, 0)</f>
        <v>65.319599999999994</v>
      </c>
      <c r="I353" s="14">
        <f>65.3175 * CHOOSE(CONTROL!$C$9, $D$9, 100%, $F$9) + CHOOSE(CONTROL!$C$27, 0.0021, 0)</f>
        <v>65.319599999999994</v>
      </c>
      <c r="J353" s="14">
        <f>65.3175 * CHOOSE(CONTROL!$C$9, $D$9, 100%, $F$9) + CHOOSE(CONTROL!$C$27, 0.0021, 0)</f>
        <v>65.319599999999994</v>
      </c>
      <c r="K353" s="14">
        <f>65.3175 * CHOOSE(CONTROL!$C$9, $D$9, 100%, $F$9) + CHOOSE(CONTROL!$C$27, 0.0021, 0)</f>
        <v>65.319599999999994</v>
      </c>
      <c r="L353" s="14"/>
    </row>
    <row r="354" spans="1:12" ht="15.75" x14ac:dyDescent="0.25">
      <c r="A354" s="33">
        <v>51713</v>
      </c>
      <c r="B354" s="14">
        <f>67.0237 * CHOOSE(CONTROL!$C$9, $D$9, 100%, $F$9) + CHOOSE(CONTROL!$C$27, 0.0021, 0)</f>
        <v>67.025800000000004</v>
      </c>
      <c r="C354" s="14">
        <f>66.5914 * CHOOSE(CONTROL!$C$9, $D$9, 100%, $F$9) + CHOOSE(CONTROL!$C$27, 0.0021, 0)</f>
        <v>66.593499999999992</v>
      </c>
      <c r="D354" s="14">
        <f>66.5914 * CHOOSE(CONTROL!$C$9, $D$9, 100%, $F$9) + CHOOSE(CONTROL!$C$27, 0.0021, 0)</f>
        <v>66.593499999999992</v>
      </c>
      <c r="E354" s="14">
        <f>66.4548 * CHOOSE(CONTROL!$C$9, $D$9, 100%, $F$9) + CHOOSE(CONTROL!$C$27, 0.0021, 0)</f>
        <v>66.456900000000005</v>
      </c>
      <c r="F354" s="14">
        <f>66.4548 * CHOOSE(CONTROL!$C$9, $D$9, 100%, $F$9) + CHOOSE(CONTROL!$C$27, 0.0021, 0)</f>
        <v>66.456900000000005</v>
      </c>
      <c r="G354" s="14">
        <f>66.7261 * CHOOSE(CONTROL!$C$9, $D$9, 100%, $F$9) + CHOOSE(CONTROL!$C$27, 0.0021, 0)</f>
        <v>66.728200000000001</v>
      </c>
      <c r="H354" s="14">
        <f>66.5914 * CHOOSE(CONTROL!$C$9, $D$9, 100%, $F$9) + CHOOSE(CONTROL!$C$27, 0.0021, 0)</f>
        <v>66.593499999999992</v>
      </c>
      <c r="I354" s="14">
        <f>66.5914 * CHOOSE(CONTROL!$C$9, $D$9, 100%, $F$9) + CHOOSE(CONTROL!$C$27, 0.0021, 0)</f>
        <v>66.593499999999992</v>
      </c>
      <c r="J354" s="14">
        <f>66.5914 * CHOOSE(CONTROL!$C$9, $D$9, 100%, $F$9) + CHOOSE(CONTROL!$C$27, 0.0021, 0)</f>
        <v>66.593499999999992</v>
      </c>
      <c r="K354" s="14">
        <f>66.5914 * CHOOSE(CONTROL!$C$9, $D$9, 100%, $F$9) + CHOOSE(CONTROL!$C$27, 0.0021, 0)</f>
        <v>66.593499999999992</v>
      </c>
      <c r="L354" s="14"/>
    </row>
    <row r="355" spans="1:12" ht="15.75" x14ac:dyDescent="0.25">
      <c r="A355" s="33">
        <v>51744</v>
      </c>
      <c r="B355" s="14">
        <f>67.4125 * CHOOSE(CONTROL!$C$9, $D$9, 100%, $F$9) + CHOOSE(CONTROL!$C$27, 0.0021, 0)</f>
        <v>67.414599999999993</v>
      </c>
      <c r="C355" s="14">
        <f>66.9803 * CHOOSE(CONTROL!$C$9, $D$9, 100%, $F$9) + CHOOSE(CONTROL!$C$27, 0.0021, 0)</f>
        <v>66.982399999999998</v>
      </c>
      <c r="D355" s="14">
        <f>66.9803 * CHOOSE(CONTROL!$C$9, $D$9, 100%, $F$9) + CHOOSE(CONTROL!$C$27, 0.0021, 0)</f>
        <v>66.982399999999998</v>
      </c>
      <c r="E355" s="14">
        <f>66.8436 * CHOOSE(CONTROL!$C$9, $D$9, 100%, $F$9) + CHOOSE(CONTROL!$C$27, 0.0021, 0)</f>
        <v>66.845699999999994</v>
      </c>
      <c r="F355" s="14">
        <f>66.8436 * CHOOSE(CONTROL!$C$9, $D$9, 100%, $F$9) + CHOOSE(CONTROL!$C$27, 0.0021, 0)</f>
        <v>66.845699999999994</v>
      </c>
      <c r="G355" s="14">
        <f>67.115 * CHOOSE(CONTROL!$C$9, $D$9, 100%, $F$9) + CHOOSE(CONTROL!$C$27, 0.0021, 0)</f>
        <v>67.117099999999994</v>
      </c>
      <c r="H355" s="14">
        <f>66.9803 * CHOOSE(CONTROL!$C$9, $D$9, 100%, $F$9) + CHOOSE(CONTROL!$C$27, 0.0021, 0)</f>
        <v>66.982399999999998</v>
      </c>
      <c r="I355" s="14">
        <f>66.9803 * CHOOSE(CONTROL!$C$9, $D$9, 100%, $F$9) + CHOOSE(CONTROL!$C$27, 0.0021, 0)</f>
        <v>66.982399999999998</v>
      </c>
      <c r="J355" s="14">
        <f>66.9803 * CHOOSE(CONTROL!$C$9, $D$9, 100%, $F$9) + CHOOSE(CONTROL!$C$27, 0.0021, 0)</f>
        <v>66.982399999999998</v>
      </c>
      <c r="K355" s="14">
        <f>66.9803 * CHOOSE(CONTROL!$C$9, $D$9, 100%, $F$9) + CHOOSE(CONTROL!$C$27, 0.0021, 0)</f>
        <v>66.982399999999998</v>
      </c>
      <c r="L355" s="14"/>
    </row>
    <row r="356" spans="1:12" ht="15.75" x14ac:dyDescent="0.25">
      <c r="A356" s="33">
        <v>51774</v>
      </c>
      <c r="B356" s="14">
        <f>68.7367 * CHOOSE(CONTROL!$C$9, $D$9, 100%, $F$9) + CHOOSE(CONTROL!$C$27, 0.0021, 0)</f>
        <v>68.738799999999998</v>
      </c>
      <c r="C356" s="14">
        <f>68.3045 * CHOOSE(CONTROL!$C$9, $D$9, 100%, $F$9) + CHOOSE(CONTROL!$C$27, 0.0021, 0)</f>
        <v>68.306600000000003</v>
      </c>
      <c r="D356" s="14">
        <f>68.3045 * CHOOSE(CONTROL!$C$9, $D$9, 100%, $F$9) + CHOOSE(CONTROL!$C$27, 0.0021, 0)</f>
        <v>68.306600000000003</v>
      </c>
      <c r="E356" s="14">
        <f>68.1678 * CHOOSE(CONTROL!$C$9, $D$9, 100%, $F$9) + CHOOSE(CONTROL!$C$27, 0.0021, 0)</f>
        <v>68.169899999999998</v>
      </c>
      <c r="F356" s="14">
        <f>68.1678 * CHOOSE(CONTROL!$C$9, $D$9, 100%, $F$9) + CHOOSE(CONTROL!$C$27, 0.0021, 0)</f>
        <v>68.169899999999998</v>
      </c>
      <c r="G356" s="14">
        <f>68.4392 * CHOOSE(CONTROL!$C$9, $D$9, 100%, $F$9) + CHOOSE(CONTROL!$C$27, 0.0021, 0)</f>
        <v>68.441299999999998</v>
      </c>
      <c r="H356" s="14">
        <f>68.3045 * CHOOSE(CONTROL!$C$9, $D$9, 100%, $F$9) + CHOOSE(CONTROL!$C$27, 0.0021, 0)</f>
        <v>68.306600000000003</v>
      </c>
      <c r="I356" s="14">
        <f>68.3045 * CHOOSE(CONTROL!$C$9, $D$9, 100%, $F$9) + CHOOSE(CONTROL!$C$27, 0.0021, 0)</f>
        <v>68.306600000000003</v>
      </c>
      <c r="J356" s="14">
        <f>68.3045 * CHOOSE(CONTROL!$C$9, $D$9, 100%, $F$9) + CHOOSE(CONTROL!$C$27, 0.0021, 0)</f>
        <v>68.306600000000003</v>
      </c>
      <c r="K356" s="14">
        <f>68.3045 * CHOOSE(CONTROL!$C$9, $D$9, 100%, $F$9) + CHOOSE(CONTROL!$C$27, 0.0021, 0)</f>
        <v>68.306600000000003</v>
      </c>
      <c r="L356" s="14"/>
    </row>
    <row r="357" spans="1:12" ht="15.75" x14ac:dyDescent="0.25">
      <c r="A357" s="33">
        <v>51805</v>
      </c>
      <c r="B357" s="14">
        <f>70.413 * CHOOSE(CONTROL!$C$9, $D$9, 100%, $F$9) + CHOOSE(CONTROL!$C$27, 0.0021, 0)</f>
        <v>70.415099999999995</v>
      </c>
      <c r="C357" s="14">
        <f>69.9807 * CHOOSE(CONTROL!$C$9, $D$9, 100%, $F$9) + CHOOSE(CONTROL!$C$27, 0.0021, 0)</f>
        <v>69.982799999999997</v>
      </c>
      <c r="D357" s="14">
        <f>69.9807 * CHOOSE(CONTROL!$C$9, $D$9, 100%, $F$9) + CHOOSE(CONTROL!$C$27, 0.0021, 0)</f>
        <v>69.982799999999997</v>
      </c>
      <c r="E357" s="14">
        <f>69.8441 * CHOOSE(CONTROL!$C$9, $D$9, 100%, $F$9) + CHOOSE(CONTROL!$C$27, 0.0021, 0)</f>
        <v>69.846199999999996</v>
      </c>
      <c r="F357" s="14">
        <f>69.8441 * CHOOSE(CONTROL!$C$9, $D$9, 100%, $F$9) + CHOOSE(CONTROL!$C$27, 0.0021, 0)</f>
        <v>69.846199999999996</v>
      </c>
      <c r="G357" s="14">
        <f>70.1154 * CHOOSE(CONTROL!$C$9, $D$9, 100%, $F$9) + CHOOSE(CONTROL!$C$27, 0.0021, 0)</f>
        <v>70.117499999999993</v>
      </c>
      <c r="H357" s="14">
        <f>69.9807 * CHOOSE(CONTROL!$C$9, $D$9, 100%, $F$9) + CHOOSE(CONTROL!$C$27, 0.0021, 0)</f>
        <v>69.982799999999997</v>
      </c>
      <c r="I357" s="14">
        <f>69.9807 * CHOOSE(CONTROL!$C$9, $D$9, 100%, $F$9) + CHOOSE(CONTROL!$C$27, 0.0021, 0)</f>
        <v>69.982799999999997</v>
      </c>
      <c r="J357" s="14">
        <f>69.9807 * CHOOSE(CONTROL!$C$9, $D$9, 100%, $F$9) + CHOOSE(CONTROL!$C$27, 0.0021, 0)</f>
        <v>69.982799999999997</v>
      </c>
      <c r="K357" s="14">
        <f>69.9807 * CHOOSE(CONTROL!$C$9, $D$9, 100%, $F$9) + CHOOSE(CONTROL!$C$27, 0.0021, 0)</f>
        <v>69.982799999999997</v>
      </c>
      <c r="L357" s="14"/>
    </row>
    <row r="358" spans="1:12" ht="15.75" x14ac:dyDescent="0.25">
      <c r="A358" s="33">
        <v>51835</v>
      </c>
      <c r="B358" s="14">
        <f>70.5703 * CHOOSE(CONTROL!$C$9, $D$9, 100%, $F$9) + CHOOSE(CONTROL!$C$27, 0.0021, 0)</f>
        <v>70.572400000000002</v>
      </c>
      <c r="C358" s="14">
        <f>70.1381 * CHOOSE(CONTROL!$C$9, $D$9, 100%, $F$9) + CHOOSE(CONTROL!$C$27, 0.0021, 0)</f>
        <v>70.140199999999993</v>
      </c>
      <c r="D358" s="14">
        <f>70.1381 * CHOOSE(CONTROL!$C$9, $D$9, 100%, $F$9) + CHOOSE(CONTROL!$C$27, 0.0021, 0)</f>
        <v>70.140199999999993</v>
      </c>
      <c r="E358" s="14">
        <f>70.0014 * CHOOSE(CONTROL!$C$9, $D$9, 100%, $F$9) + CHOOSE(CONTROL!$C$27, 0.0021, 0)</f>
        <v>70.003500000000003</v>
      </c>
      <c r="F358" s="14">
        <f>70.0014 * CHOOSE(CONTROL!$C$9, $D$9, 100%, $F$9) + CHOOSE(CONTROL!$C$27, 0.0021, 0)</f>
        <v>70.003500000000003</v>
      </c>
      <c r="G358" s="14">
        <f>70.2728 * CHOOSE(CONTROL!$C$9, $D$9, 100%, $F$9) + CHOOSE(CONTROL!$C$27, 0.0021, 0)</f>
        <v>70.274900000000002</v>
      </c>
      <c r="H358" s="14">
        <f>70.1381 * CHOOSE(CONTROL!$C$9, $D$9, 100%, $F$9) + CHOOSE(CONTROL!$C$27, 0.0021, 0)</f>
        <v>70.140199999999993</v>
      </c>
      <c r="I358" s="14">
        <f>70.1381 * CHOOSE(CONTROL!$C$9, $D$9, 100%, $F$9) + CHOOSE(CONTROL!$C$27, 0.0021, 0)</f>
        <v>70.140199999999993</v>
      </c>
      <c r="J358" s="14">
        <f>70.1381 * CHOOSE(CONTROL!$C$9, $D$9, 100%, $F$9) + CHOOSE(CONTROL!$C$27, 0.0021, 0)</f>
        <v>70.140199999999993</v>
      </c>
      <c r="K358" s="14">
        <f>70.1381 * CHOOSE(CONTROL!$C$9, $D$9, 100%, $F$9) + CHOOSE(CONTROL!$C$27, 0.0021, 0)</f>
        <v>70.140199999999993</v>
      </c>
      <c r="L358" s="14"/>
    </row>
    <row r="359" spans="1:12" ht="15.75" x14ac:dyDescent="0.25">
      <c r="A359" s="33">
        <v>51866</v>
      </c>
      <c r="B359" s="14">
        <f>69.2316 * CHOOSE(CONTROL!$C$9, $D$9, 100%, $F$9) + CHOOSE(CONTROL!$C$27, 0.0021, 0)</f>
        <v>69.233699999999999</v>
      </c>
      <c r="C359" s="14">
        <f>68.7993 * CHOOSE(CONTROL!$C$9, $D$9, 100%, $F$9) + CHOOSE(CONTROL!$C$27, 0.0021, 0)</f>
        <v>68.801400000000001</v>
      </c>
      <c r="D359" s="14">
        <f>68.7993 * CHOOSE(CONTROL!$C$9, $D$9, 100%, $F$9) + CHOOSE(CONTROL!$C$27, 0.0021, 0)</f>
        <v>68.801400000000001</v>
      </c>
      <c r="E359" s="14">
        <f>68.6626 * CHOOSE(CONTROL!$C$9, $D$9, 100%, $F$9) + CHOOSE(CONTROL!$C$27, 0.0021, 0)</f>
        <v>68.664699999999996</v>
      </c>
      <c r="F359" s="14">
        <f>68.6626 * CHOOSE(CONTROL!$C$9, $D$9, 100%, $F$9) + CHOOSE(CONTROL!$C$27, 0.0021, 0)</f>
        <v>68.664699999999996</v>
      </c>
      <c r="G359" s="14">
        <f>68.934 * CHOOSE(CONTROL!$C$9, $D$9, 100%, $F$9) + CHOOSE(CONTROL!$C$27, 0.0021, 0)</f>
        <v>68.936099999999996</v>
      </c>
      <c r="H359" s="14">
        <f>68.7993 * CHOOSE(CONTROL!$C$9, $D$9, 100%, $F$9) + CHOOSE(CONTROL!$C$27, 0.0021, 0)</f>
        <v>68.801400000000001</v>
      </c>
      <c r="I359" s="14">
        <f>68.7993 * CHOOSE(CONTROL!$C$9, $D$9, 100%, $F$9) + CHOOSE(CONTROL!$C$27, 0.0021, 0)</f>
        <v>68.801400000000001</v>
      </c>
      <c r="J359" s="14">
        <f>68.7993 * CHOOSE(CONTROL!$C$9, $D$9, 100%, $F$9) + CHOOSE(CONTROL!$C$27, 0.0021, 0)</f>
        <v>68.801400000000001</v>
      </c>
      <c r="K359" s="14">
        <f>68.7993 * CHOOSE(CONTROL!$C$9, $D$9, 100%, $F$9) + CHOOSE(CONTROL!$C$27, 0.0021, 0)</f>
        <v>68.801400000000001</v>
      </c>
      <c r="L359" s="14"/>
    </row>
    <row r="360" spans="1:12" ht="15.75" x14ac:dyDescent="0.25">
      <c r="A360" s="33">
        <v>51897</v>
      </c>
      <c r="B360" s="14">
        <f>68.3854 * CHOOSE(CONTROL!$C$9, $D$9, 100%, $F$9) + CHOOSE(CONTROL!$C$27, 0.0021, 0)</f>
        <v>68.387500000000003</v>
      </c>
      <c r="C360" s="14">
        <f>67.9531 * CHOOSE(CONTROL!$C$9, $D$9, 100%, $F$9) + CHOOSE(CONTROL!$C$27, 0.0021, 0)</f>
        <v>67.955200000000005</v>
      </c>
      <c r="D360" s="14">
        <f>67.9531 * CHOOSE(CONTROL!$C$9, $D$9, 100%, $F$9) + CHOOSE(CONTROL!$C$27, 0.0021, 0)</f>
        <v>67.955200000000005</v>
      </c>
      <c r="E360" s="14">
        <f>67.8165 * CHOOSE(CONTROL!$C$9, $D$9, 100%, $F$9) + CHOOSE(CONTROL!$C$27, 0.0021, 0)</f>
        <v>67.818600000000004</v>
      </c>
      <c r="F360" s="14">
        <f>67.8165 * CHOOSE(CONTROL!$C$9, $D$9, 100%, $F$9) + CHOOSE(CONTROL!$C$27, 0.0021, 0)</f>
        <v>67.818600000000004</v>
      </c>
      <c r="G360" s="14">
        <f>68.0879 * CHOOSE(CONTROL!$C$9, $D$9, 100%, $F$9) + CHOOSE(CONTROL!$C$27, 0.0021, 0)</f>
        <v>68.09</v>
      </c>
      <c r="H360" s="14">
        <f>67.9531 * CHOOSE(CONTROL!$C$9, $D$9, 100%, $F$9) + CHOOSE(CONTROL!$C$27, 0.0021, 0)</f>
        <v>67.955200000000005</v>
      </c>
      <c r="I360" s="14">
        <f>67.9531 * CHOOSE(CONTROL!$C$9, $D$9, 100%, $F$9) + CHOOSE(CONTROL!$C$27, 0.0021, 0)</f>
        <v>67.955200000000005</v>
      </c>
      <c r="J360" s="14">
        <f>67.9531 * CHOOSE(CONTROL!$C$9, $D$9, 100%, $F$9) + CHOOSE(CONTROL!$C$27, 0.0021, 0)</f>
        <v>67.955200000000005</v>
      </c>
      <c r="K360" s="14">
        <f>67.9531 * CHOOSE(CONTROL!$C$9, $D$9, 100%, $F$9) + CHOOSE(CONTROL!$C$27, 0.0021, 0)</f>
        <v>67.955200000000005</v>
      </c>
      <c r="L360" s="14"/>
    </row>
    <row r="361" spans="1:12" ht="15.75" x14ac:dyDescent="0.25">
      <c r="A361" s="33">
        <v>51925</v>
      </c>
      <c r="B361" s="14">
        <f>66.5159 * CHOOSE(CONTROL!$C$9, $D$9, 100%, $F$9) + CHOOSE(CONTROL!$C$27, 0.0021, 0)</f>
        <v>66.518000000000001</v>
      </c>
      <c r="C361" s="14">
        <f>66.0837 * CHOOSE(CONTROL!$C$9, $D$9, 100%, $F$9) + CHOOSE(CONTROL!$C$27, 0.0021, 0)</f>
        <v>66.085799999999992</v>
      </c>
      <c r="D361" s="14">
        <f>66.0837 * CHOOSE(CONTROL!$C$9, $D$9, 100%, $F$9) + CHOOSE(CONTROL!$C$27, 0.0021, 0)</f>
        <v>66.085799999999992</v>
      </c>
      <c r="E361" s="14">
        <f>65.947 * CHOOSE(CONTROL!$C$9, $D$9, 100%, $F$9) + CHOOSE(CONTROL!$C$27, 0.0021, 0)</f>
        <v>65.949100000000001</v>
      </c>
      <c r="F361" s="14">
        <f>65.947 * CHOOSE(CONTROL!$C$9, $D$9, 100%, $F$9) + CHOOSE(CONTROL!$C$27, 0.0021, 0)</f>
        <v>65.949100000000001</v>
      </c>
      <c r="G361" s="14">
        <f>66.2184 * CHOOSE(CONTROL!$C$9, $D$9, 100%, $F$9) + CHOOSE(CONTROL!$C$27, 0.0021, 0)</f>
        <v>66.220500000000001</v>
      </c>
      <c r="H361" s="14">
        <f>66.0837 * CHOOSE(CONTROL!$C$9, $D$9, 100%, $F$9) + CHOOSE(CONTROL!$C$27, 0.0021, 0)</f>
        <v>66.085799999999992</v>
      </c>
      <c r="I361" s="14">
        <f>66.0837 * CHOOSE(CONTROL!$C$9, $D$9, 100%, $F$9) + CHOOSE(CONTROL!$C$27, 0.0021, 0)</f>
        <v>66.085799999999992</v>
      </c>
      <c r="J361" s="14">
        <f>66.0837 * CHOOSE(CONTROL!$C$9, $D$9, 100%, $F$9) + CHOOSE(CONTROL!$C$27, 0.0021, 0)</f>
        <v>66.085799999999992</v>
      </c>
      <c r="K361" s="14">
        <f>66.0837 * CHOOSE(CONTROL!$C$9, $D$9, 100%, $F$9) + CHOOSE(CONTROL!$C$27, 0.0021, 0)</f>
        <v>66.085799999999992</v>
      </c>
      <c r="L361" s="14"/>
    </row>
    <row r="362" spans="1:12" ht="15.75" x14ac:dyDescent="0.25">
      <c r="A362" s="33">
        <v>51956</v>
      </c>
      <c r="B362" s="14">
        <f>65.7442 * CHOOSE(CONTROL!$C$9, $D$9, 100%, $F$9) + CHOOSE(CONTROL!$C$27, 0.0021, 0)</f>
        <v>65.746300000000005</v>
      </c>
      <c r="C362" s="14">
        <f>65.312 * CHOOSE(CONTROL!$C$9, $D$9, 100%, $F$9) + CHOOSE(CONTROL!$C$27, 0.0021, 0)</f>
        <v>65.314099999999996</v>
      </c>
      <c r="D362" s="14">
        <f>65.312 * CHOOSE(CONTROL!$C$9, $D$9, 100%, $F$9) + CHOOSE(CONTROL!$C$27, 0.0021, 0)</f>
        <v>65.314099999999996</v>
      </c>
      <c r="E362" s="14">
        <f>65.1753 * CHOOSE(CONTROL!$C$9, $D$9, 100%, $F$9) + CHOOSE(CONTROL!$C$27, 0.0021, 0)</f>
        <v>65.177399999999992</v>
      </c>
      <c r="F362" s="14">
        <f>65.1753 * CHOOSE(CONTROL!$C$9, $D$9, 100%, $F$9) + CHOOSE(CONTROL!$C$27, 0.0021, 0)</f>
        <v>65.177399999999992</v>
      </c>
      <c r="G362" s="14">
        <f>65.4467 * CHOOSE(CONTROL!$C$9, $D$9, 100%, $F$9) + CHOOSE(CONTROL!$C$27, 0.0021, 0)</f>
        <v>65.448800000000006</v>
      </c>
      <c r="H362" s="14">
        <f>65.312 * CHOOSE(CONTROL!$C$9, $D$9, 100%, $F$9) + CHOOSE(CONTROL!$C$27, 0.0021, 0)</f>
        <v>65.314099999999996</v>
      </c>
      <c r="I362" s="14">
        <f>65.312 * CHOOSE(CONTROL!$C$9, $D$9, 100%, $F$9) + CHOOSE(CONTROL!$C$27, 0.0021, 0)</f>
        <v>65.314099999999996</v>
      </c>
      <c r="J362" s="14">
        <f>65.312 * CHOOSE(CONTROL!$C$9, $D$9, 100%, $F$9) + CHOOSE(CONTROL!$C$27, 0.0021, 0)</f>
        <v>65.314099999999996</v>
      </c>
      <c r="K362" s="14">
        <f>65.312 * CHOOSE(CONTROL!$C$9, $D$9, 100%, $F$9) + CHOOSE(CONTROL!$C$27, 0.0021, 0)</f>
        <v>65.314099999999996</v>
      </c>
      <c r="L362" s="14"/>
    </row>
    <row r="363" spans="1:12" ht="15.75" x14ac:dyDescent="0.25">
      <c r="A363" s="33">
        <v>51986</v>
      </c>
      <c r="B363" s="14">
        <f>64.8228 * CHOOSE(CONTROL!$C$9, $D$9, 100%, $F$9) + CHOOSE(CONTROL!$C$27, 0.0021, 0)</f>
        <v>64.8249</v>
      </c>
      <c r="C363" s="14">
        <f>64.3905 * CHOOSE(CONTROL!$C$9, $D$9, 100%, $F$9) + CHOOSE(CONTROL!$C$27, 0.0021, 0)</f>
        <v>64.392600000000002</v>
      </c>
      <c r="D363" s="14">
        <f>64.3905 * CHOOSE(CONTROL!$C$9, $D$9, 100%, $F$9) + CHOOSE(CONTROL!$C$27, 0.0021, 0)</f>
        <v>64.392600000000002</v>
      </c>
      <c r="E363" s="14">
        <f>64.2539 * CHOOSE(CONTROL!$C$9, $D$9, 100%, $F$9) + CHOOSE(CONTROL!$C$27, 0.0021, 0)</f>
        <v>64.256</v>
      </c>
      <c r="F363" s="14">
        <f>64.2539 * CHOOSE(CONTROL!$C$9, $D$9, 100%, $F$9) + CHOOSE(CONTROL!$C$27, 0.0021, 0)</f>
        <v>64.256</v>
      </c>
      <c r="G363" s="14">
        <f>64.5252 * CHOOSE(CONTROL!$C$9, $D$9, 100%, $F$9) + CHOOSE(CONTROL!$C$27, 0.0021, 0)</f>
        <v>64.527299999999997</v>
      </c>
      <c r="H363" s="14">
        <f>64.3905 * CHOOSE(CONTROL!$C$9, $D$9, 100%, $F$9) + CHOOSE(CONTROL!$C$27, 0.0021, 0)</f>
        <v>64.392600000000002</v>
      </c>
      <c r="I363" s="14">
        <f>64.3905 * CHOOSE(CONTROL!$C$9, $D$9, 100%, $F$9) + CHOOSE(CONTROL!$C$27, 0.0021, 0)</f>
        <v>64.392600000000002</v>
      </c>
      <c r="J363" s="14">
        <f>64.3905 * CHOOSE(CONTROL!$C$9, $D$9, 100%, $F$9) + CHOOSE(CONTROL!$C$27, 0.0021, 0)</f>
        <v>64.392600000000002</v>
      </c>
      <c r="K363" s="14">
        <f>64.3905 * CHOOSE(CONTROL!$C$9, $D$9, 100%, $F$9) + CHOOSE(CONTROL!$C$27, 0.0021, 0)</f>
        <v>64.392600000000002</v>
      </c>
      <c r="L363" s="14"/>
    </row>
    <row r="364" spans="1:12" ht="15.75" x14ac:dyDescent="0.25">
      <c r="A364" s="33">
        <v>52017</v>
      </c>
      <c r="B364" s="14">
        <f>66.1359 * CHOOSE(CONTROL!$C$9, $D$9, 100%, $F$9) + CHOOSE(CONTROL!$C$27, 0.0021, 0)</f>
        <v>66.138000000000005</v>
      </c>
      <c r="C364" s="14">
        <f>65.7037 * CHOOSE(CONTROL!$C$9, $D$9, 100%, $F$9) + CHOOSE(CONTROL!$C$27, 0.0021, 0)</f>
        <v>65.705799999999996</v>
      </c>
      <c r="D364" s="14">
        <f>65.7037 * CHOOSE(CONTROL!$C$9, $D$9, 100%, $F$9) + CHOOSE(CONTROL!$C$27, 0.0021, 0)</f>
        <v>65.705799999999996</v>
      </c>
      <c r="E364" s="14">
        <f>65.567 * CHOOSE(CONTROL!$C$9, $D$9, 100%, $F$9) + CHOOSE(CONTROL!$C$27, 0.0021, 0)</f>
        <v>65.569099999999992</v>
      </c>
      <c r="F364" s="14">
        <f>65.567 * CHOOSE(CONTROL!$C$9, $D$9, 100%, $F$9) + CHOOSE(CONTROL!$C$27, 0.0021, 0)</f>
        <v>65.569099999999992</v>
      </c>
      <c r="G364" s="14">
        <f>65.8384 * CHOOSE(CONTROL!$C$9, $D$9, 100%, $F$9) + CHOOSE(CONTROL!$C$27, 0.0021, 0)</f>
        <v>65.840499999999992</v>
      </c>
      <c r="H364" s="14">
        <f>65.7037 * CHOOSE(CONTROL!$C$9, $D$9, 100%, $F$9) + CHOOSE(CONTROL!$C$27, 0.0021, 0)</f>
        <v>65.705799999999996</v>
      </c>
      <c r="I364" s="14">
        <f>65.7037 * CHOOSE(CONTROL!$C$9, $D$9, 100%, $F$9) + CHOOSE(CONTROL!$C$27, 0.0021, 0)</f>
        <v>65.705799999999996</v>
      </c>
      <c r="J364" s="14">
        <f>65.7037 * CHOOSE(CONTROL!$C$9, $D$9, 100%, $F$9) + CHOOSE(CONTROL!$C$27, 0.0021, 0)</f>
        <v>65.705799999999996</v>
      </c>
      <c r="K364" s="14">
        <f>65.7037 * CHOOSE(CONTROL!$C$9, $D$9, 100%, $F$9) + CHOOSE(CONTROL!$C$27, 0.0021, 0)</f>
        <v>65.705799999999996</v>
      </c>
      <c r="L364" s="14"/>
    </row>
    <row r="365" spans="1:12" ht="15.75" x14ac:dyDescent="0.25">
      <c r="A365" s="33">
        <v>52047</v>
      </c>
      <c r="B365" s="14">
        <f>66.9225 * CHOOSE(CONTROL!$C$9, $D$9, 100%, $F$9) + CHOOSE(CONTROL!$C$27, 0.0021, 0)</f>
        <v>66.924599999999998</v>
      </c>
      <c r="C365" s="14">
        <f>66.4902 * CHOOSE(CONTROL!$C$9, $D$9, 100%, $F$9) + CHOOSE(CONTROL!$C$27, 0.0021, 0)</f>
        <v>66.4923</v>
      </c>
      <c r="D365" s="14">
        <f>66.4902 * CHOOSE(CONTROL!$C$9, $D$9, 100%, $F$9) + CHOOSE(CONTROL!$C$27, 0.0021, 0)</f>
        <v>66.4923</v>
      </c>
      <c r="E365" s="14">
        <f>66.3536 * CHOOSE(CONTROL!$C$9, $D$9, 100%, $F$9) + CHOOSE(CONTROL!$C$27, 0.0021, 0)</f>
        <v>66.355699999999999</v>
      </c>
      <c r="F365" s="14">
        <f>66.3536 * CHOOSE(CONTROL!$C$9, $D$9, 100%, $F$9) + CHOOSE(CONTROL!$C$27, 0.0021, 0)</f>
        <v>66.355699999999999</v>
      </c>
      <c r="G365" s="14">
        <f>66.6249 * CHOOSE(CONTROL!$C$9, $D$9, 100%, $F$9) + CHOOSE(CONTROL!$C$27, 0.0021, 0)</f>
        <v>66.626999999999995</v>
      </c>
      <c r="H365" s="14">
        <f>66.4902 * CHOOSE(CONTROL!$C$9, $D$9, 100%, $F$9) + CHOOSE(CONTROL!$C$27, 0.0021, 0)</f>
        <v>66.4923</v>
      </c>
      <c r="I365" s="14">
        <f>66.4902 * CHOOSE(CONTROL!$C$9, $D$9, 100%, $F$9) + CHOOSE(CONTROL!$C$27, 0.0021, 0)</f>
        <v>66.4923</v>
      </c>
      <c r="J365" s="14">
        <f>66.4902 * CHOOSE(CONTROL!$C$9, $D$9, 100%, $F$9) + CHOOSE(CONTROL!$C$27, 0.0021, 0)</f>
        <v>66.4923</v>
      </c>
      <c r="K365" s="14">
        <f>66.4902 * CHOOSE(CONTROL!$C$9, $D$9, 100%, $F$9) + CHOOSE(CONTROL!$C$27, 0.0021, 0)</f>
        <v>66.4923</v>
      </c>
      <c r="L365" s="14"/>
    </row>
    <row r="366" spans="1:12" ht="15.75" x14ac:dyDescent="0.25">
      <c r="A366" s="33">
        <v>52078</v>
      </c>
      <c r="B366" s="14">
        <f>68.22 * CHOOSE(CONTROL!$C$9, $D$9, 100%, $F$9) + CHOOSE(CONTROL!$C$27, 0.0021, 0)</f>
        <v>68.222099999999998</v>
      </c>
      <c r="C366" s="14">
        <f>67.7877 * CHOOSE(CONTROL!$C$9, $D$9, 100%, $F$9) + CHOOSE(CONTROL!$C$27, 0.0021, 0)</f>
        <v>67.7898</v>
      </c>
      <c r="D366" s="14">
        <f>67.7877 * CHOOSE(CONTROL!$C$9, $D$9, 100%, $F$9) + CHOOSE(CONTROL!$C$27, 0.0021, 0)</f>
        <v>67.7898</v>
      </c>
      <c r="E366" s="14">
        <f>67.651 * CHOOSE(CONTROL!$C$9, $D$9, 100%, $F$9) + CHOOSE(CONTROL!$C$27, 0.0021, 0)</f>
        <v>67.653099999999995</v>
      </c>
      <c r="F366" s="14">
        <f>67.651 * CHOOSE(CONTROL!$C$9, $D$9, 100%, $F$9) + CHOOSE(CONTROL!$C$27, 0.0021, 0)</f>
        <v>67.653099999999995</v>
      </c>
      <c r="G366" s="14">
        <f>67.9224 * CHOOSE(CONTROL!$C$9, $D$9, 100%, $F$9) + CHOOSE(CONTROL!$C$27, 0.0021, 0)</f>
        <v>67.924499999999995</v>
      </c>
      <c r="H366" s="14">
        <f>67.7877 * CHOOSE(CONTROL!$C$9, $D$9, 100%, $F$9) + CHOOSE(CONTROL!$C$27, 0.0021, 0)</f>
        <v>67.7898</v>
      </c>
      <c r="I366" s="14">
        <f>67.7877 * CHOOSE(CONTROL!$C$9, $D$9, 100%, $F$9) + CHOOSE(CONTROL!$C$27, 0.0021, 0)</f>
        <v>67.7898</v>
      </c>
      <c r="J366" s="14">
        <f>67.7877 * CHOOSE(CONTROL!$C$9, $D$9, 100%, $F$9) + CHOOSE(CONTROL!$C$27, 0.0021, 0)</f>
        <v>67.7898</v>
      </c>
      <c r="K366" s="14">
        <f>67.7877 * CHOOSE(CONTROL!$C$9, $D$9, 100%, $F$9) + CHOOSE(CONTROL!$C$27, 0.0021, 0)</f>
        <v>67.7898</v>
      </c>
      <c r="L366" s="14"/>
    </row>
    <row r="367" spans="1:12" ht="15.75" x14ac:dyDescent="0.25">
      <c r="A367" s="33">
        <v>52109</v>
      </c>
      <c r="B367" s="14">
        <f>68.616 * CHOOSE(CONTROL!$C$9, $D$9, 100%, $F$9) + CHOOSE(CONTROL!$C$27, 0.0021, 0)</f>
        <v>68.618099999999998</v>
      </c>
      <c r="C367" s="14">
        <f>68.1837 * CHOOSE(CONTROL!$C$9, $D$9, 100%, $F$9) + CHOOSE(CONTROL!$C$27, 0.0021, 0)</f>
        <v>68.1858</v>
      </c>
      <c r="D367" s="14">
        <f>68.1837 * CHOOSE(CONTROL!$C$9, $D$9, 100%, $F$9) + CHOOSE(CONTROL!$C$27, 0.0021, 0)</f>
        <v>68.1858</v>
      </c>
      <c r="E367" s="14">
        <f>68.0471 * CHOOSE(CONTROL!$C$9, $D$9, 100%, $F$9) + CHOOSE(CONTROL!$C$27, 0.0021, 0)</f>
        <v>68.049199999999999</v>
      </c>
      <c r="F367" s="14">
        <f>68.0471 * CHOOSE(CONTROL!$C$9, $D$9, 100%, $F$9) + CHOOSE(CONTROL!$C$27, 0.0021, 0)</f>
        <v>68.049199999999999</v>
      </c>
      <c r="G367" s="14">
        <f>68.3185 * CHOOSE(CONTROL!$C$9, $D$9, 100%, $F$9) + CHOOSE(CONTROL!$C$27, 0.0021, 0)</f>
        <v>68.320599999999999</v>
      </c>
      <c r="H367" s="14">
        <f>68.1837 * CHOOSE(CONTROL!$C$9, $D$9, 100%, $F$9) + CHOOSE(CONTROL!$C$27, 0.0021, 0)</f>
        <v>68.1858</v>
      </c>
      <c r="I367" s="14">
        <f>68.1837 * CHOOSE(CONTROL!$C$9, $D$9, 100%, $F$9) + CHOOSE(CONTROL!$C$27, 0.0021, 0)</f>
        <v>68.1858</v>
      </c>
      <c r="J367" s="14">
        <f>68.1837 * CHOOSE(CONTROL!$C$9, $D$9, 100%, $F$9) + CHOOSE(CONTROL!$C$27, 0.0021, 0)</f>
        <v>68.1858</v>
      </c>
      <c r="K367" s="14">
        <f>68.1837 * CHOOSE(CONTROL!$C$9, $D$9, 100%, $F$9) + CHOOSE(CONTROL!$C$27, 0.0021, 0)</f>
        <v>68.1858</v>
      </c>
      <c r="L367" s="14"/>
    </row>
    <row r="368" spans="1:12" ht="15.75" x14ac:dyDescent="0.25">
      <c r="A368" s="33">
        <v>52139</v>
      </c>
      <c r="B368" s="14">
        <f>69.9647 * CHOOSE(CONTROL!$C$9, $D$9, 100%, $F$9) + CHOOSE(CONTROL!$C$27, 0.0021, 0)</f>
        <v>69.966799999999992</v>
      </c>
      <c r="C368" s="14">
        <f>69.5324 * CHOOSE(CONTROL!$C$9, $D$9, 100%, $F$9) + CHOOSE(CONTROL!$C$27, 0.0021, 0)</f>
        <v>69.534499999999994</v>
      </c>
      <c r="D368" s="14">
        <f>69.5324 * CHOOSE(CONTROL!$C$9, $D$9, 100%, $F$9) + CHOOSE(CONTROL!$C$27, 0.0021, 0)</f>
        <v>69.534499999999994</v>
      </c>
      <c r="E368" s="14">
        <f>69.3958 * CHOOSE(CONTROL!$C$9, $D$9, 100%, $F$9) + CHOOSE(CONTROL!$C$27, 0.0021, 0)</f>
        <v>69.397899999999993</v>
      </c>
      <c r="F368" s="14">
        <f>69.3958 * CHOOSE(CONTROL!$C$9, $D$9, 100%, $F$9) + CHOOSE(CONTROL!$C$27, 0.0021, 0)</f>
        <v>69.397899999999993</v>
      </c>
      <c r="G368" s="14">
        <f>69.6671 * CHOOSE(CONTROL!$C$9, $D$9, 100%, $F$9) + CHOOSE(CONTROL!$C$27, 0.0021, 0)</f>
        <v>69.669200000000004</v>
      </c>
      <c r="H368" s="14">
        <f>69.5324 * CHOOSE(CONTROL!$C$9, $D$9, 100%, $F$9) + CHOOSE(CONTROL!$C$27, 0.0021, 0)</f>
        <v>69.534499999999994</v>
      </c>
      <c r="I368" s="14">
        <f>69.5324 * CHOOSE(CONTROL!$C$9, $D$9, 100%, $F$9) + CHOOSE(CONTROL!$C$27, 0.0021, 0)</f>
        <v>69.534499999999994</v>
      </c>
      <c r="J368" s="14">
        <f>69.5324 * CHOOSE(CONTROL!$C$9, $D$9, 100%, $F$9) + CHOOSE(CONTROL!$C$27, 0.0021, 0)</f>
        <v>69.534499999999994</v>
      </c>
      <c r="K368" s="14">
        <f>69.5324 * CHOOSE(CONTROL!$C$9, $D$9, 100%, $F$9) + CHOOSE(CONTROL!$C$27, 0.0021, 0)</f>
        <v>69.534499999999994</v>
      </c>
      <c r="L368" s="14"/>
    </row>
    <row r="369" spans="1:12" ht="15.75" x14ac:dyDescent="0.25">
      <c r="A369" s="33">
        <v>52170</v>
      </c>
      <c r="B369" s="14">
        <f>71.6719 * CHOOSE(CONTROL!$C$9, $D$9, 100%, $F$9) + CHOOSE(CONTROL!$C$27, 0.0021, 0)</f>
        <v>71.673999999999992</v>
      </c>
      <c r="C369" s="14">
        <f>71.2396 * CHOOSE(CONTROL!$C$9, $D$9, 100%, $F$9) + CHOOSE(CONTROL!$C$27, 0.0021, 0)</f>
        <v>71.241699999999994</v>
      </c>
      <c r="D369" s="14">
        <f>71.2396 * CHOOSE(CONTROL!$C$9, $D$9, 100%, $F$9) + CHOOSE(CONTROL!$C$27, 0.0021, 0)</f>
        <v>71.241699999999994</v>
      </c>
      <c r="E369" s="14">
        <f>71.103 * CHOOSE(CONTROL!$C$9, $D$9, 100%, $F$9) + CHOOSE(CONTROL!$C$27, 0.0021, 0)</f>
        <v>71.105099999999993</v>
      </c>
      <c r="F369" s="14">
        <f>71.103 * CHOOSE(CONTROL!$C$9, $D$9, 100%, $F$9) + CHOOSE(CONTROL!$C$27, 0.0021, 0)</f>
        <v>71.105099999999993</v>
      </c>
      <c r="G369" s="14">
        <f>71.3744 * CHOOSE(CONTROL!$C$9, $D$9, 100%, $F$9) + CHOOSE(CONTROL!$C$27, 0.0021, 0)</f>
        <v>71.376499999999993</v>
      </c>
      <c r="H369" s="14">
        <f>71.2396 * CHOOSE(CONTROL!$C$9, $D$9, 100%, $F$9) + CHOOSE(CONTROL!$C$27, 0.0021, 0)</f>
        <v>71.241699999999994</v>
      </c>
      <c r="I369" s="14">
        <f>71.2396 * CHOOSE(CONTROL!$C$9, $D$9, 100%, $F$9) + CHOOSE(CONTROL!$C$27, 0.0021, 0)</f>
        <v>71.241699999999994</v>
      </c>
      <c r="J369" s="14">
        <f>71.2396 * CHOOSE(CONTROL!$C$9, $D$9, 100%, $F$9) + CHOOSE(CONTROL!$C$27, 0.0021, 0)</f>
        <v>71.241699999999994</v>
      </c>
      <c r="K369" s="14">
        <f>71.2396 * CHOOSE(CONTROL!$C$9, $D$9, 100%, $F$9) + CHOOSE(CONTROL!$C$27, 0.0021, 0)</f>
        <v>71.241699999999994</v>
      </c>
      <c r="L369" s="14"/>
    </row>
    <row r="370" spans="1:12" ht="15.75" x14ac:dyDescent="0.25">
      <c r="A370" s="33">
        <v>52200</v>
      </c>
      <c r="B370" s="14">
        <f>71.8322 * CHOOSE(CONTROL!$C$9, $D$9, 100%, $F$9) + CHOOSE(CONTROL!$C$27, 0.0021, 0)</f>
        <v>71.834299999999999</v>
      </c>
      <c r="C370" s="14">
        <f>71.3999 * CHOOSE(CONTROL!$C$9, $D$9, 100%, $F$9) + CHOOSE(CONTROL!$C$27, 0.0021, 0)</f>
        <v>71.402000000000001</v>
      </c>
      <c r="D370" s="14">
        <f>71.3999 * CHOOSE(CONTROL!$C$9, $D$9, 100%, $F$9) + CHOOSE(CONTROL!$C$27, 0.0021, 0)</f>
        <v>71.402000000000001</v>
      </c>
      <c r="E370" s="14">
        <f>71.2632 * CHOOSE(CONTROL!$C$9, $D$9, 100%, $F$9) + CHOOSE(CONTROL!$C$27, 0.0021, 0)</f>
        <v>71.265299999999996</v>
      </c>
      <c r="F370" s="14">
        <f>71.2632 * CHOOSE(CONTROL!$C$9, $D$9, 100%, $F$9) + CHOOSE(CONTROL!$C$27, 0.0021, 0)</f>
        <v>71.265299999999996</v>
      </c>
      <c r="G370" s="14">
        <f>71.5346 * CHOOSE(CONTROL!$C$9, $D$9, 100%, $F$9) + CHOOSE(CONTROL!$C$27, 0.0021, 0)</f>
        <v>71.536699999999996</v>
      </c>
      <c r="H370" s="14">
        <f>71.3999 * CHOOSE(CONTROL!$C$9, $D$9, 100%, $F$9) + CHOOSE(CONTROL!$C$27, 0.0021, 0)</f>
        <v>71.402000000000001</v>
      </c>
      <c r="I370" s="14">
        <f>71.3999 * CHOOSE(CONTROL!$C$9, $D$9, 100%, $F$9) + CHOOSE(CONTROL!$C$27, 0.0021, 0)</f>
        <v>71.402000000000001</v>
      </c>
      <c r="J370" s="14">
        <f>71.3999 * CHOOSE(CONTROL!$C$9, $D$9, 100%, $F$9) + CHOOSE(CONTROL!$C$27, 0.0021, 0)</f>
        <v>71.402000000000001</v>
      </c>
      <c r="K370" s="14">
        <f>71.3999 * CHOOSE(CONTROL!$C$9, $D$9, 100%, $F$9) + CHOOSE(CONTROL!$C$27, 0.0021, 0)</f>
        <v>71.402000000000001</v>
      </c>
      <c r="L370" s="14"/>
    </row>
    <row r="371" spans="1:12" ht="15.75" x14ac:dyDescent="0.25">
      <c r="A371" s="33">
        <v>52231</v>
      </c>
      <c r="B371" s="14">
        <f>70.4686 * CHOOSE(CONTROL!$C$9, $D$9, 100%, $F$9) + CHOOSE(CONTROL!$C$27, 0.0021, 0)</f>
        <v>70.470699999999994</v>
      </c>
      <c r="C371" s="14">
        <f>70.0364 * CHOOSE(CONTROL!$C$9, $D$9, 100%, $F$9) + CHOOSE(CONTROL!$C$27, 0.0021, 0)</f>
        <v>70.038499999999999</v>
      </c>
      <c r="D371" s="14">
        <f>70.0364 * CHOOSE(CONTROL!$C$9, $D$9, 100%, $F$9) + CHOOSE(CONTROL!$C$27, 0.0021, 0)</f>
        <v>70.038499999999999</v>
      </c>
      <c r="E371" s="14">
        <f>69.8997 * CHOOSE(CONTROL!$C$9, $D$9, 100%, $F$9) + CHOOSE(CONTROL!$C$27, 0.0021, 0)</f>
        <v>69.901799999999994</v>
      </c>
      <c r="F371" s="14">
        <f>69.8997 * CHOOSE(CONTROL!$C$9, $D$9, 100%, $F$9) + CHOOSE(CONTROL!$C$27, 0.0021, 0)</f>
        <v>69.901799999999994</v>
      </c>
      <c r="G371" s="14">
        <f>70.1711 * CHOOSE(CONTROL!$C$9, $D$9, 100%, $F$9) + CHOOSE(CONTROL!$C$27, 0.0021, 0)</f>
        <v>70.173199999999994</v>
      </c>
      <c r="H371" s="14">
        <f>70.0364 * CHOOSE(CONTROL!$C$9, $D$9, 100%, $F$9) + CHOOSE(CONTROL!$C$27, 0.0021, 0)</f>
        <v>70.038499999999999</v>
      </c>
      <c r="I371" s="14">
        <f>70.0364 * CHOOSE(CONTROL!$C$9, $D$9, 100%, $F$9) + CHOOSE(CONTROL!$C$27, 0.0021, 0)</f>
        <v>70.038499999999999</v>
      </c>
      <c r="J371" s="14">
        <f>70.0364 * CHOOSE(CONTROL!$C$9, $D$9, 100%, $F$9) + CHOOSE(CONTROL!$C$27, 0.0021, 0)</f>
        <v>70.038499999999999</v>
      </c>
      <c r="K371" s="14">
        <f>70.0364 * CHOOSE(CONTROL!$C$9, $D$9, 100%, $F$9) + CHOOSE(CONTROL!$C$27, 0.0021, 0)</f>
        <v>70.038499999999999</v>
      </c>
      <c r="L371" s="14"/>
    </row>
    <row r="372" spans="1:12" ht="15.75" x14ac:dyDescent="0.25">
      <c r="A372" s="33">
        <v>52262</v>
      </c>
      <c r="B372" s="14">
        <f>69.6068 * CHOOSE(CONTROL!$C$9, $D$9, 100%, $F$9) + CHOOSE(CONTROL!$C$27, 0.0021, 0)</f>
        <v>69.608900000000006</v>
      </c>
      <c r="C372" s="14">
        <f>69.1746 * CHOOSE(CONTROL!$C$9, $D$9, 100%, $F$9) + CHOOSE(CONTROL!$C$27, 0.0021, 0)</f>
        <v>69.176699999999997</v>
      </c>
      <c r="D372" s="14">
        <f>69.1746 * CHOOSE(CONTROL!$C$9, $D$9, 100%, $F$9) + CHOOSE(CONTROL!$C$27, 0.0021, 0)</f>
        <v>69.176699999999997</v>
      </c>
      <c r="E372" s="14">
        <f>69.0379 * CHOOSE(CONTROL!$C$9, $D$9, 100%, $F$9) + CHOOSE(CONTROL!$C$27, 0.0021, 0)</f>
        <v>69.039999999999992</v>
      </c>
      <c r="F372" s="14">
        <f>69.0379 * CHOOSE(CONTROL!$C$9, $D$9, 100%, $F$9) + CHOOSE(CONTROL!$C$27, 0.0021, 0)</f>
        <v>69.039999999999992</v>
      </c>
      <c r="G372" s="14">
        <f>69.3093 * CHOOSE(CONTROL!$C$9, $D$9, 100%, $F$9) + CHOOSE(CONTROL!$C$27, 0.0021, 0)</f>
        <v>69.311399999999992</v>
      </c>
      <c r="H372" s="14">
        <f>69.1746 * CHOOSE(CONTROL!$C$9, $D$9, 100%, $F$9) + CHOOSE(CONTROL!$C$27, 0.0021, 0)</f>
        <v>69.176699999999997</v>
      </c>
      <c r="I372" s="14">
        <f>69.1746 * CHOOSE(CONTROL!$C$9, $D$9, 100%, $F$9) + CHOOSE(CONTROL!$C$27, 0.0021, 0)</f>
        <v>69.176699999999997</v>
      </c>
      <c r="J372" s="14">
        <f>69.1746 * CHOOSE(CONTROL!$C$9, $D$9, 100%, $F$9) + CHOOSE(CONTROL!$C$27, 0.0021, 0)</f>
        <v>69.176699999999997</v>
      </c>
      <c r="K372" s="14">
        <f>69.1746 * CHOOSE(CONTROL!$C$9, $D$9, 100%, $F$9) + CHOOSE(CONTROL!$C$27, 0.0021, 0)</f>
        <v>69.176699999999997</v>
      </c>
      <c r="L372" s="14"/>
    </row>
    <row r="373" spans="1:12" ht="15.75" x14ac:dyDescent="0.25">
      <c r="A373" s="33">
        <v>52290</v>
      </c>
      <c r="B373" s="14">
        <f>67.7028 * CHOOSE(CONTROL!$C$9, $D$9, 100%, $F$9) + CHOOSE(CONTROL!$C$27, 0.0021, 0)</f>
        <v>67.704899999999995</v>
      </c>
      <c r="C373" s="14">
        <f>67.2706 * CHOOSE(CONTROL!$C$9, $D$9, 100%, $F$9) + CHOOSE(CONTROL!$C$27, 0.0021, 0)</f>
        <v>67.2727</v>
      </c>
      <c r="D373" s="14">
        <f>67.2706 * CHOOSE(CONTROL!$C$9, $D$9, 100%, $F$9) + CHOOSE(CONTROL!$C$27, 0.0021, 0)</f>
        <v>67.2727</v>
      </c>
      <c r="E373" s="14">
        <f>67.1339 * CHOOSE(CONTROL!$C$9, $D$9, 100%, $F$9) + CHOOSE(CONTROL!$C$27, 0.0021, 0)</f>
        <v>67.135999999999996</v>
      </c>
      <c r="F373" s="14">
        <f>67.1339 * CHOOSE(CONTROL!$C$9, $D$9, 100%, $F$9) + CHOOSE(CONTROL!$C$27, 0.0021, 0)</f>
        <v>67.135999999999996</v>
      </c>
      <c r="G373" s="14">
        <f>67.4053 * CHOOSE(CONTROL!$C$9, $D$9, 100%, $F$9) + CHOOSE(CONTROL!$C$27, 0.0021, 0)</f>
        <v>67.407399999999996</v>
      </c>
      <c r="H373" s="14">
        <f>67.2706 * CHOOSE(CONTROL!$C$9, $D$9, 100%, $F$9) + CHOOSE(CONTROL!$C$27, 0.0021, 0)</f>
        <v>67.2727</v>
      </c>
      <c r="I373" s="14">
        <f>67.2706 * CHOOSE(CONTROL!$C$9, $D$9, 100%, $F$9) + CHOOSE(CONTROL!$C$27, 0.0021, 0)</f>
        <v>67.2727</v>
      </c>
      <c r="J373" s="14">
        <f>67.2706 * CHOOSE(CONTROL!$C$9, $D$9, 100%, $F$9) + CHOOSE(CONTROL!$C$27, 0.0021, 0)</f>
        <v>67.2727</v>
      </c>
      <c r="K373" s="14">
        <f>67.2706 * CHOOSE(CONTROL!$C$9, $D$9, 100%, $F$9) + CHOOSE(CONTROL!$C$27, 0.0021, 0)</f>
        <v>67.2727</v>
      </c>
      <c r="L373" s="14"/>
    </row>
    <row r="374" spans="1:12" ht="15.75" x14ac:dyDescent="0.25">
      <c r="A374" s="33">
        <v>52321</v>
      </c>
      <c r="B374" s="14">
        <f>66.9168 * CHOOSE(CONTROL!$C$9, $D$9, 100%, $F$9) + CHOOSE(CONTROL!$C$27, 0.0021, 0)</f>
        <v>66.918899999999994</v>
      </c>
      <c r="C374" s="14">
        <f>66.4846 * CHOOSE(CONTROL!$C$9, $D$9, 100%, $F$9) + CHOOSE(CONTROL!$C$27, 0.0021, 0)</f>
        <v>66.486699999999999</v>
      </c>
      <c r="D374" s="14">
        <f>66.4846 * CHOOSE(CONTROL!$C$9, $D$9, 100%, $F$9) + CHOOSE(CONTROL!$C$27, 0.0021, 0)</f>
        <v>66.486699999999999</v>
      </c>
      <c r="E374" s="14">
        <f>66.3479 * CHOOSE(CONTROL!$C$9, $D$9, 100%, $F$9) + CHOOSE(CONTROL!$C$27, 0.0021, 0)</f>
        <v>66.349999999999994</v>
      </c>
      <c r="F374" s="14">
        <f>66.3479 * CHOOSE(CONTROL!$C$9, $D$9, 100%, $F$9) + CHOOSE(CONTROL!$C$27, 0.0021, 0)</f>
        <v>66.349999999999994</v>
      </c>
      <c r="G374" s="14">
        <f>66.6193 * CHOOSE(CONTROL!$C$9, $D$9, 100%, $F$9) + CHOOSE(CONTROL!$C$27, 0.0021, 0)</f>
        <v>66.621399999999994</v>
      </c>
      <c r="H374" s="14">
        <f>66.4846 * CHOOSE(CONTROL!$C$9, $D$9, 100%, $F$9) + CHOOSE(CONTROL!$C$27, 0.0021, 0)</f>
        <v>66.486699999999999</v>
      </c>
      <c r="I374" s="14">
        <f>66.4846 * CHOOSE(CONTROL!$C$9, $D$9, 100%, $F$9) + CHOOSE(CONTROL!$C$27, 0.0021, 0)</f>
        <v>66.486699999999999</v>
      </c>
      <c r="J374" s="14">
        <f>66.4846 * CHOOSE(CONTROL!$C$9, $D$9, 100%, $F$9) + CHOOSE(CONTROL!$C$27, 0.0021, 0)</f>
        <v>66.486699999999999</v>
      </c>
      <c r="K374" s="14">
        <f>66.4846 * CHOOSE(CONTROL!$C$9, $D$9, 100%, $F$9) + CHOOSE(CONTROL!$C$27, 0.0021, 0)</f>
        <v>66.486699999999999</v>
      </c>
      <c r="L374" s="14"/>
    </row>
    <row r="375" spans="1:12" ht="15.75" x14ac:dyDescent="0.25">
      <c r="A375" s="33">
        <v>52351</v>
      </c>
      <c r="B375" s="14">
        <f>65.9784 * CHOOSE(CONTROL!$C$9, $D$9, 100%, $F$9) + CHOOSE(CONTROL!$C$27, 0.0021, 0)</f>
        <v>65.980499999999992</v>
      </c>
      <c r="C375" s="14">
        <f>65.5461 * CHOOSE(CONTROL!$C$9, $D$9, 100%, $F$9) + CHOOSE(CONTROL!$C$27, 0.0021, 0)</f>
        <v>65.548199999999994</v>
      </c>
      <c r="D375" s="14">
        <f>65.5461 * CHOOSE(CONTROL!$C$9, $D$9, 100%, $F$9) + CHOOSE(CONTROL!$C$27, 0.0021, 0)</f>
        <v>65.548199999999994</v>
      </c>
      <c r="E375" s="14">
        <f>65.4095 * CHOOSE(CONTROL!$C$9, $D$9, 100%, $F$9) + CHOOSE(CONTROL!$C$27, 0.0021, 0)</f>
        <v>65.411599999999993</v>
      </c>
      <c r="F375" s="14">
        <f>65.4095 * CHOOSE(CONTROL!$C$9, $D$9, 100%, $F$9) + CHOOSE(CONTROL!$C$27, 0.0021, 0)</f>
        <v>65.411599999999993</v>
      </c>
      <c r="G375" s="14">
        <f>65.6808 * CHOOSE(CONTROL!$C$9, $D$9, 100%, $F$9) + CHOOSE(CONTROL!$C$27, 0.0021, 0)</f>
        <v>65.682900000000004</v>
      </c>
      <c r="H375" s="14">
        <f>65.5461 * CHOOSE(CONTROL!$C$9, $D$9, 100%, $F$9) + CHOOSE(CONTROL!$C$27, 0.0021, 0)</f>
        <v>65.548199999999994</v>
      </c>
      <c r="I375" s="14">
        <f>65.5461 * CHOOSE(CONTROL!$C$9, $D$9, 100%, $F$9) + CHOOSE(CONTROL!$C$27, 0.0021, 0)</f>
        <v>65.548199999999994</v>
      </c>
      <c r="J375" s="14">
        <f>65.5461 * CHOOSE(CONTROL!$C$9, $D$9, 100%, $F$9) + CHOOSE(CONTROL!$C$27, 0.0021, 0)</f>
        <v>65.548199999999994</v>
      </c>
      <c r="K375" s="14">
        <f>65.5461 * CHOOSE(CONTROL!$C$9, $D$9, 100%, $F$9) + CHOOSE(CONTROL!$C$27, 0.0021, 0)</f>
        <v>65.548199999999994</v>
      </c>
      <c r="L375" s="14"/>
    </row>
    <row r="376" spans="1:12" ht="15.75" x14ac:dyDescent="0.25">
      <c r="A376" s="33">
        <v>52382</v>
      </c>
      <c r="B376" s="14">
        <f>67.3158 * CHOOSE(CONTROL!$C$9, $D$9, 100%, $F$9) + CHOOSE(CONTROL!$C$27, 0.0021, 0)</f>
        <v>67.317899999999995</v>
      </c>
      <c r="C376" s="14">
        <f>66.8836 * CHOOSE(CONTROL!$C$9, $D$9, 100%, $F$9) + CHOOSE(CONTROL!$C$27, 0.0021, 0)</f>
        <v>66.8857</v>
      </c>
      <c r="D376" s="14">
        <f>66.8836 * CHOOSE(CONTROL!$C$9, $D$9, 100%, $F$9) + CHOOSE(CONTROL!$C$27, 0.0021, 0)</f>
        <v>66.8857</v>
      </c>
      <c r="E376" s="14">
        <f>66.7469 * CHOOSE(CONTROL!$C$9, $D$9, 100%, $F$9) + CHOOSE(CONTROL!$C$27, 0.0021, 0)</f>
        <v>66.748999999999995</v>
      </c>
      <c r="F376" s="14">
        <f>66.7469 * CHOOSE(CONTROL!$C$9, $D$9, 100%, $F$9) + CHOOSE(CONTROL!$C$27, 0.0021, 0)</f>
        <v>66.748999999999995</v>
      </c>
      <c r="G376" s="14">
        <f>67.0183 * CHOOSE(CONTROL!$C$9, $D$9, 100%, $F$9) + CHOOSE(CONTROL!$C$27, 0.0021, 0)</f>
        <v>67.020399999999995</v>
      </c>
      <c r="H376" s="14">
        <f>66.8836 * CHOOSE(CONTROL!$C$9, $D$9, 100%, $F$9) + CHOOSE(CONTROL!$C$27, 0.0021, 0)</f>
        <v>66.8857</v>
      </c>
      <c r="I376" s="14">
        <f>66.8836 * CHOOSE(CONTROL!$C$9, $D$9, 100%, $F$9) + CHOOSE(CONTROL!$C$27, 0.0021, 0)</f>
        <v>66.8857</v>
      </c>
      <c r="J376" s="14">
        <f>66.8836 * CHOOSE(CONTROL!$C$9, $D$9, 100%, $F$9) + CHOOSE(CONTROL!$C$27, 0.0021, 0)</f>
        <v>66.8857</v>
      </c>
      <c r="K376" s="14">
        <f>66.8836 * CHOOSE(CONTROL!$C$9, $D$9, 100%, $F$9) + CHOOSE(CONTROL!$C$27, 0.0021, 0)</f>
        <v>66.8857</v>
      </c>
      <c r="L376" s="14"/>
    </row>
    <row r="377" spans="1:12" ht="15.75" x14ac:dyDescent="0.25">
      <c r="A377" s="33">
        <v>52412</v>
      </c>
      <c r="B377" s="14">
        <f>68.1169 * CHOOSE(CONTROL!$C$9, $D$9, 100%, $F$9) + CHOOSE(CONTROL!$C$27, 0.0021, 0)</f>
        <v>68.119</v>
      </c>
      <c r="C377" s="14">
        <f>67.6846 * CHOOSE(CONTROL!$C$9, $D$9, 100%, $F$9) + CHOOSE(CONTROL!$C$27, 0.0021, 0)</f>
        <v>67.686700000000002</v>
      </c>
      <c r="D377" s="14">
        <f>67.6846 * CHOOSE(CONTROL!$C$9, $D$9, 100%, $F$9) + CHOOSE(CONTROL!$C$27, 0.0021, 0)</f>
        <v>67.686700000000002</v>
      </c>
      <c r="E377" s="14">
        <f>67.548 * CHOOSE(CONTROL!$C$9, $D$9, 100%, $F$9) + CHOOSE(CONTROL!$C$27, 0.0021, 0)</f>
        <v>67.5501</v>
      </c>
      <c r="F377" s="14">
        <f>67.548 * CHOOSE(CONTROL!$C$9, $D$9, 100%, $F$9) + CHOOSE(CONTROL!$C$27, 0.0021, 0)</f>
        <v>67.5501</v>
      </c>
      <c r="G377" s="14">
        <f>67.8193 * CHOOSE(CONTROL!$C$9, $D$9, 100%, $F$9) + CHOOSE(CONTROL!$C$27, 0.0021, 0)</f>
        <v>67.821399999999997</v>
      </c>
      <c r="H377" s="14">
        <f>67.6846 * CHOOSE(CONTROL!$C$9, $D$9, 100%, $F$9) + CHOOSE(CONTROL!$C$27, 0.0021, 0)</f>
        <v>67.686700000000002</v>
      </c>
      <c r="I377" s="14">
        <f>67.6846 * CHOOSE(CONTROL!$C$9, $D$9, 100%, $F$9) + CHOOSE(CONTROL!$C$27, 0.0021, 0)</f>
        <v>67.686700000000002</v>
      </c>
      <c r="J377" s="14">
        <f>67.6846 * CHOOSE(CONTROL!$C$9, $D$9, 100%, $F$9) + CHOOSE(CONTROL!$C$27, 0.0021, 0)</f>
        <v>67.686700000000002</v>
      </c>
      <c r="K377" s="14">
        <f>67.6846 * CHOOSE(CONTROL!$C$9, $D$9, 100%, $F$9) + CHOOSE(CONTROL!$C$27, 0.0021, 0)</f>
        <v>67.686700000000002</v>
      </c>
      <c r="L377" s="14"/>
    </row>
    <row r="378" spans="1:12" ht="15.75" x14ac:dyDescent="0.25">
      <c r="A378" s="33">
        <v>52443</v>
      </c>
      <c r="B378" s="14">
        <f>69.4383 * CHOOSE(CONTROL!$C$9, $D$9, 100%, $F$9) + CHOOSE(CONTROL!$C$27, 0.0021, 0)</f>
        <v>69.440399999999997</v>
      </c>
      <c r="C378" s="14">
        <f>69.0061 * CHOOSE(CONTROL!$C$9, $D$9, 100%, $F$9) + CHOOSE(CONTROL!$C$27, 0.0021, 0)</f>
        <v>69.008200000000002</v>
      </c>
      <c r="D378" s="14">
        <f>69.0061 * CHOOSE(CONTROL!$C$9, $D$9, 100%, $F$9) + CHOOSE(CONTROL!$C$27, 0.0021, 0)</f>
        <v>69.008200000000002</v>
      </c>
      <c r="E378" s="14">
        <f>68.8694 * CHOOSE(CONTROL!$C$9, $D$9, 100%, $F$9) + CHOOSE(CONTROL!$C$27, 0.0021, 0)</f>
        <v>68.871499999999997</v>
      </c>
      <c r="F378" s="14">
        <f>68.8694 * CHOOSE(CONTROL!$C$9, $D$9, 100%, $F$9) + CHOOSE(CONTROL!$C$27, 0.0021, 0)</f>
        <v>68.871499999999997</v>
      </c>
      <c r="G378" s="14">
        <f>69.1408 * CHOOSE(CONTROL!$C$9, $D$9, 100%, $F$9) + CHOOSE(CONTROL!$C$27, 0.0021, 0)</f>
        <v>69.142899999999997</v>
      </c>
      <c r="H378" s="14">
        <f>69.0061 * CHOOSE(CONTROL!$C$9, $D$9, 100%, $F$9) + CHOOSE(CONTROL!$C$27, 0.0021, 0)</f>
        <v>69.008200000000002</v>
      </c>
      <c r="I378" s="14">
        <f>69.0061 * CHOOSE(CONTROL!$C$9, $D$9, 100%, $F$9) + CHOOSE(CONTROL!$C$27, 0.0021, 0)</f>
        <v>69.008200000000002</v>
      </c>
      <c r="J378" s="14">
        <f>69.0061 * CHOOSE(CONTROL!$C$9, $D$9, 100%, $F$9) + CHOOSE(CONTROL!$C$27, 0.0021, 0)</f>
        <v>69.008200000000002</v>
      </c>
      <c r="K378" s="14">
        <f>69.0061 * CHOOSE(CONTROL!$C$9, $D$9, 100%, $F$9) + CHOOSE(CONTROL!$C$27, 0.0021, 0)</f>
        <v>69.008200000000002</v>
      </c>
      <c r="L378" s="14"/>
    </row>
    <row r="379" spans="1:12" ht="15.75" x14ac:dyDescent="0.25">
      <c r="A379" s="33">
        <v>52474</v>
      </c>
      <c r="B379" s="14">
        <f>69.8417 * CHOOSE(CONTROL!$C$9, $D$9, 100%, $F$9) + CHOOSE(CONTROL!$C$27, 0.0021, 0)</f>
        <v>69.843800000000002</v>
      </c>
      <c r="C379" s="14">
        <f>69.4095 * CHOOSE(CONTROL!$C$9, $D$9, 100%, $F$9) + CHOOSE(CONTROL!$C$27, 0.0021, 0)</f>
        <v>69.411599999999993</v>
      </c>
      <c r="D379" s="14">
        <f>69.4095 * CHOOSE(CONTROL!$C$9, $D$9, 100%, $F$9) + CHOOSE(CONTROL!$C$27, 0.0021, 0)</f>
        <v>69.411599999999993</v>
      </c>
      <c r="E379" s="14">
        <f>69.2728 * CHOOSE(CONTROL!$C$9, $D$9, 100%, $F$9) + CHOOSE(CONTROL!$C$27, 0.0021, 0)</f>
        <v>69.274900000000002</v>
      </c>
      <c r="F379" s="14">
        <f>69.2728 * CHOOSE(CONTROL!$C$9, $D$9, 100%, $F$9) + CHOOSE(CONTROL!$C$27, 0.0021, 0)</f>
        <v>69.274900000000002</v>
      </c>
      <c r="G379" s="14">
        <f>69.5442 * CHOOSE(CONTROL!$C$9, $D$9, 100%, $F$9) + CHOOSE(CONTROL!$C$27, 0.0021, 0)</f>
        <v>69.546300000000002</v>
      </c>
      <c r="H379" s="14">
        <f>69.4095 * CHOOSE(CONTROL!$C$9, $D$9, 100%, $F$9) + CHOOSE(CONTROL!$C$27, 0.0021, 0)</f>
        <v>69.411599999999993</v>
      </c>
      <c r="I379" s="14">
        <f>69.4095 * CHOOSE(CONTROL!$C$9, $D$9, 100%, $F$9) + CHOOSE(CONTROL!$C$27, 0.0021, 0)</f>
        <v>69.411599999999993</v>
      </c>
      <c r="J379" s="14">
        <f>69.4095 * CHOOSE(CONTROL!$C$9, $D$9, 100%, $F$9) + CHOOSE(CONTROL!$C$27, 0.0021, 0)</f>
        <v>69.411599999999993</v>
      </c>
      <c r="K379" s="14">
        <f>69.4095 * CHOOSE(CONTROL!$C$9, $D$9, 100%, $F$9) + CHOOSE(CONTROL!$C$27, 0.0021, 0)</f>
        <v>69.411599999999993</v>
      </c>
      <c r="L379" s="14"/>
    </row>
    <row r="380" spans="1:12" ht="15.75" x14ac:dyDescent="0.25">
      <c r="A380" s="33">
        <v>52504</v>
      </c>
      <c r="B380" s="14">
        <f>71.2153 * CHOOSE(CONTROL!$C$9, $D$9, 100%, $F$9) + CHOOSE(CONTROL!$C$27, 0.0021, 0)</f>
        <v>71.217399999999998</v>
      </c>
      <c r="C380" s="14">
        <f>70.7831 * CHOOSE(CONTROL!$C$9, $D$9, 100%, $F$9) + CHOOSE(CONTROL!$C$27, 0.0021, 0)</f>
        <v>70.785200000000003</v>
      </c>
      <c r="D380" s="14">
        <f>70.7831 * CHOOSE(CONTROL!$C$9, $D$9, 100%, $F$9) + CHOOSE(CONTROL!$C$27, 0.0021, 0)</f>
        <v>70.785200000000003</v>
      </c>
      <c r="E380" s="14">
        <f>70.6464 * CHOOSE(CONTROL!$C$9, $D$9, 100%, $F$9) + CHOOSE(CONTROL!$C$27, 0.0021, 0)</f>
        <v>70.648499999999999</v>
      </c>
      <c r="F380" s="14">
        <f>70.6464 * CHOOSE(CONTROL!$C$9, $D$9, 100%, $F$9) + CHOOSE(CONTROL!$C$27, 0.0021, 0)</f>
        <v>70.648499999999999</v>
      </c>
      <c r="G380" s="14">
        <f>70.9178 * CHOOSE(CONTROL!$C$9, $D$9, 100%, $F$9) + CHOOSE(CONTROL!$C$27, 0.0021, 0)</f>
        <v>70.919899999999998</v>
      </c>
      <c r="H380" s="14">
        <f>70.7831 * CHOOSE(CONTROL!$C$9, $D$9, 100%, $F$9) + CHOOSE(CONTROL!$C$27, 0.0021, 0)</f>
        <v>70.785200000000003</v>
      </c>
      <c r="I380" s="14">
        <f>70.7831 * CHOOSE(CONTROL!$C$9, $D$9, 100%, $F$9) + CHOOSE(CONTROL!$C$27, 0.0021, 0)</f>
        <v>70.785200000000003</v>
      </c>
      <c r="J380" s="14">
        <f>70.7831 * CHOOSE(CONTROL!$C$9, $D$9, 100%, $F$9) + CHOOSE(CONTROL!$C$27, 0.0021, 0)</f>
        <v>70.785200000000003</v>
      </c>
      <c r="K380" s="14">
        <f>70.7831 * CHOOSE(CONTROL!$C$9, $D$9, 100%, $F$9) + CHOOSE(CONTROL!$C$27, 0.0021, 0)</f>
        <v>70.785200000000003</v>
      </c>
      <c r="L380" s="14"/>
    </row>
    <row r="381" spans="1:12" ht="15.75" x14ac:dyDescent="0.25">
      <c r="A381" s="33">
        <v>52535</v>
      </c>
      <c r="B381" s="14">
        <f>72.9541 * CHOOSE(CONTROL!$C$9, $D$9, 100%, $F$9) + CHOOSE(CONTROL!$C$27, 0.0021, 0)</f>
        <v>72.956199999999995</v>
      </c>
      <c r="C381" s="14">
        <f>72.5218 * CHOOSE(CONTROL!$C$9, $D$9, 100%, $F$9) + CHOOSE(CONTROL!$C$27, 0.0021, 0)</f>
        <v>72.523899999999998</v>
      </c>
      <c r="D381" s="14">
        <f>72.5218 * CHOOSE(CONTROL!$C$9, $D$9, 100%, $F$9) + CHOOSE(CONTROL!$C$27, 0.0021, 0)</f>
        <v>72.523899999999998</v>
      </c>
      <c r="E381" s="14">
        <f>72.3852 * CHOOSE(CONTROL!$C$9, $D$9, 100%, $F$9) + CHOOSE(CONTROL!$C$27, 0.0021, 0)</f>
        <v>72.387299999999996</v>
      </c>
      <c r="F381" s="14">
        <f>72.3852 * CHOOSE(CONTROL!$C$9, $D$9, 100%, $F$9) + CHOOSE(CONTROL!$C$27, 0.0021, 0)</f>
        <v>72.387299999999996</v>
      </c>
      <c r="G381" s="14">
        <f>72.6565 * CHOOSE(CONTROL!$C$9, $D$9, 100%, $F$9) + CHOOSE(CONTROL!$C$27, 0.0021, 0)</f>
        <v>72.658599999999993</v>
      </c>
      <c r="H381" s="14">
        <f>72.5218 * CHOOSE(CONTROL!$C$9, $D$9, 100%, $F$9) + CHOOSE(CONTROL!$C$27, 0.0021, 0)</f>
        <v>72.523899999999998</v>
      </c>
      <c r="I381" s="14">
        <f>72.5218 * CHOOSE(CONTROL!$C$9, $D$9, 100%, $F$9) + CHOOSE(CONTROL!$C$27, 0.0021, 0)</f>
        <v>72.523899999999998</v>
      </c>
      <c r="J381" s="14">
        <f>72.5218 * CHOOSE(CONTROL!$C$9, $D$9, 100%, $F$9) + CHOOSE(CONTROL!$C$27, 0.0021, 0)</f>
        <v>72.523899999999998</v>
      </c>
      <c r="K381" s="14">
        <f>72.5218 * CHOOSE(CONTROL!$C$9, $D$9, 100%, $F$9) + CHOOSE(CONTROL!$C$27, 0.0021, 0)</f>
        <v>72.523899999999998</v>
      </c>
      <c r="L381" s="14"/>
    </row>
    <row r="382" spans="1:12" ht="15.75" x14ac:dyDescent="0.25">
      <c r="A382" s="33">
        <v>52565</v>
      </c>
      <c r="B382" s="14">
        <f>73.1173 * CHOOSE(CONTROL!$C$9, $D$9, 100%, $F$9) + CHOOSE(CONTROL!$C$27, 0.0021, 0)</f>
        <v>73.119399999999999</v>
      </c>
      <c r="C382" s="14">
        <f>72.6851 * CHOOSE(CONTROL!$C$9, $D$9, 100%, $F$9) + CHOOSE(CONTROL!$C$27, 0.0021, 0)</f>
        <v>72.687200000000004</v>
      </c>
      <c r="D382" s="14">
        <f>72.6851 * CHOOSE(CONTROL!$C$9, $D$9, 100%, $F$9) + CHOOSE(CONTROL!$C$27, 0.0021, 0)</f>
        <v>72.687200000000004</v>
      </c>
      <c r="E382" s="14">
        <f>72.5484 * CHOOSE(CONTROL!$C$9, $D$9, 100%, $F$9) + CHOOSE(CONTROL!$C$27, 0.0021, 0)</f>
        <v>72.5505</v>
      </c>
      <c r="F382" s="14">
        <f>72.5484 * CHOOSE(CONTROL!$C$9, $D$9, 100%, $F$9) + CHOOSE(CONTROL!$C$27, 0.0021, 0)</f>
        <v>72.5505</v>
      </c>
      <c r="G382" s="14">
        <f>72.8198 * CHOOSE(CONTROL!$C$9, $D$9, 100%, $F$9) + CHOOSE(CONTROL!$C$27, 0.0021, 0)</f>
        <v>72.821899999999999</v>
      </c>
      <c r="H382" s="14">
        <f>72.6851 * CHOOSE(CONTROL!$C$9, $D$9, 100%, $F$9) + CHOOSE(CONTROL!$C$27, 0.0021, 0)</f>
        <v>72.687200000000004</v>
      </c>
      <c r="I382" s="14">
        <f>72.6851 * CHOOSE(CONTROL!$C$9, $D$9, 100%, $F$9) + CHOOSE(CONTROL!$C$27, 0.0021, 0)</f>
        <v>72.687200000000004</v>
      </c>
      <c r="J382" s="14">
        <f>72.6851 * CHOOSE(CONTROL!$C$9, $D$9, 100%, $F$9) + CHOOSE(CONTROL!$C$27, 0.0021, 0)</f>
        <v>72.687200000000004</v>
      </c>
      <c r="K382" s="14">
        <f>72.6851 * CHOOSE(CONTROL!$C$9, $D$9, 100%, $F$9) + CHOOSE(CONTROL!$C$27, 0.0021, 0)</f>
        <v>72.687200000000004</v>
      </c>
      <c r="L382" s="14"/>
    </row>
    <row r="383" spans="1:12" ht="15.75" x14ac:dyDescent="0.25">
      <c r="A383" s="33">
        <v>52596</v>
      </c>
      <c r="B383" s="14">
        <f>71.7286 * CHOOSE(CONTROL!$C$9, $D$9, 100%, $F$9) + CHOOSE(CONTROL!$C$27, 0.0021, 0)</f>
        <v>71.730699999999999</v>
      </c>
      <c r="C383" s="14">
        <f>71.2963 * CHOOSE(CONTROL!$C$9, $D$9, 100%, $F$9) + CHOOSE(CONTROL!$C$27, 0.0021, 0)</f>
        <v>71.298400000000001</v>
      </c>
      <c r="D383" s="14">
        <f>71.2963 * CHOOSE(CONTROL!$C$9, $D$9, 100%, $F$9) + CHOOSE(CONTROL!$C$27, 0.0021, 0)</f>
        <v>71.298400000000001</v>
      </c>
      <c r="E383" s="14">
        <f>71.1597 * CHOOSE(CONTROL!$C$9, $D$9, 100%, $F$9) + CHOOSE(CONTROL!$C$27, 0.0021, 0)</f>
        <v>71.161799999999999</v>
      </c>
      <c r="F383" s="14">
        <f>71.1597 * CHOOSE(CONTROL!$C$9, $D$9, 100%, $F$9) + CHOOSE(CONTROL!$C$27, 0.0021, 0)</f>
        <v>71.161799999999999</v>
      </c>
      <c r="G383" s="14">
        <f>71.4311 * CHOOSE(CONTROL!$C$9, $D$9, 100%, $F$9) + CHOOSE(CONTROL!$C$27, 0.0021, 0)</f>
        <v>71.433199999999999</v>
      </c>
      <c r="H383" s="14">
        <f>71.2963 * CHOOSE(CONTROL!$C$9, $D$9, 100%, $F$9) + CHOOSE(CONTROL!$C$27, 0.0021, 0)</f>
        <v>71.298400000000001</v>
      </c>
      <c r="I383" s="14">
        <f>71.2963 * CHOOSE(CONTROL!$C$9, $D$9, 100%, $F$9) + CHOOSE(CONTROL!$C$27, 0.0021, 0)</f>
        <v>71.298400000000001</v>
      </c>
      <c r="J383" s="14">
        <f>71.2963 * CHOOSE(CONTROL!$C$9, $D$9, 100%, $F$9) + CHOOSE(CONTROL!$C$27, 0.0021, 0)</f>
        <v>71.298400000000001</v>
      </c>
      <c r="K383" s="14">
        <f>71.2963 * CHOOSE(CONTROL!$C$9, $D$9, 100%, $F$9) + CHOOSE(CONTROL!$C$27, 0.0021, 0)</f>
        <v>71.298400000000001</v>
      </c>
      <c r="L383" s="14"/>
    </row>
    <row r="384" spans="1:12" ht="15.75" x14ac:dyDescent="0.25">
      <c r="A384" s="33">
        <v>52627</v>
      </c>
      <c r="B384" s="14">
        <f>70.8509 * CHOOSE(CONTROL!$C$9, $D$9, 100%, $F$9) + CHOOSE(CONTROL!$C$27, 0.0021, 0)</f>
        <v>70.852999999999994</v>
      </c>
      <c r="C384" s="14">
        <f>70.4186 * CHOOSE(CONTROL!$C$9, $D$9, 100%, $F$9) + CHOOSE(CONTROL!$C$27, 0.0021, 0)</f>
        <v>70.420699999999997</v>
      </c>
      <c r="D384" s="14">
        <f>70.4186 * CHOOSE(CONTROL!$C$9, $D$9, 100%, $F$9) + CHOOSE(CONTROL!$C$27, 0.0021, 0)</f>
        <v>70.420699999999997</v>
      </c>
      <c r="E384" s="14">
        <f>70.2819 * CHOOSE(CONTROL!$C$9, $D$9, 100%, $F$9) + CHOOSE(CONTROL!$C$27, 0.0021, 0)</f>
        <v>70.283999999999992</v>
      </c>
      <c r="F384" s="14">
        <f>70.2819 * CHOOSE(CONTROL!$C$9, $D$9, 100%, $F$9) + CHOOSE(CONTROL!$C$27, 0.0021, 0)</f>
        <v>70.283999999999992</v>
      </c>
      <c r="G384" s="14">
        <f>70.5533 * CHOOSE(CONTROL!$C$9, $D$9, 100%, $F$9) + CHOOSE(CONTROL!$C$27, 0.0021, 0)</f>
        <v>70.555399999999992</v>
      </c>
      <c r="H384" s="14">
        <f>70.4186 * CHOOSE(CONTROL!$C$9, $D$9, 100%, $F$9) + CHOOSE(CONTROL!$C$27, 0.0021, 0)</f>
        <v>70.420699999999997</v>
      </c>
      <c r="I384" s="14">
        <f>70.4186 * CHOOSE(CONTROL!$C$9, $D$9, 100%, $F$9) + CHOOSE(CONTROL!$C$27, 0.0021, 0)</f>
        <v>70.420699999999997</v>
      </c>
      <c r="J384" s="14">
        <f>70.4186 * CHOOSE(CONTROL!$C$9, $D$9, 100%, $F$9) + CHOOSE(CONTROL!$C$27, 0.0021, 0)</f>
        <v>70.420699999999997</v>
      </c>
      <c r="K384" s="14">
        <f>70.4186 * CHOOSE(CONTROL!$C$9, $D$9, 100%, $F$9) + CHOOSE(CONTROL!$C$27, 0.0021, 0)</f>
        <v>70.420699999999997</v>
      </c>
      <c r="L384" s="14"/>
    </row>
    <row r="385" spans="1:12" ht="15.75" x14ac:dyDescent="0.25">
      <c r="A385" s="33">
        <v>52655</v>
      </c>
      <c r="B385" s="14">
        <f>68.9116 * CHOOSE(CONTROL!$C$9, $D$9, 100%, $F$9) + CHOOSE(CONTROL!$C$27, 0.0021, 0)</f>
        <v>68.913700000000006</v>
      </c>
      <c r="C385" s="14">
        <f>68.4794 * CHOOSE(CONTROL!$C$9, $D$9, 100%, $F$9) + CHOOSE(CONTROL!$C$27, 0.0021, 0)</f>
        <v>68.481499999999997</v>
      </c>
      <c r="D385" s="14">
        <f>68.4794 * CHOOSE(CONTROL!$C$9, $D$9, 100%, $F$9) + CHOOSE(CONTROL!$C$27, 0.0021, 0)</f>
        <v>68.481499999999997</v>
      </c>
      <c r="E385" s="14">
        <f>68.3427 * CHOOSE(CONTROL!$C$9, $D$9, 100%, $F$9) + CHOOSE(CONTROL!$C$27, 0.0021, 0)</f>
        <v>68.344799999999992</v>
      </c>
      <c r="F385" s="14">
        <f>68.3427 * CHOOSE(CONTROL!$C$9, $D$9, 100%, $F$9) + CHOOSE(CONTROL!$C$27, 0.0021, 0)</f>
        <v>68.344799999999992</v>
      </c>
      <c r="G385" s="14">
        <f>68.6141 * CHOOSE(CONTROL!$C$9, $D$9, 100%, $F$9) + CHOOSE(CONTROL!$C$27, 0.0021, 0)</f>
        <v>68.616199999999992</v>
      </c>
      <c r="H385" s="14">
        <f>68.4794 * CHOOSE(CONTROL!$C$9, $D$9, 100%, $F$9) + CHOOSE(CONTROL!$C$27, 0.0021, 0)</f>
        <v>68.481499999999997</v>
      </c>
      <c r="I385" s="14">
        <f>68.4794 * CHOOSE(CONTROL!$C$9, $D$9, 100%, $F$9) + CHOOSE(CONTROL!$C$27, 0.0021, 0)</f>
        <v>68.481499999999997</v>
      </c>
      <c r="J385" s="14">
        <f>68.4794 * CHOOSE(CONTROL!$C$9, $D$9, 100%, $F$9) + CHOOSE(CONTROL!$C$27, 0.0021, 0)</f>
        <v>68.481499999999997</v>
      </c>
      <c r="K385" s="14">
        <f>68.4794 * CHOOSE(CONTROL!$C$9, $D$9, 100%, $F$9) + CHOOSE(CONTROL!$C$27, 0.0021, 0)</f>
        <v>68.481499999999997</v>
      </c>
      <c r="L385" s="14"/>
    </row>
    <row r="386" spans="1:12" ht="15.75" x14ac:dyDescent="0.25">
      <c r="A386" s="33">
        <v>52687</v>
      </c>
      <c r="B386" s="14">
        <f>68.1111 * CHOOSE(CONTROL!$C$9, $D$9, 100%, $F$9) + CHOOSE(CONTROL!$C$27, 0.0021, 0)</f>
        <v>68.113199999999992</v>
      </c>
      <c r="C386" s="14">
        <f>67.6789 * CHOOSE(CONTROL!$C$9, $D$9, 100%, $F$9) + CHOOSE(CONTROL!$C$27, 0.0021, 0)</f>
        <v>67.680999999999997</v>
      </c>
      <c r="D386" s="14">
        <f>67.6789 * CHOOSE(CONTROL!$C$9, $D$9, 100%, $F$9) + CHOOSE(CONTROL!$C$27, 0.0021, 0)</f>
        <v>67.680999999999997</v>
      </c>
      <c r="E386" s="14">
        <f>67.5422 * CHOOSE(CONTROL!$C$9, $D$9, 100%, $F$9) + CHOOSE(CONTROL!$C$27, 0.0021, 0)</f>
        <v>67.544299999999993</v>
      </c>
      <c r="F386" s="14">
        <f>67.5422 * CHOOSE(CONTROL!$C$9, $D$9, 100%, $F$9) + CHOOSE(CONTROL!$C$27, 0.0021, 0)</f>
        <v>67.544299999999993</v>
      </c>
      <c r="G386" s="14">
        <f>67.8136 * CHOOSE(CONTROL!$C$9, $D$9, 100%, $F$9) + CHOOSE(CONTROL!$C$27, 0.0021, 0)</f>
        <v>67.815699999999993</v>
      </c>
      <c r="H386" s="14">
        <f>67.6789 * CHOOSE(CONTROL!$C$9, $D$9, 100%, $F$9) + CHOOSE(CONTROL!$C$27, 0.0021, 0)</f>
        <v>67.680999999999997</v>
      </c>
      <c r="I386" s="14">
        <f>67.6789 * CHOOSE(CONTROL!$C$9, $D$9, 100%, $F$9) + CHOOSE(CONTROL!$C$27, 0.0021, 0)</f>
        <v>67.680999999999997</v>
      </c>
      <c r="J386" s="14">
        <f>67.6789 * CHOOSE(CONTROL!$C$9, $D$9, 100%, $F$9) + CHOOSE(CONTROL!$C$27, 0.0021, 0)</f>
        <v>67.680999999999997</v>
      </c>
      <c r="K386" s="14">
        <f>67.6789 * CHOOSE(CONTROL!$C$9, $D$9, 100%, $F$9) + CHOOSE(CONTROL!$C$27, 0.0021, 0)</f>
        <v>67.680999999999997</v>
      </c>
      <c r="L386" s="14"/>
    </row>
    <row r="387" spans="1:12" ht="15.75" x14ac:dyDescent="0.25">
      <c r="A387" s="33">
        <v>52717</v>
      </c>
      <c r="B387" s="14">
        <f>67.1553 * CHOOSE(CONTROL!$C$9, $D$9, 100%, $F$9) + CHOOSE(CONTROL!$C$27, 0.0021, 0)</f>
        <v>67.157399999999996</v>
      </c>
      <c r="C387" s="14">
        <f>66.7231 * CHOOSE(CONTROL!$C$9, $D$9, 100%, $F$9) + CHOOSE(CONTROL!$C$27, 0.0021, 0)</f>
        <v>66.725200000000001</v>
      </c>
      <c r="D387" s="14">
        <f>66.7231 * CHOOSE(CONTROL!$C$9, $D$9, 100%, $F$9) + CHOOSE(CONTROL!$C$27, 0.0021, 0)</f>
        <v>66.725200000000001</v>
      </c>
      <c r="E387" s="14">
        <f>66.5864 * CHOOSE(CONTROL!$C$9, $D$9, 100%, $F$9) + CHOOSE(CONTROL!$C$27, 0.0021, 0)</f>
        <v>66.588499999999996</v>
      </c>
      <c r="F387" s="14">
        <f>66.5864 * CHOOSE(CONTROL!$C$9, $D$9, 100%, $F$9) + CHOOSE(CONTROL!$C$27, 0.0021, 0)</f>
        <v>66.588499999999996</v>
      </c>
      <c r="G387" s="14">
        <f>66.8578 * CHOOSE(CONTROL!$C$9, $D$9, 100%, $F$9) + CHOOSE(CONTROL!$C$27, 0.0021, 0)</f>
        <v>66.859899999999996</v>
      </c>
      <c r="H387" s="14">
        <f>66.7231 * CHOOSE(CONTROL!$C$9, $D$9, 100%, $F$9) + CHOOSE(CONTROL!$C$27, 0.0021, 0)</f>
        <v>66.725200000000001</v>
      </c>
      <c r="I387" s="14">
        <f>66.7231 * CHOOSE(CONTROL!$C$9, $D$9, 100%, $F$9) + CHOOSE(CONTROL!$C$27, 0.0021, 0)</f>
        <v>66.725200000000001</v>
      </c>
      <c r="J387" s="14">
        <f>66.7231 * CHOOSE(CONTROL!$C$9, $D$9, 100%, $F$9) + CHOOSE(CONTROL!$C$27, 0.0021, 0)</f>
        <v>66.725200000000001</v>
      </c>
      <c r="K387" s="14">
        <f>66.7231 * CHOOSE(CONTROL!$C$9, $D$9, 100%, $F$9) + CHOOSE(CONTROL!$C$27, 0.0021, 0)</f>
        <v>66.725200000000001</v>
      </c>
      <c r="L387" s="14"/>
    </row>
    <row r="388" spans="1:12" ht="15.75" x14ac:dyDescent="0.25">
      <c r="A388" s="33">
        <v>52748</v>
      </c>
      <c r="B388" s="14">
        <f>68.5175 * CHOOSE(CONTROL!$C$9, $D$9, 100%, $F$9) + CHOOSE(CONTROL!$C$27, 0.0021, 0)</f>
        <v>68.519599999999997</v>
      </c>
      <c r="C388" s="14">
        <f>68.0852 * CHOOSE(CONTROL!$C$9, $D$9, 100%, $F$9) + CHOOSE(CONTROL!$C$27, 0.0021, 0)</f>
        <v>68.087299999999999</v>
      </c>
      <c r="D388" s="14">
        <f>68.0852 * CHOOSE(CONTROL!$C$9, $D$9, 100%, $F$9) + CHOOSE(CONTROL!$C$27, 0.0021, 0)</f>
        <v>68.087299999999999</v>
      </c>
      <c r="E388" s="14">
        <f>67.9486 * CHOOSE(CONTROL!$C$9, $D$9, 100%, $F$9) + CHOOSE(CONTROL!$C$27, 0.0021, 0)</f>
        <v>67.950699999999998</v>
      </c>
      <c r="F388" s="14">
        <f>67.9486 * CHOOSE(CONTROL!$C$9, $D$9, 100%, $F$9) + CHOOSE(CONTROL!$C$27, 0.0021, 0)</f>
        <v>67.950699999999998</v>
      </c>
      <c r="G388" s="14">
        <f>68.22 * CHOOSE(CONTROL!$C$9, $D$9, 100%, $F$9) + CHOOSE(CONTROL!$C$27, 0.0021, 0)</f>
        <v>68.222099999999998</v>
      </c>
      <c r="H388" s="14">
        <f>68.0852 * CHOOSE(CONTROL!$C$9, $D$9, 100%, $F$9) + CHOOSE(CONTROL!$C$27, 0.0021, 0)</f>
        <v>68.087299999999999</v>
      </c>
      <c r="I388" s="14">
        <f>68.0852 * CHOOSE(CONTROL!$C$9, $D$9, 100%, $F$9) + CHOOSE(CONTROL!$C$27, 0.0021, 0)</f>
        <v>68.087299999999999</v>
      </c>
      <c r="J388" s="14">
        <f>68.0852 * CHOOSE(CONTROL!$C$9, $D$9, 100%, $F$9) + CHOOSE(CONTROL!$C$27, 0.0021, 0)</f>
        <v>68.087299999999999</v>
      </c>
      <c r="K388" s="14">
        <f>68.0852 * CHOOSE(CONTROL!$C$9, $D$9, 100%, $F$9) + CHOOSE(CONTROL!$C$27, 0.0021, 0)</f>
        <v>68.087299999999999</v>
      </c>
      <c r="L388" s="14"/>
    </row>
    <row r="389" spans="1:12" ht="15.75" x14ac:dyDescent="0.25">
      <c r="A389" s="33">
        <v>52778</v>
      </c>
      <c r="B389" s="14">
        <f>69.3334 * CHOOSE(CONTROL!$C$9, $D$9, 100%, $F$9) + CHOOSE(CONTROL!$C$27, 0.0021, 0)</f>
        <v>69.335499999999996</v>
      </c>
      <c r="C389" s="14">
        <f>68.9011 * CHOOSE(CONTROL!$C$9, $D$9, 100%, $F$9) + CHOOSE(CONTROL!$C$27, 0.0021, 0)</f>
        <v>68.903199999999998</v>
      </c>
      <c r="D389" s="14">
        <f>68.9011 * CHOOSE(CONTROL!$C$9, $D$9, 100%, $F$9) + CHOOSE(CONTROL!$C$27, 0.0021, 0)</f>
        <v>68.903199999999998</v>
      </c>
      <c r="E389" s="14">
        <f>68.7645 * CHOOSE(CONTROL!$C$9, $D$9, 100%, $F$9) + CHOOSE(CONTROL!$C$27, 0.0021, 0)</f>
        <v>68.766599999999997</v>
      </c>
      <c r="F389" s="14">
        <f>68.7645 * CHOOSE(CONTROL!$C$9, $D$9, 100%, $F$9) + CHOOSE(CONTROL!$C$27, 0.0021, 0)</f>
        <v>68.766599999999997</v>
      </c>
      <c r="G389" s="14">
        <f>69.0358 * CHOOSE(CONTROL!$C$9, $D$9, 100%, $F$9) + CHOOSE(CONTROL!$C$27, 0.0021, 0)</f>
        <v>69.037899999999993</v>
      </c>
      <c r="H389" s="14">
        <f>68.9011 * CHOOSE(CONTROL!$C$9, $D$9, 100%, $F$9) + CHOOSE(CONTROL!$C$27, 0.0021, 0)</f>
        <v>68.903199999999998</v>
      </c>
      <c r="I389" s="14">
        <f>68.9011 * CHOOSE(CONTROL!$C$9, $D$9, 100%, $F$9) + CHOOSE(CONTROL!$C$27, 0.0021, 0)</f>
        <v>68.903199999999998</v>
      </c>
      <c r="J389" s="14">
        <f>68.9011 * CHOOSE(CONTROL!$C$9, $D$9, 100%, $F$9) + CHOOSE(CONTROL!$C$27, 0.0021, 0)</f>
        <v>68.903199999999998</v>
      </c>
      <c r="K389" s="14">
        <f>68.9011 * CHOOSE(CONTROL!$C$9, $D$9, 100%, $F$9) + CHOOSE(CONTROL!$C$27, 0.0021, 0)</f>
        <v>68.903199999999998</v>
      </c>
      <c r="L389" s="14"/>
    </row>
    <row r="390" spans="1:12" ht="15.75" x14ac:dyDescent="0.25">
      <c r="A390" s="33">
        <v>52809</v>
      </c>
      <c r="B390" s="14">
        <f>70.6793 * CHOOSE(CONTROL!$C$9, $D$9, 100%, $F$9) + CHOOSE(CONTROL!$C$27, 0.0021, 0)</f>
        <v>70.681399999999996</v>
      </c>
      <c r="C390" s="14">
        <f>70.247 * CHOOSE(CONTROL!$C$9, $D$9, 100%, $F$9) + CHOOSE(CONTROL!$C$27, 0.0021, 0)</f>
        <v>70.249099999999999</v>
      </c>
      <c r="D390" s="14">
        <f>70.247 * CHOOSE(CONTROL!$C$9, $D$9, 100%, $F$9) + CHOOSE(CONTROL!$C$27, 0.0021, 0)</f>
        <v>70.249099999999999</v>
      </c>
      <c r="E390" s="14">
        <f>70.1103 * CHOOSE(CONTROL!$C$9, $D$9, 100%, $F$9) + CHOOSE(CONTROL!$C$27, 0.0021, 0)</f>
        <v>70.112399999999994</v>
      </c>
      <c r="F390" s="14">
        <f>70.1103 * CHOOSE(CONTROL!$C$9, $D$9, 100%, $F$9) + CHOOSE(CONTROL!$C$27, 0.0021, 0)</f>
        <v>70.112399999999994</v>
      </c>
      <c r="G390" s="14">
        <f>70.3817 * CHOOSE(CONTROL!$C$9, $D$9, 100%, $F$9) + CHOOSE(CONTROL!$C$27, 0.0021, 0)</f>
        <v>70.383799999999994</v>
      </c>
      <c r="H390" s="14">
        <f>70.247 * CHOOSE(CONTROL!$C$9, $D$9, 100%, $F$9) + CHOOSE(CONTROL!$C$27, 0.0021, 0)</f>
        <v>70.249099999999999</v>
      </c>
      <c r="I390" s="14">
        <f>70.247 * CHOOSE(CONTROL!$C$9, $D$9, 100%, $F$9) + CHOOSE(CONTROL!$C$27, 0.0021, 0)</f>
        <v>70.249099999999999</v>
      </c>
      <c r="J390" s="14">
        <f>70.247 * CHOOSE(CONTROL!$C$9, $D$9, 100%, $F$9) + CHOOSE(CONTROL!$C$27, 0.0021, 0)</f>
        <v>70.249099999999999</v>
      </c>
      <c r="K390" s="14">
        <f>70.247 * CHOOSE(CONTROL!$C$9, $D$9, 100%, $F$9) + CHOOSE(CONTROL!$C$27, 0.0021, 0)</f>
        <v>70.249099999999999</v>
      </c>
      <c r="L390" s="14"/>
    </row>
    <row r="391" spans="1:12" ht="15.75" x14ac:dyDescent="0.25">
      <c r="A391" s="33">
        <v>52840</v>
      </c>
      <c r="B391" s="14">
        <f>71.0901 * CHOOSE(CONTROL!$C$9, $D$9, 100%, $F$9) + CHOOSE(CONTROL!$C$27, 0.0021, 0)</f>
        <v>71.092200000000005</v>
      </c>
      <c r="C391" s="14">
        <f>70.6578 * CHOOSE(CONTROL!$C$9, $D$9, 100%, $F$9) + CHOOSE(CONTROL!$C$27, 0.0021, 0)</f>
        <v>70.659899999999993</v>
      </c>
      <c r="D391" s="14">
        <f>70.6578 * CHOOSE(CONTROL!$C$9, $D$9, 100%, $F$9) + CHOOSE(CONTROL!$C$27, 0.0021, 0)</f>
        <v>70.659899999999993</v>
      </c>
      <c r="E391" s="14">
        <f>70.5212 * CHOOSE(CONTROL!$C$9, $D$9, 100%, $F$9) + CHOOSE(CONTROL!$C$27, 0.0021, 0)</f>
        <v>70.523299999999992</v>
      </c>
      <c r="F391" s="14">
        <f>70.5212 * CHOOSE(CONTROL!$C$9, $D$9, 100%, $F$9) + CHOOSE(CONTROL!$C$27, 0.0021, 0)</f>
        <v>70.523299999999992</v>
      </c>
      <c r="G391" s="14">
        <f>70.7925 * CHOOSE(CONTROL!$C$9, $D$9, 100%, $F$9) + CHOOSE(CONTROL!$C$27, 0.0021, 0)</f>
        <v>70.794600000000003</v>
      </c>
      <c r="H391" s="14">
        <f>70.6578 * CHOOSE(CONTROL!$C$9, $D$9, 100%, $F$9) + CHOOSE(CONTROL!$C$27, 0.0021, 0)</f>
        <v>70.659899999999993</v>
      </c>
      <c r="I391" s="14">
        <f>70.6578 * CHOOSE(CONTROL!$C$9, $D$9, 100%, $F$9) + CHOOSE(CONTROL!$C$27, 0.0021, 0)</f>
        <v>70.659899999999993</v>
      </c>
      <c r="J391" s="14">
        <f>70.6578 * CHOOSE(CONTROL!$C$9, $D$9, 100%, $F$9) + CHOOSE(CONTROL!$C$27, 0.0021, 0)</f>
        <v>70.659899999999993</v>
      </c>
      <c r="K391" s="14">
        <f>70.6578 * CHOOSE(CONTROL!$C$9, $D$9, 100%, $F$9) + CHOOSE(CONTROL!$C$27, 0.0021, 0)</f>
        <v>70.659899999999993</v>
      </c>
      <c r="L391" s="14"/>
    </row>
    <row r="392" spans="1:12" ht="15.75" x14ac:dyDescent="0.25">
      <c r="A392" s="33">
        <v>52870</v>
      </c>
      <c r="B392" s="14">
        <f>72.4891 * CHOOSE(CONTROL!$C$9, $D$9, 100%, $F$9) + CHOOSE(CONTROL!$C$27, 0.0021, 0)</f>
        <v>72.491199999999992</v>
      </c>
      <c r="C392" s="14">
        <f>72.0568 * CHOOSE(CONTROL!$C$9, $D$9, 100%, $F$9) + CHOOSE(CONTROL!$C$27, 0.0021, 0)</f>
        <v>72.058899999999994</v>
      </c>
      <c r="D392" s="14">
        <f>72.0568 * CHOOSE(CONTROL!$C$9, $D$9, 100%, $F$9) + CHOOSE(CONTROL!$C$27, 0.0021, 0)</f>
        <v>72.058899999999994</v>
      </c>
      <c r="E392" s="14">
        <f>71.9202 * CHOOSE(CONTROL!$C$9, $D$9, 100%, $F$9) + CHOOSE(CONTROL!$C$27, 0.0021, 0)</f>
        <v>71.922299999999993</v>
      </c>
      <c r="F392" s="14">
        <f>71.9202 * CHOOSE(CONTROL!$C$9, $D$9, 100%, $F$9) + CHOOSE(CONTROL!$C$27, 0.0021, 0)</f>
        <v>71.922299999999993</v>
      </c>
      <c r="G392" s="14">
        <f>72.1915 * CHOOSE(CONTROL!$C$9, $D$9, 100%, $F$9) + CHOOSE(CONTROL!$C$27, 0.0021, 0)</f>
        <v>72.193600000000004</v>
      </c>
      <c r="H392" s="14">
        <f>72.0568 * CHOOSE(CONTROL!$C$9, $D$9, 100%, $F$9) + CHOOSE(CONTROL!$C$27, 0.0021, 0)</f>
        <v>72.058899999999994</v>
      </c>
      <c r="I392" s="14">
        <f>72.0568 * CHOOSE(CONTROL!$C$9, $D$9, 100%, $F$9) + CHOOSE(CONTROL!$C$27, 0.0021, 0)</f>
        <v>72.058899999999994</v>
      </c>
      <c r="J392" s="14">
        <f>72.0568 * CHOOSE(CONTROL!$C$9, $D$9, 100%, $F$9) + CHOOSE(CONTROL!$C$27, 0.0021, 0)</f>
        <v>72.058899999999994</v>
      </c>
      <c r="K392" s="14">
        <f>72.0568 * CHOOSE(CONTROL!$C$9, $D$9, 100%, $F$9) + CHOOSE(CONTROL!$C$27, 0.0021, 0)</f>
        <v>72.058899999999994</v>
      </c>
      <c r="L392" s="14"/>
    </row>
    <row r="393" spans="1:12" ht="15.75" x14ac:dyDescent="0.25">
      <c r="A393" s="33">
        <v>52901</v>
      </c>
      <c r="B393" s="14">
        <f>74.26 * CHOOSE(CONTROL!$C$9, $D$9, 100%, $F$9) + CHOOSE(CONTROL!$C$27, 0.0021, 0)</f>
        <v>74.262100000000004</v>
      </c>
      <c r="C393" s="14">
        <f>73.8277 * CHOOSE(CONTROL!$C$9, $D$9, 100%, $F$9) + CHOOSE(CONTROL!$C$27, 0.0021, 0)</f>
        <v>73.829799999999992</v>
      </c>
      <c r="D393" s="14">
        <f>73.8277 * CHOOSE(CONTROL!$C$9, $D$9, 100%, $F$9) + CHOOSE(CONTROL!$C$27, 0.0021, 0)</f>
        <v>73.829799999999992</v>
      </c>
      <c r="E393" s="14">
        <f>73.691 * CHOOSE(CONTROL!$C$9, $D$9, 100%, $F$9) + CHOOSE(CONTROL!$C$27, 0.0021, 0)</f>
        <v>73.693100000000001</v>
      </c>
      <c r="F393" s="14">
        <f>73.691 * CHOOSE(CONTROL!$C$9, $D$9, 100%, $F$9) + CHOOSE(CONTROL!$C$27, 0.0021, 0)</f>
        <v>73.693100000000001</v>
      </c>
      <c r="G393" s="14">
        <f>73.9624 * CHOOSE(CONTROL!$C$9, $D$9, 100%, $F$9) + CHOOSE(CONTROL!$C$27, 0.0021, 0)</f>
        <v>73.964500000000001</v>
      </c>
      <c r="H393" s="14">
        <f>73.8277 * CHOOSE(CONTROL!$C$9, $D$9, 100%, $F$9) + CHOOSE(CONTROL!$C$27, 0.0021, 0)</f>
        <v>73.829799999999992</v>
      </c>
      <c r="I393" s="14">
        <f>73.8277 * CHOOSE(CONTROL!$C$9, $D$9, 100%, $F$9) + CHOOSE(CONTROL!$C$27, 0.0021, 0)</f>
        <v>73.829799999999992</v>
      </c>
      <c r="J393" s="14">
        <f>73.8277 * CHOOSE(CONTROL!$C$9, $D$9, 100%, $F$9) + CHOOSE(CONTROL!$C$27, 0.0021, 0)</f>
        <v>73.829799999999992</v>
      </c>
      <c r="K393" s="14">
        <f>73.8277 * CHOOSE(CONTROL!$C$9, $D$9, 100%, $F$9) + CHOOSE(CONTROL!$C$27, 0.0021, 0)</f>
        <v>73.829799999999992</v>
      </c>
      <c r="L393" s="14"/>
    </row>
    <row r="394" spans="1:12" ht="15.75" x14ac:dyDescent="0.25">
      <c r="A394" s="33">
        <v>52931</v>
      </c>
      <c r="B394" s="14">
        <f>74.4262 * CHOOSE(CONTROL!$C$9, $D$9, 100%, $F$9) + CHOOSE(CONTROL!$C$27, 0.0021, 0)</f>
        <v>74.428299999999993</v>
      </c>
      <c r="C394" s="14">
        <f>73.994 * CHOOSE(CONTROL!$C$9, $D$9, 100%, $F$9) + CHOOSE(CONTROL!$C$27, 0.0021, 0)</f>
        <v>73.996099999999998</v>
      </c>
      <c r="D394" s="14">
        <f>73.994 * CHOOSE(CONTROL!$C$9, $D$9, 100%, $F$9) + CHOOSE(CONTROL!$C$27, 0.0021, 0)</f>
        <v>73.996099999999998</v>
      </c>
      <c r="E394" s="14">
        <f>73.8573 * CHOOSE(CONTROL!$C$9, $D$9, 100%, $F$9) + CHOOSE(CONTROL!$C$27, 0.0021, 0)</f>
        <v>73.859399999999994</v>
      </c>
      <c r="F394" s="14">
        <f>73.8573 * CHOOSE(CONTROL!$C$9, $D$9, 100%, $F$9) + CHOOSE(CONTROL!$C$27, 0.0021, 0)</f>
        <v>73.859399999999994</v>
      </c>
      <c r="G394" s="14">
        <f>74.1287 * CHOOSE(CONTROL!$C$9, $D$9, 100%, $F$9) + CHOOSE(CONTROL!$C$27, 0.0021, 0)</f>
        <v>74.130799999999994</v>
      </c>
      <c r="H394" s="14">
        <f>73.994 * CHOOSE(CONTROL!$C$9, $D$9, 100%, $F$9) + CHOOSE(CONTROL!$C$27, 0.0021, 0)</f>
        <v>73.996099999999998</v>
      </c>
      <c r="I394" s="14">
        <f>73.994 * CHOOSE(CONTROL!$C$9, $D$9, 100%, $F$9) + CHOOSE(CONTROL!$C$27, 0.0021, 0)</f>
        <v>73.996099999999998</v>
      </c>
      <c r="J394" s="14">
        <f>73.994 * CHOOSE(CONTROL!$C$9, $D$9, 100%, $F$9) + CHOOSE(CONTROL!$C$27, 0.0021, 0)</f>
        <v>73.996099999999998</v>
      </c>
      <c r="K394" s="14">
        <f>73.994 * CHOOSE(CONTROL!$C$9, $D$9, 100%, $F$9) + CHOOSE(CONTROL!$C$27, 0.0021, 0)</f>
        <v>73.996099999999998</v>
      </c>
      <c r="L394" s="14"/>
    </row>
    <row r="395" spans="1:12" ht="15.75" x14ac:dyDescent="0.25">
      <c r="A395" s="33">
        <v>52962</v>
      </c>
      <c r="B395" s="14">
        <f>73.0118 * CHOOSE(CONTROL!$C$9, $D$9, 100%, $F$9) + CHOOSE(CONTROL!$C$27, 0.0021, 0)</f>
        <v>73.013899999999992</v>
      </c>
      <c r="C395" s="14">
        <f>72.5796 * CHOOSE(CONTROL!$C$9, $D$9, 100%, $F$9) + CHOOSE(CONTROL!$C$27, 0.0021, 0)</f>
        <v>72.581699999999998</v>
      </c>
      <c r="D395" s="14">
        <f>72.5796 * CHOOSE(CONTROL!$C$9, $D$9, 100%, $F$9) + CHOOSE(CONTROL!$C$27, 0.0021, 0)</f>
        <v>72.581699999999998</v>
      </c>
      <c r="E395" s="14">
        <f>72.4429 * CHOOSE(CONTROL!$C$9, $D$9, 100%, $F$9) + CHOOSE(CONTROL!$C$27, 0.0021, 0)</f>
        <v>72.444999999999993</v>
      </c>
      <c r="F395" s="14">
        <f>72.4429 * CHOOSE(CONTROL!$C$9, $D$9, 100%, $F$9) + CHOOSE(CONTROL!$C$27, 0.0021, 0)</f>
        <v>72.444999999999993</v>
      </c>
      <c r="G395" s="14">
        <f>72.7143 * CHOOSE(CONTROL!$C$9, $D$9, 100%, $F$9) + CHOOSE(CONTROL!$C$27, 0.0021, 0)</f>
        <v>72.716399999999993</v>
      </c>
      <c r="H395" s="14">
        <f>72.5796 * CHOOSE(CONTROL!$C$9, $D$9, 100%, $F$9) + CHOOSE(CONTROL!$C$27, 0.0021, 0)</f>
        <v>72.581699999999998</v>
      </c>
      <c r="I395" s="14">
        <f>72.5796 * CHOOSE(CONTROL!$C$9, $D$9, 100%, $F$9) + CHOOSE(CONTROL!$C$27, 0.0021, 0)</f>
        <v>72.581699999999998</v>
      </c>
      <c r="J395" s="14">
        <f>72.5796 * CHOOSE(CONTROL!$C$9, $D$9, 100%, $F$9) + CHOOSE(CONTROL!$C$27, 0.0021, 0)</f>
        <v>72.581699999999998</v>
      </c>
      <c r="K395" s="14">
        <f>72.5796 * CHOOSE(CONTROL!$C$9, $D$9, 100%, $F$9) + CHOOSE(CONTROL!$C$27, 0.0021, 0)</f>
        <v>72.581699999999998</v>
      </c>
      <c r="L395" s="14"/>
    </row>
    <row r="396" spans="1:12" ht="15.75" x14ac:dyDescent="0.25">
      <c r="A396" s="33">
        <v>52993</v>
      </c>
      <c r="B396" s="14">
        <f>72.1179 * CHOOSE(CONTROL!$C$9, $D$9, 100%, $F$9) + CHOOSE(CONTROL!$C$27, 0.0021, 0)</f>
        <v>72.12</v>
      </c>
      <c r="C396" s="14">
        <f>71.6856 * CHOOSE(CONTROL!$C$9, $D$9, 100%, $F$9) + CHOOSE(CONTROL!$C$27, 0.0021, 0)</f>
        <v>71.687699999999992</v>
      </c>
      <c r="D396" s="14">
        <f>71.6856 * CHOOSE(CONTROL!$C$9, $D$9, 100%, $F$9) + CHOOSE(CONTROL!$C$27, 0.0021, 0)</f>
        <v>71.687699999999992</v>
      </c>
      <c r="E396" s="14">
        <f>71.549 * CHOOSE(CONTROL!$C$9, $D$9, 100%, $F$9) + CHOOSE(CONTROL!$C$27, 0.0021, 0)</f>
        <v>71.551100000000005</v>
      </c>
      <c r="F396" s="14">
        <f>71.549 * CHOOSE(CONTROL!$C$9, $D$9, 100%, $F$9) + CHOOSE(CONTROL!$C$27, 0.0021, 0)</f>
        <v>71.551100000000005</v>
      </c>
      <c r="G396" s="14">
        <f>71.8203 * CHOOSE(CONTROL!$C$9, $D$9, 100%, $F$9) + CHOOSE(CONTROL!$C$27, 0.0021, 0)</f>
        <v>71.822400000000002</v>
      </c>
      <c r="H396" s="14">
        <f>71.6856 * CHOOSE(CONTROL!$C$9, $D$9, 100%, $F$9) + CHOOSE(CONTROL!$C$27, 0.0021, 0)</f>
        <v>71.687699999999992</v>
      </c>
      <c r="I396" s="14">
        <f>71.6856 * CHOOSE(CONTROL!$C$9, $D$9, 100%, $F$9) + CHOOSE(CONTROL!$C$27, 0.0021, 0)</f>
        <v>71.687699999999992</v>
      </c>
      <c r="J396" s="14">
        <f>71.6856 * CHOOSE(CONTROL!$C$9, $D$9, 100%, $F$9) + CHOOSE(CONTROL!$C$27, 0.0021, 0)</f>
        <v>71.687699999999992</v>
      </c>
      <c r="K396" s="14">
        <f>71.6856 * CHOOSE(CONTROL!$C$9, $D$9, 100%, $F$9) + CHOOSE(CONTROL!$C$27, 0.0021, 0)</f>
        <v>71.687699999999992</v>
      </c>
      <c r="L396" s="14"/>
    </row>
    <row r="397" spans="1:12" ht="15.75" x14ac:dyDescent="0.25">
      <c r="A397" s="33">
        <v>53021</v>
      </c>
      <c r="B397" s="14">
        <f>70.1428 * CHOOSE(CONTROL!$C$9, $D$9, 100%, $F$9) + CHOOSE(CONTROL!$C$27, 0.0021, 0)</f>
        <v>70.144899999999993</v>
      </c>
      <c r="C397" s="14">
        <f>69.7106 * CHOOSE(CONTROL!$C$9, $D$9, 100%, $F$9) + CHOOSE(CONTROL!$C$27, 0.0021, 0)</f>
        <v>69.712699999999998</v>
      </c>
      <c r="D397" s="14">
        <f>69.7106 * CHOOSE(CONTROL!$C$9, $D$9, 100%, $F$9) + CHOOSE(CONTROL!$C$27, 0.0021, 0)</f>
        <v>69.712699999999998</v>
      </c>
      <c r="E397" s="14">
        <f>69.5739 * CHOOSE(CONTROL!$C$9, $D$9, 100%, $F$9) + CHOOSE(CONTROL!$C$27, 0.0021, 0)</f>
        <v>69.575999999999993</v>
      </c>
      <c r="F397" s="14">
        <f>69.5739 * CHOOSE(CONTROL!$C$9, $D$9, 100%, $F$9) + CHOOSE(CONTROL!$C$27, 0.0021, 0)</f>
        <v>69.575999999999993</v>
      </c>
      <c r="G397" s="14">
        <f>69.8453 * CHOOSE(CONTROL!$C$9, $D$9, 100%, $F$9) + CHOOSE(CONTROL!$C$27, 0.0021, 0)</f>
        <v>69.847399999999993</v>
      </c>
      <c r="H397" s="14">
        <f>69.7106 * CHOOSE(CONTROL!$C$9, $D$9, 100%, $F$9) + CHOOSE(CONTROL!$C$27, 0.0021, 0)</f>
        <v>69.712699999999998</v>
      </c>
      <c r="I397" s="14">
        <f>69.7106 * CHOOSE(CONTROL!$C$9, $D$9, 100%, $F$9) + CHOOSE(CONTROL!$C$27, 0.0021, 0)</f>
        <v>69.712699999999998</v>
      </c>
      <c r="J397" s="14">
        <f>69.7106 * CHOOSE(CONTROL!$C$9, $D$9, 100%, $F$9) + CHOOSE(CONTROL!$C$27, 0.0021, 0)</f>
        <v>69.712699999999998</v>
      </c>
      <c r="K397" s="14">
        <f>69.7106 * CHOOSE(CONTROL!$C$9, $D$9, 100%, $F$9) + CHOOSE(CONTROL!$C$27, 0.0021, 0)</f>
        <v>69.712699999999998</v>
      </c>
      <c r="L397" s="14"/>
    </row>
    <row r="398" spans="1:12" ht="15.75" x14ac:dyDescent="0.25">
      <c r="A398" s="33">
        <v>53052</v>
      </c>
      <c r="B398" s="14">
        <f>69.3275 * CHOOSE(CONTROL!$C$9, $D$9, 100%, $F$9) + CHOOSE(CONTROL!$C$27, 0.0021, 0)</f>
        <v>69.329599999999999</v>
      </c>
      <c r="C398" s="14">
        <f>68.8953 * CHOOSE(CONTROL!$C$9, $D$9, 100%, $F$9) + CHOOSE(CONTROL!$C$27, 0.0021, 0)</f>
        <v>68.897400000000005</v>
      </c>
      <c r="D398" s="14">
        <f>68.8953 * CHOOSE(CONTROL!$C$9, $D$9, 100%, $F$9) + CHOOSE(CONTROL!$C$27, 0.0021, 0)</f>
        <v>68.897400000000005</v>
      </c>
      <c r="E398" s="14">
        <f>68.7586 * CHOOSE(CONTROL!$C$9, $D$9, 100%, $F$9) + CHOOSE(CONTROL!$C$27, 0.0021, 0)</f>
        <v>68.7607</v>
      </c>
      <c r="F398" s="14">
        <f>68.7586 * CHOOSE(CONTROL!$C$9, $D$9, 100%, $F$9) + CHOOSE(CONTROL!$C$27, 0.0021, 0)</f>
        <v>68.7607</v>
      </c>
      <c r="G398" s="14">
        <f>69.03 * CHOOSE(CONTROL!$C$9, $D$9, 100%, $F$9) + CHOOSE(CONTROL!$C$27, 0.0021, 0)</f>
        <v>69.0321</v>
      </c>
      <c r="H398" s="14">
        <f>68.8953 * CHOOSE(CONTROL!$C$9, $D$9, 100%, $F$9) + CHOOSE(CONTROL!$C$27, 0.0021, 0)</f>
        <v>68.897400000000005</v>
      </c>
      <c r="I398" s="14">
        <f>68.8953 * CHOOSE(CONTROL!$C$9, $D$9, 100%, $F$9) + CHOOSE(CONTROL!$C$27, 0.0021, 0)</f>
        <v>68.897400000000005</v>
      </c>
      <c r="J398" s="14">
        <f>68.8953 * CHOOSE(CONTROL!$C$9, $D$9, 100%, $F$9) + CHOOSE(CONTROL!$C$27, 0.0021, 0)</f>
        <v>68.897400000000005</v>
      </c>
      <c r="K398" s="14">
        <f>68.8953 * CHOOSE(CONTROL!$C$9, $D$9, 100%, $F$9) + CHOOSE(CONTROL!$C$27, 0.0021, 0)</f>
        <v>68.897400000000005</v>
      </c>
      <c r="L398" s="14"/>
    </row>
    <row r="399" spans="1:12" ht="15.75" x14ac:dyDescent="0.25">
      <c r="A399" s="33">
        <v>53082</v>
      </c>
      <c r="B399" s="14">
        <f>68.3541 * CHOOSE(CONTROL!$C$9, $D$9, 100%, $F$9) + CHOOSE(CONTROL!$C$27, 0.0021, 0)</f>
        <v>68.356200000000001</v>
      </c>
      <c r="C399" s="14">
        <f>67.9218 * CHOOSE(CONTROL!$C$9, $D$9, 100%, $F$9) + CHOOSE(CONTROL!$C$27, 0.0021, 0)</f>
        <v>67.923900000000003</v>
      </c>
      <c r="D399" s="14">
        <f>67.9218 * CHOOSE(CONTROL!$C$9, $D$9, 100%, $F$9) + CHOOSE(CONTROL!$C$27, 0.0021, 0)</f>
        <v>67.923900000000003</v>
      </c>
      <c r="E399" s="14">
        <f>67.7851 * CHOOSE(CONTROL!$C$9, $D$9, 100%, $F$9) + CHOOSE(CONTROL!$C$27, 0.0021, 0)</f>
        <v>67.787199999999999</v>
      </c>
      <c r="F399" s="14">
        <f>67.7851 * CHOOSE(CONTROL!$C$9, $D$9, 100%, $F$9) + CHOOSE(CONTROL!$C$27, 0.0021, 0)</f>
        <v>67.787199999999999</v>
      </c>
      <c r="G399" s="14">
        <f>68.0565 * CHOOSE(CONTROL!$C$9, $D$9, 100%, $F$9) + CHOOSE(CONTROL!$C$27, 0.0021, 0)</f>
        <v>68.058599999999998</v>
      </c>
      <c r="H399" s="14">
        <f>67.9218 * CHOOSE(CONTROL!$C$9, $D$9, 100%, $F$9) + CHOOSE(CONTROL!$C$27, 0.0021, 0)</f>
        <v>67.923900000000003</v>
      </c>
      <c r="I399" s="14">
        <f>67.9218 * CHOOSE(CONTROL!$C$9, $D$9, 100%, $F$9) + CHOOSE(CONTROL!$C$27, 0.0021, 0)</f>
        <v>67.923900000000003</v>
      </c>
      <c r="J399" s="14">
        <f>67.9218 * CHOOSE(CONTROL!$C$9, $D$9, 100%, $F$9) + CHOOSE(CONTROL!$C$27, 0.0021, 0)</f>
        <v>67.923900000000003</v>
      </c>
      <c r="K399" s="14">
        <f>67.9218 * CHOOSE(CONTROL!$C$9, $D$9, 100%, $F$9) + CHOOSE(CONTROL!$C$27, 0.0021, 0)</f>
        <v>67.923900000000003</v>
      </c>
      <c r="L399" s="14"/>
    </row>
    <row r="400" spans="1:12" ht="15.75" x14ac:dyDescent="0.25">
      <c r="A400" s="33">
        <v>53113</v>
      </c>
      <c r="B400" s="14">
        <f>69.7414 * CHOOSE(CONTROL!$C$9, $D$9, 100%, $F$9) + CHOOSE(CONTROL!$C$27, 0.0021, 0)</f>
        <v>69.743499999999997</v>
      </c>
      <c r="C400" s="14">
        <f>69.3091 * CHOOSE(CONTROL!$C$9, $D$9, 100%, $F$9) + CHOOSE(CONTROL!$C$27, 0.0021, 0)</f>
        <v>69.311199999999999</v>
      </c>
      <c r="D400" s="14">
        <f>69.3091 * CHOOSE(CONTROL!$C$9, $D$9, 100%, $F$9) + CHOOSE(CONTROL!$C$27, 0.0021, 0)</f>
        <v>69.311199999999999</v>
      </c>
      <c r="E400" s="14">
        <f>69.1725 * CHOOSE(CONTROL!$C$9, $D$9, 100%, $F$9) + CHOOSE(CONTROL!$C$27, 0.0021, 0)</f>
        <v>69.174599999999998</v>
      </c>
      <c r="F400" s="14">
        <f>69.1725 * CHOOSE(CONTROL!$C$9, $D$9, 100%, $F$9) + CHOOSE(CONTROL!$C$27, 0.0021, 0)</f>
        <v>69.174599999999998</v>
      </c>
      <c r="G400" s="14">
        <f>69.4438 * CHOOSE(CONTROL!$C$9, $D$9, 100%, $F$9) + CHOOSE(CONTROL!$C$27, 0.0021, 0)</f>
        <v>69.445899999999995</v>
      </c>
      <c r="H400" s="14">
        <f>69.3091 * CHOOSE(CONTROL!$C$9, $D$9, 100%, $F$9) + CHOOSE(CONTROL!$C$27, 0.0021, 0)</f>
        <v>69.311199999999999</v>
      </c>
      <c r="I400" s="14">
        <f>69.3091 * CHOOSE(CONTROL!$C$9, $D$9, 100%, $F$9) + CHOOSE(CONTROL!$C$27, 0.0021, 0)</f>
        <v>69.311199999999999</v>
      </c>
      <c r="J400" s="14">
        <f>69.3091 * CHOOSE(CONTROL!$C$9, $D$9, 100%, $F$9) + CHOOSE(CONTROL!$C$27, 0.0021, 0)</f>
        <v>69.311199999999999</v>
      </c>
      <c r="K400" s="14">
        <f>69.3091 * CHOOSE(CONTROL!$C$9, $D$9, 100%, $F$9) + CHOOSE(CONTROL!$C$27, 0.0021, 0)</f>
        <v>69.311199999999999</v>
      </c>
      <c r="L400" s="14"/>
    </row>
    <row r="401" spans="1:12" ht="15.75" x14ac:dyDescent="0.25">
      <c r="A401" s="33">
        <v>53143</v>
      </c>
      <c r="B401" s="14">
        <f>70.5723 * CHOOSE(CONTROL!$C$9, $D$9, 100%, $F$9) + CHOOSE(CONTROL!$C$27, 0.0021, 0)</f>
        <v>70.574399999999997</v>
      </c>
      <c r="C401" s="14">
        <f>70.1401 * CHOOSE(CONTROL!$C$9, $D$9, 100%, $F$9) + CHOOSE(CONTROL!$C$27, 0.0021, 0)</f>
        <v>70.142200000000003</v>
      </c>
      <c r="D401" s="14">
        <f>70.1401 * CHOOSE(CONTROL!$C$9, $D$9, 100%, $F$9) + CHOOSE(CONTROL!$C$27, 0.0021, 0)</f>
        <v>70.142200000000003</v>
      </c>
      <c r="E401" s="14">
        <f>70.0034 * CHOOSE(CONTROL!$C$9, $D$9, 100%, $F$9) + CHOOSE(CONTROL!$C$27, 0.0021, 0)</f>
        <v>70.005499999999998</v>
      </c>
      <c r="F401" s="14">
        <f>70.0034 * CHOOSE(CONTROL!$C$9, $D$9, 100%, $F$9) + CHOOSE(CONTROL!$C$27, 0.0021, 0)</f>
        <v>70.005499999999998</v>
      </c>
      <c r="G401" s="14">
        <f>70.2748 * CHOOSE(CONTROL!$C$9, $D$9, 100%, $F$9) + CHOOSE(CONTROL!$C$27, 0.0021, 0)</f>
        <v>70.276899999999998</v>
      </c>
      <c r="H401" s="14">
        <f>70.1401 * CHOOSE(CONTROL!$C$9, $D$9, 100%, $F$9) + CHOOSE(CONTROL!$C$27, 0.0021, 0)</f>
        <v>70.142200000000003</v>
      </c>
      <c r="I401" s="14">
        <f>70.1401 * CHOOSE(CONTROL!$C$9, $D$9, 100%, $F$9) + CHOOSE(CONTROL!$C$27, 0.0021, 0)</f>
        <v>70.142200000000003</v>
      </c>
      <c r="J401" s="14">
        <f>70.1401 * CHOOSE(CONTROL!$C$9, $D$9, 100%, $F$9) + CHOOSE(CONTROL!$C$27, 0.0021, 0)</f>
        <v>70.142200000000003</v>
      </c>
      <c r="K401" s="14">
        <f>70.1401 * CHOOSE(CONTROL!$C$9, $D$9, 100%, $F$9) + CHOOSE(CONTROL!$C$27, 0.0021, 0)</f>
        <v>70.142200000000003</v>
      </c>
      <c r="L401" s="14"/>
    </row>
    <row r="402" spans="1:12" ht="15.75" x14ac:dyDescent="0.25">
      <c r="A402" s="33">
        <v>53174</v>
      </c>
      <c r="B402" s="14">
        <f>71.9431 * CHOOSE(CONTROL!$C$9, $D$9, 100%, $F$9) + CHOOSE(CONTROL!$C$27, 0.0021, 0)</f>
        <v>71.9452</v>
      </c>
      <c r="C402" s="14">
        <f>71.5108 * CHOOSE(CONTROL!$C$9, $D$9, 100%, $F$9) + CHOOSE(CONTROL!$C$27, 0.0021, 0)</f>
        <v>71.512900000000002</v>
      </c>
      <c r="D402" s="14">
        <f>71.5108 * CHOOSE(CONTROL!$C$9, $D$9, 100%, $F$9) + CHOOSE(CONTROL!$C$27, 0.0021, 0)</f>
        <v>71.512900000000002</v>
      </c>
      <c r="E402" s="14">
        <f>71.3742 * CHOOSE(CONTROL!$C$9, $D$9, 100%, $F$9) + CHOOSE(CONTROL!$C$27, 0.0021, 0)</f>
        <v>71.376300000000001</v>
      </c>
      <c r="F402" s="14">
        <f>71.3742 * CHOOSE(CONTROL!$C$9, $D$9, 100%, $F$9) + CHOOSE(CONTROL!$C$27, 0.0021, 0)</f>
        <v>71.376300000000001</v>
      </c>
      <c r="G402" s="14">
        <f>71.6456 * CHOOSE(CONTROL!$C$9, $D$9, 100%, $F$9) + CHOOSE(CONTROL!$C$27, 0.0021, 0)</f>
        <v>71.6477</v>
      </c>
      <c r="H402" s="14">
        <f>71.5108 * CHOOSE(CONTROL!$C$9, $D$9, 100%, $F$9) + CHOOSE(CONTROL!$C$27, 0.0021, 0)</f>
        <v>71.512900000000002</v>
      </c>
      <c r="I402" s="14">
        <f>71.5108 * CHOOSE(CONTROL!$C$9, $D$9, 100%, $F$9) + CHOOSE(CONTROL!$C$27, 0.0021, 0)</f>
        <v>71.512900000000002</v>
      </c>
      <c r="J402" s="14">
        <f>71.5108 * CHOOSE(CONTROL!$C$9, $D$9, 100%, $F$9) + CHOOSE(CONTROL!$C$27, 0.0021, 0)</f>
        <v>71.512900000000002</v>
      </c>
      <c r="K402" s="14">
        <f>71.5108 * CHOOSE(CONTROL!$C$9, $D$9, 100%, $F$9) + CHOOSE(CONTROL!$C$27, 0.0021, 0)</f>
        <v>71.512900000000002</v>
      </c>
      <c r="L402" s="14"/>
    </row>
    <row r="403" spans="1:12" ht="15.75" x14ac:dyDescent="0.25">
      <c r="A403" s="33">
        <v>53205</v>
      </c>
      <c r="B403" s="14">
        <f>72.3615 * CHOOSE(CONTROL!$C$9, $D$9, 100%, $F$9) + CHOOSE(CONTROL!$C$27, 0.0021, 0)</f>
        <v>72.363600000000005</v>
      </c>
      <c r="C403" s="14">
        <f>71.9292 * CHOOSE(CONTROL!$C$9, $D$9, 100%, $F$9) + CHOOSE(CONTROL!$C$27, 0.0021, 0)</f>
        <v>71.931299999999993</v>
      </c>
      <c r="D403" s="14">
        <f>71.9292 * CHOOSE(CONTROL!$C$9, $D$9, 100%, $F$9) + CHOOSE(CONTROL!$C$27, 0.0021, 0)</f>
        <v>71.931299999999993</v>
      </c>
      <c r="E403" s="14">
        <f>71.7926 * CHOOSE(CONTROL!$C$9, $D$9, 100%, $F$9) + CHOOSE(CONTROL!$C$27, 0.0021, 0)</f>
        <v>71.794699999999992</v>
      </c>
      <c r="F403" s="14">
        <f>71.7926 * CHOOSE(CONTROL!$C$9, $D$9, 100%, $F$9) + CHOOSE(CONTROL!$C$27, 0.0021, 0)</f>
        <v>71.794699999999992</v>
      </c>
      <c r="G403" s="14">
        <f>72.064 * CHOOSE(CONTROL!$C$9, $D$9, 100%, $F$9) + CHOOSE(CONTROL!$C$27, 0.0021, 0)</f>
        <v>72.066099999999992</v>
      </c>
      <c r="H403" s="14">
        <f>71.9292 * CHOOSE(CONTROL!$C$9, $D$9, 100%, $F$9) + CHOOSE(CONTROL!$C$27, 0.0021, 0)</f>
        <v>71.931299999999993</v>
      </c>
      <c r="I403" s="14">
        <f>71.9292 * CHOOSE(CONTROL!$C$9, $D$9, 100%, $F$9) + CHOOSE(CONTROL!$C$27, 0.0021, 0)</f>
        <v>71.931299999999993</v>
      </c>
      <c r="J403" s="14">
        <f>71.9292 * CHOOSE(CONTROL!$C$9, $D$9, 100%, $F$9) + CHOOSE(CONTROL!$C$27, 0.0021, 0)</f>
        <v>71.931299999999993</v>
      </c>
      <c r="K403" s="14">
        <f>71.9292 * CHOOSE(CONTROL!$C$9, $D$9, 100%, $F$9) + CHOOSE(CONTROL!$C$27, 0.0021, 0)</f>
        <v>71.931299999999993</v>
      </c>
      <c r="L403" s="14"/>
    </row>
    <row r="404" spans="1:12" ht="15.75" x14ac:dyDescent="0.25">
      <c r="A404" s="33">
        <v>53235</v>
      </c>
      <c r="B404" s="14">
        <f>73.7863 * CHOOSE(CONTROL!$C$9, $D$9, 100%, $F$9) + CHOOSE(CONTROL!$C$27, 0.0021, 0)</f>
        <v>73.788399999999996</v>
      </c>
      <c r="C404" s="14">
        <f>73.3541 * CHOOSE(CONTROL!$C$9, $D$9, 100%, $F$9) + CHOOSE(CONTROL!$C$27, 0.0021, 0)</f>
        <v>73.356200000000001</v>
      </c>
      <c r="D404" s="14">
        <f>73.3541 * CHOOSE(CONTROL!$C$9, $D$9, 100%, $F$9) + CHOOSE(CONTROL!$C$27, 0.0021, 0)</f>
        <v>73.356200000000001</v>
      </c>
      <c r="E404" s="14">
        <f>73.2174 * CHOOSE(CONTROL!$C$9, $D$9, 100%, $F$9) + CHOOSE(CONTROL!$C$27, 0.0021, 0)</f>
        <v>73.219499999999996</v>
      </c>
      <c r="F404" s="14">
        <f>73.2174 * CHOOSE(CONTROL!$C$9, $D$9, 100%, $F$9) + CHOOSE(CONTROL!$C$27, 0.0021, 0)</f>
        <v>73.219499999999996</v>
      </c>
      <c r="G404" s="14">
        <f>73.4888 * CHOOSE(CONTROL!$C$9, $D$9, 100%, $F$9) + CHOOSE(CONTROL!$C$27, 0.0021, 0)</f>
        <v>73.490899999999996</v>
      </c>
      <c r="H404" s="14">
        <f>73.3541 * CHOOSE(CONTROL!$C$9, $D$9, 100%, $F$9) + CHOOSE(CONTROL!$C$27, 0.0021, 0)</f>
        <v>73.356200000000001</v>
      </c>
      <c r="I404" s="14">
        <f>73.3541 * CHOOSE(CONTROL!$C$9, $D$9, 100%, $F$9) + CHOOSE(CONTROL!$C$27, 0.0021, 0)</f>
        <v>73.356200000000001</v>
      </c>
      <c r="J404" s="14">
        <f>73.3541 * CHOOSE(CONTROL!$C$9, $D$9, 100%, $F$9) + CHOOSE(CONTROL!$C$27, 0.0021, 0)</f>
        <v>73.356200000000001</v>
      </c>
      <c r="K404" s="14">
        <f>73.3541 * CHOOSE(CONTROL!$C$9, $D$9, 100%, $F$9) + CHOOSE(CONTROL!$C$27, 0.0021, 0)</f>
        <v>73.356200000000001</v>
      </c>
      <c r="L404" s="14"/>
    </row>
    <row r="405" spans="1:12" ht="15.75" x14ac:dyDescent="0.25">
      <c r="A405" s="33">
        <v>53266</v>
      </c>
      <c r="B405" s="14">
        <f>75.59 * CHOOSE(CONTROL!$C$9, $D$9, 100%, $F$9) + CHOOSE(CONTROL!$C$27, 0.0021, 0)</f>
        <v>75.592100000000002</v>
      </c>
      <c r="C405" s="14">
        <f>75.1577 * CHOOSE(CONTROL!$C$9, $D$9, 100%, $F$9) + CHOOSE(CONTROL!$C$27, 0.0021, 0)</f>
        <v>75.159800000000004</v>
      </c>
      <c r="D405" s="14">
        <f>75.1577 * CHOOSE(CONTROL!$C$9, $D$9, 100%, $F$9) + CHOOSE(CONTROL!$C$27, 0.0021, 0)</f>
        <v>75.159800000000004</v>
      </c>
      <c r="E405" s="14">
        <f>75.0211 * CHOOSE(CONTROL!$C$9, $D$9, 100%, $F$9) + CHOOSE(CONTROL!$C$27, 0.0021, 0)</f>
        <v>75.023200000000003</v>
      </c>
      <c r="F405" s="14">
        <f>75.0211 * CHOOSE(CONTROL!$C$9, $D$9, 100%, $F$9) + CHOOSE(CONTROL!$C$27, 0.0021, 0)</f>
        <v>75.023200000000003</v>
      </c>
      <c r="G405" s="14">
        <f>75.2924 * CHOOSE(CONTROL!$C$9, $D$9, 100%, $F$9) + CHOOSE(CONTROL!$C$27, 0.0021, 0)</f>
        <v>75.294499999999999</v>
      </c>
      <c r="H405" s="14">
        <f>75.1577 * CHOOSE(CONTROL!$C$9, $D$9, 100%, $F$9) + CHOOSE(CONTROL!$C$27, 0.0021, 0)</f>
        <v>75.159800000000004</v>
      </c>
      <c r="I405" s="14">
        <f>75.1577 * CHOOSE(CONTROL!$C$9, $D$9, 100%, $F$9) + CHOOSE(CONTROL!$C$27, 0.0021, 0)</f>
        <v>75.159800000000004</v>
      </c>
      <c r="J405" s="14">
        <f>75.1577 * CHOOSE(CONTROL!$C$9, $D$9, 100%, $F$9) + CHOOSE(CONTROL!$C$27, 0.0021, 0)</f>
        <v>75.159800000000004</v>
      </c>
      <c r="K405" s="14">
        <f>75.1577 * CHOOSE(CONTROL!$C$9, $D$9, 100%, $F$9) + CHOOSE(CONTROL!$C$27, 0.0021, 0)</f>
        <v>75.159800000000004</v>
      </c>
      <c r="L405" s="14"/>
    </row>
    <row r="406" spans="1:12" ht="15.75" x14ac:dyDescent="0.25">
      <c r="A406" s="33">
        <v>53296</v>
      </c>
      <c r="B406" s="14">
        <f>75.7593 * CHOOSE(CONTROL!$C$9, $D$9, 100%, $F$9) + CHOOSE(CONTROL!$C$27, 0.0021, 0)</f>
        <v>75.761399999999995</v>
      </c>
      <c r="C406" s="14">
        <f>75.327 * CHOOSE(CONTROL!$C$9, $D$9, 100%, $F$9) + CHOOSE(CONTROL!$C$27, 0.0021, 0)</f>
        <v>75.329099999999997</v>
      </c>
      <c r="D406" s="14">
        <f>75.327 * CHOOSE(CONTROL!$C$9, $D$9, 100%, $F$9) + CHOOSE(CONTROL!$C$27, 0.0021, 0)</f>
        <v>75.329099999999997</v>
      </c>
      <c r="E406" s="14">
        <f>75.1904 * CHOOSE(CONTROL!$C$9, $D$9, 100%, $F$9) + CHOOSE(CONTROL!$C$27, 0.0021, 0)</f>
        <v>75.192499999999995</v>
      </c>
      <c r="F406" s="14">
        <f>75.1904 * CHOOSE(CONTROL!$C$9, $D$9, 100%, $F$9) + CHOOSE(CONTROL!$C$27, 0.0021, 0)</f>
        <v>75.192499999999995</v>
      </c>
      <c r="G406" s="14">
        <f>75.4618 * CHOOSE(CONTROL!$C$9, $D$9, 100%, $F$9) + CHOOSE(CONTROL!$C$27, 0.0021, 0)</f>
        <v>75.463899999999995</v>
      </c>
      <c r="H406" s="14">
        <f>75.327 * CHOOSE(CONTROL!$C$9, $D$9, 100%, $F$9) + CHOOSE(CONTROL!$C$27, 0.0021, 0)</f>
        <v>75.329099999999997</v>
      </c>
      <c r="I406" s="14">
        <f>75.327 * CHOOSE(CONTROL!$C$9, $D$9, 100%, $F$9) + CHOOSE(CONTROL!$C$27, 0.0021, 0)</f>
        <v>75.329099999999997</v>
      </c>
      <c r="J406" s="14">
        <f>75.327 * CHOOSE(CONTROL!$C$9, $D$9, 100%, $F$9) + CHOOSE(CONTROL!$C$27, 0.0021, 0)</f>
        <v>75.329099999999997</v>
      </c>
      <c r="K406" s="14">
        <f>75.327 * CHOOSE(CONTROL!$C$9, $D$9, 100%, $F$9) + CHOOSE(CONTROL!$C$27, 0.0021, 0)</f>
        <v>75.329099999999997</v>
      </c>
      <c r="L406" s="14"/>
    </row>
    <row r="407" spans="1:12" ht="15.75" x14ac:dyDescent="0.25">
      <c r="A407" s="33">
        <v>53327</v>
      </c>
      <c r="B407" s="14">
        <f>74.3188 * CHOOSE(CONTROL!$C$9, $D$9, 100%, $F$9) + CHOOSE(CONTROL!$C$27, 0.0021, 0)</f>
        <v>74.320899999999995</v>
      </c>
      <c r="C407" s="14">
        <f>73.8865 * CHOOSE(CONTROL!$C$9, $D$9, 100%, $F$9) + CHOOSE(CONTROL!$C$27, 0.0021, 0)</f>
        <v>73.888599999999997</v>
      </c>
      <c r="D407" s="14">
        <f>73.8865 * CHOOSE(CONTROL!$C$9, $D$9, 100%, $F$9) + CHOOSE(CONTROL!$C$27, 0.0021, 0)</f>
        <v>73.888599999999997</v>
      </c>
      <c r="E407" s="14">
        <f>73.7499 * CHOOSE(CONTROL!$C$9, $D$9, 100%, $F$9) + CHOOSE(CONTROL!$C$27, 0.0021, 0)</f>
        <v>73.751999999999995</v>
      </c>
      <c r="F407" s="14">
        <f>73.7499 * CHOOSE(CONTROL!$C$9, $D$9, 100%, $F$9) + CHOOSE(CONTROL!$C$27, 0.0021, 0)</f>
        <v>73.751999999999995</v>
      </c>
      <c r="G407" s="14">
        <f>74.0212 * CHOOSE(CONTROL!$C$9, $D$9, 100%, $F$9) + CHOOSE(CONTROL!$C$27, 0.0021, 0)</f>
        <v>74.023299999999992</v>
      </c>
      <c r="H407" s="14">
        <f>73.8865 * CHOOSE(CONTROL!$C$9, $D$9, 100%, $F$9) + CHOOSE(CONTROL!$C$27, 0.0021, 0)</f>
        <v>73.888599999999997</v>
      </c>
      <c r="I407" s="14">
        <f>73.8865 * CHOOSE(CONTROL!$C$9, $D$9, 100%, $F$9) + CHOOSE(CONTROL!$C$27, 0.0021, 0)</f>
        <v>73.888599999999997</v>
      </c>
      <c r="J407" s="14">
        <f>73.8865 * CHOOSE(CONTROL!$C$9, $D$9, 100%, $F$9) + CHOOSE(CONTROL!$C$27, 0.0021, 0)</f>
        <v>73.888599999999997</v>
      </c>
      <c r="K407" s="14">
        <f>73.8865 * CHOOSE(CONTROL!$C$9, $D$9, 100%, $F$9) + CHOOSE(CONTROL!$C$27, 0.0021, 0)</f>
        <v>73.888599999999997</v>
      </c>
      <c r="L407" s="14"/>
    </row>
    <row r="408" spans="1:12" ht="15.75" x14ac:dyDescent="0.25">
      <c r="A408" s="33">
        <v>53358</v>
      </c>
      <c r="B408" s="14">
        <f>73.4083 * CHOOSE(CONTROL!$C$9, $D$9, 100%, $F$9) + CHOOSE(CONTROL!$C$27, 0.0021, 0)</f>
        <v>73.410399999999996</v>
      </c>
      <c r="C408" s="14">
        <f>72.976 * CHOOSE(CONTROL!$C$9, $D$9, 100%, $F$9) + CHOOSE(CONTROL!$C$27, 0.0021, 0)</f>
        <v>72.978099999999998</v>
      </c>
      <c r="D408" s="14">
        <f>72.976 * CHOOSE(CONTROL!$C$9, $D$9, 100%, $F$9) + CHOOSE(CONTROL!$C$27, 0.0021, 0)</f>
        <v>72.978099999999998</v>
      </c>
      <c r="E408" s="14">
        <f>72.8394 * CHOOSE(CONTROL!$C$9, $D$9, 100%, $F$9) + CHOOSE(CONTROL!$C$27, 0.0021, 0)</f>
        <v>72.841499999999996</v>
      </c>
      <c r="F408" s="14">
        <f>72.8394 * CHOOSE(CONTROL!$C$9, $D$9, 100%, $F$9) + CHOOSE(CONTROL!$C$27, 0.0021, 0)</f>
        <v>72.841499999999996</v>
      </c>
      <c r="G408" s="14">
        <f>73.1108 * CHOOSE(CONTROL!$C$9, $D$9, 100%, $F$9) + CHOOSE(CONTROL!$C$27, 0.0021, 0)</f>
        <v>73.112899999999996</v>
      </c>
      <c r="H408" s="14">
        <f>72.976 * CHOOSE(CONTROL!$C$9, $D$9, 100%, $F$9) + CHOOSE(CONTROL!$C$27, 0.0021, 0)</f>
        <v>72.978099999999998</v>
      </c>
      <c r="I408" s="14">
        <f>72.976 * CHOOSE(CONTROL!$C$9, $D$9, 100%, $F$9) + CHOOSE(CONTROL!$C$27, 0.0021, 0)</f>
        <v>72.978099999999998</v>
      </c>
      <c r="J408" s="14">
        <f>72.976 * CHOOSE(CONTROL!$C$9, $D$9, 100%, $F$9) + CHOOSE(CONTROL!$C$27, 0.0021, 0)</f>
        <v>72.978099999999998</v>
      </c>
      <c r="K408" s="14">
        <f>72.976 * CHOOSE(CONTROL!$C$9, $D$9, 100%, $F$9) + CHOOSE(CONTROL!$C$27, 0.0021, 0)</f>
        <v>72.978099999999998</v>
      </c>
      <c r="L408" s="14"/>
    </row>
    <row r="409" spans="1:12" ht="15.75" x14ac:dyDescent="0.25">
      <c r="A409" s="33">
        <v>53386</v>
      </c>
      <c r="B409" s="14">
        <f>71.3968 * CHOOSE(CONTROL!$C$9, $D$9, 100%, $F$9) + CHOOSE(CONTROL!$C$27, 0.0021, 0)</f>
        <v>71.398899999999998</v>
      </c>
      <c r="C409" s="14">
        <f>70.9645 * CHOOSE(CONTROL!$C$9, $D$9, 100%, $F$9) + CHOOSE(CONTROL!$C$27, 0.0021, 0)</f>
        <v>70.9666</v>
      </c>
      <c r="D409" s="14">
        <f>70.9645 * CHOOSE(CONTROL!$C$9, $D$9, 100%, $F$9) + CHOOSE(CONTROL!$C$27, 0.0021, 0)</f>
        <v>70.9666</v>
      </c>
      <c r="E409" s="14">
        <f>70.8278 * CHOOSE(CONTROL!$C$9, $D$9, 100%, $F$9) + CHOOSE(CONTROL!$C$27, 0.0021, 0)</f>
        <v>70.829899999999995</v>
      </c>
      <c r="F409" s="14">
        <f>70.8278 * CHOOSE(CONTROL!$C$9, $D$9, 100%, $F$9) + CHOOSE(CONTROL!$C$27, 0.0021, 0)</f>
        <v>70.829899999999995</v>
      </c>
      <c r="G409" s="14">
        <f>71.0992 * CHOOSE(CONTROL!$C$9, $D$9, 100%, $F$9) + CHOOSE(CONTROL!$C$27, 0.0021, 0)</f>
        <v>71.101299999999995</v>
      </c>
      <c r="H409" s="14">
        <f>70.9645 * CHOOSE(CONTROL!$C$9, $D$9, 100%, $F$9) + CHOOSE(CONTROL!$C$27, 0.0021, 0)</f>
        <v>70.9666</v>
      </c>
      <c r="I409" s="14">
        <f>70.9645 * CHOOSE(CONTROL!$C$9, $D$9, 100%, $F$9) + CHOOSE(CONTROL!$C$27, 0.0021, 0)</f>
        <v>70.9666</v>
      </c>
      <c r="J409" s="14">
        <f>70.9645 * CHOOSE(CONTROL!$C$9, $D$9, 100%, $F$9) + CHOOSE(CONTROL!$C$27, 0.0021, 0)</f>
        <v>70.9666</v>
      </c>
      <c r="K409" s="14">
        <f>70.9645 * CHOOSE(CONTROL!$C$9, $D$9, 100%, $F$9) + CHOOSE(CONTROL!$C$27, 0.0021, 0)</f>
        <v>70.9666</v>
      </c>
      <c r="L409" s="14"/>
    </row>
    <row r="410" spans="1:12" ht="15.75" x14ac:dyDescent="0.25">
      <c r="A410" s="33">
        <v>53417</v>
      </c>
      <c r="B410" s="14">
        <f>70.5664 * CHOOSE(CONTROL!$C$9, $D$9, 100%, $F$9) + CHOOSE(CONTROL!$C$27, 0.0021, 0)</f>
        <v>70.5685</v>
      </c>
      <c r="C410" s="14">
        <f>70.1341 * CHOOSE(CONTROL!$C$9, $D$9, 100%, $F$9) + CHOOSE(CONTROL!$C$27, 0.0021, 0)</f>
        <v>70.136200000000002</v>
      </c>
      <c r="D410" s="14">
        <f>70.1341 * CHOOSE(CONTROL!$C$9, $D$9, 100%, $F$9) + CHOOSE(CONTROL!$C$27, 0.0021, 0)</f>
        <v>70.136200000000002</v>
      </c>
      <c r="E410" s="14">
        <f>69.9975 * CHOOSE(CONTROL!$C$9, $D$9, 100%, $F$9) + CHOOSE(CONTROL!$C$27, 0.0021, 0)</f>
        <v>69.999600000000001</v>
      </c>
      <c r="F410" s="14">
        <f>69.9975 * CHOOSE(CONTROL!$C$9, $D$9, 100%, $F$9) + CHOOSE(CONTROL!$C$27, 0.0021, 0)</f>
        <v>69.999600000000001</v>
      </c>
      <c r="G410" s="14">
        <f>70.2689 * CHOOSE(CONTROL!$C$9, $D$9, 100%, $F$9) + CHOOSE(CONTROL!$C$27, 0.0021, 0)</f>
        <v>70.271000000000001</v>
      </c>
      <c r="H410" s="14">
        <f>70.1341 * CHOOSE(CONTROL!$C$9, $D$9, 100%, $F$9) + CHOOSE(CONTROL!$C$27, 0.0021, 0)</f>
        <v>70.136200000000002</v>
      </c>
      <c r="I410" s="14">
        <f>70.1341 * CHOOSE(CONTROL!$C$9, $D$9, 100%, $F$9) + CHOOSE(CONTROL!$C$27, 0.0021, 0)</f>
        <v>70.136200000000002</v>
      </c>
      <c r="J410" s="14">
        <f>70.1341 * CHOOSE(CONTROL!$C$9, $D$9, 100%, $F$9) + CHOOSE(CONTROL!$C$27, 0.0021, 0)</f>
        <v>70.136200000000002</v>
      </c>
      <c r="K410" s="14">
        <f>70.1341 * CHOOSE(CONTROL!$C$9, $D$9, 100%, $F$9) + CHOOSE(CONTROL!$C$27, 0.0021, 0)</f>
        <v>70.136200000000002</v>
      </c>
      <c r="L410" s="14"/>
    </row>
    <row r="411" spans="1:12" ht="15.75" x14ac:dyDescent="0.25">
      <c r="A411" s="33">
        <v>53447</v>
      </c>
      <c r="B411" s="14">
        <f>69.5749 * CHOOSE(CONTROL!$C$9, $D$9, 100%, $F$9) + CHOOSE(CONTROL!$C$27, 0.0021, 0)</f>
        <v>69.576999999999998</v>
      </c>
      <c r="C411" s="14">
        <f>69.1427 * CHOOSE(CONTROL!$C$9, $D$9, 100%, $F$9) + CHOOSE(CONTROL!$C$27, 0.0021, 0)</f>
        <v>69.144800000000004</v>
      </c>
      <c r="D411" s="14">
        <f>69.1427 * CHOOSE(CONTROL!$C$9, $D$9, 100%, $F$9) + CHOOSE(CONTROL!$C$27, 0.0021, 0)</f>
        <v>69.144800000000004</v>
      </c>
      <c r="E411" s="14">
        <f>69.006 * CHOOSE(CONTROL!$C$9, $D$9, 100%, $F$9) + CHOOSE(CONTROL!$C$27, 0.0021, 0)</f>
        <v>69.008099999999999</v>
      </c>
      <c r="F411" s="14">
        <f>69.006 * CHOOSE(CONTROL!$C$9, $D$9, 100%, $F$9) + CHOOSE(CONTROL!$C$27, 0.0021, 0)</f>
        <v>69.008099999999999</v>
      </c>
      <c r="G411" s="14">
        <f>69.2774 * CHOOSE(CONTROL!$C$9, $D$9, 100%, $F$9) + CHOOSE(CONTROL!$C$27, 0.0021, 0)</f>
        <v>69.279499999999999</v>
      </c>
      <c r="H411" s="14">
        <f>69.1427 * CHOOSE(CONTROL!$C$9, $D$9, 100%, $F$9) + CHOOSE(CONTROL!$C$27, 0.0021, 0)</f>
        <v>69.144800000000004</v>
      </c>
      <c r="I411" s="14">
        <f>69.1427 * CHOOSE(CONTROL!$C$9, $D$9, 100%, $F$9) + CHOOSE(CONTROL!$C$27, 0.0021, 0)</f>
        <v>69.144800000000004</v>
      </c>
      <c r="J411" s="14">
        <f>69.1427 * CHOOSE(CONTROL!$C$9, $D$9, 100%, $F$9) + CHOOSE(CONTROL!$C$27, 0.0021, 0)</f>
        <v>69.144800000000004</v>
      </c>
      <c r="K411" s="14">
        <f>69.1427 * CHOOSE(CONTROL!$C$9, $D$9, 100%, $F$9) + CHOOSE(CONTROL!$C$27, 0.0021, 0)</f>
        <v>69.144800000000004</v>
      </c>
      <c r="L411" s="14"/>
    </row>
    <row r="412" spans="1:12" ht="15.75" x14ac:dyDescent="0.25">
      <c r="A412" s="33">
        <v>53478</v>
      </c>
      <c r="B412" s="14">
        <f>70.9879 * CHOOSE(CONTROL!$C$9, $D$9, 100%, $F$9) + CHOOSE(CONTROL!$C$27, 0.0021, 0)</f>
        <v>70.989999999999995</v>
      </c>
      <c r="C412" s="14">
        <f>70.5556 * CHOOSE(CONTROL!$C$9, $D$9, 100%, $F$9) + CHOOSE(CONTROL!$C$27, 0.0021, 0)</f>
        <v>70.557699999999997</v>
      </c>
      <c r="D412" s="14">
        <f>70.5556 * CHOOSE(CONTROL!$C$9, $D$9, 100%, $F$9) + CHOOSE(CONTROL!$C$27, 0.0021, 0)</f>
        <v>70.557699999999997</v>
      </c>
      <c r="E412" s="14">
        <f>70.419 * CHOOSE(CONTROL!$C$9, $D$9, 100%, $F$9) + CHOOSE(CONTROL!$C$27, 0.0021, 0)</f>
        <v>70.421099999999996</v>
      </c>
      <c r="F412" s="14">
        <f>70.419 * CHOOSE(CONTROL!$C$9, $D$9, 100%, $F$9) + CHOOSE(CONTROL!$C$27, 0.0021, 0)</f>
        <v>70.421099999999996</v>
      </c>
      <c r="G412" s="14">
        <f>70.6904 * CHOOSE(CONTROL!$C$9, $D$9, 100%, $F$9) + CHOOSE(CONTROL!$C$27, 0.0021, 0)</f>
        <v>70.692499999999995</v>
      </c>
      <c r="H412" s="14">
        <f>70.5556 * CHOOSE(CONTROL!$C$9, $D$9, 100%, $F$9) + CHOOSE(CONTROL!$C$27, 0.0021, 0)</f>
        <v>70.557699999999997</v>
      </c>
      <c r="I412" s="14">
        <f>70.5556 * CHOOSE(CONTROL!$C$9, $D$9, 100%, $F$9) + CHOOSE(CONTROL!$C$27, 0.0021, 0)</f>
        <v>70.557699999999997</v>
      </c>
      <c r="J412" s="14">
        <f>70.5556 * CHOOSE(CONTROL!$C$9, $D$9, 100%, $F$9) + CHOOSE(CONTROL!$C$27, 0.0021, 0)</f>
        <v>70.557699999999997</v>
      </c>
      <c r="K412" s="14">
        <f>70.5556 * CHOOSE(CONTROL!$C$9, $D$9, 100%, $F$9) + CHOOSE(CONTROL!$C$27, 0.0021, 0)</f>
        <v>70.557699999999997</v>
      </c>
      <c r="L412" s="14"/>
    </row>
    <row r="413" spans="1:12" ht="15.75" x14ac:dyDescent="0.25">
      <c r="A413" s="33">
        <v>53508</v>
      </c>
      <c r="B413" s="14">
        <f>71.8342 * CHOOSE(CONTROL!$C$9, $D$9, 100%, $F$9) + CHOOSE(CONTROL!$C$27, 0.0021, 0)</f>
        <v>71.836299999999994</v>
      </c>
      <c r="C413" s="14">
        <f>71.4019 * CHOOSE(CONTROL!$C$9, $D$9, 100%, $F$9) + CHOOSE(CONTROL!$C$27, 0.0021, 0)</f>
        <v>71.403999999999996</v>
      </c>
      <c r="D413" s="14">
        <f>71.4019 * CHOOSE(CONTROL!$C$9, $D$9, 100%, $F$9) + CHOOSE(CONTROL!$C$27, 0.0021, 0)</f>
        <v>71.403999999999996</v>
      </c>
      <c r="E413" s="14">
        <f>71.2653 * CHOOSE(CONTROL!$C$9, $D$9, 100%, $F$9) + CHOOSE(CONTROL!$C$27, 0.0021, 0)</f>
        <v>71.267399999999995</v>
      </c>
      <c r="F413" s="14">
        <f>71.2653 * CHOOSE(CONTROL!$C$9, $D$9, 100%, $F$9) + CHOOSE(CONTROL!$C$27, 0.0021, 0)</f>
        <v>71.267399999999995</v>
      </c>
      <c r="G413" s="14">
        <f>71.5367 * CHOOSE(CONTROL!$C$9, $D$9, 100%, $F$9) + CHOOSE(CONTROL!$C$27, 0.0021, 0)</f>
        <v>71.538799999999995</v>
      </c>
      <c r="H413" s="14">
        <f>71.4019 * CHOOSE(CONTROL!$C$9, $D$9, 100%, $F$9) + CHOOSE(CONTROL!$C$27, 0.0021, 0)</f>
        <v>71.403999999999996</v>
      </c>
      <c r="I413" s="14">
        <f>71.4019 * CHOOSE(CONTROL!$C$9, $D$9, 100%, $F$9) + CHOOSE(CONTROL!$C$27, 0.0021, 0)</f>
        <v>71.403999999999996</v>
      </c>
      <c r="J413" s="14">
        <f>71.4019 * CHOOSE(CONTROL!$C$9, $D$9, 100%, $F$9) + CHOOSE(CONTROL!$C$27, 0.0021, 0)</f>
        <v>71.403999999999996</v>
      </c>
      <c r="K413" s="14">
        <f>71.4019 * CHOOSE(CONTROL!$C$9, $D$9, 100%, $F$9) + CHOOSE(CONTROL!$C$27, 0.0021, 0)</f>
        <v>71.403999999999996</v>
      </c>
      <c r="L413" s="14"/>
    </row>
    <row r="414" spans="1:12" ht="15.75" x14ac:dyDescent="0.25">
      <c r="A414" s="33">
        <v>53539</v>
      </c>
      <c r="B414" s="14">
        <f>73.2303 * CHOOSE(CONTROL!$C$9, $D$9, 100%, $F$9) + CHOOSE(CONTROL!$C$27, 0.0021, 0)</f>
        <v>73.232399999999998</v>
      </c>
      <c r="C414" s="14">
        <f>72.798 * CHOOSE(CONTROL!$C$9, $D$9, 100%, $F$9) + CHOOSE(CONTROL!$C$27, 0.0021, 0)</f>
        <v>72.8001</v>
      </c>
      <c r="D414" s="14">
        <f>72.798 * CHOOSE(CONTROL!$C$9, $D$9, 100%, $F$9) + CHOOSE(CONTROL!$C$27, 0.0021, 0)</f>
        <v>72.8001</v>
      </c>
      <c r="E414" s="14">
        <f>72.6614 * CHOOSE(CONTROL!$C$9, $D$9, 100%, $F$9) + CHOOSE(CONTROL!$C$27, 0.0021, 0)</f>
        <v>72.663499999999999</v>
      </c>
      <c r="F414" s="14">
        <f>72.6614 * CHOOSE(CONTROL!$C$9, $D$9, 100%, $F$9) + CHOOSE(CONTROL!$C$27, 0.0021, 0)</f>
        <v>72.663499999999999</v>
      </c>
      <c r="G414" s="14">
        <f>72.9328 * CHOOSE(CONTROL!$C$9, $D$9, 100%, $F$9) + CHOOSE(CONTROL!$C$27, 0.0021, 0)</f>
        <v>72.934899999999999</v>
      </c>
      <c r="H414" s="14">
        <f>72.798 * CHOOSE(CONTROL!$C$9, $D$9, 100%, $F$9) + CHOOSE(CONTROL!$C$27, 0.0021, 0)</f>
        <v>72.8001</v>
      </c>
      <c r="I414" s="14">
        <f>72.798 * CHOOSE(CONTROL!$C$9, $D$9, 100%, $F$9) + CHOOSE(CONTROL!$C$27, 0.0021, 0)</f>
        <v>72.8001</v>
      </c>
      <c r="J414" s="14">
        <f>72.798 * CHOOSE(CONTROL!$C$9, $D$9, 100%, $F$9) + CHOOSE(CONTROL!$C$27, 0.0021, 0)</f>
        <v>72.8001</v>
      </c>
      <c r="K414" s="14">
        <f>72.798 * CHOOSE(CONTROL!$C$9, $D$9, 100%, $F$9) + CHOOSE(CONTROL!$C$27, 0.0021, 0)</f>
        <v>72.8001</v>
      </c>
      <c r="L414" s="14"/>
    </row>
    <row r="415" spans="1:12" ht="15.75" x14ac:dyDescent="0.25">
      <c r="A415" s="33">
        <v>53570</v>
      </c>
      <c r="B415" s="14">
        <f>73.6564 * CHOOSE(CONTROL!$C$9, $D$9, 100%, $F$9) + CHOOSE(CONTROL!$C$27, 0.0021, 0)</f>
        <v>73.658500000000004</v>
      </c>
      <c r="C415" s="14">
        <f>73.2242 * CHOOSE(CONTROL!$C$9, $D$9, 100%, $F$9) + CHOOSE(CONTROL!$C$27, 0.0021, 0)</f>
        <v>73.226299999999995</v>
      </c>
      <c r="D415" s="14">
        <f>73.2242 * CHOOSE(CONTROL!$C$9, $D$9, 100%, $F$9) + CHOOSE(CONTROL!$C$27, 0.0021, 0)</f>
        <v>73.226299999999995</v>
      </c>
      <c r="E415" s="14">
        <f>73.0875 * CHOOSE(CONTROL!$C$9, $D$9, 100%, $F$9) + CHOOSE(CONTROL!$C$27, 0.0021, 0)</f>
        <v>73.089600000000004</v>
      </c>
      <c r="F415" s="14">
        <f>73.0875 * CHOOSE(CONTROL!$C$9, $D$9, 100%, $F$9) + CHOOSE(CONTROL!$C$27, 0.0021, 0)</f>
        <v>73.089600000000004</v>
      </c>
      <c r="G415" s="14">
        <f>73.3589 * CHOOSE(CONTROL!$C$9, $D$9, 100%, $F$9) + CHOOSE(CONTROL!$C$27, 0.0021, 0)</f>
        <v>73.361000000000004</v>
      </c>
      <c r="H415" s="14">
        <f>73.2242 * CHOOSE(CONTROL!$C$9, $D$9, 100%, $F$9) + CHOOSE(CONTROL!$C$27, 0.0021, 0)</f>
        <v>73.226299999999995</v>
      </c>
      <c r="I415" s="14">
        <f>73.2242 * CHOOSE(CONTROL!$C$9, $D$9, 100%, $F$9) + CHOOSE(CONTROL!$C$27, 0.0021, 0)</f>
        <v>73.226299999999995</v>
      </c>
      <c r="J415" s="14">
        <f>73.2242 * CHOOSE(CONTROL!$C$9, $D$9, 100%, $F$9) + CHOOSE(CONTROL!$C$27, 0.0021, 0)</f>
        <v>73.226299999999995</v>
      </c>
      <c r="K415" s="14">
        <f>73.2242 * CHOOSE(CONTROL!$C$9, $D$9, 100%, $F$9) + CHOOSE(CONTROL!$C$27, 0.0021, 0)</f>
        <v>73.226299999999995</v>
      </c>
      <c r="L415" s="14"/>
    </row>
    <row r="416" spans="1:12" ht="15.75" x14ac:dyDescent="0.25">
      <c r="A416" s="33">
        <v>53600</v>
      </c>
      <c r="B416" s="14">
        <f>75.1076 * CHOOSE(CONTROL!$C$9, $D$9, 100%, $F$9) + CHOOSE(CONTROL!$C$27, 0.0021, 0)</f>
        <v>75.109700000000004</v>
      </c>
      <c r="C416" s="14">
        <f>74.6754 * CHOOSE(CONTROL!$C$9, $D$9, 100%, $F$9) + CHOOSE(CONTROL!$C$27, 0.0021, 0)</f>
        <v>74.677499999999995</v>
      </c>
      <c r="D416" s="14">
        <f>74.6754 * CHOOSE(CONTROL!$C$9, $D$9, 100%, $F$9) + CHOOSE(CONTROL!$C$27, 0.0021, 0)</f>
        <v>74.677499999999995</v>
      </c>
      <c r="E416" s="14">
        <f>74.5387 * CHOOSE(CONTROL!$C$9, $D$9, 100%, $F$9) + CHOOSE(CONTROL!$C$27, 0.0021, 0)</f>
        <v>74.540800000000004</v>
      </c>
      <c r="F416" s="14">
        <f>74.5387 * CHOOSE(CONTROL!$C$9, $D$9, 100%, $F$9) + CHOOSE(CONTROL!$C$27, 0.0021, 0)</f>
        <v>74.540800000000004</v>
      </c>
      <c r="G416" s="14">
        <f>74.8101 * CHOOSE(CONTROL!$C$9, $D$9, 100%, $F$9) + CHOOSE(CONTROL!$C$27, 0.0021, 0)</f>
        <v>74.812200000000004</v>
      </c>
      <c r="H416" s="14">
        <f>74.6754 * CHOOSE(CONTROL!$C$9, $D$9, 100%, $F$9) + CHOOSE(CONTROL!$C$27, 0.0021, 0)</f>
        <v>74.677499999999995</v>
      </c>
      <c r="I416" s="14">
        <f>74.6754 * CHOOSE(CONTROL!$C$9, $D$9, 100%, $F$9) + CHOOSE(CONTROL!$C$27, 0.0021, 0)</f>
        <v>74.677499999999995</v>
      </c>
      <c r="J416" s="14">
        <f>74.6754 * CHOOSE(CONTROL!$C$9, $D$9, 100%, $F$9) + CHOOSE(CONTROL!$C$27, 0.0021, 0)</f>
        <v>74.677499999999995</v>
      </c>
      <c r="K416" s="14">
        <f>74.6754 * CHOOSE(CONTROL!$C$9, $D$9, 100%, $F$9) + CHOOSE(CONTROL!$C$27, 0.0021, 0)</f>
        <v>74.677499999999995</v>
      </c>
      <c r="L416" s="14"/>
    </row>
    <row r="417" spans="1:12" ht="15.75" x14ac:dyDescent="0.25">
      <c r="A417" s="33">
        <v>53631</v>
      </c>
      <c r="B417" s="14">
        <f>76.9446 * CHOOSE(CONTROL!$C$9, $D$9, 100%, $F$9) + CHOOSE(CONTROL!$C$27, 0.0021, 0)</f>
        <v>76.946699999999993</v>
      </c>
      <c r="C417" s="14">
        <f>76.5123 * CHOOSE(CONTROL!$C$9, $D$9, 100%, $F$9) + CHOOSE(CONTROL!$C$27, 0.0021, 0)</f>
        <v>76.514399999999995</v>
      </c>
      <c r="D417" s="14">
        <f>76.5123 * CHOOSE(CONTROL!$C$9, $D$9, 100%, $F$9) + CHOOSE(CONTROL!$C$27, 0.0021, 0)</f>
        <v>76.514399999999995</v>
      </c>
      <c r="E417" s="14">
        <f>76.3757 * CHOOSE(CONTROL!$C$9, $D$9, 100%, $F$9) + CHOOSE(CONTROL!$C$27, 0.0021, 0)</f>
        <v>76.377799999999993</v>
      </c>
      <c r="F417" s="14">
        <f>76.3757 * CHOOSE(CONTROL!$C$9, $D$9, 100%, $F$9) + CHOOSE(CONTROL!$C$27, 0.0021, 0)</f>
        <v>76.377799999999993</v>
      </c>
      <c r="G417" s="14">
        <f>76.647 * CHOOSE(CONTROL!$C$9, $D$9, 100%, $F$9) + CHOOSE(CONTROL!$C$27, 0.0021, 0)</f>
        <v>76.649100000000004</v>
      </c>
      <c r="H417" s="14">
        <f>76.5123 * CHOOSE(CONTROL!$C$9, $D$9, 100%, $F$9) + CHOOSE(CONTROL!$C$27, 0.0021, 0)</f>
        <v>76.514399999999995</v>
      </c>
      <c r="I417" s="14">
        <f>76.5123 * CHOOSE(CONTROL!$C$9, $D$9, 100%, $F$9) + CHOOSE(CONTROL!$C$27, 0.0021, 0)</f>
        <v>76.514399999999995</v>
      </c>
      <c r="J417" s="14">
        <f>76.5123 * CHOOSE(CONTROL!$C$9, $D$9, 100%, $F$9) + CHOOSE(CONTROL!$C$27, 0.0021, 0)</f>
        <v>76.514399999999995</v>
      </c>
      <c r="K417" s="14">
        <f>76.5123 * CHOOSE(CONTROL!$C$9, $D$9, 100%, $F$9) + CHOOSE(CONTROL!$C$27, 0.0021, 0)</f>
        <v>76.514399999999995</v>
      </c>
      <c r="L417" s="14"/>
    </row>
    <row r="418" spans="1:12" ht="15.75" x14ac:dyDescent="0.25">
      <c r="A418" s="33">
        <v>53661</v>
      </c>
      <c r="B418" s="14">
        <f>77.117 * CHOOSE(CONTROL!$C$9, $D$9, 100%, $F$9) + CHOOSE(CONTROL!$C$27, 0.0021, 0)</f>
        <v>77.119100000000003</v>
      </c>
      <c r="C418" s="14">
        <f>76.6848 * CHOOSE(CONTROL!$C$9, $D$9, 100%, $F$9) + CHOOSE(CONTROL!$C$27, 0.0021, 0)</f>
        <v>76.686899999999994</v>
      </c>
      <c r="D418" s="14">
        <f>76.6848 * CHOOSE(CONTROL!$C$9, $D$9, 100%, $F$9) + CHOOSE(CONTROL!$C$27, 0.0021, 0)</f>
        <v>76.686899999999994</v>
      </c>
      <c r="E418" s="14">
        <f>76.5481 * CHOOSE(CONTROL!$C$9, $D$9, 100%, $F$9) + CHOOSE(CONTROL!$C$27, 0.0021, 0)</f>
        <v>76.550200000000004</v>
      </c>
      <c r="F418" s="14">
        <f>76.5481 * CHOOSE(CONTROL!$C$9, $D$9, 100%, $F$9) + CHOOSE(CONTROL!$C$27, 0.0021, 0)</f>
        <v>76.550200000000004</v>
      </c>
      <c r="G418" s="14">
        <f>76.8195 * CHOOSE(CONTROL!$C$9, $D$9, 100%, $F$9) + CHOOSE(CONTROL!$C$27, 0.0021, 0)</f>
        <v>76.821600000000004</v>
      </c>
      <c r="H418" s="14">
        <f>76.6848 * CHOOSE(CONTROL!$C$9, $D$9, 100%, $F$9) + CHOOSE(CONTROL!$C$27, 0.0021, 0)</f>
        <v>76.686899999999994</v>
      </c>
      <c r="I418" s="14">
        <f>76.6848 * CHOOSE(CONTROL!$C$9, $D$9, 100%, $F$9) + CHOOSE(CONTROL!$C$27, 0.0021, 0)</f>
        <v>76.686899999999994</v>
      </c>
      <c r="J418" s="14">
        <f>76.6848 * CHOOSE(CONTROL!$C$9, $D$9, 100%, $F$9) + CHOOSE(CONTROL!$C$27, 0.0021, 0)</f>
        <v>76.686899999999994</v>
      </c>
      <c r="K418" s="14">
        <f>76.6848 * CHOOSE(CONTROL!$C$9, $D$9, 100%, $F$9) + CHOOSE(CONTROL!$C$27, 0.0021, 0)</f>
        <v>76.686899999999994</v>
      </c>
      <c r="L418" s="14"/>
    </row>
    <row r="419" spans="1:12" ht="15.75" x14ac:dyDescent="0.25">
      <c r="A419" s="33">
        <v>53692</v>
      </c>
      <c r="B419" s="14">
        <f>75.6499 * CHOOSE(CONTROL!$C$9, $D$9, 100%, $F$9) + CHOOSE(CONTROL!$C$27, 0.0021, 0)</f>
        <v>75.652000000000001</v>
      </c>
      <c r="C419" s="14">
        <f>75.2176 * CHOOSE(CONTROL!$C$9, $D$9, 100%, $F$9) + CHOOSE(CONTROL!$C$27, 0.0021, 0)</f>
        <v>75.219700000000003</v>
      </c>
      <c r="D419" s="14">
        <f>75.2176 * CHOOSE(CONTROL!$C$9, $D$9, 100%, $F$9) + CHOOSE(CONTROL!$C$27, 0.0021, 0)</f>
        <v>75.219700000000003</v>
      </c>
      <c r="E419" s="14">
        <f>75.081 * CHOOSE(CONTROL!$C$9, $D$9, 100%, $F$9) + CHOOSE(CONTROL!$C$27, 0.0021, 0)</f>
        <v>75.083100000000002</v>
      </c>
      <c r="F419" s="14">
        <f>75.081 * CHOOSE(CONTROL!$C$9, $D$9, 100%, $F$9) + CHOOSE(CONTROL!$C$27, 0.0021, 0)</f>
        <v>75.083100000000002</v>
      </c>
      <c r="G419" s="14">
        <f>75.3523 * CHOOSE(CONTROL!$C$9, $D$9, 100%, $F$9) + CHOOSE(CONTROL!$C$27, 0.0021, 0)</f>
        <v>75.354399999999998</v>
      </c>
      <c r="H419" s="14">
        <f>75.2176 * CHOOSE(CONTROL!$C$9, $D$9, 100%, $F$9) + CHOOSE(CONTROL!$C$27, 0.0021, 0)</f>
        <v>75.219700000000003</v>
      </c>
      <c r="I419" s="14">
        <f>75.2176 * CHOOSE(CONTROL!$C$9, $D$9, 100%, $F$9) + CHOOSE(CONTROL!$C$27, 0.0021, 0)</f>
        <v>75.219700000000003</v>
      </c>
      <c r="J419" s="14">
        <f>75.2176 * CHOOSE(CONTROL!$C$9, $D$9, 100%, $F$9) + CHOOSE(CONTROL!$C$27, 0.0021, 0)</f>
        <v>75.219700000000003</v>
      </c>
      <c r="K419" s="14">
        <f>75.2176 * CHOOSE(CONTROL!$C$9, $D$9, 100%, $F$9) + CHOOSE(CONTROL!$C$27, 0.0021, 0)</f>
        <v>75.219700000000003</v>
      </c>
      <c r="L419" s="14"/>
    </row>
    <row r="420" spans="1:12" ht="15.75" x14ac:dyDescent="0.25">
      <c r="A420" s="33">
        <v>53723</v>
      </c>
      <c r="B420" s="14">
        <f>74.7226 * CHOOSE(CONTROL!$C$9, $D$9, 100%, $F$9) + CHOOSE(CONTROL!$C$27, 0.0021, 0)</f>
        <v>74.724699999999999</v>
      </c>
      <c r="C420" s="14">
        <f>74.2903 * CHOOSE(CONTROL!$C$9, $D$9, 100%, $F$9) + CHOOSE(CONTROL!$C$27, 0.0021, 0)</f>
        <v>74.292400000000001</v>
      </c>
      <c r="D420" s="14">
        <f>74.2903 * CHOOSE(CONTROL!$C$9, $D$9, 100%, $F$9) + CHOOSE(CONTROL!$C$27, 0.0021, 0)</f>
        <v>74.292400000000001</v>
      </c>
      <c r="E420" s="14">
        <f>74.1537 * CHOOSE(CONTROL!$C$9, $D$9, 100%, $F$9) + CHOOSE(CONTROL!$C$27, 0.0021, 0)</f>
        <v>74.155799999999999</v>
      </c>
      <c r="F420" s="14">
        <f>74.1537 * CHOOSE(CONTROL!$C$9, $D$9, 100%, $F$9) + CHOOSE(CONTROL!$C$27, 0.0021, 0)</f>
        <v>74.155799999999999</v>
      </c>
      <c r="G420" s="14">
        <f>74.425 * CHOOSE(CONTROL!$C$9, $D$9, 100%, $F$9) + CHOOSE(CONTROL!$C$27, 0.0021, 0)</f>
        <v>74.427099999999996</v>
      </c>
      <c r="H420" s="14">
        <f>74.2903 * CHOOSE(CONTROL!$C$9, $D$9, 100%, $F$9) + CHOOSE(CONTROL!$C$27, 0.0021, 0)</f>
        <v>74.292400000000001</v>
      </c>
      <c r="I420" s="14">
        <f>74.2903 * CHOOSE(CONTROL!$C$9, $D$9, 100%, $F$9) + CHOOSE(CONTROL!$C$27, 0.0021, 0)</f>
        <v>74.292400000000001</v>
      </c>
      <c r="J420" s="14">
        <f>74.2903 * CHOOSE(CONTROL!$C$9, $D$9, 100%, $F$9) + CHOOSE(CONTROL!$C$27, 0.0021, 0)</f>
        <v>74.292400000000001</v>
      </c>
      <c r="K420" s="14">
        <f>74.2903 * CHOOSE(CONTROL!$C$9, $D$9, 100%, $F$9) + CHOOSE(CONTROL!$C$27, 0.0021, 0)</f>
        <v>74.292400000000001</v>
      </c>
      <c r="L420" s="14"/>
    </row>
    <row r="421" spans="1:12" ht="15.75" x14ac:dyDescent="0.25">
      <c r="A421" s="33">
        <v>53751</v>
      </c>
      <c r="B421" s="14">
        <f>72.6739 * CHOOSE(CONTROL!$C$9, $D$9, 100%, $F$9) + CHOOSE(CONTROL!$C$27, 0.0021, 0)</f>
        <v>72.676000000000002</v>
      </c>
      <c r="C421" s="14">
        <f>72.2416 * CHOOSE(CONTROL!$C$9, $D$9, 100%, $F$9) + CHOOSE(CONTROL!$C$27, 0.0021, 0)</f>
        <v>72.243700000000004</v>
      </c>
      <c r="D421" s="14">
        <f>72.2416 * CHOOSE(CONTROL!$C$9, $D$9, 100%, $F$9) + CHOOSE(CONTROL!$C$27, 0.0021, 0)</f>
        <v>72.243700000000004</v>
      </c>
      <c r="E421" s="14">
        <f>72.1049 * CHOOSE(CONTROL!$C$9, $D$9, 100%, $F$9) + CHOOSE(CONTROL!$C$27, 0.0021, 0)</f>
        <v>72.106999999999999</v>
      </c>
      <c r="F421" s="14">
        <f>72.1049 * CHOOSE(CONTROL!$C$9, $D$9, 100%, $F$9) + CHOOSE(CONTROL!$C$27, 0.0021, 0)</f>
        <v>72.106999999999999</v>
      </c>
      <c r="G421" s="14">
        <f>72.3763 * CHOOSE(CONTROL!$C$9, $D$9, 100%, $F$9) + CHOOSE(CONTROL!$C$27, 0.0021, 0)</f>
        <v>72.378399999999999</v>
      </c>
      <c r="H421" s="14">
        <f>72.2416 * CHOOSE(CONTROL!$C$9, $D$9, 100%, $F$9) + CHOOSE(CONTROL!$C$27, 0.0021, 0)</f>
        <v>72.243700000000004</v>
      </c>
      <c r="I421" s="14">
        <f>72.2416 * CHOOSE(CONTROL!$C$9, $D$9, 100%, $F$9) + CHOOSE(CONTROL!$C$27, 0.0021, 0)</f>
        <v>72.243700000000004</v>
      </c>
      <c r="J421" s="14">
        <f>72.2416 * CHOOSE(CONTROL!$C$9, $D$9, 100%, $F$9) + CHOOSE(CONTROL!$C$27, 0.0021, 0)</f>
        <v>72.243700000000004</v>
      </c>
      <c r="K421" s="14">
        <f>72.2416 * CHOOSE(CONTROL!$C$9, $D$9, 100%, $F$9) + CHOOSE(CONTROL!$C$27, 0.0021, 0)</f>
        <v>72.243700000000004</v>
      </c>
      <c r="L421" s="14"/>
    </row>
    <row r="422" spans="1:12" ht="15.75" x14ac:dyDescent="0.25">
      <c r="A422" s="33">
        <v>53782</v>
      </c>
      <c r="B422" s="14">
        <f>71.8281 * CHOOSE(CONTROL!$C$9, $D$9, 100%, $F$9) + CHOOSE(CONTROL!$C$27, 0.0021, 0)</f>
        <v>71.830200000000005</v>
      </c>
      <c r="C422" s="14">
        <f>71.3959 * CHOOSE(CONTROL!$C$9, $D$9, 100%, $F$9) + CHOOSE(CONTROL!$C$27, 0.0021, 0)</f>
        <v>71.397999999999996</v>
      </c>
      <c r="D422" s="14">
        <f>71.3959 * CHOOSE(CONTROL!$C$9, $D$9, 100%, $F$9) + CHOOSE(CONTROL!$C$27, 0.0021, 0)</f>
        <v>71.397999999999996</v>
      </c>
      <c r="E422" s="14">
        <f>71.2592 * CHOOSE(CONTROL!$C$9, $D$9, 100%, $F$9) + CHOOSE(CONTROL!$C$27, 0.0021, 0)</f>
        <v>71.261300000000006</v>
      </c>
      <c r="F422" s="14">
        <f>71.2592 * CHOOSE(CONTROL!$C$9, $D$9, 100%, $F$9) + CHOOSE(CONTROL!$C$27, 0.0021, 0)</f>
        <v>71.261300000000006</v>
      </c>
      <c r="G422" s="14">
        <f>71.5306 * CHOOSE(CONTROL!$C$9, $D$9, 100%, $F$9) + CHOOSE(CONTROL!$C$27, 0.0021, 0)</f>
        <v>71.532700000000006</v>
      </c>
      <c r="H422" s="14">
        <f>71.3959 * CHOOSE(CONTROL!$C$9, $D$9, 100%, $F$9) + CHOOSE(CONTROL!$C$27, 0.0021, 0)</f>
        <v>71.397999999999996</v>
      </c>
      <c r="I422" s="14">
        <f>71.3959 * CHOOSE(CONTROL!$C$9, $D$9, 100%, $F$9) + CHOOSE(CONTROL!$C$27, 0.0021, 0)</f>
        <v>71.397999999999996</v>
      </c>
      <c r="J422" s="14">
        <f>71.3959 * CHOOSE(CONTROL!$C$9, $D$9, 100%, $F$9) + CHOOSE(CONTROL!$C$27, 0.0021, 0)</f>
        <v>71.397999999999996</v>
      </c>
      <c r="K422" s="14">
        <f>71.3959 * CHOOSE(CONTROL!$C$9, $D$9, 100%, $F$9) + CHOOSE(CONTROL!$C$27, 0.0021, 0)</f>
        <v>71.397999999999996</v>
      </c>
      <c r="L422" s="14"/>
    </row>
    <row r="423" spans="1:12" ht="15.75" x14ac:dyDescent="0.25">
      <c r="A423" s="33">
        <v>53812</v>
      </c>
      <c r="B423" s="14">
        <f>70.8184 * CHOOSE(CONTROL!$C$9, $D$9, 100%, $F$9) + CHOOSE(CONTROL!$C$27, 0.0021, 0)</f>
        <v>70.820499999999996</v>
      </c>
      <c r="C423" s="14">
        <f>70.3861 * CHOOSE(CONTROL!$C$9, $D$9, 100%, $F$9) + CHOOSE(CONTROL!$C$27, 0.0021, 0)</f>
        <v>70.388199999999998</v>
      </c>
      <c r="D423" s="14">
        <f>70.3861 * CHOOSE(CONTROL!$C$9, $D$9, 100%, $F$9) + CHOOSE(CONTROL!$C$27, 0.0021, 0)</f>
        <v>70.388199999999998</v>
      </c>
      <c r="E423" s="14">
        <f>70.2494 * CHOOSE(CONTROL!$C$9, $D$9, 100%, $F$9) + CHOOSE(CONTROL!$C$27, 0.0021, 0)</f>
        <v>70.251499999999993</v>
      </c>
      <c r="F423" s="14">
        <f>70.2494 * CHOOSE(CONTROL!$C$9, $D$9, 100%, $F$9) + CHOOSE(CONTROL!$C$27, 0.0021, 0)</f>
        <v>70.251499999999993</v>
      </c>
      <c r="G423" s="14">
        <f>70.5208 * CHOOSE(CONTROL!$C$9, $D$9, 100%, $F$9) + CHOOSE(CONTROL!$C$27, 0.0021, 0)</f>
        <v>70.522899999999993</v>
      </c>
      <c r="H423" s="14">
        <f>70.3861 * CHOOSE(CONTROL!$C$9, $D$9, 100%, $F$9) + CHOOSE(CONTROL!$C$27, 0.0021, 0)</f>
        <v>70.388199999999998</v>
      </c>
      <c r="I423" s="14">
        <f>70.3861 * CHOOSE(CONTROL!$C$9, $D$9, 100%, $F$9) + CHOOSE(CONTROL!$C$27, 0.0021, 0)</f>
        <v>70.388199999999998</v>
      </c>
      <c r="J423" s="14">
        <f>70.3861 * CHOOSE(CONTROL!$C$9, $D$9, 100%, $F$9) + CHOOSE(CONTROL!$C$27, 0.0021, 0)</f>
        <v>70.388199999999998</v>
      </c>
      <c r="K423" s="14">
        <f>70.3861 * CHOOSE(CONTROL!$C$9, $D$9, 100%, $F$9) + CHOOSE(CONTROL!$C$27, 0.0021, 0)</f>
        <v>70.388199999999998</v>
      </c>
      <c r="L423" s="14"/>
    </row>
    <row r="424" spans="1:12" ht="15.75" x14ac:dyDescent="0.25">
      <c r="A424" s="33">
        <v>53843</v>
      </c>
      <c r="B424" s="14">
        <f>72.2574 * CHOOSE(CONTROL!$C$9, $D$9, 100%, $F$9) + CHOOSE(CONTROL!$C$27, 0.0021, 0)</f>
        <v>72.259500000000003</v>
      </c>
      <c r="C424" s="14">
        <f>71.8252 * CHOOSE(CONTROL!$C$9, $D$9, 100%, $F$9) + CHOOSE(CONTROL!$C$27, 0.0021, 0)</f>
        <v>71.827299999999994</v>
      </c>
      <c r="D424" s="14">
        <f>71.8252 * CHOOSE(CONTROL!$C$9, $D$9, 100%, $F$9) + CHOOSE(CONTROL!$C$27, 0.0021, 0)</f>
        <v>71.827299999999994</v>
      </c>
      <c r="E424" s="14">
        <f>71.6885 * CHOOSE(CONTROL!$C$9, $D$9, 100%, $F$9) + CHOOSE(CONTROL!$C$27, 0.0021, 0)</f>
        <v>71.690600000000003</v>
      </c>
      <c r="F424" s="14">
        <f>71.6885 * CHOOSE(CONTROL!$C$9, $D$9, 100%, $F$9) + CHOOSE(CONTROL!$C$27, 0.0021, 0)</f>
        <v>71.690600000000003</v>
      </c>
      <c r="G424" s="14">
        <f>71.9599 * CHOOSE(CONTROL!$C$9, $D$9, 100%, $F$9) + CHOOSE(CONTROL!$C$27, 0.0021, 0)</f>
        <v>71.962000000000003</v>
      </c>
      <c r="H424" s="14">
        <f>71.8252 * CHOOSE(CONTROL!$C$9, $D$9, 100%, $F$9) + CHOOSE(CONTROL!$C$27, 0.0021, 0)</f>
        <v>71.827299999999994</v>
      </c>
      <c r="I424" s="14">
        <f>71.8252 * CHOOSE(CONTROL!$C$9, $D$9, 100%, $F$9) + CHOOSE(CONTROL!$C$27, 0.0021, 0)</f>
        <v>71.827299999999994</v>
      </c>
      <c r="J424" s="14">
        <f>71.8252 * CHOOSE(CONTROL!$C$9, $D$9, 100%, $F$9) + CHOOSE(CONTROL!$C$27, 0.0021, 0)</f>
        <v>71.827299999999994</v>
      </c>
      <c r="K424" s="14">
        <f>71.8252 * CHOOSE(CONTROL!$C$9, $D$9, 100%, $F$9) + CHOOSE(CONTROL!$C$27, 0.0021, 0)</f>
        <v>71.827299999999994</v>
      </c>
      <c r="L424" s="14"/>
    </row>
    <row r="425" spans="1:12" ht="15.75" x14ac:dyDescent="0.25">
      <c r="A425" s="33">
        <v>53873</v>
      </c>
      <c r="B425" s="14">
        <f>73.1194 * CHOOSE(CONTROL!$C$9, $D$9, 100%, $F$9) + CHOOSE(CONTROL!$C$27, 0.0021, 0)</f>
        <v>73.121499999999997</v>
      </c>
      <c r="C425" s="14">
        <f>72.6871 * CHOOSE(CONTROL!$C$9, $D$9, 100%, $F$9) + CHOOSE(CONTROL!$C$27, 0.0021, 0)</f>
        <v>72.6892</v>
      </c>
      <c r="D425" s="14">
        <f>72.6871 * CHOOSE(CONTROL!$C$9, $D$9, 100%, $F$9) + CHOOSE(CONTROL!$C$27, 0.0021, 0)</f>
        <v>72.6892</v>
      </c>
      <c r="E425" s="14">
        <f>72.5505 * CHOOSE(CONTROL!$C$9, $D$9, 100%, $F$9) + CHOOSE(CONTROL!$C$27, 0.0021, 0)</f>
        <v>72.552599999999998</v>
      </c>
      <c r="F425" s="14">
        <f>72.5505 * CHOOSE(CONTROL!$C$9, $D$9, 100%, $F$9) + CHOOSE(CONTROL!$C$27, 0.0021, 0)</f>
        <v>72.552599999999998</v>
      </c>
      <c r="G425" s="14">
        <f>72.8218 * CHOOSE(CONTROL!$C$9, $D$9, 100%, $F$9) + CHOOSE(CONTROL!$C$27, 0.0021, 0)</f>
        <v>72.823899999999995</v>
      </c>
      <c r="H425" s="14">
        <f>72.6871 * CHOOSE(CONTROL!$C$9, $D$9, 100%, $F$9) + CHOOSE(CONTROL!$C$27, 0.0021, 0)</f>
        <v>72.6892</v>
      </c>
      <c r="I425" s="14">
        <f>72.6871 * CHOOSE(CONTROL!$C$9, $D$9, 100%, $F$9) + CHOOSE(CONTROL!$C$27, 0.0021, 0)</f>
        <v>72.6892</v>
      </c>
      <c r="J425" s="14">
        <f>72.6871 * CHOOSE(CONTROL!$C$9, $D$9, 100%, $F$9) + CHOOSE(CONTROL!$C$27, 0.0021, 0)</f>
        <v>72.6892</v>
      </c>
      <c r="K425" s="14">
        <f>72.6871 * CHOOSE(CONTROL!$C$9, $D$9, 100%, $F$9) + CHOOSE(CONTROL!$C$27, 0.0021, 0)</f>
        <v>72.6892</v>
      </c>
      <c r="L425" s="14"/>
    </row>
    <row r="426" spans="1:12" ht="15.75" x14ac:dyDescent="0.25">
      <c r="A426" s="33">
        <v>53904</v>
      </c>
      <c r="B426" s="14">
        <f>74.5413 * CHOOSE(CONTROL!$C$9, $D$9, 100%, $F$9) + CHOOSE(CONTROL!$C$27, 0.0021, 0)</f>
        <v>74.543400000000005</v>
      </c>
      <c r="C426" s="14">
        <f>74.109 * CHOOSE(CONTROL!$C$9, $D$9, 100%, $F$9) + CHOOSE(CONTROL!$C$27, 0.0021, 0)</f>
        <v>74.111099999999993</v>
      </c>
      <c r="D426" s="14">
        <f>74.109 * CHOOSE(CONTROL!$C$9, $D$9, 100%, $F$9) + CHOOSE(CONTROL!$C$27, 0.0021, 0)</f>
        <v>74.111099999999993</v>
      </c>
      <c r="E426" s="14">
        <f>73.9724 * CHOOSE(CONTROL!$C$9, $D$9, 100%, $F$9) + CHOOSE(CONTROL!$C$27, 0.0021, 0)</f>
        <v>73.974499999999992</v>
      </c>
      <c r="F426" s="14">
        <f>73.9724 * CHOOSE(CONTROL!$C$9, $D$9, 100%, $F$9) + CHOOSE(CONTROL!$C$27, 0.0021, 0)</f>
        <v>73.974499999999992</v>
      </c>
      <c r="G426" s="14">
        <f>74.2437 * CHOOSE(CONTROL!$C$9, $D$9, 100%, $F$9) + CHOOSE(CONTROL!$C$27, 0.0021, 0)</f>
        <v>74.245800000000003</v>
      </c>
      <c r="H426" s="14">
        <f>74.109 * CHOOSE(CONTROL!$C$9, $D$9, 100%, $F$9) + CHOOSE(CONTROL!$C$27, 0.0021, 0)</f>
        <v>74.111099999999993</v>
      </c>
      <c r="I426" s="14">
        <f>74.109 * CHOOSE(CONTROL!$C$9, $D$9, 100%, $F$9) + CHOOSE(CONTROL!$C$27, 0.0021, 0)</f>
        <v>74.111099999999993</v>
      </c>
      <c r="J426" s="14">
        <f>74.109 * CHOOSE(CONTROL!$C$9, $D$9, 100%, $F$9) + CHOOSE(CONTROL!$C$27, 0.0021, 0)</f>
        <v>74.111099999999993</v>
      </c>
      <c r="K426" s="14">
        <f>74.109 * CHOOSE(CONTROL!$C$9, $D$9, 100%, $F$9) + CHOOSE(CONTROL!$C$27, 0.0021, 0)</f>
        <v>74.111099999999993</v>
      </c>
      <c r="L426" s="14"/>
    </row>
    <row r="427" spans="1:12" ht="15.75" x14ac:dyDescent="0.25">
      <c r="A427" s="33">
        <v>53935</v>
      </c>
      <c r="B427" s="14">
        <f>74.9753 * CHOOSE(CONTROL!$C$9, $D$9, 100%, $F$9) + CHOOSE(CONTROL!$C$27, 0.0021, 0)</f>
        <v>74.977400000000003</v>
      </c>
      <c r="C427" s="14">
        <f>74.543 * CHOOSE(CONTROL!$C$9, $D$9, 100%, $F$9) + CHOOSE(CONTROL!$C$27, 0.0021, 0)</f>
        <v>74.545100000000005</v>
      </c>
      <c r="D427" s="14">
        <f>74.543 * CHOOSE(CONTROL!$C$9, $D$9, 100%, $F$9) + CHOOSE(CONTROL!$C$27, 0.0021, 0)</f>
        <v>74.545100000000005</v>
      </c>
      <c r="E427" s="14">
        <f>74.4064 * CHOOSE(CONTROL!$C$9, $D$9, 100%, $F$9) + CHOOSE(CONTROL!$C$27, 0.0021, 0)</f>
        <v>74.408500000000004</v>
      </c>
      <c r="F427" s="14">
        <f>74.4064 * CHOOSE(CONTROL!$C$9, $D$9, 100%, $F$9) + CHOOSE(CONTROL!$C$27, 0.0021, 0)</f>
        <v>74.408500000000004</v>
      </c>
      <c r="G427" s="14">
        <f>74.6778 * CHOOSE(CONTROL!$C$9, $D$9, 100%, $F$9) + CHOOSE(CONTROL!$C$27, 0.0021, 0)</f>
        <v>74.679900000000004</v>
      </c>
      <c r="H427" s="14">
        <f>74.543 * CHOOSE(CONTROL!$C$9, $D$9, 100%, $F$9) + CHOOSE(CONTROL!$C$27, 0.0021, 0)</f>
        <v>74.545100000000005</v>
      </c>
      <c r="I427" s="14">
        <f>74.543 * CHOOSE(CONTROL!$C$9, $D$9, 100%, $F$9) + CHOOSE(CONTROL!$C$27, 0.0021, 0)</f>
        <v>74.545100000000005</v>
      </c>
      <c r="J427" s="14">
        <f>74.543 * CHOOSE(CONTROL!$C$9, $D$9, 100%, $F$9) + CHOOSE(CONTROL!$C$27, 0.0021, 0)</f>
        <v>74.545100000000005</v>
      </c>
      <c r="K427" s="14">
        <f>74.543 * CHOOSE(CONTROL!$C$9, $D$9, 100%, $F$9) + CHOOSE(CONTROL!$C$27, 0.0021, 0)</f>
        <v>74.545100000000005</v>
      </c>
      <c r="L427" s="14"/>
    </row>
    <row r="428" spans="1:12" ht="15.75" x14ac:dyDescent="0.25">
      <c r="A428" s="33">
        <v>53965</v>
      </c>
      <c r="B428" s="14">
        <f>76.4533 * CHOOSE(CONTROL!$C$9, $D$9, 100%, $F$9) + CHOOSE(CONTROL!$C$27, 0.0021, 0)</f>
        <v>76.455399999999997</v>
      </c>
      <c r="C428" s="14">
        <f>76.021 * CHOOSE(CONTROL!$C$9, $D$9, 100%, $F$9) + CHOOSE(CONTROL!$C$27, 0.0021, 0)</f>
        <v>76.023099999999999</v>
      </c>
      <c r="D428" s="14">
        <f>76.021 * CHOOSE(CONTROL!$C$9, $D$9, 100%, $F$9) + CHOOSE(CONTROL!$C$27, 0.0021, 0)</f>
        <v>76.023099999999999</v>
      </c>
      <c r="E428" s="14">
        <f>75.8844 * CHOOSE(CONTROL!$C$9, $D$9, 100%, $F$9) + CHOOSE(CONTROL!$C$27, 0.0021, 0)</f>
        <v>75.886499999999998</v>
      </c>
      <c r="F428" s="14">
        <f>75.8844 * CHOOSE(CONTROL!$C$9, $D$9, 100%, $F$9) + CHOOSE(CONTROL!$C$27, 0.0021, 0)</f>
        <v>75.886499999999998</v>
      </c>
      <c r="G428" s="14">
        <f>76.1558 * CHOOSE(CONTROL!$C$9, $D$9, 100%, $F$9) + CHOOSE(CONTROL!$C$27, 0.0021, 0)</f>
        <v>76.157899999999998</v>
      </c>
      <c r="H428" s="14">
        <f>76.021 * CHOOSE(CONTROL!$C$9, $D$9, 100%, $F$9) + CHOOSE(CONTROL!$C$27, 0.0021, 0)</f>
        <v>76.023099999999999</v>
      </c>
      <c r="I428" s="14">
        <f>76.021 * CHOOSE(CONTROL!$C$9, $D$9, 100%, $F$9) + CHOOSE(CONTROL!$C$27, 0.0021, 0)</f>
        <v>76.023099999999999</v>
      </c>
      <c r="J428" s="14">
        <f>76.021 * CHOOSE(CONTROL!$C$9, $D$9, 100%, $F$9) + CHOOSE(CONTROL!$C$27, 0.0021, 0)</f>
        <v>76.023099999999999</v>
      </c>
      <c r="K428" s="14">
        <f>76.021 * CHOOSE(CONTROL!$C$9, $D$9, 100%, $F$9) + CHOOSE(CONTROL!$C$27, 0.0021, 0)</f>
        <v>76.023099999999999</v>
      </c>
      <c r="L428" s="14"/>
    </row>
    <row r="429" spans="1:12" ht="15.75" x14ac:dyDescent="0.25">
      <c r="A429" s="33">
        <v>53996</v>
      </c>
      <c r="B429" s="14">
        <f>78.3242 * CHOOSE(CONTROL!$C$9, $D$9, 100%, $F$9) + CHOOSE(CONTROL!$C$27, 0.0021, 0)</f>
        <v>78.326300000000003</v>
      </c>
      <c r="C429" s="14">
        <f>77.8919 * CHOOSE(CONTROL!$C$9, $D$9, 100%, $F$9) + CHOOSE(CONTROL!$C$27, 0.0021, 0)</f>
        <v>77.894000000000005</v>
      </c>
      <c r="D429" s="14">
        <f>77.8919 * CHOOSE(CONTROL!$C$9, $D$9, 100%, $F$9) + CHOOSE(CONTROL!$C$27, 0.0021, 0)</f>
        <v>77.894000000000005</v>
      </c>
      <c r="E429" s="14">
        <f>77.7553 * CHOOSE(CONTROL!$C$9, $D$9, 100%, $F$9) + CHOOSE(CONTROL!$C$27, 0.0021, 0)</f>
        <v>77.757400000000004</v>
      </c>
      <c r="F429" s="14">
        <f>77.7553 * CHOOSE(CONTROL!$C$9, $D$9, 100%, $F$9) + CHOOSE(CONTROL!$C$27, 0.0021, 0)</f>
        <v>77.757400000000004</v>
      </c>
      <c r="G429" s="14">
        <f>78.0267 * CHOOSE(CONTROL!$C$9, $D$9, 100%, $F$9) + CHOOSE(CONTROL!$C$27, 0.0021, 0)</f>
        <v>78.028800000000004</v>
      </c>
      <c r="H429" s="14">
        <f>77.8919 * CHOOSE(CONTROL!$C$9, $D$9, 100%, $F$9) + CHOOSE(CONTROL!$C$27, 0.0021, 0)</f>
        <v>77.894000000000005</v>
      </c>
      <c r="I429" s="14">
        <f>77.8919 * CHOOSE(CONTROL!$C$9, $D$9, 100%, $F$9) + CHOOSE(CONTROL!$C$27, 0.0021, 0)</f>
        <v>77.894000000000005</v>
      </c>
      <c r="J429" s="14">
        <f>77.8919 * CHOOSE(CONTROL!$C$9, $D$9, 100%, $F$9) + CHOOSE(CONTROL!$C$27, 0.0021, 0)</f>
        <v>77.894000000000005</v>
      </c>
      <c r="K429" s="14">
        <f>77.8919 * CHOOSE(CONTROL!$C$9, $D$9, 100%, $F$9) + CHOOSE(CONTROL!$C$27, 0.0021, 0)</f>
        <v>77.894000000000005</v>
      </c>
      <c r="L429" s="14"/>
    </row>
    <row r="430" spans="1:12" ht="15.75" x14ac:dyDescent="0.25">
      <c r="A430" s="33">
        <v>54026</v>
      </c>
      <c r="B430" s="14">
        <f>78.4998 * CHOOSE(CONTROL!$C$9, $D$9, 100%, $F$9) + CHOOSE(CONTROL!$C$27, 0.0021, 0)</f>
        <v>78.501899999999992</v>
      </c>
      <c r="C430" s="14">
        <f>78.0676 * CHOOSE(CONTROL!$C$9, $D$9, 100%, $F$9) + CHOOSE(CONTROL!$C$27, 0.0021, 0)</f>
        <v>78.069699999999997</v>
      </c>
      <c r="D430" s="14">
        <f>78.0676 * CHOOSE(CONTROL!$C$9, $D$9, 100%, $F$9) + CHOOSE(CONTROL!$C$27, 0.0021, 0)</f>
        <v>78.069699999999997</v>
      </c>
      <c r="E430" s="14">
        <f>77.9309 * CHOOSE(CONTROL!$C$9, $D$9, 100%, $F$9) + CHOOSE(CONTROL!$C$27, 0.0021, 0)</f>
        <v>77.932999999999993</v>
      </c>
      <c r="F430" s="14">
        <f>77.9309 * CHOOSE(CONTROL!$C$9, $D$9, 100%, $F$9) + CHOOSE(CONTROL!$C$27, 0.0021, 0)</f>
        <v>77.932999999999993</v>
      </c>
      <c r="G430" s="14">
        <f>78.2023 * CHOOSE(CONTROL!$C$9, $D$9, 100%, $F$9) + CHOOSE(CONTROL!$C$27, 0.0021, 0)</f>
        <v>78.204399999999993</v>
      </c>
      <c r="H430" s="14">
        <f>78.0676 * CHOOSE(CONTROL!$C$9, $D$9, 100%, $F$9) + CHOOSE(CONTROL!$C$27, 0.0021, 0)</f>
        <v>78.069699999999997</v>
      </c>
      <c r="I430" s="14">
        <f>78.0676 * CHOOSE(CONTROL!$C$9, $D$9, 100%, $F$9) + CHOOSE(CONTROL!$C$27, 0.0021, 0)</f>
        <v>78.069699999999997</v>
      </c>
      <c r="J430" s="14">
        <f>78.0676 * CHOOSE(CONTROL!$C$9, $D$9, 100%, $F$9) + CHOOSE(CONTROL!$C$27, 0.0021, 0)</f>
        <v>78.069699999999997</v>
      </c>
      <c r="K430" s="14">
        <f>78.0676 * CHOOSE(CONTROL!$C$9, $D$9, 100%, $F$9) + CHOOSE(CONTROL!$C$27, 0.0021, 0)</f>
        <v>78.069699999999997</v>
      </c>
      <c r="L430" s="14"/>
    </row>
    <row r="431" spans="1:12" ht="15.75" x14ac:dyDescent="0.25">
      <c r="A431" s="33">
        <v>54057</v>
      </c>
      <c r="B431" s="14">
        <f>77.0056 * CHOOSE(CONTROL!$C$9, $D$9, 100%, $F$9) + CHOOSE(CONTROL!$C$27, 0.0021, 0)</f>
        <v>77.0077</v>
      </c>
      <c r="C431" s="14">
        <f>76.5733 * CHOOSE(CONTROL!$C$9, $D$9, 100%, $F$9) + CHOOSE(CONTROL!$C$27, 0.0021, 0)</f>
        <v>76.575400000000002</v>
      </c>
      <c r="D431" s="14">
        <f>76.5733 * CHOOSE(CONTROL!$C$9, $D$9, 100%, $F$9) + CHOOSE(CONTROL!$C$27, 0.0021, 0)</f>
        <v>76.575400000000002</v>
      </c>
      <c r="E431" s="14">
        <f>76.4367 * CHOOSE(CONTROL!$C$9, $D$9, 100%, $F$9) + CHOOSE(CONTROL!$C$27, 0.0021, 0)</f>
        <v>76.438800000000001</v>
      </c>
      <c r="F431" s="14">
        <f>76.4367 * CHOOSE(CONTROL!$C$9, $D$9, 100%, $F$9) + CHOOSE(CONTROL!$C$27, 0.0021, 0)</f>
        <v>76.438800000000001</v>
      </c>
      <c r="G431" s="14">
        <f>76.708 * CHOOSE(CONTROL!$C$9, $D$9, 100%, $F$9) + CHOOSE(CONTROL!$C$27, 0.0021, 0)</f>
        <v>76.710099999999997</v>
      </c>
      <c r="H431" s="14">
        <f>76.5733 * CHOOSE(CONTROL!$C$9, $D$9, 100%, $F$9) + CHOOSE(CONTROL!$C$27, 0.0021, 0)</f>
        <v>76.575400000000002</v>
      </c>
      <c r="I431" s="14">
        <f>76.5733 * CHOOSE(CONTROL!$C$9, $D$9, 100%, $F$9) + CHOOSE(CONTROL!$C$27, 0.0021, 0)</f>
        <v>76.575400000000002</v>
      </c>
      <c r="J431" s="14">
        <f>76.5733 * CHOOSE(CONTROL!$C$9, $D$9, 100%, $F$9) + CHOOSE(CONTROL!$C$27, 0.0021, 0)</f>
        <v>76.575400000000002</v>
      </c>
      <c r="K431" s="14">
        <f>76.5733 * CHOOSE(CONTROL!$C$9, $D$9, 100%, $F$9) + CHOOSE(CONTROL!$C$27, 0.0021, 0)</f>
        <v>76.575400000000002</v>
      </c>
      <c r="L431" s="14"/>
    </row>
    <row r="432" spans="1:12" ht="15.75" x14ac:dyDescent="0.25">
      <c r="A432" s="33">
        <v>54088</v>
      </c>
      <c r="B432" s="14">
        <f>76.0611 * CHOOSE(CONTROL!$C$9, $D$9, 100%, $F$9) + CHOOSE(CONTROL!$C$27, 0.0021, 0)</f>
        <v>76.063199999999995</v>
      </c>
      <c r="C432" s="14">
        <f>75.6289 * CHOOSE(CONTROL!$C$9, $D$9, 100%, $F$9) + CHOOSE(CONTROL!$C$27, 0.0021, 0)</f>
        <v>75.631</v>
      </c>
      <c r="D432" s="14">
        <f>75.6289 * CHOOSE(CONTROL!$C$9, $D$9, 100%, $F$9) + CHOOSE(CONTROL!$C$27, 0.0021, 0)</f>
        <v>75.631</v>
      </c>
      <c r="E432" s="14">
        <f>75.4922 * CHOOSE(CONTROL!$C$9, $D$9, 100%, $F$9) + CHOOSE(CONTROL!$C$27, 0.0021, 0)</f>
        <v>75.494299999999996</v>
      </c>
      <c r="F432" s="14">
        <f>75.4922 * CHOOSE(CONTROL!$C$9, $D$9, 100%, $F$9) + CHOOSE(CONTROL!$C$27, 0.0021, 0)</f>
        <v>75.494299999999996</v>
      </c>
      <c r="G432" s="14">
        <f>75.7636 * CHOOSE(CONTROL!$C$9, $D$9, 100%, $F$9) + CHOOSE(CONTROL!$C$27, 0.0021, 0)</f>
        <v>75.765699999999995</v>
      </c>
      <c r="H432" s="14">
        <f>75.6289 * CHOOSE(CONTROL!$C$9, $D$9, 100%, $F$9) + CHOOSE(CONTROL!$C$27, 0.0021, 0)</f>
        <v>75.631</v>
      </c>
      <c r="I432" s="14">
        <f>75.6289 * CHOOSE(CONTROL!$C$9, $D$9, 100%, $F$9) + CHOOSE(CONTROL!$C$27, 0.0021, 0)</f>
        <v>75.631</v>
      </c>
      <c r="J432" s="14">
        <f>75.6289 * CHOOSE(CONTROL!$C$9, $D$9, 100%, $F$9) + CHOOSE(CONTROL!$C$27, 0.0021, 0)</f>
        <v>75.631</v>
      </c>
      <c r="K432" s="14">
        <f>75.6289 * CHOOSE(CONTROL!$C$9, $D$9, 100%, $F$9) + CHOOSE(CONTROL!$C$27, 0.0021, 0)</f>
        <v>75.631</v>
      </c>
      <c r="L432" s="14"/>
    </row>
    <row r="433" spans="1:12" ht="15.75" x14ac:dyDescent="0.25">
      <c r="A433" s="33">
        <v>54116</v>
      </c>
      <c r="B433" s="14">
        <f>73.9746 * CHOOSE(CONTROL!$C$9, $D$9, 100%, $F$9) + CHOOSE(CONTROL!$C$27, 0.0021, 0)</f>
        <v>73.976699999999994</v>
      </c>
      <c r="C433" s="14">
        <f>73.5423 * CHOOSE(CONTROL!$C$9, $D$9, 100%, $F$9) + CHOOSE(CONTROL!$C$27, 0.0021, 0)</f>
        <v>73.544399999999996</v>
      </c>
      <c r="D433" s="14">
        <f>73.5423 * CHOOSE(CONTROL!$C$9, $D$9, 100%, $F$9) + CHOOSE(CONTROL!$C$27, 0.0021, 0)</f>
        <v>73.544399999999996</v>
      </c>
      <c r="E433" s="14">
        <f>73.4056 * CHOOSE(CONTROL!$C$9, $D$9, 100%, $F$9) + CHOOSE(CONTROL!$C$27, 0.0021, 0)</f>
        <v>73.407700000000006</v>
      </c>
      <c r="F433" s="14">
        <f>73.4056 * CHOOSE(CONTROL!$C$9, $D$9, 100%, $F$9) + CHOOSE(CONTROL!$C$27, 0.0021, 0)</f>
        <v>73.407700000000006</v>
      </c>
      <c r="G433" s="14">
        <f>73.677 * CHOOSE(CONTROL!$C$9, $D$9, 100%, $F$9) + CHOOSE(CONTROL!$C$27, 0.0021, 0)</f>
        <v>73.679100000000005</v>
      </c>
      <c r="H433" s="14">
        <f>73.5423 * CHOOSE(CONTROL!$C$9, $D$9, 100%, $F$9) + CHOOSE(CONTROL!$C$27, 0.0021, 0)</f>
        <v>73.544399999999996</v>
      </c>
      <c r="I433" s="14">
        <f>73.5423 * CHOOSE(CONTROL!$C$9, $D$9, 100%, $F$9) + CHOOSE(CONTROL!$C$27, 0.0021, 0)</f>
        <v>73.544399999999996</v>
      </c>
      <c r="J433" s="14">
        <f>73.5423 * CHOOSE(CONTROL!$C$9, $D$9, 100%, $F$9) + CHOOSE(CONTROL!$C$27, 0.0021, 0)</f>
        <v>73.544399999999996</v>
      </c>
      <c r="K433" s="14">
        <f>73.5423 * CHOOSE(CONTROL!$C$9, $D$9, 100%, $F$9) + CHOOSE(CONTROL!$C$27, 0.0021, 0)</f>
        <v>73.544399999999996</v>
      </c>
      <c r="L433" s="14"/>
    </row>
    <row r="434" spans="1:12" ht="15.75" x14ac:dyDescent="0.25">
      <c r="A434" s="33">
        <v>54148</v>
      </c>
      <c r="B434" s="14">
        <f>73.1132 * CHOOSE(CONTROL!$C$9, $D$9, 100%, $F$9) + CHOOSE(CONTROL!$C$27, 0.0021, 0)</f>
        <v>73.115300000000005</v>
      </c>
      <c r="C434" s="14">
        <f>72.681 * CHOOSE(CONTROL!$C$9, $D$9, 100%, $F$9) + CHOOSE(CONTROL!$C$27, 0.0021, 0)</f>
        <v>72.683099999999996</v>
      </c>
      <c r="D434" s="14">
        <f>72.681 * CHOOSE(CONTROL!$C$9, $D$9, 100%, $F$9) + CHOOSE(CONTROL!$C$27, 0.0021, 0)</f>
        <v>72.683099999999996</v>
      </c>
      <c r="E434" s="14">
        <f>72.5443 * CHOOSE(CONTROL!$C$9, $D$9, 100%, $F$9) + CHOOSE(CONTROL!$C$27, 0.0021, 0)</f>
        <v>72.546400000000006</v>
      </c>
      <c r="F434" s="14">
        <f>72.5443 * CHOOSE(CONTROL!$C$9, $D$9, 100%, $F$9) + CHOOSE(CONTROL!$C$27, 0.0021, 0)</f>
        <v>72.546400000000006</v>
      </c>
      <c r="G434" s="14">
        <f>72.8157 * CHOOSE(CONTROL!$C$9, $D$9, 100%, $F$9) + CHOOSE(CONTROL!$C$27, 0.0021, 0)</f>
        <v>72.817800000000005</v>
      </c>
      <c r="H434" s="14">
        <f>72.681 * CHOOSE(CONTROL!$C$9, $D$9, 100%, $F$9) + CHOOSE(CONTROL!$C$27, 0.0021, 0)</f>
        <v>72.683099999999996</v>
      </c>
      <c r="I434" s="14">
        <f>72.681 * CHOOSE(CONTROL!$C$9, $D$9, 100%, $F$9) + CHOOSE(CONTROL!$C$27, 0.0021, 0)</f>
        <v>72.683099999999996</v>
      </c>
      <c r="J434" s="14">
        <f>72.681 * CHOOSE(CONTROL!$C$9, $D$9, 100%, $F$9) + CHOOSE(CONTROL!$C$27, 0.0021, 0)</f>
        <v>72.683099999999996</v>
      </c>
      <c r="K434" s="14">
        <f>72.681 * CHOOSE(CONTROL!$C$9, $D$9, 100%, $F$9) + CHOOSE(CONTROL!$C$27, 0.0021, 0)</f>
        <v>72.683099999999996</v>
      </c>
      <c r="L434" s="14"/>
    </row>
    <row r="435" spans="1:12" ht="15.75" x14ac:dyDescent="0.25">
      <c r="A435" s="33">
        <v>54178</v>
      </c>
      <c r="B435" s="14">
        <f>72.0848 * CHOOSE(CONTROL!$C$9, $D$9, 100%, $F$9) + CHOOSE(CONTROL!$C$27, 0.0021, 0)</f>
        <v>72.0869</v>
      </c>
      <c r="C435" s="14">
        <f>71.6525 * CHOOSE(CONTROL!$C$9, $D$9, 100%, $F$9) + CHOOSE(CONTROL!$C$27, 0.0021, 0)</f>
        <v>71.654600000000002</v>
      </c>
      <c r="D435" s="14">
        <f>71.6525 * CHOOSE(CONTROL!$C$9, $D$9, 100%, $F$9) + CHOOSE(CONTROL!$C$27, 0.0021, 0)</f>
        <v>71.654600000000002</v>
      </c>
      <c r="E435" s="14">
        <f>71.5159 * CHOOSE(CONTROL!$C$9, $D$9, 100%, $F$9) + CHOOSE(CONTROL!$C$27, 0.0021, 0)</f>
        <v>71.518000000000001</v>
      </c>
      <c r="F435" s="14">
        <f>71.5159 * CHOOSE(CONTROL!$C$9, $D$9, 100%, $F$9) + CHOOSE(CONTROL!$C$27, 0.0021, 0)</f>
        <v>71.518000000000001</v>
      </c>
      <c r="G435" s="14">
        <f>71.7872 * CHOOSE(CONTROL!$C$9, $D$9, 100%, $F$9) + CHOOSE(CONTROL!$C$27, 0.0021, 0)</f>
        <v>71.789299999999997</v>
      </c>
      <c r="H435" s="14">
        <f>71.6525 * CHOOSE(CONTROL!$C$9, $D$9, 100%, $F$9) + CHOOSE(CONTROL!$C$27, 0.0021, 0)</f>
        <v>71.654600000000002</v>
      </c>
      <c r="I435" s="14">
        <f>71.6525 * CHOOSE(CONTROL!$C$9, $D$9, 100%, $F$9) + CHOOSE(CONTROL!$C$27, 0.0021, 0)</f>
        <v>71.654600000000002</v>
      </c>
      <c r="J435" s="14">
        <f>71.6525 * CHOOSE(CONTROL!$C$9, $D$9, 100%, $F$9) + CHOOSE(CONTROL!$C$27, 0.0021, 0)</f>
        <v>71.654600000000002</v>
      </c>
      <c r="K435" s="14">
        <f>71.6525 * CHOOSE(CONTROL!$C$9, $D$9, 100%, $F$9) + CHOOSE(CONTROL!$C$27, 0.0021, 0)</f>
        <v>71.654600000000002</v>
      </c>
      <c r="L435" s="14"/>
    </row>
    <row r="436" spans="1:12" ht="15.75" x14ac:dyDescent="0.25">
      <c r="A436" s="33">
        <v>54209</v>
      </c>
      <c r="B436" s="14">
        <f>73.5504 * CHOOSE(CONTROL!$C$9, $D$9, 100%, $F$9) + CHOOSE(CONTROL!$C$27, 0.0021, 0)</f>
        <v>73.552499999999995</v>
      </c>
      <c r="C436" s="14">
        <f>73.1182 * CHOOSE(CONTROL!$C$9, $D$9, 100%, $F$9) + CHOOSE(CONTROL!$C$27, 0.0021, 0)</f>
        <v>73.1203</v>
      </c>
      <c r="D436" s="14">
        <f>73.1182 * CHOOSE(CONTROL!$C$9, $D$9, 100%, $F$9) + CHOOSE(CONTROL!$C$27, 0.0021, 0)</f>
        <v>73.1203</v>
      </c>
      <c r="E436" s="14">
        <f>72.9815 * CHOOSE(CONTROL!$C$9, $D$9, 100%, $F$9) + CHOOSE(CONTROL!$C$27, 0.0021, 0)</f>
        <v>72.983599999999996</v>
      </c>
      <c r="F436" s="14">
        <f>72.9815 * CHOOSE(CONTROL!$C$9, $D$9, 100%, $F$9) + CHOOSE(CONTROL!$C$27, 0.0021, 0)</f>
        <v>72.983599999999996</v>
      </c>
      <c r="G436" s="14">
        <f>73.2529 * CHOOSE(CONTROL!$C$9, $D$9, 100%, $F$9) + CHOOSE(CONTROL!$C$27, 0.0021, 0)</f>
        <v>73.254999999999995</v>
      </c>
      <c r="H436" s="14">
        <f>73.1182 * CHOOSE(CONTROL!$C$9, $D$9, 100%, $F$9) + CHOOSE(CONTROL!$C$27, 0.0021, 0)</f>
        <v>73.1203</v>
      </c>
      <c r="I436" s="14">
        <f>73.1182 * CHOOSE(CONTROL!$C$9, $D$9, 100%, $F$9) + CHOOSE(CONTROL!$C$27, 0.0021, 0)</f>
        <v>73.1203</v>
      </c>
      <c r="J436" s="14">
        <f>73.1182 * CHOOSE(CONTROL!$C$9, $D$9, 100%, $F$9) + CHOOSE(CONTROL!$C$27, 0.0021, 0)</f>
        <v>73.1203</v>
      </c>
      <c r="K436" s="14">
        <f>73.1182 * CHOOSE(CONTROL!$C$9, $D$9, 100%, $F$9) + CHOOSE(CONTROL!$C$27, 0.0021, 0)</f>
        <v>73.1203</v>
      </c>
      <c r="L436" s="14"/>
    </row>
    <row r="437" spans="1:12" ht="15.75" x14ac:dyDescent="0.25">
      <c r="A437" s="33">
        <v>54239</v>
      </c>
      <c r="B437" s="14">
        <f>74.4283 * CHOOSE(CONTROL!$C$9, $D$9, 100%, $F$9) + CHOOSE(CONTROL!$C$27, 0.0021, 0)</f>
        <v>74.430399999999992</v>
      </c>
      <c r="C437" s="14">
        <f>73.9961 * CHOOSE(CONTROL!$C$9, $D$9, 100%, $F$9) + CHOOSE(CONTROL!$C$27, 0.0021, 0)</f>
        <v>73.998199999999997</v>
      </c>
      <c r="D437" s="14">
        <f>73.9961 * CHOOSE(CONTROL!$C$9, $D$9, 100%, $F$9) + CHOOSE(CONTROL!$C$27, 0.0021, 0)</f>
        <v>73.998199999999997</v>
      </c>
      <c r="E437" s="14">
        <f>73.8594 * CHOOSE(CONTROL!$C$9, $D$9, 100%, $F$9) + CHOOSE(CONTROL!$C$27, 0.0021, 0)</f>
        <v>73.861499999999992</v>
      </c>
      <c r="F437" s="14">
        <f>73.8594 * CHOOSE(CONTROL!$C$9, $D$9, 100%, $F$9) + CHOOSE(CONTROL!$C$27, 0.0021, 0)</f>
        <v>73.861499999999992</v>
      </c>
      <c r="G437" s="14">
        <f>74.1308 * CHOOSE(CONTROL!$C$9, $D$9, 100%, $F$9) + CHOOSE(CONTROL!$C$27, 0.0021, 0)</f>
        <v>74.132899999999992</v>
      </c>
      <c r="H437" s="14">
        <f>73.9961 * CHOOSE(CONTROL!$C$9, $D$9, 100%, $F$9) + CHOOSE(CONTROL!$C$27, 0.0021, 0)</f>
        <v>73.998199999999997</v>
      </c>
      <c r="I437" s="14">
        <f>73.9961 * CHOOSE(CONTROL!$C$9, $D$9, 100%, $F$9) + CHOOSE(CONTROL!$C$27, 0.0021, 0)</f>
        <v>73.998199999999997</v>
      </c>
      <c r="J437" s="14">
        <f>73.9961 * CHOOSE(CONTROL!$C$9, $D$9, 100%, $F$9) + CHOOSE(CONTROL!$C$27, 0.0021, 0)</f>
        <v>73.998199999999997</v>
      </c>
      <c r="K437" s="14">
        <f>73.9961 * CHOOSE(CONTROL!$C$9, $D$9, 100%, $F$9) + CHOOSE(CONTROL!$C$27, 0.0021, 0)</f>
        <v>73.998199999999997</v>
      </c>
      <c r="L437" s="14"/>
    </row>
    <row r="438" spans="1:12" ht="15.75" x14ac:dyDescent="0.25">
      <c r="A438" s="33">
        <v>54270</v>
      </c>
      <c r="B438" s="14">
        <f>75.8765 * CHOOSE(CONTROL!$C$9, $D$9, 100%, $F$9) + CHOOSE(CONTROL!$C$27, 0.0021, 0)</f>
        <v>75.878599999999992</v>
      </c>
      <c r="C438" s="14">
        <f>75.4442 * CHOOSE(CONTROL!$C$9, $D$9, 100%, $F$9) + CHOOSE(CONTROL!$C$27, 0.0021, 0)</f>
        <v>75.446299999999994</v>
      </c>
      <c r="D438" s="14">
        <f>75.4442 * CHOOSE(CONTROL!$C$9, $D$9, 100%, $F$9) + CHOOSE(CONTROL!$C$27, 0.0021, 0)</f>
        <v>75.446299999999994</v>
      </c>
      <c r="E438" s="14">
        <f>75.3076 * CHOOSE(CONTROL!$C$9, $D$9, 100%, $F$9) + CHOOSE(CONTROL!$C$27, 0.0021, 0)</f>
        <v>75.309699999999992</v>
      </c>
      <c r="F438" s="14">
        <f>75.3076 * CHOOSE(CONTROL!$C$9, $D$9, 100%, $F$9) + CHOOSE(CONTROL!$C$27, 0.0021, 0)</f>
        <v>75.309699999999992</v>
      </c>
      <c r="G438" s="14">
        <f>75.579 * CHOOSE(CONTROL!$C$9, $D$9, 100%, $F$9) + CHOOSE(CONTROL!$C$27, 0.0021, 0)</f>
        <v>75.581099999999992</v>
      </c>
      <c r="H438" s="14">
        <f>75.4442 * CHOOSE(CONTROL!$C$9, $D$9, 100%, $F$9) + CHOOSE(CONTROL!$C$27, 0.0021, 0)</f>
        <v>75.446299999999994</v>
      </c>
      <c r="I438" s="14">
        <f>75.4442 * CHOOSE(CONTROL!$C$9, $D$9, 100%, $F$9) + CHOOSE(CONTROL!$C$27, 0.0021, 0)</f>
        <v>75.446299999999994</v>
      </c>
      <c r="J438" s="14">
        <f>75.4442 * CHOOSE(CONTROL!$C$9, $D$9, 100%, $F$9) + CHOOSE(CONTROL!$C$27, 0.0021, 0)</f>
        <v>75.446299999999994</v>
      </c>
      <c r="K438" s="14">
        <f>75.4442 * CHOOSE(CONTROL!$C$9, $D$9, 100%, $F$9) + CHOOSE(CONTROL!$C$27, 0.0021, 0)</f>
        <v>75.446299999999994</v>
      </c>
      <c r="L438" s="14"/>
    </row>
    <row r="439" spans="1:12" ht="15.75" x14ac:dyDescent="0.25">
      <c r="A439" s="33">
        <v>54301</v>
      </c>
      <c r="B439" s="14">
        <f>76.3185 * CHOOSE(CONTROL!$C$9, $D$9, 100%, $F$9) + CHOOSE(CONTROL!$C$27, 0.0021, 0)</f>
        <v>76.320599999999999</v>
      </c>
      <c r="C439" s="14">
        <f>75.8863 * CHOOSE(CONTROL!$C$9, $D$9, 100%, $F$9) + CHOOSE(CONTROL!$C$27, 0.0021, 0)</f>
        <v>75.888400000000004</v>
      </c>
      <c r="D439" s="14">
        <f>75.8863 * CHOOSE(CONTROL!$C$9, $D$9, 100%, $F$9) + CHOOSE(CONTROL!$C$27, 0.0021, 0)</f>
        <v>75.888400000000004</v>
      </c>
      <c r="E439" s="14">
        <f>75.7496 * CHOOSE(CONTROL!$C$9, $D$9, 100%, $F$9) + CHOOSE(CONTROL!$C$27, 0.0021, 0)</f>
        <v>75.7517</v>
      </c>
      <c r="F439" s="14">
        <f>75.7496 * CHOOSE(CONTROL!$C$9, $D$9, 100%, $F$9) + CHOOSE(CONTROL!$C$27, 0.0021, 0)</f>
        <v>75.7517</v>
      </c>
      <c r="G439" s="14">
        <f>76.021 * CHOOSE(CONTROL!$C$9, $D$9, 100%, $F$9) + CHOOSE(CONTROL!$C$27, 0.0021, 0)</f>
        <v>76.023099999999999</v>
      </c>
      <c r="H439" s="14">
        <f>75.8863 * CHOOSE(CONTROL!$C$9, $D$9, 100%, $F$9) + CHOOSE(CONTROL!$C$27, 0.0021, 0)</f>
        <v>75.888400000000004</v>
      </c>
      <c r="I439" s="14">
        <f>75.8863 * CHOOSE(CONTROL!$C$9, $D$9, 100%, $F$9) + CHOOSE(CONTROL!$C$27, 0.0021, 0)</f>
        <v>75.888400000000004</v>
      </c>
      <c r="J439" s="14">
        <f>75.8863 * CHOOSE(CONTROL!$C$9, $D$9, 100%, $F$9) + CHOOSE(CONTROL!$C$27, 0.0021, 0)</f>
        <v>75.888400000000004</v>
      </c>
      <c r="K439" s="14">
        <f>75.8863 * CHOOSE(CONTROL!$C$9, $D$9, 100%, $F$9) + CHOOSE(CONTROL!$C$27, 0.0021, 0)</f>
        <v>75.888400000000004</v>
      </c>
      <c r="L439" s="14"/>
    </row>
    <row r="440" spans="1:12" ht="15.75" x14ac:dyDescent="0.25">
      <c r="A440" s="33">
        <v>54331</v>
      </c>
      <c r="B440" s="14">
        <f>77.8238 * CHOOSE(CONTROL!$C$9, $D$9, 100%, $F$9) + CHOOSE(CONTROL!$C$27, 0.0021, 0)</f>
        <v>77.825900000000004</v>
      </c>
      <c r="C440" s="14">
        <f>77.3916 * CHOOSE(CONTROL!$C$9, $D$9, 100%, $F$9) + CHOOSE(CONTROL!$C$27, 0.0021, 0)</f>
        <v>77.393699999999995</v>
      </c>
      <c r="D440" s="14">
        <f>77.3916 * CHOOSE(CONTROL!$C$9, $D$9, 100%, $F$9) + CHOOSE(CONTROL!$C$27, 0.0021, 0)</f>
        <v>77.393699999999995</v>
      </c>
      <c r="E440" s="14">
        <f>77.2549 * CHOOSE(CONTROL!$C$9, $D$9, 100%, $F$9) + CHOOSE(CONTROL!$C$27, 0.0021, 0)</f>
        <v>77.257000000000005</v>
      </c>
      <c r="F440" s="14">
        <f>77.2549 * CHOOSE(CONTROL!$C$9, $D$9, 100%, $F$9) + CHOOSE(CONTROL!$C$27, 0.0021, 0)</f>
        <v>77.257000000000005</v>
      </c>
      <c r="G440" s="14">
        <f>77.5263 * CHOOSE(CONTROL!$C$9, $D$9, 100%, $F$9) + CHOOSE(CONTROL!$C$27, 0.0021, 0)</f>
        <v>77.528400000000005</v>
      </c>
      <c r="H440" s="14">
        <f>77.3916 * CHOOSE(CONTROL!$C$9, $D$9, 100%, $F$9) + CHOOSE(CONTROL!$C$27, 0.0021, 0)</f>
        <v>77.393699999999995</v>
      </c>
      <c r="I440" s="14">
        <f>77.3916 * CHOOSE(CONTROL!$C$9, $D$9, 100%, $F$9) + CHOOSE(CONTROL!$C$27, 0.0021, 0)</f>
        <v>77.393699999999995</v>
      </c>
      <c r="J440" s="14">
        <f>77.3916 * CHOOSE(CONTROL!$C$9, $D$9, 100%, $F$9) + CHOOSE(CONTROL!$C$27, 0.0021, 0)</f>
        <v>77.393699999999995</v>
      </c>
      <c r="K440" s="14">
        <f>77.3916 * CHOOSE(CONTROL!$C$9, $D$9, 100%, $F$9) + CHOOSE(CONTROL!$C$27, 0.0021, 0)</f>
        <v>77.393699999999995</v>
      </c>
      <c r="L440" s="14"/>
    </row>
    <row r="441" spans="1:12" ht="15.75" x14ac:dyDescent="0.25">
      <c r="A441" s="33">
        <v>54362</v>
      </c>
      <c r="B441" s="14">
        <f>79.7293 * CHOOSE(CONTROL!$C$9, $D$9, 100%, $F$9) + CHOOSE(CONTROL!$C$27, 0.0021, 0)</f>
        <v>79.731399999999994</v>
      </c>
      <c r="C441" s="14">
        <f>79.2971 * CHOOSE(CONTROL!$C$9, $D$9, 100%, $F$9) + CHOOSE(CONTROL!$C$27, 0.0021, 0)</f>
        <v>79.299199999999999</v>
      </c>
      <c r="D441" s="14">
        <f>79.2971 * CHOOSE(CONTROL!$C$9, $D$9, 100%, $F$9) + CHOOSE(CONTROL!$C$27, 0.0021, 0)</f>
        <v>79.299199999999999</v>
      </c>
      <c r="E441" s="14">
        <f>79.1604 * CHOOSE(CONTROL!$C$9, $D$9, 100%, $F$9) + CHOOSE(CONTROL!$C$27, 0.0021, 0)</f>
        <v>79.162499999999994</v>
      </c>
      <c r="F441" s="14">
        <f>79.1604 * CHOOSE(CONTROL!$C$9, $D$9, 100%, $F$9) + CHOOSE(CONTROL!$C$27, 0.0021, 0)</f>
        <v>79.162499999999994</v>
      </c>
      <c r="G441" s="14">
        <f>79.4318 * CHOOSE(CONTROL!$C$9, $D$9, 100%, $F$9) + CHOOSE(CONTROL!$C$27, 0.0021, 0)</f>
        <v>79.433899999999994</v>
      </c>
      <c r="H441" s="14">
        <f>79.2971 * CHOOSE(CONTROL!$C$9, $D$9, 100%, $F$9) + CHOOSE(CONTROL!$C$27, 0.0021, 0)</f>
        <v>79.299199999999999</v>
      </c>
      <c r="I441" s="14">
        <f>79.2971 * CHOOSE(CONTROL!$C$9, $D$9, 100%, $F$9) + CHOOSE(CONTROL!$C$27, 0.0021, 0)</f>
        <v>79.299199999999999</v>
      </c>
      <c r="J441" s="14">
        <f>79.2971 * CHOOSE(CONTROL!$C$9, $D$9, 100%, $F$9) + CHOOSE(CONTROL!$C$27, 0.0021, 0)</f>
        <v>79.299199999999999</v>
      </c>
      <c r="K441" s="14">
        <f>79.2971 * CHOOSE(CONTROL!$C$9, $D$9, 100%, $F$9) + CHOOSE(CONTROL!$C$27, 0.0021, 0)</f>
        <v>79.299199999999999</v>
      </c>
      <c r="L441" s="14"/>
    </row>
    <row r="442" spans="1:12" ht="15.75" x14ac:dyDescent="0.25">
      <c r="A442" s="33">
        <v>54392</v>
      </c>
      <c r="B442" s="14">
        <f>79.9082 * CHOOSE(CONTROL!$C$9, $D$9, 100%, $F$9) + CHOOSE(CONTROL!$C$27, 0.0021, 0)</f>
        <v>79.910299999999992</v>
      </c>
      <c r="C442" s="14">
        <f>79.476 * CHOOSE(CONTROL!$C$9, $D$9, 100%, $F$9) + CHOOSE(CONTROL!$C$27, 0.0021, 0)</f>
        <v>79.478099999999998</v>
      </c>
      <c r="D442" s="14">
        <f>79.476 * CHOOSE(CONTROL!$C$9, $D$9, 100%, $F$9) + CHOOSE(CONTROL!$C$27, 0.0021, 0)</f>
        <v>79.478099999999998</v>
      </c>
      <c r="E442" s="14">
        <f>79.3393 * CHOOSE(CONTROL!$C$9, $D$9, 100%, $F$9) + CHOOSE(CONTROL!$C$27, 0.0021, 0)</f>
        <v>79.341399999999993</v>
      </c>
      <c r="F442" s="14">
        <f>79.3393 * CHOOSE(CONTROL!$C$9, $D$9, 100%, $F$9) + CHOOSE(CONTROL!$C$27, 0.0021, 0)</f>
        <v>79.341399999999993</v>
      </c>
      <c r="G442" s="14">
        <f>79.6107 * CHOOSE(CONTROL!$C$9, $D$9, 100%, $F$9) + CHOOSE(CONTROL!$C$27, 0.0021, 0)</f>
        <v>79.612799999999993</v>
      </c>
      <c r="H442" s="14">
        <f>79.476 * CHOOSE(CONTROL!$C$9, $D$9, 100%, $F$9) + CHOOSE(CONTROL!$C$27, 0.0021, 0)</f>
        <v>79.478099999999998</v>
      </c>
      <c r="I442" s="14">
        <f>79.476 * CHOOSE(CONTROL!$C$9, $D$9, 100%, $F$9) + CHOOSE(CONTROL!$C$27, 0.0021, 0)</f>
        <v>79.478099999999998</v>
      </c>
      <c r="J442" s="14">
        <f>79.476 * CHOOSE(CONTROL!$C$9, $D$9, 100%, $F$9) + CHOOSE(CONTROL!$C$27, 0.0021, 0)</f>
        <v>79.478099999999998</v>
      </c>
      <c r="K442" s="14">
        <f>79.476 * CHOOSE(CONTROL!$C$9, $D$9, 100%, $F$9) + CHOOSE(CONTROL!$C$27, 0.0021, 0)</f>
        <v>79.478099999999998</v>
      </c>
      <c r="L442" s="14"/>
    </row>
    <row r="443" spans="1:12" ht="15.75" x14ac:dyDescent="0.25">
      <c r="A443" s="33">
        <v>54423</v>
      </c>
      <c r="B443" s="14">
        <f>78.3863 * CHOOSE(CONTROL!$C$9, $D$9, 100%, $F$9) + CHOOSE(CONTROL!$C$27, 0.0021, 0)</f>
        <v>78.388400000000004</v>
      </c>
      <c r="C443" s="14">
        <f>77.9541 * CHOOSE(CONTROL!$C$9, $D$9, 100%, $F$9) + CHOOSE(CONTROL!$C$27, 0.0021, 0)</f>
        <v>77.956199999999995</v>
      </c>
      <c r="D443" s="14">
        <f>77.9541 * CHOOSE(CONTROL!$C$9, $D$9, 100%, $F$9) + CHOOSE(CONTROL!$C$27, 0.0021, 0)</f>
        <v>77.956199999999995</v>
      </c>
      <c r="E443" s="14">
        <f>77.8174 * CHOOSE(CONTROL!$C$9, $D$9, 100%, $F$9) + CHOOSE(CONTROL!$C$27, 0.0021, 0)</f>
        <v>77.819500000000005</v>
      </c>
      <c r="F443" s="14">
        <f>77.8174 * CHOOSE(CONTROL!$C$9, $D$9, 100%, $F$9) + CHOOSE(CONTROL!$C$27, 0.0021, 0)</f>
        <v>77.819500000000005</v>
      </c>
      <c r="G443" s="14">
        <f>78.0888 * CHOOSE(CONTROL!$C$9, $D$9, 100%, $F$9) + CHOOSE(CONTROL!$C$27, 0.0021, 0)</f>
        <v>78.090900000000005</v>
      </c>
      <c r="H443" s="14">
        <f>77.9541 * CHOOSE(CONTROL!$C$9, $D$9, 100%, $F$9) + CHOOSE(CONTROL!$C$27, 0.0021, 0)</f>
        <v>77.956199999999995</v>
      </c>
      <c r="I443" s="14">
        <f>77.9541 * CHOOSE(CONTROL!$C$9, $D$9, 100%, $F$9) + CHOOSE(CONTROL!$C$27, 0.0021, 0)</f>
        <v>77.956199999999995</v>
      </c>
      <c r="J443" s="14">
        <f>77.9541 * CHOOSE(CONTROL!$C$9, $D$9, 100%, $F$9) + CHOOSE(CONTROL!$C$27, 0.0021, 0)</f>
        <v>77.956199999999995</v>
      </c>
      <c r="K443" s="14">
        <f>77.9541 * CHOOSE(CONTROL!$C$9, $D$9, 100%, $F$9) + CHOOSE(CONTROL!$C$27, 0.0021, 0)</f>
        <v>77.956199999999995</v>
      </c>
      <c r="L443" s="14"/>
    </row>
    <row r="444" spans="1:12" ht="15.75" x14ac:dyDescent="0.25">
      <c r="A444" s="33">
        <v>54454</v>
      </c>
      <c r="B444" s="14">
        <f>77.4244 * CHOOSE(CONTROL!$C$9, $D$9, 100%, $F$9) + CHOOSE(CONTROL!$C$27, 0.0021, 0)</f>
        <v>77.426500000000004</v>
      </c>
      <c r="C444" s="14">
        <f>76.9922 * CHOOSE(CONTROL!$C$9, $D$9, 100%, $F$9) + CHOOSE(CONTROL!$C$27, 0.0021, 0)</f>
        <v>76.994299999999996</v>
      </c>
      <c r="D444" s="14">
        <f>76.9922 * CHOOSE(CONTROL!$C$9, $D$9, 100%, $F$9) + CHOOSE(CONTROL!$C$27, 0.0021, 0)</f>
        <v>76.994299999999996</v>
      </c>
      <c r="E444" s="14">
        <f>76.8555 * CHOOSE(CONTROL!$C$9, $D$9, 100%, $F$9) + CHOOSE(CONTROL!$C$27, 0.0021, 0)</f>
        <v>76.857600000000005</v>
      </c>
      <c r="F444" s="14">
        <f>76.8555 * CHOOSE(CONTROL!$C$9, $D$9, 100%, $F$9) + CHOOSE(CONTROL!$C$27, 0.0021, 0)</f>
        <v>76.857600000000005</v>
      </c>
      <c r="G444" s="14">
        <f>77.1269 * CHOOSE(CONTROL!$C$9, $D$9, 100%, $F$9) + CHOOSE(CONTROL!$C$27, 0.0021, 0)</f>
        <v>77.129000000000005</v>
      </c>
      <c r="H444" s="14">
        <f>76.9922 * CHOOSE(CONTROL!$C$9, $D$9, 100%, $F$9) + CHOOSE(CONTROL!$C$27, 0.0021, 0)</f>
        <v>76.994299999999996</v>
      </c>
      <c r="I444" s="14">
        <f>76.9922 * CHOOSE(CONTROL!$C$9, $D$9, 100%, $F$9) + CHOOSE(CONTROL!$C$27, 0.0021, 0)</f>
        <v>76.994299999999996</v>
      </c>
      <c r="J444" s="14">
        <f>76.9922 * CHOOSE(CONTROL!$C$9, $D$9, 100%, $F$9) + CHOOSE(CONTROL!$C$27, 0.0021, 0)</f>
        <v>76.994299999999996</v>
      </c>
      <c r="K444" s="14">
        <f>76.9922 * CHOOSE(CONTROL!$C$9, $D$9, 100%, $F$9) + CHOOSE(CONTROL!$C$27, 0.0021, 0)</f>
        <v>76.994299999999996</v>
      </c>
      <c r="L444" s="14"/>
    </row>
    <row r="445" spans="1:12" ht="15.75" x14ac:dyDescent="0.25">
      <c r="A445" s="33">
        <v>54482</v>
      </c>
      <c r="B445" s="14">
        <f>75.2993 * CHOOSE(CONTROL!$C$9, $D$9, 100%, $F$9) + CHOOSE(CONTROL!$C$27, 0.0021, 0)</f>
        <v>75.301400000000001</v>
      </c>
      <c r="C445" s="14">
        <f>74.867 * CHOOSE(CONTROL!$C$9, $D$9, 100%, $F$9) + CHOOSE(CONTROL!$C$27, 0.0021, 0)</f>
        <v>74.869100000000003</v>
      </c>
      <c r="D445" s="14">
        <f>74.867 * CHOOSE(CONTROL!$C$9, $D$9, 100%, $F$9) + CHOOSE(CONTROL!$C$27, 0.0021, 0)</f>
        <v>74.869100000000003</v>
      </c>
      <c r="E445" s="14">
        <f>74.7304 * CHOOSE(CONTROL!$C$9, $D$9, 100%, $F$9) + CHOOSE(CONTROL!$C$27, 0.0021, 0)</f>
        <v>74.732500000000002</v>
      </c>
      <c r="F445" s="14">
        <f>74.7304 * CHOOSE(CONTROL!$C$9, $D$9, 100%, $F$9) + CHOOSE(CONTROL!$C$27, 0.0021, 0)</f>
        <v>74.732500000000002</v>
      </c>
      <c r="G445" s="14">
        <f>75.0018 * CHOOSE(CONTROL!$C$9, $D$9, 100%, $F$9) + CHOOSE(CONTROL!$C$27, 0.0021, 0)</f>
        <v>75.003900000000002</v>
      </c>
      <c r="H445" s="14">
        <f>74.867 * CHOOSE(CONTROL!$C$9, $D$9, 100%, $F$9) + CHOOSE(CONTROL!$C$27, 0.0021, 0)</f>
        <v>74.869100000000003</v>
      </c>
      <c r="I445" s="14">
        <f>74.867 * CHOOSE(CONTROL!$C$9, $D$9, 100%, $F$9) + CHOOSE(CONTROL!$C$27, 0.0021, 0)</f>
        <v>74.869100000000003</v>
      </c>
      <c r="J445" s="14">
        <f>74.867 * CHOOSE(CONTROL!$C$9, $D$9, 100%, $F$9) + CHOOSE(CONTROL!$C$27, 0.0021, 0)</f>
        <v>74.869100000000003</v>
      </c>
      <c r="K445" s="14">
        <f>74.867 * CHOOSE(CONTROL!$C$9, $D$9, 100%, $F$9) + CHOOSE(CONTROL!$C$27, 0.0021, 0)</f>
        <v>74.869100000000003</v>
      </c>
      <c r="L445" s="14"/>
    </row>
    <row r="446" spans="1:12" ht="15.75" x14ac:dyDescent="0.25">
      <c r="A446" s="33">
        <v>54513</v>
      </c>
      <c r="B446" s="14">
        <f>74.422 * CHOOSE(CONTROL!$C$9, $D$9, 100%, $F$9) + CHOOSE(CONTROL!$C$27, 0.0021, 0)</f>
        <v>74.424099999999996</v>
      </c>
      <c r="C446" s="14">
        <f>73.9898 * CHOOSE(CONTROL!$C$9, $D$9, 100%, $F$9) + CHOOSE(CONTROL!$C$27, 0.0021, 0)</f>
        <v>73.991900000000001</v>
      </c>
      <c r="D446" s="14">
        <f>73.9898 * CHOOSE(CONTROL!$C$9, $D$9, 100%, $F$9) + CHOOSE(CONTROL!$C$27, 0.0021, 0)</f>
        <v>73.991900000000001</v>
      </c>
      <c r="E446" s="14">
        <f>73.8531 * CHOOSE(CONTROL!$C$9, $D$9, 100%, $F$9) + CHOOSE(CONTROL!$C$27, 0.0021, 0)</f>
        <v>73.855199999999996</v>
      </c>
      <c r="F446" s="14">
        <f>73.8531 * CHOOSE(CONTROL!$C$9, $D$9, 100%, $F$9) + CHOOSE(CONTROL!$C$27, 0.0021, 0)</f>
        <v>73.855199999999996</v>
      </c>
      <c r="G446" s="14">
        <f>74.1245 * CHOOSE(CONTROL!$C$9, $D$9, 100%, $F$9) + CHOOSE(CONTROL!$C$27, 0.0021, 0)</f>
        <v>74.126599999999996</v>
      </c>
      <c r="H446" s="14">
        <f>73.9898 * CHOOSE(CONTROL!$C$9, $D$9, 100%, $F$9) + CHOOSE(CONTROL!$C$27, 0.0021, 0)</f>
        <v>73.991900000000001</v>
      </c>
      <c r="I446" s="14">
        <f>73.9898 * CHOOSE(CONTROL!$C$9, $D$9, 100%, $F$9) + CHOOSE(CONTROL!$C$27, 0.0021, 0)</f>
        <v>73.991900000000001</v>
      </c>
      <c r="J446" s="14">
        <f>73.9898 * CHOOSE(CONTROL!$C$9, $D$9, 100%, $F$9) + CHOOSE(CONTROL!$C$27, 0.0021, 0)</f>
        <v>73.991900000000001</v>
      </c>
      <c r="K446" s="14">
        <f>73.9898 * CHOOSE(CONTROL!$C$9, $D$9, 100%, $F$9) + CHOOSE(CONTROL!$C$27, 0.0021, 0)</f>
        <v>73.991900000000001</v>
      </c>
      <c r="L446" s="14"/>
    </row>
    <row r="447" spans="1:12" ht="15.75" x14ac:dyDescent="0.25">
      <c r="A447" s="33">
        <v>54543</v>
      </c>
      <c r="B447" s="14">
        <f>73.3746 * CHOOSE(CONTROL!$C$9, $D$9, 100%, $F$9) + CHOOSE(CONTROL!$C$27, 0.0021, 0)</f>
        <v>73.3767</v>
      </c>
      <c r="C447" s="14">
        <f>72.9423 * CHOOSE(CONTROL!$C$9, $D$9, 100%, $F$9) + CHOOSE(CONTROL!$C$27, 0.0021, 0)</f>
        <v>72.944400000000002</v>
      </c>
      <c r="D447" s="14">
        <f>72.9423 * CHOOSE(CONTROL!$C$9, $D$9, 100%, $F$9) + CHOOSE(CONTROL!$C$27, 0.0021, 0)</f>
        <v>72.944400000000002</v>
      </c>
      <c r="E447" s="14">
        <f>72.8057 * CHOOSE(CONTROL!$C$9, $D$9, 100%, $F$9) + CHOOSE(CONTROL!$C$27, 0.0021, 0)</f>
        <v>72.8078</v>
      </c>
      <c r="F447" s="14">
        <f>72.8057 * CHOOSE(CONTROL!$C$9, $D$9, 100%, $F$9) + CHOOSE(CONTROL!$C$27, 0.0021, 0)</f>
        <v>72.8078</v>
      </c>
      <c r="G447" s="14">
        <f>73.0771 * CHOOSE(CONTROL!$C$9, $D$9, 100%, $F$9) + CHOOSE(CONTROL!$C$27, 0.0021, 0)</f>
        <v>73.0792</v>
      </c>
      <c r="H447" s="14">
        <f>72.9423 * CHOOSE(CONTROL!$C$9, $D$9, 100%, $F$9) + CHOOSE(CONTROL!$C$27, 0.0021, 0)</f>
        <v>72.944400000000002</v>
      </c>
      <c r="I447" s="14">
        <f>72.9423 * CHOOSE(CONTROL!$C$9, $D$9, 100%, $F$9) + CHOOSE(CONTROL!$C$27, 0.0021, 0)</f>
        <v>72.944400000000002</v>
      </c>
      <c r="J447" s="14">
        <f>72.9423 * CHOOSE(CONTROL!$C$9, $D$9, 100%, $F$9) + CHOOSE(CONTROL!$C$27, 0.0021, 0)</f>
        <v>72.944400000000002</v>
      </c>
      <c r="K447" s="14">
        <f>72.9423 * CHOOSE(CONTROL!$C$9, $D$9, 100%, $F$9) + CHOOSE(CONTROL!$C$27, 0.0021, 0)</f>
        <v>72.944400000000002</v>
      </c>
      <c r="L447" s="14"/>
    </row>
    <row r="448" spans="1:12" ht="15.75" x14ac:dyDescent="0.25">
      <c r="A448" s="33">
        <v>54574</v>
      </c>
      <c r="B448" s="14">
        <f>74.8673 * CHOOSE(CONTROL!$C$9, $D$9, 100%, $F$9) + CHOOSE(CONTROL!$C$27, 0.0021, 0)</f>
        <v>74.869399999999999</v>
      </c>
      <c r="C448" s="14">
        <f>74.4351 * CHOOSE(CONTROL!$C$9, $D$9, 100%, $F$9) + CHOOSE(CONTROL!$C$27, 0.0021, 0)</f>
        <v>74.437200000000004</v>
      </c>
      <c r="D448" s="14">
        <f>74.4351 * CHOOSE(CONTROL!$C$9, $D$9, 100%, $F$9) + CHOOSE(CONTROL!$C$27, 0.0021, 0)</f>
        <v>74.437200000000004</v>
      </c>
      <c r="E448" s="14">
        <f>74.2984 * CHOOSE(CONTROL!$C$9, $D$9, 100%, $F$9) + CHOOSE(CONTROL!$C$27, 0.0021, 0)</f>
        <v>74.3005</v>
      </c>
      <c r="F448" s="14">
        <f>74.2984 * CHOOSE(CONTROL!$C$9, $D$9, 100%, $F$9) + CHOOSE(CONTROL!$C$27, 0.0021, 0)</f>
        <v>74.3005</v>
      </c>
      <c r="G448" s="14">
        <f>74.5698 * CHOOSE(CONTROL!$C$9, $D$9, 100%, $F$9) + CHOOSE(CONTROL!$C$27, 0.0021, 0)</f>
        <v>74.571899999999999</v>
      </c>
      <c r="H448" s="14">
        <f>74.4351 * CHOOSE(CONTROL!$C$9, $D$9, 100%, $F$9) + CHOOSE(CONTROL!$C$27, 0.0021, 0)</f>
        <v>74.437200000000004</v>
      </c>
      <c r="I448" s="14">
        <f>74.4351 * CHOOSE(CONTROL!$C$9, $D$9, 100%, $F$9) + CHOOSE(CONTROL!$C$27, 0.0021, 0)</f>
        <v>74.437200000000004</v>
      </c>
      <c r="J448" s="14">
        <f>74.4351 * CHOOSE(CONTROL!$C$9, $D$9, 100%, $F$9) + CHOOSE(CONTROL!$C$27, 0.0021, 0)</f>
        <v>74.437200000000004</v>
      </c>
      <c r="K448" s="14">
        <f>74.4351 * CHOOSE(CONTROL!$C$9, $D$9, 100%, $F$9) + CHOOSE(CONTROL!$C$27, 0.0021, 0)</f>
        <v>74.437200000000004</v>
      </c>
      <c r="L448" s="14"/>
    </row>
    <row r="449" spans="1:12" ht="15.75" x14ac:dyDescent="0.25">
      <c r="A449" s="33">
        <v>54604</v>
      </c>
      <c r="B449" s="14">
        <f>75.7614 * CHOOSE(CONTROL!$C$9, $D$9, 100%, $F$9) + CHOOSE(CONTROL!$C$27, 0.0021, 0)</f>
        <v>75.763499999999993</v>
      </c>
      <c r="C449" s="14">
        <f>75.3292 * CHOOSE(CONTROL!$C$9, $D$9, 100%, $F$9) + CHOOSE(CONTROL!$C$27, 0.0021, 0)</f>
        <v>75.331299999999999</v>
      </c>
      <c r="D449" s="14">
        <f>75.3292 * CHOOSE(CONTROL!$C$9, $D$9, 100%, $F$9) + CHOOSE(CONTROL!$C$27, 0.0021, 0)</f>
        <v>75.331299999999999</v>
      </c>
      <c r="E449" s="14">
        <f>75.1925 * CHOOSE(CONTROL!$C$9, $D$9, 100%, $F$9) + CHOOSE(CONTROL!$C$27, 0.0021, 0)</f>
        <v>75.194599999999994</v>
      </c>
      <c r="F449" s="14">
        <f>75.1925 * CHOOSE(CONTROL!$C$9, $D$9, 100%, $F$9) + CHOOSE(CONTROL!$C$27, 0.0021, 0)</f>
        <v>75.194599999999994</v>
      </c>
      <c r="G449" s="14">
        <f>75.4639 * CHOOSE(CONTROL!$C$9, $D$9, 100%, $F$9) + CHOOSE(CONTROL!$C$27, 0.0021, 0)</f>
        <v>75.465999999999994</v>
      </c>
      <c r="H449" s="14">
        <f>75.3292 * CHOOSE(CONTROL!$C$9, $D$9, 100%, $F$9) + CHOOSE(CONTROL!$C$27, 0.0021, 0)</f>
        <v>75.331299999999999</v>
      </c>
      <c r="I449" s="14">
        <f>75.3292 * CHOOSE(CONTROL!$C$9, $D$9, 100%, $F$9) + CHOOSE(CONTROL!$C$27, 0.0021, 0)</f>
        <v>75.331299999999999</v>
      </c>
      <c r="J449" s="14">
        <f>75.3292 * CHOOSE(CONTROL!$C$9, $D$9, 100%, $F$9) + CHOOSE(CONTROL!$C$27, 0.0021, 0)</f>
        <v>75.331299999999999</v>
      </c>
      <c r="K449" s="14">
        <f>75.3292 * CHOOSE(CONTROL!$C$9, $D$9, 100%, $F$9) + CHOOSE(CONTROL!$C$27, 0.0021, 0)</f>
        <v>75.331299999999999</v>
      </c>
      <c r="L449" s="14"/>
    </row>
    <row r="450" spans="1:12" ht="15.75" x14ac:dyDescent="0.25">
      <c r="A450" s="33">
        <v>54635</v>
      </c>
      <c r="B450" s="14">
        <f>77.2364 * CHOOSE(CONTROL!$C$9, $D$9, 100%, $F$9) + CHOOSE(CONTROL!$C$27, 0.0021, 0)</f>
        <v>77.238500000000002</v>
      </c>
      <c r="C450" s="14">
        <f>76.8041 * CHOOSE(CONTROL!$C$9, $D$9, 100%, $F$9) + CHOOSE(CONTROL!$C$27, 0.0021, 0)</f>
        <v>76.806200000000004</v>
      </c>
      <c r="D450" s="14">
        <f>76.8041 * CHOOSE(CONTROL!$C$9, $D$9, 100%, $F$9) + CHOOSE(CONTROL!$C$27, 0.0021, 0)</f>
        <v>76.806200000000004</v>
      </c>
      <c r="E450" s="14">
        <f>76.6675 * CHOOSE(CONTROL!$C$9, $D$9, 100%, $F$9) + CHOOSE(CONTROL!$C$27, 0.0021, 0)</f>
        <v>76.669600000000003</v>
      </c>
      <c r="F450" s="14">
        <f>76.6675 * CHOOSE(CONTROL!$C$9, $D$9, 100%, $F$9) + CHOOSE(CONTROL!$C$27, 0.0021, 0)</f>
        <v>76.669600000000003</v>
      </c>
      <c r="G450" s="14">
        <f>76.9389 * CHOOSE(CONTROL!$C$9, $D$9, 100%, $F$9) + CHOOSE(CONTROL!$C$27, 0.0021, 0)</f>
        <v>76.941000000000003</v>
      </c>
      <c r="H450" s="14">
        <f>76.8041 * CHOOSE(CONTROL!$C$9, $D$9, 100%, $F$9) + CHOOSE(CONTROL!$C$27, 0.0021, 0)</f>
        <v>76.806200000000004</v>
      </c>
      <c r="I450" s="14">
        <f>76.8041 * CHOOSE(CONTROL!$C$9, $D$9, 100%, $F$9) + CHOOSE(CONTROL!$C$27, 0.0021, 0)</f>
        <v>76.806200000000004</v>
      </c>
      <c r="J450" s="14">
        <f>76.8041 * CHOOSE(CONTROL!$C$9, $D$9, 100%, $F$9) + CHOOSE(CONTROL!$C$27, 0.0021, 0)</f>
        <v>76.806200000000004</v>
      </c>
      <c r="K450" s="14">
        <f>76.8041 * CHOOSE(CONTROL!$C$9, $D$9, 100%, $F$9) + CHOOSE(CONTROL!$C$27, 0.0021, 0)</f>
        <v>76.806200000000004</v>
      </c>
      <c r="L450" s="14"/>
    </row>
    <row r="451" spans="1:12" ht="15.75" x14ac:dyDescent="0.25">
      <c r="A451" s="33">
        <v>54666</v>
      </c>
      <c r="B451" s="14">
        <f>77.6866 * CHOOSE(CONTROL!$C$9, $D$9, 100%, $F$9) + CHOOSE(CONTROL!$C$27, 0.0021, 0)</f>
        <v>77.688699999999997</v>
      </c>
      <c r="C451" s="14">
        <f>77.2543 * CHOOSE(CONTROL!$C$9, $D$9, 100%, $F$9) + CHOOSE(CONTROL!$C$27, 0.0021, 0)</f>
        <v>77.256399999999999</v>
      </c>
      <c r="D451" s="14">
        <f>77.2543 * CHOOSE(CONTROL!$C$9, $D$9, 100%, $F$9) + CHOOSE(CONTROL!$C$27, 0.0021, 0)</f>
        <v>77.256399999999999</v>
      </c>
      <c r="E451" s="14">
        <f>77.1177 * CHOOSE(CONTROL!$C$9, $D$9, 100%, $F$9) + CHOOSE(CONTROL!$C$27, 0.0021, 0)</f>
        <v>77.119799999999998</v>
      </c>
      <c r="F451" s="14">
        <f>77.1177 * CHOOSE(CONTROL!$C$9, $D$9, 100%, $F$9) + CHOOSE(CONTROL!$C$27, 0.0021, 0)</f>
        <v>77.119799999999998</v>
      </c>
      <c r="G451" s="14">
        <f>77.389 * CHOOSE(CONTROL!$C$9, $D$9, 100%, $F$9) + CHOOSE(CONTROL!$C$27, 0.0021, 0)</f>
        <v>77.391099999999994</v>
      </c>
      <c r="H451" s="14">
        <f>77.2543 * CHOOSE(CONTROL!$C$9, $D$9, 100%, $F$9) + CHOOSE(CONTROL!$C$27, 0.0021, 0)</f>
        <v>77.256399999999999</v>
      </c>
      <c r="I451" s="14">
        <f>77.2543 * CHOOSE(CONTROL!$C$9, $D$9, 100%, $F$9) + CHOOSE(CONTROL!$C$27, 0.0021, 0)</f>
        <v>77.256399999999999</v>
      </c>
      <c r="J451" s="14">
        <f>77.2543 * CHOOSE(CONTROL!$C$9, $D$9, 100%, $F$9) + CHOOSE(CONTROL!$C$27, 0.0021, 0)</f>
        <v>77.256399999999999</v>
      </c>
      <c r="K451" s="14">
        <f>77.2543 * CHOOSE(CONTROL!$C$9, $D$9, 100%, $F$9) + CHOOSE(CONTROL!$C$27, 0.0021, 0)</f>
        <v>77.256399999999999</v>
      </c>
      <c r="L451" s="14"/>
    </row>
    <row r="452" spans="1:12" ht="15.75" x14ac:dyDescent="0.25">
      <c r="A452" s="33">
        <v>54696</v>
      </c>
      <c r="B452" s="14">
        <f>79.2197 * CHOOSE(CONTROL!$C$9, $D$9, 100%, $F$9) + CHOOSE(CONTROL!$C$27, 0.0021, 0)</f>
        <v>79.221800000000002</v>
      </c>
      <c r="C452" s="14">
        <f>78.7875 * CHOOSE(CONTROL!$C$9, $D$9, 100%, $F$9) + CHOOSE(CONTROL!$C$27, 0.0021, 0)</f>
        <v>78.789599999999993</v>
      </c>
      <c r="D452" s="14">
        <f>78.7875 * CHOOSE(CONTROL!$C$9, $D$9, 100%, $F$9) + CHOOSE(CONTROL!$C$27, 0.0021, 0)</f>
        <v>78.789599999999993</v>
      </c>
      <c r="E452" s="14">
        <f>78.6508 * CHOOSE(CONTROL!$C$9, $D$9, 100%, $F$9) + CHOOSE(CONTROL!$C$27, 0.0021, 0)</f>
        <v>78.652900000000002</v>
      </c>
      <c r="F452" s="14">
        <f>78.6508 * CHOOSE(CONTROL!$C$9, $D$9, 100%, $F$9) + CHOOSE(CONTROL!$C$27, 0.0021, 0)</f>
        <v>78.652900000000002</v>
      </c>
      <c r="G452" s="14">
        <f>78.9222 * CHOOSE(CONTROL!$C$9, $D$9, 100%, $F$9) + CHOOSE(CONTROL!$C$27, 0.0021, 0)</f>
        <v>78.924300000000002</v>
      </c>
      <c r="H452" s="14">
        <f>78.7875 * CHOOSE(CONTROL!$C$9, $D$9, 100%, $F$9) + CHOOSE(CONTROL!$C$27, 0.0021, 0)</f>
        <v>78.789599999999993</v>
      </c>
      <c r="I452" s="14">
        <f>78.7875 * CHOOSE(CONTROL!$C$9, $D$9, 100%, $F$9) + CHOOSE(CONTROL!$C$27, 0.0021, 0)</f>
        <v>78.789599999999993</v>
      </c>
      <c r="J452" s="14">
        <f>78.7875 * CHOOSE(CONTROL!$C$9, $D$9, 100%, $F$9) + CHOOSE(CONTROL!$C$27, 0.0021, 0)</f>
        <v>78.789599999999993</v>
      </c>
      <c r="K452" s="14">
        <f>78.7875 * CHOOSE(CONTROL!$C$9, $D$9, 100%, $F$9) + CHOOSE(CONTROL!$C$27, 0.0021, 0)</f>
        <v>78.789599999999993</v>
      </c>
      <c r="L452" s="14"/>
    </row>
    <row r="453" spans="1:12" ht="15.75" x14ac:dyDescent="0.25">
      <c r="A453" s="33">
        <v>54727</v>
      </c>
      <c r="B453" s="14">
        <f>81.1604 * CHOOSE(CONTROL!$C$9, $D$9, 100%, $F$9) + CHOOSE(CONTROL!$C$27, 0.0021, 0)</f>
        <v>81.162499999999994</v>
      </c>
      <c r="C453" s="14">
        <f>80.7282 * CHOOSE(CONTROL!$C$9, $D$9, 100%, $F$9) + CHOOSE(CONTROL!$C$27, 0.0021, 0)</f>
        <v>80.7303</v>
      </c>
      <c r="D453" s="14">
        <f>80.7282 * CHOOSE(CONTROL!$C$9, $D$9, 100%, $F$9) + CHOOSE(CONTROL!$C$27, 0.0021, 0)</f>
        <v>80.7303</v>
      </c>
      <c r="E453" s="14">
        <f>80.5915 * CHOOSE(CONTROL!$C$9, $D$9, 100%, $F$9) + CHOOSE(CONTROL!$C$27, 0.0021, 0)</f>
        <v>80.593599999999995</v>
      </c>
      <c r="F453" s="14">
        <f>80.5915 * CHOOSE(CONTROL!$C$9, $D$9, 100%, $F$9) + CHOOSE(CONTROL!$C$27, 0.0021, 0)</f>
        <v>80.593599999999995</v>
      </c>
      <c r="G453" s="14">
        <f>80.8629 * CHOOSE(CONTROL!$C$9, $D$9, 100%, $F$9) + CHOOSE(CONTROL!$C$27, 0.0021, 0)</f>
        <v>80.864999999999995</v>
      </c>
      <c r="H453" s="14">
        <f>80.7282 * CHOOSE(CONTROL!$C$9, $D$9, 100%, $F$9) + CHOOSE(CONTROL!$C$27, 0.0021, 0)</f>
        <v>80.7303</v>
      </c>
      <c r="I453" s="14">
        <f>80.7282 * CHOOSE(CONTROL!$C$9, $D$9, 100%, $F$9) + CHOOSE(CONTROL!$C$27, 0.0021, 0)</f>
        <v>80.7303</v>
      </c>
      <c r="J453" s="14">
        <f>80.7282 * CHOOSE(CONTROL!$C$9, $D$9, 100%, $F$9) + CHOOSE(CONTROL!$C$27, 0.0021, 0)</f>
        <v>80.7303</v>
      </c>
      <c r="K453" s="14">
        <f>80.7282 * CHOOSE(CONTROL!$C$9, $D$9, 100%, $F$9) + CHOOSE(CONTROL!$C$27, 0.0021, 0)</f>
        <v>80.7303</v>
      </c>
      <c r="L453" s="14"/>
    </row>
    <row r="454" spans="1:12" ht="15.75" x14ac:dyDescent="0.25">
      <c r="A454" s="33">
        <v>54757</v>
      </c>
      <c r="B454" s="14">
        <f>81.3426 * CHOOSE(CONTROL!$C$9, $D$9, 100%, $F$9) + CHOOSE(CONTROL!$C$27, 0.0021, 0)</f>
        <v>81.344700000000003</v>
      </c>
      <c r="C454" s="14">
        <f>80.9104 * CHOOSE(CONTROL!$C$9, $D$9, 100%, $F$9) + CHOOSE(CONTROL!$C$27, 0.0021, 0)</f>
        <v>80.912499999999994</v>
      </c>
      <c r="D454" s="14">
        <f>80.9104 * CHOOSE(CONTROL!$C$9, $D$9, 100%, $F$9) + CHOOSE(CONTROL!$C$27, 0.0021, 0)</f>
        <v>80.912499999999994</v>
      </c>
      <c r="E454" s="14">
        <f>80.7737 * CHOOSE(CONTROL!$C$9, $D$9, 100%, $F$9) + CHOOSE(CONTROL!$C$27, 0.0021, 0)</f>
        <v>80.775800000000004</v>
      </c>
      <c r="F454" s="14">
        <f>80.7737 * CHOOSE(CONTROL!$C$9, $D$9, 100%, $F$9) + CHOOSE(CONTROL!$C$27, 0.0021, 0)</f>
        <v>80.775800000000004</v>
      </c>
      <c r="G454" s="14">
        <f>81.0451 * CHOOSE(CONTROL!$C$9, $D$9, 100%, $F$9) + CHOOSE(CONTROL!$C$27, 0.0021, 0)</f>
        <v>81.047200000000004</v>
      </c>
      <c r="H454" s="14">
        <f>80.9104 * CHOOSE(CONTROL!$C$9, $D$9, 100%, $F$9) + CHOOSE(CONTROL!$C$27, 0.0021, 0)</f>
        <v>80.912499999999994</v>
      </c>
      <c r="I454" s="14">
        <f>80.9104 * CHOOSE(CONTROL!$C$9, $D$9, 100%, $F$9) + CHOOSE(CONTROL!$C$27, 0.0021, 0)</f>
        <v>80.912499999999994</v>
      </c>
      <c r="J454" s="14">
        <f>80.9104 * CHOOSE(CONTROL!$C$9, $D$9, 100%, $F$9) + CHOOSE(CONTROL!$C$27, 0.0021, 0)</f>
        <v>80.912499999999994</v>
      </c>
      <c r="K454" s="14">
        <f>80.9104 * CHOOSE(CONTROL!$C$9, $D$9, 100%, $F$9) + CHOOSE(CONTROL!$C$27, 0.0021, 0)</f>
        <v>80.912499999999994</v>
      </c>
      <c r="L454" s="14"/>
    </row>
    <row r="455" spans="1:12" ht="15.75" x14ac:dyDescent="0.25">
      <c r="A455" s="33">
        <v>54788</v>
      </c>
      <c r="B455" s="14">
        <f>79.7926 * CHOOSE(CONTROL!$C$9, $D$9, 100%, $F$9) + CHOOSE(CONTROL!$C$27, 0.0021, 0)</f>
        <v>79.794699999999992</v>
      </c>
      <c r="C455" s="14">
        <f>79.3604 * CHOOSE(CONTROL!$C$9, $D$9, 100%, $F$9) + CHOOSE(CONTROL!$C$27, 0.0021, 0)</f>
        <v>79.362499999999997</v>
      </c>
      <c r="D455" s="14">
        <f>79.3604 * CHOOSE(CONTROL!$C$9, $D$9, 100%, $F$9) + CHOOSE(CONTROL!$C$27, 0.0021, 0)</f>
        <v>79.362499999999997</v>
      </c>
      <c r="E455" s="14">
        <f>79.2237 * CHOOSE(CONTROL!$C$9, $D$9, 100%, $F$9) + CHOOSE(CONTROL!$C$27, 0.0021, 0)</f>
        <v>79.225799999999992</v>
      </c>
      <c r="F455" s="14">
        <f>79.2237 * CHOOSE(CONTROL!$C$9, $D$9, 100%, $F$9) + CHOOSE(CONTROL!$C$27, 0.0021, 0)</f>
        <v>79.225799999999992</v>
      </c>
      <c r="G455" s="14">
        <f>79.4951 * CHOOSE(CONTROL!$C$9, $D$9, 100%, $F$9) + CHOOSE(CONTROL!$C$27, 0.0021, 0)</f>
        <v>79.497199999999992</v>
      </c>
      <c r="H455" s="14">
        <f>79.3604 * CHOOSE(CONTROL!$C$9, $D$9, 100%, $F$9) + CHOOSE(CONTROL!$C$27, 0.0021, 0)</f>
        <v>79.362499999999997</v>
      </c>
      <c r="I455" s="14">
        <f>79.3604 * CHOOSE(CONTROL!$C$9, $D$9, 100%, $F$9) + CHOOSE(CONTROL!$C$27, 0.0021, 0)</f>
        <v>79.362499999999997</v>
      </c>
      <c r="J455" s="14">
        <f>79.3604 * CHOOSE(CONTROL!$C$9, $D$9, 100%, $F$9) + CHOOSE(CONTROL!$C$27, 0.0021, 0)</f>
        <v>79.362499999999997</v>
      </c>
      <c r="K455" s="14">
        <f>79.3604 * CHOOSE(CONTROL!$C$9, $D$9, 100%, $F$9) + CHOOSE(CONTROL!$C$27, 0.0021, 0)</f>
        <v>79.362499999999997</v>
      </c>
      <c r="L455" s="14"/>
    </row>
    <row r="456" spans="1:12" ht="15.75" x14ac:dyDescent="0.25">
      <c r="A456" s="33">
        <v>54819</v>
      </c>
      <c r="B456" s="14">
        <f>78.8129 * CHOOSE(CONTROL!$C$9, $D$9, 100%, $F$9) + CHOOSE(CONTROL!$C$27, 0.0021, 0)</f>
        <v>78.814999999999998</v>
      </c>
      <c r="C456" s="14">
        <f>78.3807 * CHOOSE(CONTROL!$C$9, $D$9, 100%, $F$9) + CHOOSE(CONTROL!$C$27, 0.0021, 0)</f>
        <v>78.382800000000003</v>
      </c>
      <c r="D456" s="14">
        <f>78.3807 * CHOOSE(CONTROL!$C$9, $D$9, 100%, $F$9) + CHOOSE(CONTROL!$C$27, 0.0021, 0)</f>
        <v>78.382800000000003</v>
      </c>
      <c r="E456" s="14">
        <f>78.244 * CHOOSE(CONTROL!$C$9, $D$9, 100%, $F$9) + CHOOSE(CONTROL!$C$27, 0.0021, 0)</f>
        <v>78.246099999999998</v>
      </c>
      <c r="F456" s="14">
        <f>78.244 * CHOOSE(CONTROL!$C$9, $D$9, 100%, $F$9) + CHOOSE(CONTROL!$C$27, 0.0021, 0)</f>
        <v>78.246099999999998</v>
      </c>
      <c r="G456" s="14">
        <f>78.5154 * CHOOSE(CONTROL!$C$9, $D$9, 100%, $F$9) + CHOOSE(CONTROL!$C$27, 0.0021, 0)</f>
        <v>78.517499999999998</v>
      </c>
      <c r="H456" s="14">
        <f>78.3807 * CHOOSE(CONTROL!$C$9, $D$9, 100%, $F$9) + CHOOSE(CONTROL!$C$27, 0.0021, 0)</f>
        <v>78.382800000000003</v>
      </c>
      <c r="I456" s="14">
        <f>78.3807 * CHOOSE(CONTROL!$C$9, $D$9, 100%, $F$9) + CHOOSE(CONTROL!$C$27, 0.0021, 0)</f>
        <v>78.382800000000003</v>
      </c>
      <c r="J456" s="14">
        <f>78.3807 * CHOOSE(CONTROL!$C$9, $D$9, 100%, $F$9) + CHOOSE(CONTROL!$C$27, 0.0021, 0)</f>
        <v>78.382800000000003</v>
      </c>
      <c r="K456" s="14">
        <f>78.3807 * CHOOSE(CONTROL!$C$9, $D$9, 100%, $F$9) + CHOOSE(CONTROL!$C$27, 0.0021, 0)</f>
        <v>78.382800000000003</v>
      </c>
      <c r="L456" s="14"/>
    </row>
    <row r="457" spans="1:12" ht="15.75" x14ac:dyDescent="0.25">
      <c r="A457" s="33">
        <v>54847</v>
      </c>
      <c r="B457" s="14">
        <f>76.6485 * CHOOSE(CONTROL!$C$9, $D$9, 100%, $F$9) + CHOOSE(CONTROL!$C$27, 0.0021, 0)</f>
        <v>76.650599999999997</v>
      </c>
      <c r="C457" s="14">
        <f>76.2163 * CHOOSE(CONTROL!$C$9, $D$9, 100%, $F$9) + CHOOSE(CONTROL!$C$27, 0.0021, 0)</f>
        <v>76.218400000000003</v>
      </c>
      <c r="D457" s="14">
        <f>76.2163 * CHOOSE(CONTROL!$C$9, $D$9, 100%, $F$9) + CHOOSE(CONTROL!$C$27, 0.0021, 0)</f>
        <v>76.218400000000003</v>
      </c>
      <c r="E457" s="14">
        <f>76.0796 * CHOOSE(CONTROL!$C$9, $D$9, 100%, $F$9) + CHOOSE(CONTROL!$C$27, 0.0021, 0)</f>
        <v>76.081699999999998</v>
      </c>
      <c r="F457" s="14">
        <f>76.0796 * CHOOSE(CONTROL!$C$9, $D$9, 100%, $F$9) + CHOOSE(CONTROL!$C$27, 0.0021, 0)</f>
        <v>76.081699999999998</v>
      </c>
      <c r="G457" s="14">
        <f>76.351 * CHOOSE(CONTROL!$C$9, $D$9, 100%, $F$9) + CHOOSE(CONTROL!$C$27, 0.0021, 0)</f>
        <v>76.353099999999998</v>
      </c>
      <c r="H457" s="14">
        <f>76.2163 * CHOOSE(CONTROL!$C$9, $D$9, 100%, $F$9) + CHOOSE(CONTROL!$C$27, 0.0021, 0)</f>
        <v>76.218400000000003</v>
      </c>
      <c r="I457" s="14">
        <f>76.2163 * CHOOSE(CONTROL!$C$9, $D$9, 100%, $F$9) + CHOOSE(CONTROL!$C$27, 0.0021, 0)</f>
        <v>76.218400000000003</v>
      </c>
      <c r="J457" s="14">
        <f>76.2163 * CHOOSE(CONTROL!$C$9, $D$9, 100%, $F$9) + CHOOSE(CONTROL!$C$27, 0.0021, 0)</f>
        <v>76.218400000000003</v>
      </c>
      <c r="K457" s="14">
        <f>76.2163 * CHOOSE(CONTROL!$C$9, $D$9, 100%, $F$9) + CHOOSE(CONTROL!$C$27, 0.0021, 0)</f>
        <v>76.218400000000003</v>
      </c>
      <c r="L457" s="14"/>
    </row>
    <row r="458" spans="1:12" ht="15.75" x14ac:dyDescent="0.25">
      <c r="A458" s="33">
        <v>54878</v>
      </c>
      <c r="B458" s="14">
        <f>75.7551 * CHOOSE(CONTROL!$C$9, $D$9, 100%, $F$9) + CHOOSE(CONTROL!$C$27, 0.0021, 0)</f>
        <v>75.757199999999997</v>
      </c>
      <c r="C458" s="14">
        <f>75.3228 * CHOOSE(CONTROL!$C$9, $D$9, 100%, $F$9) + CHOOSE(CONTROL!$C$27, 0.0021, 0)</f>
        <v>75.3249</v>
      </c>
      <c r="D458" s="14">
        <f>75.3228 * CHOOSE(CONTROL!$C$9, $D$9, 100%, $F$9) + CHOOSE(CONTROL!$C$27, 0.0021, 0)</f>
        <v>75.3249</v>
      </c>
      <c r="E458" s="14">
        <f>75.1861 * CHOOSE(CONTROL!$C$9, $D$9, 100%, $F$9) + CHOOSE(CONTROL!$C$27, 0.0021, 0)</f>
        <v>75.188199999999995</v>
      </c>
      <c r="F458" s="14">
        <f>75.1861 * CHOOSE(CONTROL!$C$9, $D$9, 100%, $F$9) + CHOOSE(CONTROL!$C$27, 0.0021, 0)</f>
        <v>75.188199999999995</v>
      </c>
      <c r="G458" s="14">
        <f>75.4575 * CHOOSE(CONTROL!$C$9, $D$9, 100%, $F$9) + CHOOSE(CONTROL!$C$27, 0.0021, 0)</f>
        <v>75.459599999999995</v>
      </c>
      <c r="H458" s="14">
        <f>75.3228 * CHOOSE(CONTROL!$C$9, $D$9, 100%, $F$9) + CHOOSE(CONTROL!$C$27, 0.0021, 0)</f>
        <v>75.3249</v>
      </c>
      <c r="I458" s="14">
        <f>75.3228 * CHOOSE(CONTROL!$C$9, $D$9, 100%, $F$9) + CHOOSE(CONTROL!$C$27, 0.0021, 0)</f>
        <v>75.3249</v>
      </c>
      <c r="J458" s="14">
        <f>75.3228 * CHOOSE(CONTROL!$C$9, $D$9, 100%, $F$9) + CHOOSE(CONTROL!$C$27, 0.0021, 0)</f>
        <v>75.3249</v>
      </c>
      <c r="K458" s="14">
        <f>75.3228 * CHOOSE(CONTROL!$C$9, $D$9, 100%, $F$9) + CHOOSE(CONTROL!$C$27, 0.0021, 0)</f>
        <v>75.3249</v>
      </c>
      <c r="L458" s="14"/>
    </row>
    <row r="459" spans="1:12" ht="15.75" x14ac:dyDescent="0.25">
      <c r="A459" s="33">
        <v>54908</v>
      </c>
      <c r="B459" s="14">
        <f>74.6882 * CHOOSE(CONTROL!$C$9, $D$9, 100%, $F$9) + CHOOSE(CONTROL!$C$27, 0.0021, 0)</f>
        <v>74.690299999999993</v>
      </c>
      <c r="C459" s="14">
        <f>74.256 * CHOOSE(CONTROL!$C$9, $D$9, 100%, $F$9) + CHOOSE(CONTROL!$C$27, 0.0021, 0)</f>
        <v>74.258099999999999</v>
      </c>
      <c r="D459" s="14">
        <f>74.256 * CHOOSE(CONTROL!$C$9, $D$9, 100%, $F$9) + CHOOSE(CONTROL!$C$27, 0.0021, 0)</f>
        <v>74.258099999999999</v>
      </c>
      <c r="E459" s="14">
        <f>74.1193 * CHOOSE(CONTROL!$C$9, $D$9, 100%, $F$9) + CHOOSE(CONTROL!$C$27, 0.0021, 0)</f>
        <v>74.121399999999994</v>
      </c>
      <c r="F459" s="14">
        <f>74.1193 * CHOOSE(CONTROL!$C$9, $D$9, 100%, $F$9) + CHOOSE(CONTROL!$C$27, 0.0021, 0)</f>
        <v>74.121399999999994</v>
      </c>
      <c r="G459" s="14">
        <f>74.3907 * CHOOSE(CONTROL!$C$9, $D$9, 100%, $F$9) + CHOOSE(CONTROL!$C$27, 0.0021, 0)</f>
        <v>74.392799999999994</v>
      </c>
      <c r="H459" s="14">
        <f>74.256 * CHOOSE(CONTROL!$C$9, $D$9, 100%, $F$9) + CHOOSE(CONTROL!$C$27, 0.0021, 0)</f>
        <v>74.258099999999999</v>
      </c>
      <c r="I459" s="14">
        <f>74.256 * CHOOSE(CONTROL!$C$9, $D$9, 100%, $F$9) + CHOOSE(CONTROL!$C$27, 0.0021, 0)</f>
        <v>74.258099999999999</v>
      </c>
      <c r="J459" s="14">
        <f>74.256 * CHOOSE(CONTROL!$C$9, $D$9, 100%, $F$9) + CHOOSE(CONTROL!$C$27, 0.0021, 0)</f>
        <v>74.258099999999999</v>
      </c>
      <c r="K459" s="14">
        <f>74.256 * CHOOSE(CONTROL!$C$9, $D$9, 100%, $F$9) + CHOOSE(CONTROL!$C$27, 0.0021, 0)</f>
        <v>74.258099999999999</v>
      </c>
      <c r="L459" s="14"/>
    </row>
    <row r="460" spans="1:12" ht="15.75" x14ac:dyDescent="0.25">
      <c r="A460" s="33">
        <v>54939</v>
      </c>
      <c r="B460" s="14">
        <f>76.2086 * CHOOSE(CONTROL!$C$9, $D$9, 100%, $F$9) + CHOOSE(CONTROL!$C$27, 0.0021, 0)</f>
        <v>76.210700000000003</v>
      </c>
      <c r="C460" s="14">
        <f>75.7763 * CHOOSE(CONTROL!$C$9, $D$9, 100%, $F$9) + CHOOSE(CONTROL!$C$27, 0.0021, 0)</f>
        <v>75.778400000000005</v>
      </c>
      <c r="D460" s="14">
        <f>75.7763 * CHOOSE(CONTROL!$C$9, $D$9, 100%, $F$9) + CHOOSE(CONTROL!$C$27, 0.0021, 0)</f>
        <v>75.778400000000005</v>
      </c>
      <c r="E460" s="14">
        <f>75.6397 * CHOOSE(CONTROL!$C$9, $D$9, 100%, $F$9) + CHOOSE(CONTROL!$C$27, 0.0021, 0)</f>
        <v>75.641800000000003</v>
      </c>
      <c r="F460" s="14">
        <f>75.6397 * CHOOSE(CONTROL!$C$9, $D$9, 100%, $F$9) + CHOOSE(CONTROL!$C$27, 0.0021, 0)</f>
        <v>75.641800000000003</v>
      </c>
      <c r="G460" s="14">
        <f>75.911 * CHOOSE(CONTROL!$C$9, $D$9, 100%, $F$9) + CHOOSE(CONTROL!$C$27, 0.0021, 0)</f>
        <v>75.9131</v>
      </c>
      <c r="H460" s="14">
        <f>75.7763 * CHOOSE(CONTROL!$C$9, $D$9, 100%, $F$9) + CHOOSE(CONTROL!$C$27, 0.0021, 0)</f>
        <v>75.778400000000005</v>
      </c>
      <c r="I460" s="14">
        <f>75.7763 * CHOOSE(CONTROL!$C$9, $D$9, 100%, $F$9) + CHOOSE(CONTROL!$C$27, 0.0021, 0)</f>
        <v>75.778400000000005</v>
      </c>
      <c r="J460" s="14">
        <f>75.7763 * CHOOSE(CONTROL!$C$9, $D$9, 100%, $F$9) + CHOOSE(CONTROL!$C$27, 0.0021, 0)</f>
        <v>75.778400000000005</v>
      </c>
      <c r="K460" s="14">
        <f>75.7763 * CHOOSE(CONTROL!$C$9, $D$9, 100%, $F$9) + CHOOSE(CONTROL!$C$27, 0.0021, 0)</f>
        <v>75.778400000000005</v>
      </c>
      <c r="L460" s="14"/>
    </row>
    <row r="461" spans="1:12" ht="15.75" x14ac:dyDescent="0.25">
      <c r="A461" s="33">
        <v>54969</v>
      </c>
      <c r="B461" s="14">
        <f>77.1192 * CHOOSE(CONTROL!$C$9, $D$9, 100%, $F$9) + CHOOSE(CONTROL!$C$27, 0.0021, 0)</f>
        <v>77.121300000000005</v>
      </c>
      <c r="C461" s="14">
        <f>76.687 * CHOOSE(CONTROL!$C$9, $D$9, 100%, $F$9) + CHOOSE(CONTROL!$C$27, 0.0021, 0)</f>
        <v>76.689099999999996</v>
      </c>
      <c r="D461" s="14">
        <f>76.687 * CHOOSE(CONTROL!$C$9, $D$9, 100%, $F$9) + CHOOSE(CONTROL!$C$27, 0.0021, 0)</f>
        <v>76.689099999999996</v>
      </c>
      <c r="E461" s="14">
        <f>76.5503 * CHOOSE(CONTROL!$C$9, $D$9, 100%, $F$9) + CHOOSE(CONTROL!$C$27, 0.0021, 0)</f>
        <v>76.552399999999992</v>
      </c>
      <c r="F461" s="14">
        <f>76.5503 * CHOOSE(CONTROL!$C$9, $D$9, 100%, $F$9) + CHOOSE(CONTROL!$C$27, 0.0021, 0)</f>
        <v>76.552399999999992</v>
      </c>
      <c r="G461" s="14">
        <f>76.8217 * CHOOSE(CONTROL!$C$9, $D$9, 100%, $F$9) + CHOOSE(CONTROL!$C$27, 0.0021, 0)</f>
        <v>76.823800000000006</v>
      </c>
      <c r="H461" s="14">
        <f>76.687 * CHOOSE(CONTROL!$C$9, $D$9, 100%, $F$9) + CHOOSE(CONTROL!$C$27, 0.0021, 0)</f>
        <v>76.689099999999996</v>
      </c>
      <c r="I461" s="14">
        <f>76.687 * CHOOSE(CONTROL!$C$9, $D$9, 100%, $F$9) + CHOOSE(CONTROL!$C$27, 0.0021, 0)</f>
        <v>76.689099999999996</v>
      </c>
      <c r="J461" s="14">
        <f>76.687 * CHOOSE(CONTROL!$C$9, $D$9, 100%, $F$9) + CHOOSE(CONTROL!$C$27, 0.0021, 0)</f>
        <v>76.689099999999996</v>
      </c>
      <c r="K461" s="14">
        <f>76.687 * CHOOSE(CONTROL!$C$9, $D$9, 100%, $F$9) + CHOOSE(CONTROL!$C$27, 0.0021, 0)</f>
        <v>76.689099999999996</v>
      </c>
      <c r="L461" s="14"/>
    </row>
    <row r="462" spans="1:12" ht="15.75" x14ac:dyDescent="0.25">
      <c r="A462" s="33">
        <v>55000</v>
      </c>
      <c r="B462" s="14">
        <f>78.6214 * CHOOSE(CONTROL!$C$9, $D$9, 100%, $F$9) + CHOOSE(CONTROL!$C$27, 0.0021, 0)</f>
        <v>78.623499999999993</v>
      </c>
      <c r="C462" s="14">
        <f>78.1892 * CHOOSE(CONTROL!$C$9, $D$9, 100%, $F$9) + CHOOSE(CONTROL!$C$27, 0.0021, 0)</f>
        <v>78.191299999999998</v>
      </c>
      <c r="D462" s="14">
        <f>78.1892 * CHOOSE(CONTROL!$C$9, $D$9, 100%, $F$9) + CHOOSE(CONTROL!$C$27, 0.0021, 0)</f>
        <v>78.191299999999998</v>
      </c>
      <c r="E462" s="14">
        <f>78.0525 * CHOOSE(CONTROL!$C$9, $D$9, 100%, $F$9) + CHOOSE(CONTROL!$C$27, 0.0021, 0)</f>
        <v>78.054599999999994</v>
      </c>
      <c r="F462" s="14">
        <f>78.0525 * CHOOSE(CONTROL!$C$9, $D$9, 100%, $F$9) + CHOOSE(CONTROL!$C$27, 0.0021, 0)</f>
        <v>78.054599999999994</v>
      </c>
      <c r="G462" s="14">
        <f>78.3239 * CHOOSE(CONTROL!$C$9, $D$9, 100%, $F$9) + CHOOSE(CONTROL!$C$27, 0.0021, 0)</f>
        <v>78.325999999999993</v>
      </c>
      <c r="H462" s="14">
        <f>78.1892 * CHOOSE(CONTROL!$C$9, $D$9, 100%, $F$9) + CHOOSE(CONTROL!$C$27, 0.0021, 0)</f>
        <v>78.191299999999998</v>
      </c>
      <c r="I462" s="14">
        <f>78.1892 * CHOOSE(CONTROL!$C$9, $D$9, 100%, $F$9) + CHOOSE(CONTROL!$C$27, 0.0021, 0)</f>
        <v>78.191299999999998</v>
      </c>
      <c r="J462" s="14">
        <f>78.1892 * CHOOSE(CONTROL!$C$9, $D$9, 100%, $F$9) + CHOOSE(CONTROL!$C$27, 0.0021, 0)</f>
        <v>78.191299999999998</v>
      </c>
      <c r="K462" s="14">
        <f>78.1892 * CHOOSE(CONTROL!$C$9, $D$9, 100%, $F$9) + CHOOSE(CONTROL!$C$27, 0.0021, 0)</f>
        <v>78.191299999999998</v>
      </c>
      <c r="L462" s="14"/>
    </row>
    <row r="463" spans="1:12" ht="15.75" x14ac:dyDescent="0.25">
      <c r="A463" s="33">
        <v>55031</v>
      </c>
      <c r="B463" s="14">
        <f>79.0799 * CHOOSE(CONTROL!$C$9, $D$9, 100%, $F$9) + CHOOSE(CONTROL!$C$27, 0.0021, 0)</f>
        <v>79.081999999999994</v>
      </c>
      <c r="C463" s="14">
        <f>78.6477 * CHOOSE(CONTROL!$C$9, $D$9, 100%, $F$9) + CHOOSE(CONTROL!$C$27, 0.0021, 0)</f>
        <v>78.649799999999999</v>
      </c>
      <c r="D463" s="14">
        <f>78.6477 * CHOOSE(CONTROL!$C$9, $D$9, 100%, $F$9) + CHOOSE(CONTROL!$C$27, 0.0021, 0)</f>
        <v>78.649799999999999</v>
      </c>
      <c r="E463" s="14">
        <f>78.511 * CHOOSE(CONTROL!$C$9, $D$9, 100%, $F$9) + CHOOSE(CONTROL!$C$27, 0.0021, 0)</f>
        <v>78.513099999999994</v>
      </c>
      <c r="F463" s="14">
        <f>78.511 * CHOOSE(CONTROL!$C$9, $D$9, 100%, $F$9) + CHOOSE(CONTROL!$C$27, 0.0021, 0)</f>
        <v>78.513099999999994</v>
      </c>
      <c r="G463" s="14">
        <f>78.7824 * CHOOSE(CONTROL!$C$9, $D$9, 100%, $F$9) + CHOOSE(CONTROL!$C$27, 0.0021, 0)</f>
        <v>78.784499999999994</v>
      </c>
      <c r="H463" s="14">
        <f>78.6477 * CHOOSE(CONTROL!$C$9, $D$9, 100%, $F$9) + CHOOSE(CONTROL!$C$27, 0.0021, 0)</f>
        <v>78.649799999999999</v>
      </c>
      <c r="I463" s="14">
        <f>78.6477 * CHOOSE(CONTROL!$C$9, $D$9, 100%, $F$9) + CHOOSE(CONTROL!$C$27, 0.0021, 0)</f>
        <v>78.649799999999999</v>
      </c>
      <c r="J463" s="14">
        <f>78.6477 * CHOOSE(CONTROL!$C$9, $D$9, 100%, $F$9) + CHOOSE(CONTROL!$C$27, 0.0021, 0)</f>
        <v>78.649799999999999</v>
      </c>
      <c r="K463" s="14">
        <f>78.6477 * CHOOSE(CONTROL!$C$9, $D$9, 100%, $F$9) + CHOOSE(CONTROL!$C$27, 0.0021, 0)</f>
        <v>78.649799999999999</v>
      </c>
      <c r="L463" s="14"/>
    </row>
    <row r="464" spans="1:12" ht="15.75" x14ac:dyDescent="0.25">
      <c r="A464" s="33">
        <v>55061</v>
      </c>
      <c r="B464" s="14">
        <f>80.6414 * CHOOSE(CONTROL!$C$9, $D$9, 100%, $F$9) + CHOOSE(CONTROL!$C$27, 0.0021, 0)</f>
        <v>80.643500000000003</v>
      </c>
      <c r="C464" s="14">
        <f>80.2091 * CHOOSE(CONTROL!$C$9, $D$9, 100%, $F$9) + CHOOSE(CONTROL!$C$27, 0.0021, 0)</f>
        <v>80.211200000000005</v>
      </c>
      <c r="D464" s="14">
        <f>80.2091 * CHOOSE(CONTROL!$C$9, $D$9, 100%, $F$9) + CHOOSE(CONTROL!$C$27, 0.0021, 0)</f>
        <v>80.211200000000005</v>
      </c>
      <c r="E464" s="14">
        <f>80.0725 * CHOOSE(CONTROL!$C$9, $D$9, 100%, $F$9) + CHOOSE(CONTROL!$C$27, 0.0021, 0)</f>
        <v>80.074600000000004</v>
      </c>
      <c r="F464" s="14">
        <f>80.0725 * CHOOSE(CONTROL!$C$9, $D$9, 100%, $F$9) + CHOOSE(CONTROL!$C$27, 0.0021, 0)</f>
        <v>80.074600000000004</v>
      </c>
      <c r="G464" s="14">
        <f>80.3439 * CHOOSE(CONTROL!$C$9, $D$9, 100%, $F$9) + CHOOSE(CONTROL!$C$27, 0.0021, 0)</f>
        <v>80.346000000000004</v>
      </c>
      <c r="H464" s="14">
        <f>80.2091 * CHOOSE(CONTROL!$C$9, $D$9, 100%, $F$9) + CHOOSE(CONTROL!$C$27, 0.0021, 0)</f>
        <v>80.211200000000005</v>
      </c>
      <c r="I464" s="14">
        <f>80.2091 * CHOOSE(CONTROL!$C$9, $D$9, 100%, $F$9) + CHOOSE(CONTROL!$C$27, 0.0021, 0)</f>
        <v>80.211200000000005</v>
      </c>
      <c r="J464" s="14">
        <f>80.2091 * CHOOSE(CONTROL!$C$9, $D$9, 100%, $F$9) + CHOOSE(CONTROL!$C$27, 0.0021, 0)</f>
        <v>80.211200000000005</v>
      </c>
      <c r="K464" s="14">
        <f>80.2091 * CHOOSE(CONTROL!$C$9, $D$9, 100%, $F$9) + CHOOSE(CONTROL!$C$27, 0.0021, 0)</f>
        <v>80.211200000000005</v>
      </c>
      <c r="L464" s="14"/>
    </row>
    <row r="465" spans="1:12" ht="15.75" x14ac:dyDescent="0.25">
      <c r="A465" s="33">
        <v>55092</v>
      </c>
      <c r="B465" s="14">
        <f>82.618 * CHOOSE(CONTROL!$C$9, $D$9, 100%, $F$9) + CHOOSE(CONTROL!$C$27, 0.0021, 0)</f>
        <v>82.620099999999994</v>
      </c>
      <c r="C465" s="14">
        <f>82.1857 * CHOOSE(CONTROL!$C$9, $D$9, 100%, $F$9) + CHOOSE(CONTROL!$C$27, 0.0021, 0)</f>
        <v>82.187799999999996</v>
      </c>
      <c r="D465" s="14">
        <f>82.1857 * CHOOSE(CONTROL!$C$9, $D$9, 100%, $F$9) + CHOOSE(CONTROL!$C$27, 0.0021, 0)</f>
        <v>82.187799999999996</v>
      </c>
      <c r="E465" s="14">
        <f>82.049 * CHOOSE(CONTROL!$C$9, $D$9, 100%, $F$9) + CHOOSE(CONTROL!$C$27, 0.0021, 0)</f>
        <v>82.051100000000005</v>
      </c>
      <c r="F465" s="14">
        <f>82.049 * CHOOSE(CONTROL!$C$9, $D$9, 100%, $F$9) + CHOOSE(CONTROL!$C$27, 0.0021, 0)</f>
        <v>82.051100000000005</v>
      </c>
      <c r="G465" s="14">
        <f>82.3204 * CHOOSE(CONTROL!$C$9, $D$9, 100%, $F$9) + CHOOSE(CONTROL!$C$27, 0.0021, 0)</f>
        <v>82.322500000000005</v>
      </c>
      <c r="H465" s="14">
        <f>82.1857 * CHOOSE(CONTROL!$C$9, $D$9, 100%, $F$9) + CHOOSE(CONTROL!$C$27, 0.0021, 0)</f>
        <v>82.187799999999996</v>
      </c>
      <c r="I465" s="14">
        <f>82.1857 * CHOOSE(CONTROL!$C$9, $D$9, 100%, $F$9) + CHOOSE(CONTROL!$C$27, 0.0021, 0)</f>
        <v>82.187799999999996</v>
      </c>
      <c r="J465" s="14">
        <f>82.1857 * CHOOSE(CONTROL!$C$9, $D$9, 100%, $F$9) + CHOOSE(CONTROL!$C$27, 0.0021, 0)</f>
        <v>82.187799999999996</v>
      </c>
      <c r="K465" s="14">
        <f>82.1857 * CHOOSE(CONTROL!$C$9, $D$9, 100%, $F$9) + CHOOSE(CONTROL!$C$27, 0.0021, 0)</f>
        <v>82.187799999999996</v>
      </c>
      <c r="L465" s="14"/>
    </row>
    <row r="466" spans="1:12" ht="15.75" x14ac:dyDescent="0.25">
      <c r="A466" s="33">
        <v>55122</v>
      </c>
      <c r="B466" s="14">
        <f>82.8035 * CHOOSE(CONTROL!$C$9, $D$9, 100%, $F$9) + CHOOSE(CONTROL!$C$27, 0.0021, 0)</f>
        <v>82.805599999999998</v>
      </c>
      <c r="C466" s="14">
        <f>82.3713 * CHOOSE(CONTROL!$C$9, $D$9, 100%, $F$9) + CHOOSE(CONTROL!$C$27, 0.0021, 0)</f>
        <v>82.373400000000004</v>
      </c>
      <c r="D466" s="14">
        <f>82.3713 * CHOOSE(CONTROL!$C$9, $D$9, 100%, $F$9) + CHOOSE(CONTROL!$C$27, 0.0021, 0)</f>
        <v>82.373400000000004</v>
      </c>
      <c r="E466" s="14">
        <f>82.2346 * CHOOSE(CONTROL!$C$9, $D$9, 100%, $F$9) + CHOOSE(CONTROL!$C$27, 0.0021, 0)</f>
        <v>82.236699999999999</v>
      </c>
      <c r="F466" s="14">
        <f>82.2346 * CHOOSE(CONTROL!$C$9, $D$9, 100%, $F$9) + CHOOSE(CONTROL!$C$27, 0.0021, 0)</f>
        <v>82.236699999999999</v>
      </c>
      <c r="G466" s="14">
        <f>82.506 * CHOOSE(CONTROL!$C$9, $D$9, 100%, $F$9) + CHOOSE(CONTROL!$C$27, 0.0021, 0)</f>
        <v>82.508099999999999</v>
      </c>
      <c r="H466" s="14">
        <f>82.3713 * CHOOSE(CONTROL!$C$9, $D$9, 100%, $F$9) + CHOOSE(CONTROL!$C$27, 0.0021, 0)</f>
        <v>82.373400000000004</v>
      </c>
      <c r="I466" s="14">
        <f>82.3713 * CHOOSE(CONTROL!$C$9, $D$9, 100%, $F$9) + CHOOSE(CONTROL!$C$27, 0.0021, 0)</f>
        <v>82.373400000000004</v>
      </c>
      <c r="J466" s="14">
        <f>82.3713 * CHOOSE(CONTROL!$C$9, $D$9, 100%, $F$9) + CHOOSE(CONTROL!$C$27, 0.0021, 0)</f>
        <v>82.373400000000004</v>
      </c>
      <c r="K466" s="14">
        <f>82.3713 * CHOOSE(CONTROL!$C$9, $D$9, 100%, $F$9) + CHOOSE(CONTROL!$C$27, 0.0021, 0)</f>
        <v>82.373400000000004</v>
      </c>
      <c r="L466" s="14"/>
    </row>
    <row r="467" spans="1:12" ht="15.75" x14ac:dyDescent="0.25">
      <c r="A467" s="33">
        <v>55153</v>
      </c>
      <c r="B467" s="14">
        <f>81.2249 * CHOOSE(CONTROL!$C$9, $D$9, 100%, $F$9) + CHOOSE(CONTROL!$C$27, 0.0021, 0)</f>
        <v>81.227000000000004</v>
      </c>
      <c r="C467" s="14">
        <f>80.7926 * CHOOSE(CONTROL!$C$9, $D$9, 100%, $F$9) + CHOOSE(CONTROL!$C$27, 0.0021, 0)</f>
        <v>80.794699999999992</v>
      </c>
      <c r="D467" s="14">
        <f>80.7926 * CHOOSE(CONTROL!$C$9, $D$9, 100%, $F$9) + CHOOSE(CONTROL!$C$27, 0.0021, 0)</f>
        <v>80.794699999999992</v>
      </c>
      <c r="E467" s="14">
        <f>80.656 * CHOOSE(CONTROL!$C$9, $D$9, 100%, $F$9) + CHOOSE(CONTROL!$C$27, 0.0021, 0)</f>
        <v>80.658100000000005</v>
      </c>
      <c r="F467" s="14">
        <f>80.656 * CHOOSE(CONTROL!$C$9, $D$9, 100%, $F$9) + CHOOSE(CONTROL!$C$27, 0.0021, 0)</f>
        <v>80.658100000000005</v>
      </c>
      <c r="G467" s="14">
        <f>80.9273 * CHOOSE(CONTROL!$C$9, $D$9, 100%, $F$9) + CHOOSE(CONTROL!$C$27, 0.0021, 0)</f>
        <v>80.929400000000001</v>
      </c>
      <c r="H467" s="14">
        <f>80.7926 * CHOOSE(CONTROL!$C$9, $D$9, 100%, $F$9) + CHOOSE(CONTROL!$C$27, 0.0021, 0)</f>
        <v>80.794699999999992</v>
      </c>
      <c r="I467" s="14">
        <f>80.7926 * CHOOSE(CONTROL!$C$9, $D$9, 100%, $F$9) + CHOOSE(CONTROL!$C$27, 0.0021, 0)</f>
        <v>80.794699999999992</v>
      </c>
      <c r="J467" s="14">
        <f>80.7926 * CHOOSE(CONTROL!$C$9, $D$9, 100%, $F$9) + CHOOSE(CONTROL!$C$27, 0.0021, 0)</f>
        <v>80.794699999999992</v>
      </c>
      <c r="K467" s="14">
        <f>80.7926 * CHOOSE(CONTROL!$C$9, $D$9, 100%, $F$9) + CHOOSE(CONTROL!$C$27, 0.0021, 0)</f>
        <v>80.794699999999992</v>
      </c>
      <c r="L467" s="14"/>
    </row>
    <row r="468" spans="1:12" ht="15.75" x14ac:dyDescent="0.25">
      <c r="A468" s="33">
        <v>55184</v>
      </c>
      <c r="B468" s="14">
        <f>80.2271 * CHOOSE(CONTROL!$C$9, $D$9, 100%, $F$9) + CHOOSE(CONTROL!$C$27, 0.0021, 0)</f>
        <v>80.229199999999992</v>
      </c>
      <c r="C468" s="14">
        <f>79.7948 * CHOOSE(CONTROL!$C$9, $D$9, 100%, $F$9) + CHOOSE(CONTROL!$C$27, 0.0021, 0)</f>
        <v>79.796899999999994</v>
      </c>
      <c r="D468" s="14">
        <f>79.7948 * CHOOSE(CONTROL!$C$9, $D$9, 100%, $F$9) + CHOOSE(CONTROL!$C$27, 0.0021, 0)</f>
        <v>79.796899999999994</v>
      </c>
      <c r="E468" s="14">
        <f>79.6582 * CHOOSE(CONTROL!$C$9, $D$9, 100%, $F$9) + CHOOSE(CONTROL!$C$27, 0.0021, 0)</f>
        <v>79.660299999999992</v>
      </c>
      <c r="F468" s="14">
        <f>79.6582 * CHOOSE(CONTROL!$C$9, $D$9, 100%, $F$9) + CHOOSE(CONTROL!$C$27, 0.0021, 0)</f>
        <v>79.660299999999992</v>
      </c>
      <c r="G468" s="14">
        <f>79.9296 * CHOOSE(CONTROL!$C$9, $D$9, 100%, $F$9) + CHOOSE(CONTROL!$C$27, 0.0021, 0)</f>
        <v>79.931699999999992</v>
      </c>
      <c r="H468" s="14">
        <f>79.7948 * CHOOSE(CONTROL!$C$9, $D$9, 100%, $F$9) + CHOOSE(CONTROL!$C$27, 0.0021, 0)</f>
        <v>79.796899999999994</v>
      </c>
      <c r="I468" s="14">
        <f>79.7948 * CHOOSE(CONTROL!$C$9, $D$9, 100%, $F$9) + CHOOSE(CONTROL!$C$27, 0.0021, 0)</f>
        <v>79.796899999999994</v>
      </c>
      <c r="J468" s="14">
        <f>79.7948 * CHOOSE(CONTROL!$C$9, $D$9, 100%, $F$9) + CHOOSE(CONTROL!$C$27, 0.0021, 0)</f>
        <v>79.796899999999994</v>
      </c>
      <c r="K468" s="14">
        <f>79.7948 * CHOOSE(CONTROL!$C$9, $D$9, 100%, $F$9) + CHOOSE(CONTROL!$C$27, 0.0021, 0)</f>
        <v>79.796899999999994</v>
      </c>
      <c r="L468" s="14"/>
    </row>
    <row r="469" spans="1:12" ht="15.75" x14ac:dyDescent="0.25">
      <c r="A469" s="33">
        <v>55212</v>
      </c>
      <c r="B469" s="14">
        <f>78.0227 * CHOOSE(CONTROL!$C$9, $D$9, 100%, $F$9) + CHOOSE(CONTROL!$C$27, 0.0021, 0)</f>
        <v>78.024799999999999</v>
      </c>
      <c r="C469" s="14">
        <f>77.5904 * CHOOSE(CONTROL!$C$9, $D$9, 100%, $F$9) + CHOOSE(CONTROL!$C$27, 0.0021, 0)</f>
        <v>77.592500000000001</v>
      </c>
      <c r="D469" s="14">
        <f>77.5904 * CHOOSE(CONTROL!$C$9, $D$9, 100%, $F$9) + CHOOSE(CONTROL!$C$27, 0.0021, 0)</f>
        <v>77.592500000000001</v>
      </c>
      <c r="E469" s="14">
        <f>77.4538 * CHOOSE(CONTROL!$C$9, $D$9, 100%, $F$9) + CHOOSE(CONTROL!$C$27, 0.0021, 0)</f>
        <v>77.4559</v>
      </c>
      <c r="F469" s="14">
        <f>77.4538 * CHOOSE(CONTROL!$C$9, $D$9, 100%, $F$9) + CHOOSE(CONTROL!$C$27, 0.0021, 0)</f>
        <v>77.4559</v>
      </c>
      <c r="G469" s="14">
        <f>77.7251 * CHOOSE(CONTROL!$C$9, $D$9, 100%, $F$9) + CHOOSE(CONTROL!$C$27, 0.0021, 0)</f>
        <v>77.727199999999996</v>
      </c>
      <c r="H469" s="14">
        <f>77.5904 * CHOOSE(CONTROL!$C$9, $D$9, 100%, $F$9) + CHOOSE(CONTROL!$C$27, 0.0021, 0)</f>
        <v>77.592500000000001</v>
      </c>
      <c r="I469" s="14">
        <f>77.5904 * CHOOSE(CONTROL!$C$9, $D$9, 100%, $F$9) + CHOOSE(CONTROL!$C$27, 0.0021, 0)</f>
        <v>77.592500000000001</v>
      </c>
      <c r="J469" s="14">
        <f>77.5904 * CHOOSE(CONTROL!$C$9, $D$9, 100%, $F$9) + CHOOSE(CONTROL!$C$27, 0.0021, 0)</f>
        <v>77.592500000000001</v>
      </c>
      <c r="K469" s="14">
        <f>77.5904 * CHOOSE(CONTROL!$C$9, $D$9, 100%, $F$9) + CHOOSE(CONTROL!$C$27, 0.0021, 0)</f>
        <v>77.592500000000001</v>
      </c>
      <c r="L469" s="14"/>
    </row>
    <row r="470" spans="1:12" ht="15.75" x14ac:dyDescent="0.25">
      <c r="A470" s="33">
        <v>55243</v>
      </c>
      <c r="B470" s="14">
        <f>77.1127 * CHOOSE(CONTROL!$C$9, $D$9, 100%, $F$9) + CHOOSE(CONTROL!$C$27, 0.0021, 0)</f>
        <v>77.114800000000002</v>
      </c>
      <c r="C470" s="14">
        <f>76.6805 * CHOOSE(CONTROL!$C$9, $D$9, 100%, $F$9) + CHOOSE(CONTROL!$C$27, 0.0021, 0)</f>
        <v>76.682599999999994</v>
      </c>
      <c r="D470" s="14">
        <f>76.6805 * CHOOSE(CONTROL!$C$9, $D$9, 100%, $F$9) + CHOOSE(CONTROL!$C$27, 0.0021, 0)</f>
        <v>76.682599999999994</v>
      </c>
      <c r="E470" s="14">
        <f>76.5438 * CHOOSE(CONTROL!$C$9, $D$9, 100%, $F$9) + CHOOSE(CONTROL!$C$27, 0.0021, 0)</f>
        <v>76.545900000000003</v>
      </c>
      <c r="F470" s="14">
        <f>76.5438 * CHOOSE(CONTROL!$C$9, $D$9, 100%, $F$9) + CHOOSE(CONTROL!$C$27, 0.0021, 0)</f>
        <v>76.545900000000003</v>
      </c>
      <c r="G470" s="14">
        <f>76.8152 * CHOOSE(CONTROL!$C$9, $D$9, 100%, $F$9) + CHOOSE(CONTROL!$C$27, 0.0021, 0)</f>
        <v>76.817300000000003</v>
      </c>
      <c r="H470" s="14">
        <f>76.6805 * CHOOSE(CONTROL!$C$9, $D$9, 100%, $F$9) + CHOOSE(CONTROL!$C$27, 0.0021, 0)</f>
        <v>76.682599999999994</v>
      </c>
      <c r="I470" s="14">
        <f>76.6805 * CHOOSE(CONTROL!$C$9, $D$9, 100%, $F$9) + CHOOSE(CONTROL!$C$27, 0.0021, 0)</f>
        <v>76.682599999999994</v>
      </c>
      <c r="J470" s="14">
        <f>76.6805 * CHOOSE(CONTROL!$C$9, $D$9, 100%, $F$9) + CHOOSE(CONTROL!$C$27, 0.0021, 0)</f>
        <v>76.682599999999994</v>
      </c>
      <c r="K470" s="14">
        <f>76.6805 * CHOOSE(CONTROL!$C$9, $D$9, 100%, $F$9) + CHOOSE(CONTROL!$C$27, 0.0021, 0)</f>
        <v>76.682599999999994</v>
      </c>
      <c r="L470" s="14"/>
    </row>
    <row r="471" spans="1:12" ht="15.75" x14ac:dyDescent="0.25">
      <c r="A471" s="33">
        <v>55273</v>
      </c>
      <c r="B471" s="14">
        <f>76.0262 * CHOOSE(CONTROL!$C$9, $D$9, 100%, $F$9) + CHOOSE(CONTROL!$C$27, 0.0021, 0)</f>
        <v>76.028300000000002</v>
      </c>
      <c r="C471" s="14">
        <f>75.5939 * CHOOSE(CONTROL!$C$9, $D$9, 100%, $F$9) + CHOOSE(CONTROL!$C$27, 0.0021, 0)</f>
        <v>75.596000000000004</v>
      </c>
      <c r="D471" s="14">
        <f>75.5939 * CHOOSE(CONTROL!$C$9, $D$9, 100%, $F$9) + CHOOSE(CONTROL!$C$27, 0.0021, 0)</f>
        <v>75.596000000000004</v>
      </c>
      <c r="E471" s="14">
        <f>75.4573 * CHOOSE(CONTROL!$C$9, $D$9, 100%, $F$9) + CHOOSE(CONTROL!$C$27, 0.0021, 0)</f>
        <v>75.459400000000002</v>
      </c>
      <c r="F471" s="14">
        <f>75.4573 * CHOOSE(CONTROL!$C$9, $D$9, 100%, $F$9) + CHOOSE(CONTROL!$C$27, 0.0021, 0)</f>
        <v>75.459400000000002</v>
      </c>
      <c r="G471" s="14">
        <f>75.7286 * CHOOSE(CONTROL!$C$9, $D$9, 100%, $F$9) + CHOOSE(CONTROL!$C$27, 0.0021, 0)</f>
        <v>75.730699999999999</v>
      </c>
      <c r="H471" s="14">
        <f>75.5939 * CHOOSE(CONTROL!$C$9, $D$9, 100%, $F$9) + CHOOSE(CONTROL!$C$27, 0.0021, 0)</f>
        <v>75.596000000000004</v>
      </c>
      <c r="I471" s="14">
        <f>75.5939 * CHOOSE(CONTROL!$C$9, $D$9, 100%, $F$9) + CHOOSE(CONTROL!$C$27, 0.0021, 0)</f>
        <v>75.596000000000004</v>
      </c>
      <c r="J471" s="14">
        <f>75.5939 * CHOOSE(CONTROL!$C$9, $D$9, 100%, $F$9) + CHOOSE(CONTROL!$C$27, 0.0021, 0)</f>
        <v>75.596000000000004</v>
      </c>
      <c r="K471" s="14">
        <f>75.5939 * CHOOSE(CONTROL!$C$9, $D$9, 100%, $F$9) + CHOOSE(CONTROL!$C$27, 0.0021, 0)</f>
        <v>75.596000000000004</v>
      </c>
      <c r="L471" s="14"/>
    </row>
    <row r="472" spans="1:12" ht="15.75" x14ac:dyDescent="0.25">
      <c r="A472" s="33">
        <v>55304</v>
      </c>
      <c r="B472" s="14">
        <f>77.5746 * CHOOSE(CONTROL!$C$9, $D$9, 100%, $F$9) + CHOOSE(CONTROL!$C$27, 0.0021, 0)</f>
        <v>77.576700000000002</v>
      </c>
      <c r="C472" s="14">
        <f>77.1424 * CHOOSE(CONTROL!$C$9, $D$9, 100%, $F$9) + CHOOSE(CONTROL!$C$27, 0.0021, 0)</f>
        <v>77.144499999999994</v>
      </c>
      <c r="D472" s="14">
        <f>77.1424 * CHOOSE(CONTROL!$C$9, $D$9, 100%, $F$9) + CHOOSE(CONTROL!$C$27, 0.0021, 0)</f>
        <v>77.144499999999994</v>
      </c>
      <c r="E472" s="14">
        <f>77.0057 * CHOOSE(CONTROL!$C$9, $D$9, 100%, $F$9) + CHOOSE(CONTROL!$C$27, 0.0021, 0)</f>
        <v>77.007800000000003</v>
      </c>
      <c r="F472" s="14">
        <f>77.0057 * CHOOSE(CONTROL!$C$9, $D$9, 100%, $F$9) + CHOOSE(CONTROL!$C$27, 0.0021, 0)</f>
        <v>77.007800000000003</v>
      </c>
      <c r="G472" s="14">
        <f>77.2771 * CHOOSE(CONTROL!$C$9, $D$9, 100%, $F$9) + CHOOSE(CONTROL!$C$27, 0.0021, 0)</f>
        <v>77.279200000000003</v>
      </c>
      <c r="H472" s="14">
        <f>77.1424 * CHOOSE(CONTROL!$C$9, $D$9, 100%, $F$9) + CHOOSE(CONTROL!$C$27, 0.0021, 0)</f>
        <v>77.144499999999994</v>
      </c>
      <c r="I472" s="14">
        <f>77.1424 * CHOOSE(CONTROL!$C$9, $D$9, 100%, $F$9) + CHOOSE(CONTROL!$C$27, 0.0021, 0)</f>
        <v>77.144499999999994</v>
      </c>
      <c r="J472" s="14">
        <f>77.1424 * CHOOSE(CONTROL!$C$9, $D$9, 100%, $F$9) + CHOOSE(CONTROL!$C$27, 0.0021, 0)</f>
        <v>77.144499999999994</v>
      </c>
      <c r="K472" s="14">
        <f>77.1424 * CHOOSE(CONTROL!$C$9, $D$9, 100%, $F$9) + CHOOSE(CONTROL!$C$27, 0.0021, 0)</f>
        <v>77.144499999999994</v>
      </c>
      <c r="L472" s="14"/>
    </row>
    <row r="473" spans="1:12" ht="15.75" x14ac:dyDescent="0.25">
      <c r="A473" s="33">
        <v>55334</v>
      </c>
      <c r="B473" s="14">
        <f>78.5021 * CHOOSE(CONTROL!$C$9, $D$9, 100%, $F$9) + CHOOSE(CONTROL!$C$27, 0.0021, 0)</f>
        <v>78.504199999999997</v>
      </c>
      <c r="C473" s="14">
        <f>78.0698 * CHOOSE(CONTROL!$C$9, $D$9, 100%, $F$9) + CHOOSE(CONTROL!$C$27, 0.0021, 0)</f>
        <v>78.071899999999999</v>
      </c>
      <c r="D473" s="14">
        <f>78.0698 * CHOOSE(CONTROL!$C$9, $D$9, 100%, $F$9) + CHOOSE(CONTROL!$C$27, 0.0021, 0)</f>
        <v>78.071899999999999</v>
      </c>
      <c r="E473" s="14">
        <f>77.9332 * CHOOSE(CONTROL!$C$9, $D$9, 100%, $F$9) + CHOOSE(CONTROL!$C$27, 0.0021, 0)</f>
        <v>77.935299999999998</v>
      </c>
      <c r="F473" s="14">
        <f>77.9332 * CHOOSE(CONTROL!$C$9, $D$9, 100%, $F$9) + CHOOSE(CONTROL!$C$27, 0.0021, 0)</f>
        <v>77.935299999999998</v>
      </c>
      <c r="G473" s="14">
        <f>78.2045 * CHOOSE(CONTROL!$C$9, $D$9, 100%, $F$9) + CHOOSE(CONTROL!$C$27, 0.0021, 0)</f>
        <v>78.206599999999995</v>
      </c>
      <c r="H473" s="14">
        <f>78.0698 * CHOOSE(CONTROL!$C$9, $D$9, 100%, $F$9) + CHOOSE(CONTROL!$C$27, 0.0021, 0)</f>
        <v>78.071899999999999</v>
      </c>
      <c r="I473" s="14">
        <f>78.0698 * CHOOSE(CONTROL!$C$9, $D$9, 100%, $F$9) + CHOOSE(CONTROL!$C$27, 0.0021, 0)</f>
        <v>78.071899999999999</v>
      </c>
      <c r="J473" s="14">
        <f>78.0698 * CHOOSE(CONTROL!$C$9, $D$9, 100%, $F$9) + CHOOSE(CONTROL!$C$27, 0.0021, 0)</f>
        <v>78.071899999999999</v>
      </c>
      <c r="K473" s="14">
        <f>78.0698 * CHOOSE(CONTROL!$C$9, $D$9, 100%, $F$9) + CHOOSE(CONTROL!$C$27, 0.0021, 0)</f>
        <v>78.071899999999999</v>
      </c>
      <c r="L473" s="14"/>
    </row>
    <row r="474" spans="1:12" ht="15.75" x14ac:dyDescent="0.25">
      <c r="A474" s="33">
        <v>55365</v>
      </c>
      <c r="B474" s="14">
        <f>80.032 * CHOOSE(CONTROL!$C$9, $D$9, 100%, $F$9) + CHOOSE(CONTROL!$C$27, 0.0021, 0)</f>
        <v>80.034099999999995</v>
      </c>
      <c r="C474" s="14">
        <f>79.5998 * CHOOSE(CONTROL!$C$9, $D$9, 100%, $F$9) + CHOOSE(CONTROL!$C$27, 0.0021, 0)</f>
        <v>79.601900000000001</v>
      </c>
      <c r="D474" s="14">
        <f>79.5998 * CHOOSE(CONTROL!$C$9, $D$9, 100%, $F$9) + CHOOSE(CONTROL!$C$27, 0.0021, 0)</f>
        <v>79.601900000000001</v>
      </c>
      <c r="E474" s="14">
        <f>79.4631 * CHOOSE(CONTROL!$C$9, $D$9, 100%, $F$9) + CHOOSE(CONTROL!$C$27, 0.0021, 0)</f>
        <v>79.465199999999996</v>
      </c>
      <c r="F474" s="14">
        <f>79.4631 * CHOOSE(CONTROL!$C$9, $D$9, 100%, $F$9) + CHOOSE(CONTROL!$C$27, 0.0021, 0)</f>
        <v>79.465199999999996</v>
      </c>
      <c r="G474" s="14">
        <f>79.7345 * CHOOSE(CONTROL!$C$9, $D$9, 100%, $F$9) + CHOOSE(CONTROL!$C$27, 0.0021, 0)</f>
        <v>79.736599999999996</v>
      </c>
      <c r="H474" s="14">
        <f>79.5998 * CHOOSE(CONTROL!$C$9, $D$9, 100%, $F$9) + CHOOSE(CONTROL!$C$27, 0.0021, 0)</f>
        <v>79.601900000000001</v>
      </c>
      <c r="I474" s="14">
        <f>79.5998 * CHOOSE(CONTROL!$C$9, $D$9, 100%, $F$9) + CHOOSE(CONTROL!$C$27, 0.0021, 0)</f>
        <v>79.601900000000001</v>
      </c>
      <c r="J474" s="14">
        <f>79.5998 * CHOOSE(CONTROL!$C$9, $D$9, 100%, $F$9) + CHOOSE(CONTROL!$C$27, 0.0021, 0)</f>
        <v>79.601900000000001</v>
      </c>
      <c r="K474" s="14">
        <f>79.5998 * CHOOSE(CONTROL!$C$9, $D$9, 100%, $F$9) + CHOOSE(CONTROL!$C$27, 0.0021, 0)</f>
        <v>79.601900000000001</v>
      </c>
      <c r="L474" s="14"/>
    </row>
    <row r="475" spans="1:12" ht="15.75" x14ac:dyDescent="0.25">
      <c r="A475" s="33">
        <v>55396</v>
      </c>
      <c r="B475" s="14">
        <f>80.499 * CHOOSE(CONTROL!$C$9, $D$9, 100%, $F$9) + CHOOSE(CONTROL!$C$27, 0.0021, 0)</f>
        <v>80.501099999999994</v>
      </c>
      <c r="C475" s="14">
        <f>80.0668 * CHOOSE(CONTROL!$C$9, $D$9, 100%, $F$9) + CHOOSE(CONTROL!$C$27, 0.0021, 0)</f>
        <v>80.068899999999999</v>
      </c>
      <c r="D475" s="14">
        <f>80.0668 * CHOOSE(CONTROL!$C$9, $D$9, 100%, $F$9) + CHOOSE(CONTROL!$C$27, 0.0021, 0)</f>
        <v>80.068899999999999</v>
      </c>
      <c r="E475" s="14">
        <f>79.9301 * CHOOSE(CONTROL!$C$9, $D$9, 100%, $F$9) + CHOOSE(CONTROL!$C$27, 0.0021, 0)</f>
        <v>79.932199999999995</v>
      </c>
      <c r="F475" s="14">
        <f>79.9301 * CHOOSE(CONTROL!$C$9, $D$9, 100%, $F$9) + CHOOSE(CONTROL!$C$27, 0.0021, 0)</f>
        <v>79.932199999999995</v>
      </c>
      <c r="G475" s="14">
        <f>80.2015 * CHOOSE(CONTROL!$C$9, $D$9, 100%, $F$9) + CHOOSE(CONTROL!$C$27, 0.0021, 0)</f>
        <v>80.203599999999994</v>
      </c>
      <c r="H475" s="14">
        <f>80.0668 * CHOOSE(CONTROL!$C$9, $D$9, 100%, $F$9) + CHOOSE(CONTROL!$C$27, 0.0021, 0)</f>
        <v>80.068899999999999</v>
      </c>
      <c r="I475" s="14">
        <f>80.0668 * CHOOSE(CONTROL!$C$9, $D$9, 100%, $F$9) + CHOOSE(CONTROL!$C$27, 0.0021, 0)</f>
        <v>80.068899999999999</v>
      </c>
      <c r="J475" s="14">
        <f>80.0668 * CHOOSE(CONTROL!$C$9, $D$9, 100%, $F$9) + CHOOSE(CONTROL!$C$27, 0.0021, 0)</f>
        <v>80.068899999999999</v>
      </c>
      <c r="K475" s="14">
        <f>80.0668 * CHOOSE(CONTROL!$C$9, $D$9, 100%, $F$9) + CHOOSE(CONTROL!$C$27, 0.0021, 0)</f>
        <v>80.068899999999999</v>
      </c>
      <c r="L475" s="14"/>
    </row>
    <row r="476" spans="1:12" ht="15.75" x14ac:dyDescent="0.25">
      <c r="A476" s="33">
        <v>55426</v>
      </c>
      <c r="B476" s="14">
        <f>82.0893 * CHOOSE(CONTROL!$C$9, $D$9, 100%, $F$9) + CHOOSE(CONTROL!$C$27, 0.0021, 0)</f>
        <v>82.091399999999993</v>
      </c>
      <c r="C476" s="14">
        <f>81.6571 * CHOOSE(CONTROL!$C$9, $D$9, 100%, $F$9) + CHOOSE(CONTROL!$C$27, 0.0021, 0)</f>
        <v>81.659199999999998</v>
      </c>
      <c r="D476" s="14">
        <f>81.6571 * CHOOSE(CONTROL!$C$9, $D$9, 100%, $F$9) + CHOOSE(CONTROL!$C$27, 0.0021, 0)</f>
        <v>81.659199999999998</v>
      </c>
      <c r="E476" s="14">
        <f>81.5204 * CHOOSE(CONTROL!$C$9, $D$9, 100%, $F$9) + CHOOSE(CONTROL!$C$27, 0.0021, 0)</f>
        <v>81.522499999999994</v>
      </c>
      <c r="F476" s="14">
        <f>81.5204 * CHOOSE(CONTROL!$C$9, $D$9, 100%, $F$9) + CHOOSE(CONTROL!$C$27, 0.0021, 0)</f>
        <v>81.522499999999994</v>
      </c>
      <c r="G476" s="14">
        <f>81.7918 * CHOOSE(CONTROL!$C$9, $D$9, 100%, $F$9) + CHOOSE(CONTROL!$C$27, 0.0021, 0)</f>
        <v>81.793899999999994</v>
      </c>
      <c r="H476" s="14">
        <f>81.6571 * CHOOSE(CONTROL!$C$9, $D$9, 100%, $F$9) + CHOOSE(CONTROL!$C$27, 0.0021, 0)</f>
        <v>81.659199999999998</v>
      </c>
      <c r="I476" s="14">
        <f>81.6571 * CHOOSE(CONTROL!$C$9, $D$9, 100%, $F$9) + CHOOSE(CONTROL!$C$27, 0.0021, 0)</f>
        <v>81.659199999999998</v>
      </c>
      <c r="J476" s="14">
        <f>81.6571 * CHOOSE(CONTROL!$C$9, $D$9, 100%, $F$9) + CHOOSE(CONTROL!$C$27, 0.0021, 0)</f>
        <v>81.659199999999998</v>
      </c>
      <c r="K476" s="14">
        <f>81.6571 * CHOOSE(CONTROL!$C$9, $D$9, 100%, $F$9) + CHOOSE(CONTROL!$C$27, 0.0021, 0)</f>
        <v>81.659199999999998</v>
      </c>
      <c r="L476" s="14"/>
    </row>
    <row r="477" spans="1:12" ht="15.75" x14ac:dyDescent="0.25">
      <c r="A477" s="33">
        <v>55457</v>
      </c>
      <c r="B477" s="14">
        <f>84.1024 * CHOOSE(CONTROL!$C$9, $D$9, 100%, $F$9) + CHOOSE(CONTROL!$C$27, 0.0021, 0)</f>
        <v>84.104500000000002</v>
      </c>
      <c r="C477" s="14">
        <f>83.6702 * CHOOSE(CONTROL!$C$9, $D$9, 100%, $F$9) + CHOOSE(CONTROL!$C$27, 0.0021, 0)</f>
        <v>83.672299999999993</v>
      </c>
      <c r="D477" s="14">
        <f>83.6702 * CHOOSE(CONTROL!$C$9, $D$9, 100%, $F$9) + CHOOSE(CONTROL!$C$27, 0.0021, 0)</f>
        <v>83.672299999999993</v>
      </c>
      <c r="E477" s="14">
        <f>83.5335 * CHOOSE(CONTROL!$C$9, $D$9, 100%, $F$9) + CHOOSE(CONTROL!$C$27, 0.0021, 0)</f>
        <v>83.535600000000002</v>
      </c>
      <c r="F477" s="14">
        <f>83.5335 * CHOOSE(CONTROL!$C$9, $D$9, 100%, $F$9) + CHOOSE(CONTROL!$C$27, 0.0021, 0)</f>
        <v>83.535600000000002</v>
      </c>
      <c r="G477" s="14">
        <f>83.8049 * CHOOSE(CONTROL!$C$9, $D$9, 100%, $F$9) + CHOOSE(CONTROL!$C$27, 0.0021, 0)</f>
        <v>83.807000000000002</v>
      </c>
      <c r="H477" s="14">
        <f>83.6702 * CHOOSE(CONTROL!$C$9, $D$9, 100%, $F$9) + CHOOSE(CONTROL!$C$27, 0.0021, 0)</f>
        <v>83.672299999999993</v>
      </c>
      <c r="I477" s="14">
        <f>83.6702 * CHOOSE(CONTROL!$C$9, $D$9, 100%, $F$9) + CHOOSE(CONTROL!$C$27, 0.0021, 0)</f>
        <v>83.672299999999993</v>
      </c>
      <c r="J477" s="14">
        <f>83.6702 * CHOOSE(CONTROL!$C$9, $D$9, 100%, $F$9) + CHOOSE(CONTROL!$C$27, 0.0021, 0)</f>
        <v>83.672299999999993</v>
      </c>
      <c r="K477" s="14">
        <f>83.6702 * CHOOSE(CONTROL!$C$9, $D$9, 100%, $F$9) + CHOOSE(CONTROL!$C$27, 0.0021, 0)</f>
        <v>83.672299999999993</v>
      </c>
      <c r="L477" s="14"/>
    </row>
    <row r="478" spans="1:12" ht="15.75" x14ac:dyDescent="0.25">
      <c r="A478" s="33">
        <v>55487</v>
      </c>
      <c r="B478" s="14">
        <f>84.2914 * CHOOSE(CONTROL!$C$9, $D$9, 100%, $F$9) + CHOOSE(CONTROL!$C$27, 0.0021, 0)</f>
        <v>84.293499999999995</v>
      </c>
      <c r="C478" s="14">
        <f>83.8592 * CHOOSE(CONTROL!$C$9, $D$9, 100%, $F$9) + CHOOSE(CONTROL!$C$27, 0.0021, 0)</f>
        <v>83.8613</v>
      </c>
      <c r="D478" s="14">
        <f>83.8592 * CHOOSE(CONTROL!$C$9, $D$9, 100%, $F$9) + CHOOSE(CONTROL!$C$27, 0.0021, 0)</f>
        <v>83.8613</v>
      </c>
      <c r="E478" s="14">
        <f>83.7225 * CHOOSE(CONTROL!$C$9, $D$9, 100%, $F$9) + CHOOSE(CONTROL!$C$27, 0.0021, 0)</f>
        <v>83.724599999999995</v>
      </c>
      <c r="F478" s="14">
        <f>83.7225 * CHOOSE(CONTROL!$C$9, $D$9, 100%, $F$9) + CHOOSE(CONTROL!$C$27, 0.0021, 0)</f>
        <v>83.724599999999995</v>
      </c>
      <c r="G478" s="14">
        <f>83.9939 * CHOOSE(CONTROL!$C$9, $D$9, 100%, $F$9) + CHOOSE(CONTROL!$C$27, 0.0021, 0)</f>
        <v>83.995999999999995</v>
      </c>
      <c r="H478" s="14">
        <f>83.8592 * CHOOSE(CONTROL!$C$9, $D$9, 100%, $F$9) + CHOOSE(CONTROL!$C$27, 0.0021, 0)</f>
        <v>83.8613</v>
      </c>
      <c r="I478" s="14">
        <f>83.8592 * CHOOSE(CONTROL!$C$9, $D$9, 100%, $F$9) + CHOOSE(CONTROL!$C$27, 0.0021, 0)</f>
        <v>83.8613</v>
      </c>
      <c r="J478" s="14">
        <f>83.8592 * CHOOSE(CONTROL!$C$9, $D$9, 100%, $F$9) + CHOOSE(CONTROL!$C$27, 0.0021, 0)</f>
        <v>83.8613</v>
      </c>
      <c r="K478" s="14">
        <f>83.8592 * CHOOSE(CONTROL!$C$9, $D$9, 100%, $F$9) + CHOOSE(CONTROL!$C$27, 0.0021, 0)</f>
        <v>83.8613</v>
      </c>
      <c r="L478" s="14"/>
    </row>
    <row r="479" spans="1:12" ht="15.75" x14ac:dyDescent="0.25">
      <c r="A479" s="33">
        <v>55518</v>
      </c>
      <c r="B479" s="14">
        <f>82.6836 * CHOOSE(CONTROL!$C$9, $D$9, 100%, $F$9) + CHOOSE(CONTROL!$C$27, 0.0021, 0)</f>
        <v>82.685699999999997</v>
      </c>
      <c r="C479" s="14">
        <f>82.2514 * CHOOSE(CONTROL!$C$9, $D$9, 100%, $F$9) + CHOOSE(CONTROL!$C$27, 0.0021, 0)</f>
        <v>82.253500000000003</v>
      </c>
      <c r="D479" s="14">
        <f>82.2514 * CHOOSE(CONTROL!$C$9, $D$9, 100%, $F$9) + CHOOSE(CONTROL!$C$27, 0.0021, 0)</f>
        <v>82.253500000000003</v>
      </c>
      <c r="E479" s="14">
        <f>82.1147 * CHOOSE(CONTROL!$C$9, $D$9, 100%, $F$9) + CHOOSE(CONTROL!$C$27, 0.0021, 0)</f>
        <v>82.116799999999998</v>
      </c>
      <c r="F479" s="14">
        <f>82.1147 * CHOOSE(CONTROL!$C$9, $D$9, 100%, $F$9) + CHOOSE(CONTROL!$C$27, 0.0021, 0)</f>
        <v>82.116799999999998</v>
      </c>
      <c r="G479" s="14">
        <f>82.3861 * CHOOSE(CONTROL!$C$9, $D$9, 100%, $F$9) + CHOOSE(CONTROL!$C$27, 0.0021, 0)</f>
        <v>82.388199999999998</v>
      </c>
      <c r="H479" s="14">
        <f>82.2514 * CHOOSE(CONTROL!$C$9, $D$9, 100%, $F$9) + CHOOSE(CONTROL!$C$27, 0.0021, 0)</f>
        <v>82.253500000000003</v>
      </c>
      <c r="I479" s="14">
        <f>82.2514 * CHOOSE(CONTROL!$C$9, $D$9, 100%, $F$9) + CHOOSE(CONTROL!$C$27, 0.0021, 0)</f>
        <v>82.253500000000003</v>
      </c>
      <c r="J479" s="14">
        <f>82.2514 * CHOOSE(CONTROL!$C$9, $D$9, 100%, $F$9) + CHOOSE(CONTROL!$C$27, 0.0021, 0)</f>
        <v>82.253500000000003</v>
      </c>
      <c r="K479" s="14">
        <f>82.2514 * CHOOSE(CONTROL!$C$9, $D$9, 100%, $F$9) + CHOOSE(CONTROL!$C$27, 0.0021, 0)</f>
        <v>82.253500000000003</v>
      </c>
      <c r="L479" s="14"/>
    </row>
    <row r="480" spans="1:12" ht="15.75" x14ac:dyDescent="0.25">
      <c r="A480" s="33">
        <v>55549</v>
      </c>
      <c r="B480" s="14">
        <f>81.6674 * CHOOSE(CONTROL!$C$9, $D$9, 100%, $F$9) + CHOOSE(CONTROL!$C$27, 0.0021, 0)</f>
        <v>81.669499999999999</v>
      </c>
      <c r="C480" s="14">
        <f>81.2351 * CHOOSE(CONTROL!$C$9, $D$9, 100%, $F$9) + CHOOSE(CONTROL!$C$27, 0.0021, 0)</f>
        <v>81.237200000000001</v>
      </c>
      <c r="D480" s="14">
        <f>81.2351 * CHOOSE(CONTROL!$C$9, $D$9, 100%, $F$9) + CHOOSE(CONTROL!$C$27, 0.0021, 0)</f>
        <v>81.237200000000001</v>
      </c>
      <c r="E480" s="14">
        <f>81.0985 * CHOOSE(CONTROL!$C$9, $D$9, 100%, $F$9) + CHOOSE(CONTROL!$C$27, 0.0021, 0)</f>
        <v>81.1006</v>
      </c>
      <c r="F480" s="14">
        <f>81.0985 * CHOOSE(CONTROL!$C$9, $D$9, 100%, $F$9) + CHOOSE(CONTROL!$C$27, 0.0021, 0)</f>
        <v>81.1006</v>
      </c>
      <c r="G480" s="14">
        <f>81.3699 * CHOOSE(CONTROL!$C$9, $D$9, 100%, $F$9) + CHOOSE(CONTROL!$C$27, 0.0021, 0)</f>
        <v>81.372</v>
      </c>
      <c r="H480" s="14">
        <f>81.2351 * CHOOSE(CONTROL!$C$9, $D$9, 100%, $F$9) + CHOOSE(CONTROL!$C$27, 0.0021, 0)</f>
        <v>81.237200000000001</v>
      </c>
      <c r="I480" s="14">
        <f>81.2351 * CHOOSE(CONTROL!$C$9, $D$9, 100%, $F$9) + CHOOSE(CONTROL!$C$27, 0.0021, 0)</f>
        <v>81.237200000000001</v>
      </c>
      <c r="J480" s="14">
        <f>81.2351 * CHOOSE(CONTROL!$C$9, $D$9, 100%, $F$9) + CHOOSE(CONTROL!$C$27, 0.0021, 0)</f>
        <v>81.237200000000001</v>
      </c>
      <c r="K480" s="14">
        <f>81.2351 * CHOOSE(CONTROL!$C$9, $D$9, 100%, $F$9) + CHOOSE(CONTROL!$C$27, 0.0021, 0)</f>
        <v>81.237200000000001</v>
      </c>
      <c r="L480" s="14"/>
    </row>
    <row r="481" spans="1:12" ht="15.75" x14ac:dyDescent="0.25">
      <c r="A481" s="33">
        <v>55577</v>
      </c>
      <c r="B481" s="14">
        <f>79.4222 * CHOOSE(CONTROL!$C$9, $D$9, 100%, $F$9) + CHOOSE(CONTROL!$C$27, 0.0021, 0)</f>
        <v>79.424300000000002</v>
      </c>
      <c r="C481" s="14">
        <f>78.99 * CHOOSE(CONTROL!$C$9, $D$9, 100%, $F$9) + CHOOSE(CONTROL!$C$27, 0.0021, 0)</f>
        <v>78.992099999999994</v>
      </c>
      <c r="D481" s="14">
        <f>78.99 * CHOOSE(CONTROL!$C$9, $D$9, 100%, $F$9) + CHOOSE(CONTROL!$C$27, 0.0021, 0)</f>
        <v>78.992099999999994</v>
      </c>
      <c r="E481" s="14">
        <f>78.8533 * CHOOSE(CONTROL!$C$9, $D$9, 100%, $F$9) + CHOOSE(CONTROL!$C$27, 0.0021, 0)</f>
        <v>78.855400000000003</v>
      </c>
      <c r="F481" s="14">
        <f>78.8533 * CHOOSE(CONTROL!$C$9, $D$9, 100%, $F$9) + CHOOSE(CONTROL!$C$27, 0.0021, 0)</f>
        <v>78.855400000000003</v>
      </c>
      <c r="G481" s="14">
        <f>79.1247 * CHOOSE(CONTROL!$C$9, $D$9, 100%, $F$9) + CHOOSE(CONTROL!$C$27, 0.0021, 0)</f>
        <v>79.126800000000003</v>
      </c>
      <c r="H481" s="14">
        <f>78.99 * CHOOSE(CONTROL!$C$9, $D$9, 100%, $F$9) + CHOOSE(CONTROL!$C$27, 0.0021, 0)</f>
        <v>78.992099999999994</v>
      </c>
      <c r="I481" s="14">
        <f>78.99 * CHOOSE(CONTROL!$C$9, $D$9, 100%, $F$9) + CHOOSE(CONTROL!$C$27, 0.0021, 0)</f>
        <v>78.992099999999994</v>
      </c>
      <c r="J481" s="14">
        <f>78.99 * CHOOSE(CONTROL!$C$9, $D$9, 100%, $F$9) + CHOOSE(CONTROL!$C$27, 0.0021, 0)</f>
        <v>78.992099999999994</v>
      </c>
      <c r="K481" s="14">
        <f>78.99 * CHOOSE(CONTROL!$C$9, $D$9, 100%, $F$9) + CHOOSE(CONTROL!$C$27, 0.0021, 0)</f>
        <v>78.992099999999994</v>
      </c>
      <c r="L481" s="14"/>
    </row>
    <row r="482" spans="1:12" ht="15.75" x14ac:dyDescent="0.25">
      <c r="A482" s="33">
        <v>55609</v>
      </c>
      <c r="B482" s="14">
        <f>78.4954 * CHOOSE(CONTROL!$C$9, $D$9, 100%, $F$9) + CHOOSE(CONTROL!$C$27, 0.0021, 0)</f>
        <v>78.497500000000002</v>
      </c>
      <c r="C482" s="14">
        <f>78.0632 * CHOOSE(CONTROL!$C$9, $D$9, 100%, $F$9) + CHOOSE(CONTROL!$C$27, 0.0021, 0)</f>
        <v>78.065299999999993</v>
      </c>
      <c r="D482" s="14">
        <f>78.0632 * CHOOSE(CONTROL!$C$9, $D$9, 100%, $F$9) + CHOOSE(CONTROL!$C$27, 0.0021, 0)</f>
        <v>78.065299999999993</v>
      </c>
      <c r="E482" s="14">
        <f>77.9265 * CHOOSE(CONTROL!$C$9, $D$9, 100%, $F$9) + CHOOSE(CONTROL!$C$27, 0.0021, 0)</f>
        <v>77.928600000000003</v>
      </c>
      <c r="F482" s="14">
        <f>77.9265 * CHOOSE(CONTROL!$C$9, $D$9, 100%, $F$9) + CHOOSE(CONTROL!$C$27, 0.0021, 0)</f>
        <v>77.928600000000003</v>
      </c>
      <c r="G482" s="14">
        <f>78.1979 * CHOOSE(CONTROL!$C$9, $D$9, 100%, $F$9) + CHOOSE(CONTROL!$C$27, 0.0021, 0)</f>
        <v>78.2</v>
      </c>
      <c r="H482" s="14">
        <f>78.0632 * CHOOSE(CONTROL!$C$9, $D$9, 100%, $F$9) + CHOOSE(CONTROL!$C$27, 0.0021, 0)</f>
        <v>78.065299999999993</v>
      </c>
      <c r="I482" s="14">
        <f>78.0632 * CHOOSE(CONTROL!$C$9, $D$9, 100%, $F$9) + CHOOSE(CONTROL!$C$27, 0.0021, 0)</f>
        <v>78.065299999999993</v>
      </c>
      <c r="J482" s="14">
        <f>78.0632 * CHOOSE(CONTROL!$C$9, $D$9, 100%, $F$9) + CHOOSE(CONTROL!$C$27, 0.0021, 0)</f>
        <v>78.065299999999993</v>
      </c>
      <c r="K482" s="14">
        <f>78.0632 * CHOOSE(CONTROL!$C$9, $D$9, 100%, $F$9) + CHOOSE(CONTROL!$C$27, 0.0021, 0)</f>
        <v>78.065299999999993</v>
      </c>
      <c r="L482" s="14"/>
    </row>
    <row r="483" spans="1:12" ht="15.75" x14ac:dyDescent="0.25">
      <c r="A483" s="33">
        <v>55639</v>
      </c>
      <c r="B483" s="14">
        <f>77.3888 * CHOOSE(CONTROL!$C$9, $D$9, 100%, $F$9) + CHOOSE(CONTROL!$C$27, 0.0021, 0)</f>
        <v>77.390900000000002</v>
      </c>
      <c r="C483" s="14">
        <f>76.9566 * CHOOSE(CONTROL!$C$9, $D$9, 100%, $F$9) + CHOOSE(CONTROL!$C$27, 0.0021, 0)</f>
        <v>76.958699999999993</v>
      </c>
      <c r="D483" s="14">
        <f>76.9566 * CHOOSE(CONTROL!$C$9, $D$9, 100%, $F$9) + CHOOSE(CONTROL!$C$27, 0.0021, 0)</f>
        <v>76.958699999999993</v>
      </c>
      <c r="E483" s="14">
        <f>76.8199 * CHOOSE(CONTROL!$C$9, $D$9, 100%, $F$9) + CHOOSE(CONTROL!$C$27, 0.0021, 0)</f>
        <v>76.822000000000003</v>
      </c>
      <c r="F483" s="14">
        <f>76.8199 * CHOOSE(CONTROL!$C$9, $D$9, 100%, $F$9) + CHOOSE(CONTROL!$C$27, 0.0021, 0)</f>
        <v>76.822000000000003</v>
      </c>
      <c r="G483" s="14">
        <f>77.0913 * CHOOSE(CONTROL!$C$9, $D$9, 100%, $F$9) + CHOOSE(CONTROL!$C$27, 0.0021, 0)</f>
        <v>77.093400000000003</v>
      </c>
      <c r="H483" s="14">
        <f>76.9566 * CHOOSE(CONTROL!$C$9, $D$9, 100%, $F$9) + CHOOSE(CONTROL!$C$27, 0.0021, 0)</f>
        <v>76.958699999999993</v>
      </c>
      <c r="I483" s="14">
        <f>76.9566 * CHOOSE(CONTROL!$C$9, $D$9, 100%, $F$9) + CHOOSE(CONTROL!$C$27, 0.0021, 0)</f>
        <v>76.958699999999993</v>
      </c>
      <c r="J483" s="14">
        <f>76.9566 * CHOOSE(CONTROL!$C$9, $D$9, 100%, $F$9) + CHOOSE(CONTROL!$C$27, 0.0021, 0)</f>
        <v>76.958699999999993</v>
      </c>
      <c r="K483" s="14">
        <f>76.9566 * CHOOSE(CONTROL!$C$9, $D$9, 100%, $F$9) + CHOOSE(CONTROL!$C$27, 0.0021, 0)</f>
        <v>76.958699999999993</v>
      </c>
      <c r="L483" s="14"/>
    </row>
    <row r="484" spans="1:12" ht="15.75" x14ac:dyDescent="0.25">
      <c r="A484" s="33">
        <v>55670</v>
      </c>
      <c r="B484" s="14">
        <f>78.9659 * CHOOSE(CONTROL!$C$9, $D$9, 100%, $F$9) + CHOOSE(CONTROL!$C$27, 0.0021, 0)</f>
        <v>78.968000000000004</v>
      </c>
      <c r="C484" s="14">
        <f>78.5336 * CHOOSE(CONTROL!$C$9, $D$9, 100%, $F$9) + CHOOSE(CONTROL!$C$27, 0.0021, 0)</f>
        <v>78.535700000000006</v>
      </c>
      <c r="D484" s="14">
        <f>78.5336 * CHOOSE(CONTROL!$C$9, $D$9, 100%, $F$9) + CHOOSE(CONTROL!$C$27, 0.0021, 0)</f>
        <v>78.535700000000006</v>
      </c>
      <c r="E484" s="14">
        <f>78.397 * CHOOSE(CONTROL!$C$9, $D$9, 100%, $F$9) + CHOOSE(CONTROL!$C$27, 0.0021, 0)</f>
        <v>78.399100000000004</v>
      </c>
      <c r="F484" s="14">
        <f>78.397 * CHOOSE(CONTROL!$C$9, $D$9, 100%, $F$9) + CHOOSE(CONTROL!$C$27, 0.0021, 0)</f>
        <v>78.399100000000004</v>
      </c>
      <c r="G484" s="14">
        <f>78.6683 * CHOOSE(CONTROL!$C$9, $D$9, 100%, $F$9) + CHOOSE(CONTROL!$C$27, 0.0021, 0)</f>
        <v>78.670400000000001</v>
      </c>
      <c r="H484" s="14">
        <f>78.5336 * CHOOSE(CONTROL!$C$9, $D$9, 100%, $F$9) + CHOOSE(CONTROL!$C$27, 0.0021, 0)</f>
        <v>78.535700000000006</v>
      </c>
      <c r="I484" s="14">
        <f>78.5336 * CHOOSE(CONTROL!$C$9, $D$9, 100%, $F$9) + CHOOSE(CONTROL!$C$27, 0.0021, 0)</f>
        <v>78.535700000000006</v>
      </c>
      <c r="J484" s="14">
        <f>78.5336 * CHOOSE(CONTROL!$C$9, $D$9, 100%, $F$9) + CHOOSE(CONTROL!$C$27, 0.0021, 0)</f>
        <v>78.535700000000006</v>
      </c>
      <c r="K484" s="14">
        <f>78.5336 * CHOOSE(CONTROL!$C$9, $D$9, 100%, $F$9) + CHOOSE(CONTROL!$C$27, 0.0021, 0)</f>
        <v>78.535700000000006</v>
      </c>
      <c r="L484" s="14"/>
    </row>
    <row r="485" spans="1:12" ht="15.75" x14ac:dyDescent="0.25">
      <c r="A485" s="33">
        <v>55700</v>
      </c>
      <c r="B485" s="14">
        <f>79.9105 * CHOOSE(CONTROL!$C$9, $D$9, 100%, $F$9) + CHOOSE(CONTROL!$C$27, 0.0021, 0)</f>
        <v>79.912599999999998</v>
      </c>
      <c r="C485" s="14">
        <f>79.4782 * CHOOSE(CONTROL!$C$9, $D$9, 100%, $F$9) + CHOOSE(CONTROL!$C$27, 0.0021, 0)</f>
        <v>79.4803</v>
      </c>
      <c r="D485" s="14">
        <f>79.4782 * CHOOSE(CONTROL!$C$9, $D$9, 100%, $F$9) + CHOOSE(CONTROL!$C$27, 0.0021, 0)</f>
        <v>79.4803</v>
      </c>
      <c r="E485" s="14">
        <f>79.3416 * CHOOSE(CONTROL!$C$9, $D$9, 100%, $F$9) + CHOOSE(CONTROL!$C$27, 0.0021, 0)</f>
        <v>79.343699999999998</v>
      </c>
      <c r="F485" s="14">
        <f>79.3416 * CHOOSE(CONTROL!$C$9, $D$9, 100%, $F$9) + CHOOSE(CONTROL!$C$27, 0.0021, 0)</f>
        <v>79.343699999999998</v>
      </c>
      <c r="G485" s="14">
        <f>79.6129 * CHOOSE(CONTROL!$C$9, $D$9, 100%, $F$9) + CHOOSE(CONTROL!$C$27, 0.0021, 0)</f>
        <v>79.614999999999995</v>
      </c>
      <c r="H485" s="14">
        <f>79.4782 * CHOOSE(CONTROL!$C$9, $D$9, 100%, $F$9) + CHOOSE(CONTROL!$C$27, 0.0021, 0)</f>
        <v>79.4803</v>
      </c>
      <c r="I485" s="14">
        <f>79.4782 * CHOOSE(CONTROL!$C$9, $D$9, 100%, $F$9) + CHOOSE(CONTROL!$C$27, 0.0021, 0)</f>
        <v>79.4803</v>
      </c>
      <c r="J485" s="14">
        <f>79.4782 * CHOOSE(CONTROL!$C$9, $D$9, 100%, $F$9) + CHOOSE(CONTROL!$C$27, 0.0021, 0)</f>
        <v>79.4803</v>
      </c>
      <c r="K485" s="14">
        <f>79.4782 * CHOOSE(CONTROL!$C$9, $D$9, 100%, $F$9) + CHOOSE(CONTROL!$C$27, 0.0021, 0)</f>
        <v>79.4803</v>
      </c>
      <c r="L485" s="14"/>
    </row>
    <row r="486" spans="1:12" ht="15.75" x14ac:dyDescent="0.25">
      <c r="A486" s="33">
        <v>55731</v>
      </c>
      <c r="B486" s="14">
        <f>81.4687 * CHOOSE(CONTROL!$C$9, $D$9, 100%, $F$9) + CHOOSE(CONTROL!$C$27, 0.0021, 0)</f>
        <v>81.470799999999997</v>
      </c>
      <c r="C486" s="14">
        <f>81.0365 * CHOOSE(CONTROL!$C$9, $D$9, 100%, $F$9) + CHOOSE(CONTROL!$C$27, 0.0021, 0)</f>
        <v>81.038600000000002</v>
      </c>
      <c r="D486" s="14">
        <f>81.0365 * CHOOSE(CONTROL!$C$9, $D$9, 100%, $F$9) + CHOOSE(CONTROL!$C$27, 0.0021, 0)</f>
        <v>81.038600000000002</v>
      </c>
      <c r="E486" s="14">
        <f>80.8998 * CHOOSE(CONTROL!$C$9, $D$9, 100%, $F$9) + CHOOSE(CONTROL!$C$27, 0.0021, 0)</f>
        <v>80.901899999999998</v>
      </c>
      <c r="F486" s="14">
        <f>80.8998 * CHOOSE(CONTROL!$C$9, $D$9, 100%, $F$9) + CHOOSE(CONTROL!$C$27, 0.0021, 0)</f>
        <v>80.901899999999998</v>
      </c>
      <c r="G486" s="14">
        <f>81.1712 * CHOOSE(CONTROL!$C$9, $D$9, 100%, $F$9) + CHOOSE(CONTROL!$C$27, 0.0021, 0)</f>
        <v>81.173299999999998</v>
      </c>
      <c r="H486" s="14">
        <f>81.0365 * CHOOSE(CONTROL!$C$9, $D$9, 100%, $F$9) + CHOOSE(CONTROL!$C$27, 0.0021, 0)</f>
        <v>81.038600000000002</v>
      </c>
      <c r="I486" s="14">
        <f>81.0365 * CHOOSE(CONTROL!$C$9, $D$9, 100%, $F$9) + CHOOSE(CONTROL!$C$27, 0.0021, 0)</f>
        <v>81.038600000000002</v>
      </c>
      <c r="J486" s="14">
        <f>81.0365 * CHOOSE(CONTROL!$C$9, $D$9, 100%, $F$9) + CHOOSE(CONTROL!$C$27, 0.0021, 0)</f>
        <v>81.038600000000002</v>
      </c>
      <c r="K486" s="14">
        <f>81.0365 * CHOOSE(CONTROL!$C$9, $D$9, 100%, $F$9) + CHOOSE(CONTROL!$C$27, 0.0021, 0)</f>
        <v>81.038600000000002</v>
      </c>
      <c r="L486" s="14"/>
    </row>
    <row r="487" spans="1:12" ht="15.75" x14ac:dyDescent="0.25">
      <c r="A487" s="33">
        <v>55762</v>
      </c>
      <c r="B487" s="14">
        <f>81.9443 * CHOOSE(CONTROL!$C$9, $D$9, 100%, $F$9) + CHOOSE(CONTROL!$C$27, 0.0021, 0)</f>
        <v>81.946399999999997</v>
      </c>
      <c r="C487" s="14">
        <f>81.5121 * CHOOSE(CONTROL!$C$9, $D$9, 100%, $F$9) + CHOOSE(CONTROL!$C$27, 0.0021, 0)</f>
        <v>81.514200000000002</v>
      </c>
      <c r="D487" s="14">
        <f>81.5121 * CHOOSE(CONTROL!$C$9, $D$9, 100%, $F$9) + CHOOSE(CONTROL!$C$27, 0.0021, 0)</f>
        <v>81.514200000000002</v>
      </c>
      <c r="E487" s="14">
        <f>81.3754 * CHOOSE(CONTROL!$C$9, $D$9, 100%, $F$9) + CHOOSE(CONTROL!$C$27, 0.0021, 0)</f>
        <v>81.377499999999998</v>
      </c>
      <c r="F487" s="14">
        <f>81.3754 * CHOOSE(CONTROL!$C$9, $D$9, 100%, $F$9) + CHOOSE(CONTROL!$C$27, 0.0021, 0)</f>
        <v>81.377499999999998</v>
      </c>
      <c r="G487" s="14">
        <f>81.6468 * CHOOSE(CONTROL!$C$9, $D$9, 100%, $F$9) + CHOOSE(CONTROL!$C$27, 0.0021, 0)</f>
        <v>81.648899999999998</v>
      </c>
      <c r="H487" s="14">
        <f>81.5121 * CHOOSE(CONTROL!$C$9, $D$9, 100%, $F$9) + CHOOSE(CONTROL!$C$27, 0.0021, 0)</f>
        <v>81.514200000000002</v>
      </c>
      <c r="I487" s="14">
        <f>81.5121 * CHOOSE(CONTROL!$C$9, $D$9, 100%, $F$9) + CHOOSE(CONTROL!$C$27, 0.0021, 0)</f>
        <v>81.514200000000002</v>
      </c>
      <c r="J487" s="14">
        <f>81.5121 * CHOOSE(CONTROL!$C$9, $D$9, 100%, $F$9) + CHOOSE(CONTROL!$C$27, 0.0021, 0)</f>
        <v>81.514200000000002</v>
      </c>
      <c r="K487" s="14">
        <f>81.5121 * CHOOSE(CONTROL!$C$9, $D$9, 100%, $F$9) + CHOOSE(CONTROL!$C$27, 0.0021, 0)</f>
        <v>81.514200000000002</v>
      </c>
      <c r="L487" s="14"/>
    </row>
    <row r="488" spans="1:12" ht="15.75" x14ac:dyDescent="0.25">
      <c r="A488" s="33">
        <v>55792</v>
      </c>
      <c r="B488" s="14">
        <f>83.5641 * CHOOSE(CONTROL!$C$9, $D$9, 100%, $F$9) + CHOOSE(CONTROL!$C$27, 0.0021, 0)</f>
        <v>83.566199999999995</v>
      </c>
      <c r="C488" s="14">
        <f>83.1318 * CHOOSE(CONTROL!$C$9, $D$9, 100%, $F$9) + CHOOSE(CONTROL!$C$27, 0.0021, 0)</f>
        <v>83.133899999999997</v>
      </c>
      <c r="D488" s="14">
        <f>83.1318 * CHOOSE(CONTROL!$C$9, $D$9, 100%, $F$9) + CHOOSE(CONTROL!$C$27, 0.0021, 0)</f>
        <v>83.133899999999997</v>
      </c>
      <c r="E488" s="14">
        <f>82.9951 * CHOOSE(CONTROL!$C$9, $D$9, 100%, $F$9) + CHOOSE(CONTROL!$C$27, 0.0021, 0)</f>
        <v>82.997199999999992</v>
      </c>
      <c r="F488" s="14">
        <f>82.9951 * CHOOSE(CONTROL!$C$9, $D$9, 100%, $F$9) + CHOOSE(CONTROL!$C$27, 0.0021, 0)</f>
        <v>82.997199999999992</v>
      </c>
      <c r="G488" s="14">
        <f>83.2665 * CHOOSE(CONTROL!$C$9, $D$9, 100%, $F$9) + CHOOSE(CONTROL!$C$27, 0.0021, 0)</f>
        <v>83.268599999999992</v>
      </c>
      <c r="H488" s="14">
        <f>83.1318 * CHOOSE(CONTROL!$C$9, $D$9, 100%, $F$9) + CHOOSE(CONTROL!$C$27, 0.0021, 0)</f>
        <v>83.133899999999997</v>
      </c>
      <c r="I488" s="14">
        <f>83.1318 * CHOOSE(CONTROL!$C$9, $D$9, 100%, $F$9) + CHOOSE(CONTROL!$C$27, 0.0021, 0)</f>
        <v>83.133899999999997</v>
      </c>
      <c r="J488" s="14">
        <f>83.1318 * CHOOSE(CONTROL!$C$9, $D$9, 100%, $F$9) + CHOOSE(CONTROL!$C$27, 0.0021, 0)</f>
        <v>83.133899999999997</v>
      </c>
      <c r="K488" s="14">
        <f>83.1318 * CHOOSE(CONTROL!$C$9, $D$9, 100%, $F$9) + CHOOSE(CONTROL!$C$27, 0.0021, 0)</f>
        <v>83.133899999999997</v>
      </c>
      <c r="L488" s="14"/>
    </row>
    <row r="489" spans="1:12" ht="15.75" x14ac:dyDescent="0.25">
      <c r="A489" s="33">
        <v>55823</v>
      </c>
      <c r="B489" s="14">
        <f>85.6143 * CHOOSE(CONTROL!$C$9, $D$9, 100%, $F$9) + CHOOSE(CONTROL!$C$27, 0.0021, 0)</f>
        <v>85.616399999999999</v>
      </c>
      <c r="C489" s="14">
        <f>85.1821 * CHOOSE(CONTROL!$C$9, $D$9, 100%, $F$9) + CHOOSE(CONTROL!$C$27, 0.0021, 0)</f>
        <v>85.184200000000004</v>
      </c>
      <c r="D489" s="14">
        <f>85.1821 * CHOOSE(CONTROL!$C$9, $D$9, 100%, $F$9) + CHOOSE(CONTROL!$C$27, 0.0021, 0)</f>
        <v>85.184200000000004</v>
      </c>
      <c r="E489" s="14">
        <f>85.0454 * CHOOSE(CONTROL!$C$9, $D$9, 100%, $F$9) + CHOOSE(CONTROL!$C$27, 0.0021, 0)</f>
        <v>85.047499999999999</v>
      </c>
      <c r="F489" s="14">
        <f>85.0454 * CHOOSE(CONTROL!$C$9, $D$9, 100%, $F$9) + CHOOSE(CONTROL!$C$27, 0.0021, 0)</f>
        <v>85.047499999999999</v>
      </c>
      <c r="G489" s="14">
        <f>85.3168 * CHOOSE(CONTROL!$C$9, $D$9, 100%, $F$9) + CHOOSE(CONTROL!$C$27, 0.0021, 0)</f>
        <v>85.318899999999999</v>
      </c>
      <c r="H489" s="14">
        <f>85.1821 * CHOOSE(CONTROL!$C$9, $D$9, 100%, $F$9) + CHOOSE(CONTROL!$C$27, 0.0021, 0)</f>
        <v>85.184200000000004</v>
      </c>
      <c r="I489" s="14">
        <f>85.1821 * CHOOSE(CONTROL!$C$9, $D$9, 100%, $F$9) + CHOOSE(CONTROL!$C$27, 0.0021, 0)</f>
        <v>85.184200000000004</v>
      </c>
      <c r="J489" s="14">
        <f>85.1821 * CHOOSE(CONTROL!$C$9, $D$9, 100%, $F$9) + CHOOSE(CONTROL!$C$27, 0.0021, 0)</f>
        <v>85.184200000000004</v>
      </c>
      <c r="K489" s="14">
        <f>85.1821 * CHOOSE(CONTROL!$C$9, $D$9, 100%, $F$9) + CHOOSE(CONTROL!$C$27, 0.0021, 0)</f>
        <v>85.184200000000004</v>
      </c>
      <c r="L489" s="14"/>
    </row>
    <row r="490" spans="1:12" ht="15.75" x14ac:dyDescent="0.25">
      <c r="A490" s="33">
        <v>55853</v>
      </c>
      <c r="B490" s="14">
        <f>85.8068 * CHOOSE(CONTROL!$C$9, $D$9, 100%, $F$9) + CHOOSE(CONTROL!$C$27, 0.0021, 0)</f>
        <v>85.808899999999994</v>
      </c>
      <c r="C490" s="14">
        <f>85.3746 * CHOOSE(CONTROL!$C$9, $D$9, 100%, $F$9) + CHOOSE(CONTROL!$C$27, 0.0021, 0)</f>
        <v>85.3767</v>
      </c>
      <c r="D490" s="14">
        <f>85.3746 * CHOOSE(CONTROL!$C$9, $D$9, 100%, $F$9) + CHOOSE(CONTROL!$C$27, 0.0021, 0)</f>
        <v>85.3767</v>
      </c>
      <c r="E490" s="14">
        <f>85.2379 * CHOOSE(CONTROL!$C$9, $D$9, 100%, $F$9) + CHOOSE(CONTROL!$C$27, 0.0021, 0)</f>
        <v>85.24</v>
      </c>
      <c r="F490" s="14">
        <f>85.2379 * CHOOSE(CONTROL!$C$9, $D$9, 100%, $F$9) + CHOOSE(CONTROL!$C$27, 0.0021, 0)</f>
        <v>85.24</v>
      </c>
      <c r="G490" s="14">
        <f>85.5093 * CHOOSE(CONTROL!$C$9, $D$9, 100%, $F$9) + CHOOSE(CONTROL!$C$27, 0.0021, 0)</f>
        <v>85.511399999999995</v>
      </c>
      <c r="H490" s="14">
        <f>85.3746 * CHOOSE(CONTROL!$C$9, $D$9, 100%, $F$9) + CHOOSE(CONTROL!$C$27, 0.0021, 0)</f>
        <v>85.3767</v>
      </c>
      <c r="I490" s="14">
        <f>85.3746 * CHOOSE(CONTROL!$C$9, $D$9, 100%, $F$9) + CHOOSE(CONTROL!$C$27, 0.0021, 0)</f>
        <v>85.3767</v>
      </c>
      <c r="J490" s="14">
        <f>85.3746 * CHOOSE(CONTROL!$C$9, $D$9, 100%, $F$9) + CHOOSE(CONTROL!$C$27, 0.0021, 0)</f>
        <v>85.3767</v>
      </c>
      <c r="K490" s="14">
        <f>85.3746 * CHOOSE(CONTROL!$C$9, $D$9, 100%, $F$9) + CHOOSE(CONTROL!$C$27, 0.0021, 0)</f>
        <v>85.3767</v>
      </c>
      <c r="L490" s="14"/>
    </row>
    <row r="491" spans="1:12" ht="15.75" x14ac:dyDescent="0.25">
      <c r="A491" s="33">
        <v>55884</v>
      </c>
      <c r="B491" s="14">
        <f>84.1693 * CHOOSE(CONTROL!$C$9, $D$9, 100%, $F$9) + CHOOSE(CONTROL!$C$27, 0.0021, 0)</f>
        <v>84.171400000000006</v>
      </c>
      <c r="C491" s="14">
        <f>83.737 * CHOOSE(CONTROL!$C$9, $D$9, 100%, $F$9) + CHOOSE(CONTROL!$C$27, 0.0021, 0)</f>
        <v>83.739099999999993</v>
      </c>
      <c r="D491" s="14">
        <f>83.737 * CHOOSE(CONTROL!$C$9, $D$9, 100%, $F$9) + CHOOSE(CONTROL!$C$27, 0.0021, 0)</f>
        <v>83.739099999999993</v>
      </c>
      <c r="E491" s="14">
        <f>83.6004 * CHOOSE(CONTROL!$C$9, $D$9, 100%, $F$9) + CHOOSE(CONTROL!$C$27, 0.0021, 0)</f>
        <v>83.602499999999992</v>
      </c>
      <c r="F491" s="14">
        <f>83.6004 * CHOOSE(CONTROL!$C$9, $D$9, 100%, $F$9) + CHOOSE(CONTROL!$C$27, 0.0021, 0)</f>
        <v>83.602499999999992</v>
      </c>
      <c r="G491" s="14">
        <f>83.8718 * CHOOSE(CONTROL!$C$9, $D$9, 100%, $F$9) + CHOOSE(CONTROL!$C$27, 0.0021, 0)</f>
        <v>83.873899999999992</v>
      </c>
      <c r="H491" s="14">
        <f>83.737 * CHOOSE(CONTROL!$C$9, $D$9, 100%, $F$9) + CHOOSE(CONTROL!$C$27, 0.0021, 0)</f>
        <v>83.739099999999993</v>
      </c>
      <c r="I491" s="14">
        <f>83.737 * CHOOSE(CONTROL!$C$9, $D$9, 100%, $F$9) + CHOOSE(CONTROL!$C$27, 0.0021, 0)</f>
        <v>83.739099999999993</v>
      </c>
      <c r="J491" s="14">
        <f>83.737 * CHOOSE(CONTROL!$C$9, $D$9, 100%, $F$9) + CHOOSE(CONTROL!$C$27, 0.0021, 0)</f>
        <v>83.739099999999993</v>
      </c>
      <c r="K491" s="14">
        <f>83.737 * CHOOSE(CONTROL!$C$9, $D$9, 100%, $F$9) + CHOOSE(CONTROL!$C$27, 0.0021, 0)</f>
        <v>83.739099999999993</v>
      </c>
      <c r="L491" s="14"/>
    </row>
    <row r="492" spans="1:12" ht="15.75" x14ac:dyDescent="0.25">
      <c r="A492" s="33">
        <v>55915</v>
      </c>
      <c r="B492" s="14">
        <f>83.1343 * CHOOSE(CONTROL!$C$9, $D$9, 100%, $F$9) + CHOOSE(CONTROL!$C$27, 0.0021, 0)</f>
        <v>83.136399999999995</v>
      </c>
      <c r="C492" s="14">
        <f>82.7021 * CHOOSE(CONTROL!$C$9, $D$9, 100%, $F$9) + CHOOSE(CONTROL!$C$27, 0.0021, 0)</f>
        <v>82.7042</v>
      </c>
      <c r="D492" s="14">
        <f>82.7021 * CHOOSE(CONTROL!$C$9, $D$9, 100%, $F$9) + CHOOSE(CONTROL!$C$27, 0.0021, 0)</f>
        <v>82.7042</v>
      </c>
      <c r="E492" s="14">
        <f>82.5654 * CHOOSE(CONTROL!$C$9, $D$9, 100%, $F$9) + CHOOSE(CONTROL!$C$27, 0.0021, 0)</f>
        <v>82.567499999999995</v>
      </c>
      <c r="F492" s="14">
        <f>82.5654 * CHOOSE(CONTROL!$C$9, $D$9, 100%, $F$9) + CHOOSE(CONTROL!$C$27, 0.0021, 0)</f>
        <v>82.567499999999995</v>
      </c>
      <c r="G492" s="14">
        <f>82.8368 * CHOOSE(CONTROL!$C$9, $D$9, 100%, $F$9) + CHOOSE(CONTROL!$C$27, 0.0021, 0)</f>
        <v>82.838899999999995</v>
      </c>
      <c r="H492" s="14">
        <f>82.7021 * CHOOSE(CONTROL!$C$9, $D$9, 100%, $F$9) + CHOOSE(CONTROL!$C$27, 0.0021, 0)</f>
        <v>82.7042</v>
      </c>
      <c r="I492" s="14">
        <f>82.7021 * CHOOSE(CONTROL!$C$9, $D$9, 100%, $F$9) + CHOOSE(CONTROL!$C$27, 0.0021, 0)</f>
        <v>82.7042</v>
      </c>
      <c r="J492" s="14">
        <f>82.7021 * CHOOSE(CONTROL!$C$9, $D$9, 100%, $F$9) + CHOOSE(CONTROL!$C$27, 0.0021, 0)</f>
        <v>82.7042</v>
      </c>
      <c r="K492" s="14">
        <f>82.7021 * CHOOSE(CONTROL!$C$9, $D$9, 100%, $F$9) + CHOOSE(CONTROL!$C$27, 0.0021, 0)</f>
        <v>82.7042</v>
      </c>
      <c r="L492" s="14"/>
    </row>
    <row r="493" spans="1:12" ht="15.75" x14ac:dyDescent="0.25">
      <c r="A493" s="33">
        <v>55943</v>
      </c>
      <c r="B493" s="14">
        <f>80.8476 * CHOOSE(CONTROL!$C$9, $D$9, 100%, $F$9) + CHOOSE(CONTROL!$C$27, 0.0021, 0)</f>
        <v>80.849699999999999</v>
      </c>
      <c r="C493" s="14">
        <f>80.4154 * CHOOSE(CONTROL!$C$9, $D$9, 100%, $F$9) + CHOOSE(CONTROL!$C$27, 0.0021, 0)</f>
        <v>80.417500000000004</v>
      </c>
      <c r="D493" s="14">
        <f>80.4154 * CHOOSE(CONTROL!$C$9, $D$9, 100%, $F$9) + CHOOSE(CONTROL!$C$27, 0.0021, 0)</f>
        <v>80.417500000000004</v>
      </c>
      <c r="E493" s="14">
        <f>80.2787 * CHOOSE(CONTROL!$C$9, $D$9, 100%, $F$9) + CHOOSE(CONTROL!$C$27, 0.0021, 0)</f>
        <v>80.280799999999999</v>
      </c>
      <c r="F493" s="14">
        <f>80.2787 * CHOOSE(CONTROL!$C$9, $D$9, 100%, $F$9) + CHOOSE(CONTROL!$C$27, 0.0021, 0)</f>
        <v>80.280799999999999</v>
      </c>
      <c r="G493" s="14">
        <f>80.5501 * CHOOSE(CONTROL!$C$9, $D$9, 100%, $F$9) + CHOOSE(CONTROL!$C$27, 0.0021, 0)</f>
        <v>80.552199999999999</v>
      </c>
      <c r="H493" s="14">
        <f>80.4154 * CHOOSE(CONTROL!$C$9, $D$9, 100%, $F$9) + CHOOSE(CONTROL!$C$27, 0.0021, 0)</f>
        <v>80.417500000000004</v>
      </c>
      <c r="I493" s="14">
        <f>80.4154 * CHOOSE(CONTROL!$C$9, $D$9, 100%, $F$9) + CHOOSE(CONTROL!$C$27, 0.0021, 0)</f>
        <v>80.417500000000004</v>
      </c>
      <c r="J493" s="14">
        <f>80.4154 * CHOOSE(CONTROL!$C$9, $D$9, 100%, $F$9) + CHOOSE(CONTROL!$C$27, 0.0021, 0)</f>
        <v>80.417500000000004</v>
      </c>
      <c r="K493" s="14">
        <f>80.4154 * CHOOSE(CONTROL!$C$9, $D$9, 100%, $F$9) + CHOOSE(CONTROL!$C$27, 0.0021, 0)</f>
        <v>80.417500000000004</v>
      </c>
      <c r="L493" s="14"/>
    </row>
    <row r="494" spans="1:12" ht="15.75" x14ac:dyDescent="0.25">
      <c r="A494" s="33">
        <v>55974</v>
      </c>
      <c r="B494" s="14">
        <f>79.9037 * CHOOSE(CONTROL!$C$9, $D$9, 100%, $F$9) + CHOOSE(CONTROL!$C$27, 0.0021, 0)</f>
        <v>79.905799999999999</v>
      </c>
      <c r="C494" s="14">
        <f>79.4715 * CHOOSE(CONTROL!$C$9, $D$9, 100%, $F$9) + CHOOSE(CONTROL!$C$27, 0.0021, 0)</f>
        <v>79.473600000000005</v>
      </c>
      <c r="D494" s="14">
        <f>79.4715 * CHOOSE(CONTROL!$C$9, $D$9, 100%, $F$9) + CHOOSE(CONTROL!$C$27, 0.0021, 0)</f>
        <v>79.473600000000005</v>
      </c>
      <c r="E494" s="14">
        <f>79.3348 * CHOOSE(CONTROL!$C$9, $D$9, 100%, $F$9) + CHOOSE(CONTROL!$C$27, 0.0021, 0)</f>
        <v>79.3369</v>
      </c>
      <c r="F494" s="14">
        <f>79.3348 * CHOOSE(CONTROL!$C$9, $D$9, 100%, $F$9) + CHOOSE(CONTROL!$C$27, 0.0021, 0)</f>
        <v>79.3369</v>
      </c>
      <c r="G494" s="14">
        <f>79.6062 * CHOOSE(CONTROL!$C$9, $D$9, 100%, $F$9) + CHOOSE(CONTROL!$C$27, 0.0021, 0)</f>
        <v>79.6083</v>
      </c>
      <c r="H494" s="14">
        <f>79.4715 * CHOOSE(CONTROL!$C$9, $D$9, 100%, $F$9) + CHOOSE(CONTROL!$C$27, 0.0021, 0)</f>
        <v>79.473600000000005</v>
      </c>
      <c r="I494" s="14">
        <f>79.4715 * CHOOSE(CONTROL!$C$9, $D$9, 100%, $F$9) + CHOOSE(CONTROL!$C$27, 0.0021, 0)</f>
        <v>79.473600000000005</v>
      </c>
      <c r="J494" s="14">
        <f>79.4715 * CHOOSE(CONTROL!$C$9, $D$9, 100%, $F$9) + CHOOSE(CONTROL!$C$27, 0.0021, 0)</f>
        <v>79.473600000000005</v>
      </c>
      <c r="K494" s="14">
        <f>79.4715 * CHOOSE(CONTROL!$C$9, $D$9, 100%, $F$9) + CHOOSE(CONTROL!$C$27, 0.0021, 0)</f>
        <v>79.473600000000005</v>
      </c>
      <c r="L494" s="14"/>
    </row>
    <row r="495" spans="1:12" ht="15.75" x14ac:dyDescent="0.25">
      <c r="A495" s="33">
        <v>56004</v>
      </c>
      <c r="B495" s="14">
        <f>78.7767 * CHOOSE(CONTROL!$C$9, $D$9, 100%, $F$9) + CHOOSE(CONTROL!$C$27, 0.0021, 0)</f>
        <v>78.778800000000004</v>
      </c>
      <c r="C495" s="14">
        <f>78.3444 * CHOOSE(CONTROL!$C$9, $D$9, 100%, $F$9) + CHOOSE(CONTROL!$C$27, 0.0021, 0)</f>
        <v>78.346499999999992</v>
      </c>
      <c r="D495" s="14">
        <f>78.3444 * CHOOSE(CONTROL!$C$9, $D$9, 100%, $F$9) + CHOOSE(CONTROL!$C$27, 0.0021, 0)</f>
        <v>78.346499999999992</v>
      </c>
      <c r="E495" s="14">
        <f>78.2078 * CHOOSE(CONTROL!$C$9, $D$9, 100%, $F$9) + CHOOSE(CONTROL!$C$27, 0.0021, 0)</f>
        <v>78.209900000000005</v>
      </c>
      <c r="F495" s="14">
        <f>78.2078 * CHOOSE(CONTROL!$C$9, $D$9, 100%, $F$9) + CHOOSE(CONTROL!$C$27, 0.0021, 0)</f>
        <v>78.209900000000005</v>
      </c>
      <c r="G495" s="14">
        <f>78.4791 * CHOOSE(CONTROL!$C$9, $D$9, 100%, $F$9) + CHOOSE(CONTROL!$C$27, 0.0021, 0)</f>
        <v>78.481200000000001</v>
      </c>
      <c r="H495" s="14">
        <f>78.3444 * CHOOSE(CONTROL!$C$9, $D$9, 100%, $F$9) + CHOOSE(CONTROL!$C$27, 0.0021, 0)</f>
        <v>78.346499999999992</v>
      </c>
      <c r="I495" s="14">
        <f>78.3444 * CHOOSE(CONTROL!$C$9, $D$9, 100%, $F$9) + CHOOSE(CONTROL!$C$27, 0.0021, 0)</f>
        <v>78.346499999999992</v>
      </c>
      <c r="J495" s="14">
        <f>78.3444 * CHOOSE(CONTROL!$C$9, $D$9, 100%, $F$9) + CHOOSE(CONTROL!$C$27, 0.0021, 0)</f>
        <v>78.346499999999992</v>
      </c>
      <c r="K495" s="14">
        <f>78.3444 * CHOOSE(CONTROL!$C$9, $D$9, 100%, $F$9) + CHOOSE(CONTROL!$C$27, 0.0021, 0)</f>
        <v>78.346499999999992</v>
      </c>
      <c r="L495" s="14"/>
    </row>
    <row r="496" spans="1:12" ht="15.75" x14ac:dyDescent="0.25">
      <c r="A496" s="33">
        <v>56035</v>
      </c>
      <c r="B496" s="14">
        <f>80.3829 * CHOOSE(CONTROL!$C$9, $D$9, 100%, $F$9) + CHOOSE(CONTROL!$C$27, 0.0021, 0)</f>
        <v>80.385000000000005</v>
      </c>
      <c r="C496" s="14">
        <f>79.9506 * CHOOSE(CONTROL!$C$9, $D$9, 100%, $F$9) + CHOOSE(CONTROL!$C$27, 0.0021, 0)</f>
        <v>79.952699999999993</v>
      </c>
      <c r="D496" s="14">
        <f>79.9506 * CHOOSE(CONTROL!$C$9, $D$9, 100%, $F$9) + CHOOSE(CONTROL!$C$27, 0.0021, 0)</f>
        <v>79.952699999999993</v>
      </c>
      <c r="E496" s="14">
        <f>79.814 * CHOOSE(CONTROL!$C$9, $D$9, 100%, $F$9) + CHOOSE(CONTROL!$C$27, 0.0021, 0)</f>
        <v>79.816099999999992</v>
      </c>
      <c r="F496" s="14">
        <f>79.814 * CHOOSE(CONTROL!$C$9, $D$9, 100%, $F$9) + CHOOSE(CONTROL!$C$27, 0.0021, 0)</f>
        <v>79.816099999999992</v>
      </c>
      <c r="G496" s="14">
        <f>80.0853 * CHOOSE(CONTROL!$C$9, $D$9, 100%, $F$9) + CHOOSE(CONTROL!$C$27, 0.0021, 0)</f>
        <v>80.087400000000002</v>
      </c>
      <c r="H496" s="14">
        <f>79.9506 * CHOOSE(CONTROL!$C$9, $D$9, 100%, $F$9) + CHOOSE(CONTROL!$C$27, 0.0021, 0)</f>
        <v>79.952699999999993</v>
      </c>
      <c r="I496" s="14">
        <f>79.9506 * CHOOSE(CONTROL!$C$9, $D$9, 100%, $F$9) + CHOOSE(CONTROL!$C$27, 0.0021, 0)</f>
        <v>79.952699999999993</v>
      </c>
      <c r="J496" s="14">
        <f>79.9506 * CHOOSE(CONTROL!$C$9, $D$9, 100%, $F$9) + CHOOSE(CONTROL!$C$27, 0.0021, 0)</f>
        <v>79.952699999999993</v>
      </c>
      <c r="K496" s="14">
        <f>79.9506 * CHOOSE(CONTROL!$C$9, $D$9, 100%, $F$9) + CHOOSE(CONTROL!$C$27, 0.0021, 0)</f>
        <v>79.952699999999993</v>
      </c>
      <c r="L496" s="14"/>
    </row>
    <row r="497" spans="1:12" ht="15.75" x14ac:dyDescent="0.25">
      <c r="A497" s="33">
        <v>56065</v>
      </c>
      <c r="B497" s="14">
        <f>81.3449 * CHOOSE(CONTROL!$C$9, $D$9, 100%, $F$9) + CHOOSE(CONTROL!$C$27, 0.0021, 0)</f>
        <v>81.346999999999994</v>
      </c>
      <c r="C497" s="14">
        <f>80.9127 * CHOOSE(CONTROL!$C$9, $D$9, 100%, $F$9) + CHOOSE(CONTROL!$C$27, 0.0021, 0)</f>
        <v>80.9148</v>
      </c>
      <c r="D497" s="14">
        <f>80.9127 * CHOOSE(CONTROL!$C$9, $D$9, 100%, $F$9) + CHOOSE(CONTROL!$C$27, 0.0021, 0)</f>
        <v>80.9148</v>
      </c>
      <c r="E497" s="14">
        <f>80.776 * CHOOSE(CONTROL!$C$9, $D$9, 100%, $F$9) + CHOOSE(CONTROL!$C$27, 0.0021, 0)</f>
        <v>80.778099999999995</v>
      </c>
      <c r="F497" s="14">
        <f>80.776 * CHOOSE(CONTROL!$C$9, $D$9, 100%, $F$9) + CHOOSE(CONTROL!$C$27, 0.0021, 0)</f>
        <v>80.778099999999995</v>
      </c>
      <c r="G497" s="14">
        <f>81.0474 * CHOOSE(CONTROL!$C$9, $D$9, 100%, $F$9) + CHOOSE(CONTROL!$C$27, 0.0021, 0)</f>
        <v>81.049499999999995</v>
      </c>
      <c r="H497" s="14">
        <f>80.9127 * CHOOSE(CONTROL!$C$9, $D$9, 100%, $F$9) + CHOOSE(CONTROL!$C$27, 0.0021, 0)</f>
        <v>80.9148</v>
      </c>
      <c r="I497" s="14">
        <f>80.9127 * CHOOSE(CONTROL!$C$9, $D$9, 100%, $F$9) + CHOOSE(CONTROL!$C$27, 0.0021, 0)</f>
        <v>80.9148</v>
      </c>
      <c r="J497" s="14">
        <f>80.9127 * CHOOSE(CONTROL!$C$9, $D$9, 100%, $F$9) + CHOOSE(CONTROL!$C$27, 0.0021, 0)</f>
        <v>80.9148</v>
      </c>
      <c r="K497" s="14">
        <f>80.9127 * CHOOSE(CONTROL!$C$9, $D$9, 100%, $F$9) + CHOOSE(CONTROL!$C$27, 0.0021, 0)</f>
        <v>80.9148</v>
      </c>
      <c r="L497" s="14"/>
    </row>
    <row r="498" spans="1:12" ht="15.75" x14ac:dyDescent="0.25">
      <c r="A498" s="33">
        <v>56096</v>
      </c>
      <c r="B498" s="14">
        <f>82.9319 * CHOOSE(CONTROL!$C$9, $D$9, 100%, $F$9) + CHOOSE(CONTROL!$C$27, 0.0021, 0)</f>
        <v>82.933999999999997</v>
      </c>
      <c r="C498" s="14">
        <f>82.4997 * CHOOSE(CONTROL!$C$9, $D$9, 100%, $F$9) + CHOOSE(CONTROL!$C$27, 0.0021, 0)</f>
        <v>82.501800000000003</v>
      </c>
      <c r="D498" s="14">
        <f>82.4997 * CHOOSE(CONTROL!$C$9, $D$9, 100%, $F$9) + CHOOSE(CONTROL!$C$27, 0.0021, 0)</f>
        <v>82.501800000000003</v>
      </c>
      <c r="E498" s="14">
        <f>82.363 * CHOOSE(CONTROL!$C$9, $D$9, 100%, $F$9) + CHOOSE(CONTROL!$C$27, 0.0021, 0)</f>
        <v>82.365099999999998</v>
      </c>
      <c r="F498" s="14">
        <f>82.363 * CHOOSE(CONTROL!$C$9, $D$9, 100%, $F$9) + CHOOSE(CONTROL!$C$27, 0.0021, 0)</f>
        <v>82.365099999999998</v>
      </c>
      <c r="G498" s="14">
        <f>82.6344 * CHOOSE(CONTROL!$C$9, $D$9, 100%, $F$9) + CHOOSE(CONTROL!$C$27, 0.0021, 0)</f>
        <v>82.636499999999998</v>
      </c>
      <c r="H498" s="14">
        <f>82.4997 * CHOOSE(CONTROL!$C$9, $D$9, 100%, $F$9) + CHOOSE(CONTROL!$C$27, 0.0021, 0)</f>
        <v>82.501800000000003</v>
      </c>
      <c r="I498" s="14">
        <f>82.4997 * CHOOSE(CONTROL!$C$9, $D$9, 100%, $F$9) + CHOOSE(CONTROL!$C$27, 0.0021, 0)</f>
        <v>82.501800000000003</v>
      </c>
      <c r="J498" s="14">
        <f>82.4997 * CHOOSE(CONTROL!$C$9, $D$9, 100%, $F$9) + CHOOSE(CONTROL!$C$27, 0.0021, 0)</f>
        <v>82.501800000000003</v>
      </c>
      <c r="K498" s="14">
        <f>82.4997 * CHOOSE(CONTROL!$C$9, $D$9, 100%, $F$9) + CHOOSE(CONTROL!$C$27, 0.0021, 0)</f>
        <v>82.501800000000003</v>
      </c>
      <c r="L498" s="14"/>
    </row>
    <row r="499" spans="1:12" ht="15.75" x14ac:dyDescent="0.25">
      <c r="A499" s="33">
        <v>56127</v>
      </c>
      <c r="B499" s="14">
        <f>83.4164 * CHOOSE(CONTROL!$C$9, $D$9, 100%, $F$9) + CHOOSE(CONTROL!$C$27, 0.0021, 0)</f>
        <v>83.418499999999995</v>
      </c>
      <c r="C499" s="14">
        <f>82.9841 * CHOOSE(CONTROL!$C$9, $D$9, 100%, $F$9) + CHOOSE(CONTROL!$C$27, 0.0021, 0)</f>
        <v>82.986199999999997</v>
      </c>
      <c r="D499" s="14">
        <f>82.9841 * CHOOSE(CONTROL!$C$9, $D$9, 100%, $F$9) + CHOOSE(CONTROL!$C$27, 0.0021, 0)</f>
        <v>82.986199999999997</v>
      </c>
      <c r="E499" s="14">
        <f>82.8475 * CHOOSE(CONTROL!$C$9, $D$9, 100%, $F$9) + CHOOSE(CONTROL!$C$27, 0.0021, 0)</f>
        <v>82.849599999999995</v>
      </c>
      <c r="F499" s="14">
        <f>82.8475 * CHOOSE(CONTROL!$C$9, $D$9, 100%, $F$9) + CHOOSE(CONTROL!$C$27, 0.0021, 0)</f>
        <v>82.849599999999995</v>
      </c>
      <c r="G499" s="14">
        <f>83.1188 * CHOOSE(CONTROL!$C$9, $D$9, 100%, $F$9) + CHOOSE(CONTROL!$C$27, 0.0021, 0)</f>
        <v>83.120899999999992</v>
      </c>
      <c r="H499" s="14">
        <f>82.9841 * CHOOSE(CONTROL!$C$9, $D$9, 100%, $F$9) + CHOOSE(CONTROL!$C$27, 0.0021, 0)</f>
        <v>82.986199999999997</v>
      </c>
      <c r="I499" s="14">
        <f>82.9841 * CHOOSE(CONTROL!$C$9, $D$9, 100%, $F$9) + CHOOSE(CONTROL!$C$27, 0.0021, 0)</f>
        <v>82.986199999999997</v>
      </c>
      <c r="J499" s="14">
        <f>82.9841 * CHOOSE(CONTROL!$C$9, $D$9, 100%, $F$9) + CHOOSE(CONTROL!$C$27, 0.0021, 0)</f>
        <v>82.986199999999997</v>
      </c>
      <c r="K499" s="14">
        <f>82.9841 * CHOOSE(CONTROL!$C$9, $D$9, 100%, $F$9) + CHOOSE(CONTROL!$C$27, 0.0021, 0)</f>
        <v>82.986199999999997</v>
      </c>
      <c r="L499" s="14"/>
    </row>
    <row r="500" spans="1:12" ht="15.75" x14ac:dyDescent="0.25">
      <c r="A500" s="33">
        <v>56157</v>
      </c>
      <c r="B500" s="14">
        <f>85.066 * CHOOSE(CONTROL!$C$9, $D$9, 100%, $F$9) + CHOOSE(CONTROL!$C$27, 0.0021, 0)</f>
        <v>85.068100000000001</v>
      </c>
      <c r="C500" s="14">
        <f>84.6338 * CHOOSE(CONTROL!$C$9, $D$9, 100%, $F$9) + CHOOSE(CONTROL!$C$27, 0.0021, 0)</f>
        <v>84.635899999999992</v>
      </c>
      <c r="D500" s="14">
        <f>84.6338 * CHOOSE(CONTROL!$C$9, $D$9, 100%, $F$9) + CHOOSE(CONTROL!$C$27, 0.0021, 0)</f>
        <v>84.635899999999992</v>
      </c>
      <c r="E500" s="14">
        <f>84.4971 * CHOOSE(CONTROL!$C$9, $D$9, 100%, $F$9) + CHOOSE(CONTROL!$C$27, 0.0021, 0)</f>
        <v>84.499200000000002</v>
      </c>
      <c r="F500" s="14">
        <f>84.4971 * CHOOSE(CONTROL!$C$9, $D$9, 100%, $F$9) + CHOOSE(CONTROL!$C$27, 0.0021, 0)</f>
        <v>84.499200000000002</v>
      </c>
      <c r="G500" s="14">
        <f>84.7685 * CHOOSE(CONTROL!$C$9, $D$9, 100%, $F$9) + CHOOSE(CONTROL!$C$27, 0.0021, 0)</f>
        <v>84.770600000000002</v>
      </c>
      <c r="H500" s="14">
        <f>84.6338 * CHOOSE(CONTROL!$C$9, $D$9, 100%, $F$9) + CHOOSE(CONTROL!$C$27, 0.0021, 0)</f>
        <v>84.635899999999992</v>
      </c>
      <c r="I500" s="14">
        <f>84.6338 * CHOOSE(CONTROL!$C$9, $D$9, 100%, $F$9) + CHOOSE(CONTROL!$C$27, 0.0021, 0)</f>
        <v>84.635899999999992</v>
      </c>
      <c r="J500" s="14">
        <f>84.6338 * CHOOSE(CONTROL!$C$9, $D$9, 100%, $F$9) + CHOOSE(CONTROL!$C$27, 0.0021, 0)</f>
        <v>84.635899999999992</v>
      </c>
      <c r="K500" s="14">
        <f>84.6338 * CHOOSE(CONTROL!$C$9, $D$9, 100%, $F$9) + CHOOSE(CONTROL!$C$27, 0.0021, 0)</f>
        <v>84.635899999999992</v>
      </c>
      <c r="L500" s="14"/>
    </row>
    <row r="501" spans="1:12" ht="15.75" x14ac:dyDescent="0.25">
      <c r="A501" s="33">
        <v>56188</v>
      </c>
      <c r="B501" s="14">
        <f>87.1542 * CHOOSE(CONTROL!$C$9, $D$9, 100%, $F$9) + CHOOSE(CONTROL!$C$27, 0.0021, 0)</f>
        <v>87.156300000000002</v>
      </c>
      <c r="C501" s="14">
        <f>86.7219 * CHOOSE(CONTROL!$C$9, $D$9, 100%, $F$9) + CHOOSE(CONTROL!$C$27, 0.0021, 0)</f>
        <v>86.724000000000004</v>
      </c>
      <c r="D501" s="14">
        <f>86.7219 * CHOOSE(CONTROL!$C$9, $D$9, 100%, $F$9) + CHOOSE(CONTROL!$C$27, 0.0021, 0)</f>
        <v>86.724000000000004</v>
      </c>
      <c r="E501" s="14">
        <f>86.5853 * CHOOSE(CONTROL!$C$9, $D$9, 100%, $F$9) + CHOOSE(CONTROL!$C$27, 0.0021, 0)</f>
        <v>86.587400000000002</v>
      </c>
      <c r="F501" s="14">
        <f>86.5853 * CHOOSE(CONTROL!$C$9, $D$9, 100%, $F$9) + CHOOSE(CONTROL!$C$27, 0.0021, 0)</f>
        <v>86.587400000000002</v>
      </c>
      <c r="G501" s="14">
        <f>86.8567 * CHOOSE(CONTROL!$C$9, $D$9, 100%, $F$9) + CHOOSE(CONTROL!$C$27, 0.0021, 0)</f>
        <v>86.858800000000002</v>
      </c>
      <c r="H501" s="14">
        <f>86.7219 * CHOOSE(CONTROL!$C$9, $D$9, 100%, $F$9) + CHOOSE(CONTROL!$C$27, 0.0021, 0)</f>
        <v>86.724000000000004</v>
      </c>
      <c r="I501" s="14">
        <f>86.7219 * CHOOSE(CONTROL!$C$9, $D$9, 100%, $F$9) + CHOOSE(CONTROL!$C$27, 0.0021, 0)</f>
        <v>86.724000000000004</v>
      </c>
      <c r="J501" s="14">
        <f>86.7219 * CHOOSE(CONTROL!$C$9, $D$9, 100%, $F$9) + CHOOSE(CONTROL!$C$27, 0.0021, 0)</f>
        <v>86.724000000000004</v>
      </c>
      <c r="K501" s="14">
        <f>86.7219 * CHOOSE(CONTROL!$C$9, $D$9, 100%, $F$9) + CHOOSE(CONTROL!$C$27, 0.0021, 0)</f>
        <v>86.724000000000004</v>
      </c>
      <c r="L501" s="14"/>
    </row>
    <row r="502" spans="1:12" ht="15.75" x14ac:dyDescent="0.25">
      <c r="A502" s="33">
        <v>56218</v>
      </c>
      <c r="B502" s="14">
        <f>87.3502 * CHOOSE(CONTROL!$C$9, $D$9, 100%, $F$9) + CHOOSE(CONTROL!$C$27, 0.0021, 0)</f>
        <v>87.3523</v>
      </c>
      <c r="C502" s="14">
        <f>86.918 * CHOOSE(CONTROL!$C$9, $D$9, 100%, $F$9) + CHOOSE(CONTROL!$C$27, 0.0021, 0)</f>
        <v>86.920100000000005</v>
      </c>
      <c r="D502" s="14">
        <f>86.918 * CHOOSE(CONTROL!$C$9, $D$9, 100%, $F$9) + CHOOSE(CONTROL!$C$27, 0.0021, 0)</f>
        <v>86.920100000000005</v>
      </c>
      <c r="E502" s="14">
        <f>86.7813 * CHOOSE(CONTROL!$C$9, $D$9, 100%, $F$9) + CHOOSE(CONTROL!$C$27, 0.0021, 0)</f>
        <v>86.7834</v>
      </c>
      <c r="F502" s="14">
        <f>86.7813 * CHOOSE(CONTROL!$C$9, $D$9, 100%, $F$9) + CHOOSE(CONTROL!$C$27, 0.0021, 0)</f>
        <v>86.7834</v>
      </c>
      <c r="G502" s="14">
        <f>87.0527 * CHOOSE(CONTROL!$C$9, $D$9, 100%, $F$9) + CHOOSE(CONTROL!$C$27, 0.0021, 0)</f>
        <v>87.0548</v>
      </c>
      <c r="H502" s="14">
        <f>86.918 * CHOOSE(CONTROL!$C$9, $D$9, 100%, $F$9) + CHOOSE(CONTROL!$C$27, 0.0021, 0)</f>
        <v>86.920100000000005</v>
      </c>
      <c r="I502" s="14">
        <f>86.918 * CHOOSE(CONTROL!$C$9, $D$9, 100%, $F$9) + CHOOSE(CONTROL!$C$27, 0.0021, 0)</f>
        <v>86.920100000000005</v>
      </c>
      <c r="J502" s="14">
        <f>86.918 * CHOOSE(CONTROL!$C$9, $D$9, 100%, $F$9) + CHOOSE(CONTROL!$C$27, 0.0021, 0)</f>
        <v>86.920100000000005</v>
      </c>
      <c r="K502" s="14">
        <f>86.918 * CHOOSE(CONTROL!$C$9, $D$9, 100%, $F$9) + CHOOSE(CONTROL!$C$27, 0.0021, 0)</f>
        <v>86.920100000000005</v>
      </c>
      <c r="L502" s="14"/>
    </row>
    <row r="503" spans="1:12" ht="15.75" x14ac:dyDescent="0.25">
      <c r="A503" s="33">
        <v>56249</v>
      </c>
      <c r="B503" s="14">
        <f>85.6824 * CHOOSE(CONTROL!$C$9, $D$9, 100%, $F$9) + CHOOSE(CONTROL!$C$27, 0.0021, 0)</f>
        <v>85.6845</v>
      </c>
      <c r="C503" s="14">
        <f>85.2502 * CHOOSE(CONTROL!$C$9, $D$9, 100%, $F$9) + CHOOSE(CONTROL!$C$27, 0.0021, 0)</f>
        <v>85.252300000000005</v>
      </c>
      <c r="D503" s="14">
        <f>85.2502 * CHOOSE(CONTROL!$C$9, $D$9, 100%, $F$9) + CHOOSE(CONTROL!$C$27, 0.0021, 0)</f>
        <v>85.252300000000005</v>
      </c>
      <c r="E503" s="14">
        <f>85.1135 * CHOOSE(CONTROL!$C$9, $D$9, 100%, $F$9) + CHOOSE(CONTROL!$C$27, 0.0021, 0)</f>
        <v>85.115600000000001</v>
      </c>
      <c r="F503" s="14">
        <f>85.1135 * CHOOSE(CONTROL!$C$9, $D$9, 100%, $F$9) + CHOOSE(CONTROL!$C$27, 0.0021, 0)</f>
        <v>85.115600000000001</v>
      </c>
      <c r="G503" s="14">
        <f>85.3849 * CHOOSE(CONTROL!$C$9, $D$9, 100%, $F$9) + CHOOSE(CONTROL!$C$27, 0.0021, 0)</f>
        <v>85.387</v>
      </c>
      <c r="H503" s="14">
        <f>85.2502 * CHOOSE(CONTROL!$C$9, $D$9, 100%, $F$9) + CHOOSE(CONTROL!$C$27, 0.0021, 0)</f>
        <v>85.252300000000005</v>
      </c>
      <c r="I503" s="14">
        <f>85.2502 * CHOOSE(CONTROL!$C$9, $D$9, 100%, $F$9) + CHOOSE(CONTROL!$C$27, 0.0021, 0)</f>
        <v>85.252300000000005</v>
      </c>
      <c r="J503" s="14">
        <f>85.2502 * CHOOSE(CONTROL!$C$9, $D$9, 100%, $F$9) + CHOOSE(CONTROL!$C$27, 0.0021, 0)</f>
        <v>85.252300000000005</v>
      </c>
      <c r="K503" s="14">
        <f>85.2502 * CHOOSE(CONTROL!$C$9, $D$9, 100%, $F$9) + CHOOSE(CONTROL!$C$27, 0.0021, 0)</f>
        <v>85.252300000000005</v>
      </c>
      <c r="L503" s="14"/>
    </row>
    <row r="504" spans="1:12" ht="15.75" x14ac:dyDescent="0.25">
      <c r="A504" s="33">
        <v>56280</v>
      </c>
      <c r="B504" s="14">
        <f>84.6283 * CHOOSE(CONTROL!$C$9, $D$9, 100%, $F$9) + CHOOSE(CONTROL!$C$27, 0.0021, 0)</f>
        <v>84.630399999999995</v>
      </c>
      <c r="C504" s="14">
        <f>84.1961 * CHOOSE(CONTROL!$C$9, $D$9, 100%, $F$9) + CHOOSE(CONTROL!$C$27, 0.0021, 0)</f>
        <v>84.1982</v>
      </c>
      <c r="D504" s="14">
        <f>84.1961 * CHOOSE(CONTROL!$C$9, $D$9, 100%, $F$9) + CHOOSE(CONTROL!$C$27, 0.0021, 0)</f>
        <v>84.1982</v>
      </c>
      <c r="E504" s="14">
        <f>84.0594 * CHOOSE(CONTROL!$C$9, $D$9, 100%, $F$9) + CHOOSE(CONTROL!$C$27, 0.0021, 0)</f>
        <v>84.061499999999995</v>
      </c>
      <c r="F504" s="14">
        <f>84.0594 * CHOOSE(CONTROL!$C$9, $D$9, 100%, $F$9) + CHOOSE(CONTROL!$C$27, 0.0021, 0)</f>
        <v>84.061499999999995</v>
      </c>
      <c r="G504" s="14">
        <f>84.3308 * CHOOSE(CONTROL!$C$9, $D$9, 100%, $F$9) + CHOOSE(CONTROL!$C$27, 0.0021, 0)</f>
        <v>84.332899999999995</v>
      </c>
      <c r="H504" s="14">
        <f>84.1961 * CHOOSE(CONTROL!$C$9, $D$9, 100%, $F$9) + CHOOSE(CONTROL!$C$27, 0.0021, 0)</f>
        <v>84.1982</v>
      </c>
      <c r="I504" s="14">
        <f>84.1961 * CHOOSE(CONTROL!$C$9, $D$9, 100%, $F$9) + CHOOSE(CONTROL!$C$27, 0.0021, 0)</f>
        <v>84.1982</v>
      </c>
      <c r="J504" s="14">
        <f>84.1961 * CHOOSE(CONTROL!$C$9, $D$9, 100%, $F$9) + CHOOSE(CONTROL!$C$27, 0.0021, 0)</f>
        <v>84.1982</v>
      </c>
      <c r="K504" s="14">
        <f>84.1961 * CHOOSE(CONTROL!$C$9, $D$9, 100%, $F$9) + CHOOSE(CONTROL!$C$27, 0.0021, 0)</f>
        <v>84.1982</v>
      </c>
      <c r="L504" s="14"/>
    </row>
    <row r="505" spans="1:12" ht="15.75" x14ac:dyDescent="0.25">
      <c r="A505" s="33">
        <v>56308</v>
      </c>
      <c r="B505" s="14">
        <f>82.2994 * CHOOSE(CONTROL!$C$9, $D$9, 100%, $F$9) + CHOOSE(CONTROL!$C$27, 0.0021, 0)</f>
        <v>82.301500000000004</v>
      </c>
      <c r="C505" s="14">
        <f>81.8672 * CHOOSE(CONTROL!$C$9, $D$9, 100%, $F$9) + CHOOSE(CONTROL!$C$27, 0.0021, 0)</f>
        <v>81.869299999999996</v>
      </c>
      <c r="D505" s="14">
        <f>81.8672 * CHOOSE(CONTROL!$C$9, $D$9, 100%, $F$9) + CHOOSE(CONTROL!$C$27, 0.0021, 0)</f>
        <v>81.869299999999996</v>
      </c>
      <c r="E505" s="14">
        <f>81.7305 * CHOOSE(CONTROL!$C$9, $D$9, 100%, $F$9) + CHOOSE(CONTROL!$C$27, 0.0021, 0)</f>
        <v>81.732600000000005</v>
      </c>
      <c r="F505" s="14">
        <f>81.7305 * CHOOSE(CONTROL!$C$9, $D$9, 100%, $F$9) + CHOOSE(CONTROL!$C$27, 0.0021, 0)</f>
        <v>81.732600000000005</v>
      </c>
      <c r="G505" s="14">
        <f>82.0019 * CHOOSE(CONTROL!$C$9, $D$9, 100%, $F$9) + CHOOSE(CONTROL!$C$27, 0.0021, 0)</f>
        <v>82.004000000000005</v>
      </c>
      <c r="H505" s="14">
        <f>81.8672 * CHOOSE(CONTROL!$C$9, $D$9, 100%, $F$9) + CHOOSE(CONTROL!$C$27, 0.0021, 0)</f>
        <v>81.869299999999996</v>
      </c>
      <c r="I505" s="14">
        <f>81.8672 * CHOOSE(CONTROL!$C$9, $D$9, 100%, $F$9) + CHOOSE(CONTROL!$C$27, 0.0021, 0)</f>
        <v>81.869299999999996</v>
      </c>
      <c r="J505" s="14">
        <f>81.8672 * CHOOSE(CONTROL!$C$9, $D$9, 100%, $F$9) + CHOOSE(CONTROL!$C$27, 0.0021, 0)</f>
        <v>81.869299999999996</v>
      </c>
      <c r="K505" s="14">
        <f>81.8672 * CHOOSE(CONTROL!$C$9, $D$9, 100%, $F$9) + CHOOSE(CONTROL!$C$27, 0.0021, 0)</f>
        <v>81.869299999999996</v>
      </c>
      <c r="L505" s="14"/>
    </row>
    <row r="506" spans="1:12" ht="15.75" x14ac:dyDescent="0.25">
      <c r="A506" s="33">
        <v>56339</v>
      </c>
      <c r="B506" s="14">
        <f>81.338 * CHOOSE(CONTROL!$C$9, $D$9, 100%, $F$9) + CHOOSE(CONTROL!$C$27, 0.0021, 0)</f>
        <v>81.340099999999993</v>
      </c>
      <c r="C506" s="14">
        <f>80.9058 * CHOOSE(CONTROL!$C$9, $D$9, 100%, $F$9) + CHOOSE(CONTROL!$C$27, 0.0021, 0)</f>
        <v>80.907899999999998</v>
      </c>
      <c r="D506" s="14">
        <f>80.9058 * CHOOSE(CONTROL!$C$9, $D$9, 100%, $F$9) + CHOOSE(CONTROL!$C$27, 0.0021, 0)</f>
        <v>80.907899999999998</v>
      </c>
      <c r="E506" s="14">
        <f>80.7691 * CHOOSE(CONTROL!$C$9, $D$9, 100%, $F$9) + CHOOSE(CONTROL!$C$27, 0.0021, 0)</f>
        <v>80.771199999999993</v>
      </c>
      <c r="F506" s="14">
        <f>80.7691 * CHOOSE(CONTROL!$C$9, $D$9, 100%, $F$9) + CHOOSE(CONTROL!$C$27, 0.0021, 0)</f>
        <v>80.771199999999993</v>
      </c>
      <c r="G506" s="14">
        <f>81.0405 * CHOOSE(CONTROL!$C$9, $D$9, 100%, $F$9) + CHOOSE(CONTROL!$C$27, 0.0021, 0)</f>
        <v>81.042599999999993</v>
      </c>
      <c r="H506" s="14">
        <f>80.9058 * CHOOSE(CONTROL!$C$9, $D$9, 100%, $F$9) + CHOOSE(CONTROL!$C$27, 0.0021, 0)</f>
        <v>80.907899999999998</v>
      </c>
      <c r="I506" s="14">
        <f>80.9058 * CHOOSE(CONTROL!$C$9, $D$9, 100%, $F$9) + CHOOSE(CONTROL!$C$27, 0.0021, 0)</f>
        <v>80.907899999999998</v>
      </c>
      <c r="J506" s="14">
        <f>80.9058 * CHOOSE(CONTROL!$C$9, $D$9, 100%, $F$9) + CHOOSE(CONTROL!$C$27, 0.0021, 0)</f>
        <v>80.907899999999998</v>
      </c>
      <c r="K506" s="14">
        <f>80.9058 * CHOOSE(CONTROL!$C$9, $D$9, 100%, $F$9) + CHOOSE(CONTROL!$C$27, 0.0021, 0)</f>
        <v>80.907899999999998</v>
      </c>
      <c r="L506" s="14"/>
    </row>
    <row r="507" spans="1:12" ht="15.75" x14ac:dyDescent="0.25">
      <c r="A507" s="33">
        <v>56369</v>
      </c>
      <c r="B507" s="14">
        <f>80.1901 * CHOOSE(CONTROL!$C$9, $D$9, 100%, $F$9) + CHOOSE(CONTROL!$C$27, 0.0021, 0)</f>
        <v>80.1922</v>
      </c>
      <c r="C507" s="14">
        <f>79.7579 * CHOOSE(CONTROL!$C$9, $D$9, 100%, $F$9) + CHOOSE(CONTROL!$C$27, 0.0021, 0)</f>
        <v>79.760000000000005</v>
      </c>
      <c r="D507" s="14">
        <f>79.7579 * CHOOSE(CONTROL!$C$9, $D$9, 100%, $F$9) + CHOOSE(CONTROL!$C$27, 0.0021, 0)</f>
        <v>79.760000000000005</v>
      </c>
      <c r="E507" s="14">
        <f>79.6212 * CHOOSE(CONTROL!$C$9, $D$9, 100%, $F$9) + CHOOSE(CONTROL!$C$27, 0.0021, 0)</f>
        <v>79.6233</v>
      </c>
      <c r="F507" s="14">
        <f>79.6212 * CHOOSE(CONTROL!$C$9, $D$9, 100%, $F$9) + CHOOSE(CONTROL!$C$27, 0.0021, 0)</f>
        <v>79.6233</v>
      </c>
      <c r="G507" s="14">
        <f>79.8926 * CHOOSE(CONTROL!$C$9, $D$9, 100%, $F$9) + CHOOSE(CONTROL!$C$27, 0.0021, 0)</f>
        <v>79.8947</v>
      </c>
      <c r="H507" s="14">
        <f>79.7579 * CHOOSE(CONTROL!$C$9, $D$9, 100%, $F$9) + CHOOSE(CONTROL!$C$27, 0.0021, 0)</f>
        <v>79.760000000000005</v>
      </c>
      <c r="I507" s="14">
        <f>79.7579 * CHOOSE(CONTROL!$C$9, $D$9, 100%, $F$9) + CHOOSE(CONTROL!$C$27, 0.0021, 0)</f>
        <v>79.760000000000005</v>
      </c>
      <c r="J507" s="14">
        <f>79.7579 * CHOOSE(CONTROL!$C$9, $D$9, 100%, $F$9) + CHOOSE(CONTROL!$C$27, 0.0021, 0)</f>
        <v>79.760000000000005</v>
      </c>
      <c r="K507" s="14">
        <f>79.7579 * CHOOSE(CONTROL!$C$9, $D$9, 100%, $F$9) + CHOOSE(CONTROL!$C$27, 0.0021, 0)</f>
        <v>79.760000000000005</v>
      </c>
      <c r="L507" s="14"/>
    </row>
    <row r="508" spans="1:12" ht="15.75" x14ac:dyDescent="0.25">
      <c r="A508" s="33">
        <v>56400</v>
      </c>
      <c r="B508" s="14">
        <f>81.826 * CHOOSE(CONTROL!$C$9, $D$9, 100%, $F$9) + CHOOSE(CONTROL!$C$27, 0.0021, 0)</f>
        <v>81.828099999999992</v>
      </c>
      <c r="C508" s="14">
        <f>81.3938 * CHOOSE(CONTROL!$C$9, $D$9, 100%, $F$9) + CHOOSE(CONTROL!$C$27, 0.0021, 0)</f>
        <v>81.395899999999997</v>
      </c>
      <c r="D508" s="14">
        <f>81.3938 * CHOOSE(CONTROL!$C$9, $D$9, 100%, $F$9) + CHOOSE(CONTROL!$C$27, 0.0021, 0)</f>
        <v>81.395899999999997</v>
      </c>
      <c r="E508" s="14">
        <f>81.2571 * CHOOSE(CONTROL!$C$9, $D$9, 100%, $F$9) + CHOOSE(CONTROL!$C$27, 0.0021, 0)</f>
        <v>81.259199999999993</v>
      </c>
      <c r="F508" s="14">
        <f>81.2571 * CHOOSE(CONTROL!$C$9, $D$9, 100%, $F$9) + CHOOSE(CONTROL!$C$27, 0.0021, 0)</f>
        <v>81.259199999999993</v>
      </c>
      <c r="G508" s="14">
        <f>81.5285 * CHOOSE(CONTROL!$C$9, $D$9, 100%, $F$9) + CHOOSE(CONTROL!$C$27, 0.0021, 0)</f>
        <v>81.530599999999993</v>
      </c>
      <c r="H508" s="14">
        <f>81.3938 * CHOOSE(CONTROL!$C$9, $D$9, 100%, $F$9) + CHOOSE(CONTROL!$C$27, 0.0021, 0)</f>
        <v>81.395899999999997</v>
      </c>
      <c r="I508" s="14">
        <f>81.3938 * CHOOSE(CONTROL!$C$9, $D$9, 100%, $F$9) + CHOOSE(CONTROL!$C$27, 0.0021, 0)</f>
        <v>81.395899999999997</v>
      </c>
      <c r="J508" s="14">
        <f>81.3938 * CHOOSE(CONTROL!$C$9, $D$9, 100%, $F$9) + CHOOSE(CONTROL!$C$27, 0.0021, 0)</f>
        <v>81.395899999999997</v>
      </c>
      <c r="K508" s="14">
        <f>81.3938 * CHOOSE(CONTROL!$C$9, $D$9, 100%, $F$9) + CHOOSE(CONTROL!$C$27, 0.0021, 0)</f>
        <v>81.395899999999997</v>
      </c>
      <c r="L508" s="14"/>
    </row>
    <row r="509" spans="1:12" ht="15.75" x14ac:dyDescent="0.25">
      <c r="A509" s="33">
        <v>56430</v>
      </c>
      <c r="B509" s="14">
        <f>82.8059 * CHOOSE(CONTROL!$C$9, $D$9, 100%, $F$9) + CHOOSE(CONTROL!$C$27, 0.0021, 0)</f>
        <v>82.807999999999993</v>
      </c>
      <c r="C509" s="14">
        <f>82.3736 * CHOOSE(CONTROL!$C$9, $D$9, 100%, $F$9) + CHOOSE(CONTROL!$C$27, 0.0021, 0)</f>
        <v>82.375699999999995</v>
      </c>
      <c r="D509" s="14">
        <f>82.3736 * CHOOSE(CONTROL!$C$9, $D$9, 100%, $F$9) + CHOOSE(CONTROL!$C$27, 0.0021, 0)</f>
        <v>82.375699999999995</v>
      </c>
      <c r="E509" s="14">
        <f>82.237 * CHOOSE(CONTROL!$C$9, $D$9, 100%, $F$9) + CHOOSE(CONTROL!$C$27, 0.0021, 0)</f>
        <v>82.239099999999993</v>
      </c>
      <c r="F509" s="14">
        <f>82.237 * CHOOSE(CONTROL!$C$9, $D$9, 100%, $F$9) + CHOOSE(CONTROL!$C$27, 0.0021, 0)</f>
        <v>82.239099999999993</v>
      </c>
      <c r="G509" s="14">
        <f>82.5083 * CHOOSE(CONTROL!$C$9, $D$9, 100%, $F$9) + CHOOSE(CONTROL!$C$27, 0.0021, 0)</f>
        <v>82.510400000000004</v>
      </c>
      <c r="H509" s="14">
        <f>82.3736 * CHOOSE(CONTROL!$C$9, $D$9, 100%, $F$9) + CHOOSE(CONTROL!$C$27, 0.0021, 0)</f>
        <v>82.375699999999995</v>
      </c>
      <c r="I509" s="14">
        <f>82.3736 * CHOOSE(CONTROL!$C$9, $D$9, 100%, $F$9) + CHOOSE(CONTROL!$C$27, 0.0021, 0)</f>
        <v>82.375699999999995</v>
      </c>
      <c r="J509" s="14">
        <f>82.3736 * CHOOSE(CONTROL!$C$9, $D$9, 100%, $F$9) + CHOOSE(CONTROL!$C$27, 0.0021, 0)</f>
        <v>82.375699999999995</v>
      </c>
      <c r="K509" s="14">
        <f>82.3736 * CHOOSE(CONTROL!$C$9, $D$9, 100%, $F$9) + CHOOSE(CONTROL!$C$27, 0.0021, 0)</f>
        <v>82.375699999999995</v>
      </c>
      <c r="L509" s="14"/>
    </row>
    <row r="510" spans="1:12" ht="15.75" x14ac:dyDescent="0.25">
      <c r="A510" s="33">
        <v>56461</v>
      </c>
      <c r="B510" s="14">
        <f>84.4222 * CHOOSE(CONTROL!$C$9, $D$9, 100%, $F$9) + CHOOSE(CONTROL!$C$27, 0.0021, 0)</f>
        <v>84.424300000000002</v>
      </c>
      <c r="C510" s="14">
        <f>83.99 * CHOOSE(CONTROL!$C$9, $D$9, 100%, $F$9) + CHOOSE(CONTROL!$C$27, 0.0021, 0)</f>
        <v>83.992099999999994</v>
      </c>
      <c r="D510" s="14">
        <f>83.99 * CHOOSE(CONTROL!$C$9, $D$9, 100%, $F$9) + CHOOSE(CONTROL!$C$27, 0.0021, 0)</f>
        <v>83.992099999999994</v>
      </c>
      <c r="E510" s="14">
        <f>83.8533 * CHOOSE(CONTROL!$C$9, $D$9, 100%, $F$9) + CHOOSE(CONTROL!$C$27, 0.0021, 0)</f>
        <v>83.855400000000003</v>
      </c>
      <c r="F510" s="14">
        <f>83.8533 * CHOOSE(CONTROL!$C$9, $D$9, 100%, $F$9) + CHOOSE(CONTROL!$C$27, 0.0021, 0)</f>
        <v>83.855400000000003</v>
      </c>
      <c r="G510" s="14">
        <f>84.1247 * CHOOSE(CONTROL!$C$9, $D$9, 100%, $F$9) + CHOOSE(CONTROL!$C$27, 0.0021, 0)</f>
        <v>84.126800000000003</v>
      </c>
      <c r="H510" s="14">
        <f>83.99 * CHOOSE(CONTROL!$C$9, $D$9, 100%, $F$9) + CHOOSE(CONTROL!$C$27, 0.0021, 0)</f>
        <v>83.992099999999994</v>
      </c>
      <c r="I510" s="14">
        <f>83.99 * CHOOSE(CONTROL!$C$9, $D$9, 100%, $F$9) + CHOOSE(CONTROL!$C$27, 0.0021, 0)</f>
        <v>83.992099999999994</v>
      </c>
      <c r="J510" s="14">
        <f>83.99 * CHOOSE(CONTROL!$C$9, $D$9, 100%, $F$9) + CHOOSE(CONTROL!$C$27, 0.0021, 0)</f>
        <v>83.992099999999994</v>
      </c>
      <c r="K510" s="14">
        <f>83.99 * CHOOSE(CONTROL!$C$9, $D$9, 100%, $F$9) + CHOOSE(CONTROL!$C$27, 0.0021, 0)</f>
        <v>83.992099999999994</v>
      </c>
      <c r="L510" s="14"/>
    </row>
    <row r="511" spans="1:12" ht="15.75" x14ac:dyDescent="0.25">
      <c r="A511" s="33">
        <v>56492</v>
      </c>
      <c r="B511" s="14">
        <f>84.9156 * CHOOSE(CONTROL!$C$9, $D$9, 100%, $F$9) + CHOOSE(CONTROL!$C$27, 0.0021, 0)</f>
        <v>84.917699999999996</v>
      </c>
      <c r="C511" s="14">
        <f>84.4833 * CHOOSE(CONTROL!$C$9, $D$9, 100%, $F$9) + CHOOSE(CONTROL!$C$27, 0.0021, 0)</f>
        <v>84.485399999999998</v>
      </c>
      <c r="D511" s="14">
        <f>84.4833 * CHOOSE(CONTROL!$C$9, $D$9, 100%, $F$9) + CHOOSE(CONTROL!$C$27, 0.0021, 0)</f>
        <v>84.485399999999998</v>
      </c>
      <c r="E511" s="14">
        <f>84.3467 * CHOOSE(CONTROL!$C$9, $D$9, 100%, $F$9) + CHOOSE(CONTROL!$C$27, 0.0021, 0)</f>
        <v>84.348799999999997</v>
      </c>
      <c r="F511" s="14">
        <f>84.3467 * CHOOSE(CONTROL!$C$9, $D$9, 100%, $F$9) + CHOOSE(CONTROL!$C$27, 0.0021, 0)</f>
        <v>84.348799999999997</v>
      </c>
      <c r="G511" s="14">
        <f>84.6181 * CHOOSE(CONTROL!$C$9, $D$9, 100%, $F$9) + CHOOSE(CONTROL!$C$27, 0.0021, 0)</f>
        <v>84.620199999999997</v>
      </c>
      <c r="H511" s="14">
        <f>84.4833 * CHOOSE(CONTROL!$C$9, $D$9, 100%, $F$9) + CHOOSE(CONTROL!$C$27, 0.0021, 0)</f>
        <v>84.485399999999998</v>
      </c>
      <c r="I511" s="14">
        <f>84.4833 * CHOOSE(CONTROL!$C$9, $D$9, 100%, $F$9) + CHOOSE(CONTROL!$C$27, 0.0021, 0)</f>
        <v>84.485399999999998</v>
      </c>
      <c r="J511" s="14">
        <f>84.4833 * CHOOSE(CONTROL!$C$9, $D$9, 100%, $F$9) + CHOOSE(CONTROL!$C$27, 0.0021, 0)</f>
        <v>84.485399999999998</v>
      </c>
      <c r="K511" s="14">
        <f>84.4833 * CHOOSE(CONTROL!$C$9, $D$9, 100%, $F$9) + CHOOSE(CONTROL!$C$27, 0.0021, 0)</f>
        <v>84.485399999999998</v>
      </c>
      <c r="L511" s="14"/>
    </row>
    <row r="512" spans="1:12" ht="15.75" x14ac:dyDescent="0.25">
      <c r="A512" s="33">
        <v>56522</v>
      </c>
      <c r="B512" s="14">
        <f>86.5957 * CHOOSE(CONTROL!$C$9, $D$9, 100%, $F$9) + CHOOSE(CONTROL!$C$27, 0.0021, 0)</f>
        <v>86.597799999999992</v>
      </c>
      <c r="C512" s="14">
        <f>86.1635 * CHOOSE(CONTROL!$C$9, $D$9, 100%, $F$9) + CHOOSE(CONTROL!$C$27, 0.0021, 0)</f>
        <v>86.165599999999998</v>
      </c>
      <c r="D512" s="14">
        <f>86.1635 * CHOOSE(CONTROL!$C$9, $D$9, 100%, $F$9) + CHOOSE(CONTROL!$C$27, 0.0021, 0)</f>
        <v>86.165599999999998</v>
      </c>
      <c r="E512" s="14">
        <f>86.0268 * CHOOSE(CONTROL!$C$9, $D$9, 100%, $F$9) + CHOOSE(CONTROL!$C$27, 0.0021, 0)</f>
        <v>86.028899999999993</v>
      </c>
      <c r="F512" s="14">
        <f>86.0268 * CHOOSE(CONTROL!$C$9, $D$9, 100%, $F$9) + CHOOSE(CONTROL!$C$27, 0.0021, 0)</f>
        <v>86.028899999999993</v>
      </c>
      <c r="G512" s="14">
        <f>86.2982 * CHOOSE(CONTROL!$C$9, $D$9, 100%, $F$9) + CHOOSE(CONTROL!$C$27, 0.0021, 0)</f>
        <v>86.300299999999993</v>
      </c>
      <c r="H512" s="14">
        <f>86.1635 * CHOOSE(CONTROL!$C$9, $D$9, 100%, $F$9) + CHOOSE(CONTROL!$C$27, 0.0021, 0)</f>
        <v>86.165599999999998</v>
      </c>
      <c r="I512" s="14">
        <f>86.1635 * CHOOSE(CONTROL!$C$9, $D$9, 100%, $F$9) + CHOOSE(CONTROL!$C$27, 0.0021, 0)</f>
        <v>86.165599999999998</v>
      </c>
      <c r="J512" s="14">
        <f>86.1635 * CHOOSE(CONTROL!$C$9, $D$9, 100%, $F$9) + CHOOSE(CONTROL!$C$27, 0.0021, 0)</f>
        <v>86.165599999999998</v>
      </c>
      <c r="K512" s="14">
        <f>86.1635 * CHOOSE(CONTROL!$C$9, $D$9, 100%, $F$9) + CHOOSE(CONTROL!$C$27, 0.0021, 0)</f>
        <v>86.165599999999998</v>
      </c>
      <c r="L512" s="14"/>
    </row>
    <row r="513" spans="1:12" ht="15.75" x14ac:dyDescent="0.25">
      <c r="A513" s="33">
        <v>56553</v>
      </c>
      <c r="B513" s="14">
        <f>88.7225 * CHOOSE(CONTROL!$C$9, $D$9, 100%, $F$9) + CHOOSE(CONTROL!$C$27, 0.0021, 0)</f>
        <v>88.724599999999995</v>
      </c>
      <c r="C513" s="14">
        <f>88.2903 * CHOOSE(CONTROL!$C$9, $D$9, 100%, $F$9) + CHOOSE(CONTROL!$C$27, 0.0021, 0)</f>
        <v>88.292400000000001</v>
      </c>
      <c r="D513" s="14">
        <f>88.2903 * CHOOSE(CONTROL!$C$9, $D$9, 100%, $F$9) + CHOOSE(CONTROL!$C$27, 0.0021, 0)</f>
        <v>88.292400000000001</v>
      </c>
      <c r="E513" s="14">
        <f>88.1536 * CHOOSE(CONTROL!$C$9, $D$9, 100%, $F$9) + CHOOSE(CONTROL!$C$27, 0.0021, 0)</f>
        <v>88.155699999999996</v>
      </c>
      <c r="F513" s="14">
        <f>88.1536 * CHOOSE(CONTROL!$C$9, $D$9, 100%, $F$9) + CHOOSE(CONTROL!$C$27, 0.0021, 0)</f>
        <v>88.155699999999996</v>
      </c>
      <c r="G513" s="14">
        <f>88.425 * CHOOSE(CONTROL!$C$9, $D$9, 100%, $F$9) + CHOOSE(CONTROL!$C$27, 0.0021, 0)</f>
        <v>88.427099999999996</v>
      </c>
      <c r="H513" s="14">
        <f>88.2903 * CHOOSE(CONTROL!$C$9, $D$9, 100%, $F$9) + CHOOSE(CONTROL!$C$27, 0.0021, 0)</f>
        <v>88.292400000000001</v>
      </c>
      <c r="I513" s="14">
        <f>88.2903 * CHOOSE(CONTROL!$C$9, $D$9, 100%, $F$9) + CHOOSE(CONTROL!$C$27, 0.0021, 0)</f>
        <v>88.292400000000001</v>
      </c>
      <c r="J513" s="14">
        <f>88.2903 * CHOOSE(CONTROL!$C$9, $D$9, 100%, $F$9) + CHOOSE(CONTROL!$C$27, 0.0021, 0)</f>
        <v>88.292400000000001</v>
      </c>
      <c r="K513" s="14">
        <f>88.2903 * CHOOSE(CONTROL!$C$9, $D$9, 100%, $F$9) + CHOOSE(CONTROL!$C$27, 0.0021, 0)</f>
        <v>88.292400000000001</v>
      </c>
      <c r="L513" s="14"/>
    </row>
    <row r="514" spans="1:12" ht="15.75" x14ac:dyDescent="0.25">
      <c r="A514" s="33">
        <v>56583</v>
      </c>
      <c r="B514" s="14">
        <f>88.9222 * CHOOSE(CONTROL!$C$9, $D$9, 100%, $F$9) + CHOOSE(CONTROL!$C$27, 0.0021, 0)</f>
        <v>88.924300000000002</v>
      </c>
      <c r="C514" s="14">
        <f>88.4899 * CHOOSE(CONTROL!$C$9, $D$9, 100%, $F$9) + CHOOSE(CONTROL!$C$27, 0.0021, 0)</f>
        <v>88.492000000000004</v>
      </c>
      <c r="D514" s="14">
        <f>88.4899 * CHOOSE(CONTROL!$C$9, $D$9, 100%, $F$9) + CHOOSE(CONTROL!$C$27, 0.0021, 0)</f>
        <v>88.492000000000004</v>
      </c>
      <c r="E514" s="14">
        <f>88.3533 * CHOOSE(CONTROL!$C$9, $D$9, 100%, $F$9) + CHOOSE(CONTROL!$C$27, 0.0021, 0)</f>
        <v>88.355400000000003</v>
      </c>
      <c r="F514" s="14">
        <f>88.3533 * CHOOSE(CONTROL!$C$9, $D$9, 100%, $F$9) + CHOOSE(CONTROL!$C$27, 0.0021, 0)</f>
        <v>88.355400000000003</v>
      </c>
      <c r="G514" s="14">
        <f>88.6246 * CHOOSE(CONTROL!$C$9, $D$9, 100%, $F$9) + CHOOSE(CONTROL!$C$27, 0.0021, 0)</f>
        <v>88.6267</v>
      </c>
      <c r="H514" s="14">
        <f>88.4899 * CHOOSE(CONTROL!$C$9, $D$9, 100%, $F$9) + CHOOSE(CONTROL!$C$27, 0.0021, 0)</f>
        <v>88.492000000000004</v>
      </c>
      <c r="I514" s="14">
        <f>88.4899 * CHOOSE(CONTROL!$C$9, $D$9, 100%, $F$9) + CHOOSE(CONTROL!$C$27, 0.0021, 0)</f>
        <v>88.492000000000004</v>
      </c>
      <c r="J514" s="14">
        <f>88.4899 * CHOOSE(CONTROL!$C$9, $D$9, 100%, $F$9) + CHOOSE(CONTROL!$C$27, 0.0021, 0)</f>
        <v>88.492000000000004</v>
      </c>
      <c r="K514" s="14">
        <f>88.4899 * CHOOSE(CONTROL!$C$9, $D$9, 100%, $F$9) + CHOOSE(CONTROL!$C$27, 0.0021, 0)</f>
        <v>88.492000000000004</v>
      </c>
      <c r="L514" s="14"/>
    </row>
    <row r="515" spans="1:12" ht="15.75" x14ac:dyDescent="0.25">
      <c r="A515" s="33">
        <v>56614</v>
      </c>
      <c r="B515" s="14">
        <f>87.2236 * CHOOSE(CONTROL!$C$9, $D$9, 100%, $F$9) + CHOOSE(CONTROL!$C$27, 0.0021, 0)</f>
        <v>87.225700000000003</v>
      </c>
      <c r="C515" s="14">
        <f>86.7913 * CHOOSE(CONTROL!$C$9, $D$9, 100%, $F$9) + CHOOSE(CONTROL!$C$27, 0.0021, 0)</f>
        <v>86.793400000000005</v>
      </c>
      <c r="D515" s="14">
        <f>86.7913 * CHOOSE(CONTROL!$C$9, $D$9, 100%, $F$9) + CHOOSE(CONTROL!$C$27, 0.0021, 0)</f>
        <v>86.793400000000005</v>
      </c>
      <c r="E515" s="14">
        <f>86.6546 * CHOOSE(CONTROL!$C$9, $D$9, 100%, $F$9) + CHOOSE(CONTROL!$C$27, 0.0021, 0)</f>
        <v>86.656700000000001</v>
      </c>
      <c r="F515" s="14">
        <f>86.6546 * CHOOSE(CONTROL!$C$9, $D$9, 100%, $F$9) + CHOOSE(CONTROL!$C$27, 0.0021, 0)</f>
        <v>86.656700000000001</v>
      </c>
      <c r="G515" s="14">
        <f>86.926 * CHOOSE(CONTROL!$C$9, $D$9, 100%, $F$9) + CHOOSE(CONTROL!$C$27, 0.0021, 0)</f>
        <v>86.928100000000001</v>
      </c>
      <c r="H515" s="14">
        <f>86.7913 * CHOOSE(CONTROL!$C$9, $D$9, 100%, $F$9) + CHOOSE(CONTROL!$C$27, 0.0021, 0)</f>
        <v>86.793400000000005</v>
      </c>
      <c r="I515" s="14">
        <f>86.7913 * CHOOSE(CONTROL!$C$9, $D$9, 100%, $F$9) + CHOOSE(CONTROL!$C$27, 0.0021, 0)</f>
        <v>86.793400000000005</v>
      </c>
      <c r="J515" s="14">
        <f>86.7913 * CHOOSE(CONTROL!$C$9, $D$9, 100%, $F$9) + CHOOSE(CONTROL!$C$27, 0.0021, 0)</f>
        <v>86.793400000000005</v>
      </c>
      <c r="K515" s="14">
        <f>86.7913 * CHOOSE(CONTROL!$C$9, $D$9, 100%, $F$9) + CHOOSE(CONTROL!$C$27, 0.0021, 0)</f>
        <v>86.793400000000005</v>
      </c>
      <c r="L515" s="14"/>
    </row>
    <row r="516" spans="1:12" ht="15.75" x14ac:dyDescent="0.25">
      <c r="A516" s="32">
        <v>56645</v>
      </c>
      <c r="B516" s="14">
        <f>86.1499 * CHOOSE(CONTROL!$C$9, $D$9, 100%, $F$9) + CHOOSE(CONTROL!$C$27, 0.0021, 0)</f>
        <v>86.152000000000001</v>
      </c>
      <c r="C516" s="14">
        <f>85.7177 * CHOOSE(CONTROL!$C$9, $D$9, 100%, $F$9) + CHOOSE(CONTROL!$C$27, 0.0021, 0)</f>
        <v>85.719799999999992</v>
      </c>
      <c r="D516" s="14">
        <f>85.7177 * CHOOSE(CONTROL!$C$9, $D$9, 100%, $F$9) + CHOOSE(CONTROL!$C$27, 0.0021, 0)</f>
        <v>85.719799999999992</v>
      </c>
      <c r="E516" s="14">
        <f>85.581 * CHOOSE(CONTROL!$C$9, $D$9, 100%, $F$9) + CHOOSE(CONTROL!$C$27, 0.0021, 0)</f>
        <v>85.583100000000002</v>
      </c>
      <c r="F516" s="14">
        <f>85.581 * CHOOSE(CONTROL!$C$9, $D$9, 100%, $F$9) + CHOOSE(CONTROL!$C$27, 0.0021, 0)</f>
        <v>85.583100000000002</v>
      </c>
      <c r="G516" s="14">
        <f>85.8524 * CHOOSE(CONTROL!$C$9, $D$9, 100%, $F$9) + CHOOSE(CONTROL!$C$27, 0.0021, 0)</f>
        <v>85.854500000000002</v>
      </c>
      <c r="H516" s="14">
        <f>85.7177 * CHOOSE(CONTROL!$C$9, $D$9, 100%, $F$9) + CHOOSE(CONTROL!$C$27, 0.0021, 0)</f>
        <v>85.719799999999992</v>
      </c>
      <c r="I516" s="14">
        <f>85.7177 * CHOOSE(CONTROL!$C$9, $D$9, 100%, $F$9) + CHOOSE(CONTROL!$C$27, 0.0021, 0)</f>
        <v>85.719799999999992</v>
      </c>
      <c r="J516" s="14">
        <f>85.7177 * CHOOSE(CONTROL!$C$9, $D$9, 100%, $F$9) + CHOOSE(CONTROL!$C$27, 0.0021, 0)</f>
        <v>85.719799999999992</v>
      </c>
      <c r="K516" s="14">
        <f>85.7177 * CHOOSE(CONTROL!$C$9, $D$9, 100%, $F$9) + CHOOSE(CONTROL!$C$27, 0.0021, 0)</f>
        <v>85.719799999999992</v>
      </c>
      <c r="L516" s="14"/>
    </row>
    <row r="517" spans="1:12" ht="15.75" x14ac:dyDescent="0.25">
      <c r="A517" s="32">
        <v>56673</v>
      </c>
      <c r="B517" s="14">
        <f>83.778 * CHOOSE(CONTROL!$C$9, $D$9, 100%, $F$9) + CHOOSE(CONTROL!$C$27, 0.0021, 0)</f>
        <v>83.780100000000004</v>
      </c>
      <c r="C517" s="14">
        <f>83.3458 * CHOOSE(CONTROL!$C$9, $D$9, 100%, $F$9) + CHOOSE(CONTROL!$C$27, 0.0021, 0)</f>
        <v>83.347899999999996</v>
      </c>
      <c r="D517" s="14">
        <f>83.3458 * CHOOSE(CONTROL!$C$9, $D$9, 100%, $F$9) + CHOOSE(CONTROL!$C$27, 0.0021, 0)</f>
        <v>83.347899999999996</v>
      </c>
      <c r="E517" s="14">
        <f>83.2091 * CHOOSE(CONTROL!$C$9, $D$9, 100%, $F$9) + CHOOSE(CONTROL!$C$27, 0.0021, 0)</f>
        <v>83.211200000000005</v>
      </c>
      <c r="F517" s="14">
        <f>83.2091 * CHOOSE(CONTROL!$C$9, $D$9, 100%, $F$9) + CHOOSE(CONTROL!$C$27, 0.0021, 0)</f>
        <v>83.211200000000005</v>
      </c>
      <c r="G517" s="14">
        <f>83.4805 * CHOOSE(CONTROL!$C$9, $D$9, 100%, $F$9) + CHOOSE(CONTROL!$C$27, 0.0021, 0)</f>
        <v>83.482600000000005</v>
      </c>
      <c r="H517" s="14">
        <f>83.3458 * CHOOSE(CONTROL!$C$9, $D$9, 100%, $F$9) + CHOOSE(CONTROL!$C$27, 0.0021, 0)</f>
        <v>83.347899999999996</v>
      </c>
      <c r="I517" s="14">
        <f>83.3458 * CHOOSE(CONTROL!$C$9, $D$9, 100%, $F$9) + CHOOSE(CONTROL!$C$27, 0.0021, 0)</f>
        <v>83.347899999999996</v>
      </c>
      <c r="J517" s="14">
        <f>83.3458 * CHOOSE(CONTROL!$C$9, $D$9, 100%, $F$9) + CHOOSE(CONTROL!$C$27, 0.0021, 0)</f>
        <v>83.347899999999996</v>
      </c>
      <c r="K517" s="14">
        <f>83.3458 * CHOOSE(CONTROL!$C$9, $D$9, 100%, $F$9) + CHOOSE(CONTROL!$C$27, 0.0021, 0)</f>
        <v>83.347899999999996</v>
      </c>
      <c r="L517" s="14"/>
    </row>
    <row r="518" spans="1:12" ht="15.75" x14ac:dyDescent="0.25">
      <c r="A518" s="32">
        <v>56704</v>
      </c>
      <c r="B518" s="14">
        <f>82.7989 * CHOOSE(CONTROL!$C$9, $D$9, 100%, $F$9) + CHOOSE(CONTROL!$C$27, 0.0021, 0)</f>
        <v>82.801000000000002</v>
      </c>
      <c r="C518" s="14">
        <f>82.3666 * CHOOSE(CONTROL!$C$9, $D$9, 100%, $F$9) + CHOOSE(CONTROL!$C$27, 0.0021, 0)</f>
        <v>82.368700000000004</v>
      </c>
      <c r="D518" s="14">
        <f>82.3666 * CHOOSE(CONTROL!$C$9, $D$9, 100%, $F$9) + CHOOSE(CONTROL!$C$27, 0.0021, 0)</f>
        <v>82.368700000000004</v>
      </c>
      <c r="E518" s="14">
        <f>82.23 * CHOOSE(CONTROL!$C$9, $D$9, 100%, $F$9) + CHOOSE(CONTROL!$C$27, 0.0021, 0)</f>
        <v>82.232100000000003</v>
      </c>
      <c r="F518" s="14">
        <f>82.23 * CHOOSE(CONTROL!$C$9, $D$9, 100%, $F$9) + CHOOSE(CONTROL!$C$27, 0.0021, 0)</f>
        <v>82.232100000000003</v>
      </c>
      <c r="G518" s="14">
        <f>82.5013 * CHOOSE(CONTROL!$C$9, $D$9, 100%, $F$9) + CHOOSE(CONTROL!$C$27, 0.0021, 0)</f>
        <v>82.503399999999999</v>
      </c>
      <c r="H518" s="14">
        <f>82.3666 * CHOOSE(CONTROL!$C$9, $D$9, 100%, $F$9) + CHOOSE(CONTROL!$C$27, 0.0021, 0)</f>
        <v>82.368700000000004</v>
      </c>
      <c r="I518" s="14">
        <f>82.3666 * CHOOSE(CONTROL!$C$9, $D$9, 100%, $F$9) + CHOOSE(CONTROL!$C$27, 0.0021, 0)</f>
        <v>82.368700000000004</v>
      </c>
      <c r="J518" s="14">
        <f>82.3666 * CHOOSE(CONTROL!$C$9, $D$9, 100%, $F$9) + CHOOSE(CONTROL!$C$27, 0.0021, 0)</f>
        <v>82.368700000000004</v>
      </c>
      <c r="K518" s="14">
        <f>82.3666 * CHOOSE(CONTROL!$C$9, $D$9, 100%, $F$9) + CHOOSE(CONTROL!$C$27, 0.0021, 0)</f>
        <v>82.368700000000004</v>
      </c>
      <c r="L518" s="14"/>
    </row>
    <row r="519" spans="1:12" ht="15.75" x14ac:dyDescent="0.25">
      <c r="A519" s="32">
        <v>56734</v>
      </c>
      <c r="B519" s="14">
        <f>81.6298 * CHOOSE(CONTROL!$C$9, $D$9, 100%, $F$9) + CHOOSE(CONTROL!$C$27, 0.0021, 0)</f>
        <v>81.631900000000002</v>
      </c>
      <c r="C519" s="14">
        <f>81.1975 * CHOOSE(CONTROL!$C$9, $D$9, 100%, $F$9) + CHOOSE(CONTROL!$C$27, 0.0021, 0)</f>
        <v>81.199600000000004</v>
      </c>
      <c r="D519" s="14">
        <f>81.1975 * CHOOSE(CONTROL!$C$9, $D$9, 100%, $F$9) + CHOOSE(CONTROL!$C$27, 0.0021, 0)</f>
        <v>81.199600000000004</v>
      </c>
      <c r="E519" s="14">
        <f>81.0609 * CHOOSE(CONTROL!$C$9, $D$9, 100%, $F$9) + CHOOSE(CONTROL!$C$27, 0.0021, 0)</f>
        <v>81.063000000000002</v>
      </c>
      <c r="F519" s="14">
        <f>81.0609 * CHOOSE(CONTROL!$C$9, $D$9, 100%, $F$9) + CHOOSE(CONTROL!$C$27, 0.0021, 0)</f>
        <v>81.063000000000002</v>
      </c>
      <c r="G519" s="14">
        <f>81.3322 * CHOOSE(CONTROL!$C$9, $D$9, 100%, $F$9) + CHOOSE(CONTROL!$C$27, 0.0021, 0)</f>
        <v>81.334299999999999</v>
      </c>
      <c r="H519" s="14">
        <f>81.1975 * CHOOSE(CONTROL!$C$9, $D$9, 100%, $F$9) + CHOOSE(CONTROL!$C$27, 0.0021, 0)</f>
        <v>81.199600000000004</v>
      </c>
      <c r="I519" s="14">
        <f>81.1975 * CHOOSE(CONTROL!$C$9, $D$9, 100%, $F$9) + CHOOSE(CONTROL!$C$27, 0.0021, 0)</f>
        <v>81.199600000000004</v>
      </c>
      <c r="J519" s="14">
        <f>81.1975 * CHOOSE(CONTROL!$C$9, $D$9, 100%, $F$9) + CHOOSE(CONTROL!$C$27, 0.0021, 0)</f>
        <v>81.199600000000004</v>
      </c>
      <c r="K519" s="14">
        <f>81.1975 * CHOOSE(CONTROL!$C$9, $D$9, 100%, $F$9) + CHOOSE(CONTROL!$C$27, 0.0021, 0)</f>
        <v>81.199600000000004</v>
      </c>
      <c r="L519" s="14"/>
    </row>
    <row r="520" spans="1:12" ht="15.75" x14ac:dyDescent="0.25">
      <c r="A520" s="32">
        <v>56765</v>
      </c>
      <c r="B520" s="14">
        <f>83.2959 * CHOOSE(CONTROL!$C$9, $D$9, 100%, $F$9) + CHOOSE(CONTROL!$C$27, 0.0021, 0)</f>
        <v>83.298000000000002</v>
      </c>
      <c r="C520" s="14">
        <f>82.8636 * CHOOSE(CONTROL!$C$9, $D$9, 100%, $F$9) + CHOOSE(CONTROL!$C$27, 0.0021, 0)</f>
        <v>82.865700000000004</v>
      </c>
      <c r="D520" s="14">
        <f>82.8636 * CHOOSE(CONTROL!$C$9, $D$9, 100%, $F$9) + CHOOSE(CONTROL!$C$27, 0.0021, 0)</f>
        <v>82.865700000000004</v>
      </c>
      <c r="E520" s="14">
        <f>82.727 * CHOOSE(CONTROL!$C$9, $D$9, 100%, $F$9) + CHOOSE(CONTROL!$C$27, 0.0021, 0)</f>
        <v>82.729100000000003</v>
      </c>
      <c r="F520" s="14">
        <f>82.727 * CHOOSE(CONTROL!$C$9, $D$9, 100%, $F$9) + CHOOSE(CONTROL!$C$27, 0.0021, 0)</f>
        <v>82.729100000000003</v>
      </c>
      <c r="G520" s="14">
        <f>82.9983 * CHOOSE(CONTROL!$C$9, $D$9, 100%, $F$9) + CHOOSE(CONTROL!$C$27, 0.0021, 0)</f>
        <v>83.000399999999999</v>
      </c>
      <c r="H520" s="14">
        <f>82.8636 * CHOOSE(CONTROL!$C$9, $D$9, 100%, $F$9) + CHOOSE(CONTROL!$C$27, 0.0021, 0)</f>
        <v>82.865700000000004</v>
      </c>
      <c r="I520" s="14">
        <f>82.8636 * CHOOSE(CONTROL!$C$9, $D$9, 100%, $F$9) + CHOOSE(CONTROL!$C$27, 0.0021, 0)</f>
        <v>82.865700000000004</v>
      </c>
      <c r="J520" s="14">
        <f>82.8636 * CHOOSE(CONTROL!$C$9, $D$9, 100%, $F$9) + CHOOSE(CONTROL!$C$27, 0.0021, 0)</f>
        <v>82.865700000000004</v>
      </c>
      <c r="K520" s="14">
        <f>82.8636 * CHOOSE(CONTROL!$C$9, $D$9, 100%, $F$9) + CHOOSE(CONTROL!$C$27, 0.0021, 0)</f>
        <v>82.865700000000004</v>
      </c>
      <c r="L520" s="14"/>
    </row>
    <row r="521" spans="1:12" ht="15.75" x14ac:dyDescent="0.25">
      <c r="A521" s="32">
        <v>56795</v>
      </c>
      <c r="B521" s="14">
        <f>84.2938 * CHOOSE(CONTROL!$C$9, $D$9, 100%, $F$9) + CHOOSE(CONTROL!$C$27, 0.0021, 0)</f>
        <v>84.295900000000003</v>
      </c>
      <c r="C521" s="14">
        <f>83.8616 * CHOOSE(CONTROL!$C$9, $D$9, 100%, $F$9) + CHOOSE(CONTROL!$C$27, 0.0021, 0)</f>
        <v>83.863699999999994</v>
      </c>
      <c r="D521" s="14">
        <f>83.8616 * CHOOSE(CONTROL!$C$9, $D$9, 100%, $F$9) + CHOOSE(CONTROL!$C$27, 0.0021, 0)</f>
        <v>83.863699999999994</v>
      </c>
      <c r="E521" s="14">
        <f>83.7249 * CHOOSE(CONTROL!$C$9, $D$9, 100%, $F$9) + CHOOSE(CONTROL!$C$27, 0.0021, 0)</f>
        <v>83.727000000000004</v>
      </c>
      <c r="F521" s="14">
        <f>83.7249 * CHOOSE(CONTROL!$C$9, $D$9, 100%, $F$9) + CHOOSE(CONTROL!$C$27, 0.0021, 0)</f>
        <v>83.727000000000004</v>
      </c>
      <c r="G521" s="14">
        <f>83.9963 * CHOOSE(CONTROL!$C$9, $D$9, 100%, $F$9) + CHOOSE(CONTROL!$C$27, 0.0021, 0)</f>
        <v>83.998400000000004</v>
      </c>
      <c r="H521" s="14">
        <f>83.8616 * CHOOSE(CONTROL!$C$9, $D$9, 100%, $F$9) + CHOOSE(CONTROL!$C$27, 0.0021, 0)</f>
        <v>83.863699999999994</v>
      </c>
      <c r="I521" s="14">
        <f>83.8616 * CHOOSE(CONTROL!$C$9, $D$9, 100%, $F$9) + CHOOSE(CONTROL!$C$27, 0.0021, 0)</f>
        <v>83.863699999999994</v>
      </c>
      <c r="J521" s="14">
        <f>83.8616 * CHOOSE(CONTROL!$C$9, $D$9, 100%, $F$9) + CHOOSE(CONTROL!$C$27, 0.0021, 0)</f>
        <v>83.863699999999994</v>
      </c>
      <c r="K521" s="14">
        <f>83.8616 * CHOOSE(CONTROL!$C$9, $D$9, 100%, $F$9) + CHOOSE(CONTROL!$C$27, 0.0021, 0)</f>
        <v>83.863699999999994</v>
      </c>
      <c r="L521" s="14"/>
    </row>
    <row r="522" spans="1:12" ht="15.75" x14ac:dyDescent="0.25">
      <c r="A522" s="32">
        <v>56826</v>
      </c>
      <c r="B522" s="14">
        <f>85.9401 * CHOOSE(CONTROL!$C$9, $D$9, 100%, $F$9) + CHOOSE(CONTROL!$C$27, 0.0021, 0)</f>
        <v>85.9422</v>
      </c>
      <c r="C522" s="14">
        <f>85.5078 * CHOOSE(CONTROL!$C$9, $D$9, 100%, $F$9) + CHOOSE(CONTROL!$C$27, 0.0021, 0)</f>
        <v>85.509900000000002</v>
      </c>
      <c r="D522" s="14">
        <f>85.5078 * CHOOSE(CONTROL!$C$9, $D$9, 100%, $F$9) + CHOOSE(CONTROL!$C$27, 0.0021, 0)</f>
        <v>85.509900000000002</v>
      </c>
      <c r="E522" s="14">
        <f>85.3711 * CHOOSE(CONTROL!$C$9, $D$9, 100%, $F$9) + CHOOSE(CONTROL!$C$27, 0.0021, 0)</f>
        <v>85.373199999999997</v>
      </c>
      <c r="F522" s="14">
        <f>85.3711 * CHOOSE(CONTROL!$C$9, $D$9, 100%, $F$9) + CHOOSE(CONTROL!$C$27, 0.0021, 0)</f>
        <v>85.373199999999997</v>
      </c>
      <c r="G522" s="14">
        <f>85.6425 * CHOOSE(CONTROL!$C$9, $D$9, 100%, $F$9) + CHOOSE(CONTROL!$C$27, 0.0021, 0)</f>
        <v>85.644599999999997</v>
      </c>
      <c r="H522" s="14">
        <f>85.5078 * CHOOSE(CONTROL!$C$9, $D$9, 100%, $F$9) + CHOOSE(CONTROL!$C$27, 0.0021, 0)</f>
        <v>85.509900000000002</v>
      </c>
      <c r="I522" s="14">
        <f>85.5078 * CHOOSE(CONTROL!$C$9, $D$9, 100%, $F$9) + CHOOSE(CONTROL!$C$27, 0.0021, 0)</f>
        <v>85.509900000000002</v>
      </c>
      <c r="J522" s="14">
        <f>85.5078 * CHOOSE(CONTROL!$C$9, $D$9, 100%, $F$9) + CHOOSE(CONTROL!$C$27, 0.0021, 0)</f>
        <v>85.509900000000002</v>
      </c>
      <c r="K522" s="14">
        <f>85.5078 * CHOOSE(CONTROL!$C$9, $D$9, 100%, $F$9) + CHOOSE(CONTROL!$C$27, 0.0021, 0)</f>
        <v>85.509900000000002</v>
      </c>
      <c r="L522" s="14"/>
    </row>
    <row r="523" spans="1:12" ht="15.75" x14ac:dyDescent="0.25">
      <c r="A523" s="32">
        <v>56857</v>
      </c>
      <c r="B523" s="14">
        <f>86.4425 * CHOOSE(CONTROL!$C$9, $D$9, 100%, $F$9) + CHOOSE(CONTROL!$C$27, 0.0021, 0)</f>
        <v>86.444599999999994</v>
      </c>
      <c r="C523" s="14">
        <f>86.0103 * CHOOSE(CONTROL!$C$9, $D$9, 100%, $F$9) + CHOOSE(CONTROL!$C$27, 0.0021, 0)</f>
        <v>86.0124</v>
      </c>
      <c r="D523" s="14">
        <f>86.0103 * CHOOSE(CONTROL!$C$9, $D$9, 100%, $F$9) + CHOOSE(CONTROL!$C$27, 0.0021, 0)</f>
        <v>86.0124</v>
      </c>
      <c r="E523" s="14">
        <f>85.8736 * CHOOSE(CONTROL!$C$9, $D$9, 100%, $F$9) + CHOOSE(CONTROL!$C$27, 0.0021, 0)</f>
        <v>85.875699999999995</v>
      </c>
      <c r="F523" s="14">
        <f>85.8736 * CHOOSE(CONTROL!$C$9, $D$9, 100%, $F$9) + CHOOSE(CONTROL!$C$27, 0.0021, 0)</f>
        <v>85.875699999999995</v>
      </c>
      <c r="G523" s="14">
        <f>86.145 * CHOOSE(CONTROL!$C$9, $D$9, 100%, $F$9) + CHOOSE(CONTROL!$C$27, 0.0021, 0)</f>
        <v>86.147099999999995</v>
      </c>
      <c r="H523" s="14">
        <f>86.0103 * CHOOSE(CONTROL!$C$9, $D$9, 100%, $F$9) + CHOOSE(CONTROL!$C$27, 0.0021, 0)</f>
        <v>86.0124</v>
      </c>
      <c r="I523" s="14">
        <f>86.0103 * CHOOSE(CONTROL!$C$9, $D$9, 100%, $F$9) + CHOOSE(CONTROL!$C$27, 0.0021, 0)</f>
        <v>86.0124</v>
      </c>
      <c r="J523" s="14">
        <f>86.0103 * CHOOSE(CONTROL!$C$9, $D$9, 100%, $F$9) + CHOOSE(CONTROL!$C$27, 0.0021, 0)</f>
        <v>86.0124</v>
      </c>
      <c r="K523" s="14">
        <f>86.0103 * CHOOSE(CONTROL!$C$9, $D$9, 100%, $F$9) + CHOOSE(CONTROL!$C$27, 0.0021, 0)</f>
        <v>86.0124</v>
      </c>
      <c r="L523" s="14"/>
    </row>
    <row r="524" spans="1:12" ht="15.75" x14ac:dyDescent="0.25">
      <c r="A524" s="32">
        <v>56887</v>
      </c>
      <c r="B524" s="14">
        <f>88.1537 * CHOOSE(CONTROL!$C$9, $D$9, 100%, $F$9) + CHOOSE(CONTROL!$C$27, 0.0021, 0)</f>
        <v>88.155799999999999</v>
      </c>
      <c r="C524" s="14">
        <f>87.7215 * CHOOSE(CONTROL!$C$9, $D$9, 100%, $F$9) + CHOOSE(CONTROL!$C$27, 0.0021, 0)</f>
        <v>87.723600000000005</v>
      </c>
      <c r="D524" s="14">
        <f>87.7215 * CHOOSE(CONTROL!$C$9, $D$9, 100%, $F$9) + CHOOSE(CONTROL!$C$27, 0.0021, 0)</f>
        <v>87.723600000000005</v>
      </c>
      <c r="E524" s="14">
        <f>87.5848 * CHOOSE(CONTROL!$C$9, $D$9, 100%, $F$9) + CHOOSE(CONTROL!$C$27, 0.0021, 0)</f>
        <v>87.5869</v>
      </c>
      <c r="F524" s="14">
        <f>87.5848 * CHOOSE(CONTROL!$C$9, $D$9, 100%, $F$9) + CHOOSE(CONTROL!$C$27, 0.0021, 0)</f>
        <v>87.5869</v>
      </c>
      <c r="G524" s="14">
        <f>87.8562 * CHOOSE(CONTROL!$C$9, $D$9, 100%, $F$9) + CHOOSE(CONTROL!$C$27, 0.0021, 0)</f>
        <v>87.8583</v>
      </c>
      <c r="H524" s="14">
        <f>87.7215 * CHOOSE(CONTROL!$C$9, $D$9, 100%, $F$9) + CHOOSE(CONTROL!$C$27, 0.0021, 0)</f>
        <v>87.723600000000005</v>
      </c>
      <c r="I524" s="14">
        <f>87.7215 * CHOOSE(CONTROL!$C$9, $D$9, 100%, $F$9) + CHOOSE(CONTROL!$C$27, 0.0021, 0)</f>
        <v>87.723600000000005</v>
      </c>
      <c r="J524" s="14">
        <f>87.7215 * CHOOSE(CONTROL!$C$9, $D$9, 100%, $F$9) + CHOOSE(CONTROL!$C$27, 0.0021, 0)</f>
        <v>87.723600000000005</v>
      </c>
      <c r="K524" s="14">
        <f>87.7215 * CHOOSE(CONTROL!$C$9, $D$9, 100%, $F$9) + CHOOSE(CONTROL!$C$27, 0.0021, 0)</f>
        <v>87.723600000000005</v>
      </c>
      <c r="L524" s="14"/>
    </row>
    <row r="525" spans="1:12" ht="15.75" x14ac:dyDescent="0.25">
      <c r="A525" s="32">
        <v>56918</v>
      </c>
      <c r="B525" s="14">
        <f>90.3198 * CHOOSE(CONTROL!$C$9, $D$9, 100%, $F$9) + CHOOSE(CONTROL!$C$27, 0.0021, 0)</f>
        <v>90.321899999999999</v>
      </c>
      <c r="C525" s="14">
        <f>89.8876 * CHOOSE(CONTROL!$C$9, $D$9, 100%, $F$9) + CHOOSE(CONTROL!$C$27, 0.0021, 0)</f>
        <v>89.889700000000005</v>
      </c>
      <c r="D525" s="14">
        <f>89.8876 * CHOOSE(CONTROL!$C$9, $D$9, 100%, $F$9) + CHOOSE(CONTROL!$C$27, 0.0021, 0)</f>
        <v>89.889700000000005</v>
      </c>
      <c r="E525" s="14">
        <f>89.7509 * CHOOSE(CONTROL!$C$9, $D$9, 100%, $F$9) + CHOOSE(CONTROL!$C$27, 0.0021, 0)</f>
        <v>89.753</v>
      </c>
      <c r="F525" s="14">
        <f>89.7509 * CHOOSE(CONTROL!$C$9, $D$9, 100%, $F$9) + CHOOSE(CONTROL!$C$27, 0.0021, 0)</f>
        <v>89.753</v>
      </c>
      <c r="G525" s="14">
        <f>90.0223 * CHOOSE(CONTROL!$C$9, $D$9, 100%, $F$9) + CHOOSE(CONTROL!$C$27, 0.0021, 0)</f>
        <v>90.0244</v>
      </c>
      <c r="H525" s="14">
        <f>89.8876 * CHOOSE(CONTROL!$C$9, $D$9, 100%, $F$9) + CHOOSE(CONTROL!$C$27, 0.0021, 0)</f>
        <v>89.889700000000005</v>
      </c>
      <c r="I525" s="14">
        <f>89.8876 * CHOOSE(CONTROL!$C$9, $D$9, 100%, $F$9) + CHOOSE(CONTROL!$C$27, 0.0021, 0)</f>
        <v>89.889700000000005</v>
      </c>
      <c r="J525" s="14">
        <f>89.8876 * CHOOSE(CONTROL!$C$9, $D$9, 100%, $F$9) + CHOOSE(CONTROL!$C$27, 0.0021, 0)</f>
        <v>89.889700000000005</v>
      </c>
      <c r="K525" s="14">
        <f>89.8876 * CHOOSE(CONTROL!$C$9, $D$9, 100%, $F$9) + CHOOSE(CONTROL!$C$27, 0.0021, 0)</f>
        <v>89.889700000000005</v>
      </c>
      <c r="L525" s="14"/>
    </row>
    <row r="526" spans="1:12" ht="15.75" x14ac:dyDescent="0.25">
      <c r="A526" s="32">
        <v>56948</v>
      </c>
      <c r="B526" s="14">
        <f>90.5231 * CHOOSE(CONTROL!$C$9, $D$9, 100%, $F$9) + CHOOSE(CONTROL!$C$27, 0.0021, 0)</f>
        <v>90.525199999999998</v>
      </c>
      <c r="C526" s="14">
        <f>90.0909 * CHOOSE(CONTROL!$C$9, $D$9, 100%, $F$9) + CHOOSE(CONTROL!$C$27, 0.0021, 0)</f>
        <v>90.093000000000004</v>
      </c>
      <c r="D526" s="14">
        <f>90.0909 * CHOOSE(CONTROL!$C$9, $D$9, 100%, $F$9) + CHOOSE(CONTROL!$C$27, 0.0021, 0)</f>
        <v>90.093000000000004</v>
      </c>
      <c r="E526" s="14">
        <f>89.9542 * CHOOSE(CONTROL!$C$9, $D$9, 100%, $F$9) + CHOOSE(CONTROL!$C$27, 0.0021, 0)</f>
        <v>89.956299999999999</v>
      </c>
      <c r="F526" s="14">
        <f>89.9542 * CHOOSE(CONTROL!$C$9, $D$9, 100%, $F$9) + CHOOSE(CONTROL!$C$27, 0.0021, 0)</f>
        <v>89.956299999999999</v>
      </c>
      <c r="G526" s="14">
        <f>90.2256 * CHOOSE(CONTROL!$C$9, $D$9, 100%, $F$9) + CHOOSE(CONTROL!$C$27, 0.0021, 0)</f>
        <v>90.227699999999999</v>
      </c>
      <c r="H526" s="14">
        <f>90.0909 * CHOOSE(CONTROL!$C$9, $D$9, 100%, $F$9) + CHOOSE(CONTROL!$C$27, 0.0021, 0)</f>
        <v>90.093000000000004</v>
      </c>
      <c r="I526" s="14">
        <f>90.0909 * CHOOSE(CONTROL!$C$9, $D$9, 100%, $F$9) + CHOOSE(CONTROL!$C$27, 0.0021, 0)</f>
        <v>90.093000000000004</v>
      </c>
      <c r="J526" s="14">
        <f>90.0909 * CHOOSE(CONTROL!$C$9, $D$9, 100%, $F$9) + CHOOSE(CONTROL!$C$27, 0.0021, 0)</f>
        <v>90.093000000000004</v>
      </c>
      <c r="K526" s="14">
        <f>90.0909 * CHOOSE(CONTROL!$C$9, $D$9, 100%, $F$9) + CHOOSE(CONTROL!$C$27, 0.0021, 0)</f>
        <v>90.093000000000004</v>
      </c>
      <c r="L526" s="14"/>
    </row>
    <row r="527" spans="1:12" ht="15.75" x14ac:dyDescent="0.25">
      <c r="A527" s="32">
        <v>56979</v>
      </c>
      <c r="B527" s="14">
        <f>88.7931 * CHOOSE(CONTROL!$C$9, $D$9, 100%, $F$9) + CHOOSE(CONTROL!$C$27, 0.0021, 0)</f>
        <v>88.795199999999994</v>
      </c>
      <c r="C527" s="14">
        <f>88.3609 * CHOOSE(CONTROL!$C$9, $D$9, 100%, $F$9) + CHOOSE(CONTROL!$C$27, 0.0021, 0)</f>
        <v>88.363</v>
      </c>
      <c r="D527" s="14">
        <f>88.3609 * CHOOSE(CONTROL!$C$9, $D$9, 100%, $F$9) + CHOOSE(CONTROL!$C$27, 0.0021, 0)</f>
        <v>88.363</v>
      </c>
      <c r="E527" s="14">
        <f>88.2242 * CHOOSE(CONTROL!$C$9, $D$9, 100%, $F$9) + CHOOSE(CONTROL!$C$27, 0.0021, 0)</f>
        <v>88.226299999999995</v>
      </c>
      <c r="F527" s="14">
        <f>88.2242 * CHOOSE(CONTROL!$C$9, $D$9, 100%, $F$9) + CHOOSE(CONTROL!$C$27, 0.0021, 0)</f>
        <v>88.226299999999995</v>
      </c>
      <c r="G527" s="14">
        <f>88.4956 * CHOOSE(CONTROL!$C$9, $D$9, 100%, $F$9) + CHOOSE(CONTROL!$C$27, 0.0021, 0)</f>
        <v>88.497699999999995</v>
      </c>
      <c r="H527" s="14">
        <f>88.3609 * CHOOSE(CONTROL!$C$9, $D$9, 100%, $F$9) + CHOOSE(CONTROL!$C$27, 0.0021, 0)</f>
        <v>88.363</v>
      </c>
      <c r="I527" s="14">
        <f>88.3609 * CHOOSE(CONTROL!$C$9, $D$9, 100%, $F$9) + CHOOSE(CONTROL!$C$27, 0.0021, 0)</f>
        <v>88.363</v>
      </c>
      <c r="J527" s="14">
        <f>88.3609 * CHOOSE(CONTROL!$C$9, $D$9, 100%, $F$9) + CHOOSE(CONTROL!$C$27, 0.0021, 0)</f>
        <v>88.363</v>
      </c>
      <c r="K527" s="14">
        <f>88.3609 * CHOOSE(CONTROL!$C$9, $D$9, 100%, $F$9) + CHOOSE(CONTROL!$C$27, 0.0021, 0)</f>
        <v>88.363</v>
      </c>
      <c r="L527" s="14"/>
    </row>
    <row r="528" spans="1:12" ht="15.75" x14ac:dyDescent="0.25">
      <c r="A528" s="32">
        <v>57010</v>
      </c>
      <c r="B528" s="14">
        <f>87.6997 * CHOOSE(CONTROL!$C$9, $D$9, 100%, $F$9) + CHOOSE(CONTROL!$C$27, 0.0021, 0)</f>
        <v>87.701800000000006</v>
      </c>
      <c r="C528" s="14">
        <f>87.2675 * CHOOSE(CONTROL!$C$9, $D$9, 100%, $F$9) + CHOOSE(CONTROL!$C$27, 0.0021, 0)</f>
        <v>87.269599999999997</v>
      </c>
      <c r="D528" s="14">
        <f>87.2675 * CHOOSE(CONTROL!$C$9, $D$9, 100%, $F$9) + CHOOSE(CONTROL!$C$27, 0.0021, 0)</f>
        <v>87.269599999999997</v>
      </c>
      <c r="E528" s="14">
        <f>87.1308 * CHOOSE(CONTROL!$C$9, $D$9, 100%, $F$9) + CHOOSE(CONTROL!$C$27, 0.0021, 0)</f>
        <v>87.132899999999992</v>
      </c>
      <c r="F528" s="14">
        <f>87.1308 * CHOOSE(CONTROL!$C$9, $D$9, 100%, $F$9) + CHOOSE(CONTROL!$C$27, 0.0021, 0)</f>
        <v>87.132899999999992</v>
      </c>
      <c r="G528" s="14">
        <f>87.4022 * CHOOSE(CONTROL!$C$9, $D$9, 100%, $F$9) + CHOOSE(CONTROL!$C$27, 0.0021, 0)</f>
        <v>87.404299999999992</v>
      </c>
      <c r="H528" s="14">
        <f>87.2675 * CHOOSE(CONTROL!$C$9, $D$9, 100%, $F$9) + CHOOSE(CONTROL!$C$27, 0.0021, 0)</f>
        <v>87.269599999999997</v>
      </c>
      <c r="I528" s="14">
        <f>87.2675 * CHOOSE(CONTROL!$C$9, $D$9, 100%, $F$9) + CHOOSE(CONTROL!$C$27, 0.0021, 0)</f>
        <v>87.269599999999997</v>
      </c>
      <c r="J528" s="14">
        <f>87.2675 * CHOOSE(CONTROL!$C$9, $D$9, 100%, $F$9) + CHOOSE(CONTROL!$C$27, 0.0021, 0)</f>
        <v>87.269599999999997</v>
      </c>
      <c r="K528" s="14">
        <f>87.2675 * CHOOSE(CONTROL!$C$9, $D$9, 100%, $F$9) + CHOOSE(CONTROL!$C$27, 0.0021, 0)</f>
        <v>87.269599999999997</v>
      </c>
      <c r="L528" s="14"/>
    </row>
    <row r="529" spans="1:12" ht="15.75" x14ac:dyDescent="0.25">
      <c r="A529" s="32">
        <v>57038</v>
      </c>
      <c r="B529" s="14">
        <f>85.2839 * CHOOSE(CONTROL!$C$9, $D$9, 100%, $F$9) + CHOOSE(CONTROL!$C$27, 0.0021, 0)</f>
        <v>85.286000000000001</v>
      </c>
      <c r="C529" s="14">
        <f>84.8517 * CHOOSE(CONTROL!$C$9, $D$9, 100%, $F$9) + CHOOSE(CONTROL!$C$27, 0.0021, 0)</f>
        <v>84.853799999999993</v>
      </c>
      <c r="D529" s="14">
        <f>84.8517 * CHOOSE(CONTROL!$C$9, $D$9, 100%, $F$9) + CHOOSE(CONTROL!$C$27, 0.0021, 0)</f>
        <v>84.853799999999993</v>
      </c>
      <c r="E529" s="14">
        <f>84.715 * CHOOSE(CONTROL!$C$9, $D$9, 100%, $F$9) + CHOOSE(CONTROL!$C$27, 0.0021, 0)</f>
        <v>84.717100000000002</v>
      </c>
      <c r="F529" s="14">
        <f>84.715 * CHOOSE(CONTROL!$C$9, $D$9, 100%, $F$9) + CHOOSE(CONTROL!$C$27, 0.0021, 0)</f>
        <v>84.717100000000002</v>
      </c>
      <c r="G529" s="14">
        <f>84.9864 * CHOOSE(CONTROL!$C$9, $D$9, 100%, $F$9) + CHOOSE(CONTROL!$C$27, 0.0021, 0)</f>
        <v>84.988500000000002</v>
      </c>
      <c r="H529" s="14">
        <f>84.8517 * CHOOSE(CONTROL!$C$9, $D$9, 100%, $F$9) + CHOOSE(CONTROL!$C$27, 0.0021, 0)</f>
        <v>84.853799999999993</v>
      </c>
      <c r="I529" s="14">
        <f>84.8517 * CHOOSE(CONTROL!$C$9, $D$9, 100%, $F$9) + CHOOSE(CONTROL!$C$27, 0.0021, 0)</f>
        <v>84.853799999999993</v>
      </c>
      <c r="J529" s="14">
        <f>84.8517 * CHOOSE(CONTROL!$C$9, $D$9, 100%, $F$9) + CHOOSE(CONTROL!$C$27, 0.0021, 0)</f>
        <v>84.853799999999993</v>
      </c>
      <c r="K529" s="14">
        <f>84.8517 * CHOOSE(CONTROL!$C$9, $D$9, 100%, $F$9) + CHOOSE(CONTROL!$C$27, 0.0021, 0)</f>
        <v>84.853799999999993</v>
      </c>
      <c r="L529" s="14"/>
    </row>
    <row r="530" spans="1:12" ht="15.75" x14ac:dyDescent="0.25">
      <c r="A530" s="32">
        <v>57070</v>
      </c>
      <c r="B530" s="14">
        <f>84.2867 * CHOOSE(CONTROL!$C$9, $D$9, 100%, $F$9) + CHOOSE(CONTROL!$C$27, 0.0021, 0)</f>
        <v>84.288799999999995</v>
      </c>
      <c r="C530" s="14">
        <f>83.8544 * CHOOSE(CONTROL!$C$9, $D$9, 100%, $F$9) + CHOOSE(CONTROL!$C$27, 0.0021, 0)</f>
        <v>83.856499999999997</v>
      </c>
      <c r="D530" s="14">
        <f>83.8544 * CHOOSE(CONTROL!$C$9, $D$9, 100%, $F$9) + CHOOSE(CONTROL!$C$27, 0.0021, 0)</f>
        <v>83.856499999999997</v>
      </c>
      <c r="E530" s="14">
        <f>83.7178 * CHOOSE(CONTROL!$C$9, $D$9, 100%, $F$9) + CHOOSE(CONTROL!$C$27, 0.0021, 0)</f>
        <v>83.719899999999996</v>
      </c>
      <c r="F530" s="14">
        <f>83.7178 * CHOOSE(CONTROL!$C$9, $D$9, 100%, $F$9) + CHOOSE(CONTROL!$C$27, 0.0021, 0)</f>
        <v>83.719899999999996</v>
      </c>
      <c r="G530" s="14">
        <f>83.9892 * CHOOSE(CONTROL!$C$9, $D$9, 100%, $F$9) + CHOOSE(CONTROL!$C$27, 0.0021, 0)</f>
        <v>83.991299999999995</v>
      </c>
      <c r="H530" s="14">
        <f>83.8544 * CHOOSE(CONTROL!$C$9, $D$9, 100%, $F$9) + CHOOSE(CONTROL!$C$27, 0.0021, 0)</f>
        <v>83.856499999999997</v>
      </c>
      <c r="I530" s="14">
        <f>83.8544 * CHOOSE(CONTROL!$C$9, $D$9, 100%, $F$9) + CHOOSE(CONTROL!$C$27, 0.0021, 0)</f>
        <v>83.856499999999997</v>
      </c>
      <c r="J530" s="14">
        <f>83.8544 * CHOOSE(CONTROL!$C$9, $D$9, 100%, $F$9) + CHOOSE(CONTROL!$C$27, 0.0021, 0)</f>
        <v>83.856499999999997</v>
      </c>
      <c r="K530" s="14">
        <f>83.8544 * CHOOSE(CONTROL!$C$9, $D$9, 100%, $F$9) + CHOOSE(CONTROL!$C$27, 0.0021, 0)</f>
        <v>83.856499999999997</v>
      </c>
      <c r="L530" s="14"/>
    </row>
    <row r="531" spans="1:12" ht="15.75" x14ac:dyDescent="0.25">
      <c r="A531" s="32">
        <v>57100</v>
      </c>
      <c r="B531" s="14">
        <f>83.096 * CHOOSE(CONTROL!$C$9, $D$9, 100%, $F$9) + CHOOSE(CONTROL!$C$27, 0.0021, 0)</f>
        <v>83.098100000000002</v>
      </c>
      <c r="C531" s="14">
        <f>82.6637 * CHOOSE(CONTROL!$C$9, $D$9, 100%, $F$9) + CHOOSE(CONTROL!$C$27, 0.0021, 0)</f>
        <v>82.665800000000004</v>
      </c>
      <c r="D531" s="14">
        <f>82.6637 * CHOOSE(CONTROL!$C$9, $D$9, 100%, $F$9) + CHOOSE(CONTROL!$C$27, 0.0021, 0)</f>
        <v>82.665800000000004</v>
      </c>
      <c r="E531" s="14">
        <f>82.5271 * CHOOSE(CONTROL!$C$9, $D$9, 100%, $F$9) + CHOOSE(CONTROL!$C$27, 0.0021, 0)</f>
        <v>82.529200000000003</v>
      </c>
      <c r="F531" s="14">
        <f>82.5271 * CHOOSE(CONTROL!$C$9, $D$9, 100%, $F$9) + CHOOSE(CONTROL!$C$27, 0.0021, 0)</f>
        <v>82.529200000000003</v>
      </c>
      <c r="G531" s="14">
        <f>82.7984 * CHOOSE(CONTROL!$C$9, $D$9, 100%, $F$9) + CHOOSE(CONTROL!$C$27, 0.0021, 0)</f>
        <v>82.8005</v>
      </c>
      <c r="H531" s="14">
        <f>82.6637 * CHOOSE(CONTROL!$C$9, $D$9, 100%, $F$9) + CHOOSE(CONTROL!$C$27, 0.0021, 0)</f>
        <v>82.665800000000004</v>
      </c>
      <c r="I531" s="14">
        <f>82.6637 * CHOOSE(CONTROL!$C$9, $D$9, 100%, $F$9) + CHOOSE(CONTROL!$C$27, 0.0021, 0)</f>
        <v>82.665800000000004</v>
      </c>
      <c r="J531" s="14">
        <f>82.6637 * CHOOSE(CONTROL!$C$9, $D$9, 100%, $F$9) + CHOOSE(CONTROL!$C$27, 0.0021, 0)</f>
        <v>82.665800000000004</v>
      </c>
      <c r="K531" s="14">
        <f>82.6637 * CHOOSE(CONTROL!$C$9, $D$9, 100%, $F$9) + CHOOSE(CONTROL!$C$27, 0.0021, 0)</f>
        <v>82.665800000000004</v>
      </c>
      <c r="L531" s="14"/>
    </row>
    <row r="532" spans="1:12" ht="15.75" x14ac:dyDescent="0.25">
      <c r="A532" s="32">
        <v>57131</v>
      </c>
      <c r="B532" s="14">
        <f>84.7929 * CHOOSE(CONTROL!$C$9, $D$9, 100%, $F$9) + CHOOSE(CONTROL!$C$27, 0.0021, 0)</f>
        <v>84.795000000000002</v>
      </c>
      <c r="C532" s="14">
        <f>84.3606 * CHOOSE(CONTROL!$C$9, $D$9, 100%, $F$9) + CHOOSE(CONTROL!$C$27, 0.0021, 0)</f>
        <v>84.362700000000004</v>
      </c>
      <c r="D532" s="14">
        <f>84.3606 * CHOOSE(CONTROL!$C$9, $D$9, 100%, $F$9) + CHOOSE(CONTROL!$C$27, 0.0021, 0)</f>
        <v>84.362700000000004</v>
      </c>
      <c r="E532" s="14">
        <f>84.224 * CHOOSE(CONTROL!$C$9, $D$9, 100%, $F$9) + CHOOSE(CONTROL!$C$27, 0.0021, 0)</f>
        <v>84.226100000000002</v>
      </c>
      <c r="F532" s="14">
        <f>84.224 * CHOOSE(CONTROL!$C$9, $D$9, 100%, $F$9) + CHOOSE(CONTROL!$C$27, 0.0021, 0)</f>
        <v>84.226100000000002</v>
      </c>
      <c r="G532" s="14">
        <f>84.4954 * CHOOSE(CONTROL!$C$9, $D$9, 100%, $F$9) + CHOOSE(CONTROL!$C$27, 0.0021, 0)</f>
        <v>84.497500000000002</v>
      </c>
      <c r="H532" s="14">
        <f>84.3606 * CHOOSE(CONTROL!$C$9, $D$9, 100%, $F$9) + CHOOSE(CONTROL!$C$27, 0.0021, 0)</f>
        <v>84.362700000000004</v>
      </c>
      <c r="I532" s="14">
        <f>84.3606 * CHOOSE(CONTROL!$C$9, $D$9, 100%, $F$9) + CHOOSE(CONTROL!$C$27, 0.0021, 0)</f>
        <v>84.362700000000004</v>
      </c>
      <c r="J532" s="14">
        <f>84.3606 * CHOOSE(CONTROL!$C$9, $D$9, 100%, $F$9) + CHOOSE(CONTROL!$C$27, 0.0021, 0)</f>
        <v>84.362700000000004</v>
      </c>
      <c r="K532" s="14">
        <f>84.3606 * CHOOSE(CONTROL!$C$9, $D$9, 100%, $F$9) + CHOOSE(CONTROL!$C$27, 0.0021, 0)</f>
        <v>84.362700000000004</v>
      </c>
      <c r="L532" s="14"/>
    </row>
    <row r="533" spans="1:12" ht="15.75" x14ac:dyDescent="0.25">
      <c r="A533" s="32">
        <v>57161</v>
      </c>
      <c r="B533" s="14">
        <f>85.8093 * CHOOSE(CONTROL!$C$9, $D$9, 100%, $F$9) + CHOOSE(CONTROL!$C$27, 0.0021, 0)</f>
        <v>85.811399999999992</v>
      </c>
      <c r="C533" s="14">
        <f>85.377 * CHOOSE(CONTROL!$C$9, $D$9, 100%, $F$9) + CHOOSE(CONTROL!$C$27, 0.0021, 0)</f>
        <v>85.379099999999994</v>
      </c>
      <c r="D533" s="14">
        <f>85.377 * CHOOSE(CONTROL!$C$9, $D$9, 100%, $F$9) + CHOOSE(CONTROL!$C$27, 0.0021, 0)</f>
        <v>85.379099999999994</v>
      </c>
      <c r="E533" s="14">
        <f>85.2404 * CHOOSE(CONTROL!$C$9, $D$9, 100%, $F$9) + CHOOSE(CONTROL!$C$27, 0.0021, 0)</f>
        <v>85.242499999999993</v>
      </c>
      <c r="F533" s="14">
        <f>85.2404 * CHOOSE(CONTROL!$C$9, $D$9, 100%, $F$9) + CHOOSE(CONTROL!$C$27, 0.0021, 0)</f>
        <v>85.242499999999993</v>
      </c>
      <c r="G533" s="14">
        <f>85.5117 * CHOOSE(CONTROL!$C$9, $D$9, 100%, $F$9) + CHOOSE(CONTROL!$C$27, 0.0021, 0)</f>
        <v>85.513800000000003</v>
      </c>
      <c r="H533" s="14">
        <f>85.377 * CHOOSE(CONTROL!$C$9, $D$9, 100%, $F$9) + CHOOSE(CONTROL!$C$27, 0.0021, 0)</f>
        <v>85.379099999999994</v>
      </c>
      <c r="I533" s="14">
        <f>85.377 * CHOOSE(CONTROL!$C$9, $D$9, 100%, $F$9) + CHOOSE(CONTROL!$C$27, 0.0021, 0)</f>
        <v>85.379099999999994</v>
      </c>
      <c r="J533" s="14">
        <f>85.377 * CHOOSE(CONTROL!$C$9, $D$9, 100%, $F$9) + CHOOSE(CONTROL!$C$27, 0.0021, 0)</f>
        <v>85.379099999999994</v>
      </c>
      <c r="K533" s="14">
        <f>85.377 * CHOOSE(CONTROL!$C$9, $D$9, 100%, $F$9) + CHOOSE(CONTROL!$C$27, 0.0021, 0)</f>
        <v>85.379099999999994</v>
      </c>
      <c r="L533" s="14"/>
    </row>
    <row r="534" spans="1:12" ht="15.75" x14ac:dyDescent="0.25">
      <c r="A534" s="32">
        <v>57192</v>
      </c>
      <c r="B534" s="14">
        <f>87.4859 * CHOOSE(CONTROL!$C$9, $D$9, 100%, $F$9) + CHOOSE(CONTROL!$C$27, 0.0021, 0)</f>
        <v>87.488</v>
      </c>
      <c r="C534" s="14">
        <f>87.0537 * CHOOSE(CONTROL!$C$9, $D$9, 100%, $F$9) + CHOOSE(CONTROL!$C$27, 0.0021, 0)</f>
        <v>87.055800000000005</v>
      </c>
      <c r="D534" s="14">
        <f>87.0537 * CHOOSE(CONTROL!$C$9, $D$9, 100%, $F$9) + CHOOSE(CONTROL!$C$27, 0.0021, 0)</f>
        <v>87.055800000000005</v>
      </c>
      <c r="E534" s="14">
        <f>86.917 * CHOOSE(CONTROL!$C$9, $D$9, 100%, $F$9) + CHOOSE(CONTROL!$C$27, 0.0021, 0)</f>
        <v>86.9191</v>
      </c>
      <c r="F534" s="14">
        <f>86.917 * CHOOSE(CONTROL!$C$9, $D$9, 100%, $F$9) + CHOOSE(CONTROL!$C$27, 0.0021, 0)</f>
        <v>86.9191</v>
      </c>
      <c r="G534" s="14">
        <f>87.1884 * CHOOSE(CONTROL!$C$9, $D$9, 100%, $F$9) + CHOOSE(CONTROL!$C$27, 0.0021, 0)</f>
        <v>87.1905</v>
      </c>
      <c r="H534" s="14">
        <f>87.0537 * CHOOSE(CONTROL!$C$9, $D$9, 100%, $F$9) + CHOOSE(CONTROL!$C$27, 0.0021, 0)</f>
        <v>87.055800000000005</v>
      </c>
      <c r="I534" s="14">
        <f>87.0537 * CHOOSE(CONTROL!$C$9, $D$9, 100%, $F$9) + CHOOSE(CONTROL!$C$27, 0.0021, 0)</f>
        <v>87.055800000000005</v>
      </c>
      <c r="J534" s="14">
        <f>87.0537 * CHOOSE(CONTROL!$C$9, $D$9, 100%, $F$9) + CHOOSE(CONTROL!$C$27, 0.0021, 0)</f>
        <v>87.055800000000005</v>
      </c>
      <c r="K534" s="14">
        <f>87.0537 * CHOOSE(CONTROL!$C$9, $D$9, 100%, $F$9) + CHOOSE(CONTROL!$C$27, 0.0021, 0)</f>
        <v>87.055800000000005</v>
      </c>
      <c r="L534" s="14"/>
    </row>
    <row r="535" spans="1:12" ht="15.75" x14ac:dyDescent="0.25">
      <c r="A535" s="32">
        <v>57223</v>
      </c>
      <c r="B535" s="14">
        <f>87.9977 * CHOOSE(CONTROL!$C$9, $D$9, 100%, $F$9) + CHOOSE(CONTROL!$C$27, 0.0021, 0)</f>
        <v>87.999799999999993</v>
      </c>
      <c r="C535" s="14">
        <f>87.5654 * CHOOSE(CONTROL!$C$9, $D$9, 100%, $F$9) + CHOOSE(CONTROL!$C$27, 0.0021, 0)</f>
        <v>87.567499999999995</v>
      </c>
      <c r="D535" s="14">
        <f>87.5654 * CHOOSE(CONTROL!$C$9, $D$9, 100%, $F$9) + CHOOSE(CONTROL!$C$27, 0.0021, 0)</f>
        <v>87.567499999999995</v>
      </c>
      <c r="E535" s="14">
        <f>87.4288 * CHOOSE(CONTROL!$C$9, $D$9, 100%, $F$9) + CHOOSE(CONTROL!$C$27, 0.0021, 0)</f>
        <v>87.430899999999994</v>
      </c>
      <c r="F535" s="14">
        <f>87.4288 * CHOOSE(CONTROL!$C$9, $D$9, 100%, $F$9) + CHOOSE(CONTROL!$C$27, 0.0021, 0)</f>
        <v>87.430899999999994</v>
      </c>
      <c r="G535" s="14">
        <f>87.7002 * CHOOSE(CONTROL!$C$9, $D$9, 100%, $F$9) + CHOOSE(CONTROL!$C$27, 0.0021, 0)</f>
        <v>87.702299999999994</v>
      </c>
      <c r="H535" s="14">
        <f>87.5654 * CHOOSE(CONTROL!$C$9, $D$9, 100%, $F$9) + CHOOSE(CONTROL!$C$27, 0.0021, 0)</f>
        <v>87.567499999999995</v>
      </c>
      <c r="I535" s="14">
        <f>87.5654 * CHOOSE(CONTROL!$C$9, $D$9, 100%, $F$9) + CHOOSE(CONTROL!$C$27, 0.0021, 0)</f>
        <v>87.567499999999995</v>
      </c>
      <c r="J535" s="14">
        <f>87.5654 * CHOOSE(CONTROL!$C$9, $D$9, 100%, $F$9) + CHOOSE(CONTROL!$C$27, 0.0021, 0)</f>
        <v>87.567499999999995</v>
      </c>
      <c r="K535" s="14">
        <f>87.5654 * CHOOSE(CONTROL!$C$9, $D$9, 100%, $F$9) + CHOOSE(CONTROL!$C$27, 0.0021, 0)</f>
        <v>87.567499999999995</v>
      </c>
      <c r="L535" s="14"/>
    </row>
    <row r="536" spans="1:12" ht="15.75" x14ac:dyDescent="0.25">
      <c r="A536" s="32">
        <v>57253</v>
      </c>
      <c r="B536" s="14">
        <f>89.7405 * CHOOSE(CONTROL!$C$9, $D$9, 100%, $F$9) + CHOOSE(CONTROL!$C$27, 0.0021, 0)</f>
        <v>89.742599999999996</v>
      </c>
      <c r="C536" s="14">
        <f>89.3083 * CHOOSE(CONTROL!$C$9, $D$9, 100%, $F$9) + CHOOSE(CONTROL!$C$27, 0.0021, 0)</f>
        <v>89.310400000000001</v>
      </c>
      <c r="D536" s="14">
        <f>89.3083 * CHOOSE(CONTROL!$C$9, $D$9, 100%, $F$9) + CHOOSE(CONTROL!$C$27, 0.0021, 0)</f>
        <v>89.310400000000001</v>
      </c>
      <c r="E536" s="14">
        <f>89.1716 * CHOOSE(CONTROL!$C$9, $D$9, 100%, $F$9) + CHOOSE(CONTROL!$C$27, 0.0021, 0)</f>
        <v>89.173699999999997</v>
      </c>
      <c r="F536" s="14">
        <f>89.1716 * CHOOSE(CONTROL!$C$9, $D$9, 100%, $F$9) + CHOOSE(CONTROL!$C$27, 0.0021, 0)</f>
        <v>89.173699999999997</v>
      </c>
      <c r="G536" s="14">
        <f>89.443 * CHOOSE(CONTROL!$C$9, $D$9, 100%, $F$9) + CHOOSE(CONTROL!$C$27, 0.0021, 0)</f>
        <v>89.445099999999996</v>
      </c>
      <c r="H536" s="14">
        <f>89.3083 * CHOOSE(CONTROL!$C$9, $D$9, 100%, $F$9) + CHOOSE(CONTROL!$C$27, 0.0021, 0)</f>
        <v>89.310400000000001</v>
      </c>
      <c r="I536" s="14">
        <f>89.3083 * CHOOSE(CONTROL!$C$9, $D$9, 100%, $F$9) + CHOOSE(CONTROL!$C$27, 0.0021, 0)</f>
        <v>89.310400000000001</v>
      </c>
      <c r="J536" s="14">
        <f>89.3083 * CHOOSE(CONTROL!$C$9, $D$9, 100%, $F$9) + CHOOSE(CONTROL!$C$27, 0.0021, 0)</f>
        <v>89.310400000000001</v>
      </c>
      <c r="K536" s="14">
        <f>89.3083 * CHOOSE(CONTROL!$C$9, $D$9, 100%, $F$9) + CHOOSE(CONTROL!$C$27, 0.0021, 0)</f>
        <v>89.310400000000001</v>
      </c>
      <c r="L536" s="14"/>
    </row>
    <row r="537" spans="1:12" ht="15.75" x14ac:dyDescent="0.25">
      <c r="A537" s="32">
        <v>57284</v>
      </c>
      <c r="B537" s="14">
        <f>91.9466 * CHOOSE(CONTROL!$C$9, $D$9, 100%, $F$9) + CHOOSE(CONTROL!$C$27, 0.0021, 0)</f>
        <v>91.948700000000002</v>
      </c>
      <c r="C537" s="14">
        <f>91.5144 * CHOOSE(CONTROL!$C$9, $D$9, 100%, $F$9) + CHOOSE(CONTROL!$C$27, 0.0021, 0)</f>
        <v>91.516499999999994</v>
      </c>
      <c r="D537" s="14">
        <f>91.5144 * CHOOSE(CONTROL!$C$9, $D$9, 100%, $F$9) + CHOOSE(CONTROL!$C$27, 0.0021, 0)</f>
        <v>91.516499999999994</v>
      </c>
      <c r="E537" s="14">
        <f>91.3777 * CHOOSE(CONTROL!$C$9, $D$9, 100%, $F$9) + CHOOSE(CONTROL!$C$27, 0.0021, 0)</f>
        <v>91.379800000000003</v>
      </c>
      <c r="F537" s="14">
        <f>91.3777 * CHOOSE(CONTROL!$C$9, $D$9, 100%, $F$9) + CHOOSE(CONTROL!$C$27, 0.0021, 0)</f>
        <v>91.379800000000003</v>
      </c>
      <c r="G537" s="14">
        <f>91.6491 * CHOOSE(CONTROL!$C$9, $D$9, 100%, $F$9) + CHOOSE(CONTROL!$C$27, 0.0021, 0)</f>
        <v>91.651200000000003</v>
      </c>
      <c r="H537" s="14">
        <f>91.5144 * CHOOSE(CONTROL!$C$9, $D$9, 100%, $F$9) + CHOOSE(CONTROL!$C$27, 0.0021, 0)</f>
        <v>91.516499999999994</v>
      </c>
      <c r="I537" s="14">
        <f>91.5144 * CHOOSE(CONTROL!$C$9, $D$9, 100%, $F$9) + CHOOSE(CONTROL!$C$27, 0.0021, 0)</f>
        <v>91.516499999999994</v>
      </c>
      <c r="J537" s="14">
        <f>91.5144 * CHOOSE(CONTROL!$C$9, $D$9, 100%, $F$9) + CHOOSE(CONTROL!$C$27, 0.0021, 0)</f>
        <v>91.516499999999994</v>
      </c>
      <c r="K537" s="14">
        <f>91.5144 * CHOOSE(CONTROL!$C$9, $D$9, 100%, $F$9) + CHOOSE(CONTROL!$C$27, 0.0021, 0)</f>
        <v>91.516499999999994</v>
      </c>
      <c r="L537" s="14"/>
    </row>
    <row r="538" spans="1:12" ht="15.75" x14ac:dyDescent="0.25">
      <c r="A538" s="32">
        <v>57314</v>
      </c>
      <c r="B538" s="14">
        <f>92.1537 * CHOOSE(CONTROL!$C$9, $D$9, 100%, $F$9) + CHOOSE(CONTROL!$C$27, 0.0021, 0)</f>
        <v>92.155799999999999</v>
      </c>
      <c r="C538" s="14">
        <f>91.7215 * CHOOSE(CONTROL!$C$9, $D$9, 100%, $F$9) + CHOOSE(CONTROL!$C$27, 0.0021, 0)</f>
        <v>91.723600000000005</v>
      </c>
      <c r="D538" s="14">
        <f>91.7215 * CHOOSE(CONTROL!$C$9, $D$9, 100%, $F$9) + CHOOSE(CONTROL!$C$27, 0.0021, 0)</f>
        <v>91.723600000000005</v>
      </c>
      <c r="E538" s="14">
        <f>91.5848 * CHOOSE(CONTROL!$C$9, $D$9, 100%, $F$9) + CHOOSE(CONTROL!$C$27, 0.0021, 0)</f>
        <v>91.5869</v>
      </c>
      <c r="F538" s="14">
        <f>91.5848 * CHOOSE(CONTROL!$C$9, $D$9, 100%, $F$9) + CHOOSE(CONTROL!$C$27, 0.0021, 0)</f>
        <v>91.5869</v>
      </c>
      <c r="G538" s="14">
        <f>91.8562 * CHOOSE(CONTROL!$C$9, $D$9, 100%, $F$9) + CHOOSE(CONTROL!$C$27, 0.0021, 0)</f>
        <v>91.8583</v>
      </c>
      <c r="H538" s="14">
        <f>91.7215 * CHOOSE(CONTROL!$C$9, $D$9, 100%, $F$9) + CHOOSE(CONTROL!$C$27, 0.0021, 0)</f>
        <v>91.723600000000005</v>
      </c>
      <c r="I538" s="14">
        <f>91.7215 * CHOOSE(CONTROL!$C$9, $D$9, 100%, $F$9) + CHOOSE(CONTROL!$C$27, 0.0021, 0)</f>
        <v>91.723600000000005</v>
      </c>
      <c r="J538" s="14">
        <f>91.7215 * CHOOSE(CONTROL!$C$9, $D$9, 100%, $F$9) + CHOOSE(CONTROL!$C$27, 0.0021, 0)</f>
        <v>91.723600000000005</v>
      </c>
      <c r="K538" s="14">
        <f>91.7215 * CHOOSE(CONTROL!$C$9, $D$9, 100%, $F$9) + CHOOSE(CONTROL!$C$27, 0.0021, 0)</f>
        <v>91.723600000000005</v>
      </c>
      <c r="L538" s="14"/>
    </row>
    <row r="539" spans="1:12" ht="15.75" x14ac:dyDescent="0.25">
      <c r="A539" s="32">
        <v>57345</v>
      </c>
      <c r="B539" s="14">
        <f>90.3917 * CHOOSE(CONTROL!$C$9, $D$9, 100%, $F$9) + CHOOSE(CONTROL!$C$27, 0.0021, 0)</f>
        <v>90.393799999999999</v>
      </c>
      <c r="C539" s="14">
        <f>89.9595 * CHOOSE(CONTROL!$C$9, $D$9, 100%, $F$9) + CHOOSE(CONTROL!$C$27, 0.0021, 0)</f>
        <v>89.961600000000004</v>
      </c>
      <c r="D539" s="14">
        <f>89.9595 * CHOOSE(CONTROL!$C$9, $D$9, 100%, $F$9) + CHOOSE(CONTROL!$C$27, 0.0021, 0)</f>
        <v>89.961600000000004</v>
      </c>
      <c r="E539" s="14">
        <f>89.8228 * CHOOSE(CONTROL!$C$9, $D$9, 100%, $F$9) + CHOOSE(CONTROL!$C$27, 0.0021, 0)</f>
        <v>89.8249</v>
      </c>
      <c r="F539" s="14">
        <f>89.8228 * CHOOSE(CONTROL!$C$9, $D$9, 100%, $F$9) + CHOOSE(CONTROL!$C$27, 0.0021, 0)</f>
        <v>89.8249</v>
      </c>
      <c r="G539" s="14">
        <f>90.0942 * CHOOSE(CONTROL!$C$9, $D$9, 100%, $F$9) + CHOOSE(CONTROL!$C$27, 0.0021, 0)</f>
        <v>90.096299999999999</v>
      </c>
      <c r="H539" s="14">
        <f>89.9595 * CHOOSE(CONTROL!$C$9, $D$9, 100%, $F$9) + CHOOSE(CONTROL!$C$27, 0.0021, 0)</f>
        <v>89.961600000000004</v>
      </c>
      <c r="I539" s="14">
        <f>89.9595 * CHOOSE(CONTROL!$C$9, $D$9, 100%, $F$9) + CHOOSE(CONTROL!$C$27, 0.0021, 0)</f>
        <v>89.961600000000004</v>
      </c>
      <c r="J539" s="14">
        <f>89.9595 * CHOOSE(CONTROL!$C$9, $D$9, 100%, $F$9) + CHOOSE(CONTROL!$C$27, 0.0021, 0)</f>
        <v>89.961600000000004</v>
      </c>
      <c r="K539" s="14">
        <f>89.9595 * CHOOSE(CONTROL!$C$9, $D$9, 100%, $F$9) + CHOOSE(CONTROL!$C$27, 0.0021, 0)</f>
        <v>89.961600000000004</v>
      </c>
      <c r="L539" s="14"/>
    </row>
    <row r="540" spans="1:12" ht="15.75" x14ac:dyDescent="0.25">
      <c r="A540" s="32">
        <v>57376</v>
      </c>
      <c r="B540" s="14">
        <f>89.2781 * CHOOSE(CONTROL!$C$9, $D$9, 100%, $F$9) + CHOOSE(CONTROL!$C$27, 0.0021, 0)</f>
        <v>89.280199999999994</v>
      </c>
      <c r="C540" s="14">
        <f>88.8458 * CHOOSE(CONTROL!$C$9, $D$9, 100%, $F$9) + CHOOSE(CONTROL!$C$27, 0.0021, 0)</f>
        <v>88.847899999999996</v>
      </c>
      <c r="D540" s="14">
        <f>88.8458 * CHOOSE(CONTROL!$C$9, $D$9, 100%, $F$9) + CHOOSE(CONTROL!$C$27, 0.0021, 0)</f>
        <v>88.847899999999996</v>
      </c>
      <c r="E540" s="14">
        <f>88.7092 * CHOOSE(CONTROL!$C$9, $D$9, 100%, $F$9) + CHOOSE(CONTROL!$C$27, 0.0021, 0)</f>
        <v>88.711299999999994</v>
      </c>
      <c r="F540" s="14">
        <f>88.7092 * CHOOSE(CONTROL!$C$9, $D$9, 100%, $F$9) + CHOOSE(CONTROL!$C$27, 0.0021, 0)</f>
        <v>88.711299999999994</v>
      </c>
      <c r="G540" s="14">
        <f>88.9806 * CHOOSE(CONTROL!$C$9, $D$9, 100%, $F$9) + CHOOSE(CONTROL!$C$27, 0.0021, 0)</f>
        <v>88.982699999999994</v>
      </c>
      <c r="H540" s="14">
        <f>88.8458 * CHOOSE(CONTROL!$C$9, $D$9, 100%, $F$9) + CHOOSE(CONTROL!$C$27, 0.0021, 0)</f>
        <v>88.847899999999996</v>
      </c>
      <c r="I540" s="14">
        <f>88.8458 * CHOOSE(CONTROL!$C$9, $D$9, 100%, $F$9) + CHOOSE(CONTROL!$C$27, 0.0021, 0)</f>
        <v>88.847899999999996</v>
      </c>
      <c r="J540" s="14">
        <f>88.8458 * CHOOSE(CONTROL!$C$9, $D$9, 100%, $F$9) + CHOOSE(CONTROL!$C$27, 0.0021, 0)</f>
        <v>88.847899999999996</v>
      </c>
      <c r="K540" s="14">
        <f>88.8458 * CHOOSE(CONTROL!$C$9, $D$9, 100%, $F$9) + CHOOSE(CONTROL!$C$27, 0.0021, 0)</f>
        <v>88.847899999999996</v>
      </c>
      <c r="L540" s="14"/>
    </row>
    <row r="541" spans="1:12" ht="15.75" x14ac:dyDescent="0.25">
      <c r="A541" s="32">
        <v>57404</v>
      </c>
      <c r="B541" s="14">
        <f>86.8177 * CHOOSE(CONTROL!$C$9, $D$9, 100%, $F$9) + CHOOSE(CONTROL!$C$27, 0.0021, 0)</f>
        <v>86.819800000000001</v>
      </c>
      <c r="C541" s="14">
        <f>86.3854 * CHOOSE(CONTROL!$C$9, $D$9, 100%, $F$9) + CHOOSE(CONTROL!$C$27, 0.0021, 0)</f>
        <v>86.387500000000003</v>
      </c>
      <c r="D541" s="14">
        <f>86.3854 * CHOOSE(CONTROL!$C$9, $D$9, 100%, $F$9) + CHOOSE(CONTROL!$C$27, 0.0021, 0)</f>
        <v>86.387500000000003</v>
      </c>
      <c r="E541" s="14">
        <f>86.2488 * CHOOSE(CONTROL!$C$9, $D$9, 100%, $F$9) + CHOOSE(CONTROL!$C$27, 0.0021, 0)</f>
        <v>86.250900000000001</v>
      </c>
      <c r="F541" s="14">
        <f>86.2488 * CHOOSE(CONTROL!$C$9, $D$9, 100%, $F$9) + CHOOSE(CONTROL!$C$27, 0.0021, 0)</f>
        <v>86.250900000000001</v>
      </c>
      <c r="G541" s="14">
        <f>86.5201 * CHOOSE(CONTROL!$C$9, $D$9, 100%, $F$9) + CHOOSE(CONTROL!$C$27, 0.0021, 0)</f>
        <v>86.522199999999998</v>
      </c>
      <c r="H541" s="14">
        <f>86.3854 * CHOOSE(CONTROL!$C$9, $D$9, 100%, $F$9) + CHOOSE(CONTROL!$C$27, 0.0021, 0)</f>
        <v>86.387500000000003</v>
      </c>
      <c r="I541" s="14">
        <f>86.3854 * CHOOSE(CONTROL!$C$9, $D$9, 100%, $F$9) + CHOOSE(CONTROL!$C$27, 0.0021, 0)</f>
        <v>86.387500000000003</v>
      </c>
      <c r="J541" s="14">
        <f>86.3854 * CHOOSE(CONTROL!$C$9, $D$9, 100%, $F$9) + CHOOSE(CONTROL!$C$27, 0.0021, 0)</f>
        <v>86.387500000000003</v>
      </c>
      <c r="K541" s="14">
        <f>86.3854 * CHOOSE(CONTROL!$C$9, $D$9, 100%, $F$9) + CHOOSE(CONTROL!$C$27, 0.0021, 0)</f>
        <v>86.387500000000003</v>
      </c>
      <c r="L541" s="14"/>
    </row>
    <row r="542" spans="1:12" ht="15.75" x14ac:dyDescent="0.25">
      <c r="A542" s="32">
        <v>57435</v>
      </c>
      <c r="B542" s="14">
        <f>85.802 * CHOOSE(CONTROL!$C$9, $D$9, 100%, $F$9) + CHOOSE(CONTROL!$C$27, 0.0021, 0)</f>
        <v>85.804100000000005</v>
      </c>
      <c r="C542" s="14">
        <f>85.3698 * CHOOSE(CONTROL!$C$9, $D$9, 100%, $F$9) + CHOOSE(CONTROL!$C$27, 0.0021, 0)</f>
        <v>85.371899999999997</v>
      </c>
      <c r="D542" s="14">
        <f>85.3698 * CHOOSE(CONTROL!$C$9, $D$9, 100%, $F$9) + CHOOSE(CONTROL!$C$27, 0.0021, 0)</f>
        <v>85.371899999999997</v>
      </c>
      <c r="E542" s="14">
        <f>85.2331 * CHOOSE(CONTROL!$C$9, $D$9, 100%, $F$9) + CHOOSE(CONTROL!$C$27, 0.0021, 0)</f>
        <v>85.235199999999992</v>
      </c>
      <c r="F542" s="14">
        <f>85.2331 * CHOOSE(CONTROL!$C$9, $D$9, 100%, $F$9) + CHOOSE(CONTROL!$C$27, 0.0021, 0)</f>
        <v>85.235199999999992</v>
      </c>
      <c r="G542" s="14">
        <f>85.5045 * CHOOSE(CONTROL!$C$9, $D$9, 100%, $F$9) + CHOOSE(CONTROL!$C$27, 0.0021, 0)</f>
        <v>85.506599999999992</v>
      </c>
      <c r="H542" s="14">
        <f>85.3698 * CHOOSE(CONTROL!$C$9, $D$9, 100%, $F$9) + CHOOSE(CONTROL!$C$27, 0.0021, 0)</f>
        <v>85.371899999999997</v>
      </c>
      <c r="I542" s="14">
        <f>85.3698 * CHOOSE(CONTROL!$C$9, $D$9, 100%, $F$9) + CHOOSE(CONTROL!$C$27, 0.0021, 0)</f>
        <v>85.371899999999997</v>
      </c>
      <c r="J542" s="14">
        <f>85.3698 * CHOOSE(CONTROL!$C$9, $D$9, 100%, $F$9) + CHOOSE(CONTROL!$C$27, 0.0021, 0)</f>
        <v>85.371899999999997</v>
      </c>
      <c r="K542" s="14">
        <f>85.3698 * CHOOSE(CONTROL!$C$9, $D$9, 100%, $F$9) + CHOOSE(CONTROL!$C$27, 0.0021, 0)</f>
        <v>85.371899999999997</v>
      </c>
      <c r="L542" s="14"/>
    </row>
    <row r="543" spans="1:12" ht="15.75" x14ac:dyDescent="0.25">
      <c r="A543" s="32">
        <v>57465</v>
      </c>
      <c r="B543" s="14">
        <f>84.5893 * CHOOSE(CONTROL!$C$9, $D$9, 100%, $F$9) + CHOOSE(CONTROL!$C$27, 0.0021, 0)</f>
        <v>84.591399999999993</v>
      </c>
      <c r="C543" s="14">
        <f>84.157 * CHOOSE(CONTROL!$C$9, $D$9, 100%, $F$9) + CHOOSE(CONTROL!$C$27, 0.0021, 0)</f>
        <v>84.159099999999995</v>
      </c>
      <c r="D543" s="14">
        <f>84.157 * CHOOSE(CONTROL!$C$9, $D$9, 100%, $F$9) + CHOOSE(CONTROL!$C$27, 0.0021, 0)</f>
        <v>84.159099999999995</v>
      </c>
      <c r="E543" s="14">
        <f>84.0204 * CHOOSE(CONTROL!$C$9, $D$9, 100%, $F$9) + CHOOSE(CONTROL!$C$27, 0.0021, 0)</f>
        <v>84.022499999999994</v>
      </c>
      <c r="F543" s="14">
        <f>84.0204 * CHOOSE(CONTROL!$C$9, $D$9, 100%, $F$9) + CHOOSE(CONTROL!$C$27, 0.0021, 0)</f>
        <v>84.022499999999994</v>
      </c>
      <c r="G543" s="14">
        <f>84.2918 * CHOOSE(CONTROL!$C$9, $D$9, 100%, $F$9) + CHOOSE(CONTROL!$C$27, 0.0021, 0)</f>
        <v>84.293899999999994</v>
      </c>
      <c r="H543" s="14">
        <f>84.157 * CHOOSE(CONTROL!$C$9, $D$9, 100%, $F$9) + CHOOSE(CONTROL!$C$27, 0.0021, 0)</f>
        <v>84.159099999999995</v>
      </c>
      <c r="I543" s="14">
        <f>84.157 * CHOOSE(CONTROL!$C$9, $D$9, 100%, $F$9) + CHOOSE(CONTROL!$C$27, 0.0021, 0)</f>
        <v>84.159099999999995</v>
      </c>
      <c r="J543" s="14">
        <f>84.157 * CHOOSE(CONTROL!$C$9, $D$9, 100%, $F$9) + CHOOSE(CONTROL!$C$27, 0.0021, 0)</f>
        <v>84.159099999999995</v>
      </c>
      <c r="K543" s="14">
        <f>84.157 * CHOOSE(CONTROL!$C$9, $D$9, 100%, $F$9) + CHOOSE(CONTROL!$C$27, 0.0021, 0)</f>
        <v>84.159099999999995</v>
      </c>
      <c r="L543" s="14"/>
    </row>
    <row r="544" spans="1:12" ht="15.75" x14ac:dyDescent="0.25">
      <c r="A544" s="32">
        <v>57496</v>
      </c>
      <c r="B544" s="14">
        <f>86.3176 * CHOOSE(CONTROL!$C$9, $D$9, 100%, $F$9) + CHOOSE(CONTROL!$C$27, 0.0021, 0)</f>
        <v>86.319699999999997</v>
      </c>
      <c r="C544" s="14">
        <f>85.8853 * CHOOSE(CONTROL!$C$9, $D$9, 100%, $F$9) + CHOOSE(CONTROL!$C$27, 0.0021, 0)</f>
        <v>85.8874</v>
      </c>
      <c r="D544" s="14">
        <f>85.8853 * CHOOSE(CONTROL!$C$9, $D$9, 100%, $F$9) + CHOOSE(CONTROL!$C$27, 0.0021, 0)</f>
        <v>85.8874</v>
      </c>
      <c r="E544" s="14">
        <f>85.7486 * CHOOSE(CONTROL!$C$9, $D$9, 100%, $F$9) + CHOOSE(CONTROL!$C$27, 0.0021, 0)</f>
        <v>85.750699999999995</v>
      </c>
      <c r="F544" s="14">
        <f>85.7486 * CHOOSE(CONTROL!$C$9, $D$9, 100%, $F$9) + CHOOSE(CONTROL!$C$27, 0.0021, 0)</f>
        <v>85.750699999999995</v>
      </c>
      <c r="G544" s="14">
        <f>86.02 * CHOOSE(CONTROL!$C$9, $D$9, 100%, $F$9) + CHOOSE(CONTROL!$C$27, 0.0021, 0)</f>
        <v>86.022099999999995</v>
      </c>
      <c r="H544" s="14">
        <f>85.8853 * CHOOSE(CONTROL!$C$9, $D$9, 100%, $F$9) + CHOOSE(CONTROL!$C$27, 0.0021, 0)</f>
        <v>85.8874</v>
      </c>
      <c r="I544" s="14">
        <f>85.8853 * CHOOSE(CONTROL!$C$9, $D$9, 100%, $F$9) + CHOOSE(CONTROL!$C$27, 0.0021, 0)</f>
        <v>85.8874</v>
      </c>
      <c r="J544" s="14">
        <f>85.8853 * CHOOSE(CONTROL!$C$9, $D$9, 100%, $F$9) + CHOOSE(CONTROL!$C$27, 0.0021, 0)</f>
        <v>85.8874</v>
      </c>
      <c r="K544" s="14">
        <f>85.8853 * CHOOSE(CONTROL!$C$9, $D$9, 100%, $F$9) + CHOOSE(CONTROL!$C$27, 0.0021, 0)</f>
        <v>85.8874</v>
      </c>
      <c r="L544" s="14"/>
    </row>
    <row r="545" spans="1:12" ht="15.75" x14ac:dyDescent="0.25">
      <c r="A545" s="32">
        <v>57526</v>
      </c>
      <c r="B545" s="14">
        <f>87.3527 * CHOOSE(CONTROL!$C$9, $D$9, 100%, $F$9) + CHOOSE(CONTROL!$C$27, 0.0021, 0)</f>
        <v>87.354799999999997</v>
      </c>
      <c r="C545" s="14">
        <f>86.9205 * CHOOSE(CONTROL!$C$9, $D$9, 100%, $F$9) + CHOOSE(CONTROL!$C$27, 0.0021, 0)</f>
        <v>86.922600000000003</v>
      </c>
      <c r="D545" s="14">
        <f>86.9205 * CHOOSE(CONTROL!$C$9, $D$9, 100%, $F$9) + CHOOSE(CONTROL!$C$27, 0.0021, 0)</f>
        <v>86.922600000000003</v>
      </c>
      <c r="E545" s="14">
        <f>86.7838 * CHOOSE(CONTROL!$C$9, $D$9, 100%, $F$9) + CHOOSE(CONTROL!$C$27, 0.0021, 0)</f>
        <v>86.785899999999998</v>
      </c>
      <c r="F545" s="14">
        <f>86.7838 * CHOOSE(CONTROL!$C$9, $D$9, 100%, $F$9) + CHOOSE(CONTROL!$C$27, 0.0021, 0)</f>
        <v>86.785899999999998</v>
      </c>
      <c r="G545" s="14">
        <f>87.0552 * CHOOSE(CONTROL!$C$9, $D$9, 100%, $F$9) + CHOOSE(CONTROL!$C$27, 0.0021, 0)</f>
        <v>87.057299999999998</v>
      </c>
      <c r="H545" s="14">
        <f>86.9205 * CHOOSE(CONTROL!$C$9, $D$9, 100%, $F$9) + CHOOSE(CONTROL!$C$27, 0.0021, 0)</f>
        <v>86.922600000000003</v>
      </c>
      <c r="I545" s="14">
        <f>86.9205 * CHOOSE(CONTROL!$C$9, $D$9, 100%, $F$9) + CHOOSE(CONTROL!$C$27, 0.0021, 0)</f>
        <v>86.922600000000003</v>
      </c>
      <c r="J545" s="14">
        <f>86.9205 * CHOOSE(CONTROL!$C$9, $D$9, 100%, $F$9) + CHOOSE(CONTROL!$C$27, 0.0021, 0)</f>
        <v>86.922600000000003</v>
      </c>
      <c r="K545" s="14">
        <f>86.9205 * CHOOSE(CONTROL!$C$9, $D$9, 100%, $F$9) + CHOOSE(CONTROL!$C$27, 0.0021, 0)</f>
        <v>86.922600000000003</v>
      </c>
      <c r="L545" s="14"/>
    </row>
    <row r="546" spans="1:12" ht="15.75" x14ac:dyDescent="0.25">
      <c r="A546" s="32">
        <v>57557</v>
      </c>
      <c r="B546" s="14">
        <f>89.0604 * CHOOSE(CONTROL!$C$9, $D$9, 100%, $F$9) + CHOOSE(CONTROL!$C$27, 0.0021, 0)</f>
        <v>89.0625</v>
      </c>
      <c r="C546" s="14">
        <f>88.6281 * CHOOSE(CONTROL!$C$9, $D$9, 100%, $F$9) + CHOOSE(CONTROL!$C$27, 0.0021, 0)</f>
        <v>88.630200000000002</v>
      </c>
      <c r="D546" s="14">
        <f>88.6281 * CHOOSE(CONTROL!$C$9, $D$9, 100%, $F$9) + CHOOSE(CONTROL!$C$27, 0.0021, 0)</f>
        <v>88.630200000000002</v>
      </c>
      <c r="E546" s="14">
        <f>88.4915 * CHOOSE(CONTROL!$C$9, $D$9, 100%, $F$9) + CHOOSE(CONTROL!$C$27, 0.0021, 0)</f>
        <v>88.493600000000001</v>
      </c>
      <c r="F546" s="14">
        <f>88.4915 * CHOOSE(CONTROL!$C$9, $D$9, 100%, $F$9) + CHOOSE(CONTROL!$C$27, 0.0021, 0)</f>
        <v>88.493600000000001</v>
      </c>
      <c r="G546" s="14">
        <f>88.7628 * CHOOSE(CONTROL!$C$9, $D$9, 100%, $F$9) + CHOOSE(CONTROL!$C$27, 0.0021, 0)</f>
        <v>88.764899999999997</v>
      </c>
      <c r="H546" s="14">
        <f>88.6281 * CHOOSE(CONTROL!$C$9, $D$9, 100%, $F$9) + CHOOSE(CONTROL!$C$27, 0.0021, 0)</f>
        <v>88.630200000000002</v>
      </c>
      <c r="I546" s="14">
        <f>88.6281 * CHOOSE(CONTROL!$C$9, $D$9, 100%, $F$9) + CHOOSE(CONTROL!$C$27, 0.0021, 0)</f>
        <v>88.630200000000002</v>
      </c>
      <c r="J546" s="14">
        <f>88.6281 * CHOOSE(CONTROL!$C$9, $D$9, 100%, $F$9) + CHOOSE(CONTROL!$C$27, 0.0021, 0)</f>
        <v>88.630200000000002</v>
      </c>
      <c r="K546" s="14">
        <f>88.6281 * CHOOSE(CONTROL!$C$9, $D$9, 100%, $F$9) + CHOOSE(CONTROL!$C$27, 0.0021, 0)</f>
        <v>88.630200000000002</v>
      </c>
      <c r="L546" s="14"/>
    </row>
    <row r="547" spans="1:12" ht="15.75" x14ac:dyDescent="0.25">
      <c r="A547" s="32">
        <v>57588</v>
      </c>
      <c r="B547" s="14">
        <f>89.5816 * CHOOSE(CONTROL!$C$9, $D$9, 100%, $F$9) + CHOOSE(CONTROL!$C$27, 0.0021, 0)</f>
        <v>89.583699999999993</v>
      </c>
      <c r="C547" s="14">
        <f>89.1493 * CHOOSE(CONTROL!$C$9, $D$9, 100%, $F$9) + CHOOSE(CONTROL!$C$27, 0.0021, 0)</f>
        <v>89.151399999999995</v>
      </c>
      <c r="D547" s="14">
        <f>89.1493 * CHOOSE(CONTROL!$C$9, $D$9, 100%, $F$9) + CHOOSE(CONTROL!$C$27, 0.0021, 0)</f>
        <v>89.151399999999995</v>
      </c>
      <c r="E547" s="14">
        <f>89.0127 * CHOOSE(CONTROL!$C$9, $D$9, 100%, $F$9) + CHOOSE(CONTROL!$C$27, 0.0021, 0)</f>
        <v>89.014799999999994</v>
      </c>
      <c r="F547" s="14">
        <f>89.0127 * CHOOSE(CONTROL!$C$9, $D$9, 100%, $F$9) + CHOOSE(CONTROL!$C$27, 0.0021, 0)</f>
        <v>89.014799999999994</v>
      </c>
      <c r="G547" s="14">
        <f>89.2841 * CHOOSE(CONTROL!$C$9, $D$9, 100%, $F$9) + CHOOSE(CONTROL!$C$27, 0.0021, 0)</f>
        <v>89.286199999999994</v>
      </c>
      <c r="H547" s="14">
        <f>89.1493 * CHOOSE(CONTROL!$C$9, $D$9, 100%, $F$9) + CHOOSE(CONTROL!$C$27, 0.0021, 0)</f>
        <v>89.151399999999995</v>
      </c>
      <c r="I547" s="14">
        <f>89.1493 * CHOOSE(CONTROL!$C$9, $D$9, 100%, $F$9) + CHOOSE(CONTROL!$C$27, 0.0021, 0)</f>
        <v>89.151399999999995</v>
      </c>
      <c r="J547" s="14">
        <f>89.1493 * CHOOSE(CONTROL!$C$9, $D$9, 100%, $F$9) + CHOOSE(CONTROL!$C$27, 0.0021, 0)</f>
        <v>89.151399999999995</v>
      </c>
      <c r="K547" s="14">
        <f>89.1493 * CHOOSE(CONTROL!$C$9, $D$9, 100%, $F$9) + CHOOSE(CONTROL!$C$27, 0.0021, 0)</f>
        <v>89.151399999999995</v>
      </c>
      <c r="L547" s="14"/>
    </row>
    <row r="548" spans="1:12" ht="15.75" x14ac:dyDescent="0.25">
      <c r="A548" s="32">
        <v>57618</v>
      </c>
      <c r="B548" s="14">
        <f>91.3566 * CHOOSE(CONTROL!$C$9, $D$9, 100%, $F$9) + CHOOSE(CONTROL!$C$27, 0.0021, 0)</f>
        <v>91.358699999999999</v>
      </c>
      <c r="C548" s="14">
        <f>90.9244 * CHOOSE(CONTROL!$C$9, $D$9, 100%, $F$9) + CHOOSE(CONTROL!$C$27, 0.0021, 0)</f>
        <v>90.926500000000004</v>
      </c>
      <c r="D548" s="14">
        <f>90.9244 * CHOOSE(CONTROL!$C$9, $D$9, 100%, $F$9) + CHOOSE(CONTROL!$C$27, 0.0021, 0)</f>
        <v>90.926500000000004</v>
      </c>
      <c r="E548" s="14">
        <f>90.7877 * CHOOSE(CONTROL!$C$9, $D$9, 100%, $F$9) + CHOOSE(CONTROL!$C$27, 0.0021, 0)</f>
        <v>90.7898</v>
      </c>
      <c r="F548" s="14">
        <f>90.7877 * CHOOSE(CONTROL!$C$9, $D$9, 100%, $F$9) + CHOOSE(CONTROL!$C$27, 0.0021, 0)</f>
        <v>90.7898</v>
      </c>
      <c r="G548" s="14">
        <f>91.0591 * CHOOSE(CONTROL!$C$9, $D$9, 100%, $F$9) + CHOOSE(CONTROL!$C$27, 0.0021, 0)</f>
        <v>91.061199999999999</v>
      </c>
      <c r="H548" s="14">
        <f>90.9244 * CHOOSE(CONTROL!$C$9, $D$9, 100%, $F$9) + CHOOSE(CONTROL!$C$27, 0.0021, 0)</f>
        <v>90.926500000000004</v>
      </c>
      <c r="I548" s="14">
        <f>90.9244 * CHOOSE(CONTROL!$C$9, $D$9, 100%, $F$9) + CHOOSE(CONTROL!$C$27, 0.0021, 0)</f>
        <v>90.926500000000004</v>
      </c>
      <c r="J548" s="14">
        <f>90.9244 * CHOOSE(CONTROL!$C$9, $D$9, 100%, $F$9) + CHOOSE(CONTROL!$C$27, 0.0021, 0)</f>
        <v>90.926500000000004</v>
      </c>
      <c r="K548" s="14">
        <f>90.9244 * CHOOSE(CONTROL!$C$9, $D$9, 100%, $F$9) + CHOOSE(CONTROL!$C$27, 0.0021, 0)</f>
        <v>90.926500000000004</v>
      </c>
      <c r="L548" s="14"/>
    </row>
    <row r="549" spans="1:12" ht="15.75" x14ac:dyDescent="0.25">
      <c r="A549" s="32">
        <v>57649</v>
      </c>
      <c r="B549" s="14">
        <f>93.6035 * CHOOSE(CONTROL!$C$9, $D$9, 100%, $F$9) + CHOOSE(CONTROL!$C$27, 0.0021, 0)</f>
        <v>93.605599999999995</v>
      </c>
      <c r="C549" s="14">
        <f>93.1712 * CHOOSE(CONTROL!$C$9, $D$9, 100%, $F$9) + CHOOSE(CONTROL!$C$27, 0.0021, 0)</f>
        <v>93.173299999999998</v>
      </c>
      <c r="D549" s="14">
        <f>93.1712 * CHOOSE(CONTROL!$C$9, $D$9, 100%, $F$9) + CHOOSE(CONTROL!$C$27, 0.0021, 0)</f>
        <v>93.173299999999998</v>
      </c>
      <c r="E549" s="14">
        <f>93.0346 * CHOOSE(CONTROL!$C$9, $D$9, 100%, $F$9) + CHOOSE(CONTROL!$C$27, 0.0021, 0)</f>
        <v>93.036699999999996</v>
      </c>
      <c r="F549" s="14">
        <f>93.0346 * CHOOSE(CONTROL!$C$9, $D$9, 100%, $F$9) + CHOOSE(CONTROL!$C$27, 0.0021, 0)</f>
        <v>93.036699999999996</v>
      </c>
      <c r="G549" s="14">
        <f>93.306 * CHOOSE(CONTROL!$C$9, $D$9, 100%, $F$9) + CHOOSE(CONTROL!$C$27, 0.0021, 0)</f>
        <v>93.308099999999996</v>
      </c>
      <c r="H549" s="14">
        <f>93.1712 * CHOOSE(CONTROL!$C$9, $D$9, 100%, $F$9) + CHOOSE(CONTROL!$C$27, 0.0021, 0)</f>
        <v>93.173299999999998</v>
      </c>
      <c r="I549" s="14">
        <f>93.1712 * CHOOSE(CONTROL!$C$9, $D$9, 100%, $F$9) + CHOOSE(CONTROL!$C$27, 0.0021, 0)</f>
        <v>93.173299999999998</v>
      </c>
      <c r="J549" s="14">
        <f>93.1712 * CHOOSE(CONTROL!$C$9, $D$9, 100%, $F$9) + CHOOSE(CONTROL!$C$27, 0.0021, 0)</f>
        <v>93.173299999999998</v>
      </c>
      <c r="K549" s="14">
        <f>93.1712 * CHOOSE(CONTROL!$C$9, $D$9, 100%, $F$9) + CHOOSE(CONTROL!$C$27, 0.0021, 0)</f>
        <v>93.173299999999998</v>
      </c>
      <c r="L549" s="14"/>
    </row>
    <row r="550" spans="1:12" ht="15.75" x14ac:dyDescent="0.25">
      <c r="A550" s="32">
        <v>57679</v>
      </c>
      <c r="B550" s="14">
        <f>93.8144 * CHOOSE(CONTROL!$C$9, $D$9, 100%, $F$9) + CHOOSE(CONTROL!$C$27, 0.0021, 0)</f>
        <v>93.816500000000005</v>
      </c>
      <c r="C550" s="14">
        <f>93.3822 * CHOOSE(CONTROL!$C$9, $D$9, 100%, $F$9) + CHOOSE(CONTROL!$C$27, 0.0021, 0)</f>
        <v>93.384299999999996</v>
      </c>
      <c r="D550" s="14">
        <f>93.3822 * CHOOSE(CONTROL!$C$9, $D$9, 100%, $F$9) + CHOOSE(CONTROL!$C$27, 0.0021, 0)</f>
        <v>93.384299999999996</v>
      </c>
      <c r="E550" s="14">
        <f>93.2455 * CHOOSE(CONTROL!$C$9, $D$9, 100%, $F$9) + CHOOSE(CONTROL!$C$27, 0.0021, 0)</f>
        <v>93.247600000000006</v>
      </c>
      <c r="F550" s="14">
        <f>93.2455 * CHOOSE(CONTROL!$C$9, $D$9, 100%, $F$9) + CHOOSE(CONTROL!$C$27, 0.0021, 0)</f>
        <v>93.247600000000006</v>
      </c>
      <c r="G550" s="14">
        <f>93.5169 * CHOOSE(CONTROL!$C$9, $D$9, 100%, $F$9) + CHOOSE(CONTROL!$C$27, 0.0021, 0)</f>
        <v>93.519000000000005</v>
      </c>
      <c r="H550" s="14">
        <f>93.3822 * CHOOSE(CONTROL!$C$9, $D$9, 100%, $F$9) + CHOOSE(CONTROL!$C$27, 0.0021, 0)</f>
        <v>93.384299999999996</v>
      </c>
      <c r="I550" s="14">
        <f>93.3822 * CHOOSE(CONTROL!$C$9, $D$9, 100%, $F$9) + CHOOSE(CONTROL!$C$27, 0.0021, 0)</f>
        <v>93.384299999999996</v>
      </c>
      <c r="J550" s="14">
        <f>93.3822 * CHOOSE(CONTROL!$C$9, $D$9, 100%, $F$9) + CHOOSE(CONTROL!$C$27, 0.0021, 0)</f>
        <v>93.384299999999996</v>
      </c>
      <c r="K550" s="14">
        <f>93.3822 * CHOOSE(CONTROL!$C$9, $D$9, 100%, $F$9) + CHOOSE(CONTROL!$C$27, 0.0021, 0)</f>
        <v>93.384299999999996</v>
      </c>
      <c r="L550" s="14"/>
    </row>
    <row r="551" spans="1:12" ht="15.75" x14ac:dyDescent="0.25">
      <c r="A551" s="32">
        <v>57710</v>
      </c>
      <c r="B551" s="14">
        <f>92.0199 * CHOOSE(CONTROL!$C$9, $D$9, 100%, $F$9) + CHOOSE(CONTROL!$C$27, 0.0021, 0)</f>
        <v>92.022000000000006</v>
      </c>
      <c r="C551" s="14">
        <f>91.5876 * CHOOSE(CONTROL!$C$9, $D$9, 100%, $F$9) + CHOOSE(CONTROL!$C$27, 0.0021, 0)</f>
        <v>91.589699999999993</v>
      </c>
      <c r="D551" s="14">
        <f>91.5876 * CHOOSE(CONTROL!$C$9, $D$9, 100%, $F$9) + CHOOSE(CONTROL!$C$27, 0.0021, 0)</f>
        <v>91.589699999999993</v>
      </c>
      <c r="E551" s="14">
        <f>91.451 * CHOOSE(CONTROL!$C$9, $D$9, 100%, $F$9) + CHOOSE(CONTROL!$C$27, 0.0021, 0)</f>
        <v>91.453099999999992</v>
      </c>
      <c r="F551" s="14">
        <f>91.451 * CHOOSE(CONTROL!$C$9, $D$9, 100%, $F$9) + CHOOSE(CONTROL!$C$27, 0.0021, 0)</f>
        <v>91.453099999999992</v>
      </c>
      <c r="G551" s="14">
        <f>91.7224 * CHOOSE(CONTROL!$C$9, $D$9, 100%, $F$9) + CHOOSE(CONTROL!$C$27, 0.0021, 0)</f>
        <v>91.724499999999992</v>
      </c>
      <c r="H551" s="14">
        <f>91.5876 * CHOOSE(CONTROL!$C$9, $D$9, 100%, $F$9) + CHOOSE(CONTROL!$C$27, 0.0021, 0)</f>
        <v>91.589699999999993</v>
      </c>
      <c r="I551" s="14">
        <f>91.5876 * CHOOSE(CONTROL!$C$9, $D$9, 100%, $F$9) + CHOOSE(CONTROL!$C$27, 0.0021, 0)</f>
        <v>91.589699999999993</v>
      </c>
      <c r="J551" s="14">
        <f>91.5876 * CHOOSE(CONTROL!$C$9, $D$9, 100%, $F$9) + CHOOSE(CONTROL!$C$27, 0.0021, 0)</f>
        <v>91.589699999999993</v>
      </c>
      <c r="K551" s="14">
        <f>91.5876 * CHOOSE(CONTROL!$C$9, $D$9, 100%, $F$9) + CHOOSE(CONTROL!$C$27, 0.0021, 0)</f>
        <v>91.589699999999993</v>
      </c>
      <c r="L551" s="14"/>
    </row>
    <row r="552" spans="1:12" ht="15.75" x14ac:dyDescent="0.25">
      <c r="A552" s="32">
        <v>57741</v>
      </c>
      <c r="B552" s="14">
        <f>90.8857 * CHOOSE(CONTROL!$C$9, $D$9, 100%, $F$9) + CHOOSE(CONTROL!$C$27, 0.0021, 0)</f>
        <v>90.887799999999999</v>
      </c>
      <c r="C552" s="14">
        <f>90.4534 * CHOOSE(CONTROL!$C$9, $D$9, 100%, $F$9) + CHOOSE(CONTROL!$C$27, 0.0021, 0)</f>
        <v>90.455500000000001</v>
      </c>
      <c r="D552" s="14">
        <f>90.4534 * CHOOSE(CONTROL!$C$9, $D$9, 100%, $F$9) + CHOOSE(CONTROL!$C$27, 0.0021, 0)</f>
        <v>90.455500000000001</v>
      </c>
      <c r="E552" s="14">
        <f>90.3167 * CHOOSE(CONTROL!$C$9, $D$9, 100%, $F$9) + CHOOSE(CONTROL!$C$27, 0.0021, 0)</f>
        <v>90.318799999999996</v>
      </c>
      <c r="F552" s="14">
        <f>90.3167 * CHOOSE(CONTROL!$C$9, $D$9, 100%, $F$9) + CHOOSE(CONTROL!$C$27, 0.0021, 0)</f>
        <v>90.318799999999996</v>
      </c>
      <c r="G552" s="14">
        <f>90.5881 * CHOOSE(CONTROL!$C$9, $D$9, 100%, $F$9) + CHOOSE(CONTROL!$C$27, 0.0021, 0)</f>
        <v>90.590199999999996</v>
      </c>
      <c r="H552" s="14">
        <f>90.4534 * CHOOSE(CONTROL!$C$9, $D$9, 100%, $F$9) + CHOOSE(CONTROL!$C$27, 0.0021, 0)</f>
        <v>90.455500000000001</v>
      </c>
      <c r="I552" s="14">
        <f>90.4534 * CHOOSE(CONTROL!$C$9, $D$9, 100%, $F$9) + CHOOSE(CONTROL!$C$27, 0.0021, 0)</f>
        <v>90.455500000000001</v>
      </c>
      <c r="J552" s="14">
        <f>90.4534 * CHOOSE(CONTROL!$C$9, $D$9, 100%, $F$9) + CHOOSE(CONTROL!$C$27, 0.0021, 0)</f>
        <v>90.455500000000001</v>
      </c>
      <c r="K552" s="14">
        <f>90.4534 * CHOOSE(CONTROL!$C$9, $D$9, 100%, $F$9) + CHOOSE(CONTROL!$C$27, 0.0021, 0)</f>
        <v>90.455500000000001</v>
      </c>
      <c r="L552" s="14"/>
    </row>
    <row r="553" spans="1:12" ht="15.75" x14ac:dyDescent="0.25">
      <c r="A553" s="32">
        <v>57769</v>
      </c>
      <c r="B553" s="14">
        <f>88.3798 * CHOOSE(CONTROL!$C$9, $D$9, 100%, $F$9) + CHOOSE(CONTROL!$C$27, 0.0021, 0)</f>
        <v>88.381900000000002</v>
      </c>
      <c r="C553" s="14">
        <f>87.9475 * CHOOSE(CONTROL!$C$9, $D$9, 100%, $F$9) + CHOOSE(CONTROL!$C$27, 0.0021, 0)</f>
        <v>87.949600000000004</v>
      </c>
      <c r="D553" s="14">
        <f>87.9475 * CHOOSE(CONTROL!$C$9, $D$9, 100%, $F$9) + CHOOSE(CONTROL!$C$27, 0.0021, 0)</f>
        <v>87.949600000000004</v>
      </c>
      <c r="E553" s="14">
        <f>87.8108 * CHOOSE(CONTROL!$C$9, $D$9, 100%, $F$9) + CHOOSE(CONTROL!$C$27, 0.0021, 0)</f>
        <v>87.812899999999999</v>
      </c>
      <c r="F553" s="14">
        <f>87.8108 * CHOOSE(CONTROL!$C$9, $D$9, 100%, $F$9) + CHOOSE(CONTROL!$C$27, 0.0021, 0)</f>
        <v>87.812899999999999</v>
      </c>
      <c r="G553" s="14">
        <f>88.0822 * CHOOSE(CONTROL!$C$9, $D$9, 100%, $F$9) + CHOOSE(CONTROL!$C$27, 0.0021, 0)</f>
        <v>88.084299999999999</v>
      </c>
      <c r="H553" s="14">
        <f>87.9475 * CHOOSE(CONTROL!$C$9, $D$9, 100%, $F$9) + CHOOSE(CONTROL!$C$27, 0.0021, 0)</f>
        <v>87.949600000000004</v>
      </c>
      <c r="I553" s="14">
        <f>87.9475 * CHOOSE(CONTROL!$C$9, $D$9, 100%, $F$9) + CHOOSE(CONTROL!$C$27, 0.0021, 0)</f>
        <v>87.949600000000004</v>
      </c>
      <c r="J553" s="14">
        <f>87.9475 * CHOOSE(CONTROL!$C$9, $D$9, 100%, $F$9) + CHOOSE(CONTROL!$C$27, 0.0021, 0)</f>
        <v>87.949600000000004</v>
      </c>
      <c r="K553" s="14">
        <f>87.9475 * CHOOSE(CONTROL!$C$9, $D$9, 100%, $F$9) + CHOOSE(CONTROL!$C$27, 0.0021, 0)</f>
        <v>87.949600000000004</v>
      </c>
      <c r="L553" s="14"/>
    </row>
    <row r="554" spans="1:12" ht="15.75" x14ac:dyDescent="0.25">
      <c r="A554" s="32">
        <v>57800</v>
      </c>
      <c r="B554" s="14">
        <f>87.3453 * CHOOSE(CONTROL!$C$9, $D$9, 100%, $F$9) + CHOOSE(CONTROL!$C$27, 0.0021, 0)</f>
        <v>87.347399999999993</v>
      </c>
      <c r="C554" s="14">
        <f>86.9131 * CHOOSE(CONTROL!$C$9, $D$9, 100%, $F$9) + CHOOSE(CONTROL!$C$27, 0.0021, 0)</f>
        <v>86.915199999999999</v>
      </c>
      <c r="D554" s="14">
        <f>86.9131 * CHOOSE(CONTROL!$C$9, $D$9, 100%, $F$9) + CHOOSE(CONTROL!$C$27, 0.0021, 0)</f>
        <v>86.915199999999999</v>
      </c>
      <c r="E554" s="14">
        <f>86.7764 * CHOOSE(CONTROL!$C$9, $D$9, 100%, $F$9) + CHOOSE(CONTROL!$C$27, 0.0021, 0)</f>
        <v>86.778499999999994</v>
      </c>
      <c r="F554" s="14">
        <f>86.7764 * CHOOSE(CONTROL!$C$9, $D$9, 100%, $F$9) + CHOOSE(CONTROL!$C$27, 0.0021, 0)</f>
        <v>86.778499999999994</v>
      </c>
      <c r="G554" s="14">
        <f>87.0478 * CHOOSE(CONTROL!$C$9, $D$9, 100%, $F$9) + CHOOSE(CONTROL!$C$27, 0.0021, 0)</f>
        <v>87.049899999999994</v>
      </c>
      <c r="H554" s="14">
        <f>86.9131 * CHOOSE(CONTROL!$C$9, $D$9, 100%, $F$9) + CHOOSE(CONTROL!$C$27, 0.0021, 0)</f>
        <v>86.915199999999999</v>
      </c>
      <c r="I554" s="14">
        <f>86.9131 * CHOOSE(CONTROL!$C$9, $D$9, 100%, $F$9) + CHOOSE(CONTROL!$C$27, 0.0021, 0)</f>
        <v>86.915199999999999</v>
      </c>
      <c r="J554" s="14">
        <f>86.9131 * CHOOSE(CONTROL!$C$9, $D$9, 100%, $F$9) + CHOOSE(CONTROL!$C$27, 0.0021, 0)</f>
        <v>86.915199999999999</v>
      </c>
      <c r="K554" s="14">
        <f>86.9131 * CHOOSE(CONTROL!$C$9, $D$9, 100%, $F$9) + CHOOSE(CONTROL!$C$27, 0.0021, 0)</f>
        <v>86.915199999999999</v>
      </c>
      <c r="L554" s="14"/>
    </row>
    <row r="555" spans="1:12" ht="15.75" x14ac:dyDescent="0.25">
      <c r="A555" s="32">
        <v>57830</v>
      </c>
      <c r="B555" s="14">
        <f>86.1102 * CHOOSE(CONTROL!$C$9, $D$9, 100%, $F$9) + CHOOSE(CONTROL!$C$27, 0.0021, 0)</f>
        <v>86.112300000000005</v>
      </c>
      <c r="C555" s="14">
        <f>85.6779 * CHOOSE(CONTROL!$C$9, $D$9, 100%, $F$9) + CHOOSE(CONTROL!$C$27, 0.0021, 0)</f>
        <v>85.679999999999993</v>
      </c>
      <c r="D555" s="14">
        <f>85.6779 * CHOOSE(CONTROL!$C$9, $D$9, 100%, $F$9) + CHOOSE(CONTROL!$C$27, 0.0021, 0)</f>
        <v>85.679999999999993</v>
      </c>
      <c r="E555" s="14">
        <f>85.5413 * CHOOSE(CONTROL!$C$9, $D$9, 100%, $F$9) + CHOOSE(CONTROL!$C$27, 0.0021, 0)</f>
        <v>85.543400000000005</v>
      </c>
      <c r="F555" s="14">
        <f>85.5413 * CHOOSE(CONTROL!$C$9, $D$9, 100%, $F$9) + CHOOSE(CONTROL!$C$27, 0.0021, 0)</f>
        <v>85.543400000000005</v>
      </c>
      <c r="G555" s="14">
        <f>85.8127 * CHOOSE(CONTROL!$C$9, $D$9, 100%, $F$9) + CHOOSE(CONTROL!$C$27, 0.0021, 0)</f>
        <v>85.814800000000005</v>
      </c>
      <c r="H555" s="14">
        <f>85.6779 * CHOOSE(CONTROL!$C$9, $D$9, 100%, $F$9) + CHOOSE(CONTROL!$C$27, 0.0021, 0)</f>
        <v>85.679999999999993</v>
      </c>
      <c r="I555" s="14">
        <f>85.6779 * CHOOSE(CONTROL!$C$9, $D$9, 100%, $F$9) + CHOOSE(CONTROL!$C$27, 0.0021, 0)</f>
        <v>85.679999999999993</v>
      </c>
      <c r="J555" s="14">
        <f>85.6779 * CHOOSE(CONTROL!$C$9, $D$9, 100%, $F$9) + CHOOSE(CONTROL!$C$27, 0.0021, 0)</f>
        <v>85.679999999999993</v>
      </c>
      <c r="K555" s="14">
        <f>85.6779 * CHOOSE(CONTROL!$C$9, $D$9, 100%, $F$9) + CHOOSE(CONTROL!$C$27, 0.0021, 0)</f>
        <v>85.679999999999993</v>
      </c>
      <c r="L555" s="14"/>
    </row>
    <row r="556" spans="1:12" ht="15.75" x14ac:dyDescent="0.25">
      <c r="A556" s="32">
        <v>57861</v>
      </c>
      <c r="B556" s="14">
        <f>87.8704 * CHOOSE(CONTROL!$C$9, $D$9, 100%, $F$9) + CHOOSE(CONTROL!$C$27, 0.0021, 0)</f>
        <v>87.872500000000002</v>
      </c>
      <c r="C556" s="14">
        <f>87.4382 * CHOOSE(CONTROL!$C$9, $D$9, 100%, $F$9) + CHOOSE(CONTROL!$C$27, 0.0021, 0)</f>
        <v>87.440299999999993</v>
      </c>
      <c r="D556" s="14">
        <f>87.4382 * CHOOSE(CONTROL!$C$9, $D$9, 100%, $F$9) + CHOOSE(CONTROL!$C$27, 0.0021, 0)</f>
        <v>87.440299999999993</v>
      </c>
      <c r="E556" s="14">
        <f>87.3015 * CHOOSE(CONTROL!$C$9, $D$9, 100%, $F$9) + CHOOSE(CONTROL!$C$27, 0.0021, 0)</f>
        <v>87.303600000000003</v>
      </c>
      <c r="F556" s="14">
        <f>87.3015 * CHOOSE(CONTROL!$C$9, $D$9, 100%, $F$9) + CHOOSE(CONTROL!$C$27, 0.0021, 0)</f>
        <v>87.303600000000003</v>
      </c>
      <c r="G556" s="14">
        <f>87.5729 * CHOOSE(CONTROL!$C$9, $D$9, 100%, $F$9) + CHOOSE(CONTROL!$C$27, 0.0021, 0)</f>
        <v>87.575000000000003</v>
      </c>
      <c r="H556" s="14">
        <f>87.4382 * CHOOSE(CONTROL!$C$9, $D$9, 100%, $F$9) + CHOOSE(CONTROL!$C$27, 0.0021, 0)</f>
        <v>87.440299999999993</v>
      </c>
      <c r="I556" s="14">
        <f>87.4382 * CHOOSE(CONTROL!$C$9, $D$9, 100%, $F$9) + CHOOSE(CONTROL!$C$27, 0.0021, 0)</f>
        <v>87.440299999999993</v>
      </c>
      <c r="J556" s="14">
        <f>87.4382 * CHOOSE(CONTROL!$C$9, $D$9, 100%, $F$9) + CHOOSE(CONTROL!$C$27, 0.0021, 0)</f>
        <v>87.440299999999993</v>
      </c>
      <c r="K556" s="14">
        <f>87.4382 * CHOOSE(CONTROL!$C$9, $D$9, 100%, $F$9) + CHOOSE(CONTROL!$C$27, 0.0021, 0)</f>
        <v>87.440299999999993</v>
      </c>
      <c r="L556" s="14"/>
    </row>
    <row r="557" spans="1:12" ht="15.75" x14ac:dyDescent="0.25">
      <c r="A557" s="32">
        <v>57891</v>
      </c>
      <c r="B557" s="14">
        <f>88.9247 * CHOOSE(CONTROL!$C$9, $D$9, 100%, $F$9) + CHOOSE(CONTROL!$C$27, 0.0021, 0)</f>
        <v>88.9268</v>
      </c>
      <c r="C557" s="14">
        <f>88.4925 * CHOOSE(CONTROL!$C$9, $D$9, 100%, $F$9) + CHOOSE(CONTROL!$C$27, 0.0021, 0)</f>
        <v>88.494600000000005</v>
      </c>
      <c r="D557" s="14">
        <f>88.4925 * CHOOSE(CONTROL!$C$9, $D$9, 100%, $F$9) + CHOOSE(CONTROL!$C$27, 0.0021, 0)</f>
        <v>88.494600000000005</v>
      </c>
      <c r="E557" s="14">
        <f>88.3558 * CHOOSE(CONTROL!$C$9, $D$9, 100%, $F$9) + CHOOSE(CONTROL!$C$27, 0.0021, 0)</f>
        <v>88.357900000000001</v>
      </c>
      <c r="F557" s="14">
        <f>88.3558 * CHOOSE(CONTROL!$C$9, $D$9, 100%, $F$9) + CHOOSE(CONTROL!$C$27, 0.0021, 0)</f>
        <v>88.357900000000001</v>
      </c>
      <c r="G557" s="14">
        <f>88.6272 * CHOOSE(CONTROL!$C$9, $D$9, 100%, $F$9) + CHOOSE(CONTROL!$C$27, 0.0021, 0)</f>
        <v>88.629300000000001</v>
      </c>
      <c r="H557" s="14">
        <f>88.4925 * CHOOSE(CONTROL!$C$9, $D$9, 100%, $F$9) + CHOOSE(CONTROL!$C$27, 0.0021, 0)</f>
        <v>88.494600000000005</v>
      </c>
      <c r="I557" s="14">
        <f>88.4925 * CHOOSE(CONTROL!$C$9, $D$9, 100%, $F$9) + CHOOSE(CONTROL!$C$27, 0.0021, 0)</f>
        <v>88.494600000000005</v>
      </c>
      <c r="J557" s="14">
        <f>88.4925 * CHOOSE(CONTROL!$C$9, $D$9, 100%, $F$9) + CHOOSE(CONTROL!$C$27, 0.0021, 0)</f>
        <v>88.494600000000005</v>
      </c>
      <c r="K557" s="14">
        <f>88.4925 * CHOOSE(CONTROL!$C$9, $D$9, 100%, $F$9) + CHOOSE(CONTROL!$C$27, 0.0021, 0)</f>
        <v>88.494600000000005</v>
      </c>
      <c r="L557" s="14"/>
    </row>
    <row r="558" spans="1:12" ht="15.75" x14ac:dyDescent="0.25">
      <c r="A558" s="32">
        <v>57922</v>
      </c>
      <c r="B558" s="14">
        <f>90.6639 * CHOOSE(CONTROL!$C$9, $D$9, 100%, $F$9) + CHOOSE(CONTROL!$C$27, 0.0021, 0)</f>
        <v>90.665999999999997</v>
      </c>
      <c r="C558" s="14">
        <f>90.2317 * CHOOSE(CONTROL!$C$9, $D$9, 100%, $F$9) + CHOOSE(CONTROL!$C$27, 0.0021, 0)</f>
        <v>90.233800000000002</v>
      </c>
      <c r="D558" s="14">
        <f>90.2317 * CHOOSE(CONTROL!$C$9, $D$9, 100%, $F$9) + CHOOSE(CONTROL!$C$27, 0.0021, 0)</f>
        <v>90.233800000000002</v>
      </c>
      <c r="E558" s="14">
        <f>90.095 * CHOOSE(CONTROL!$C$9, $D$9, 100%, $F$9) + CHOOSE(CONTROL!$C$27, 0.0021, 0)</f>
        <v>90.097099999999998</v>
      </c>
      <c r="F558" s="14">
        <f>90.095 * CHOOSE(CONTROL!$C$9, $D$9, 100%, $F$9) + CHOOSE(CONTROL!$C$27, 0.0021, 0)</f>
        <v>90.097099999999998</v>
      </c>
      <c r="G558" s="14">
        <f>90.3664 * CHOOSE(CONTROL!$C$9, $D$9, 100%, $F$9) + CHOOSE(CONTROL!$C$27, 0.0021, 0)</f>
        <v>90.368499999999997</v>
      </c>
      <c r="H558" s="14">
        <f>90.2317 * CHOOSE(CONTROL!$C$9, $D$9, 100%, $F$9) + CHOOSE(CONTROL!$C$27, 0.0021, 0)</f>
        <v>90.233800000000002</v>
      </c>
      <c r="I558" s="14">
        <f>90.2317 * CHOOSE(CONTROL!$C$9, $D$9, 100%, $F$9) + CHOOSE(CONTROL!$C$27, 0.0021, 0)</f>
        <v>90.233800000000002</v>
      </c>
      <c r="J558" s="14">
        <f>90.2317 * CHOOSE(CONTROL!$C$9, $D$9, 100%, $F$9) + CHOOSE(CONTROL!$C$27, 0.0021, 0)</f>
        <v>90.233800000000002</v>
      </c>
      <c r="K558" s="14">
        <f>90.2317 * CHOOSE(CONTROL!$C$9, $D$9, 100%, $F$9) + CHOOSE(CONTROL!$C$27, 0.0021, 0)</f>
        <v>90.233800000000002</v>
      </c>
      <c r="L558" s="14"/>
    </row>
    <row r="559" spans="1:12" ht="15.75" x14ac:dyDescent="0.25">
      <c r="A559" s="32">
        <v>57953</v>
      </c>
      <c r="B559" s="14">
        <f>91.1948 * CHOOSE(CONTROL!$C$9, $D$9, 100%, $F$9) + CHOOSE(CONTROL!$C$27, 0.0021, 0)</f>
        <v>91.196899999999999</v>
      </c>
      <c r="C559" s="14">
        <f>90.7625 * CHOOSE(CONTROL!$C$9, $D$9, 100%, $F$9) + CHOOSE(CONTROL!$C$27, 0.0021, 0)</f>
        <v>90.764600000000002</v>
      </c>
      <c r="D559" s="14">
        <f>90.7625 * CHOOSE(CONTROL!$C$9, $D$9, 100%, $F$9) + CHOOSE(CONTROL!$C$27, 0.0021, 0)</f>
        <v>90.764600000000002</v>
      </c>
      <c r="E559" s="14">
        <f>90.6259 * CHOOSE(CONTROL!$C$9, $D$9, 100%, $F$9) + CHOOSE(CONTROL!$C$27, 0.0021, 0)</f>
        <v>90.628</v>
      </c>
      <c r="F559" s="14">
        <f>90.6259 * CHOOSE(CONTROL!$C$9, $D$9, 100%, $F$9) + CHOOSE(CONTROL!$C$27, 0.0021, 0)</f>
        <v>90.628</v>
      </c>
      <c r="G559" s="14">
        <f>90.8972 * CHOOSE(CONTROL!$C$9, $D$9, 100%, $F$9) + CHOOSE(CONTROL!$C$27, 0.0021, 0)</f>
        <v>90.899299999999997</v>
      </c>
      <c r="H559" s="14">
        <f>90.7625 * CHOOSE(CONTROL!$C$9, $D$9, 100%, $F$9) + CHOOSE(CONTROL!$C$27, 0.0021, 0)</f>
        <v>90.764600000000002</v>
      </c>
      <c r="I559" s="14">
        <f>90.7625 * CHOOSE(CONTROL!$C$9, $D$9, 100%, $F$9) + CHOOSE(CONTROL!$C$27, 0.0021, 0)</f>
        <v>90.764600000000002</v>
      </c>
      <c r="J559" s="14">
        <f>90.7625 * CHOOSE(CONTROL!$C$9, $D$9, 100%, $F$9) + CHOOSE(CONTROL!$C$27, 0.0021, 0)</f>
        <v>90.764600000000002</v>
      </c>
      <c r="K559" s="14">
        <f>90.7625 * CHOOSE(CONTROL!$C$9, $D$9, 100%, $F$9) + CHOOSE(CONTROL!$C$27, 0.0021, 0)</f>
        <v>90.764600000000002</v>
      </c>
      <c r="L559" s="14"/>
    </row>
    <row r="560" spans="1:12" ht="15.75" x14ac:dyDescent="0.25">
      <c r="A560" s="32">
        <v>57983</v>
      </c>
      <c r="B560" s="14">
        <f>93.0026 * CHOOSE(CONTROL!$C$9, $D$9, 100%, $F$9) + CHOOSE(CONTROL!$C$27, 0.0021, 0)</f>
        <v>93.0047</v>
      </c>
      <c r="C560" s="14">
        <f>92.5703 * CHOOSE(CONTROL!$C$9, $D$9, 100%, $F$9) + CHOOSE(CONTROL!$C$27, 0.0021, 0)</f>
        <v>92.572400000000002</v>
      </c>
      <c r="D560" s="14">
        <f>92.5703 * CHOOSE(CONTROL!$C$9, $D$9, 100%, $F$9) + CHOOSE(CONTROL!$C$27, 0.0021, 0)</f>
        <v>92.572400000000002</v>
      </c>
      <c r="E560" s="14">
        <f>92.4337 * CHOOSE(CONTROL!$C$9, $D$9, 100%, $F$9) + CHOOSE(CONTROL!$C$27, 0.0021, 0)</f>
        <v>92.4358</v>
      </c>
      <c r="F560" s="14">
        <f>92.4337 * CHOOSE(CONTROL!$C$9, $D$9, 100%, $F$9) + CHOOSE(CONTROL!$C$27, 0.0021, 0)</f>
        <v>92.4358</v>
      </c>
      <c r="G560" s="14">
        <f>92.7051 * CHOOSE(CONTROL!$C$9, $D$9, 100%, $F$9) + CHOOSE(CONTROL!$C$27, 0.0021, 0)</f>
        <v>92.7072</v>
      </c>
      <c r="H560" s="14">
        <f>92.5703 * CHOOSE(CONTROL!$C$9, $D$9, 100%, $F$9) + CHOOSE(CONTROL!$C$27, 0.0021, 0)</f>
        <v>92.572400000000002</v>
      </c>
      <c r="I560" s="14">
        <f>92.5703 * CHOOSE(CONTROL!$C$9, $D$9, 100%, $F$9) + CHOOSE(CONTROL!$C$27, 0.0021, 0)</f>
        <v>92.572400000000002</v>
      </c>
      <c r="J560" s="14">
        <f>92.5703 * CHOOSE(CONTROL!$C$9, $D$9, 100%, $F$9) + CHOOSE(CONTROL!$C$27, 0.0021, 0)</f>
        <v>92.572400000000002</v>
      </c>
      <c r="K560" s="14">
        <f>92.5703 * CHOOSE(CONTROL!$C$9, $D$9, 100%, $F$9) + CHOOSE(CONTROL!$C$27, 0.0021, 0)</f>
        <v>92.572400000000002</v>
      </c>
      <c r="L560" s="14"/>
    </row>
    <row r="561" spans="1:12" ht="15.75" x14ac:dyDescent="0.25">
      <c r="A561" s="32">
        <v>58014</v>
      </c>
      <c r="B561" s="14">
        <f>95.291 * CHOOSE(CONTROL!$C$9, $D$9, 100%, $F$9) + CHOOSE(CONTROL!$C$27, 0.0021, 0)</f>
        <v>95.293099999999995</v>
      </c>
      <c r="C561" s="14">
        <f>94.8587 * CHOOSE(CONTROL!$C$9, $D$9, 100%, $F$9) + CHOOSE(CONTROL!$C$27, 0.0021, 0)</f>
        <v>94.860799999999998</v>
      </c>
      <c r="D561" s="14">
        <f>94.8587 * CHOOSE(CONTROL!$C$9, $D$9, 100%, $F$9) + CHOOSE(CONTROL!$C$27, 0.0021, 0)</f>
        <v>94.860799999999998</v>
      </c>
      <c r="E561" s="14">
        <f>94.7221 * CHOOSE(CONTROL!$C$9, $D$9, 100%, $F$9) + CHOOSE(CONTROL!$C$27, 0.0021, 0)</f>
        <v>94.724199999999996</v>
      </c>
      <c r="F561" s="14">
        <f>94.7221 * CHOOSE(CONTROL!$C$9, $D$9, 100%, $F$9) + CHOOSE(CONTROL!$C$27, 0.0021, 0)</f>
        <v>94.724199999999996</v>
      </c>
      <c r="G561" s="14">
        <f>94.9935 * CHOOSE(CONTROL!$C$9, $D$9, 100%, $F$9) + CHOOSE(CONTROL!$C$27, 0.0021, 0)</f>
        <v>94.995599999999996</v>
      </c>
      <c r="H561" s="14">
        <f>94.8587 * CHOOSE(CONTROL!$C$9, $D$9, 100%, $F$9) + CHOOSE(CONTROL!$C$27, 0.0021, 0)</f>
        <v>94.860799999999998</v>
      </c>
      <c r="I561" s="14">
        <f>94.8587 * CHOOSE(CONTROL!$C$9, $D$9, 100%, $F$9) + CHOOSE(CONTROL!$C$27, 0.0021, 0)</f>
        <v>94.860799999999998</v>
      </c>
      <c r="J561" s="14">
        <f>94.8587 * CHOOSE(CONTROL!$C$9, $D$9, 100%, $F$9) + CHOOSE(CONTROL!$C$27, 0.0021, 0)</f>
        <v>94.860799999999998</v>
      </c>
      <c r="K561" s="14">
        <f>94.8587 * CHOOSE(CONTROL!$C$9, $D$9, 100%, $F$9) + CHOOSE(CONTROL!$C$27, 0.0021, 0)</f>
        <v>94.860799999999998</v>
      </c>
      <c r="L561" s="14"/>
    </row>
    <row r="562" spans="1:12" ht="15.75" x14ac:dyDescent="0.25">
      <c r="A562" s="32">
        <v>58044</v>
      </c>
      <c r="B562" s="14">
        <f>95.5058 * CHOOSE(CONTROL!$C$9, $D$9, 100%, $F$9) + CHOOSE(CONTROL!$C$27, 0.0021, 0)</f>
        <v>95.507899999999992</v>
      </c>
      <c r="C562" s="14">
        <f>95.0736 * CHOOSE(CONTROL!$C$9, $D$9, 100%, $F$9) + CHOOSE(CONTROL!$C$27, 0.0021, 0)</f>
        <v>95.075699999999998</v>
      </c>
      <c r="D562" s="14">
        <f>95.0736 * CHOOSE(CONTROL!$C$9, $D$9, 100%, $F$9) + CHOOSE(CONTROL!$C$27, 0.0021, 0)</f>
        <v>95.075699999999998</v>
      </c>
      <c r="E562" s="14">
        <f>94.9369 * CHOOSE(CONTROL!$C$9, $D$9, 100%, $F$9) + CHOOSE(CONTROL!$C$27, 0.0021, 0)</f>
        <v>94.938999999999993</v>
      </c>
      <c r="F562" s="14">
        <f>94.9369 * CHOOSE(CONTROL!$C$9, $D$9, 100%, $F$9) + CHOOSE(CONTROL!$C$27, 0.0021, 0)</f>
        <v>94.938999999999993</v>
      </c>
      <c r="G562" s="14">
        <f>95.2083 * CHOOSE(CONTROL!$C$9, $D$9, 100%, $F$9) + CHOOSE(CONTROL!$C$27, 0.0021, 0)</f>
        <v>95.210399999999993</v>
      </c>
      <c r="H562" s="14">
        <f>95.0736 * CHOOSE(CONTROL!$C$9, $D$9, 100%, $F$9) + CHOOSE(CONTROL!$C$27, 0.0021, 0)</f>
        <v>95.075699999999998</v>
      </c>
      <c r="I562" s="14">
        <f>95.0736 * CHOOSE(CONTROL!$C$9, $D$9, 100%, $F$9) + CHOOSE(CONTROL!$C$27, 0.0021, 0)</f>
        <v>95.075699999999998</v>
      </c>
      <c r="J562" s="14">
        <f>95.0736 * CHOOSE(CONTROL!$C$9, $D$9, 100%, $F$9) + CHOOSE(CONTROL!$C$27, 0.0021, 0)</f>
        <v>95.075699999999998</v>
      </c>
      <c r="K562" s="14">
        <f>95.0736 * CHOOSE(CONTROL!$C$9, $D$9, 100%, $F$9) + CHOOSE(CONTROL!$C$27, 0.0021, 0)</f>
        <v>95.075699999999998</v>
      </c>
      <c r="L562" s="14"/>
    </row>
    <row r="563" spans="1:12" ht="15.75" x14ac:dyDescent="0.25">
      <c r="A563" s="32">
        <v>58075</v>
      </c>
      <c r="B563" s="14">
        <f>93.6781 * CHOOSE(CONTROL!$C$9, $D$9, 100%, $F$9) + CHOOSE(CONTROL!$C$27, 0.0021, 0)</f>
        <v>93.680199999999999</v>
      </c>
      <c r="C563" s="14">
        <f>93.2459 * CHOOSE(CONTROL!$C$9, $D$9, 100%, $F$9) + CHOOSE(CONTROL!$C$27, 0.0021, 0)</f>
        <v>93.248000000000005</v>
      </c>
      <c r="D563" s="14">
        <f>93.2459 * CHOOSE(CONTROL!$C$9, $D$9, 100%, $F$9) + CHOOSE(CONTROL!$C$27, 0.0021, 0)</f>
        <v>93.248000000000005</v>
      </c>
      <c r="E563" s="14">
        <f>93.1092 * CHOOSE(CONTROL!$C$9, $D$9, 100%, $F$9) + CHOOSE(CONTROL!$C$27, 0.0021, 0)</f>
        <v>93.1113</v>
      </c>
      <c r="F563" s="14">
        <f>93.1092 * CHOOSE(CONTROL!$C$9, $D$9, 100%, $F$9) + CHOOSE(CONTROL!$C$27, 0.0021, 0)</f>
        <v>93.1113</v>
      </c>
      <c r="G563" s="14">
        <f>93.3806 * CHOOSE(CONTROL!$C$9, $D$9, 100%, $F$9) + CHOOSE(CONTROL!$C$27, 0.0021, 0)</f>
        <v>93.3827</v>
      </c>
      <c r="H563" s="14">
        <f>93.2459 * CHOOSE(CONTROL!$C$9, $D$9, 100%, $F$9) + CHOOSE(CONTROL!$C$27, 0.0021, 0)</f>
        <v>93.248000000000005</v>
      </c>
      <c r="I563" s="14">
        <f>93.2459 * CHOOSE(CONTROL!$C$9, $D$9, 100%, $F$9) + CHOOSE(CONTROL!$C$27, 0.0021, 0)</f>
        <v>93.248000000000005</v>
      </c>
      <c r="J563" s="14">
        <f>93.2459 * CHOOSE(CONTROL!$C$9, $D$9, 100%, $F$9) + CHOOSE(CONTROL!$C$27, 0.0021, 0)</f>
        <v>93.248000000000005</v>
      </c>
      <c r="K563" s="14">
        <f>93.2459 * CHOOSE(CONTROL!$C$9, $D$9, 100%, $F$9) + CHOOSE(CONTROL!$C$27, 0.0021, 0)</f>
        <v>93.248000000000005</v>
      </c>
      <c r="L563" s="14"/>
    </row>
    <row r="564" spans="1:12" ht="15.75" x14ac:dyDescent="0.25">
      <c r="A564" s="32">
        <v>58106</v>
      </c>
      <c r="B564" s="14">
        <f>92.5229 * CHOOSE(CONTROL!$C$9, $D$9, 100%, $F$9) + CHOOSE(CONTROL!$C$27, 0.0021, 0)</f>
        <v>92.525000000000006</v>
      </c>
      <c r="C564" s="14">
        <f>92.0907 * CHOOSE(CONTROL!$C$9, $D$9, 100%, $F$9) + CHOOSE(CONTROL!$C$27, 0.0021, 0)</f>
        <v>92.092799999999997</v>
      </c>
      <c r="D564" s="14">
        <f>92.0907 * CHOOSE(CONTROL!$C$9, $D$9, 100%, $F$9) + CHOOSE(CONTROL!$C$27, 0.0021, 0)</f>
        <v>92.092799999999997</v>
      </c>
      <c r="E564" s="14">
        <f>91.954 * CHOOSE(CONTROL!$C$9, $D$9, 100%, $F$9) + CHOOSE(CONTROL!$C$27, 0.0021, 0)</f>
        <v>91.956099999999992</v>
      </c>
      <c r="F564" s="14">
        <f>91.954 * CHOOSE(CONTROL!$C$9, $D$9, 100%, $F$9) + CHOOSE(CONTROL!$C$27, 0.0021, 0)</f>
        <v>91.956099999999992</v>
      </c>
      <c r="G564" s="14">
        <f>92.2254 * CHOOSE(CONTROL!$C$9, $D$9, 100%, $F$9) + CHOOSE(CONTROL!$C$27, 0.0021, 0)</f>
        <v>92.227499999999992</v>
      </c>
      <c r="H564" s="14">
        <f>92.0907 * CHOOSE(CONTROL!$C$9, $D$9, 100%, $F$9) + CHOOSE(CONTROL!$C$27, 0.0021, 0)</f>
        <v>92.092799999999997</v>
      </c>
      <c r="I564" s="14">
        <f>92.0907 * CHOOSE(CONTROL!$C$9, $D$9, 100%, $F$9) + CHOOSE(CONTROL!$C$27, 0.0021, 0)</f>
        <v>92.092799999999997</v>
      </c>
      <c r="J564" s="14">
        <f>92.0907 * CHOOSE(CONTROL!$C$9, $D$9, 100%, $F$9) + CHOOSE(CONTROL!$C$27, 0.0021, 0)</f>
        <v>92.092799999999997</v>
      </c>
      <c r="K564" s="14">
        <f>92.0907 * CHOOSE(CONTROL!$C$9, $D$9, 100%, $F$9) + CHOOSE(CONTROL!$C$27, 0.0021, 0)</f>
        <v>92.092799999999997</v>
      </c>
      <c r="L564" s="14"/>
    </row>
    <row r="565" spans="1:12" ht="15.75" x14ac:dyDescent="0.25">
      <c r="A565" s="32">
        <v>58134</v>
      </c>
      <c r="B565" s="14">
        <f>89.9707 * CHOOSE(CONTROL!$C$9, $D$9, 100%, $F$9) + CHOOSE(CONTROL!$C$27, 0.0021, 0)</f>
        <v>89.972799999999992</v>
      </c>
      <c r="C565" s="14">
        <f>89.5385 * CHOOSE(CONTROL!$C$9, $D$9, 100%, $F$9) + CHOOSE(CONTROL!$C$27, 0.0021, 0)</f>
        <v>89.540599999999998</v>
      </c>
      <c r="D565" s="14">
        <f>89.5385 * CHOOSE(CONTROL!$C$9, $D$9, 100%, $F$9) + CHOOSE(CONTROL!$C$27, 0.0021, 0)</f>
        <v>89.540599999999998</v>
      </c>
      <c r="E565" s="14">
        <f>89.4018 * CHOOSE(CONTROL!$C$9, $D$9, 100%, $F$9) + CHOOSE(CONTROL!$C$27, 0.0021, 0)</f>
        <v>89.403899999999993</v>
      </c>
      <c r="F565" s="14">
        <f>89.4018 * CHOOSE(CONTROL!$C$9, $D$9, 100%, $F$9) + CHOOSE(CONTROL!$C$27, 0.0021, 0)</f>
        <v>89.403899999999993</v>
      </c>
      <c r="G565" s="14">
        <f>89.6732 * CHOOSE(CONTROL!$C$9, $D$9, 100%, $F$9) + CHOOSE(CONTROL!$C$27, 0.0021, 0)</f>
        <v>89.675299999999993</v>
      </c>
      <c r="H565" s="14">
        <f>89.5385 * CHOOSE(CONTROL!$C$9, $D$9, 100%, $F$9) + CHOOSE(CONTROL!$C$27, 0.0021, 0)</f>
        <v>89.540599999999998</v>
      </c>
      <c r="I565" s="14">
        <f>89.5385 * CHOOSE(CONTROL!$C$9, $D$9, 100%, $F$9) + CHOOSE(CONTROL!$C$27, 0.0021, 0)</f>
        <v>89.540599999999998</v>
      </c>
      <c r="J565" s="14">
        <f>89.5385 * CHOOSE(CONTROL!$C$9, $D$9, 100%, $F$9) + CHOOSE(CONTROL!$C$27, 0.0021, 0)</f>
        <v>89.540599999999998</v>
      </c>
      <c r="K565" s="14">
        <f>89.5385 * CHOOSE(CONTROL!$C$9, $D$9, 100%, $F$9) + CHOOSE(CONTROL!$C$27, 0.0021, 0)</f>
        <v>89.540599999999998</v>
      </c>
      <c r="L565" s="14"/>
    </row>
    <row r="566" spans="1:12" ht="15.75" x14ac:dyDescent="0.25">
      <c r="A566" s="32">
        <v>58165</v>
      </c>
      <c r="B566" s="14">
        <f>88.9172 * CHOOSE(CONTROL!$C$9, $D$9, 100%, $F$9) + CHOOSE(CONTROL!$C$27, 0.0021, 0)</f>
        <v>88.919299999999993</v>
      </c>
      <c r="C566" s="14">
        <f>88.4849 * CHOOSE(CONTROL!$C$9, $D$9, 100%, $F$9) + CHOOSE(CONTROL!$C$27, 0.0021, 0)</f>
        <v>88.486999999999995</v>
      </c>
      <c r="D566" s="14">
        <f>88.4849 * CHOOSE(CONTROL!$C$9, $D$9, 100%, $F$9) + CHOOSE(CONTROL!$C$27, 0.0021, 0)</f>
        <v>88.486999999999995</v>
      </c>
      <c r="E566" s="14">
        <f>88.3483 * CHOOSE(CONTROL!$C$9, $D$9, 100%, $F$9) + CHOOSE(CONTROL!$C$27, 0.0021, 0)</f>
        <v>88.350399999999993</v>
      </c>
      <c r="F566" s="14">
        <f>88.3483 * CHOOSE(CONTROL!$C$9, $D$9, 100%, $F$9) + CHOOSE(CONTROL!$C$27, 0.0021, 0)</f>
        <v>88.350399999999993</v>
      </c>
      <c r="G566" s="14">
        <f>88.6196 * CHOOSE(CONTROL!$C$9, $D$9, 100%, $F$9) + CHOOSE(CONTROL!$C$27, 0.0021, 0)</f>
        <v>88.621700000000004</v>
      </c>
      <c r="H566" s="14">
        <f>88.4849 * CHOOSE(CONTROL!$C$9, $D$9, 100%, $F$9) + CHOOSE(CONTROL!$C$27, 0.0021, 0)</f>
        <v>88.486999999999995</v>
      </c>
      <c r="I566" s="14">
        <f>88.4849 * CHOOSE(CONTROL!$C$9, $D$9, 100%, $F$9) + CHOOSE(CONTROL!$C$27, 0.0021, 0)</f>
        <v>88.486999999999995</v>
      </c>
      <c r="J566" s="14">
        <f>88.4849 * CHOOSE(CONTROL!$C$9, $D$9, 100%, $F$9) + CHOOSE(CONTROL!$C$27, 0.0021, 0)</f>
        <v>88.486999999999995</v>
      </c>
      <c r="K566" s="14">
        <f>88.4849 * CHOOSE(CONTROL!$C$9, $D$9, 100%, $F$9) + CHOOSE(CONTROL!$C$27, 0.0021, 0)</f>
        <v>88.486999999999995</v>
      </c>
      <c r="L566" s="14"/>
    </row>
    <row r="567" spans="1:12" ht="15.75" x14ac:dyDescent="0.25">
      <c r="A567" s="32">
        <v>58195</v>
      </c>
      <c r="B567" s="14">
        <f>87.6592 * CHOOSE(CONTROL!$C$9, $D$9, 100%, $F$9) + CHOOSE(CONTROL!$C$27, 0.0021, 0)</f>
        <v>87.661299999999997</v>
      </c>
      <c r="C567" s="14">
        <f>87.227 * CHOOSE(CONTROL!$C$9, $D$9, 100%, $F$9) + CHOOSE(CONTROL!$C$27, 0.0021, 0)</f>
        <v>87.229100000000003</v>
      </c>
      <c r="D567" s="14">
        <f>87.227 * CHOOSE(CONTROL!$C$9, $D$9, 100%, $F$9) + CHOOSE(CONTROL!$C$27, 0.0021, 0)</f>
        <v>87.229100000000003</v>
      </c>
      <c r="E567" s="14">
        <f>87.0903 * CHOOSE(CONTROL!$C$9, $D$9, 100%, $F$9) + CHOOSE(CONTROL!$C$27, 0.0021, 0)</f>
        <v>87.092399999999998</v>
      </c>
      <c r="F567" s="14">
        <f>87.0903 * CHOOSE(CONTROL!$C$9, $D$9, 100%, $F$9) + CHOOSE(CONTROL!$C$27, 0.0021, 0)</f>
        <v>87.092399999999998</v>
      </c>
      <c r="G567" s="14">
        <f>87.3617 * CHOOSE(CONTROL!$C$9, $D$9, 100%, $F$9) + CHOOSE(CONTROL!$C$27, 0.0021, 0)</f>
        <v>87.363799999999998</v>
      </c>
      <c r="H567" s="14">
        <f>87.227 * CHOOSE(CONTROL!$C$9, $D$9, 100%, $F$9) + CHOOSE(CONTROL!$C$27, 0.0021, 0)</f>
        <v>87.229100000000003</v>
      </c>
      <c r="I567" s="14">
        <f>87.227 * CHOOSE(CONTROL!$C$9, $D$9, 100%, $F$9) + CHOOSE(CONTROL!$C$27, 0.0021, 0)</f>
        <v>87.229100000000003</v>
      </c>
      <c r="J567" s="14">
        <f>87.227 * CHOOSE(CONTROL!$C$9, $D$9, 100%, $F$9) + CHOOSE(CONTROL!$C$27, 0.0021, 0)</f>
        <v>87.229100000000003</v>
      </c>
      <c r="K567" s="14">
        <f>87.227 * CHOOSE(CONTROL!$C$9, $D$9, 100%, $F$9) + CHOOSE(CONTROL!$C$27, 0.0021, 0)</f>
        <v>87.229100000000003</v>
      </c>
      <c r="L567" s="14"/>
    </row>
    <row r="568" spans="1:12" ht="15.75" x14ac:dyDescent="0.25">
      <c r="A568" s="32">
        <v>58226</v>
      </c>
      <c r="B568" s="14">
        <f>89.452 * CHOOSE(CONTROL!$C$9, $D$9, 100%, $F$9) + CHOOSE(CONTROL!$C$27, 0.0021, 0)</f>
        <v>89.454099999999997</v>
      </c>
      <c r="C568" s="14">
        <f>89.0197 * CHOOSE(CONTROL!$C$9, $D$9, 100%, $F$9) + CHOOSE(CONTROL!$C$27, 0.0021, 0)</f>
        <v>89.021799999999999</v>
      </c>
      <c r="D568" s="14">
        <f>89.0197 * CHOOSE(CONTROL!$C$9, $D$9, 100%, $F$9) + CHOOSE(CONTROL!$C$27, 0.0021, 0)</f>
        <v>89.021799999999999</v>
      </c>
      <c r="E568" s="14">
        <f>88.883 * CHOOSE(CONTROL!$C$9, $D$9, 100%, $F$9) + CHOOSE(CONTROL!$C$27, 0.0021, 0)</f>
        <v>88.885099999999994</v>
      </c>
      <c r="F568" s="14">
        <f>88.883 * CHOOSE(CONTROL!$C$9, $D$9, 100%, $F$9) + CHOOSE(CONTROL!$C$27, 0.0021, 0)</f>
        <v>88.885099999999994</v>
      </c>
      <c r="G568" s="14">
        <f>89.1544 * CHOOSE(CONTROL!$C$9, $D$9, 100%, $F$9) + CHOOSE(CONTROL!$C$27, 0.0021, 0)</f>
        <v>89.156499999999994</v>
      </c>
      <c r="H568" s="14">
        <f>89.0197 * CHOOSE(CONTROL!$C$9, $D$9, 100%, $F$9) + CHOOSE(CONTROL!$C$27, 0.0021, 0)</f>
        <v>89.021799999999999</v>
      </c>
      <c r="I568" s="14">
        <f>89.0197 * CHOOSE(CONTROL!$C$9, $D$9, 100%, $F$9) + CHOOSE(CONTROL!$C$27, 0.0021, 0)</f>
        <v>89.021799999999999</v>
      </c>
      <c r="J568" s="14">
        <f>89.0197 * CHOOSE(CONTROL!$C$9, $D$9, 100%, $F$9) + CHOOSE(CONTROL!$C$27, 0.0021, 0)</f>
        <v>89.021799999999999</v>
      </c>
      <c r="K568" s="14">
        <f>89.0197 * CHOOSE(CONTROL!$C$9, $D$9, 100%, $F$9) + CHOOSE(CONTROL!$C$27, 0.0021, 0)</f>
        <v>89.021799999999999</v>
      </c>
      <c r="L568" s="14"/>
    </row>
    <row r="569" spans="1:12" ht="15.75" x14ac:dyDescent="0.25">
      <c r="A569" s="32">
        <v>58256</v>
      </c>
      <c r="B569" s="14">
        <f>90.5257 * CHOOSE(CONTROL!$C$9, $D$9, 100%, $F$9) + CHOOSE(CONTROL!$C$27, 0.0021, 0)</f>
        <v>90.527799999999999</v>
      </c>
      <c r="C569" s="14">
        <f>90.0935 * CHOOSE(CONTROL!$C$9, $D$9, 100%, $F$9) + CHOOSE(CONTROL!$C$27, 0.0021, 0)</f>
        <v>90.095600000000005</v>
      </c>
      <c r="D569" s="14">
        <f>90.0935 * CHOOSE(CONTROL!$C$9, $D$9, 100%, $F$9) + CHOOSE(CONTROL!$C$27, 0.0021, 0)</f>
        <v>90.095600000000005</v>
      </c>
      <c r="E569" s="14">
        <f>89.9568 * CHOOSE(CONTROL!$C$9, $D$9, 100%, $F$9) + CHOOSE(CONTROL!$C$27, 0.0021, 0)</f>
        <v>89.9589</v>
      </c>
      <c r="F569" s="14">
        <f>89.9568 * CHOOSE(CONTROL!$C$9, $D$9, 100%, $F$9) + CHOOSE(CONTROL!$C$27, 0.0021, 0)</f>
        <v>89.9589</v>
      </c>
      <c r="G569" s="14">
        <f>90.2282 * CHOOSE(CONTROL!$C$9, $D$9, 100%, $F$9) + CHOOSE(CONTROL!$C$27, 0.0021, 0)</f>
        <v>90.2303</v>
      </c>
      <c r="H569" s="14">
        <f>90.0935 * CHOOSE(CONTROL!$C$9, $D$9, 100%, $F$9) + CHOOSE(CONTROL!$C$27, 0.0021, 0)</f>
        <v>90.095600000000005</v>
      </c>
      <c r="I569" s="14">
        <f>90.0935 * CHOOSE(CONTROL!$C$9, $D$9, 100%, $F$9) + CHOOSE(CONTROL!$C$27, 0.0021, 0)</f>
        <v>90.095600000000005</v>
      </c>
      <c r="J569" s="14">
        <f>90.0935 * CHOOSE(CONTROL!$C$9, $D$9, 100%, $F$9) + CHOOSE(CONTROL!$C$27, 0.0021, 0)</f>
        <v>90.095600000000005</v>
      </c>
      <c r="K569" s="14">
        <f>90.0935 * CHOOSE(CONTROL!$C$9, $D$9, 100%, $F$9) + CHOOSE(CONTROL!$C$27, 0.0021, 0)</f>
        <v>90.095600000000005</v>
      </c>
      <c r="L569" s="14"/>
    </row>
    <row r="570" spans="1:12" ht="15.75" x14ac:dyDescent="0.25">
      <c r="A570" s="32">
        <v>58287</v>
      </c>
      <c r="B570" s="14">
        <f>92.2971 * CHOOSE(CONTROL!$C$9, $D$9, 100%, $F$9) + CHOOSE(CONTROL!$C$27, 0.0021, 0)</f>
        <v>92.299199999999999</v>
      </c>
      <c r="C570" s="14">
        <f>91.8648 * CHOOSE(CONTROL!$C$9, $D$9, 100%, $F$9) + CHOOSE(CONTROL!$C$27, 0.0021, 0)</f>
        <v>91.866900000000001</v>
      </c>
      <c r="D570" s="14">
        <f>91.8648 * CHOOSE(CONTROL!$C$9, $D$9, 100%, $F$9) + CHOOSE(CONTROL!$C$27, 0.0021, 0)</f>
        <v>91.866900000000001</v>
      </c>
      <c r="E570" s="14">
        <f>91.7282 * CHOOSE(CONTROL!$C$9, $D$9, 100%, $F$9) + CHOOSE(CONTROL!$C$27, 0.0021, 0)</f>
        <v>91.7303</v>
      </c>
      <c r="F570" s="14">
        <f>91.7282 * CHOOSE(CONTROL!$C$9, $D$9, 100%, $F$9) + CHOOSE(CONTROL!$C$27, 0.0021, 0)</f>
        <v>91.7303</v>
      </c>
      <c r="G570" s="14">
        <f>91.9995 * CHOOSE(CONTROL!$C$9, $D$9, 100%, $F$9) + CHOOSE(CONTROL!$C$27, 0.0021, 0)</f>
        <v>92.001599999999996</v>
      </c>
      <c r="H570" s="14">
        <f>91.8648 * CHOOSE(CONTROL!$C$9, $D$9, 100%, $F$9) + CHOOSE(CONTROL!$C$27, 0.0021, 0)</f>
        <v>91.866900000000001</v>
      </c>
      <c r="I570" s="14">
        <f>91.8648 * CHOOSE(CONTROL!$C$9, $D$9, 100%, $F$9) + CHOOSE(CONTROL!$C$27, 0.0021, 0)</f>
        <v>91.866900000000001</v>
      </c>
      <c r="J570" s="14">
        <f>91.8648 * CHOOSE(CONTROL!$C$9, $D$9, 100%, $F$9) + CHOOSE(CONTROL!$C$27, 0.0021, 0)</f>
        <v>91.866900000000001</v>
      </c>
      <c r="K570" s="14">
        <f>91.8648 * CHOOSE(CONTROL!$C$9, $D$9, 100%, $F$9) + CHOOSE(CONTROL!$C$27, 0.0021, 0)</f>
        <v>91.866900000000001</v>
      </c>
      <c r="L570" s="14"/>
    </row>
    <row r="571" spans="1:12" ht="15.75" x14ac:dyDescent="0.25">
      <c r="A571" s="32">
        <v>58318</v>
      </c>
      <c r="B571" s="14">
        <f>92.8377 * CHOOSE(CONTROL!$C$9, $D$9, 100%, $F$9) + CHOOSE(CONTROL!$C$27, 0.0021, 0)</f>
        <v>92.839799999999997</v>
      </c>
      <c r="C571" s="14">
        <f>92.4055 * CHOOSE(CONTROL!$C$9, $D$9, 100%, $F$9) + CHOOSE(CONTROL!$C$27, 0.0021, 0)</f>
        <v>92.407600000000002</v>
      </c>
      <c r="D571" s="14">
        <f>92.4055 * CHOOSE(CONTROL!$C$9, $D$9, 100%, $F$9) + CHOOSE(CONTROL!$C$27, 0.0021, 0)</f>
        <v>92.407600000000002</v>
      </c>
      <c r="E571" s="14">
        <f>92.2688 * CHOOSE(CONTROL!$C$9, $D$9, 100%, $F$9) + CHOOSE(CONTROL!$C$27, 0.0021, 0)</f>
        <v>92.270899999999997</v>
      </c>
      <c r="F571" s="14">
        <f>92.2688 * CHOOSE(CONTROL!$C$9, $D$9, 100%, $F$9) + CHOOSE(CONTROL!$C$27, 0.0021, 0)</f>
        <v>92.270899999999997</v>
      </c>
      <c r="G571" s="14">
        <f>92.5402 * CHOOSE(CONTROL!$C$9, $D$9, 100%, $F$9) + CHOOSE(CONTROL!$C$27, 0.0021, 0)</f>
        <v>92.542299999999997</v>
      </c>
      <c r="H571" s="14">
        <f>92.4055 * CHOOSE(CONTROL!$C$9, $D$9, 100%, $F$9) + CHOOSE(CONTROL!$C$27, 0.0021, 0)</f>
        <v>92.407600000000002</v>
      </c>
      <c r="I571" s="14">
        <f>92.4055 * CHOOSE(CONTROL!$C$9, $D$9, 100%, $F$9) + CHOOSE(CONTROL!$C$27, 0.0021, 0)</f>
        <v>92.407600000000002</v>
      </c>
      <c r="J571" s="14">
        <f>92.4055 * CHOOSE(CONTROL!$C$9, $D$9, 100%, $F$9) + CHOOSE(CONTROL!$C$27, 0.0021, 0)</f>
        <v>92.407600000000002</v>
      </c>
      <c r="K571" s="14">
        <f>92.4055 * CHOOSE(CONTROL!$C$9, $D$9, 100%, $F$9) + CHOOSE(CONTROL!$C$27, 0.0021, 0)</f>
        <v>92.407600000000002</v>
      </c>
      <c r="L571" s="14"/>
    </row>
    <row r="572" spans="1:12" ht="15.75" x14ac:dyDescent="0.25">
      <c r="A572" s="32">
        <v>58348</v>
      </c>
      <c r="B572" s="14">
        <f>94.679 * CHOOSE(CONTROL!$C$9, $D$9, 100%, $F$9) + CHOOSE(CONTROL!$C$27, 0.0021, 0)</f>
        <v>94.681100000000001</v>
      </c>
      <c r="C572" s="14">
        <f>94.2467 * CHOOSE(CONTROL!$C$9, $D$9, 100%, $F$9) + CHOOSE(CONTROL!$C$27, 0.0021, 0)</f>
        <v>94.248800000000003</v>
      </c>
      <c r="D572" s="14">
        <f>94.2467 * CHOOSE(CONTROL!$C$9, $D$9, 100%, $F$9) + CHOOSE(CONTROL!$C$27, 0.0021, 0)</f>
        <v>94.248800000000003</v>
      </c>
      <c r="E572" s="14">
        <f>94.1101 * CHOOSE(CONTROL!$C$9, $D$9, 100%, $F$9) + CHOOSE(CONTROL!$C$27, 0.0021, 0)</f>
        <v>94.112200000000001</v>
      </c>
      <c r="F572" s="14">
        <f>94.1101 * CHOOSE(CONTROL!$C$9, $D$9, 100%, $F$9) + CHOOSE(CONTROL!$C$27, 0.0021, 0)</f>
        <v>94.112200000000001</v>
      </c>
      <c r="G572" s="14">
        <f>94.3815 * CHOOSE(CONTROL!$C$9, $D$9, 100%, $F$9) + CHOOSE(CONTROL!$C$27, 0.0021, 0)</f>
        <v>94.383600000000001</v>
      </c>
      <c r="H572" s="14">
        <f>94.2467 * CHOOSE(CONTROL!$C$9, $D$9, 100%, $F$9) + CHOOSE(CONTROL!$C$27, 0.0021, 0)</f>
        <v>94.248800000000003</v>
      </c>
      <c r="I572" s="14">
        <f>94.2467 * CHOOSE(CONTROL!$C$9, $D$9, 100%, $F$9) + CHOOSE(CONTROL!$C$27, 0.0021, 0)</f>
        <v>94.248800000000003</v>
      </c>
      <c r="J572" s="14">
        <f>94.2467 * CHOOSE(CONTROL!$C$9, $D$9, 100%, $F$9) + CHOOSE(CONTROL!$C$27, 0.0021, 0)</f>
        <v>94.248800000000003</v>
      </c>
      <c r="K572" s="14">
        <f>94.2467 * CHOOSE(CONTROL!$C$9, $D$9, 100%, $F$9) + CHOOSE(CONTROL!$C$27, 0.0021, 0)</f>
        <v>94.248800000000003</v>
      </c>
      <c r="L572" s="14"/>
    </row>
    <row r="573" spans="1:12" ht="15.75" x14ac:dyDescent="0.25">
      <c r="A573" s="32">
        <v>58379</v>
      </c>
      <c r="B573" s="14">
        <f>97.0097 * CHOOSE(CONTROL!$C$9, $D$9, 100%, $F$9) + CHOOSE(CONTROL!$C$27, 0.0021, 0)</f>
        <v>97.011799999999994</v>
      </c>
      <c r="C573" s="14">
        <f>96.5774 * CHOOSE(CONTROL!$C$9, $D$9, 100%, $F$9) + CHOOSE(CONTROL!$C$27, 0.0021, 0)</f>
        <v>96.579499999999996</v>
      </c>
      <c r="D573" s="14">
        <f>96.5774 * CHOOSE(CONTROL!$C$9, $D$9, 100%, $F$9) + CHOOSE(CONTROL!$C$27, 0.0021, 0)</f>
        <v>96.579499999999996</v>
      </c>
      <c r="E573" s="14">
        <f>96.4408 * CHOOSE(CONTROL!$C$9, $D$9, 100%, $F$9) + CHOOSE(CONTROL!$C$27, 0.0021, 0)</f>
        <v>96.442899999999995</v>
      </c>
      <c r="F573" s="14">
        <f>96.4408 * CHOOSE(CONTROL!$C$9, $D$9, 100%, $F$9) + CHOOSE(CONTROL!$C$27, 0.0021, 0)</f>
        <v>96.442899999999995</v>
      </c>
      <c r="G573" s="14">
        <f>96.7121 * CHOOSE(CONTROL!$C$9, $D$9, 100%, $F$9) + CHOOSE(CONTROL!$C$27, 0.0021, 0)</f>
        <v>96.714200000000005</v>
      </c>
      <c r="H573" s="14">
        <f>96.5774 * CHOOSE(CONTROL!$C$9, $D$9, 100%, $F$9) + CHOOSE(CONTROL!$C$27, 0.0021, 0)</f>
        <v>96.579499999999996</v>
      </c>
      <c r="I573" s="14">
        <f>96.5774 * CHOOSE(CONTROL!$C$9, $D$9, 100%, $F$9) + CHOOSE(CONTROL!$C$27, 0.0021, 0)</f>
        <v>96.579499999999996</v>
      </c>
      <c r="J573" s="14">
        <f>96.5774 * CHOOSE(CONTROL!$C$9, $D$9, 100%, $F$9) + CHOOSE(CONTROL!$C$27, 0.0021, 0)</f>
        <v>96.579499999999996</v>
      </c>
      <c r="K573" s="14">
        <f>96.5774 * CHOOSE(CONTROL!$C$9, $D$9, 100%, $F$9) + CHOOSE(CONTROL!$C$27, 0.0021, 0)</f>
        <v>96.579499999999996</v>
      </c>
      <c r="L573" s="14"/>
    </row>
    <row r="574" spans="1:12" ht="15.75" x14ac:dyDescent="0.25">
      <c r="A574" s="32">
        <v>58409</v>
      </c>
      <c r="B574" s="14">
        <f>97.2285 * CHOOSE(CONTROL!$C$9, $D$9, 100%, $F$9) + CHOOSE(CONTROL!$C$27, 0.0021, 0)</f>
        <v>97.230599999999995</v>
      </c>
      <c r="C574" s="14">
        <f>96.7962 * CHOOSE(CONTROL!$C$9, $D$9, 100%, $F$9) + CHOOSE(CONTROL!$C$27, 0.0021, 0)</f>
        <v>96.798299999999998</v>
      </c>
      <c r="D574" s="14">
        <f>96.7962 * CHOOSE(CONTROL!$C$9, $D$9, 100%, $F$9) + CHOOSE(CONTROL!$C$27, 0.0021, 0)</f>
        <v>96.798299999999998</v>
      </c>
      <c r="E574" s="14">
        <f>96.6596 * CHOOSE(CONTROL!$C$9, $D$9, 100%, $F$9) + CHOOSE(CONTROL!$C$27, 0.0021, 0)</f>
        <v>96.661699999999996</v>
      </c>
      <c r="F574" s="14">
        <f>96.6596 * CHOOSE(CONTROL!$C$9, $D$9, 100%, $F$9) + CHOOSE(CONTROL!$C$27, 0.0021, 0)</f>
        <v>96.661699999999996</v>
      </c>
      <c r="G574" s="14">
        <f>96.9309 * CHOOSE(CONTROL!$C$9, $D$9, 100%, $F$9) + CHOOSE(CONTROL!$C$27, 0.0021, 0)</f>
        <v>96.932999999999993</v>
      </c>
      <c r="H574" s="14">
        <f>96.7962 * CHOOSE(CONTROL!$C$9, $D$9, 100%, $F$9) + CHOOSE(CONTROL!$C$27, 0.0021, 0)</f>
        <v>96.798299999999998</v>
      </c>
      <c r="I574" s="14">
        <f>96.7962 * CHOOSE(CONTROL!$C$9, $D$9, 100%, $F$9) + CHOOSE(CONTROL!$C$27, 0.0021, 0)</f>
        <v>96.798299999999998</v>
      </c>
      <c r="J574" s="14">
        <f>96.7962 * CHOOSE(CONTROL!$C$9, $D$9, 100%, $F$9) + CHOOSE(CONTROL!$C$27, 0.0021, 0)</f>
        <v>96.798299999999998</v>
      </c>
      <c r="K574" s="14">
        <f>96.7962 * CHOOSE(CONTROL!$C$9, $D$9, 100%, $F$9) + CHOOSE(CONTROL!$C$27, 0.0021, 0)</f>
        <v>96.798299999999998</v>
      </c>
      <c r="L574" s="14"/>
    </row>
    <row r="575" spans="1:12" ht="15.75" x14ac:dyDescent="0.25">
      <c r="A575" s="32">
        <v>58440</v>
      </c>
      <c r="B575" s="14">
        <f>95.367 * CHOOSE(CONTROL!$C$9, $D$9, 100%, $F$9) + CHOOSE(CONTROL!$C$27, 0.0021, 0)</f>
        <v>95.369100000000003</v>
      </c>
      <c r="C575" s="14">
        <f>94.9347 * CHOOSE(CONTROL!$C$9, $D$9, 100%, $F$9) + CHOOSE(CONTROL!$C$27, 0.0021, 0)</f>
        <v>94.936800000000005</v>
      </c>
      <c r="D575" s="14">
        <f>94.9347 * CHOOSE(CONTROL!$C$9, $D$9, 100%, $F$9) + CHOOSE(CONTROL!$C$27, 0.0021, 0)</f>
        <v>94.936800000000005</v>
      </c>
      <c r="E575" s="14">
        <f>94.7981 * CHOOSE(CONTROL!$C$9, $D$9, 100%, $F$9) + CHOOSE(CONTROL!$C$27, 0.0021, 0)</f>
        <v>94.800200000000004</v>
      </c>
      <c r="F575" s="14">
        <f>94.7981 * CHOOSE(CONTROL!$C$9, $D$9, 100%, $F$9) + CHOOSE(CONTROL!$C$27, 0.0021, 0)</f>
        <v>94.800200000000004</v>
      </c>
      <c r="G575" s="14">
        <f>95.0695 * CHOOSE(CONTROL!$C$9, $D$9, 100%, $F$9) + CHOOSE(CONTROL!$C$27, 0.0021, 0)</f>
        <v>95.071600000000004</v>
      </c>
      <c r="H575" s="14">
        <f>94.9347 * CHOOSE(CONTROL!$C$9, $D$9, 100%, $F$9) + CHOOSE(CONTROL!$C$27, 0.0021, 0)</f>
        <v>94.936800000000005</v>
      </c>
      <c r="I575" s="14">
        <f>94.9347 * CHOOSE(CONTROL!$C$9, $D$9, 100%, $F$9) + CHOOSE(CONTROL!$C$27, 0.0021, 0)</f>
        <v>94.936800000000005</v>
      </c>
      <c r="J575" s="14">
        <f>94.9347 * CHOOSE(CONTROL!$C$9, $D$9, 100%, $F$9) + CHOOSE(CONTROL!$C$27, 0.0021, 0)</f>
        <v>94.936800000000005</v>
      </c>
      <c r="K575" s="14">
        <f>94.9347 * CHOOSE(CONTROL!$C$9, $D$9, 100%, $F$9) + CHOOSE(CONTROL!$C$27, 0.0021, 0)</f>
        <v>94.936800000000005</v>
      </c>
      <c r="L575" s="14"/>
    </row>
    <row r="576" spans="1:12" ht="15.75" x14ac:dyDescent="0.25">
      <c r="A576" s="32">
        <v>58471</v>
      </c>
      <c r="B576" s="14">
        <f>94.1905 * CHOOSE(CONTROL!$C$9, $D$9, 100%, $F$9) + CHOOSE(CONTROL!$C$27, 0.0021, 0)</f>
        <v>94.192599999999999</v>
      </c>
      <c r="C576" s="14">
        <f>93.7582 * CHOOSE(CONTROL!$C$9, $D$9, 100%, $F$9) + CHOOSE(CONTROL!$C$27, 0.0021, 0)</f>
        <v>93.760300000000001</v>
      </c>
      <c r="D576" s="14">
        <f>93.7582 * CHOOSE(CONTROL!$C$9, $D$9, 100%, $F$9) + CHOOSE(CONTROL!$C$27, 0.0021, 0)</f>
        <v>93.760300000000001</v>
      </c>
      <c r="E576" s="14">
        <f>93.6215 * CHOOSE(CONTROL!$C$9, $D$9, 100%, $F$9) + CHOOSE(CONTROL!$C$27, 0.0021, 0)</f>
        <v>93.623599999999996</v>
      </c>
      <c r="F576" s="14">
        <f>93.6215 * CHOOSE(CONTROL!$C$9, $D$9, 100%, $F$9) + CHOOSE(CONTROL!$C$27, 0.0021, 0)</f>
        <v>93.623599999999996</v>
      </c>
      <c r="G576" s="14">
        <f>93.8929 * CHOOSE(CONTROL!$C$9, $D$9, 100%, $F$9) + CHOOSE(CONTROL!$C$27, 0.0021, 0)</f>
        <v>93.894999999999996</v>
      </c>
      <c r="H576" s="14">
        <f>93.7582 * CHOOSE(CONTROL!$C$9, $D$9, 100%, $F$9) + CHOOSE(CONTROL!$C$27, 0.0021, 0)</f>
        <v>93.760300000000001</v>
      </c>
      <c r="I576" s="14">
        <f>93.7582 * CHOOSE(CONTROL!$C$9, $D$9, 100%, $F$9) + CHOOSE(CONTROL!$C$27, 0.0021, 0)</f>
        <v>93.760300000000001</v>
      </c>
      <c r="J576" s="14">
        <f>93.7582 * CHOOSE(CONTROL!$C$9, $D$9, 100%, $F$9) + CHOOSE(CONTROL!$C$27, 0.0021, 0)</f>
        <v>93.760300000000001</v>
      </c>
      <c r="K576" s="14">
        <f>93.7582 * CHOOSE(CONTROL!$C$9, $D$9, 100%, $F$9) + CHOOSE(CONTROL!$C$27, 0.0021, 0)</f>
        <v>93.760300000000001</v>
      </c>
      <c r="L576" s="14"/>
    </row>
    <row r="577" spans="1:12" ht="15.75" x14ac:dyDescent="0.25">
      <c r="A577" s="32">
        <v>58499</v>
      </c>
      <c r="B577" s="14">
        <f>91.5911 * CHOOSE(CONTROL!$C$9, $D$9, 100%, $F$9) + CHOOSE(CONTROL!$C$27, 0.0021, 0)</f>
        <v>91.593199999999996</v>
      </c>
      <c r="C577" s="14">
        <f>91.1588 * CHOOSE(CONTROL!$C$9, $D$9, 100%, $F$9) + CHOOSE(CONTROL!$C$27, 0.0021, 0)</f>
        <v>91.160899999999998</v>
      </c>
      <c r="D577" s="14">
        <f>91.1588 * CHOOSE(CONTROL!$C$9, $D$9, 100%, $F$9) + CHOOSE(CONTROL!$C$27, 0.0021, 0)</f>
        <v>91.160899999999998</v>
      </c>
      <c r="E577" s="14">
        <f>91.0222 * CHOOSE(CONTROL!$C$9, $D$9, 100%, $F$9) + CHOOSE(CONTROL!$C$27, 0.0021, 0)</f>
        <v>91.024299999999997</v>
      </c>
      <c r="F577" s="14">
        <f>91.0222 * CHOOSE(CONTROL!$C$9, $D$9, 100%, $F$9) + CHOOSE(CONTROL!$C$27, 0.0021, 0)</f>
        <v>91.024299999999997</v>
      </c>
      <c r="G577" s="14">
        <f>91.2935 * CHOOSE(CONTROL!$C$9, $D$9, 100%, $F$9) + CHOOSE(CONTROL!$C$27, 0.0021, 0)</f>
        <v>91.295599999999993</v>
      </c>
      <c r="H577" s="14">
        <f>91.1588 * CHOOSE(CONTROL!$C$9, $D$9, 100%, $F$9) + CHOOSE(CONTROL!$C$27, 0.0021, 0)</f>
        <v>91.160899999999998</v>
      </c>
      <c r="I577" s="14">
        <f>91.1588 * CHOOSE(CONTROL!$C$9, $D$9, 100%, $F$9) + CHOOSE(CONTROL!$C$27, 0.0021, 0)</f>
        <v>91.160899999999998</v>
      </c>
      <c r="J577" s="14">
        <f>91.1588 * CHOOSE(CONTROL!$C$9, $D$9, 100%, $F$9) + CHOOSE(CONTROL!$C$27, 0.0021, 0)</f>
        <v>91.160899999999998</v>
      </c>
      <c r="K577" s="14">
        <f>91.1588 * CHOOSE(CONTROL!$C$9, $D$9, 100%, $F$9) + CHOOSE(CONTROL!$C$27, 0.0021, 0)</f>
        <v>91.160899999999998</v>
      </c>
      <c r="L577" s="14"/>
    </row>
    <row r="578" spans="1:12" ht="15.75" x14ac:dyDescent="0.25">
      <c r="A578" s="32">
        <v>58531</v>
      </c>
      <c r="B578" s="14">
        <f>90.5181 * CHOOSE(CONTROL!$C$9, $D$9, 100%, $F$9) + CHOOSE(CONTROL!$C$27, 0.0021, 0)</f>
        <v>90.520200000000003</v>
      </c>
      <c r="C578" s="14">
        <f>90.0858 * CHOOSE(CONTROL!$C$9, $D$9, 100%, $F$9) + CHOOSE(CONTROL!$C$27, 0.0021, 0)</f>
        <v>90.087900000000005</v>
      </c>
      <c r="D578" s="14">
        <f>90.0858 * CHOOSE(CONTROL!$C$9, $D$9, 100%, $F$9) + CHOOSE(CONTROL!$C$27, 0.0021, 0)</f>
        <v>90.087900000000005</v>
      </c>
      <c r="E578" s="14">
        <f>89.9492 * CHOOSE(CONTROL!$C$9, $D$9, 100%, $F$9) + CHOOSE(CONTROL!$C$27, 0.0021, 0)</f>
        <v>89.951300000000003</v>
      </c>
      <c r="F578" s="14">
        <f>89.9492 * CHOOSE(CONTROL!$C$9, $D$9, 100%, $F$9) + CHOOSE(CONTROL!$C$27, 0.0021, 0)</f>
        <v>89.951300000000003</v>
      </c>
      <c r="G578" s="14">
        <f>90.2205 * CHOOSE(CONTROL!$C$9, $D$9, 100%, $F$9) + CHOOSE(CONTROL!$C$27, 0.0021, 0)</f>
        <v>90.2226</v>
      </c>
      <c r="H578" s="14">
        <f>90.0858 * CHOOSE(CONTROL!$C$9, $D$9, 100%, $F$9) + CHOOSE(CONTROL!$C$27, 0.0021, 0)</f>
        <v>90.087900000000005</v>
      </c>
      <c r="I578" s="14">
        <f>90.0858 * CHOOSE(CONTROL!$C$9, $D$9, 100%, $F$9) + CHOOSE(CONTROL!$C$27, 0.0021, 0)</f>
        <v>90.087900000000005</v>
      </c>
      <c r="J578" s="14">
        <f>90.0858 * CHOOSE(CONTROL!$C$9, $D$9, 100%, $F$9) + CHOOSE(CONTROL!$C$27, 0.0021, 0)</f>
        <v>90.087900000000005</v>
      </c>
      <c r="K578" s="14">
        <f>90.0858 * CHOOSE(CONTROL!$C$9, $D$9, 100%, $F$9) + CHOOSE(CONTROL!$C$27, 0.0021, 0)</f>
        <v>90.087900000000005</v>
      </c>
      <c r="L578" s="14"/>
    </row>
    <row r="579" spans="1:12" ht="15.75" x14ac:dyDescent="0.25">
      <c r="A579" s="32">
        <v>58561</v>
      </c>
      <c r="B579" s="14">
        <f>89.2369 * CHOOSE(CONTROL!$C$9, $D$9, 100%, $F$9) + CHOOSE(CONTROL!$C$27, 0.0021, 0)</f>
        <v>89.239000000000004</v>
      </c>
      <c r="C579" s="14">
        <f>88.8046 * CHOOSE(CONTROL!$C$9, $D$9, 100%, $F$9) + CHOOSE(CONTROL!$C$27, 0.0021, 0)</f>
        <v>88.806699999999992</v>
      </c>
      <c r="D579" s="14">
        <f>88.8046 * CHOOSE(CONTROL!$C$9, $D$9, 100%, $F$9) + CHOOSE(CONTROL!$C$27, 0.0021, 0)</f>
        <v>88.806699999999992</v>
      </c>
      <c r="E579" s="14">
        <f>88.6679 * CHOOSE(CONTROL!$C$9, $D$9, 100%, $F$9) + CHOOSE(CONTROL!$C$27, 0.0021, 0)</f>
        <v>88.67</v>
      </c>
      <c r="F579" s="14">
        <f>88.6679 * CHOOSE(CONTROL!$C$9, $D$9, 100%, $F$9) + CHOOSE(CONTROL!$C$27, 0.0021, 0)</f>
        <v>88.67</v>
      </c>
      <c r="G579" s="14">
        <f>88.9393 * CHOOSE(CONTROL!$C$9, $D$9, 100%, $F$9) + CHOOSE(CONTROL!$C$27, 0.0021, 0)</f>
        <v>88.941400000000002</v>
      </c>
      <c r="H579" s="14">
        <f>88.8046 * CHOOSE(CONTROL!$C$9, $D$9, 100%, $F$9) + CHOOSE(CONTROL!$C$27, 0.0021, 0)</f>
        <v>88.806699999999992</v>
      </c>
      <c r="I579" s="14">
        <f>88.8046 * CHOOSE(CONTROL!$C$9, $D$9, 100%, $F$9) + CHOOSE(CONTROL!$C$27, 0.0021, 0)</f>
        <v>88.806699999999992</v>
      </c>
      <c r="J579" s="14">
        <f>88.8046 * CHOOSE(CONTROL!$C$9, $D$9, 100%, $F$9) + CHOOSE(CONTROL!$C$27, 0.0021, 0)</f>
        <v>88.806699999999992</v>
      </c>
      <c r="K579" s="14">
        <f>88.8046 * CHOOSE(CONTROL!$C$9, $D$9, 100%, $F$9) + CHOOSE(CONTROL!$C$27, 0.0021, 0)</f>
        <v>88.806699999999992</v>
      </c>
      <c r="L579" s="14"/>
    </row>
    <row r="580" spans="1:12" ht="15.75" x14ac:dyDescent="0.25">
      <c r="A580" s="32">
        <v>58592</v>
      </c>
      <c r="B580" s="14">
        <f>91.0627 * CHOOSE(CONTROL!$C$9, $D$9, 100%, $F$9) + CHOOSE(CONTROL!$C$27, 0.0021, 0)</f>
        <v>91.064800000000005</v>
      </c>
      <c r="C580" s="14">
        <f>90.6305 * CHOOSE(CONTROL!$C$9, $D$9, 100%, $F$9) + CHOOSE(CONTROL!$C$27, 0.0021, 0)</f>
        <v>90.632599999999996</v>
      </c>
      <c r="D580" s="14">
        <f>90.6305 * CHOOSE(CONTROL!$C$9, $D$9, 100%, $F$9) + CHOOSE(CONTROL!$C$27, 0.0021, 0)</f>
        <v>90.632599999999996</v>
      </c>
      <c r="E580" s="14">
        <f>90.4938 * CHOOSE(CONTROL!$C$9, $D$9, 100%, $F$9) + CHOOSE(CONTROL!$C$27, 0.0021, 0)</f>
        <v>90.495899999999992</v>
      </c>
      <c r="F580" s="14">
        <f>90.4938 * CHOOSE(CONTROL!$C$9, $D$9, 100%, $F$9) + CHOOSE(CONTROL!$C$27, 0.0021, 0)</f>
        <v>90.495899999999992</v>
      </c>
      <c r="G580" s="14">
        <f>90.7652 * CHOOSE(CONTROL!$C$9, $D$9, 100%, $F$9) + CHOOSE(CONTROL!$C$27, 0.0021, 0)</f>
        <v>90.767299999999992</v>
      </c>
      <c r="H580" s="14">
        <f>90.6305 * CHOOSE(CONTROL!$C$9, $D$9, 100%, $F$9) + CHOOSE(CONTROL!$C$27, 0.0021, 0)</f>
        <v>90.632599999999996</v>
      </c>
      <c r="I580" s="14">
        <f>90.6305 * CHOOSE(CONTROL!$C$9, $D$9, 100%, $F$9) + CHOOSE(CONTROL!$C$27, 0.0021, 0)</f>
        <v>90.632599999999996</v>
      </c>
      <c r="J580" s="14">
        <f>90.6305 * CHOOSE(CONTROL!$C$9, $D$9, 100%, $F$9) + CHOOSE(CONTROL!$C$27, 0.0021, 0)</f>
        <v>90.632599999999996</v>
      </c>
      <c r="K580" s="14">
        <f>90.6305 * CHOOSE(CONTROL!$C$9, $D$9, 100%, $F$9) + CHOOSE(CONTROL!$C$27, 0.0021, 0)</f>
        <v>90.632599999999996</v>
      </c>
      <c r="L580" s="14"/>
    </row>
    <row r="581" spans="1:12" ht="15.75" x14ac:dyDescent="0.25">
      <c r="A581" s="32">
        <v>58622</v>
      </c>
      <c r="B581" s="14">
        <f>92.1564 * CHOOSE(CONTROL!$C$9, $D$9, 100%, $F$9) + CHOOSE(CONTROL!$C$27, 0.0021, 0)</f>
        <v>92.158500000000004</v>
      </c>
      <c r="C581" s="14">
        <f>91.7241 * CHOOSE(CONTROL!$C$9, $D$9, 100%, $F$9) + CHOOSE(CONTROL!$C$27, 0.0021, 0)</f>
        <v>91.726200000000006</v>
      </c>
      <c r="D581" s="14">
        <f>91.7241 * CHOOSE(CONTROL!$C$9, $D$9, 100%, $F$9) + CHOOSE(CONTROL!$C$27, 0.0021, 0)</f>
        <v>91.726200000000006</v>
      </c>
      <c r="E581" s="14">
        <f>91.5874 * CHOOSE(CONTROL!$C$9, $D$9, 100%, $F$9) + CHOOSE(CONTROL!$C$27, 0.0021, 0)</f>
        <v>91.589500000000001</v>
      </c>
      <c r="F581" s="14">
        <f>91.5874 * CHOOSE(CONTROL!$C$9, $D$9, 100%, $F$9) + CHOOSE(CONTROL!$C$27, 0.0021, 0)</f>
        <v>91.589500000000001</v>
      </c>
      <c r="G581" s="14">
        <f>91.8588 * CHOOSE(CONTROL!$C$9, $D$9, 100%, $F$9) + CHOOSE(CONTROL!$C$27, 0.0021, 0)</f>
        <v>91.860900000000001</v>
      </c>
      <c r="H581" s="14">
        <f>91.7241 * CHOOSE(CONTROL!$C$9, $D$9, 100%, $F$9) + CHOOSE(CONTROL!$C$27, 0.0021, 0)</f>
        <v>91.726200000000006</v>
      </c>
      <c r="I581" s="14">
        <f>91.7241 * CHOOSE(CONTROL!$C$9, $D$9, 100%, $F$9) + CHOOSE(CONTROL!$C$27, 0.0021, 0)</f>
        <v>91.726200000000006</v>
      </c>
      <c r="J581" s="14">
        <f>91.7241 * CHOOSE(CONTROL!$C$9, $D$9, 100%, $F$9) + CHOOSE(CONTROL!$C$27, 0.0021, 0)</f>
        <v>91.726200000000006</v>
      </c>
      <c r="K581" s="14">
        <f>91.7241 * CHOOSE(CONTROL!$C$9, $D$9, 100%, $F$9) + CHOOSE(CONTROL!$C$27, 0.0021, 0)</f>
        <v>91.726200000000006</v>
      </c>
      <c r="L581" s="14"/>
    </row>
    <row r="582" spans="1:12" ht="15.75" x14ac:dyDescent="0.25">
      <c r="A582" s="32">
        <v>58653</v>
      </c>
      <c r="B582" s="14">
        <f>93.9604 * CHOOSE(CONTROL!$C$9, $D$9, 100%, $F$9) + CHOOSE(CONTROL!$C$27, 0.0021, 0)</f>
        <v>93.962500000000006</v>
      </c>
      <c r="C582" s="14">
        <f>93.5282 * CHOOSE(CONTROL!$C$9, $D$9, 100%, $F$9) + CHOOSE(CONTROL!$C$27, 0.0021, 0)</f>
        <v>93.530299999999997</v>
      </c>
      <c r="D582" s="14">
        <f>93.5282 * CHOOSE(CONTROL!$C$9, $D$9, 100%, $F$9) + CHOOSE(CONTROL!$C$27, 0.0021, 0)</f>
        <v>93.530299999999997</v>
      </c>
      <c r="E582" s="14">
        <f>93.3915 * CHOOSE(CONTROL!$C$9, $D$9, 100%, $F$9) + CHOOSE(CONTROL!$C$27, 0.0021, 0)</f>
        <v>93.393599999999992</v>
      </c>
      <c r="F582" s="14">
        <f>93.3915 * CHOOSE(CONTROL!$C$9, $D$9, 100%, $F$9) + CHOOSE(CONTROL!$C$27, 0.0021, 0)</f>
        <v>93.393599999999992</v>
      </c>
      <c r="G582" s="14">
        <f>93.6629 * CHOOSE(CONTROL!$C$9, $D$9, 100%, $F$9) + CHOOSE(CONTROL!$C$27, 0.0021, 0)</f>
        <v>93.664999999999992</v>
      </c>
      <c r="H582" s="14">
        <f>93.5282 * CHOOSE(CONTROL!$C$9, $D$9, 100%, $F$9) + CHOOSE(CONTROL!$C$27, 0.0021, 0)</f>
        <v>93.530299999999997</v>
      </c>
      <c r="I582" s="14">
        <f>93.5282 * CHOOSE(CONTROL!$C$9, $D$9, 100%, $F$9) + CHOOSE(CONTROL!$C$27, 0.0021, 0)</f>
        <v>93.530299999999997</v>
      </c>
      <c r="J582" s="14">
        <f>93.5282 * CHOOSE(CONTROL!$C$9, $D$9, 100%, $F$9) + CHOOSE(CONTROL!$C$27, 0.0021, 0)</f>
        <v>93.530299999999997</v>
      </c>
      <c r="K582" s="14">
        <f>93.5282 * CHOOSE(CONTROL!$C$9, $D$9, 100%, $F$9) + CHOOSE(CONTROL!$C$27, 0.0021, 0)</f>
        <v>93.530299999999997</v>
      </c>
      <c r="L582" s="14"/>
    </row>
    <row r="583" spans="1:12" ht="15.75" x14ac:dyDescent="0.25">
      <c r="A583" s="32">
        <v>58684</v>
      </c>
      <c r="B583" s="14">
        <f>94.5111 * CHOOSE(CONTROL!$C$9, $D$9, 100%, $F$9) + CHOOSE(CONTROL!$C$27, 0.0021, 0)</f>
        <v>94.513199999999998</v>
      </c>
      <c r="C583" s="14">
        <f>94.0788 * CHOOSE(CONTROL!$C$9, $D$9, 100%, $F$9) + CHOOSE(CONTROL!$C$27, 0.0021, 0)</f>
        <v>94.0809</v>
      </c>
      <c r="D583" s="14">
        <f>94.0788 * CHOOSE(CONTROL!$C$9, $D$9, 100%, $F$9) + CHOOSE(CONTROL!$C$27, 0.0021, 0)</f>
        <v>94.0809</v>
      </c>
      <c r="E583" s="14">
        <f>93.9422 * CHOOSE(CONTROL!$C$9, $D$9, 100%, $F$9) + CHOOSE(CONTROL!$C$27, 0.0021, 0)</f>
        <v>93.944299999999998</v>
      </c>
      <c r="F583" s="14">
        <f>93.9422 * CHOOSE(CONTROL!$C$9, $D$9, 100%, $F$9) + CHOOSE(CONTROL!$C$27, 0.0021, 0)</f>
        <v>93.944299999999998</v>
      </c>
      <c r="G583" s="14">
        <f>94.2136 * CHOOSE(CONTROL!$C$9, $D$9, 100%, $F$9) + CHOOSE(CONTROL!$C$27, 0.0021, 0)</f>
        <v>94.215699999999998</v>
      </c>
      <c r="H583" s="14">
        <f>94.0788 * CHOOSE(CONTROL!$C$9, $D$9, 100%, $F$9) + CHOOSE(CONTROL!$C$27, 0.0021, 0)</f>
        <v>94.0809</v>
      </c>
      <c r="I583" s="14">
        <f>94.0788 * CHOOSE(CONTROL!$C$9, $D$9, 100%, $F$9) + CHOOSE(CONTROL!$C$27, 0.0021, 0)</f>
        <v>94.0809</v>
      </c>
      <c r="J583" s="14">
        <f>94.0788 * CHOOSE(CONTROL!$C$9, $D$9, 100%, $F$9) + CHOOSE(CONTROL!$C$27, 0.0021, 0)</f>
        <v>94.0809</v>
      </c>
      <c r="K583" s="14">
        <f>94.0788 * CHOOSE(CONTROL!$C$9, $D$9, 100%, $F$9) + CHOOSE(CONTROL!$C$27, 0.0021, 0)</f>
        <v>94.0809</v>
      </c>
      <c r="L583" s="14"/>
    </row>
    <row r="584" spans="1:12" ht="15.75" x14ac:dyDescent="0.25">
      <c r="A584" s="32">
        <v>58714</v>
      </c>
      <c r="B584" s="14">
        <f>96.3864 * CHOOSE(CONTROL!$C$9, $D$9, 100%, $F$9) + CHOOSE(CONTROL!$C$27, 0.0021, 0)</f>
        <v>96.388499999999993</v>
      </c>
      <c r="C584" s="14">
        <f>95.9541 * CHOOSE(CONTROL!$C$9, $D$9, 100%, $F$9) + CHOOSE(CONTROL!$C$27, 0.0021, 0)</f>
        <v>95.956199999999995</v>
      </c>
      <c r="D584" s="14">
        <f>95.9541 * CHOOSE(CONTROL!$C$9, $D$9, 100%, $F$9) + CHOOSE(CONTROL!$C$27, 0.0021, 0)</f>
        <v>95.956199999999995</v>
      </c>
      <c r="E584" s="14">
        <f>95.8175 * CHOOSE(CONTROL!$C$9, $D$9, 100%, $F$9) + CHOOSE(CONTROL!$C$27, 0.0021, 0)</f>
        <v>95.819599999999994</v>
      </c>
      <c r="F584" s="14">
        <f>95.8175 * CHOOSE(CONTROL!$C$9, $D$9, 100%, $F$9) + CHOOSE(CONTROL!$C$27, 0.0021, 0)</f>
        <v>95.819599999999994</v>
      </c>
      <c r="G584" s="14">
        <f>96.0888 * CHOOSE(CONTROL!$C$9, $D$9, 100%, $F$9) + CHOOSE(CONTROL!$C$27, 0.0021, 0)</f>
        <v>96.090900000000005</v>
      </c>
      <c r="H584" s="14">
        <f>95.9541 * CHOOSE(CONTROL!$C$9, $D$9, 100%, $F$9) + CHOOSE(CONTROL!$C$27, 0.0021, 0)</f>
        <v>95.956199999999995</v>
      </c>
      <c r="I584" s="14">
        <f>95.9541 * CHOOSE(CONTROL!$C$9, $D$9, 100%, $F$9) + CHOOSE(CONTROL!$C$27, 0.0021, 0)</f>
        <v>95.956199999999995</v>
      </c>
      <c r="J584" s="14">
        <f>95.9541 * CHOOSE(CONTROL!$C$9, $D$9, 100%, $F$9) + CHOOSE(CONTROL!$C$27, 0.0021, 0)</f>
        <v>95.956199999999995</v>
      </c>
      <c r="K584" s="14">
        <f>95.9541 * CHOOSE(CONTROL!$C$9, $D$9, 100%, $F$9) + CHOOSE(CONTROL!$C$27, 0.0021, 0)</f>
        <v>95.956199999999995</v>
      </c>
      <c r="L584" s="14"/>
    </row>
    <row r="585" spans="1:12" ht="15.75" x14ac:dyDescent="0.25">
      <c r="A585" s="32">
        <v>58745</v>
      </c>
      <c r="B585" s="14">
        <f>98.7601 * CHOOSE(CONTROL!$C$9, $D$9, 100%, $F$9) + CHOOSE(CONTROL!$C$27, 0.0021, 0)</f>
        <v>98.762199999999993</v>
      </c>
      <c r="C585" s="14">
        <f>98.3279 * CHOOSE(CONTROL!$C$9, $D$9, 100%, $F$9) + CHOOSE(CONTROL!$C$27, 0.0021, 0)</f>
        <v>98.33</v>
      </c>
      <c r="D585" s="14">
        <f>98.3279 * CHOOSE(CONTROL!$C$9, $D$9, 100%, $F$9) + CHOOSE(CONTROL!$C$27, 0.0021, 0)</f>
        <v>98.33</v>
      </c>
      <c r="E585" s="14">
        <f>98.1912 * CHOOSE(CONTROL!$C$9, $D$9, 100%, $F$9) + CHOOSE(CONTROL!$C$27, 0.0021, 0)</f>
        <v>98.193299999999994</v>
      </c>
      <c r="F585" s="14">
        <f>98.1912 * CHOOSE(CONTROL!$C$9, $D$9, 100%, $F$9) + CHOOSE(CONTROL!$C$27, 0.0021, 0)</f>
        <v>98.193299999999994</v>
      </c>
      <c r="G585" s="14">
        <f>98.4626 * CHOOSE(CONTROL!$C$9, $D$9, 100%, $F$9) + CHOOSE(CONTROL!$C$27, 0.0021, 0)</f>
        <v>98.464699999999993</v>
      </c>
      <c r="H585" s="14">
        <f>98.3279 * CHOOSE(CONTROL!$C$9, $D$9, 100%, $F$9) + CHOOSE(CONTROL!$C$27, 0.0021, 0)</f>
        <v>98.33</v>
      </c>
      <c r="I585" s="14">
        <f>98.3279 * CHOOSE(CONTROL!$C$9, $D$9, 100%, $F$9) + CHOOSE(CONTROL!$C$27, 0.0021, 0)</f>
        <v>98.33</v>
      </c>
      <c r="J585" s="14">
        <f>98.3279 * CHOOSE(CONTROL!$C$9, $D$9, 100%, $F$9) + CHOOSE(CONTROL!$C$27, 0.0021, 0)</f>
        <v>98.33</v>
      </c>
      <c r="K585" s="14">
        <f>98.3279 * CHOOSE(CONTROL!$C$9, $D$9, 100%, $F$9) + CHOOSE(CONTROL!$C$27, 0.0021, 0)</f>
        <v>98.33</v>
      </c>
      <c r="L585" s="14"/>
    </row>
    <row r="586" spans="1:12" ht="15.75" x14ac:dyDescent="0.25">
      <c r="A586" s="32">
        <v>58775</v>
      </c>
      <c r="B586" s="14">
        <f>98.983 * CHOOSE(CONTROL!$C$9, $D$9, 100%, $F$9) + CHOOSE(CONTROL!$C$27, 0.0021, 0)</f>
        <v>98.985100000000003</v>
      </c>
      <c r="C586" s="14">
        <f>98.5507 * CHOOSE(CONTROL!$C$9, $D$9, 100%, $F$9) + CHOOSE(CONTROL!$C$27, 0.0021, 0)</f>
        <v>98.552800000000005</v>
      </c>
      <c r="D586" s="14">
        <f>98.5507 * CHOOSE(CONTROL!$C$9, $D$9, 100%, $F$9) + CHOOSE(CONTROL!$C$27, 0.0021, 0)</f>
        <v>98.552800000000005</v>
      </c>
      <c r="E586" s="14">
        <f>98.4141 * CHOOSE(CONTROL!$C$9, $D$9, 100%, $F$9) + CHOOSE(CONTROL!$C$27, 0.0021, 0)</f>
        <v>98.416200000000003</v>
      </c>
      <c r="F586" s="14">
        <f>98.4141 * CHOOSE(CONTROL!$C$9, $D$9, 100%, $F$9) + CHOOSE(CONTROL!$C$27, 0.0021, 0)</f>
        <v>98.416200000000003</v>
      </c>
      <c r="G586" s="14">
        <f>98.6854 * CHOOSE(CONTROL!$C$9, $D$9, 100%, $F$9) + CHOOSE(CONTROL!$C$27, 0.0021, 0)</f>
        <v>98.6875</v>
      </c>
      <c r="H586" s="14">
        <f>98.5507 * CHOOSE(CONTROL!$C$9, $D$9, 100%, $F$9) + CHOOSE(CONTROL!$C$27, 0.0021, 0)</f>
        <v>98.552800000000005</v>
      </c>
      <c r="I586" s="14">
        <f>98.5507 * CHOOSE(CONTROL!$C$9, $D$9, 100%, $F$9) + CHOOSE(CONTROL!$C$27, 0.0021, 0)</f>
        <v>98.552800000000005</v>
      </c>
      <c r="J586" s="14">
        <f>98.5507 * CHOOSE(CONTROL!$C$9, $D$9, 100%, $F$9) + CHOOSE(CONTROL!$C$27, 0.0021, 0)</f>
        <v>98.552800000000005</v>
      </c>
      <c r="K586" s="14">
        <f>98.5507 * CHOOSE(CONTROL!$C$9, $D$9, 100%, $F$9) + CHOOSE(CONTROL!$C$27, 0.0021, 0)</f>
        <v>98.552800000000005</v>
      </c>
      <c r="L586" s="14"/>
    </row>
    <row r="587" spans="1:12" ht="15.75" x14ac:dyDescent="0.25">
      <c r="A587" s="32">
        <v>58806</v>
      </c>
      <c r="B587" s="14">
        <f>97.0871 * CHOOSE(CONTROL!$C$9, $D$9, 100%, $F$9) + CHOOSE(CONTROL!$C$27, 0.0021, 0)</f>
        <v>97.089200000000005</v>
      </c>
      <c r="C587" s="14">
        <f>96.6548 * CHOOSE(CONTROL!$C$9, $D$9, 100%, $F$9) + CHOOSE(CONTROL!$C$27, 0.0021, 0)</f>
        <v>96.656899999999993</v>
      </c>
      <c r="D587" s="14">
        <f>96.6548 * CHOOSE(CONTROL!$C$9, $D$9, 100%, $F$9) + CHOOSE(CONTROL!$C$27, 0.0021, 0)</f>
        <v>96.656899999999993</v>
      </c>
      <c r="E587" s="14">
        <f>96.5182 * CHOOSE(CONTROL!$C$9, $D$9, 100%, $F$9) + CHOOSE(CONTROL!$C$27, 0.0021, 0)</f>
        <v>96.520299999999992</v>
      </c>
      <c r="F587" s="14">
        <f>96.5182 * CHOOSE(CONTROL!$C$9, $D$9, 100%, $F$9) + CHOOSE(CONTROL!$C$27, 0.0021, 0)</f>
        <v>96.520299999999992</v>
      </c>
      <c r="G587" s="14">
        <f>96.7896 * CHOOSE(CONTROL!$C$9, $D$9, 100%, $F$9) + CHOOSE(CONTROL!$C$27, 0.0021, 0)</f>
        <v>96.791699999999992</v>
      </c>
      <c r="H587" s="14">
        <f>96.6548 * CHOOSE(CONTROL!$C$9, $D$9, 100%, $F$9) + CHOOSE(CONTROL!$C$27, 0.0021, 0)</f>
        <v>96.656899999999993</v>
      </c>
      <c r="I587" s="14">
        <f>96.6548 * CHOOSE(CONTROL!$C$9, $D$9, 100%, $F$9) + CHOOSE(CONTROL!$C$27, 0.0021, 0)</f>
        <v>96.656899999999993</v>
      </c>
      <c r="J587" s="14">
        <f>96.6548 * CHOOSE(CONTROL!$C$9, $D$9, 100%, $F$9) + CHOOSE(CONTROL!$C$27, 0.0021, 0)</f>
        <v>96.656899999999993</v>
      </c>
      <c r="K587" s="14">
        <f>96.6548 * CHOOSE(CONTROL!$C$9, $D$9, 100%, $F$9) + CHOOSE(CONTROL!$C$27, 0.0021, 0)</f>
        <v>96.656899999999993</v>
      </c>
      <c r="L587" s="14"/>
    </row>
    <row r="588" spans="1:12" ht="15.75" x14ac:dyDescent="0.25">
      <c r="A588" s="32">
        <v>58837</v>
      </c>
      <c r="B588" s="14">
        <f>95.8888 * CHOOSE(CONTROL!$C$9, $D$9, 100%, $F$9) + CHOOSE(CONTROL!$C$27, 0.0021, 0)</f>
        <v>95.890900000000002</v>
      </c>
      <c r="C588" s="14">
        <f>95.4566 * CHOOSE(CONTROL!$C$9, $D$9, 100%, $F$9) + CHOOSE(CONTROL!$C$27, 0.0021, 0)</f>
        <v>95.458699999999993</v>
      </c>
      <c r="D588" s="14">
        <f>95.4566 * CHOOSE(CONTROL!$C$9, $D$9, 100%, $F$9) + CHOOSE(CONTROL!$C$27, 0.0021, 0)</f>
        <v>95.458699999999993</v>
      </c>
      <c r="E588" s="14">
        <f>95.3199 * CHOOSE(CONTROL!$C$9, $D$9, 100%, $F$9) + CHOOSE(CONTROL!$C$27, 0.0021, 0)</f>
        <v>95.322000000000003</v>
      </c>
      <c r="F588" s="14">
        <f>95.3199 * CHOOSE(CONTROL!$C$9, $D$9, 100%, $F$9) + CHOOSE(CONTROL!$C$27, 0.0021, 0)</f>
        <v>95.322000000000003</v>
      </c>
      <c r="G588" s="14">
        <f>95.5913 * CHOOSE(CONTROL!$C$9, $D$9, 100%, $F$9) + CHOOSE(CONTROL!$C$27, 0.0021, 0)</f>
        <v>95.593400000000003</v>
      </c>
      <c r="H588" s="14">
        <f>95.4566 * CHOOSE(CONTROL!$C$9, $D$9, 100%, $F$9) + CHOOSE(CONTROL!$C$27, 0.0021, 0)</f>
        <v>95.458699999999993</v>
      </c>
      <c r="I588" s="14">
        <f>95.4566 * CHOOSE(CONTROL!$C$9, $D$9, 100%, $F$9) + CHOOSE(CONTROL!$C$27, 0.0021, 0)</f>
        <v>95.458699999999993</v>
      </c>
      <c r="J588" s="14">
        <f>95.4566 * CHOOSE(CONTROL!$C$9, $D$9, 100%, $F$9) + CHOOSE(CONTROL!$C$27, 0.0021, 0)</f>
        <v>95.458699999999993</v>
      </c>
      <c r="K588" s="14">
        <f>95.4566 * CHOOSE(CONTROL!$C$9, $D$9, 100%, $F$9) + CHOOSE(CONTROL!$C$27, 0.0021, 0)</f>
        <v>95.458699999999993</v>
      </c>
      <c r="L588" s="14"/>
    </row>
    <row r="589" spans="1:12" ht="15.75" x14ac:dyDescent="0.25">
      <c r="A589" s="32">
        <v>58865</v>
      </c>
      <c r="B589" s="14">
        <f>93.2414 * CHOOSE(CONTROL!$C$9, $D$9, 100%, $F$9) + CHOOSE(CONTROL!$C$27, 0.0021, 0)</f>
        <v>93.243499999999997</v>
      </c>
      <c r="C589" s="14">
        <f>92.8091 * CHOOSE(CONTROL!$C$9, $D$9, 100%, $F$9) + CHOOSE(CONTROL!$C$27, 0.0021, 0)</f>
        <v>92.811199999999999</v>
      </c>
      <c r="D589" s="14">
        <f>92.8091 * CHOOSE(CONTROL!$C$9, $D$9, 100%, $F$9) + CHOOSE(CONTROL!$C$27, 0.0021, 0)</f>
        <v>92.811199999999999</v>
      </c>
      <c r="E589" s="14">
        <f>92.6725 * CHOOSE(CONTROL!$C$9, $D$9, 100%, $F$9) + CHOOSE(CONTROL!$C$27, 0.0021, 0)</f>
        <v>92.674599999999998</v>
      </c>
      <c r="F589" s="14">
        <f>92.6725 * CHOOSE(CONTROL!$C$9, $D$9, 100%, $F$9) + CHOOSE(CONTROL!$C$27, 0.0021, 0)</f>
        <v>92.674599999999998</v>
      </c>
      <c r="G589" s="14">
        <f>92.9439 * CHOOSE(CONTROL!$C$9, $D$9, 100%, $F$9) + CHOOSE(CONTROL!$C$27, 0.0021, 0)</f>
        <v>92.945999999999998</v>
      </c>
      <c r="H589" s="14">
        <f>92.8091 * CHOOSE(CONTROL!$C$9, $D$9, 100%, $F$9) + CHOOSE(CONTROL!$C$27, 0.0021, 0)</f>
        <v>92.811199999999999</v>
      </c>
      <c r="I589" s="14">
        <f>92.8091 * CHOOSE(CONTROL!$C$9, $D$9, 100%, $F$9) + CHOOSE(CONTROL!$C$27, 0.0021, 0)</f>
        <v>92.811199999999999</v>
      </c>
      <c r="J589" s="14">
        <f>92.8091 * CHOOSE(CONTROL!$C$9, $D$9, 100%, $F$9) + CHOOSE(CONTROL!$C$27, 0.0021, 0)</f>
        <v>92.811199999999999</v>
      </c>
      <c r="K589" s="14">
        <f>92.8091 * CHOOSE(CONTROL!$C$9, $D$9, 100%, $F$9) + CHOOSE(CONTROL!$C$27, 0.0021, 0)</f>
        <v>92.811199999999999</v>
      </c>
      <c r="L589" s="14"/>
    </row>
    <row r="590" spans="1:12" ht="15.75" x14ac:dyDescent="0.25">
      <c r="A590" s="32">
        <v>58893</v>
      </c>
      <c r="B590" s="14">
        <f>92.1485 * CHOOSE(CONTROL!$C$9, $D$9, 100%, $F$9) + CHOOSE(CONTROL!$C$27, 0.0021, 0)</f>
        <v>92.150599999999997</v>
      </c>
      <c r="C590" s="14">
        <f>91.7163 * CHOOSE(CONTROL!$C$9, $D$9, 100%, $F$9) + CHOOSE(CONTROL!$C$27, 0.0021, 0)</f>
        <v>91.718400000000003</v>
      </c>
      <c r="D590" s="14">
        <f>91.7163 * CHOOSE(CONTROL!$C$9, $D$9, 100%, $F$9) + CHOOSE(CONTROL!$C$27, 0.0021, 0)</f>
        <v>91.718400000000003</v>
      </c>
      <c r="E590" s="14">
        <f>91.5796 * CHOOSE(CONTROL!$C$9, $D$9, 100%, $F$9) + CHOOSE(CONTROL!$C$27, 0.0021, 0)</f>
        <v>91.581699999999998</v>
      </c>
      <c r="F590" s="14">
        <f>91.5796 * CHOOSE(CONTROL!$C$9, $D$9, 100%, $F$9) + CHOOSE(CONTROL!$C$27, 0.0021, 0)</f>
        <v>91.581699999999998</v>
      </c>
      <c r="G590" s="14">
        <f>91.851 * CHOOSE(CONTROL!$C$9, $D$9, 100%, $F$9) + CHOOSE(CONTROL!$C$27, 0.0021, 0)</f>
        <v>91.853099999999998</v>
      </c>
      <c r="H590" s="14">
        <f>91.7163 * CHOOSE(CONTROL!$C$9, $D$9, 100%, $F$9) + CHOOSE(CONTROL!$C$27, 0.0021, 0)</f>
        <v>91.718400000000003</v>
      </c>
      <c r="I590" s="14">
        <f>91.7163 * CHOOSE(CONTROL!$C$9, $D$9, 100%, $F$9) + CHOOSE(CONTROL!$C$27, 0.0021, 0)</f>
        <v>91.718400000000003</v>
      </c>
      <c r="J590" s="14">
        <f>91.7163 * CHOOSE(CONTROL!$C$9, $D$9, 100%, $F$9) + CHOOSE(CONTROL!$C$27, 0.0021, 0)</f>
        <v>91.718400000000003</v>
      </c>
      <c r="K590" s="14">
        <f>91.7163 * CHOOSE(CONTROL!$C$9, $D$9, 100%, $F$9) + CHOOSE(CONTROL!$C$27, 0.0021, 0)</f>
        <v>91.718400000000003</v>
      </c>
      <c r="L590" s="14"/>
    </row>
    <row r="591" spans="1:12" ht="15.75" x14ac:dyDescent="0.25">
      <c r="A591" s="32">
        <v>58926</v>
      </c>
      <c r="B591" s="14">
        <f>90.8437 * CHOOSE(CONTROL!$C$9, $D$9, 100%, $F$9) + CHOOSE(CONTROL!$C$27, 0.0021, 0)</f>
        <v>90.845799999999997</v>
      </c>
      <c r="C591" s="14">
        <f>90.4114 * CHOOSE(CONTROL!$C$9, $D$9, 100%, $F$9) + CHOOSE(CONTROL!$C$27, 0.0021, 0)</f>
        <v>90.413499999999999</v>
      </c>
      <c r="D591" s="14">
        <f>90.4114 * CHOOSE(CONTROL!$C$9, $D$9, 100%, $F$9) + CHOOSE(CONTROL!$C$27, 0.0021, 0)</f>
        <v>90.413499999999999</v>
      </c>
      <c r="E591" s="14">
        <f>90.2747 * CHOOSE(CONTROL!$C$9, $D$9, 100%, $F$9) + CHOOSE(CONTROL!$C$27, 0.0021, 0)</f>
        <v>90.276799999999994</v>
      </c>
      <c r="F591" s="14">
        <f>90.2747 * CHOOSE(CONTROL!$C$9, $D$9, 100%, $F$9) + CHOOSE(CONTROL!$C$27, 0.0021, 0)</f>
        <v>90.276799999999994</v>
      </c>
      <c r="G591" s="14">
        <f>90.5461 * CHOOSE(CONTROL!$C$9, $D$9, 100%, $F$9) + CHOOSE(CONTROL!$C$27, 0.0021, 0)</f>
        <v>90.548199999999994</v>
      </c>
      <c r="H591" s="14">
        <f>90.4114 * CHOOSE(CONTROL!$C$9, $D$9, 100%, $F$9) + CHOOSE(CONTROL!$C$27, 0.0021, 0)</f>
        <v>90.413499999999999</v>
      </c>
      <c r="I591" s="14">
        <f>90.4114 * CHOOSE(CONTROL!$C$9, $D$9, 100%, $F$9) + CHOOSE(CONTROL!$C$27, 0.0021, 0)</f>
        <v>90.413499999999999</v>
      </c>
      <c r="J591" s="14">
        <f>90.4114 * CHOOSE(CONTROL!$C$9, $D$9, 100%, $F$9) + CHOOSE(CONTROL!$C$27, 0.0021, 0)</f>
        <v>90.413499999999999</v>
      </c>
      <c r="K591" s="14">
        <f>90.4114 * CHOOSE(CONTROL!$C$9, $D$9, 100%, $F$9) + CHOOSE(CONTROL!$C$27, 0.0021, 0)</f>
        <v>90.413499999999999</v>
      </c>
      <c r="L591" s="14"/>
    </row>
    <row r="592" spans="1:12" ht="15.75" x14ac:dyDescent="0.25">
      <c r="A592" s="32">
        <v>58957</v>
      </c>
      <c r="B592" s="14">
        <f>92.7033 * CHOOSE(CONTROL!$C$9, $D$9, 100%, $F$9) + CHOOSE(CONTROL!$C$27, 0.0021, 0)</f>
        <v>92.705399999999997</v>
      </c>
      <c r="C592" s="14">
        <f>92.271 * CHOOSE(CONTROL!$C$9, $D$9, 100%, $F$9) + CHOOSE(CONTROL!$C$27, 0.0021, 0)</f>
        <v>92.273099999999999</v>
      </c>
      <c r="D592" s="14">
        <f>92.271 * CHOOSE(CONTROL!$C$9, $D$9, 100%, $F$9) + CHOOSE(CONTROL!$C$27, 0.0021, 0)</f>
        <v>92.273099999999999</v>
      </c>
      <c r="E592" s="14">
        <f>92.1344 * CHOOSE(CONTROL!$C$9, $D$9, 100%, $F$9) + CHOOSE(CONTROL!$C$27, 0.0021, 0)</f>
        <v>92.136499999999998</v>
      </c>
      <c r="F592" s="14">
        <f>92.1344 * CHOOSE(CONTROL!$C$9, $D$9, 100%, $F$9) + CHOOSE(CONTROL!$C$27, 0.0021, 0)</f>
        <v>92.136499999999998</v>
      </c>
      <c r="G592" s="14">
        <f>92.4057 * CHOOSE(CONTROL!$C$9, $D$9, 100%, $F$9) + CHOOSE(CONTROL!$C$27, 0.0021, 0)</f>
        <v>92.407799999999995</v>
      </c>
      <c r="H592" s="14">
        <f>92.271 * CHOOSE(CONTROL!$C$9, $D$9, 100%, $F$9) + CHOOSE(CONTROL!$C$27, 0.0021, 0)</f>
        <v>92.273099999999999</v>
      </c>
      <c r="I592" s="14">
        <f>92.271 * CHOOSE(CONTROL!$C$9, $D$9, 100%, $F$9) + CHOOSE(CONTROL!$C$27, 0.0021, 0)</f>
        <v>92.273099999999999</v>
      </c>
      <c r="J592" s="14">
        <f>92.271 * CHOOSE(CONTROL!$C$9, $D$9, 100%, $F$9) + CHOOSE(CONTROL!$C$27, 0.0021, 0)</f>
        <v>92.273099999999999</v>
      </c>
      <c r="K592" s="14">
        <f>92.271 * CHOOSE(CONTROL!$C$9, $D$9, 100%, $F$9) + CHOOSE(CONTROL!$C$27, 0.0021, 0)</f>
        <v>92.273099999999999</v>
      </c>
      <c r="L592" s="14"/>
    </row>
    <row r="593" spans="1:12" ht="15.75" x14ac:dyDescent="0.25">
      <c r="A593" s="32">
        <v>58987</v>
      </c>
      <c r="B593" s="14">
        <f>93.8171 * CHOOSE(CONTROL!$C$9, $D$9, 100%, $F$9) + CHOOSE(CONTROL!$C$27, 0.0021, 0)</f>
        <v>93.819199999999995</v>
      </c>
      <c r="C593" s="14">
        <f>93.3849 * CHOOSE(CONTROL!$C$9, $D$9, 100%, $F$9) + CHOOSE(CONTROL!$C$27, 0.0021, 0)</f>
        <v>93.387</v>
      </c>
      <c r="D593" s="14">
        <f>93.3849 * CHOOSE(CONTROL!$C$9, $D$9, 100%, $F$9) + CHOOSE(CONTROL!$C$27, 0.0021, 0)</f>
        <v>93.387</v>
      </c>
      <c r="E593" s="14">
        <f>93.2482 * CHOOSE(CONTROL!$C$9, $D$9, 100%, $F$9) + CHOOSE(CONTROL!$C$27, 0.0021, 0)</f>
        <v>93.250299999999996</v>
      </c>
      <c r="F593" s="14">
        <f>93.2482 * CHOOSE(CONTROL!$C$9, $D$9, 100%, $F$9) + CHOOSE(CONTROL!$C$27, 0.0021, 0)</f>
        <v>93.250299999999996</v>
      </c>
      <c r="G593" s="14">
        <f>93.5196 * CHOOSE(CONTROL!$C$9, $D$9, 100%, $F$9) + CHOOSE(CONTROL!$C$27, 0.0021, 0)</f>
        <v>93.521699999999996</v>
      </c>
      <c r="H593" s="14">
        <f>93.3849 * CHOOSE(CONTROL!$C$9, $D$9, 100%, $F$9) + CHOOSE(CONTROL!$C$27, 0.0021, 0)</f>
        <v>93.387</v>
      </c>
      <c r="I593" s="14">
        <f>93.3849 * CHOOSE(CONTROL!$C$9, $D$9, 100%, $F$9) + CHOOSE(CONTROL!$C$27, 0.0021, 0)</f>
        <v>93.387</v>
      </c>
      <c r="J593" s="14">
        <f>93.3849 * CHOOSE(CONTROL!$C$9, $D$9, 100%, $F$9) + CHOOSE(CONTROL!$C$27, 0.0021, 0)</f>
        <v>93.387</v>
      </c>
      <c r="K593" s="14">
        <f>93.3849 * CHOOSE(CONTROL!$C$9, $D$9, 100%, $F$9) + CHOOSE(CONTROL!$C$27, 0.0021, 0)</f>
        <v>93.387</v>
      </c>
      <c r="L593" s="14"/>
    </row>
    <row r="594" spans="1:12" ht="15.75" x14ac:dyDescent="0.25">
      <c r="A594" s="32">
        <v>59018</v>
      </c>
      <c r="B594" s="14">
        <f>95.6545 * CHOOSE(CONTROL!$C$9, $D$9, 100%, $F$9) + CHOOSE(CONTROL!$C$27, 0.0021, 0)</f>
        <v>95.656599999999997</v>
      </c>
      <c r="C594" s="14">
        <f>95.2223 * CHOOSE(CONTROL!$C$9, $D$9, 100%, $F$9) + CHOOSE(CONTROL!$C$27, 0.0021, 0)</f>
        <v>95.224400000000003</v>
      </c>
      <c r="D594" s="14">
        <f>95.2223 * CHOOSE(CONTROL!$C$9, $D$9, 100%, $F$9) + CHOOSE(CONTROL!$C$27, 0.0021, 0)</f>
        <v>95.224400000000003</v>
      </c>
      <c r="E594" s="14">
        <f>95.0856 * CHOOSE(CONTROL!$C$9, $D$9, 100%, $F$9) + CHOOSE(CONTROL!$C$27, 0.0021, 0)</f>
        <v>95.087699999999998</v>
      </c>
      <c r="F594" s="14">
        <f>95.0856 * CHOOSE(CONTROL!$C$9, $D$9, 100%, $F$9) + CHOOSE(CONTROL!$C$27, 0.0021, 0)</f>
        <v>95.087699999999998</v>
      </c>
      <c r="G594" s="14">
        <f>95.357 * CHOOSE(CONTROL!$C$9, $D$9, 100%, $F$9) + CHOOSE(CONTROL!$C$27, 0.0021, 0)</f>
        <v>95.359099999999998</v>
      </c>
      <c r="H594" s="14">
        <f>95.2223 * CHOOSE(CONTROL!$C$9, $D$9, 100%, $F$9) + CHOOSE(CONTROL!$C$27, 0.0021, 0)</f>
        <v>95.224400000000003</v>
      </c>
      <c r="I594" s="14">
        <f>95.2223 * CHOOSE(CONTROL!$C$9, $D$9, 100%, $F$9) + CHOOSE(CONTROL!$C$27, 0.0021, 0)</f>
        <v>95.224400000000003</v>
      </c>
      <c r="J594" s="14">
        <f>95.2223 * CHOOSE(CONTROL!$C$9, $D$9, 100%, $F$9) + CHOOSE(CONTROL!$C$27, 0.0021, 0)</f>
        <v>95.224400000000003</v>
      </c>
      <c r="K594" s="14">
        <f>95.2223 * CHOOSE(CONTROL!$C$9, $D$9, 100%, $F$9) + CHOOSE(CONTROL!$C$27, 0.0021, 0)</f>
        <v>95.224400000000003</v>
      </c>
      <c r="L594" s="14"/>
    </row>
    <row r="595" spans="1:12" ht="15.75" x14ac:dyDescent="0.25">
      <c r="A595" s="32">
        <v>59049</v>
      </c>
      <c r="B595" s="14">
        <f>96.2154 * CHOOSE(CONTROL!$C$9, $D$9, 100%, $F$9) + CHOOSE(CONTROL!$C$27, 0.0021, 0)</f>
        <v>96.217500000000001</v>
      </c>
      <c r="C595" s="14">
        <f>95.7831 * CHOOSE(CONTROL!$C$9, $D$9, 100%, $F$9) + CHOOSE(CONTROL!$C$27, 0.0021, 0)</f>
        <v>95.785200000000003</v>
      </c>
      <c r="D595" s="14">
        <f>95.7831 * CHOOSE(CONTROL!$C$9, $D$9, 100%, $F$9) + CHOOSE(CONTROL!$C$27, 0.0021, 0)</f>
        <v>95.785200000000003</v>
      </c>
      <c r="E595" s="14">
        <f>95.6465 * CHOOSE(CONTROL!$C$9, $D$9, 100%, $F$9) + CHOOSE(CONTROL!$C$27, 0.0021, 0)</f>
        <v>95.648600000000002</v>
      </c>
      <c r="F595" s="14">
        <f>95.6465 * CHOOSE(CONTROL!$C$9, $D$9, 100%, $F$9) + CHOOSE(CONTROL!$C$27, 0.0021, 0)</f>
        <v>95.648600000000002</v>
      </c>
      <c r="G595" s="14">
        <f>95.9178 * CHOOSE(CONTROL!$C$9, $D$9, 100%, $F$9) + CHOOSE(CONTROL!$C$27, 0.0021, 0)</f>
        <v>95.919899999999998</v>
      </c>
      <c r="H595" s="14">
        <f>95.7831 * CHOOSE(CONTROL!$C$9, $D$9, 100%, $F$9) + CHOOSE(CONTROL!$C$27, 0.0021, 0)</f>
        <v>95.785200000000003</v>
      </c>
      <c r="I595" s="14">
        <f>95.7831 * CHOOSE(CONTROL!$C$9, $D$9, 100%, $F$9) + CHOOSE(CONTROL!$C$27, 0.0021, 0)</f>
        <v>95.785200000000003</v>
      </c>
      <c r="J595" s="14">
        <f>95.7831 * CHOOSE(CONTROL!$C$9, $D$9, 100%, $F$9) + CHOOSE(CONTROL!$C$27, 0.0021, 0)</f>
        <v>95.785200000000003</v>
      </c>
      <c r="K595" s="14">
        <f>95.7831 * CHOOSE(CONTROL!$C$9, $D$9, 100%, $F$9) + CHOOSE(CONTROL!$C$27, 0.0021, 0)</f>
        <v>95.785200000000003</v>
      </c>
      <c r="L595" s="14"/>
    </row>
    <row r="596" spans="1:12" ht="15.75" x14ac:dyDescent="0.25">
      <c r="A596" s="32">
        <v>59079</v>
      </c>
      <c r="B596" s="14">
        <f>98.1253 * CHOOSE(CONTROL!$C$9, $D$9, 100%, $F$9) + CHOOSE(CONTROL!$C$27, 0.0021, 0)</f>
        <v>98.127399999999994</v>
      </c>
      <c r="C596" s="14">
        <f>97.693 * CHOOSE(CONTROL!$C$9, $D$9, 100%, $F$9) + CHOOSE(CONTROL!$C$27, 0.0021, 0)</f>
        <v>97.695099999999996</v>
      </c>
      <c r="D596" s="14">
        <f>97.693 * CHOOSE(CONTROL!$C$9, $D$9, 100%, $F$9) + CHOOSE(CONTROL!$C$27, 0.0021, 0)</f>
        <v>97.695099999999996</v>
      </c>
      <c r="E596" s="14">
        <f>97.5564 * CHOOSE(CONTROL!$C$9, $D$9, 100%, $F$9) + CHOOSE(CONTROL!$C$27, 0.0021, 0)</f>
        <v>97.558499999999995</v>
      </c>
      <c r="F596" s="14">
        <f>97.5564 * CHOOSE(CONTROL!$C$9, $D$9, 100%, $F$9) + CHOOSE(CONTROL!$C$27, 0.0021, 0)</f>
        <v>97.558499999999995</v>
      </c>
      <c r="G596" s="14">
        <f>97.8278 * CHOOSE(CONTROL!$C$9, $D$9, 100%, $F$9) + CHOOSE(CONTROL!$C$27, 0.0021, 0)</f>
        <v>97.829899999999995</v>
      </c>
      <c r="H596" s="14">
        <f>97.693 * CHOOSE(CONTROL!$C$9, $D$9, 100%, $F$9) + CHOOSE(CONTROL!$C$27, 0.0021, 0)</f>
        <v>97.695099999999996</v>
      </c>
      <c r="I596" s="14">
        <f>97.693 * CHOOSE(CONTROL!$C$9, $D$9, 100%, $F$9) + CHOOSE(CONTROL!$C$27, 0.0021, 0)</f>
        <v>97.695099999999996</v>
      </c>
      <c r="J596" s="14">
        <f>97.693 * CHOOSE(CONTROL!$C$9, $D$9, 100%, $F$9) + CHOOSE(CONTROL!$C$27, 0.0021, 0)</f>
        <v>97.695099999999996</v>
      </c>
      <c r="K596" s="14">
        <f>97.693 * CHOOSE(CONTROL!$C$9, $D$9, 100%, $F$9) + CHOOSE(CONTROL!$C$27, 0.0021, 0)</f>
        <v>97.695099999999996</v>
      </c>
      <c r="L596" s="14"/>
    </row>
    <row r="597" spans="1:12" ht="15.75" x14ac:dyDescent="0.25">
      <c r="A597" s="32">
        <v>59110</v>
      </c>
      <c r="B597" s="14">
        <f>100.5429 * CHOOSE(CONTROL!$C$9, $D$9, 100%, $F$9) + CHOOSE(CONTROL!$C$27, 0.0021, 0)</f>
        <v>100.545</v>
      </c>
      <c r="C597" s="14">
        <f>100.1107 * CHOOSE(CONTROL!$C$9, $D$9, 100%, $F$9) + CHOOSE(CONTROL!$C$27, 0.0021, 0)</f>
        <v>100.11279999999999</v>
      </c>
      <c r="D597" s="14">
        <f>100.1107 * CHOOSE(CONTROL!$C$9, $D$9, 100%, $F$9) + CHOOSE(CONTROL!$C$27, 0.0021, 0)</f>
        <v>100.11279999999999</v>
      </c>
      <c r="E597" s="14">
        <f>99.974 * CHOOSE(CONTROL!$C$9, $D$9, 100%, $F$9) + CHOOSE(CONTROL!$C$27, 0.0021, 0)</f>
        <v>99.976100000000002</v>
      </c>
      <c r="F597" s="14">
        <f>99.974 * CHOOSE(CONTROL!$C$9, $D$9, 100%, $F$9) + CHOOSE(CONTROL!$C$27, 0.0021, 0)</f>
        <v>99.976100000000002</v>
      </c>
      <c r="G597" s="14">
        <f>100.2454 * CHOOSE(CONTROL!$C$9, $D$9, 100%, $F$9) + CHOOSE(CONTROL!$C$27, 0.0021, 0)</f>
        <v>100.2475</v>
      </c>
      <c r="H597" s="14">
        <f>100.1107 * CHOOSE(CONTROL!$C$9, $D$9, 100%, $F$9) + CHOOSE(CONTROL!$C$27, 0.0021, 0)</f>
        <v>100.11279999999999</v>
      </c>
      <c r="I597" s="14">
        <f>100.1107 * CHOOSE(CONTROL!$C$9, $D$9, 100%, $F$9) + CHOOSE(CONTROL!$C$27, 0.0021, 0)</f>
        <v>100.11279999999999</v>
      </c>
      <c r="J597" s="14">
        <f>100.1107 * CHOOSE(CONTROL!$C$9, $D$9, 100%, $F$9) + CHOOSE(CONTROL!$C$27, 0.0021, 0)</f>
        <v>100.11279999999999</v>
      </c>
      <c r="K597" s="14">
        <f>100.1107 * CHOOSE(CONTROL!$C$9, $D$9, 100%, $F$9) + CHOOSE(CONTROL!$C$27, 0.0021, 0)</f>
        <v>100.11279999999999</v>
      </c>
      <c r="L597" s="14"/>
    </row>
    <row r="598" spans="1:12" ht="15.75" x14ac:dyDescent="0.25">
      <c r="A598" s="32">
        <v>59140</v>
      </c>
      <c r="B598" s="14">
        <f>100.7699 * CHOOSE(CONTROL!$C$9, $D$9, 100%, $F$9) + CHOOSE(CONTROL!$C$27, 0.0021, 0)</f>
        <v>100.77200000000001</v>
      </c>
      <c r="C598" s="14">
        <f>100.3376 * CHOOSE(CONTROL!$C$9, $D$9, 100%, $F$9) + CHOOSE(CONTROL!$C$27, 0.0021, 0)</f>
        <v>100.33969999999999</v>
      </c>
      <c r="D598" s="14">
        <f>100.3376 * CHOOSE(CONTROL!$C$9, $D$9, 100%, $F$9) + CHOOSE(CONTROL!$C$27, 0.0021, 0)</f>
        <v>100.33969999999999</v>
      </c>
      <c r="E598" s="14">
        <f>100.201 * CHOOSE(CONTROL!$C$9, $D$9, 100%, $F$9) + CHOOSE(CONTROL!$C$27, 0.0021, 0)</f>
        <v>100.20309999999999</v>
      </c>
      <c r="F598" s="14">
        <f>100.201 * CHOOSE(CONTROL!$C$9, $D$9, 100%, $F$9) + CHOOSE(CONTROL!$C$27, 0.0021, 0)</f>
        <v>100.20309999999999</v>
      </c>
      <c r="G598" s="14">
        <f>100.4723 * CHOOSE(CONTROL!$C$9, $D$9, 100%, $F$9) + CHOOSE(CONTROL!$C$27, 0.0021, 0)</f>
        <v>100.4744</v>
      </c>
      <c r="H598" s="14">
        <f>100.3376 * CHOOSE(CONTROL!$C$9, $D$9, 100%, $F$9) + CHOOSE(CONTROL!$C$27, 0.0021, 0)</f>
        <v>100.33969999999999</v>
      </c>
      <c r="I598" s="14">
        <f>100.3376 * CHOOSE(CONTROL!$C$9, $D$9, 100%, $F$9) + CHOOSE(CONTROL!$C$27, 0.0021, 0)</f>
        <v>100.33969999999999</v>
      </c>
      <c r="J598" s="14">
        <f>100.3376 * CHOOSE(CONTROL!$C$9, $D$9, 100%, $F$9) + CHOOSE(CONTROL!$C$27, 0.0021, 0)</f>
        <v>100.33969999999999</v>
      </c>
      <c r="K598" s="14">
        <f>100.3376 * CHOOSE(CONTROL!$C$9, $D$9, 100%, $F$9) + CHOOSE(CONTROL!$C$27, 0.0021, 0)</f>
        <v>100.33969999999999</v>
      </c>
      <c r="L598" s="14"/>
    </row>
    <row r="599" spans="1:12" ht="15.75" x14ac:dyDescent="0.25">
      <c r="A599" s="32">
        <v>59171</v>
      </c>
      <c r="B599" s="14">
        <f>98.839 * CHOOSE(CONTROL!$C$9, $D$9, 100%, $F$9) + CHOOSE(CONTROL!$C$27, 0.0021, 0)</f>
        <v>98.841099999999997</v>
      </c>
      <c r="C599" s="14">
        <f>98.4067 * CHOOSE(CONTROL!$C$9, $D$9, 100%, $F$9) + CHOOSE(CONTROL!$C$27, 0.0021, 0)</f>
        <v>98.408799999999999</v>
      </c>
      <c r="D599" s="14">
        <f>98.4067 * CHOOSE(CONTROL!$C$9, $D$9, 100%, $F$9) + CHOOSE(CONTROL!$C$27, 0.0021, 0)</f>
        <v>98.408799999999999</v>
      </c>
      <c r="E599" s="14">
        <f>98.2701 * CHOOSE(CONTROL!$C$9, $D$9, 100%, $F$9) + CHOOSE(CONTROL!$C$27, 0.0021, 0)</f>
        <v>98.272199999999998</v>
      </c>
      <c r="F599" s="14">
        <f>98.2701 * CHOOSE(CONTROL!$C$9, $D$9, 100%, $F$9) + CHOOSE(CONTROL!$C$27, 0.0021, 0)</f>
        <v>98.272199999999998</v>
      </c>
      <c r="G599" s="14">
        <f>98.5414 * CHOOSE(CONTROL!$C$9, $D$9, 100%, $F$9) + CHOOSE(CONTROL!$C$27, 0.0021, 0)</f>
        <v>98.543499999999995</v>
      </c>
      <c r="H599" s="14">
        <f>98.4067 * CHOOSE(CONTROL!$C$9, $D$9, 100%, $F$9) + CHOOSE(CONTROL!$C$27, 0.0021, 0)</f>
        <v>98.408799999999999</v>
      </c>
      <c r="I599" s="14">
        <f>98.4067 * CHOOSE(CONTROL!$C$9, $D$9, 100%, $F$9) + CHOOSE(CONTROL!$C$27, 0.0021, 0)</f>
        <v>98.408799999999999</v>
      </c>
      <c r="J599" s="14">
        <f>98.4067 * CHOOSE(CONTROL!$C$9, $D$9, 100%, $F$9) + CHOOSE(CONTROL!$C$27, 0.0021, 0)</f>
        <v>98.408799999999999</v>
      </c>
      <c r="K599" s="14">
        <f>98.4067 * CHOOSE(CONTROL!$C$9, $D$9, 100%, $F$9) + CHOOSE(CONTROL!$C$27, 0.0021, 0)</f>
        <v>98.408799999999999</v>
      </c>
      <c r="L599" s="14"/>
    </row>
    <row r="600" spans="1:12" ht="15.75" x14ac:dyDescent="0.25">
      <c r="A600" s="32">
        <v>59202</v>
      </c>
      <c r="B600" s="14">
        <f>89.8415 * CHOOSE(CONTROL!$C$9, $D$9, 100%, $F$9) + CHOOSE(CONTROL!$C$27, 0.0021, 0)</f>
        <v>89.843599999999995</v>
      </c>
      <c r="C600" s="14">
        <f>89.4092 * CHOOSE(CONTROL!$C$9, $D$9, 100%, $F$9) + CHOOSE(CONTROL!$C$27, 0.0021, 0)</f>
        <v>89.411299999999997</v>
      </c>
      <c r="D600" s="14">
        <f>89.4092 * CHOOSE(CONTROL!$C$9, $D$9, 100%, $F$9) + CHOOSE(CONTROL!$C$27, 0.0021, 0)</f>
        <v>89.411299999999997</v>
      </c>
      <c r="E600" s="14">
        <f>89.2726 * CHOOSE(CONTROL!$C$9, $D$9, 100%, $F$9) + CHOOSE(CONTROL!$C$27, 0.0021, 0)</f>
        <v>89.274699999999996</v>
      </c>
      <c r="F600" s="14">
        <f>89.2726 * CHOOSE(CONTROL!$C$9, $D$9, 100%, $F$9) + CHOOSE(CONTROL!$C$27, 0.0021, 0)</f>
        <v>89.274699999999996</v>
      </c>
      <c r="G600" s="14">
        <f>89.5439 * CHOOSE(CONTROL!$C$9, $D$9, 100%, $F$9) + CHOOSE(CONTROL!$C$27, 0.0021, 0)</f>
        <v>89.545999999999992</v>
      </c>
      <c r="H600" s="14">
        <f>89.4092 * CHOOSE(CONTROL!$C$9, $D$9, 100%, $F$9) + CHOOSE(CONTROL!$C$27, 0.0021, 0)</f>
        <v>89.411299999999997</v>
      </c>
      <c r="I600" s="14">
        <f>89.4092 * CHOOSE(CONTROL!$C$9, $D$9, 100%, $F$9) + CHOOSE(CONTROL!$C$27, 0.0021, 0)</f>
        <v>89.411299999999997</v>
      </c>
      <c r="J600" s="14">
        <f>89.4092 * CHOOSE(CONTROL!$C$9, $D$9, 100%, $F$9) + CHOOSE(CONTROL!$C$27, 0.0021, 0)</f>
        <v>89.411299999999997</v>
      </c>
      <c r="K600" s="14">
        <f>89.4092 * CHOOSE(CONTROL!$C$9, $D$9, 100%, $F$9) + CHOOSE(CONTROL!$C$27, 0.0021, 0)</f>
        <v>89.411299999999997</v>
      </c>
      <c r="L600" s="14"/>
    </row>
    <row r="601" spans="1:12" ht="15.75" x14ac:dyDescent="0.25">
      <c r="A601" s="32">
        <v>59230</v>
      </c>
      <c r="B601" s="14">
        <f>89.5981 * CHOOSE(CONTROL!$C$9, $D$9, 100%, $F$9) + CHOOSE(CONTROL!$C$27, 0.0021, 0)</f>
        <v>89.600200000000001</v>
      </c>
      <c r="C601" s="14">
        <f>89.1659 * CHOOSE(CONTROL!$C$9, $D$9, 100%, $F$9) + CHOOSE(CONTROL!$C$27, 0.0021, 0)</f>
        <v>89.167999999999992</v>
      </c>
      <c r="D601" s="14">
        <f>89.1659 * CHOOSE(CONTROL!$C$9, $D$9, 100%, $F$9) + CHOOSE(CONTROL!$C$27, 0.0021, 0)</f>
        <v>89.167999999999992</v>
      </c>
      <c r="E601" s="14">
        <f>89.0292 * CHOOSE(CONTROL!$C$9, $D$9, 100%, $F$9) + CHOOSE(CONTROL!$C$27, 0.0021, 0)</f>
        <v>89.031300000000002</v>
      </c>
      <c r="F601" s="14">
        <f>89.0292 * CHOOSE(CONTROL!$C$9, $D$9, 100%, $F$9) + CHOOSE(CONTROL!$C$27, 0.0021, 0)</f>
        <v>89.031300000000002</v>
      </c>
      <c r="G601" s="14">
        <f>89.3006 * CHOOSE(CONTROL!$C$9, $D$9, 100%, $F$9) + CHOOSE(CONTROL!$C$27, 0.0021, 0)</f>
        <v>89.302700000000002</v>
      </c>
      <c r="H601" s="14">
        <f>89.1659 * CHOOSE(CONTROL!$C$9, $D$9, 100%, $F$9) + CHOOSE(CONTROL!$C$27, 0.0021, 0)</f>
        <v>89.167999999999992</v>
      </c>
      <c r="I601" s="14">
        <f>89.1659 * CHOOSE(CONTROL!$C$9, $D$9, 100%, $F$9) + CHOOSE(CONTROL!$C$27, 0.0021, 0)</f>
        <v>89.167999999999992</v>
      </c>
      <c r="J601" s="14">
        <f>89.1659 * CHOOSE(CONTROL!$C$9, $D$9, 100%, $F$9) + CHOOSE(CONTROL!$C$27, 0.0021, 0)</f>
        <v>89.167999999999992</v>
      </c>
      <c r="K601" s="14">
        <f>89.1659 * CHOOSE(CONTROL!$C$9, $D$9, 100%, $F$9) + CHOOSE(CONTROL!$C$27, 0.0021, 0)</f>
        <v>89.167999999999992</v>
      </c>
      <c r="L601" s="14"/>
    </row>
    <row r="602" spans="1:12" ht="15.75" x14ac:dyDescent="0.25">
      <c r="A602" s="32">
        <v>59261</v>
      </c>
      <c r="B602" s="14">
        <f>94.1996 * CHOOSE(CONTROL!$C$9, $D$9, 100%, $F$9) + CHOOSE(CONTROL!$C$27, 0.0021, 0)</f>
        <v>94.201700000000002</v>
      </c>
      <c r="C602" s="14">
        <f>93.7674 * CHOOSE(CONTROL!$C$9, $D$9, 100%, $F$9) + CHOOSE(CONTROL!$C$27, 0.0021, 0)</f>
        <v>93.769499999999994</v>
      </c>
      <c r="D602" s="14">
        <f>93.7674 * CHOOSE(CONTROL!$C$9, $D$9, 100%, $F$9) + CHOOSE(CONTROL!$C$27, 0.0021, 0)</f>
        <v>93.769499999999994</v>
      </c>
      <c r="E602" s="14">
        <f>93.6307 * CHOOSE(CONTROL!$C$9, $D$9, 100%, $F$9) + CHOOSE(CONTROL!$C$27, 0.0021, 0)</f>
        <v>93.632800000000003</v>
      </c>
      <c r="F602" s="14">
        <f>93.6307 * CHOOSE(CONTROL!$C$9, $D$9, 100%, $F$9) + CHOOSE(CONTROL!$C$27, 0.0021, 0)</f>
        <v>93.632800000000003</v>
      </c>
      <c r="G602" s="14">
        <f>93.9021 * CHOOSE(CONTROL!$C$9, $D$9, 100%, $F$9) + CHOOSE(CONTROL!$C$27, 0.0021, 0)</f>
        <v>93.904200000000003</v>
      </c>
      <c r="H602" s="14">
        <f>93.7674 * CHOOSE(CONTROL!$C$9, $D$9, 100%, $F$9) + CHOOSE(CONTROL!$C$27, 0.0021, 0)</f>
        <v>93.769499999999994</v>
      </c>
      <c r="I602" s="14">
        <f>93.7674 * CHOOSE(CONTROL!$C$9, $D$9, 100%, $F$9) + CHOOSE(CONTROL!$C$27, 0.0021, 0)</f>
        <v>93.769499999999994</v>
      </c>
      <c r="J602" s="14">
        <f>93.7674 * CHOOSE(CONTROL!$C$9, $D$9, 100%, $F$9) + CHOOSE(CONTROL!$C$27, 0.0021, 0)</f>
        <v>93.769499999999994</v>
      </c>
      <c r="K602" s="14">
        <f>93.7674 * CHOOSE(CONTROL!$C$9, $D$9, 100%, $F$9) + CHOOSE(CONTROL!$C$27, 0.0021, 0)</f>
        <v>93.769499999999994</v>
      </c>
      <c r="L602" s="14"/>
    </row>
    <row r="603" spans="1:12" ht="15.75" x14ac:dyDescent="0.25">
      <c r="A603" s="32">
        <v>59291</v>
      </c>
      <c r="B603" s="14">
        <f>100.1667 * CHOOSE(CONTROL!$C$9, $D$9, 100%, $F$9) + CHOOSE(CONTROL!$C$27, 0.0021, 0)</f>
        <v>100.1688</v>
      </c>
      <c r="C603" s="14">
        <f>99.7345 * CHOOSE(CONTROL!$C$9, $D$9, 100%, $F$9) + CHOOSE(CONTROL!$C$27, 0.0021, 0)</f>
        <v>99.736599999999996</v>
      </c>
      <c r="D603" s="14">
        <f>99.7345 * CHOOSE(CONTROL!$C$9, $D$9, 100%, $F$9) + CHOOSE(CONTROL!$C$27, 0.0021, 0)</f>
        <v>99.736599999999996</v>
      </c>
      <c r="E603" s="14">
        <f>99.5978 * CHOOSE(CONTROL!$C$9, $D$9, 100%, $F$9) + CHOOSE(CONTROL!$C$27, 0.0021, 0)</f>
        <v>99.599900000000005</v>
      </c>
      <c r="F603" s="14">
        <f>99.5978 * CHOOSE(CONTROL!$C$9, $D$9, 100%, $F$9) + CHOOSE(CONTROL!$C$27, 0.0021, 0)</f>
        <v>99.599900000000005</v>
      </c>
      <c r="G603" s="14">
        <f>99.8692 * CHOOSE(CONTROL!$C$9, $D$9, 100%, $F$9) + CHOOSE(CONTROL!$C$27, 0.0021, 0)</f>
        <v>99.871300000000005</v>
      </c>
      <c r="H603" s="14">
        <f>99.7345 * CHOOSE(CONTROL!$C$9, $D$9, 100%, $F$9) + CHOOSE(CONTROL!$C$27, 0.0021, 0)</f>
        <v>99.736599999999996</v>
      </c>
      <c r="I603" s="14">
        <f>99.7345 * CHOOSE(CONTROL!$C$9, $D$9, 100%, $F$9) + CHOOSE(CONTROL!$C$27, 0.0021, 0)</f>
        <v>99.736599999999996</v>
      </c>
      <c r="J603" s="14">
        <f>99.7345 * CHOOSE(CONTROL!$C$9, $D$9, 100%, $F$9) + CHOOSE(CONTROL!$C$27, 0.0021, 0)</f>
        <v>99.736599999999996</v>
      </c>
      <c r="K603" s="14">
        <f>99.7345 * CHOOSE(CONTROL!$C$9, $D$9, 100%, $F$9) + CHOOSE(CONTROL!$C$27, 0.0021, 0)</f>
        <v>99.736599999999996</v>
      </c>
      <c r="L603" s="14"/>
    </row>
    <row r="604" spans="1:12" ht="15.75" x14ac:dyDescent="0.25">
      <c r="A604" s="32">
        <v>59322</v>
      </c>
      <c r="B604" s="14">
        <f>103.4512 * CHOOSE(CONTROL!$C$9, $D$9, 100%, $F$9) + CHOOSE(CONTROL!$C$27, 0.0021, 0)</f>
        <v>103.4533</v>
      </c>
      <c r="C604" s="14">
        <f>103.0189 * CHOOSE(CONTROL!$C$9, $D$9, 100%, $F$9) + CHOOSE(CONTROL!$C$27, 0.0021, 0)</f>
        <v>103.021</v>
      </c>
      <c r="D604" s="14">
        <f>103.0189 * CHOOSE(CONTROL!$C$9, $D$9, 100%, $F$9) + CHOOSE(CONTROL!$C$27, 0.0021, 0)</f>
        <v>103.021</v>
      </c>
      <c r="E604" s="14">
        <f>102.8823 * CHOOSE(CONTROL!$C$9, $D$9, 100%, $F$9) + CHOOSE(CONTROL!$C$27, 0.0021, 0)</f>
        <v>102.8844</v>
      </c>
      <c r="F604" s="14">
        <f>102.8823 * CHOOSE(CONTROL!$C$9, $D$9, 100%, $F$9) + CHOOSE(CONTROL!$C$27, 0.0021, 0)</f>
        <v>102.8844</v>
      </c>
      <c r="G604" s="14">
        <f>103.1536 * CHOOSE(CONTROL!$C$9, $D$9, 100%, $F$9) + CHOOSE(CONTROL!$C$27, 0.0021, 0)</f>
        <v>103.1557</v>
      </c>
      <c r="H604" s="14">
        <f>103.0189 * CHOOSE(CONTROL!$C$9, $D$9, 100%, $F$9) + CHOOSE(CONTROL!$C$27, 0.0021, 0)</f>
        <v>103.021</v>
      </c>
      <c r="I604" s="14">
        <f>103.0189 * CHOOSE(CONTROL!$C$9, $D$9, 100%, $F$9) + CHOOSE(CONTROL!$C$27, 0.0021, 0)</f>
        <v>103.021</v>
      </c>
      <c r="J604" s="14">
        <f>103.0189 * CHOOSE(CONTROL!$C$9, $D$9, 100%, $F$9) + CHOOSE(CONTROL!$C$27, 0.0021, 0)</f>
        <v>103.021</v>
      </c>
      <c r="K604" s="14">
        <f>103.0189 * CHOOSE(CONTROL!$C$9, $D$9, 100%, $F$9) + CHOOSE(CONTROL!$C$27, 0.0021, 0)</f>
        <v>103.021</v>
      </c>
      <c r="L604" s="14"/>
    </row>
    <row r="605" spans="1:12" ht="15.75" x14ac:dyDescent="0.25">
      <c r="A605" s="32">
        <v>59352</v>
      </c>
      <c r="B605" s="14">
        <f>104.9088 * CHOOSE(CONTROL!$C$9, $D$9, 100%, $F$9) + CHOOSE(CONTROL!$C$27, 0.0021, 0)</f>
        <v>104.9109</v>
      </c>
      <c r="C605" s="14">
        <f>104.4765 * CHOOSE(CONTROL!$C$9, $D$9, 100%, $F$9) + CHOOSE(CONTROL!$C$27, 0.0021, 0)</f>
        <v>104.4786</v>
      </c>
      <c r="D605" s="14">
        <f>104.4765 * CHOOSE(CONTROL!$C$9, $D$9, 100%, $F$9) + CHOOSE(CONTROL!$C$27, 0.0021, 0)</f>
        <v>104.4786</v>
      </c>
      <c r="E605" s="14">
        <f>104.3399 * CHOOSE(CONTROL!$C$9, $D$9, 100%, $F$9) + CHOOSE(CONTROL!$C$27, 0.0021, 0)</f>
        <v>104.342</v>
      </c>
      <c r="F605" s="14">
        <f>104.3399 * CHOOSE(CONTROL!$C$9, $D$9, 100%, $F$9) + CHOOSE(CONTROL!$C$27, 0.0021, 0)</f>
        <v>104.342</v>
      </c>
      <c r="G605" s="14">
        <f>104.6112 * CHOOSE(CONTROL!$C$9, $D$9, 100%, $F$9) + CHOOSE(CONTROL!$C$27, 0.0021, 0)</f>
        <v>104.6133</v>
      </c>
      <c r="H605" s="14">
        <f>104.4765 * CHOOSE(CONTROL!$C$9, $D$9, 100%, $F$9) + CHOOSE(CONTROL!$C$27, 0.0021, 0)</f>
        <v>104.4786</v>
      </c>
      <c r="I605" s="14">
        <f>104.4765 * CHOOSE(CONTROL!$C$9, $D$9, 100%, $F$9) + CHOOSE(CONTROL!$C$27, 0.0021, 0)</f>
        <v>104.4786</v>
      </c>
      <c r="J605" s="14">
        <f>104.4765 * CHOOSE(CONTROL!$C$9, $D$9, 100%, $F$9) + CHOOSE(CONTROL!$C$27, 0.0021, 0)</f>
        <v>104.4786</v>
      </c>
      <c r="K605" s="14">
        <f>104.4765 * CHOOSE(CONTROL!$C$9, $D$9, 100%, $F$9) + CHOOSE(CONTROL!$C$27, 0.0021, 0)</f>
        <v>104.4786</v>
      </c>
      <c r="L605" s="14"/>
    </row>
    <row r="606" spans="1:12" ht="15.75" x14ac:dyDescent="0.25">
      <c r="A606" s="32">
        <v>59383</v>
      </c>
      <c r="B606" s="14">
        <f>104.4289 * CHOOSE(CONTROL!$C$9, $D$9, 100%, $F$9) + CHOOSE(CONTROL!$C$27, 0.0021, 0)</f>
        <v>104.431</v>
      </c>
      <c r="C606" s="14">
        <f>103.9966 * CHOOSE(CONTROL!$C$9, $D$9, 100%, $F$9) + CHOOSE(CONTROL!$C$27, 0.0021, 0)</f>
        <v>103.9987</v>
      </c>
      <c r="D606" s="14">
        <f>103.9966 * CHOOSE(CONTROL!$C$9, $D$9, 100%, $F$9) + CHOOSE(CONTROL!$C$27, 0.0021, 0)</f>
        <v>103.9987</v>
      </c>
      <c r="E606" s="14">
        <f>103.8599 * CHOOSE(CONTROL!$C$9, $D$9, 100%, $F$9) + CHOOSE(CONTROL!$C$27, 0.0021, 0)</f>
        <v>103.86199999999999</v>
      </c>
      <c r="F606" s="14">
        <f>103.8599 * CHOOSE(CONTROL!$C$9, $D$9, 100%, $F$9) + CHOOSE(CONTROL!$C$27, 0.0021, 0)</f>
        <v>103.86199999999999</v>
      </c>
      <c r="G606" s="14">
        <f>104.1313 * CHOOSE(CONTROL!$C$9, $D$9, 100%, $F$9) + CHOOSE(CONTROL!$C$27, 0.0021, 0)</f>
        <v>104.13339999999999</v>
      </c>
      <c r="H606" s="14">
        <f>103.9966 * CHOOSE(CONTROL!$C$9, $D$9, 100%, $F$9) + CHOOSE(CONTROL!$C$27, 0.0021, 0)</f>
        <v>103.9987</v>
      </c>
      <c r="I606" s="14">
        <f>103.9966 * CHOOSE(CONTROL!$C$9, $D$9, 100%, $F$9) + CHOOSE(CONTROL!$C$27, 0.0021, 0)</f>
        <v>103.9987</v>
      </c>
      <c r="J606" s="14">
        <f>103.9966 * CHOOSE(CONTROL!$C$9, $D$9, 100%, $F$9) + CHOOSE(CONTROL!$C$27, 0.0021, 0)</f>
        <v>103.9987</v>
      </c>
      <c r="K606" s="14">
        <f>103.9966 * CHOOSE(CONTROL!$C$9, $D$9, 100%, $F$9) + CHOOSE(CONTROL!$C$27, 0.0021, 0)</f>
        <v>103.9987</v>
      </c>
      <c r="L606" s="14"/>
    </row>
    <row r="607" spans="1:12" ht="15.75" x14ac:dyDescent="0.25">
      <c r="A607" s="32">
        <v>59414</v>
      </c>
      <c r="B607" s="14">
        <f>102.0512 * CHOOSE(CONTROL!$C$9, $D$9, 100%, $F$9) + CHOOSE(CONTROL!$C$27, 0.0021, 0)</f>
        <v>102.05329999999999</v>
      </c>
      <c r="C607" s="14">
        <f>101.6189 * CHOOSE(CONTROL!$C$9, $D$9, 100%, $F$9) + CHOOSE(CONTROL!$C$27, 0.0021, 0)</f>
        <v>101.621</v>
      </c>
      <c r="D607" s="14">
        <f>101.6189 * CHOOSE(CONTROL!$C$9, $D$9, 100%, $F$9) + CHOOSE(CONTROL!$C$27, 0.0021, 0)</f>
        <v>101.621</v>
      </c>
      <c r="E607" s="14">
        <f>101.4822 * CHOOSE(CONTROL!$C$9, $D$9, 100%, $F$9) + CHOOSE(CONTROL!$C$27, 0.0021, 0)</f>
        <v>101.4843</v>
      </c>
      <c r="F607" s="14">
        <f>101.4822 * CHOOSE(CONTROL!$C$9, $D$9, 100%, $F$9) + CHOOSE(CONTROL!$C$27, 0.0021, 0)</f>
        <v>101.4843</v>
      </c>
      <c r="G607" s="14">
        <f>101.7536 * CHOOSE(CONTROL!$C$9, $D$9, 100%, $F$9) + CHOOSE(CONTROL!$C$27, 0.0021, 0)</f>
        <v>101.7557</v>
      </c>
      <c r="H607" s="14">
        <f>101.6189 * CHOOSE(CONTROL!$C$9, $D$9, 100%, $F$9) + CHOOSE(CONTROL!$C$27, 0.0021, 0)</f>
        <v>101.621</v>
      </c>
      <c r="I607" s="14">
        <f>101.6189 * CHOOSE(CONTROL!$C$9, $D$9, 100%, $F$9) + CHOOSE(CONTROL!$C$27, 0.0021, 0)</f>
        <v>101.621</v>
      </c>
      <c r="J607" s="14">
        <f>101.6189 * CHOOSE(CONTROL!$C$9, $D$9, 100%, $F$9) + CHOOSE(CONTROL!$C$27, 0.0021, 0)</f>
        <v>101.621</v>
      </c>
      <c r="K607" s="14">
        <f>101.6189 * CHOOSE(CONTROL!$C$9, $D$9, 100%, $F$9) + CHOOSE(CONTROL!$C$27, 0.0021, 0)</f>
        <v>101.621</v>
      </c>
      <c r="L607" s="14"/>
    </row>
    <row r="608" spans="1:12" ht="15.75" x14ac:dyDescent="0.25">
      <c r="A608" s="32">
        <v>59444</v>
      </c>
      <c r="B608" s="14">
        <f>98.7353 * CHOOSE(CONTROL!$C$9, $D$9, 100%, $F$9) + CHOOSE(CONTROL!$C$27, 0.0021, 0)</f>
        <v>98.737399999999994</v>
      </c>
      <c r="C608" s="14">
        <f>98.3031 * CHOOSE(CONTROL!$C$9, $D$9, 100%, $F$9) + CHOOSE(CONTROL!$C$27, 0.0021, 0)</f>
        <v>98.305199999999999</v>
      </c>
      <c r="D608" s="14">
        <f>98.3031 * CHOOSE(CONTROL!$C$9, $D$9, 100%, $F$9) + CHOOSE(CONTROL!$C$27, 0.0021, 0)</f>
        <v>98.305199999999999</v>
      </c>
      <c r="E608" s="14">
        <f>98.1664 * CHOOSE(CONTROL!$C$9, $D$9, 100%, $F$9) + CHOOSE(CONTROL!$C$27, 0.0021, 0)</f>
        <v>98.168499999999995</v>
      </c>
      <c r="F608" s="14">
        <f>98.1664 * CHOOSE(CONTROL!$C$9, $D$9, 100%, $F$9) + CHOOSE(CONTROL!$C$27, 0.0021, 0)</f>
        <v>98.168499999999995</v>
      </c>
      <c r="G608" s="14">
        <f>98.4378 * CHOOSE(CONTROL!$C$9, $D$9, 100%, $F$9) + CHOOSE(CONTROL!$C$27, 0.0021, 0)</f>
        <v>98.439899999999994</v>
      </c>
      <c r="H608" s="14">
        <f>98.3031 * CHOOSE(CONTROL!$C$9, $D$9, 100%, $F$9) + CHOOSE(CONTROL!$C$27, 0.0021, 0)</f>
        <v>98.305199999999999</v>
      </c>
      <c r="I608" s="14">
        <f>98.3031 * CHOOSE(CONTROL!$C$9, $D$9, 100%, $F$9) + CHOOSE(CONTROL!$C$27, 0.0021, 0)</f>
        <v>98.305199999999999</v>
      </c>
      <c r="J608" s="14">
        <f>98.3031 * CHOOSE(CONTROL!$C$9, $D$9, 100%, $F$9) + CHOOSE(CONTROL!$C$27, 0.0021, 0)</f>
        <v>98.305199999999999</v>
      </c>
      <c r="K608" s="14">
        <f>98.3031 * CHOOSE(CONTROL!$C$9, $D$9, 100%, $F$9) + CHOOSE(CONTROL!$C$27, 0.0021, 0)</f>
        <v>98.305199999999999</v>
      </c>
      <c r="L608" s="14"/>
    </row>
    <row r="609" spans="1:12" ht="15.75" x14ac:dyDescent="0.25">
      <c r="A609" s="32">
        <v>59475</v>
      </c>
      <c r="B609" s="14">
        <f>95.4002 * CHOOSE(CONTROL!$C$9, $D$9, 100%, $F$9) + CHOOSE(CONTROL!$C$27, 0.0021, 0)</f>
        <v>95.402299999999997</v>
      </c>
      <c r="C609" s="14">
        <f>94.968 * CHOOSE(CONTROL!$C$9, $D$9, 100%, $F$9) + CHOOSE(CONTROL!$C$27, 0.0021, 0)</f>
        <v>94.970100000000002</v>
      </c>
      <c r="D609" s="14">
        <f>94.968 * CHOOSE(CONTROL!$C$9, $D$9, 100%, $F$9) + CHOOSE(CONTROL!$C$27, 0.0021, 0)</f>
        <v>94.970100000000002</v>
      </c>
      <c r="E609" s="14">
        <f>94.8313 * CHOOSE(CONTROL!$C$9, $D$9, 100%, $F$9) + CHOOSE(CONTROL!$C$27, 0.0021, 0)</f>
        <v>94.833399999999997</v>
      </c>
      <c r="F609" s="14">
        <f>94.8313 * CHOOSE(CONTROL!$C$9, $D$9, 100%, $F$9) + CHOOSE(CONTROL!$C$27, 0.0021, 0)</f>
        <v>94.833399999999997</v>
      </c>
      <c r="G609" s="14">
        <f>95.1027 * CHOOSE(CONTROL!$C$9, $D$9, 100%, $F$9) + CHOOSE(CONTROL!$C$27, 0.0021, 0)</f>
        <v>95.104799999999997</v>
      </c>
      <c r="H609" s="14">
        <f>94.968 * CHOOSE(CONTROL!$C$9, $D$9, 100%, $F$9) + CHOOSE(CONTROL!$C$27, 0.0021, 0)</f>
        <v>94.970100000000002</v>
      </c>
      <c r="I609" s="14">
        <f>94.968 * CHOOSE(CONTROL!$C$9, $D$9, 100%, $F$9) + CHOOSE(CONTROL!$C$27, 0.0021, 0)</f>
        <v>94.970100000000002</v>
      </c>
      <c r="J609" s="14">
        <f>94.968 * CHOOSE(CONTROL!$C$9, $D$9, 100%, $F$9) + CHOOSE(CONTROL!$C$27, 0.0021, 0)</f>
        <v>94.970100000000002</v>
      </c>
      <c r="K609" s="14">
        <f>94.968 * CHOOSE(CONTROL!$C$9, $D$9, 100%, $F$9) + CHOOSE(CONTROL!$C$27, 0.0021, 0)</f>
        <v>94.970100000000002</v>
      </c>
      <c r="L609" s="14"/>
    </row>
    <row r="610" spans="1:12" ht="15.75" x14ac:dyDescent="0.25">
      <c r="A610" s="32">
        <v>59505</v>
      </c>
      <c r="B610" s="14">
        <f>94.7368 * CHOOSE(CONTROL!$C$9, $D$9, 100%, $F$9) + CHOOSE(CONTROL!$C$27, 0.0021, 0)</f>
        <v>94.738900000000001</v>
      </c>
      <c r="C610" s="14">
        <f>94.3046 * CHOOSE(CONTROL!$C$9, $D$9, 100%, $F$9) + CHOOSE(CONTROL!$C$27, 0.0021, 0)</f>
        <v>94.306699999999992</v>
      </c>
      <c r="D610" s="14">
        <f>94.3046 * CHOOSE(CONTROL!$C$9, $D$9, 100%, $F$9) + CHOOSE(CONTROL!$C$27, 0.0021, 0)</f>
        <v>94.306699999999992</v>
      </c>
      <c r="E610" s="14">
        <f>94.1679 * CHOOSE(CONTROL!$C$9, $D$9, 100%, $F$9) + CHOOSE(CONTROL!$C$27, 0.0021, 0)</f>
        <v>94.17</v>
      </c>
      <c r="F610" s="14">
        <f>94.1679 * CHOOSE(CONTROL!$C$9, $D$9, 100%, $F$9) + CHOOSE(CONTROL!$C$27, 0.0021, 0)</f>
        <v>94.17</v>
      </c>
      <c r="G610" s="14">
        <f>94.4393 * CHOOSE(CONTROL!$C$9, $D$9, 100%, $F$9) + CHOOSE(CONTROL!$C$27, 0.0021, 0)</f>
        <v>94.441400000000002</v>
      </c>
      <c r="H610" s="14">
        <f>94.3046 * CHOOSE(CONTROL!$C$9, $D$9, 100%, $F$9) + CHOOSE(CONTROL!$C$27, 0.0021, 0)</f>
        <v>94.306699999999992</v>
      </c>
      <c r="I610" s="14">
        <f>94.3046 * CHOOSE(CONTROL!$C$9, $D$9, 100%, $F$9) + CHOOSE(CONTROL!$C$27, 0.0021, 0)</f>
        <v>94.306699999999992</v>
      </c>
      <c r="J610" s="14">
        <f>94.3046 * CHOOSE(CONTROL!$C$9, $D$9, 100%, $F$9) + CHOOSE(CONTROL!$C$27, 0.0021, 0)</f>
        <v>94.306699999999992</v>
      </c>
      <c r="K610" s="14">
        <f>94.3046 * CHOOSE(CONTROL!$C$9, $D$9, 100%, $F$9) + CHOOSE(CONTROL!$C$27, 0.0021, 0)</f>
        <v>94.306699999999992</v>
      </c>
      <c r="L610" s="14"/>
    </row>
    <row r="611" spans="1:12" ht="15.75" x14ac:dyDescent="0.25">
      <c r="A611" s="32">
        <v>59536</v>
      </c>
      <c r="B611" s="14">
        <f>91.9935 * CHOOSE(CONTROL!$C$9, $D$9, 100%, $F$9) + CHOOSE(CONTROL!$C$27, 0.0021, 0)</f>
        <v>91.995599999999996</v>
      </c>
      <c r="C611" s="14">
        <f>91.5613 * CHOOSE(CONTROL!$C$9, $D$9, 100%, $F$9) + CHOOSE(CONTROL!$C$27, 0.0021, 0)</f>
        <v>91.563400000000001</v>
      </c>
      <c r="D611" s="14">
        <f>91.5613 * CHOOSE(CONTROL!$C$9, $D$9, 100%, $F$9) + CHOOSE(CONTROL!$C$27, 0.0021, 0)</f>
        <v>91.563400000000001</v>
      </c>
      <c r="E611" s="14">
        <f>91.4246 * CHOOSE(CONTROL!$C$9, $D$9, 100%, $F$9) + CHOOSE(CONTROL!$C$27, 0.0021, 0)</f>
        <v>91.426699999999997</v>
      </c>
      <c r="F611" s="14">
        <f>91.4246 * CHOOSE(CONTROL!$C$9, $D$9, 100%, $F$9) + CHOOSE(CONTROL!$C$27, 0.0021, 0)</f>
        <v>91.426699999999997</v>
      </c>
      <c r="G611" s="14">
        <f>91.696 * CHOOSE(CONTROL!$C$9, $D$9, 100%, $F$9) + CHOOSE(CONTROL!$C$27, 0.0021, 0)</f>
        <v>91.698099999999997</v>
      </c>
      <c r="H611" s="14">
        <f>91.5613 * CHOOSE(CONTROL!$C$9, $D$9, 100%, $F$9) + CHOOSE(CONTROL!$C$27, 0.0021, 0)</f>
        <v>91.563400000000001</v>
      </c>
      <c r="I611" s="14">
        <f>91.5613 * CHOOSE(CONTROL!$C$9, $D$9, 100%, $F$9) + CHOOSE(CONTROL!$C$27, 0.0021, 0)</f>
        <v>91.563400000000001</v>
      </c>
      <c r="J611" s="14">
        <f>91.5613 * CHOOSE(CONTROL!$C$9, $D$9, 100%, $F$9) + CHOOSE(CONTROL!$C$27, 0.0021, 0)</f>
        <v>91.563400000000001</v>
      </c>
      <c r="K611" s="14">
        <f>91.5613 * CHOOSE(CONTROL!$C$9, $D$9, 100%, $F$9) + CHOOSE(CONTROL!$C$27, 0.0021, 0)</f>
        <v>91.563400000000001</v>
      </c>
      <c r="L611" s="14"/>
    </row>
    <row r="612" spans="1:12" ht="15.75" x14ac:dyDescent="0.25">
      <c r="A612" s="32">
        <v>59567</v>
      </c>
      <c r="B612" s="14">
        <f>91.4594 * CHOOSE(CONTROL!$C$9, $D$9, 100%, $F$9) + CHOOSE(CONTROL!$C$27, 0.0021, 0)</f>
        <v>91.461500000000001</v>
      </c>
      <c r="C612" s="14">
        <f>91.0272 * CHOOSE(CONTROL!$C$9, $D$9, 100%, $F$9) + CHOOSE(CONTROL!$C$27, 0.0021, 0)</f>
        <v>91.029299999999992</v>
      </c>
      <c r="D612" s="14">
        <f>91.0272 * CHOOSE(CONTROL!$C$9, $D$9, 100%, $F$9) + CHOOSE(CONTROL!$C$27, 0.0021, 0)</f>
        <v>91.029299999999992</v>
      </c>
      <c r="E612" s="14">
        <f>90.8905 * CHOOSE(CONTROL!$C$9, $D$9, 100%, $F$9) + CHOOSE(CONTROL!$C$27, 0.0021, 0)</f>
        <v>90.892600000000002</v>
      </c>
      <c r="F612" s="14">
        <f>90.8905 * CHOOSE(CONTROL!$C$9, $D$9, 100%, $F$9) + CHOOSE(CONTROL!$C$27, 0.0021, 0)</f>
        <v>90.892600000000002</v>
      </c>
      <c r="G612" s="14">
        <f>91.1619 * CHOOSE(CONTROL!$C$9, $D$9, 100%, $F$9) + CHOOSE(CONTROL!$C$27, 0.0021, 0)</f>
        <v>91.164000000000001</v>
      </c>
      <c r="H612" s="14">
        <f>91.0272 * CHOOSE(CONTROL!$C$9, $D$9, 100%, $F$9) + CHOOSE(CONTROL!$C$27, 0.0021, 0)</f>
        <v>91.029299999999992</v>
      </c>
      <c r="I612" s="14">
        <f>91.0272 * CHOOSE(CONTROL!$C$9, $D$9, 100%, $F$9) + CHOOSE(CONTROL!$C$27, 0.0021, 0)</f>
        <v>91.029299999999992</v>
      </c>
      <c r="J612" s="14">
        <f>91.0272 * CHOOSE(CONTROL!$C$9, $D$9, 100%, $F$9) + CHOOSE(CONTROL!$C$27, 0.0021, 0)</f>
        <v>91.029299999999992</v>
      </c>
      <c r="K612" s="14">
        <f>91.0272 * CHOOSE(CONTROL!$C$9, $D$9, 100%, $F$9) + CHOOSE(CONTROL!$C$27, 0.0021, 0)</f>
        <v>91.029299999999992</v>
      </c>
      <c r="L612" s="14"/>
    </row>
    <row r="613" spans="1:12" ht="15.75" x14ac:dyDescent="0.25">
      <c r="A613" s="32">
        <v>59595</v>
      </c>
      <c r="B613" s="14">
        <f>91.2116 * CHOOSE(CONTROL!$C$9, $D$9, 100%, $F$9) + CHOOSE(CONTROL!$C$27, 0.0021, 0)</f>
        <v>91.213700000000003</v>
      </c>
      <c r="C613" s="14">
        <f>90.7793 * CHOOSE(CONTROL!$C$9, $D$9, 100%, $F$9) + CHOOSE(CONTROL!$C$27, 0.0021, 0)</f>
        <v>90.781400000000005</v>
      </c>
      <c r="D613" s="14">
        <f>90.7793 * CHOOSE(CONTROL!$C$9, $D$9, 100%, $F$9) + CHOOSE(CONTROL!$C$27, 0.0021, 0)</f>
        <v>90.781400000000005</v>
      </c>
      <c r="E613" s="14">
        <f>90.6427 * CHOOSE(CONTROL!$C$9, $D$9, 100%, $F$9) + CHOOSE(CONTROL!$C$27, 0.0021, 0)</f>
        <v>90.644800000000004</v>
      </c>
      <c r="F613" s="14">
        <f>90.6427 * CHOOSE(CONTROL!$C$9, $D$9, 100%, $F$9) + CHOOSE(CONTROL!$C$27, 0.0021, 0)</f>
        <v>90.644800000000004</v>
      </c>
      <c r="G613" s="14">
        <f>90.9141 * CHOOSE(CONTROL!$C$9, $D$9, 100%, $F$9) + CHOOSE(CONTROL!$C$27, 0.0021, 0)</f>
        <v>90.916200000000003</v>
      </c>
      <c r="H613" s="14">
        <f>90.7793 * CHOOSE(CONTROL!$C$9, $D$9, 100%, $F$9) + CHOOSE(CONTROL!$C$27, 0.0021, 0)</f>
        <v>90.781400000000005</v>
      </c>
      <c r="I613" s="14">
        <f>90.7793 * CHOOSE(CONTROL!$C$9, $D$9, 100%, $F$9) + CHOOSE(CONTROL!$C$27, 0.0021, 0)</f>
        <v>90.781400000000005</v>
      </c>
      <c r="J613" s="14">
        <f>90.7793 * CHOOSE(CONTROL!$C$9, $D$9, 100%, $F$9) + CHOOSE(CONTROL!$C$27, 0.0021, 0)</f>
        <v>90.781400000000005</v>
      </c>
      <c r="K613" s="14">
        <f>90.7793 * CHOOSE(CONTROL!$C$9, $D$9, 100%, $F$9) + CHOOSE(CONTROL!$C$27, 0.0021, 0)</f>
        <v>90.781400000000005</v>
      </c>
      <c r="L613" s="14"/>
    </row>
    <row r="614" spans="1:12" ht="15.75" x14ac:dyDescent="0.25">
      <c r="A614" s="32">
        <v>59626</v>
      </c>
      <c r="B614" s="14">
        <f>95.8981 * CHOOSE(CONTROL!$C$9, $D$9, 100%, $F$9) + CHOOSE(CONTROL!$C$27, 0.0021, 0)</f>
        <v>95.900199999999998</v>
      </c>
      <c r="C614" s="14">
        <f>95.4659 * CHOOSE(CONTROL!$C$9, $D$9, 100%, $F$9) + CHOOSE(CONTROL!$C$27, 0.0021, 0)</f>
        <v>95.468000000000004</v>
      </c>
      <c r="D614" s="14">
        <f>95.4659 * CHOOSE(CONTROL!$C$9, $D$9, 100%, $F$9) + CHOOSE(CONTROL!$C$27, 0.0021, 0)</f>
        <v>95.468000000000004</v>
      </c>
      <c r="E614" s="14">
        <f>95.3292 * CHOOSE(CONTROL!$C$9, $D$9, 100%, $F$9) + CHOOSE(CONTROL!$C$27, 0.0021, 0)</f>
        <v>95.331299999999999</v>
      </c>
      <c r="F614" s="14">
        <f>95.3292 * CHOOSE(CONTROL!$C$9, $D$9, 100%, $F$9) + CHOOSE(CONTROL!$C$27, 0.0021, 0)</f>
        <v>95.331299999999999</v>
      </c>
      <c r="G614" s="14">
        <f>95.6006 * CHOOSE(CONTROL!$C$9, $D$9, 100%, $F$9) + CHOOSE(CONTROL!$C$27, 0.0021, 0)</f>
        <v>95.602699999999999</v>
      </c>
      <c r="H614" s="14">
        <f>95.4659 * CHOOSE(CONTROL!$C$9, $D$9, 100%, $F$9) + CHOOSE(CONTROL!$C$27, 0.0021, 0)</f>
        <v>95.468000000000004</v>
      </c>
      <c r="I614" s="14">
        <f>95.4659 * CHOOSE(CONTROL!$C$9, $D$9, 100%, $F$9) + CHOOSE(CONTROL!$C$27, 0.0021, 0)</f>
        <v>95.468000000000004</v>
      </c>
      <c r="J614" s="14">
        <f>95.4659 * CHOOSE(CONTROL!$C$9, $D$9, 100%, $F$9) + CHOOSE(CONTROL!$C$27, 0.0021, 0)</f>
        <v>95.468000000000004</v>
      </c>
      <c r="K614" s="14">
        <f>95.4659 * CHOOSE(CONTROL!$C$9, $D$9, 100%, $F$9) + CHOOSE(CONTROL!$C$27, 0.0021, 0)</f>
        <v>95.468000000000004</v>
      </c>
      <c r="L614" s="14"/>
    </row>
    <row r="615" spans="1:12" ht="15.75" x14ac:dyDescent="0.25">
      <c r="A615" s="32">
        <v>59656</v>
      </c>
      <c r="B615" s="14">
        <f>101.9755 * CHOOSE(CONTROL!$C$9, $D$9, 100%, $F$9) + CHOOSE(CONTROL!$C$27, 0.0021, 0)</f>
        <v>101.9776</v>
      </c>
      <c r="C615" s="14">
        <f>101.5432 * CHOOSE(CONTROL!$C$9, $D$9, 100%, $F$9) + CHOOSE(CONTROL!$C$27, 0.0021, 0)</f>
        <v>101.5453</v>
      </c>
      <c r="D615" s="14">
        <f>101.5432 * CHOOSE(CONTROL!$C$9, $D$9, 100%, $F$9) + CHOOSE(CONTROL!$C$27, 0.0021, 0)</f>
        <v>101.5453</v>
      </c>
      <c r="E615" s="14">
        <f>101.4066 * CHOOSE(CONTROL!$C$9, $D$9, 100%, $F$9) + CHOOSE(CONTROL!$C$27, 0.0021, 0)</f>
        <v>101.4087</v>
      </c>
      <c r="F615" s="14">
        <f>101.4066 * CHOOSE(CONTROL!$C$9, $D$9, 100%, $F$9) + CHOOSE(CONTROL!$C$27, 0.0021, 0)</f>
        <v>101.4087</v>
      </c>
      <c r="G615" s="14">
        <f>101.678 * CHOOSE(CONTROL!$C$9, $D$9, 100%, $F$9) + CHOOSE(CONTROL!$C$27, 0.0021, 0)</f>
        <v>101.6801</v>
      </c>
      <c r="H615" s="14">
        <f>101.5432 * CHOOSE(CONTROL!$C$9, $D$9, 100%, $F$9) + CHOOSE(CONTROL!$C$27, 0.0021, 0)</f>
        <v>101.5453</v>
      </c>
      <c r="I615" s="14">
        <f>101.5432 * CHOOSE(CONTROL!$C$9, $D$9, 100%, $F$9) + CHOOSE(CONTROL!$C$27, 0.0021, 0)</f>
        <v>101.5453</v>
      </c>
      <c r="J615" s="14">
        <f>101.5432 * CHOOSE(CONTROL!$C$9, $D$9, 100%, $F$9) + CHOOSE(CONTROL!$C$27, 0.0021, 0)</f>
        <v>101.5453</v>
      </c>
      <c r="K615" s="14">
        <f>101.5432 * CHOOSE(CONTROL!$C$9, $D$9, 100%, $F$9) + CHOOSE(CONTROL!$C$27, 0.0021, 0)</f>
        <v>101.5453</v>
      </c>
      <c r="L615" s="14"/>
    </row>
    <row r="616" spans="1:12" ht="15.75" x14ac:dyDescent="0.25">
      <c r="A616" s="32">
        <v>59687</v>
      </c>
      <c r="B616" s="14">
        <f>105.3207 * CHOOSE(CONTROL!$C$9, $D$9, 100%, $F$9) + CHOOSE(CONTROL!$C$27, 0.0021, 0)</f>
        <v>105.3228</v>
      </c>
      <c r="C616" s="14">
        <f>104.8884 * CHOOSE(CONTROL!$C$9, $D$9, 100%, $F$9) + CHOOSE(CONTROL!$C$27, 0.0021, 0)</f>
        <v>104.8905</v>
      </c>
      <c r="D616" s="14">
        <f>104.8884 * CHOOSE(CONTROL!$C$9, $D$9, 100%, $F$9) + CHOOSE(CONTROL!$C$27, 0.0021, 0)</f>
        <v>104.8905</v>
      </c>
      <c r="E616" s="14">
        <f>104.7518 * CHOOSE(CONTROL!$C$9, $D$9, 100%, $F$9) + CHOOSE(CONTROL!$C$27, 0.0021, 0)</f>
        <v>104.7539</v>
      </c>
      <c r="F616" s="14">
        <f>104.7518 * CHOOSE(CONTROL!$C$9, $D$9, 100%, $F$9) + CHOOSE(CONTROL!$C$27, 0.0021, 0)</f>
        <v>104.7539</v>
      </c>
      <c r="G616" s="14">
        <f>105.0231 * CHOOSE(CONTROL!$C$9, $D$9, 100%, $F$9) + CHOOSE(CONTROL!$C$27, 0.0021, 0)</f>
        <v>105.0252</v>
      </c>
      <c r="H616" s="14">
        <f>104.8884 * CHOOSE(CONTROL!$C$9, $D$9, 100%, $F$9) + CHOOSE(CONTROL!$C$27, 0.0021, 0)</f>
        <v>104.8905</v>
      </c>
      <c r="I616" s="14">
        <f>104.8884 * CHOOSE(CONTROL!$C$9, $D$9, 100%, $F$9) + CHOOSE(CONTROL!$C$27, 0.0021, 0)</f>
        <v>104.8905</v>
      </c>
      <c r="J616" s="14">
        <f>104.8884 * CHOOSE(CONTROL!$C$9, $D$9, 100%, $F$9) + CHOOSE(CONTROL!$C$27, 0.0021, 0)</f>
        <v>104.8905</v>
      </c>
      <c r="K616" s="14">
        <f>104.8884 * CHOOSE(CONTROL!$C$9, $D$9, 100%, $F$9) + CHOOSE(CONTROL!$C$27, 0.0021, 0)</f>
        <v>104.8905</v>
      </c>
      <c r="L616" s="14"/>
    </row>
    <row r="617" spans="1:12" ht="15.75" x14ac:dyDescent="0.25">
      <c r="A617" s="32">
        <v>59717</v>
      </c>
      <c r="B617" s="14">
        <f>106.8052 * CHOOSE(CONTROL!$C$9, $D$9, 100%, $F$9) + CHOOSE(CONTROL!$C$27, 0.0021, 0)</f>
        <v>106.8073</v>
      </c>
      <c r="C617" s="14">
        <f>106.3729 * CHOOSE(CONTROL!$C$9, $D$9, 100%, $F$9) + CHOOSE(CONTROL!$C$27, 0.0021, 0)</f>
        <v>106.375</v>
      </c>
      <c r="D617" s="14">
        <f>106.3729 * CHOOSE(CONTROL!$C$9, $D$9, 100%, $F$9) + CHOOSE(CONTROL!$C$27, 0.0021, 0)</f>
        <v>106.375</v>
      </c>
      <c r="E617" s="14">
        <f>106.2363 * CHOOSE(CONTROL!$C$9, $D$9, 100%, $F$9) + CHOOSE(CONTROL!$C$27, 0.0021, 0)</f>
        <v>106.2384</v>
      </c>
      <c r="F617" s="14">
        <f>106.2363 * CHOOSE(CONTROL!$C$9, $D$9, 100%, $F$9) + CHOOSE(CONTROL!$C$27, 0.0021, 0)</f>
        <v>106.2384</v>
      </c>
      <c r="G617" s="14">
        <f>106.5077 * CHOOSE(CONTROL!$C$9, $D$9, 100%, $F$9) + CHOOSE(CONTROL!$C$27, 0.0021, 0)</f>
        <v>106.5098</v>
      </c>
      <c r="H617" s="14">
        <f>106.3729 * CHOOSE(CONTROL!$C$9, $D$9, 100%, $F$9) + CHOOSE(CONTROL!$C$27, 0.0021, 0)</f>
        <v>106.375</v>
      </c>
      <c r="I617" s="14">
        <f>106.3729 * CHOOSE(CONTROL!$C$9, $D$9, 100%, $F$9) + CHOOSE(CONTROL!$C$27, 0.0021, 0)</f>
        <v>106.375</v>
      </c>
      <c r="J617" s="14">
        <f>106.3729 * CHOOSE(CONTROL!$C$9, $D$9, 100%, $F$9) + CHOOSE(CONTROL!$C$27, 0.0021, 0)</f>
        <v>106.375</v>
      </c>
      <c r="K617" s="14">
        <f>106.3729 * CHOOSE(CONTROL!$C$9, $D$9, 100%, $F$9) + CHOOSE(CONTROL!$C$27, 0.0021, 0)</f>
        <v>106.375</v>
      </c>
      <c r="L617" s="14"/>
    </row>
    <row r="618" spans="1:12" ht="15.75" x14ac:dyDescent="0.25">
      <c r="A618" s="32">
        <v>59748</v>
      </c>
      <c r="B618" s="14">
        <f>106.3164 * CHOOSE(CONTROL!$C$9, $D$9, 100%, $F$9) + CHOOSE(CONTROL!$C$27, 0.0021, 0)</f>
        <v>106.3185</v>
      </c>
      <c r="C618" s="14">
        <f>105.8842 * CHOOSE(CONTROL!$C$9, $D$9, 100%, $F$9) + CHOOSE(CONTROL!$C$27, 0.0021, 0)</f>
        <v>105.88630000000001</v>
      </c>
      <c r="D618" s="14">
        <f>105.8842 * CHOOSE(CONTROL!$C$9, $D$9, 100%, $F$9) + CHOOSE(CONTROL!$C$27, 0.0021, 0)</f>
        <v>105.88630000000001</v>
      </c>
      <c r="E618" s="14">
        <f>105.7475 * CHOOSE(CONTROL!$C$9, $D$9, 100%, $F$9) + CHOOSE(CONTROL!$C$27, 0.0021, 0)</f>
        <v>105.7496</v>
      </c>
      <c r="F618" s="14">
        <f>105.7475 * CHOOSE(CONTROL!$C$9, $D$9, 100%, $F$9) + CHOOSE(CONTROL!$C$27, 0.0021, 0)</f>
        <v>105.7496</v>
      </c>
      <c r="G618" s="14">
        <f>106.0189 * CHOOSE(CONTROL!$C$9, $D$9, 100%, $F$9) + CHOOSE(CONTROL!$C$27, 0.0021, 0)</f>
        <v>106.021</v>
      </c>
      <c r="H618" s="14">
        <f>105.8842 * CHOOSE(CONTROL!$C$9, $D$9, 100%, $F$9) + CHOOSE(CONTROL!$C$27, 0.0021, 0)</f>
        <v>105.88630000000001</v>
      </c>
      <c r="I618" s="14">
        <f>105.8842 * CHOOSE(CONTROL!$C$9, $D$9, 100%, $F$9) + CHOOSE(CONTROL!$C$27, 0.0021, 0)</f>
        <v>105.88630000000001</v>
      </c>
      <c r="J618" s="14">
        <f>105.8842 * CHOOSE(CONTROL!$C$9, $D$9, 100%, $F$9) + CHOOSE(CONTROL!$C$27, 0.0021, 0)</f>
        <v>105.88630000000001</v>
      </c>
      <c r="K618" s="14">
        <f>105.8842 * CHOOSE(CONTROL!$C$9, $D$9, 100%, $F$9) + CHOOSE(CONTROL!$C$27, 0.0021, 0)</f>
        <v>105.88630000000001</v>
      </c>
      <c r="L618" s="14"/>
    </row>
    <row r="619" spans="1:12" ht="15.75" x14ac:dyDescent="0.25">
      <c r="A619" s="32">
        <v>59779</v>
      </c>
      <c r="B619" s="14">
        <f>103.8948 * CHOOSE(CONTROL!$C$9, $D$9, 100%, $F$9) + CHOOSE(CONTROL!$C$27, 0.0021, 0)</f>
        <v>103.8969</v>
      </c>
      <c r="C619" s="14">
        <f>103.4625 * CHOOSE(CONTROL!$C$9, $D$9, 100%, $F$9) + CHOOSE(CONTROL!$C$27, 0.0021, 0)</f>
        <v>103.4646</v>
      </c>
      <c r="D619" s="14">
        <f>103.4625 * CHOOSE(CONTROL!$C$9, $D$9, 100%, $F$9) + CHOOSE(CONTROL!$C$27, 0.0021, 0)</f>
        <v>103.4646</v>
      </c>
      <c r="E619" s="14">
        <f>103.3259 * CHOOSE(CONTROL!$C$9, $D$9, 100%, $F$9) + CHOOSE(CONTROL!$C$27, 0.0021, 0)</f>
        <v>103.328</v>
      </c>
      <c r="F619" s="14">
        <f>103.3259 * CHOOSE(CONTROL!$C$9, $D$9, 100%, $F$9) + CHOOSE(CONTROL!$C$27, 0.0021, 0)</f>
        <v>103.328</v>
      </c>
      <c r="G619" s="14">
        <f>103.5972 * CHOOSE(CONTROL!$C$9, $D$9, 100%, $F$9) + CHOOSE(CONTROL!$C$27, 0.0021, 0)</f>
        <v>103.5993</v>
      </c>
      <c r="H619" s="14">
        <f>103.4625 * CHOOSE(CONTROL!$C$9, $D$9, 100%, $F$9) + CHOOSE(CONTROL!$C$27, 0.0021, 0)</f>
        <v>103.4646</v>
      </c>
      <c r="I619" s="14">
        <f>103.4625 * CHOOSE(CONTROL!$C$9, $D$9, 100%, $F$9) + CHOOSE(CONTROL!$C$27, 0.0021, 0)</f>
        <v>103.4646</v>
      </c>
      <c r="J619" s="14">
        <f>103.4625 * CHOOSE(CONTROL!$C$9, $D$9, 100%, $F$9) + CHOOSE(CONTROL!$C$27, 0.0021, 0)</f>
        <v>103.4646</v>
      </c>
      <c r="K619" s="14">
        <f>103.4625 * CHOOSE(CONTROL!$C$9, $D$9, 100%, $F$9) + CHOOSE(CONTROL!$C$27, 0.0021, 0)</f>
        <v>103.4646</v>
      </c>
      <c r="L619" s="14"/>
    </row>
    <row r="620" spans="1:12" ht="15.75" x14ac:dyDescent="0.25">
      <c r="A620" s="32">
        <v>59809</v>
      </c>
      <c r="B620" s="14">
        <f>100.5177 * CHOOSE(CONTROL!$C$9, $D$9, 100%, $F$9) + CHOOSE(CONTROL!$C$27, 0.0021, 0)</f>
        <v>100.5198</v>
      </c>
      <c r="C620" s="14">
        <f>100.0854 * CHOOSE(CONTROL!$C$9, $D$9, 100%, $F$9) + CHOOSE(CONTROL!$C$27, 0.0021, 0)</f>
        <v>100.08750000000001</v>
      </c>
      <c r="D620" s="14">
        <f>100.0854 * CHOOSE(CONTROL!$C$9, $D$9, 100%, $F$9) + CHOOSE(CONTROL!$C$27, 0.0021, 0)</f>
        <v>100.08750000000001</v>
      </c>
      <c r="E620" s="14">
        <f>99.9488 * CHOOSE(CONTROL!$C$9, $D$9, 100%, $F$9) + CHOOSE(CONTROL!$C$27, 0.0021, 0)</f>
        <v>99.950900000000004</v>
      </c>
      <c r="F620" s="14">
        <f>99.9488 * CHOOSE(CONTROL!$C$9, $D$9, 100%, $F$9) + CHOOSE(CONTROL!$C$27, 0.0021, 0)</f>
        <v>99.950900000000004</v>
      </c>
      <c r="G620" s="14">
        <f>100.2202 * CHOOSE(CONTROL!$C$9, $D$9, 100%, $F$9) + CHOOSE(CONTROL!$C$27, 0.0021, 0)</f>
        <v>100.2223</v>
      </c>
      <c r="H620" s="14">
        <f>100.0854 * CHOOSE(CONTROL!$C$9, $D$9, 100%, $F$9) + CHOOSE(CONTROL!$C$27, 0.0021, 0)</f>
        <v>100.08750000000001</v>
      </c>
      <c r="I620" s="14">
        <f>100.0854 * CHOOSE(CONTROL!$C$9, $D$9, 100%, $F$9) + CHOOSE(CONTROL!$C$27, 0.0021, 0)</f>
        <v>100.08750000000001</v>
      </c>
      <c r="J620" s="14">
        <f>100.0854 * CHOOSE(CONTROL!$C$9, $D$9, 100%, $F$9) + CHOOSE(CONTROL!$C$27, 0.0021, 0)</f>
        <v>100.08750000000001</v>
      </c>
      <c r="K620" s="14">
        <f>100.0854 * CHOOSE(CONTROL!$C$9, $D$9, 100%, $F$9) + CHOOSE(CONTROL!$C$27, 0.0021, 0)</f>
        <v>100.08750000000001</v>
      </c>
      <c r="L620" s="14"/>
    </row>
    <row r="621" spans="1:12" ht="15.75" x14ac:dyDescent="0.25">
      <c r="A621" s="32">
        <v>59840</v>
      </c>
      <c r="B621" s="14">
        <f>97.121 * CHOOSE(CONTROL!$C$9, $D$9, 100%, $F$9) + CHOOSE(CONTROL!$C$27, 0.0021, 0)</f>
        <v>97.123099999999994</v>
      </c>
      <c r="C621" s="14">
        <f>96.6887 * CHOOSE(CONTROL!$C$9, $D$9, 100%, $F$9) + CHOOSE(CONTROL!$C$27, 0.0021, 0)</f>
        <v>96.690799999999996</v>
      </c>
      <c r="D621" s="14">
        <f>96.6887 * CHOOSE(CONTROL!$C$9, $D$9, 100%, $F$9) + CHOOSE(CONTROL!$C$27, 0.0021, 0)</f>
        <v>96.690799999999996</v>
      </c>
      <c r="E621" s="14">
        <f>96.552 * CHOOSE(CONTROL!$C$9, $D$9, 100%, $F$9) + CHOOSE(CONTROL!$C$27, 0.0021, 0)</f>
        <v>96.554100000000005</v>
      </c>
      <c r="F621" s="14">
        <f>96.552 * CHOOSE(CONTROL!$C$9, $D$9, 100%, $F$9) + CHOOSE(CONTROL!$C$27, 0.0021, 0)</f>
        <v>96.554100000000005</v>
      </c>
      <c r="G621" s="14">
        <f>96.8234 * CHOOSE(CONTROL!$C$9, $D$9, 100%, $F$9) + CHOOSE(CONTROL!$C$27, 0.0021, 0)</f>
        <v>96.825500000000005</v>
      </c>
      <c r="H621" s="14">
        <f>96.6887 * CHOOSE(CONTROL!$C$9, $D$9, 100%, $F$9) + CHOOSE(CONTROL!$C$27, 0.0021, 0)</f>
        <v>96.690799999999996</v>
      </c>
      <c r="I621" s="14">
        <f>96.6887 * CHOOSE(CONTROL!$C$9, $D$9, 100%, $F$9) + CHOOSE(CONTROL!$C$27, 0.0021, 0)</f>
        <v>96.690799999999996</v>
      </c>
      <c r="J621" s="14">
        <f>96.6887 * CHOOSE(CONTROL!$C$9, $D$9, 100%, $F$9) + CHOOSE(CONTROL!$C$27, 0.0021, 0)</f>
        <v>96.690799999999996</v>
      </c>
      <c r="K621" s="14">
        <f>96.6887 * CHOOSE(CONTROL!$C$9, $D$9, 100%, $F$9) + CHOOSE(CONTROL!$C$27, 0.0021, 0)</f>
        <v>96.690799999999996</v>
      </c>
      <c r="L621" s="14"/>
    </row>
    <row r="622" spans="1:12" ht="15.75" x14ac:dyDescent="0.25">
      <c r="A622" s="32">
        <v>59870</v>
      </c>
      <c r="B622" s="14">
        <f>96.4453 * CHOOSE(CONTROL!$C$9, $D$9, 100%, $F$9) + CHOOSE(CONTROL!$C$27, 0.0021, 0)</f>
        <v>96.447400000000002</v>
      </c>
      <c r="C622" s="14">
        <f>96.013 * CHOOSE(CONTROL!$C$9, $D$9, 100%, $F$9) + CHOOSE(CONTROL!$C$27, 0.0021, 0)</f>
        <v>96.015100000000004</v>
      </c>
      <c r="D622" s="14">
        <f>96.013 * CHOOSE(CONTROL!$C$9, $D$9, 100%, $F$9) + CHOOSE(CONTROL!$C$27, 0.0021, 0)</f>
        <v>96.015100000000004</v>
      </c>
      <c r="E622" s="14">
        <f>95.8764 * CHOOSE(CONTROL!$C$9, $D$9, 100%, $F$9) + CHOOSE(CONTROL!$C$27, 0.0021, 0)</f>
        <v>95.878500000000003</v>
      </c>
      <c r="F622" s="14">
        <f>95.8764 * CHOOSE(CONTROL!$C$9, $D$9, 100%, $F$9) + CHOOSE(CONTROL!$C$27, 0.0021, 0)</f>
        <v>95.878500000000003</v>
      </c>
      <c r="G622" s="14">
        <f>96.1477 * CHOOSE(CONTROL!$C$9, $D$9, 100%, $F$9) + CHOOSE(CONTROL!$C$27, 0.0021, 0)</f>
        <v>96.149799999999999</v>
      </c>
      <c r="H622" s="14">
        <f>96.013 * CHOOSE(CONTROL!$C$9, $D$9, 100%, $F$9) + CHOOSE(CONTROL!$C$27, 0.0021, 0)</f>
        <v>96.015100000000004</v>
      </c>
      <c r="I622" s="14">
        <f>96.013 * CHOOSE(CONTROL!$C$9, $D$9, 100%, $F$9) + CHOOSE(CONTROL!$C$27, 0.0021, 0)</f>
        <v>96.015100000000004</v>
      </c>
      <c r="J622" s="14">
        <f>96.013 * CHOOSE(CONTROL!$C$9, $D$9, 100%, $F$9) + CHOOSE(CONTROL!$C$27, 0.0021, 0)</f>
        <v>96.015100000000004</v>
      </c>
      <c r="K622" s="14">
        <f>96.013 * CHOOSE(CONTROL!$C$9, $D$9, 100%, $F$9) + CHOOSE(CONTROL!$C$27, 0.0021, 0)</f>
        <v>96.015100000000004</v>
      </c>
      <c r="L622" s="14"/>
    </row>
    <row r="623" spans="1:12" ht="15.75" x14ac:dyDescent="0.25">
      <c r="A623" s="32">
        <v>59901</v>
      </c>
      <c r="B623" s="14">
        <f>93.6513 * CHOOSE(CONTROL!$C$9, $D$9, 100%, $F$9) + CHOOSE(CONTROL!$C$27, 0.0021, 0)</f>
        <v>93.653400000000005</v>
      </c>
      <c r="C623" s="14">
        <f>93.219 * CHOOSE(CONTROL!$C$9, $D$9, 100%, $F$9) + CHOOSE(CONTROL!$C$27, 0.0021, 0)</f>
        <v>93.221099999999993</v>
      </c>
      <c r="D623" s="14">
        <f>93.219 * CHOOSE(CONTROL!$C$9, $D$9, 100%, $F$9) + CHOOSE(CONTROL!$C$27, 0.0021, 0)</f>
        <v>93.221099999999993</v>
      </c>
      <c r="E623" s="14">
        <f>93.0824 * CHOOSE(CONTROL!$C$9, $D$9, 100%, $F$9) + CHOOSE(CONTROL!$C$27, 0.0021, 0)</f>
        <v>93.084500000000006</v>
      </c>
      <c r="F623" s="14">
        <f>93.0824 * CHOOSE(CONTROL!$C$9, $D$9, 100%, $F$9) + CHOOSE(CONTROL!$C$27, 0.0021, 0)</f>
        <v>93.084500000000006</v>
      </c>
      <c r="G623" s="14">
        <f>93.3537 * CHOOSE(CONTROL!$C$9, $D$9, 100%, $F$9) + CHOOSE(CONTROL!$C$27, 0.0021, 0)</f>
        <v>93.355800000000002</v>
      </c>
      <c r="H623" s="14">
        <f>93.219 * CHOOSE(CONTROL!$C$9, $D$9, 100%, $F$9) + CHOOSE(CONTROL!$C$27, 0.0021, 0)</f>
        <v>93.221099999999993</v>
      </c>
      <c r="I623" s="14">
        <f>93.219 * CHOOSE(CONTROL!$C$9, $D$9, 100%, $F$9) + CHOOSE(CONTROL!$C$27, 0.0021, 0)</f>
        <v>93.221099999999993</v>
      </c>
      <c r="J623" s="14">
        <f>93.219 * CHOOSE(CONTROL!$C$9, $D$9, 100%, $F$9) + CHOOSE(CONTROL!$C$27, 0.0021, 0)</f>
        <v>93.221099999999993</v>
      </c>
      <c r="K623" s="14">
        <f>93.219 * CHOOSE(CONTROL!$C$9, $D$9, 100%, $F$9) + CHOOSE(CONTROL!$C$27, 0.0021, 0)</f>
        <v>93.221099999999993</v>
      </c>
      <c r="L623" s="14"/>
    </row>
    <row r="624" spans="1:12" ht="15.75" x14ac:dyDescent="0.25">
      <c r="A624" s="32">
        <v>59932</v>
      </c>
      <c r="B624" s="14">
        <f>93.1073 * CHOOSE(CONTROL!$C$9, $D$9, 100%, $F$9) + CHOOSE(CONTROL!$C$27, 0.0021, 0)</f>
        <v>93.109399999999994</v>
      </c>
      <c r="C624" s="14">
        <f>92.6751 * CHOOSE(CONTROL!$C$9, $D$9, 100%, $F$9) + CHOOSE(CONTROL!$C$27, 0.0021, 0)</f>
        <v>92.677199999999999</v>
      </c>
      <c r="D624" s="14">
        <f>92.6751 * CHOOSE(CONTROL!$C$9, $D$9, 100%, $F$9) + CHOOSE(CONTROL!$C$27, 0.0021, 0)</f>
        <v>92.677199999999999</v>
      </c>
      <c r="E624" s="14">
        <f>92.5384 * CHOOSE(CONTROL!$C$9, $D$9, 100%, $F$9) + CHOOSE(CONTROL!$C$27, 0.0021, 0)</f>
        <v>92.540499999999994</v>
      </c>
      <c r="F624" s="14">
        <f>92.5384 * CHOOSE(CONTROL!$C$9, $D$9, 100%, $F$9) + CHOOSE(CONTROL!$C$27, 0.0021, 0)</f>
        <v>92.540499999999994</v>
      </c>
      <c r="G624" s="14">
        <f>92.8098 * CHOOSE(CONTROL!$C$9, $D$9, 100%, $F$9) + CHOOSE(CONTROL!$C$27, 0.0021, 0)</f>
        <v>92.811899999999994</v>
      </c>
      <c r="H624" s="14">
        <f>92.6751 * CHOOSE(CONTROL!$C$9, $D$9, 100%, $F$9) + CHOOSE(CONTROL!$C$27, 0.0021, 0)</f>
        <v>92.677199999999999</v>
      </c>
      <c r="I624" s="14">
        <f>92.6751 * CHOOSE(CONTROL!$C$9, $D$9, 100%, $F$9) + CHOOSE(CONTROL!$C$27, 0.0021, 0)</f>
        <v>92.677199999999999</v>
      </c>
      <c r="J624" s="14">
        <f>92.6751 * CHOOSE(CONTROL!$C$9, $D$9, 100%, $F$9) + CHOOSE(CONTROL!$C$27, 0.0021, 0)</f>
        <v>92.677199999999999</v>
      </c>
      <c r="K624" s="14">
        <f>92.6751 * CHOOSE(CONTROL!$C$9, $D$9, 100%, $F$9) + CHOOSE(CONTROL!$C$27, 0.0021, 0)</f>
        <v>92.677199999999999</v>
      </c>
      <c r="L624" s="14"/>
    </row>
    <row r="625" spans="1:12" ht="15.75" x14ac:dyDescent="0.25">
      <c r="A625" s="32">
        <v>59961</v>
      </c>
      <c r="B625" s="14">
        <f>92.8549 * CHOOSE(CONTROL!$C$9, $D$9, 100%, $F$9) + CHOOSE(CONTROL!$C$27, 0.0021, 0)</f>
        <v>92.856999999999999</v>
      </c>
      <c r="C625" s="14">
        <f>92.4226 * CHOOSE(CONTROL!$C$9, $D$9, 100%, $F$9) + CHOOSE(CONTROL!$C$27, 0.0021, 0)</f>
        <v>92.424700000000001</v>
      </c>
      <c r="D625" s="14">
        <f>92.4226 * CHOOSE(CONTROL!$C$9, $D$9, 100%, $F$9) + CHOOSE(CONTROL!$C$27, 0.0021, 0)</f>
        <v>92.424700000000001</v>
      </c>
      <c r="E625" s="14">
        <f>92.286 * CHOOSE(CONTROL!$C$9, $D$9, 100%, $F$9) + CHOOSE(CONTROL!$C$27, 0.0021, 0)</f>
        <v>92.2881</v>
      </c>
      <c r="F625" s="14">
        <f>92.286 * CHOOSE(CONTROL!$C$9, $D$9, 100%, $F$9) + CHOOSE(CONTROL!$C$27, 0.0021, 0)</f>
        <v>92.2881</v>
      </c>
      <c r="G625" s="14">
        <f>92.5573 * CHOOSE(CONTROL!$C$9, $D$9, 100%, $F$9) + CHOOSE(CONTROL!$C$27, 0.0021, 0)</f>
        <v>92.559399999999997</v>
      </c>
      <c r="H625" s="14">
        <f>92.4226 * CHOOSE(CONTROL!$C$9, $D$9, 100%, $F$9) + CHOOSE(CONTROL!$C$27, 0.0021, 0)</f>
        <v>92.424700000000001</v>
      </c>
      <c r="I625" s="14">
        <f>92.4226 * CHOOSE(CONTROL!$C$9, $D$9, 100%, $F$9) + CHOOSE(CONTROL!$C$27, 0.0021, 0)</f>
        <v>92.424700000000001</v>
      </c>
      <c r="J625" s="14">
        <f>92.4226 * CHOOSE(CONTROL!$C$9, $D$9, 100%, $F$9) + CHOOSE(CONTROL!$C$27, 0.0021, 0)</f>
        <v>92.424700000000001</v>
      </c>
      <c r="K625" s="14">
        <f>92.4226 * CHOOSE(CONTROL!$C$9, $D$9, 100%, $F$9) + CHOOSE(CONTROL!$C$27, 0.0021, 0)</f>
        <v>92.424700000000001</v>
      </c>
      <c r="L625" s="14"/>
    </row>
    <row r="626" spans="1:12" ht="15.75" x14ac:dyDescent="0.25">
      <c r="A626" s="32">
        <v>59992</v>
      </c>
      <c r="B626" s="14">
        <f>97.628 * CHOOSE(CONTROL!$C$9, $D$9, 100%, $F$9) + CHOOSE(CONTROL!$C$27, 0.0021, 0)</f>
        <v>97.630099999999999</v>
      </c>
      <c r="C626" s="14">
        <f>97.1958 * CHOOSE(CONTROL!$C$9, $D$9, 100%, $F$9) + CHOOSE(CONTROL!$C$27, 0.0021, 0)</f>
        <v>97.197900000000004</v>
      </c>
      <c r="D626" s="14">
        <f>97.1958 * CHOOSE(CONTROL!$C$9, $D$9, 100%, $F$9) + CHOOSE(CONTROL!$C$27, 0.0021, 0)</f>
        <v>97.197900000000004</v>
      </c>
      <c r="E626" s="14">
        <f>97.0591 * CHOOSE(CONTROL!$C$9, $D$9, 100%, $F$9) + CHOOSE(CONTROL!$C$27, 0.0021, 0)</f>
        <v>97.061199999999999</v>
      </c>
      <c r="F626" s="14">
        <f>97.0591 * CHOOSE(CONTROL!$C$9, $D$9, 100%, $F$9) + CHOOSE(CONTROL!$C$27, 0.0021, 0)</f>
        <v>97.061199999999999</v>
      </c>
      <c r="G626" s="14">
        <f>97.3305 * CHOOSE(CONTROL!$C$9, $D$9, 100%, $F$9) + CHOOSE(CONTROL!$C$27, 0.0021, 0)</f>
        <v>97.332599999999999</v>
      </c>
      <c r="H626" s="14">
        <f>97.1958 * CHOOSE(CONTROL!$C$9, $D$9, 100%, $F$9) + CHOOSE(CONTROL!$C$27, 0.0021, 0)</f>
        <v>97.197900000000004</v>
      </c>
      <c r="I626" s="14">
        <f>97.1958 * CHOOSE(CONTROL!$C$9, $D$9, 100%, $F$9) + CHOOSE(CONTROL!$C$27, 0.0021, 0)</f>
        <v>97.197900000000004</v>
      </c>
      <c r="J626" s="14">
        <f>97.1958 * CHOOSE(CONTROL!$C$9, $D$9, 100%, $F$9) + CHOOSE(CONTROL!$C$27, 0.0021, 0)</f>
        <v>97.197900000000004</v>
      </c>
      <c r="K626" s="14">
        <f>97.1958 * CHOOSE(CONTROL!$C$9, $D$9, 100%, $F$9) + CHOOSE(CONTROL!$C$27, 0.0021, 0)</f>
        <v>97.197900000000004</v>
      </c>
      <c r="L626" s="14"/>
    </row>
    <row r="627" spans="1:12" ht="15.75" x14ac:dyDescent="0.25">
      <c r="A627" s="32">
        <v>60022</v>
      </c>
      <c r="B627" s="14">
        <f>103.8177 * CHOOSE(CONTROL!$C$9, $D$9, 100%, $F$9) + CHOOSE(CONTROL!$C$27, 0.0021, 0)</f>
        <v>103.8198</v>
      </c>
      <c r="C627" s="14">
        <f>103.3855 * CHOOSE(CONTROL!$C$9, $D$9, 100%, $F$9) + CHOOSE(CONTROL!$C$27, 0.0021, 0)</f>
        <v>103.38759999999999</v>
      </c>
      <c r="D627" s="14">
        <f>103.3855 * CHOOSE(CONTROL!$C$9, $D$9, 100%, $F$9) + CHOOSE(CONTROL!$C$27, 0.0021, 0)</f>
        <v>103.38759999999999</v>
      </c>
      <c r="E627" s="14">
        <f>103.2488 * CHOOSE(CONTROL!$C$9, $D$9, 100%, $F$9) + CHOOSE(CONTROL!$C$27, 0.0021, 0)</f>
        <v>103.2509</v>
      </c>
      <c r="F627" s="14">
        <f>103.2488 * CHOOSE(CONTROL!$C$9, $D$9, 100%, $F$9) + CHOOSE(CONTROL!$C$27, 0.0021, 0)</f>
        <v>103.2509</v>
      </c>
      <c r="G627" s="14">
        <f>103.5202 * CHOOSE(CONTROL!$C$9, $D$9, 100%, $F$9) + CHOOSE(CONTROL!$C$27, 0.0021, 0)</f>
        <v>103.5223</v>
      </c>
      <c r="H627" s="14">
        <f>103.3855 * CHOOSE(CONTROL!$C$9, $D$9, 100%, $F$9) + CHOOSE(CONTROL!$C$27, 0.0021, 0)</f>
        <v>103.38759999999999</v>
      </c>
      <c r="I627" s="14">
        <f>103.3855 * CHOOSE(CONTROL!$C$9, $D$9, 100%, $F$9) + CHOOSE(CONTROL!$C$27, 0.0021, 0)</f>
        <v>103.38759999999999</v>
      </c>
      <c r="J627" s="14">
        <f>103.3855 * CHOOSE(CONTROL!$C$9, $D$9, 100%, $F$9) + CHOOSE(CONTROL!$C$27, 0.0021, 0)</f>
        <v>103.38759999999999</v>
      </c>
      <c r="K627" s="14">
        <f>103.3855 * CHOOSE(CONTROL!$C$9, $D$9, 100%, $F$9) + CHOOSE(CONTROL!$C$27, 0.0021, 0)</f>
        <v>103.38759999999999</v>
      </c>
      <c r="L627" s="14"/>
    </row>
    <row r="628" spans="1:12" ht="15.75" x14ac:dyDescent="0.25">
      <c r="A628" s="32">
        <v>60053</v>
      </c>
      <c r="B628" s="14">
        <f>107.2247 * CHOOSE(CONTROL!$C$9, $D$9, 100%, $F$9) + CHOOSE(CONTROL!$C$27, 0.0021, 0)</f>
        <v>107.2268</v>
      </c>
      <c r="C628" s="14">
        <f>106.7925 * CHOOSE(CONTROL!$C$9, $D$9, 100%, $F$9) + CHOOSE(CONTROL!$C$27, 0.0021, 0)</f>
        <v>106.7946</v>
      </c>
      <c r="D628" s="14">
        <f>106.7925 * CHOOSE(CONTROL!$C$9, $D$9, 100%, $F$9) + CHOOSE(CONTROL!$C$27, 0.0021, 0)</f>
        <v>106.7946</v>
      </c>
      <c r="E628" s="14">
        <f>106.6558 * CHOOSE(CONTROL!$C$9, $D$9, 100%, $F$9) + CHOOSE(CONTROL!$C$27, 0.0021, 0)</f>
        <v>106.6579</v>
      </c>
      <c r="F628" s="14">
        <f>106.6558 * CHOOSE(CONTROL!$C$9, $D$9, 100%, $F$9) + CHOOSE(CONTROL!$C$27, 0.0021, 0)</f>
        <v>106.6579</v>
      </c>
      <c r="G628" s="14">
        <f>106.9272 * CHOOSE(CONTROL!$C$9, $D$9, 100%, $F$9) + CHOOSE(CONTROL!$C$27, 0.0021, 0)</f>
        <v>106.9293</v>
      </c>
      <c r="H628" s="14">
        <f>106.7925 * CHOOSE(CONTROL!$C$9, $D$9, 100%, $F$9) + CHOOSE(CONTROL!$C$27, 0.0021, 0)</f>
        <v>106.7946</v>
      </c>
      <c r="I628" s="14">
        <f>106.7925 * CHOOSE(CONTROL!$C$9, $D$9, 100%, $F$9) + CHOOSE(CONTROL!$C$27, 0.0021, 0)</f>
        <v>106.7946</v>
      </c>
      <c r="J628" s="14">
        <f>106.7925 * CHOOSE(CONTROL!$C$9, $D$9, 100%, $F$9) + CHOOSE(CONTROL!$C$27, 0.0021, 0)</f>
        <v>106.7946</v>
      </c>
      <c r="K628" s="14">
        <f>106.7925 * CHOOSE(CONTROL!$C$9, $D$9, 100%, $F$9) + CHOOSE(CONTROL!$C$27, 0.0021, 0)</f>
        <v>106.7946</v>
      </c>
      <c r="L628" s="14"/>
    </row>
    <row r="629" spans="1:12" ht="15.75" x14ac:dyDescent="0.25">
      <c r="A629" s="32">
        <v>60083</v>
      </c>
      <c r="B629" s="14">
        <f>108.7367 * CHOOSE(CONTROL!$C$9, $D$9, 100%, $F$9) + CHOOSE(CONTROL!$C$27, 0.0021, 0)</f>
        <v>108.7388</v>
      </c>
      <c r="C629" s="14">
        <f>108.3044 * CHOOSE(CONTROL!$C$9, $D$9, 100%, $F$9) + CHOOSE(CONTROL!$C$27, 0.0021, 0)</f>
        <v>108.3065</v>
      </c>
      <c r="D629" s="14">
        <f>108.3044 * CHOOSE(CONTROL!$C$9, $D$9, 100%, $F$9) + CHOOSE(CONTROL!$C$27, 0.0021, 0)</f>
        <v>108.3065</v>
      </c>
      <c r="E629" s="14">
        <f>108.1678 * CHOOSE(CONTROL!$C$9, $D$9, 100%, $F$9) + CHOOSE(CONTROL!$C$27, 0.0021, 0)</f>
        <v>108.1699</v>
      </c>
      <c r="F629" s="14">
        <f>108.1678 * CHOOSE(CONTROL!$C$9, $D$9, 100%, $F$9) + CHOOSE(CONTROL!$C$27, 0.0021, 0)</f>
        <v>108.1699</v>
      </c>
      <c r="G629" s="14">
        <f>108.4391 * CHOOSE(CONTROL!$C$9, $D$9, 100%, $F$9) + CHOOSE(CONTROL!$C$27, 0.0021, 0)</f>
        <v>108.44119999999999</v>
      </c>
      <c r="H629" s="14">
        <f>108.3044 * CHOOSE(CONTROL!$C$9, $D$9, 100%, $F$9) + CHOOSE(CONTROL!$C$27, 0.0021, 0)</f>
        <v>108.3065</v>
      </c>
      <c r="I629" s="14">
        <f>108.3044 * CHOOSE(CONTROL!$C$9, $D$9, 100%, $F$9) + CHOOSE(CONTROL!$C$27, 0.0021, 0)</f>
        <v>108.3065</v>
      </c>
      <c r="J629" s="14">
        <f>108.3044 * CHOOSE(CONTROL!$C$9, $D$9, 100%, $F$9) + CHOOSE(CONTROL!$C$27, 0.0021, 0)</f>
        <v>108.3065</v>
      </c>
      <c r="K629" s="14">
        <f>108.3044 * CHOOSE(CONTROL!$C$9, $D$9, 100%, $F$9) + CHOOSE(CONTROL!$C$27, 0.0021, 0)</f>
        <v>108.3065</v>
      </c>
      <c r="L629" s="14"/>
    </row>
    <row r="630" spans="1:12" ht="15.75" x14ac:dyDescent="0.25">
      <c r="A630" s="32">
        <v>60114</v>
      </c>
      <c r="B630" s="14">
        <f>108.2389 * CHOOSE(CONTROL!$C$9, $D$9, 100%, $F$9) + CHOOSE(CONTROL!$C$27, 0.0021, 0)</f>
        <v>108.241</v>
      </c>
      <c r="C630" s="14">
        <f>107.8066 * CHOOSE(CONTROL!$C$9, $D$9, 100%, $F$9) + CHOOSE(CONTROL!$C$27, 0.0021, 0)</f>
        <v>107.8087</v>
      </c>
      <c r="D630" s="14">
        <f>107.8066 * CHOOSE(CONTROL!$C$9, $D$9, 100%, $F$9) + CHOOSE(CONTROL!$C$27, 0.0021, 0)</f>
        <v>107.8087</v>
      </c>
      <c r="E630" s="14">
        <f>107.6699 * CHOOSE(CONTROL!$C$9, $D$9, 100%, $F$9) + CHOOSE(CONTROL!$C$27, 0.0021, 0)</f>
        <v>107.672</v>
      </c>
      <c r="F630" s="14">
        <f>107.6699 * CHOOSE(CONTROL!$C$9, $D$9, 100%, $F$9) + CHOOSE(CONTROL!$C$27, 0.0021, 0)</f>
        <v>107.672</v>
      </c>
      <c r="G630" s="14">
        <f>107.9413 * CHOOSE(CONTROL!$C$9, $D$9, 100%, $F$9) + CHOOSE(CONTROL!$C$27, 0.0021, 0)</f>
        <v>107.9434</v>
      </c>
      <c r="H630" s="14">
        <f>107.8066 * CHOOSE(CONTROL!$C$9, $D$9, 100%, $F$9) + CHOOSE(CONTROL!$C$27, 0.0021, 0)</f>
        <v>107.8087</v>
      </c>
      <c r="I630" s="14">
        <f>107.8066 * CHOOSE(CONTROL!$C$9, $D$9, 100%, $F$9) + CHOOSE(CONTROL!$C$27, 0.0021, 0)</f>
        <v>107.8087</v>
      </c>
      <c r="J630" s="14">
        <f>107.8066 * CHOOSE(CONTROL!$C$9, $D$9, 100%, $F$9) + CHOOSE(CONTROL!$C$27, 0.0021, 0)</f>
        <v>107.8087</v>
      </c>
      <c r="K630" s="14">
        <f>107.8066 * CHOOSE(CONTROL!$C$9, $D$9, 100%, $F$9) + CHOOSE(CONTROL!$C$27, 0.0021, 0)</f>
        <v>107.8087</v>
      </c>
      <c r="L630" s="14"/>
    </row>
    <row r="631" spans="1:12" ht="15.75" x14ac:dyDescent="0.25">
      <c r="A631" s="32">
        <v>60145</v>
      </c>
      <c r="B631" s="14">
        <f>105.7725 * CHOOSE(CONTROL!$C$9, $D$9, 100%, $F$9) + CHOOSE(CONTROL!$C$27, 0.0021, 0)</f>
        <v>105.77459999999999</v>
      </c>
      <c r="C631" s="14">
        <f>105.3402 * CHOOSE(CONTROL!$C$9, $D$9, 100%, $F$9) + CHOOSE(CONTROL!$C$27, 0.0021, 0)</f>
        <v>105.34229999999999</v>
      </c>
      <c r="D631" s="14">
        <f>105.3402 * CHOOSE(CONTROL!$C$9, $D$9, 100%, $F$9) + CHOOSE(CONTROL!$C$27, 0.0021, 0)</f>
        <v>105.34229999999999</v>
      </c>
      <c r="E631" s="14">
        <f>105.2036 * CHOOSE(CONTROL!$C$9, $D$9, 100%, $F$9) + CHOOSE(CONTROL!$C$27, 0.0021, 0)</f>
        <v>105.20569999999999</v>
      </c>
      <c r="F631" s="14">
        <f>105.2036 * CHOOSE(CONTROL!$C$9, $D$9, 100%, $F$9) + CHOOSE(CONTROL!$C$27, 0.0021, 0)</f>
        <v>105.20569999999999</v>
      </c>
      <c r="G631" s="14">
        <f>105.4749 * CHOOSE(CONTROL!$C$9, $D$9, 100%, $F$9) + CHOOSE(CONTROL!$C$27, 0.0021, 0)</f>
        <v>105.477</v>
      </c>
      <c r="H631" s="14">
        <f>105.3402 * CHOOSE(CONTROL!$C$9, $D$9, 100%, $F$9) + CHOOSE(CONTROL!$C$27, 0.0021, 0)</f>
        <v>105.34229999999999</v>
      </c>
      <c r="I631" s="14">
        <f>105.3402 * CHOOSE(CONTROL!$C$9, $D$9, 100%, $F$9) + CHOOSE(CONTROL!$C$27, 0.0021, 0)</f>
        <v>105.34229999999999</v>
      </c>
      <c r="J631" s="14">
        <f>105.3402 * CHOOSE(CONTROL!$C$9, $D$9, 100%, $F$9) + CHOOSE(CONTROL!$C$27, 0.0021, 0)</f>
        <v>105.34229999999999</v>
      </c>
      <c r="K631" s="14">
        <f>105.3402 * CHOOSE(CONTROL!$C$9, $D$9, 100%, $F$9) + CHOOSE(CONTROL!$C$27, 0.0021, 0)</f>
        <v>105.34229999999999</v>
      </c>
      <c r="L631" s="14"/>
    </row>
    <row r="632" spans="1:12" ht="15.75" x14ac:dyDescent="0.25">
      <c r="A632" s="32">
        <v>60175</v>
      </c>
      <c r="B632" s="14">
        <f>102.333 * CHOOSE(CONTROL!$C$9, $D$9, 100%, $F$9) + CHOOSE(CONTROL!$C$27, 0.0021, 0)</f>
        <v>102.3351</v>
      </c>
      <c r="C632" s="14">
        <f>101.9007 * CHOOSE(CONTROL!$C$9, $D$9, 100%, $F$9) + CHOOSE(CONTROL!$C$27, 0.0021, 0)</f>
        <v>101.9028</v>
      </c>
      <c r="D632" s="14">
        <f>101.9007 * CHOOSE(CONTROL!$C$9, $D$9, 100%, $F$9) + CHOOSE(CONTROL!$C$27, 0.0021, 0)</f>
        <v>101.9028</v>
      </c>
      <c r="E632" s="14">
        <f>101.7641 * CHOOSE(CONTROL!$C$9, $D$9, 100%, $F$9) + CHOOSE(CONTROL!$C$27, 0.0021, 0)</f>
        <v>101.7662</v>
      </c>
      <c r="F632" s="14">
        <f>101.7641 * CHOOSE(CONTROL!$C$9, $D$9, 100%, $F$9) + CHOOSE(CONTROL!$C$27, 0.0021, 0)</f>
        <v>101.7662</v>
      </c>
      <c r="G632" s="14">
        <f>102.0354 * CHOOSE(CONTROL!$C$9, $D$9, 100%, $F$9) + CHOOSE(CONTROL!$C$27, 0.0021, 0)</f>
        <v>102.03749999999999</v>
      </c>
      <c r="H632" s="14">
        <f>101.9007 * CHOOSE(CONTROL!$C$9, $D$9, 100%, $F$9) + CHOOSE(CONTROL!$C$27, 0.0021, 0)</f>
        <v>101.9028</v>
      </c>
      <c r="I632" s="14">
        <f>101.9007 * CHOOSE(CONTROL!$C$9, $D$9, 100%, $F$9) + CHOOSE(CONTROL!$C$27, 0.0021, 0)</f>
        <v>101.9028</v>
      </c>
      <c r="J632" s="14">
        <f>101.9007 * CHOOSE(CONTROL!$C$9, $D$9, 100%, $F$9) + CHOOSE(CONTROL!$C$27, 0.0021, 0)</f>
        <v>101.9028</v>
      </c>
      <c r="K632" s="14">
        <f>101.9007 * CHOOSE(CONTROL!$C$9, $D$9, 100%, $F$9) + CHOOSE(CONTROL!$C$27, 0.0021, 0)</f>
        <v>101.9028</v>
      </c>
      <c r="L632" s="14"/>
    </row>
    <row r="633" spans="1:12" ht="15.75" x14ac:dyDescent="0.25">
      <c r="A633" s="32">
        <v>60206</v>
      </c>
      <c r="B633" s="14">
        <f>98.8735 * CHOOSE(CONTROL!$C$9, $D$9, 100%, $F$9) + CHOOSE(CONTROL!$C$27, 0.0021, 0)</f>
        <v>98.875600000000006</v>
      </c>
      <c r="C633" s="14">
        <f>98.4412 * CHOOSE(CONTROL!$C$9, $D$9, 100%, $F$9) + CHOOSE(CONTROL!$C$27, 0.0021, 0)</f>
        <v>98.443299999999994</v>
      </c>
      <c r="D633" s="14">
        <f>98.4412 * CHOOSE(CONTROL!$C$9, $D$9, 100%, $F$9) + CHOOSE(CONTROL!$C$27, 0.0021, 0)</f>
        <v>98.443299999999994</v>
      </c>
      <c r="E633" s="14">
        <f>98.3045 * CHOOSE(CONTROL!$C$9, $D$9, 100%, $F$9) + CHOOSE(CONTROL!$C$27, 0.0021, 0)</f>
        <v>98.306600000000003</v>
      </c>
      <c r="F633" s="14">
        <f>98.3045 * CHOOSE(CONTROL!$C$9, $D$9, 100%, $F$9) + CHOOSE(CONTROL!$C$27, 0.0021, 0)</f>
        <v>98.306600000000003</v>
      </c>
      <c r="G633" s="14">
        <f>98.5759 * CHOOSE(CONTROL!$C$9, $D$9, 100%, $F$9) + CHOOSE(CONTROL!$C$27, 0.0021, 0)</f>
        <v>98.578000000000003</v>
      </c>
      <c r="H633" s="14">
        <f>98.4412 * CHOOSE(CONTROL!$C$9, $D$9, 100%, $F$9) + CHOOSE(CONTROL!$C$27, 0.0021, 0)</f>
        <v>98.443299999999994</v>
      </c>
      <c r="I633" s="14">
        <f>98.4412 * CHOOSE(CONTROL!$C$9, $D$9, 100%, $F$9) + CHOOSE(CONTROL!$C$27, 0.0021, 0)</f>
        <v>98.443299999999994</v>
      </c>
      <c r="J633" s="14">
        <f>98.4412 * CHOOSE(CONTROL!$C$9, $D$9, 100%, $F$9) + CHOOSE(CONTROL!$C$27, 0.0021, 0)</f>
        <v>98.443299999999994</v>
      </c>
      <c r="K633" s="14">
        <f>98.4412 * CHOOSE(CONTROL!$C$9, $D$9, 100%, $F$9) + CHOOSE(CONTROL!$C$27, 0.0021, 0)</f>
        <v>98.443299999999994</v>
      </c>
      <c r="L633" s="14"/>
    </row>
    <row r="634" spans="1:12" ht="15.75" x14ac:dyDescent="0.25">
      <c r="A634" s="32">
        <v>60236</v>
      </c>
      <c r="B634" s="14">
        <f>98.1853 * CHOOSE(CONTROL!$C$9, $D$9, 100%, $F$9) + CHOOSE(CONTROL!$C$27, 0.0021, 0)</f>
        <v>98.187399999999997</v>
      </c>
      <c r="C634" s="14">
        <f>97.753 * CHOOSE(CONTROL!$C$9, $D$9, 100%, $F$9) + CHOOSE(CONTROL!$C$27, 0.0021, 0)</f>
        <v>97.755099999999999</v>
      </c>
      <c r="D634" s="14">
        <f>97.753 * CHOOSE(CONTROL!$C$9, $D$9, 100%, $F$9) + CHOOSE(CONTROL!$C$27, 0.0021, 0)</f>
        <v>97.755099999999999</v>
      </c>
      <c r="E634" s="14">
        <f>97.6164 * CHOOSE(CONTROL!$C$9, $D$9, 100%, $F$9) + CHOOSE(CONTROL!$C$27, 0.0021, 0)</f>
        <v>97.618499999999997</v>
      </c>
      <c r="F634" s="14">
        <f>97.6164 * CHOOSE(CONTROL!$C$9, $D$9, 100%, $F$9) + CHOOSE(CONTROL!$C$27, 0.0021, 0)</f>
        <v>97.618499999999997</v>
      </c>
      <c r="G634" s="14">
        <f>97.8878 * CHOOSE(CONTROL!$C$9, $D$9, 100%, $F$9) + CHOOSE(CONTROL!$C$27, 0.0021, 0)</f>
        <v>97.889899999999997</v>
      </c>
      <c r="H634" s="14">
        <f>97.753 * CHOOSE(CONTROL!$C$9, $D$9, 100%, $F$9) + CHOOSE(CONTROL!$C$27, 0.0021, 0)</f>
        <v>97.755099999999999</v>
      </c>
      <c r="I634" s="14">
        <f>97.753 * CHOOSE(CONTROL!$C$9, $D$9, 100%, $F$9) + CHOOSE(CONTROL!$C$27, 0.0021, 0)</f>
        <v>97.755099999999999</v>
      </c>
      <c r="J634" s="14">
        <f>97.753 * CHOOSE(CONTROL!$C$9, $D$9, 100%, $F$9) + CHOOSE(CONTROL!$C$27, 0.0021, 0)</f>
        <v>97.755099999999999</v>
      </c>
      <c r="K634" s="14">
        <f>97.753 * CHOOSE(CONTROL!$C$9, $D$9, 100%, $F$9) + CHOOSE(CONTROL!$C$27, 0.0021, 0)</f>
        <v>97.755099999999999</v>
      </c>
      <c r="L634" s="14"/>
    </row>
    <row r="635" spans="1:12" ht="15.75" x14ac:dyDescent="0.25">
      <c r="A635" s="32">
        <v>60267</v>
      </c>
      <c r="B635" s="14">
        <f>95.3397 * CHOOSE(CONTROL!$C$9, $D$9, 100%, $F$9) + CHOOSE(CONTROL!$C$27, 0.0021, 0)</f>
        <v>95.341799999999992</v>
      </c>
      <c r="C635" s="14">
        <f>94.9074 * CHOOSE(CONTROL!$C$9, $D$9, 100%, $F$9) + CHOOSE(CONTROL!$C$27, 0.0021, 0)</f>
        <v>94.909499999999994</v>
      </c>
      <c r="D635" s="14">
        <f>94.9074 * CHOOSE(CONTROL!$C$9, $D$9, 100%, $F$9) + CHOOSE(CONTROL!$C$27, 0.0021, 0)</f>
        <v>94.909499999999994</v>
      </c>
      <c r="E635" s="14">
        <f>94.7708 * CHOOSE(CONTROL!$C$9, $D$9, 100%, $F$9) + CHOOSE(CONTROL!$C$27, 0.0021, 0)</f>
        <v>94.772899999999993</v>
      </c>
      <c r="F635" s="14">
        <f>94.7708 * CHOOSE(CONTROL!$C$9, $D$9, 100%, $F$9) + CHOOSE(CONTROL!$C$27, 0.0021, 0)</f>
        <v>94.772899999999993</v>
      </c>
      <c r="G635" s="14">
        <f>95.0421 * CHOOSE(CONTROL!$C$9, $D$9, 100%, $F$9) + CHOOSE(CONTROL!$C$27, 0.0021, 0)</f>
        <v>95.044200000000004</v>
      </c>
      <c r="H635" s="14">
        <f>94.9074 * CHOOSE(CONTROL!$C$9, $D$9, 100%, $F$9) + CHOOSE(CONTROL!$C$27, 0.0021, 0)</f>
        <v>94.909499999999994</v>
      </c>
      <c r="I635" s="14">
        <f>94.9074 * CHOOSE(CONTROL!$C$9, $D$9, 100%, $F$9) + CHOOSE(CONTROL!$C$27, 0.0021, 0)</f>
        <v>94.909499999999994</v>
      </c>
      <c r="J635" s="14">
        <f>94.9074 * CHOOSE(CONTROL!$C$9, $D$9, 100%, $F$9) + CHOOSE(CONTROL!$C$27, 0.0021, 0)</f>
        <v>94.909499999999994</v>
      </c>
      <c r="K635" s="14">
        <f>94.9074 * CHOOSE(CONTROL!$C$9, $D$9, 100%, $F$9) + CHOOSE(CONTROL!$C$27, 0.0021, 0)</f>
        <v>94.909499999999994</v>
      </c>
      <c r="L635" s="14"/>
    </row>
    <row r="636" spans="1:12" ht="15.75" x14ac:dyDescent="0.25">
      <c r="A636" s="32">
        <v>60298</v>
      </c>
      <c r="B636" s="14">
        <f>94.7856 * CHOOSE(CONTROL!$C$9, $D$9, 100%, $F$9) + CHOOSE(CONTROL!$C$27, 0.0021, 0)</f>
        <v>94.787700000000001</v>
      </c>
      <c r="C636" s="14">
        <f>94.3534 * CHOOSE(CONTROL!$C$9, $D$9, 100%, $F$9) + CHOOSE(CONTROL!$C$27, 0.0021, 0)</f>
        <v>94.355499999999992</v>
      </c>
      <c r="D636" s="14">
        <f>94.3534 * CHOOSE(CONTROL!$C$9, $D$9, 100%, $F$9) + CHOOSE(CONTROL!$C$27, 0.0021, 0)</f>
        <v>94.355499999999992</v>
      </c>
      <c r="E636" s="14">
        <f>94.2167 * CHOOSE(CONTROL!$C$9, $D$9, 100%, $F$9) + CHOOSE(CONTROL!$C$27, 0.0021, 0)</f>
        <v>94.218800000000002</v>
      </c>
      <c r="F636" s="14">
        <f>94.2167 * CHOOSE(CONTROL!$C$9, $D$9, 100%, $F$9) + CHOOSE(CONTROL!$C$27, 0.0021, 0)</f>
        <v>94.218800000000002</v>
      </c>
      <c r="G636" s="14">
        <f>94.4881 * CHOOSE(CONTROL!$C$9, $D$9, 100%, $F$9) + CHOOSE(CONTROL!$C$27, 0.0021, 0)</f>
        <v>94.490200000000002</v>
      </c>
      <c r="H636" s="14">
        <f>94.3534 * CHOOSE(CONTROL!$C$9, $D$9, 100%, $F$9) + CHOOSE(CONTROL!$C$27, 0.0021, 0)</f>
        <v>94.355499999999992</v>
      </c>
      <c r="I636" s="14">
        <f>94.3534 * CHOOSE(CONTROL!$C$9, $D$9, 100%, $F$9) + CHOOSE(CONTROL!$C$27, 0.0021, 0)</f>
        <v>94.355499999999992</v>
      </c>
      <c r="J636" s="14">
        <f>94.3534 * CHOOSE(CONTROL!$C$9, $D$9, 100%, $F$9) + CHOOSE(CONTROL!$C$27, 0.0021, 0)</f>
        <v>94.355499999999992</v>
      </c>
      <c r="K636" s="14">
        <f>94.3534 * CHOOSE(CONTROL!$C$9, $D$9, 100%, $F$9) + CHOOSE(CONTROL!$C$27, 0.0021, 0)</f>
        <v>94.355499999999992</v>
      </c>
      <c r="L636" s="14"/>
    </row>
    <row r="637" spans="1:12" ht="15.75" x14ac:dyDescent="0.25">
      <c r="A637" s="32">
        <v>60326</v>
      </c>
      <c r="B637" s="14">
        <f>94.5285 * CHOOSE(CONTROL!$C$9, $D$9, 100%, $F$9) + CHOOSE(CONTROL!$C$27, 0.0021, 0)</f>
        <v>94.530599999999993</v>
      </c>
      <c r="C637" s="14">
        <f>94.0963 * CHOOSE(CONTROL!$C$9, $D$9, 100%, $F$9) + CHOOSE(CONTROL!$C$27, 0.0021, 0)</f>
        <v>94.098399999999998</v>
      </c>
      <c r="D637" s="14">
        <f>94.0963 * CHOOSE(CONTROL!$C$9, $D$9, 100%, $F$9) + CHOOSE(CONTROL!$C$27, 0.0021, 0)</f>
        <v>94.098399999999998</v>
      </c>
      <c r="E637" s="14">
        <f>93.9596 * CHOOSE(CONTROL!$C$9, $D$9, 100%, $F$9) + CHOOSE(CONTROL!$C$27, 0.0021, 0)</f>
        <v>93.961699999999993</v>
      </c>
      <c r="F637" s="14">
        <f>93.9596 * CHOOSE(CONTROL!$C$9, $D$9, 100%, $F$9) + CHOOSE(CONTROL!$C$27, 0.0021, 0)</f>
        <v>93.961699999999993</v>
      </c>
      <c r="G637" s="14">
        <f>94.231 * CHOOSE(CONTROL!$C$9, $D$9, 100%, $F$9) + CHOOSE(CONTROL!$C$27, 0.0021, 0)</f>
        <v>94.233099999999993</v>
      </c>
      <c r="H637" s="14">
        <f>94.0963 * CHOOSE(CONTROL!$C$9, $D$9, 100%, $F$9) + CHOOSE(CONTROL!$C$27, 0.0021, 0)</f>
        <v>94.098399999999998</v>
      </c>
      <c r="I637" s="14">
        <f>94.0963 * CHOOSE(CONTROL!$C$9, $D$9, 100%, $F$9) + CHOOSE(CONTROL!$C$27, 0.0021, 0)</f>
        <v>94.098399999999998</v>
      </c>
      <c r="J637" s="14">
        <f>94.0963 * CHOOSE(CONTROL!$C$9, $D$9, 100%, $F$9) + CHOOSE(CONTROL!$C$27, 0.0021, 0)</f>
        <v>94.098399999999998</v>
      </c>
      <c r="K637" s="14">
        <f>94.0963 * CHOOSE(CONTROL!$C$9, $D$9, 100%, $F$9) + CHOOSE(CONTROL!$C$27, 0.0021, 0)</f>
        <v>94.098399999999998</v>
      </c>
      <c r="L637" s="14"/>
    </row>
    <row r="638" spans="1:12" ht="15.75" x14ac:dyDescent="0.25">
      <c r="A638" s="32">
        <v>60357</v>
      </c>
      <c r="B638" s="14">
        <f>99.3899 * CHOOSE(CONTROL!$C$9, $D$9, 100%, $F$9) + CHOOSE(CONTROL!$C$27, 0.0021, 0)</f>
        <v>99.391999999999996</v>
      </c>
      <c r="C638" s="14">
        <f>98.9577 * CHOOSE(CONTROL!$C$9, $D$9, 100%, $F$9) + CHOOSE(CONTROL!$C$27, 0.0021, 0)</f>
        <v>98.959800000000001</v>
      </c>
      <c r="D638" s="14">
        <f>98.9577 * CHOOSE(CONTROL!$C$9, $D$9, 100%, $F$9) + CHOOSE(CONTROL!$C$27, 0.0021, 0)</f>
        <v>98.959800000000001</v>
      </c>
      <c r="E638" s="14">
        <f>98.821 * CHOOSE(CONTROL!$C$9, $D$9, 100%, $F$9) + CHOOSE(CONTROL!$C$27, 0.0021, 0)</f>
        <v>98.823099999999997</v>
      </c>
      <c r="F638" s="14">
        <f>98.821 * CHOOSE(CONTROL!$C$9, $D$9, 100%, $F$9) + CHOOSE(CONTROL!$C$27, 0.0021, 0)</f>
        <v>98.823099999999997</v>
      </c>
      <c r="G638" s="14">
        <f>99.0924 * CHOOSE(CONTROL!$C$9, $D$9, 100%, $F$9) + CHOOSE(CONTROL!$C$27, 0.0021, 0)</f>
        <v>99.094499999999996</v>
      </c>
      <c r="H638" s="14">
        <f>98.9577 * CHOOSE(CONTROL!$C$9, $D$9, 100%, $F$9) + CHOOSE(CONTROL!$C$27, 0.0021, 0)</f>
        <v>98.959800000000001</v>
      </c>
      <c r="I638" s="14">
        <f>98.9577 * CHOOSE(CONTROL!$C$9, $D$9, 100%, $F$9) + CHOOSE(CONTROL!$C$27, 0.0021, 0)</f>
        <v>98.959800000000001</v>
      </c>
      <c r="J638" s="14">
        <f>98.9577 * CHOOSE(CONTROL!$C$9, $D$9, 100%, $F$9) + CHOOSE(CONTROL!$C$27, 0.0021, 0)</f>
        <v>98.959800000000001</v>
      </c>
      <c r="K638" s="14">
        <f>98.9577 * CHOOSE(CONTROL!$C$9, $D$9, 100%, $F$9) + CHOOSE(CONTROL!$C$27, 0.0021, 0)</f>
        <v>98.959800000000001</v>
      </c>
      <c r="L638" s="14"/>
    </row>
    <row r="639" spans="1:12" ht="15.75" x14ac:dyDescent="0.25">
      <c r="A639" s="32">
        <v>60387</v>
      </c>
      <c r="B639" s="14">
        <f>105.694 * CHOOSE(CONTROL!$C$9, $D$9, 100%, $F$9) + CHOOSE(CONTROL!$C$27, 0.0021, 0)</f>
        <v>105.6961</v>
      </c>
      <c r="C639" s="14">
        <f>105.2617 * CHOOSE(CONTROL!$C$9, $D$9, 100%, $F$9) + CHOOSE(CONTROL!$C$27, 0.0021, 0)</f>
        <v>105.2638</v>
      </c>
      <c r="D639" s="14">
        <f>105.2617 * CHOOSE(CONTROL!$C$9, $D$9, 100%, $F$9) + CHOOSE(CONTROL!$C$27, 0.0021, 0)</f>
        <v>105.2638</v>
      </c>
      <c r="E639" s="14">
        <f>105.1251 * CHOOSE(CONTROL!$C$9, $D$9, 100%, $F$9) + CHOOSE(CONTROL!$C$27, 0.0021, 0)</f>
        <v>105.1272</v>
      </c>
      <c r="F639" s="14">
        <f>105.1251 * CHOOSE(CONTROL!$C$9, $D$9, 100%, $F$9) + CHOOSE(CONTROL!$C$27, 0.0021, 0)</f>
        <v>105.1272</v>
      </c>
      <c r="G639" s="14">
        <f>105.3964 * CHOOSE(CONTROL!$C$9, $D$9, 100%, $F$9) + CHOOSE(CONTROL!$C$27, 0.0021, 0)</f>
        <v>105.3985</v>
      </c>
      <c r="H639" s="14">
        <f>105.2617 * CHOOSE(CONTROL!$C$9, $D$9, 100%, $F$9) + CHOOSE(CONTROL!$C$27, 0.0021, 0)</f>
        <v>105.2638</v>
      </c>
      <c r="I639" s="14">
        <f>105.2617 * CHOOSE(CONTROL!$C$9, $D$9, 100%, $F$9) + CHOOSE(CONTROL!$C$27, 0.0021, 0)</f>
        <v>105.2638</v>
      </c>
      <c r="J639" s="14">
        <f>105.2617 * CHOOSE(CONTROL!$C$9, $D$9, 100%, $F$9) + CHOOSE(CONTROL!$C$27, 0.0021, 0)</f>
        <v>105.2638</v>
      </c>
      <c r="K639" s="14">
        <f>105.2617 * CHOOSE(CONTROL!$C$9, $D$9, 100%, $F$9) + CHOOSE(CONTROL!$C$27, 0.0021, 0)</f>
        <v>105.2638</v>
      </c>
      <c r="L639" s="14"/>
    </row>
    <row r="640" spans="1:12" ht="15.75" x14ac:dyDescent="0.25">
      <c r="A640" s="32">
        <v>60418</v>
      </c>
      <c r="B640" s="14">
        <f>109.1639 * CHOOSE(CONTROL!$C$9, $D$9, 100%, $F$9) + CHOOSE(CONTROL!$C$27, 0.0021, 0)</f>
        <v>109.166</v>
      </c>
      <c r="C640" s="14">
        <f>108.7317 * CHOOSE(CONTROL!$C$9, $D$9, 100%, $F$9) + CHOOSE(CONTROL!$C$27, 0.0021, 0)</f>
        <v>108.7338</v>
      </c>
      <c r="D640" s="14">
        <f>108.7317 * CHOOSE(CONTROL!$C$9, $D$9, 100%, $F$9) + CHOOSE(CONTROL!$C$27, 0.0021, 0)</f>
        <v>108.7338</v>
      </c>
      <c r="E640" s="14">
        <f>108.595 * CHOOSE(CONTROL!$C$9, $D$9, 100%, $F$9) + CHOOSE(CONTROL!$C$27, 0.0021, 0)</f>
        <v>108.5971</v>
      </c>
      <c r="F640" s="14">
        <f>108.595 * CHOOSE(CONTROL!$C$9, $D$9, 100%, $F$9) + CHOOSE(CONTROL!$C$27, 0.0021, 0)</f>
        <v>108.5971</v>
      </c>
      <c r="G640" s="14">
        <f>108.8664 * CHOOSE(CONTROL!$C$9, $D$9, 100%, $F$9) + CHOOSE(CONTROL!$C$27, 0.0021, 0)</f>
        <v>108.8685</v>
      </c>
      <c r="H640" s="14">
        <f>108.7317 * CHOOSE(CONTROL!$C$9, $D$9, 100%, $F$9) + CHOOSE(CONTROL!$C$27, 0.0021, 0)</f>
        <v>108.7338</v>
      </c>
      <c r="I640" s="14">
        <f>108.7317 * CHOOSE(CONTROL!$C$9, $D$9, 100%, $F$9) + CHOOSE(CONTROL!$C$27, 0.0021, 0)</f>
        <v>108.7338</v>
      </c>
      <c r="J640" s="14">
        <f>108.7317 * CHOOSE(CONTROL!$C$9, $D$9, 100%, $F$9) + CHOOSE(CONTROL!$C$27, 0.0021, 0)</f>
        <v>108.7338</v>
      </c>
      <c r="K640" s="14">
        <f>108.7317 * CHOOSE(CONTROL!$C$9, $D$9, 100%, $F$9) + CHOOSE(CONTROL!$C$27, 0.0021, 0)</f>
        <v>108.7338</v>
      </c>
      <c r="L640" s="14"/>
    </row>
    <row r="641" spans="1:12" ht="15.75" x14ac:dyDescent="0.25">
      <c r="A641" s="32">
        <v>60448</v>
      </c>
      <c r="B641" s="14">
        <f>110.7038 * CHOOSE(CONTROL!$C$9, $D$9, 100%, $F$9) + CHOOSE(CONTROL!$C$27, 0.0021, 0)</f>
        <v>110.7059</v>
      </c>
      <c r="C641" s="14">
        <f>110.2716 * CHOOSE(CONTROL!$C$9, $D$9, 100%, $F$9) + CHOOSE(CONTROL!$C$27, 0.0021, 0)</f>
        <v>110.27370000000001</v>
      </c>
      <c r="D641" s="14">
        <f>110.2716 * CHOOSE(CONTROL!$C$9, $D$9, 100%, $F$9) + CHOOSE(CONTROL!$C$27, 0.0021, 0)</f>
        <v>110.27370000000001</v>
      </c>
      <c r="E641" s="14">
        <f>110.1349 * CHOOSE(CONTROL!$C$9, $D$9, 100%, $F$9) + CHOOSE(CONTROL!$C$27, 0.0021, 0)</f>
        <v>110.137</v>
      </c>
      <c r="F641" s="14">
        <f>110.1349 * CHOOSE(CONTROL!$C$9, $D$9, 100%, $F$9) + CHOOSE(CONTROL!$C$27, 0.0021, 0)</f>
        <v>110.137</v>
      </c>
      <c r="G641" s="14">
        <f>110.4063 * CHOOSE(CONTROL!$C$9, $D$9, 100%, $F$9) + CHOOSE(CONTROL!$C$27, 0.0021, 0)</f>
        <v>110.4084</v>
      </c>
      <c r="H641" s="14">
        <f>110.2716 * CHOOSE(CONTROL!$C$9, $D$9, 100%, $F$9) + CHOOSE(CONTROL!$C$27, 0.0021, 0)</f>
        <v>110.27370000000001</v>
      </c>
      <c r="I641" s="14">
        <f>110.2716 * CHOOSE(CONTROL!$C$9, $D$9, 100%, $F$9) + CHOOSE(CONTROL!$C$27, 0.0021, 0)</f>
        <v>110.27370000000001</v>
      </c>
      <c r="J641" s="14">
        <f>110.2716 * CHOOSE(CONTROL!$C$9, $D$9, 100%, $F$9) + CHOOSE(CONTROL!$C$27, 0.0021, 0)</f>
        <v>110.27370000000001</v>
      </c>
      <c r="K641" s="14">
        <f>110.2716 * CHOOSE(CONTROL!$C$9, $D$9, 100%, $F$9) + CHOOSE(CONTROL!$C$27, 0.0021, 0)</f>
        <v>110.27370000000001</v>
      </c>
      <c r="L641" s="14"/>
    </row>
    <row r="642" spans="1:12" ht="15.75" x14ac:dyDescent="0.25">
      <c r="A642" s="32">
        <v>60479</v>
      </c>
      <c r="B642" s="14">
        <f>110.1968 * CHOOSE(CONTROL!$C$9, $D$9, 100%, $F$9) + CHOOSE(CONTROL!$C$27, 0.0021, 0)</f>
        <v>110.19889999999999</v>
      </c>
      <c r="C642" s="14">
        <f>109.7646 * CHOOSE(CONTROL!$C$9, $D$9, 100%, $F$9) + CHOOSE(CONTROL!$C$27, 0.0021, 0)</f>
        <v>109.7667</v>
      </c>
      <c r="D642" s="14">
        <f>109.7646 * CHOOSE(CONTROL!$C$9, $D$9, 100%, $F$9) + CHOOSE(CONTROL!$C$27, 0.0021, 0)</f>
        <v>109.7667</v>
      </c>
      <c r="E642" s="14">
        <f>109.6279 * CHOOSE(CONTROL!$C$9, $D$9, 100%, $F$9) + CHOOSE(CONTROL!$C$27, 0.0021, 0)</f>
        <v>109.63</v>
      </c>
      <c r="F642" s="14">
        <f>109.6279 * CHOOSE(CONTROL!$C$9, $D$9, 100%, $F$9) + CHOOSE(CONTROL!$C$27, 0.0021, 0)</f>
        <v>109.63</v>
      </c>
      <c r="G642" s="14">
        <f>109.8993 * CHOOSE(CONTROL!$C$9, $D$9, 100%, $F$9) + CHOOSE(CONTROL!$C$27, 0.0021, 0)</f>
        <v>109.9014</v>
      </c>
      <c r="H642" s="14">
        <f>109.7646 * CHOOSE(CONTROL!$C$9, $D$9, 100%, $F$9) + CHOOSE(CONTROL!$C$27, 0.0021, 0)</f>
        <v>109.7667</v>
      </c>
      <c r="I642" s="14">
        <f>109.7646 * CHOOSE(CONTROL!$C$9, $D$9, 100%, $F$9) + CHOOSE(CONTROL!$C$27, 0.0021, 0)</f>
        <v>109.7667</v>
      </c>
      <c r="J642" s="14">
        <f>109.7646 * CHOOSE(CONTROL!$C$9, $D$9, 100%, $F$9) + CHOOSE(CONTROL!$C$27, 0.0021, 0)</f>
        <v>109.7667</v>
      </c>
      <c r="K642" s="14">
        <f>109.7646 * CHOOSE(CONTROL!$C$9, $D$9, 100%, $F$9) + CHOOSE(CONTROL!$C$27, 0.0021, 0)</f>
        <v>109.7667</v>
      </c>
      <c r="L642" s="14"/>
    </row>
    <row r="643" spans="1:12" ht="15.75" x14ac:dyDescent="0.25">
      <c r="A643" s="32">
        <v>60510</v>
      </c>
      <c r="B643" s="14">
        <f>107.6849 * CHOOSE(CONTROL!$C$9, $D$9, 100%, $F$9) + CHOOSE(CONTROL!$C$27, 0.0021, 0)</f>
        <v>107.687</v>
      </c>
      <c r="C643" s="14">
        <f>107.2526 * CHOOSE(CONTROL!$C$9, $D$9, 100%, $F$9) + CHOOSE(CONTROL!$C$27, 0.0021, 0)</f>
        <v>107.2547</v>
      </c>
      <c r="D643" s="14">
        <f>107.2526 * CHOOSE(CONTROL!$C$9, $D$9, 100%, $F$9) + CHOOSE(CONTROL!$C$27, 0.0021, 0)</f>
        <v>107.2547</v>
      </c>
      <c r="E643" s="14">
        <f>107.1159 * CHOOSE(CONTROL!$C$9, $D$9, 100%, $F$9) + CHOOSE(CONTROL!$C$27, 0.0021, 0)</f>
        <v>107.11799999999999</v>
      </c>
      <c r="F643" s="14">
        <f>107.1159 * CHOOSE(CONTROL!$C$9, $D$9, 100%, $F$9) + CHOOSE(CONTROL!$C$27, 0.0021, 0)</f>
        <v>107.11799999999999</v>
      </c>
      <c r="G643" s="14">
        <f>107.3873 * CHOOSE(CONTROL!$C$9, $D$9, 100%, $F$9) + CHOOSE(CONTROL!$C$27, 0.0021, 0)</f>
        <v>107.38939999999999</v>
      </c>
      <c r="H643" s="14">
        <f>107.2526 * CHOOSE(CONTROL!$C$9, $D$9, 100%, $F$9) + CHOOSE(CONTROL!$C$27, 0.0021, 0)</f>
        <v>107.2547</v>
      </c>
      <c r="I643" s="14">
        <f>107.2526 * CHOOSE(CONTROL!$C$9, $D$9, 100%, $F$9) + CHOOSE(CONTROL!$C$27, 0.0021, 0)</f>
        <v>107.2547</v>
      </c>
      <c r="J643" s="14">
        <f>107.2526 * CHOOSE(CONTROL!$C$9, $D$9, 100%, $F$9) + CHOOSE(CONTROL!$C$27, 0.0021, 0)</f>
        <v>107.2547</v>
      </c>
      <c r="K643" s="14">
        <f>107.2526 * CHOOSE(CONTROL!$C$9, $D$9, 100%, $F$9) + CHOOSE(CONTROL!$C$27, 0.0021, 0)</f>
        <v>107.2547</v>
      </c>
      <c r="L643" s="14"/>
    </row>
    <row r="644" spans="1:12" ht="15.75" x14ac:dyDescent="0.25">
      <c r="A644" s="32">
        <v>60540</v>
      </c>
      <c r="B644" s="14">
        <f>104.1818 * CHOOSE(CONTROL!$C$9, $D$9, 100%, $F$9) + CHOOSE(CONTROL!$C$27, 0.0021, 0)</f>
        <v>104.18389999999999</v>
      </c>
      <c r="C644" s="14">
        <f>103.7495 * CHOOSE(CONTROL!$C$9, $D$9, 100%, $F$9) + CHOOSE(CONTROL!$C$27, 0.0021, 0)</f>
        <v>103.7516</v>
      </c>
      <c r="D644" s="14">
        <f>103.7495 * CHOOSE(CONTROL!$C$9, $D$9, 100%, $F$9) + CHOOSE(CONTROL!$C$27, 0.0021, 0)</f>
        <v>103.7516</v>
      </c>
      <c r="E644" s="14">
        <f>103.6129 * CHOOSE(CONTROL!$C$9, $D$9, 100%, $F$9) + CHOOSE(CONTROL!$C$27, 0.0021, 0)</f>
        <v>103.61499999999999</v>
      </c>
      <c r="F644" s="14">
        <f>103.6129 * CHOOSE(CONTROL!$C$9, $D$9, 100%, $F$9) + CHOOSE(CONTROL!$C$27, 0.0021, 0)</f>
        <v>103.61499999999999</v>
      </c>
      <c r="G644" s="14">
        <f>103.8843 * CHOOSE(CONTROL!$C$9, $D$9, 100%, $F$9) + CHOOSE(CONTROL!$C$27, 0.0021, 0)</f>
        <v>103.88639999999999</v>
      </c>
      <c r="H644" s="14">
        <f>103.7495 * CHOOSE(CONTROL!$C$9, $D$9, 100%, $F$9) + CHOOSE(CONTROL!$C$27, 0.0021, 0)</f>
        <v>103.7516</v>
      </c>
      <c r="I644" s="14">
        <f>103.7495 * CHOOSE(CONTROL!$C$9, $D$9, 100%, $F$9) + CHOOSE(CONTROL!$C$27, 0.0021, 0)</f>
        <v>103.7516</v>
      </c>
      <c r="J644" s="14">
        <f>103.7495 * CHOOSE(CONTROL!$C$9, $D$9, 100%, $F$9) + CHOOSE(CONTROL!$C$27, 0.0021, 0)</f>
        <v>103.7516</v>
      </c>
      <c r="K644" s="14">
        <f>103.7495 * CHOOSE(CONTROL!$C$9, $D$9, 100%, $F$9) + CHOOSE(CONTROL!$C$27, 0.0021, 0)</f>
        <v>103.7516</v>
      </c>
      <c r="L644" s="14"/>
    </row>
    <row r="645" spans="1:12" ht="15.75" x14ac:dyDescent="0.25">
      <c r="A645" s="32">
        <v>60571</v>
      </c>
      <c r="B645" s="14">
        <f>100.6583 * CHOOSE(CONTROL!$C$9, $D$9, 100%, $F$9) + CHOOSE(CONTROL!$C$27, 0.0021, 0)</f>
        <v>100.6604</v>
      </c>
      <c r="C645" s="14">
        <f>100.2261 * CHOOSE(CONTROL!$C$9, $D$9, 100%, $F$9) + CHOOSE(CONTROL!$C$27, 0.0021, 0)</f>
        <v>100.2282</v>
      </c>
      <c r="D645" s="14">
        <f>100.2261 * CHOOSE(CONTROL!$C$9, $D$9, 100%, $F$9) + CHOOSE(CONTROL!$C$27, 0.0021, 0)</f>
        <v>100.2282</v>
      </c>
      <c r="E645" s="14">
        <f>100.0894 * CHOOSE(CONTROL!$C$9, $D$9, 100%, $F$9) + CHOOSE(CONTROL!$C$27, 0.0021, 0)</f>
        <v>100.0915</v>
      </c>
      <c r="F645" s="14">
        <f>100.0894 * CHOOSE(CONTROL!$C$9, $D$9, 100%, $F$9) + CHOOSE(CONTROL!$C$27, 0.0021, 0)</f>
        <v>100.0915</v>
      </c>
      <c r="G645" s="14">
        <f>100.3608 * CHOOSE(CONTROL!$C$9, $D$9, 100%, $F$9) + CHOOSE(CONTROL!$C$27, 0.0021, 0)</f>
        <v>100.3629</v>
      </c>
      <c r="H645" s="14">
        <f>100.2261 * CHOOSE(CONTROL!$C$9, $D$9, 100%, $F$9) + CHOOSE(CONTROL!$C$27, 0.0021, 0)</f>
        <v>100.2282</v>
      </c>
      <c r="I645" s="14">
        <f>100.2261 * CHOOSE(CONTROL!$C$9, $D$9, 100%, $F$9) + CHOOSE(CONTROL!$C$27, 0.0021, 0)</f>
        <v>100.2282</v>
      </c>
      <c r="J645" s="14">
        <f>100.2261 * CHOOSE(CONTROL!$C$9, $D$9, 100%, $F$9) + CHOOSE(CONTROL!$C$27, 0.0021, 0)</f>
        <v>100.2282</v>
      </c>
      <c r="K645" s="14">
        <f>100.2261 * CHOOSE(CONTROL!$C$9, $D$9, 100%, $F$9) + CHOOSE(CONTROL!$C$27, 0.0021, 0)</f>
        <v>100.2282</v>
      </c>
      <c r="L645" s="14"/>
    </row>
    <row r="646" spans="1:12" ht="15.75" x14ac:dyDescent="0.25">
      <c r="A646" s="32">
        <v>60601</v>
      </c>
      <c r="B646" s="14">
        <f>99.9575 * CHOOSE(CONTROL!$C$9, $D$9, 100%, $F$9) + CHOOSE(CONTROL!$C$27, 0.0021, 0)</f>
        <v>99.959599999999995</v>
      </c>
      <c r="C646" s="14">
        <f>99.5252 * CHOOSE(CONTROL!$C$9, $D$9, 100%, $F$9) + CHOOSE(CONTROL!$C$27, 0.0021, 0)</f>
        <v>99.527299999999997</v>
      </c>
      <c r="D646" s="14">
        <f>99.5252 * CHOOSE(CONTROL!$C$9, $D$9, 100%, $F$9) + CHOOSE(CONTROL!$C$27, 0.0021, 0)</f>
        <v>99.527299999999997</v>
      </c>
      <c r="E646" s="14">
        <f>99.3886 * CHOOSE(CONTROL!$C$9, $D$9, 100%, $F$9) + CHOOSE(CONTROL!$C$27, 0.0021, 0)</f>
        <v>99.390699999999995</v>
      </c>
      <c r="F646" s="14">
        <f>99.3886 * CHOOSE(CONTROL!$C$9, $D$9, 100%, $F$9) + CHOOSE(CONTROL!$C$27, 0.0021, 0)</f>
        <v>99.390699999999995</v>
      </c>
      <c r="G646" s="14">
        <f>99.6599 * CHOOSE(CONTROL!$C$9, $D$9, 100%, $F$9) + CHOOSE(CONTROL!$C$27, 0.0021, 0)</f>
        <v>99.661999999999992</v>
      </c>
      <c r="H646" s="14">
        <f>99.5252 * CHOOSE(CONTROL!$C$9, $D$9, 100%, $F$9) + CHOOSE(CONTROL!$C$27, 0.0021, 0)</f>
        <v>99.527299999999997</v>
      </c>
      <c r="I646" s="14">
        <f>99.5252 * CHOOSE(CONTROL!$C$9, $D$9, 100%, $F$9) + CHOOSE(CONTROL!$C$27, 0.0021, 0)</f>
        <v>99.527299999999997</v>
      </c>
      <c r="J646" s="14">
        <f>99.5252 * CHOOSE(CONTROL!$C$9, $D$9, 100%, $F$9) + CHOOSE(CONTROL!$C$27, 0.0021, 0)</f>
        <v>99.527299999999997</v>
      </c>
      <c r="K646" s="14">
        <f>99.5252 * CHOOSE(CONTROL!$C$9, $D$9, 100%, $F$9) + CHOOSE(CONTROL!$C$27, 0.0021, 0)</f>
        <v>99.527299999999997</v>
      </c>
      <c r="L646" s="14"/>
    </row>
    <row r="647" spans="1:12" ht="15.75" x14ac:dyDescent="0.25">
      <c r="A647" s="32">
        <v>60632</v>
      </c>
      <c r="B647" s="14">
        <f>97.0592 * CHOOSE(CONTROL!$C$9, $D$9, 100%, $F$9) + CHOOSE(CONTROL!$C$27, 0.0021, 0)</f>
        <v>97.061300000000003</v>
      </c>
      <c r="C647" s="14">
        <f>96.627 * CHOOSE(CONTROL!$C$9, $D$9, 100%, $F$9) + CHOOSE(CONTROL!$C$27, 0.0021, 0)</f>
        <v>96.629099999999994</v>
      </c>
      <c r="D647" s="14">
        <f>96.627 * CHOOSE(CONTROL!$C$9, $D$9, 100%, $F$9) + CHOOSE(CONTROL!$C$27, 0.0021, 0)</f>
        <v>96.629099999999994</v>
      </c>
      <c r="E647" s="14">
        <f>96.4903 * CHOOSE(CONTROL!$C$9, $D$9, 100%, $F$9) + CHOOSE(CONTROL!$C$27, 0.0021, 0)</f>
        <v>96.492400000000004</v>
      </c>
      <c r="F647" s="14">
        <f>96.4903 * CHOOSE(CONTROL!$C$9, $D$9, 100%, $F$9) + CHOOSE(CONTROL!$C$27, 0.0021, 0)</f>
        <v>96.492400000000004</v>
      </c>
      <c r="G647" s="14">
        <f>96.7617 * CHOOSE(CONTROL!$C$9, $D$9, 100%, $F$9) + CHOOSE(CONTROL!$C$27, 0.0021, 0)</f>
        <v>96.763800000000003</v>
      </c>
      <c r="H647" s="14">
        <f>96.627 * CHOOSE(CONTROL!$C$9, $D$9, 100%, $F$9) + CHOOSE(CONTROL!$C$27, 0.0021, 0)</f>
        <v>96.629099999999994</v>
      </c>
      <c r="I647" s="14">
        <f>96.627 * CHOOSE(CONTROL!$C$9, $D$9, 100%, $F$9) + CHOOSE(CONTROL!$C$27, 0.0021, 0)</f>
        <v>96.629099999999994</v>
      </c>
      <c r="J647" s="14">
        <f>96.627 * CHOOSE(CONTROL!$C$9, $D$9, 100%, $F$9) + CHOOSE(CONTROL!$C$27, 0.0021, 0)</f>
        <v>96.629099999999994</v>
      </c>
      <c r="K647" s="14">
        <f>96.627 * CHOOSE(CONTROL!$C$9, $D$9, 100%, $F$9) + CHOOSE(CONTROL!$C$27, 0.0021, 0)</f>
        <v>96.629099999999994</v>
      </c>
      <c r="L647" s="14"/>
    </row>
    <row r="648" spans="1:12" ht="15.75" x14ac:dyDescent="0.25">
      <c r="A648" s="32">
        <v>60663</v>
      </c>
      <c r="B648" s="14">
        <f>96.495 * CHOOSE(CONTROL!$C$9, $D$9, 100%, $F$9) + CHOOSE(CONTROL!$C$27, 0.0021, 0)</f>
        <v>96.497100000000003</v>
      </c>
      <c r="C648" s="14">
        <f>96.0627 * CHOOSE(CONTROL!$C$9, $D$9, 100%, $F$9) + CHOOSE(CONTROL!$C$27, 0.0021, 0)</f>
        <v>96.064800000000005</v>
      </c>
      <c r="D648" s="14">
        <f>96.0627 * CHOOSE(CONTROL!$C$9, $D$9, 100%, $F$9) + CHOOSE(CONTROL!$C$27, 0.0021, 0)</f>
        <v>96.064800000000005</v>
      </c>
      <c r="E648" s="14">
        <f>95.9261 * CHOOSE(CONTROL!$C$9, $D$9, 100%, $F$9) + CHOOSE(CONTROL!$C$27, 0.0021, 0)</f>
        <v>95.928200000000004</v>
      </c>
      <c r="F648" s="14">
        <f>95.9261 * CHOOSE(CONTROL!$C$9, $D$9, 100%, $F$9) + CHOOSE(CONTROL!$C$27, 0.0021, 0)</f>
        <v>95.928200000000004</v>
      </c>
      <c r="G648" s="14">
        <f>96.1975 * CHOOSE(CONTROL!$C$9, $D$9, 100%, $F$9) + CHOOSE(CONTROL!$C$27, 0.0021, 0)</f>
        <v>96.199600000000004</v>
      </c>
      <c r="H648" s="14">
        <f>96.0627 * CHOOSE(CONTROL!$C$9, $D$9, 100%, $F$9) + CHOOSE(CONTROL!$C$27, 0.0021, 0)</f>
        <v>96.064800000000005</v>
      </c>
      <c r="I648" s="14">
        <f>96.0627 * CHOOSE(CONTROL!$C$9, $D$9, 100%, $F$9) + CHOOSE(CONTROL!$C$27, 0.0021, 0)</f>
        <v>96.064800000000005</v>
      </c>
      <c r="J648" s="14">
        <f>96.0627 * CHOOSE(CONTROL!$C$9, $D$9, 100%, $F$9) + CHOOSE(CONTROL!$C$27, 0.0021, 0)</f>
        <v>96.064800000000005</v>
      </c>
      <c r="K648" s="14">
        <f>96.0627 * CHOOSE(CONTROL!$C$9, $D$9, 100%, $F$9) + CHOOSE(CONTROL!$C$27, 0.0021, 0)</f>
        <v>96.064800000000005</v>
      </c>
      <c r="L648" s="14"/>
    </row>
    <row r="649" spans="1:12" ht="15.75" x14ac:dyDescent="0.25">
      <c r="A649" s="32">
        <v>60691</v>
      </c>
      <c r="B649" s="14">
        <f>96.2331 * CHOOSE(CONTROL!$C$9, $D$9, 100%, $F$9) + CHOOSE(CONTROL!$C$27, 0.0021, 0)</f>
        <v>96.235199999999992</v>
      </c>
      <c r="C649" s="14">
        <f>95.8009 * CHOOSE(CONTROL!$C$9, $D$9, 100%, $F$9) + CHOOSE(CONTROL!$C$27, 0.0021, 0)</f>
        <v>95.802999999999997</v>
      </c>
      <c r="D649" s="14">
        <f>95.8009 * CHOOSE(CONTROL!$C$9, $D$9, 100%, $F$9) + CHOOSE(CONTROL!$C$27, 0.0021, 0)</f>
        <v>95.802999999999997</v>
      </c>
      <c r="E649" s="14">
        <f>95.6642 * CHOOSE(CONTROL!$C$9, $D$9, 100%, $F$9) + CHOOSE(CONTROL!$C$27, 0.0021, 0)</f>
        <v>95.666299999999993</v>
      </c>
      <c r="F649" s="14">
        <f>95.6642 * CHOOSE(CONTROL!$C$9, $D$9, 100%, $F$9) + CHOOSE(CONTROL!$C$27, 0.0021, 0)</f>
        <v>95.666299999999993</v>
      </c>
      <c r="G649" s="14">
        <f>95.9356 * CHOOSE(CONTROL!$C$9, $D$9, 100%, $F$9) + CHOOSE(CONTROL!$C$27, 0.0021, 0)</f>
        <v>95.937699999999992</v>
      </c>
      <c r="H649" s="14">
        <f>95.8009 * CHOOSE(CONTROL!$C$9, $D$9, 100%, $F$9) + CHOOSE(CONTROL!$C$27, 0.0021, 0)</f>
        <v>95.802999999999997</v>
      </c>
      <c r="I649" s="14">
        <f>95.8009 * CHOOSE(CONTROL!$C$9, $D$9, 100%, $F$9) + CHOOSE(CONTROL!$C$27, 0.0021, 0)</f>
        <v>95.802999999999997</v>
      </c>
      <c r="J649" s="14">
        <f>95.8009 * CHOOSE(CONTROL!$C$9, $D$9, 100%, $F$9) + CHOOSE(CONTROL!$C$27, 0.0021, 0)</f>
        <v>95.802999999999997</v>
      </c>
      <c r="K649" s="14">
        <f>95.8009 * CHOOSE(CONTROL!$C$9, $D$9, 100%, $F$9) + CHOOSE(CONTROL!$C$27, 0.0021, 0)</f>
        <v>95.802999999999997</v>
      </c>
      <c r="L649" s="14"/>
    </row>
    <row r="650" spans="1:12" ht="15.75" x14ac:dyDescent="0.25">
      <c r="A650" s="32">
        <v>60722</v>
      </c>
      <c r="B650" s="14">
        <f>101.1844 * CHOOSE(CONTROL!$C$9, $D$9, 100%, $F$9) + CHOOSE(CONTROL!$C$27, 0.0021, 0)</f>
        <v>101.1865</v>
      </c>
      <c r="C650" s="14">
        <f>100.7521 * CHOOSE(CONTROL!$C$9, $D$9, 100%, $F$9) + CHOOSE(CONTROL!$C$27, 0.0021, 0)</f>
        <v>100.7542</v>
      </c>
      <c r="D650" s="14">
        <f>100.7521 * CHOOSE(CONTROL!$C$9, $D$9, 100%, $F$9) + CHOOSE(CONTROL!$C$27, 0.0021, 0)</f>
        <v>100.7542</v>
      </c>
      <c r="E650" s="14">
        <f>100.6155 * CHOOSE(CONTROL!$C$9, $D$9, 100%, $F$9) + CHOOSE(CONTROL!$C$27, 0.0021, 0)</f>
        <v>100.6176</v>
      </c>
      <c r="F650" s="14">
        <f>100.6155 * CHOOSE(CONTROL!$C$9, $D$9, 100%, $F$9) + CHOOSE(CONTROL!$C$27, 0.0021, 0)</f>
        <v>100.6176</v>
      </c>
      <c r="G650" s="14">
        <f>100.8868 * CHOOSE(CONTROL!$C$9, $D$9, 100%, $F$9) + CHOOSE(CONTROL!$C$27, 0.0021, 0)</f>
        <v>100.88889999999999</v>
      </c>
      <c r="H650" s="14">
        <f>100.7521 * CHOOSE(CONTROL!$C$9, $D$9, 100%, $F$9) + CHOOSE(CONTROL!$C$27, 0.0021, 0)</f>
        <v>100.7542</v>
      </c>
      <c r="I650" s="14">
        <f>100.7521 * CHOOSE(CONTROL!$C$9, $D$9, 100%, $F$9) + CHOOSE(CONTROL!$C$27, 0.0021, 0)</f>
        <v>100.7542</v>
      </c>
      <c r="J650" s="14">
        <f>100.7521 * CHOOSE(CONTROL!$C$9, $D$9, 100%, $F$9) + CHOOSE(CONTROL!$C$27, 0.0021, 0)</f>
        <v>100.7542</v>
      </c>
      <c r="K650" s="14">
        <f>100.7521 * CHOOSE(CONTROL!$C$9, $D$9, 100%, $F$9) + CHOOSE(CONTROL!$C$27, 0.0021, 0)</f>
        <v>100.7542</v>
      </c>
      <c r="L650" s="14"/>
    </row>
    <row r="651" spans="1:12" ht="15.75" x14ac:dyDescent="0.25">
      <c r="A651" s="32">
        <v>60752</v>
      </c>
      <c r="B651" s="14">
        <f>107.6049 * CHOOSE(CONTROL!$C$9, $D$9, 100%, $F$9) + CHOOSE(CONTROL!$C$27, 0.0021, 0)</f>
        <v>107.607</v>
      </c>
      <c r="C651" s="14">
        <f>107.1727 * CHOOSE(CONTROL!$C$9, $D$9, 100%, $F$9) + CHOOSE(CONTROL!$C$27, 0.0021, 0)</f>
        <v>107.1748</v>
      </c>
      <c r="D651" s="14">
        <f>107.1727 * CHOOSE(CONTROL!$C$9, $D$9, 100%, $F$9) + CHOOSE(CONTROL!$C$27, 0.0021, 0)</f>
        <v>107.1748</v>
      </c>
      <c r="E651" s="14">
        <f>107.036 * CHOOSE(CONTROL!$C$9, $D$9, 100%, $F$9) + CHOOSE(CONTROL!$C$27, 0.0021, 0)</f>
        <v>107.0381</v>
      </c>
      <c r="F651" s="14">
        <f>107.036 * CHOOSE(CONTROL!$C$9, $D$9, 100%, $F$9) + CHOOSE(CONTROL!$C$27, 0.0021, 0)</f>
        <v>107.0381</v>
      </c>
      <c r="G651" s="14">
        <f>107.3074 * CHOOSE(CONTROL!$C$9, $D$9, 100%, $F$9) + CHOOSE(CONTROL!$C$27, 0.0021, 0)</f>
        <v>107.3095</v>
      </c>
      <c r="H651" s="14">
        <f>107.1727 * CHOOSE(CONTROL!$C$9, $D$9, 100%, $F$9) + CHOOSE(CONTROL!$C$27, 0.0021, 0)</f>
        <v>107.1748</v>
      </c>
      <c r="I651" s="14">
        <f>107.1727 * CHOOSE(CONTROL!$C$9, $D$9, 100%, $F$9) + CHOOSE(CONTROL!$C$27, 0.0021, 0)</f>
        <v>107.1748</v>
      </c>
      <c r="J651" s="14">
        <f>107.1727 * CHOOSE(CONTROL!$C$9, $D$9, 100%, $F$9) + CHOOSE(CONTROL!$C$27, 0.0021, 0)</f>
        <v>107.1748</v>
      </c>
      <c r="K651" s="14">
        <f>107.1727 * CHOOSE(CONTROL!$C$9, $D$9, 100%, $F$9) + CHOOSE(CONTROL!$C$27, 0.0021, 0)</f>
        <v>107.1748</v>
      </c>
      <c r="L651" s="14"/>
    </row>
    <row r="652" spans="1:12" ht="15.75" x14ac:dyDescent="0.25">
      <c r="A652" s="32">
        <v>60783</v>
      </c>
      <c r="B652" s="14">
        <f>111.139 * CHOOSE(CONTROL!$C$9, $D$9, 100%, $F$9) + CHOOSE(CONTROL!$C$27, 0.0021, 0)</f>
        <v>111.14109999999999</v>
      </c>
      <c r="C652" s="14">
        <f>110.7067 * CHOOSE(CONTROL!$C$9, $D$9, 100%, $F$9) + CHOOSE(CONTROL!$C$27, 0.0021, 0)</f>
        <v>110.7088</v>
      </c>
      <c r="D652" s="14">
        <f>110.7067 * CHOOSE(CONTROL!$C$9, $D$9, 100%, $F$9) + CHOOSE(CONTROL!$C$27, 0.0021, 0)</f>
        <v>110.7088</v>
      </c>
      <c r="E652" s="14">
        <f>110.5701 * CHOOSE(CONTROL!$C$9, $D$9, 100%, $F$9) + CHOOSE(CONTROL!$C$27, 0.0021, 0)</f>
        <v>110.5722</v>
      </c>
      <c r="F652" s="14">
        <f>110.5701 * CHOOSE(CONTROL!$C$9, $D$9, 100%, $F$9) + CHOOSE(CONTROL!$C$27, 0.0021, 0)</f>
        <v>110.5722</v>
      </c>
      <c r="G652" s="14">
        <f>110.8415 * CHOOSE(CONTROL!$C$9, $D$9, 100%, $F$9) + CHOOSE(CONTROL!$C$27, 0.0021, 0)</f>
        <v>110.8436</v>
      </c>
      <c r="H652" s="14">
        <f>110.7067 * CHOOSE(CONTROL!$C$9, $D$9, 100%, $F$9) + CHOOSE(CONTROL!$C$27, 0.0021, 0)</f>
        <v>110.7088</v>
      </c>
      <c r="I652" s="14">
        <f>110.7067 * CHOOSE(CONTROL!$C$9, $D$9, 100%, $F$9) + CHOOSE(CONTROL!$C$27, 0.0021, 0)</f>
        <v>110.7088</v>
      </c>
      <c r="J652" s="14">
        <f>110.7067 * CHOOSE(CONTROL!$C$9, $D$9, 100%, $F$9) + CHOOSE(CONTROL!$C$27, 0.0021, 0)</f>
        <v>110.7088</v>
      </c>
      <c r="K652" s="14">
        <f>110.7067 * CHOOSE(CONTROL!$C$9, $D$9, 100%, $F$9) + CHOOSE(CONTROL!$C$27, 0.0021, 0)</f>
        <v>110.7088</v>
      </c>
      <c r="L652" s="14"/>
    </row>
    <row r="653" spans="1:12" ht="15.75" x14ac:dyDescent="0.25">
      <c r="A653" s="32">
        <v>60813</v>
      </c>
      <c r="B653" s="14">
        <f>112.7074 * CHOOSE(CONTROL!$C$9, $D$9, 100%, $F$9) + CHOOSE(CONTROL!$C$27, 0.0021, 0)</f>
        <v>112.70950000000001</v>
      </c>
      <c r="C653" s="14">
        <f>112.2751 * CHOOSE(CONTROL!$C$9, $D$9, 100%, $F$9) + CHOOSE(CONTROL!$C$27, 0.0021, 0)</f>
        <v>112.27719999999999</v>
      </c>
      <c r="D653" s="14">
        <f>112.2751 * CHOOSE(CONTROL!$C$9, $D$9, 100%, $F$9) + CHOOSE(CONTROL!$C$27, 0.0021, 0)</f>
        <v>112.27719999999999</v>
      </c>
      <c r="E653" s="14">
        <f>112.1385 * CHOOSE(CONTROL!$C$9, $D$9, 100%, $F$9) + CHOOSE(CONTROL!$C$27, 0.0021, 0)</f>
        <v>112.14059999999999</v>
      </c>
      <c r="F653" s="14">
        <f>112.1385 * CHOOSE(CONTROL!$C$9, $D$9, 100%, $F$9) + CHOOSE(CONTROL!$C$27, 0.0021, 0)</f>
        <v>112.14059999999999</v>
      </c>
      <c r="G653" s="14">
        <f>112.4098 * CHOOSE(CONTROL!$C$9, $D$9, 100%, $F$9) + CHOOSE(CONTROL!$C$27, 0.0021, 0)</f>
        <v>112.4119</v>
      </c>
      <c r="H653" s="14">
        <f>112.2751 * CHOOSE(CONTROL!$C$9, $D$9, 100%, $F$9) + CHOOSE(CONTROL!$C$27, 0.0021, 0)</f>
        <v>112.27719999999999</v>
      </c>
      <c r="I653" s="14">
        <f>112.2751 * CHOOSE(CONTROL!$C$9, $D$9, 100%, $F$9) + CHOOSE(CONTROL!$C$27, 0.0021, 0)</f>
        <v>112.27719999999999</v>
      </c>
      <c r="J653" s="14">
        <f>112.2751 * CHOOSE(CONTROL!$C$9, $D$9, 100%, $F$9) + CHOOSE(CONTROL!$C$27, 0.0021, 0)</f>
        <v>112.27719999999999</v>
      </c>
      <c r="K653" s="14">
        <f>112.2751 * CHOOSE(CONTROL!$C$9, $D$9, 100%, $F$9) + CHOOSE(CONTROL!$C$27, 0.0021, 0)</f>
        <v>112.27719999999999</v>
      </c>
      <c r="L653" s="14"/>
    </row>
    <row r="654" spans="1:12" ht="15.75" x14ac:dyDescent="0.25">
      <c r="A654" s="32">
        <v>60844</v>
      </c>
      <c r="B654" s="14">
        <f>112.191 * CHOOSE(CONTROL!$C$9, $D$9, 100%, $F$9) + CHOOSE(CONTROL!$C$27, 0.0021, 0)</f>
        <v>112.1931</v>
      </c>
      <c r="C654" s="14">
        <f>111.7587 * CHOOSE(CONTROL!$C$9, $D$9, 100%, $F$9) + CHOOSE(CONTROL!$C$27, 0.0021, 0)</f>
        <v>111.7608</v>
      </c>
      <c r="D654" s="14">
        <f>111.7587 * CHOOSE(CONTROL!$C$9, $D$9, 100%, $F$9) + CHOOSE(CONTROL!$C$27, 0.0021, 0)</f>
        <v>111.7608</v>
      </c>
      <c r="E654" s="14">
        <f>111.6221 * CHOOSE(CONTROL!$C$9, $D$9, 100%, $F$9) + CHOOSE(CONTROL!$C$27, 0.0021, 0)</f>
        <v>111.6242</v>
      </c>
      <c r="F654" s="14">
        <f>111.6221 * CHOOSE(CONTROL!$C$9, $D$9, 100%, $F$9) + CHOOSE(CONTROL!$C$27, 0.0021, 0)</f>
        <v>111.6242</v>
      </c>
      <c r="G654" s="14">
        <f>111.8934 * CHOOSE(CONTROL!$C$9, $D$9, 100%, $F$9) + CHOOSE(CONTROL!$C$27, 0.0021, 0)</f>
        <v>111.8955</v>
      </c>
      <c r="H654" s="14">
        <f>111.7587 * CHOOSE(CONTROL!$C$9, $D$9, 100%, $F$9) + CHOOSE(CONTROL!$C$27, 0.0021, 0)</f>
        <v>111.7608</v>
      </c>
      <c r="I654" s="14">
        <f>111.7587 * CHOOSE(CONTROL!$C$9, $D$9, 100%, $F$9) + CHOOSE(CONTROL!$C$27, 0.0021, 0)</f>
        <v>111.7608</v>
      </c>
      <c r="J654" s="14">
        <f>111.7587 * CHOOSE(CONTROL!$C$9, $D$9, 100%, $F$9) + CHOOSE(CONTROL!$C$27, 0.0021, 0)</f>
        <v>111.7608</v>
      </c>
      <c r="K654" s="14">
        <f>111.7587 * CHOOSE(CONTROL!$C$9, $D$9, 100%, $F$9) + CHOOSE(CONTROL!$C$27, 0.0021, 0)</f>
        <v>111.7608</v>
      </c>
      <c r="L654" s="14"/>
    </row>
    <row r="655" spans="1:12" ht="15.75" x14ac:dyDescent="0.25">
      <c r="A655" s="32">
        <v>60875</v>
      </c>
      <c r="B655" s="14">
        <f>109.6326 * CHOOSE(CONTROL!$C$9, $D$9, 100%, $F$9) + CHOOSE(CONTROL!$C$27, 0.0021, 0)</f>
        <v>109.6347</v>
      </c>
      <c r="C655" s="14">
        <f>109.2003 * CHOOSE(CONTROL!$C$9, $D$9, 100%, $F$9) + CHOOSE(CONTROL!$C$27, 0.0021, 0)</f>
        <v>109.2024</v>
      </c>
      <c r="D655" s="14">
        <f>109.2003 * CHOOSE(CONTROL!$C$9, $D$9, 100%, $F$9) + CHOOSE(CONTROL!$C$27, 0.0021, 0)</f>
        <v>109.2024</v>
      </c>
      <c r="E655" s="14">
        <f>109.0637 * CHOOSE(CONTROL!$C$9, $D$9, 100%, $F$9) + CHOOSE(CONTROL!$C$27, 0.0021, 0)</f>
        <v>109.0658</v>
      </c>
      <c r="F655" s="14">
        <f>109.0637 * CHOOSE(CONTROL!$C$9, $D$9, 100%, $F$9) + CHOOSE(CONTROL!$C$27, 0.0021, 0)</f>
        <v>109.0658</v>
      </c>
      <c r="G655" s="14">
        <f>109.3351 * CHOOSE(CONTROL!$C$9, $D$9, 100%, $F$9) + CHOOSE(CONTROL!$C$27, 0.0021, 0)</f>
        <v>109.3372</v>
      </c>
      <c r="H655" s="14">
        <f>109.2003 * CHOOSE(CONTROL!$C$9, $D$9, 100%, $F$9) + CHOOSE(CONTROL!$C$27, 0.0021, 0)</f>
        <v>109.2024</v>
      </c>
      <c r="I655" s="14">
        <f>109.2003 * CHOOSE(CONTROL!$C$9, $D$9, 100%, $F$9) + CHOOSE(CONTROL!$C$27, 0.0021, 0)</f>
        <v>109.2024</v>
      </c>
      <c r="J655" s="14">
        <f>109.2003 * CHOOSE(CONTROL!$C$9, $D$9, 100%, $F$9) + CHOOSE(CONTROL!$C$27, 0.0021, 0)</f>
        <v>109.2024</v>
      </c>
      <c r="K655" s="14">
        <f>109.2003 * CHOOSE(CONTROL!$C$9, $D$9, 100%, $F$9) + CHOOSE(CONTROL!$C$27, 0.0021, 0)</f>
        <v>109.2024</v>
      </c>
      <c r="L655" s="14"/>
    </row>
    <row r="656" spans="1:12" ht="15.75" x14ac:dyDescent="0.25">
      <c r="A656" s="32">
        <v>60905</v>
      </c>
      <c r="B656" s="14">
        <f>106.0648 * CHOOSE(CONTROL!$C$9, $D$9, 100%, $F$9) + CHOOSE(CONTROL!$C$27, 0.0021, 0)</f>
        <v>106.0669</v>
      </c>
      <c r="C656" s="14">
        <f>105.6325 * CHOOSE(CONTROL!$C$9, $D$9, 100%, $F$9) + CHOOSE(CONTROL!$C$27, 0.0021, 0)</f>
        <v>105.63459999999999</v>
      </c>
      <c r="D656" s="14">
        <f>105.6325 * CHOOSE(CONTROL!$C$9, $D$9, 100%, $F$9) + CHOOSE(CONTROL!$C$27, 0.0021, 0)</f>
        <v>105.63459999999999</v>
      </c>
      <c r="E656" s="14">
        <f>105.4959 * CHOOSE(CONTROL!$C$9, $D$9, 100%, $F$9) + CHOOSE(CONTROL!$C$27, 0.0021, 0)</f>
        <v>105.498</v>
      </c>
      <c r="F656" s="14">
        <f>105.4959 * CHOOSE(CONTROL!$C$9, $D$9, 100%, $F$9) + CHOOSE(CONTROL!$C$27, 0.0021, 0)</f>
        <v>105.498</v>
      </c>
      <c r="G656" s="14">
        <f>105.7673 * CHOOSE(CONTROL!$C$9, $D$9, 100%, $F$9) + CHOOSE(CONTROL!$C$27, 0.0021, 0)</f>
        <v>105.7694</v>
      </c>
      <c r="H656" s="14">
        <f>105.6325 * CHOOSE(CONTROL!$C$9, $D$9, 100%, $F$9) + CHOOSE(CONTROL!$C$27, 0.0021, 0)</f>
        <v>105.63459999999999</v>
      </c>
      <c r="I656" s="14">
        <f>105.6325 * CHOOSE(CONTROL!$C$9, $D$9, 100%, $F$9) + CHOOSE(CONTROL!$C$27, 0.0021, 0)</f>
        <v>105.63459999999999</v>
      </c>
      <c r="J656" s="14">
        <f>105.6325 * CHOOSE(CONTROL!$C$9, $D$9, 100%, $F$9) + CHOOSE(CONTROL!$C$27, 0.0021, 0)</f>
        <v>105.63459999999999</v>
      </c>
      <c r="K656" s="14">
        <f>105.6325 * CHOOSE(CONTROL!$C$9, $D$9, 100%, $F$9) + CHOOSE(CONTROL!$C$27, 0.0021, 0)</f>
        <v>105.63459999999999</v>
      </c>
      <c r="L656" s="14"/>
    </row>
    <row r="657" spans="1:12" ht="15.75" x14ac:dyDescent="0.25">
      <c r="A657" s="32">
        <v>60936</v>
      </c>
      <c r="B657" s="14">
        <f>102.4762 * CHOOSE(CONTROL!$C$9, $D$9, 100%, $F$9) + CHOOSE(CONTROL!$C$27, 0.0021, 0)</f>
        <v>102.4783</v>
      </c>
      <c r="C657" s="14">
        <f>102.044 * CHOOSE(CONTROL!$C$9, $D$9, 100%, $F$9) + CHOOSE(CONTROL!$C$27, 0.0021, 0)</f>
        <v>102.0461</v>
      </c>
      <c r="D657" s="14">
        <f>102.044 * CHOOSE(CONTROL!$C$9, $D$9, 100%, $F$9) + CHOOSE(CONTROL!$C$27, 0.0021, 0)</f>
        <v>102.0461</v>
      </c>
      <c r="E657" s="14">
        <f>101.9073 * CHOOSE(CONTROL!$C$9, $D$9, 100%, $F$9) + CHOOSE(CONTROL!$C$27, 0.0021, 0)</f>
        <v>101.90940000000001</v>
      </c>
      <c r="F657" s="14">
        <f>101.9073 * CHOOSE(CONTROL!$C$9, $D$9, 100%, $F$9) + CHOOSE(CONTROL!$C$27, 0.0021, 0)</f>
        <v>101.90940000000001</v>
      </c>
      <c r="G657" s="14">
        <f>102.1787 * CHOOSE(CONTROL!$C$9, $D$9, 100%, $F$9) + CHOOSE(CONTROL!$C$27, 0.0021, 0)</f>
        <v>102.1808</v>
      </c>
      <c r="H657" s="14">
        <f>102.044 * CHOOSE(CONTROL!$C$9, $D$9, 100%, $F$9) + CHOOSE(CONTROL!$C$27, 0.0021, 0)</f>
        <v>102.0461</v>
      </c>
      <c r="I657" s="14">
        <f>102.044 * CHOOSE(CONTROL!$C$9, $D$9, 100%, $F$9) + CHOOSE(CONTROL!$C$27, 0.0021, 0)</f>
        <v>102.0461</v>
      </c>
      <c r="J657" s="14">
        <f>102.044 * CHOOSE(CONTROL!$C$9, $D$9, 100%, $F$9) + CHOOSE(CONTROL!$C$27, 0.0021, 0)</f>
        <v>102.0461</v>
      </c>
      <c r="K657" s="14">
        <f>102.044 * CHOOSE(CONTROL!$C$9, $D$9, 100%, $F$9) + CHOOSE(CONTROL!$C$27, 0.0021, 0)</f>
        <v>102.0461</v>
      </c>
      <c r="L657" s="14"/>
    </row>
    <row r="658" spans="1:12" ht="15.75" x14ac:dyDescent="0.25">
      <c r="A658" s="32">
        <v>60966</v>
      </c>
      <c r="B658" s="14">
        <f>101.7624 * CHOOSE(CONTROL!$C$9, $D$9, 100%, $F$9) + CHOOSE(CONTROL!$C$27, 0.0021, 0)</f>
        <v>101.7645</v>
      </c>
      <c r="C658" s="14">
        <f>101.3301 * CHOOSE(CONTROL!$C$9, $D$9, 100%, $F$9) + CHOOSE(CONTROL!$C$27, 0.0021, 0)</f>
        <v>101.3322</v>
      </c>
      <c r="D658" s="14">
        <f>101.3301 * CHOOSE(CONTROL!$C$9, $D$9, 100%, $F$9) + CHOOSE(CONTROL!$C$27, 0.0021, 0)</f>
        <v>101.3322</v>
      </c>
      <c r="E658" s="14">
        <f>101.1935 * CHOOSE(CONTROL!$C$9, $D$9, 100%, $F$9) + CHOOSE(CONTROL!$C$27, 0.0021, 0)</f>
        <v>101.1956</v>
      </c>
      <c r="F658" s="14">
        <f>101.1935 * CHOOSE(CONTROL!$C$9, $D$9, 100%, $F$9) + CHOOSE(CONTROL!$C$27, 0.0021, 0)</f>
        <v>101.1956</v>
      </c>
      <c r="G658" s="14">
        <f>101.4649 * CHOOSE(CONTROL!$C$9, $D$9, 100%, $F$9) + CHOOSE(CONTROL!$C$27, 0.0021, 0)</f>
        <v>101.467</v>
      </c>
      <c r="H658" s="14">
        <f>101.3301 * CHOOSE(CONTROL!$C$9, $D$9, 100%, $F$9) + CHOOSE(CONTROL!$C$27, 0.0021, 0)</f>
        <v>101.3322</v>
      </c>
      <c r="I658" s="14">
        <f>101.3301 * CHOOSE(CONTROL!$C$9, $D$9, 100%, $F$9) + CHOOSE(CONTROL!$C$27, 0.0021, 0)</f>
        <v>101.3322</v>
      </c>
      <c r="J658" s="14">
        <f>101.3301 * CHOOSE(CONTROL!$C$9, $D$9, 100%, $F$9) + CHOOSE(CONTROL!$C$27, 0.0021, 0)</f>
        <v>101.3322</v>
      </c>
      <c r="K658" s="14">
        <f>101.3301 * CHOOSE(CONTROL!$C$9, $D$9, 100%, $F$9) + CHOOSE(CONTROL!$C$27, 0.0021, 0)</f>
        <v>101.3322</v>
      </c>
      <c r="L658" s="14"/>
    </row>
    <row r="659" spans="1:12" ht="15.75" x14ac:dyDescent="0.25">
      <c r="A659" s="32">
        <v>60997</v>
      </c>
      <c r="B659" s="14">
        <f>98.8106 * CHOOSE(CONTROL!$C$9, $D$9, 100%, $F$9) + CHOOSE(CONTROL!$C$27, 0.0021, 0)</f>
        <v>98.812699999999992</v>
      </c>
      <c r="C659" s="14">
        <f>98.3784 * CHOOSE(CONTROL!$C$9, $D$9, 100%, $F$9) + CHOOSE(CONTROL!$C$27, 0.0021, 0)</f>
        <v>98.380499999999998</v>
      </c>
      <c r="D659" s="14">
        <f>98.3784 * CHOOSE(CONTROL!$C$9, $D$9, 100%, $F$9) + CHOOSE(CONTROL!$C$27, 0.0021, 0)</f>
        <v>98.380499999999998</v>
      </c>
      <c r="E659" s="14">
        <f>98.2417 * CHOOSE(CONTROL!$C$9, $D$9, 100%, $F$9) + CHOOSE(CONTROL!$C$27, 0.0021, 0)</f>
        <v>98.243799999999993</v>
      </c>
      <c r="F659" s="14">
        <f>98.2417 * CHOOSE(CONTROL!$C$9, $D$9, 100%, $F$9) + CHOOSE(CONTROL!$C$27, 0.0021, 0)</f>
        <v>98.243799999999993</v>
      </c>
      <c r="G659" s="14">
        <f>98.5131 * CHOOSE(CONTROL!$C$9, $D$9, 100%, $F$9) + CHOOSE(CONTROL!$C$27, 0.0021, 0)</f>
        <v>98.515199999999993</v>
      </c>
      <c r="H659" s="14">
        <f>98.3784 * CHOOSE(CONTROL!$C$9, $D$9, 100%, $F$9) + CHOOSE(CONTROL!$C$27, 0.0021, 0)</f>
        <v>98.380499999999998</v>
      </c>
      <c r="I659" s="14">
        <f>98.3784 * CHOOSE(CONTROL!$C$9, $D$9, 100%, $F$9) + CHOOSE(CONTROL!$C$27, 0.0021, 0)</f>
        <v>98.380499999999998</v>
      </c>
      <c r="J659" s="14">
        <f>98.3784 * CHOOSE(CONTROL!$C$9, $D$9, 100%, $F$9) + CHOOSE(CONTROL!$C$27, 0.0021, 0)</f>
        <v>98.380499999999998</v>
      </c>
      <c r="K659" s="14">
        <f>98.3784 * CHOOSE(CONTROL!$C$9, $D$9, 100%, $F$9) + CHOOSE(CONTROL!$C$27, 0.0021, 0)</f>
        <v>98.380499999999998</v>
      </c>
      <c r="L659" s="14"/>
    </row>
    <row r="660" spans="1:12" ht="15.75" x14ac:dyDescent="0.25">
      <c r="A660" s="32">
        <v>61028</v>
      </c>
      <c r="B660" s="14">
        <f>98.2359 * CHOOSE(CONTROL!$C$9, $D$9, 100%, $F$9) + CHOOSE(CONTROL!$C$27, 0.0021, 0)</f>
        <v>98.238</v>
      </c>
      <c r="C660" s="14">
        <f>97.8037 * CHOOSE(CONTROL!$C$9, $D$9, 100%, $F$9) + CHOOSE(CONTROL!$C$27, 0.0021, 0)</f>
        <v>97.805800000000005</v>
      </c>
      <c r="D660" s="14">
        <f>97.8037 * CHOOSE(CONTROL!$C$9, $D$9, 100%, $F$9) + CHOOSE(CONTROL!$C$27, 0.0021, 0)</f>
        <v>97.805800000000005</v>
      </c>
      <c r="E660" s="14">
        <f>97.667 * CHOOSE(CONTROL!$C$9, $D$9, 100%, $F$9) + CHOOSE(CONTROL!$C$27, 0.0021, 0)</f>
        <v>97.6691</v>
      </c>
      <c r="F660" s="14">
        <f>97.667 * CHOOSE(CONTROL!$C$9, $D$9, 100%, $F$9) + CHOOSE(CONTROL!$C$27, 0.0021, 0)</f>
        <v>97.6691</v>
      </c>
      <c r="G660" s="14">
        <f>97.9384 * CHOOSE(CONTROL!$C$9, $D$9, 100%, $F$9) + CHOOSE(CONTROL!$C$27, 0.0021, 0)</f>
        <v>97.9405</v>
      </c>
      <c r="H660" s="14">
        <f>97.8037 * CHOOSE(CONTROL!$C$9, $D$9, 100%, $F$9) + CHOOSE(CONTROL!$C$27, 0.0021, 0)</f>
        <v>97.805800000000005</v>
      </c>
      <c r="I660" s="14">
        <f>97.8037 * CHOOSE(CONTROL!$C$9, $D$9, 100%, $F$9) + CHOOSE(CONTROL!$C$27, 0.0021, 0)</f>
        <v>97.805800000000005</v>
      </c>
      <c r="J660" s="14">
        <f>97.8037 * CHOOSE(CONTROL!$C$9, $D$9, 100%, $F$9) + CHOOSE(CONTROL!$C$27, 0.0021, 0)</f>
        <v>97.805800000000005</v>
      </c>
      <c r="K660" s="14">
        <f>97.8037 * CHOOSE(CONTROL!$C$9, $D$9, 100%, $F$9) + CHOOSE(CONTROL!$C$27, 0.0021, 0)</f>
        <v>97.805800000000005</v>
      </c>
      <c r="L660" s="14"/>
    </row>
    <row r="661" spans="1:12" ht="15.75" x14ac:dyDescent="0.25">
      <c r="A661" s="32">
        <v>61056</v>
      </c>
      <c r="B661" s="14">
        <f>97.9692 * CHOOSE(CONTROL!$C$9, $D$9, 100%, $F$9) + CHOOSE(CONTROL!$C$27, 0.0021, 0)</f>
        <v>97.971299999999999</v>
      </c>
      <c r="C661" s="14">
        <f>97.537 * CHOOSE(CONTROL!$C$9, $D$9, 100%, $F$9) + CHOOSE(CONTROL!$C$27, 0.0021, 0)</f>
        <v>97.539100000000005</v>
      </c>
      <c r="D661" s="14">
        <f>97.537 * CHOOSE(CONTROL!$C$9, $D$9, 100%, $F$9) + CHOOSE(CONTROL!$C$27, 0.0021, 0)</f>
        <v>97.539100000000005</v>
      </c>
      <c r="E661" s="14">
        <f>97.4003 * CHOOSE(CONTROL!$C$9, $D$9, 100%, $F$9) + CHOOSE(CONTROL!$C$27, 0.0021, 0)</f>
        <v>97.4024</v>
      </c>
      <c r="F661" s="14">
        <f>97.4003 * CHOOSE(CONTROL!$C$9, $D$9, 100%, $F$9) + CHOOSE(CONTROL!$C$27, 0.0021, 0)</f>
        <v>97.4024</v>
      </c>
      <c r="G661" s="14">
        <f>97.6717 * CHOOSE(CONTROL!$C$9, $D$9, 100%, $F$9) + CHOOSE(CONTROL!$C$27, 0.0021, 0)</f>
        <v>97.6738</v>
      </c>
      <c r="H661" s="14">
        <f>97.537 * CHOOSE(CONTROL!$C$9, $D$9, 100%, $F$9) + CHOOSE(CONTROL!$C$27, 0.0021, 0)</f>
        <v>97.539100000000005</v>
      </c>
      <c r="I661" s="14">
        <f>97.537 * CHOOSE(CONTROL!$C$9, $D$9, 100%, $F$9) + CHOOSE(CONTROL!$C$27, 0.0021, 0)</f>
        <v>97.539100000000005</v>
      </c>
      <c r="J661" s="14">
        <f>97.537 * CHOOSE(CONTROL!$C$9, $D$9, 100%, $F$9) + CHOOSE(CONTROL!$C$27, 0.0021, 0)</f>
        <v>97.539100000000005</v>
      </c>
      <c r="K661" s="14">
        <f>97.537 * CHOOSE(CONTROL!$C$9, $D$9, 100%, $F$9) + CHOOSE(CONTROL!$C$27, 0.0021, 0)</f>
        <v>97.539100000000005</v>
      </c>
      <c r="L661" s="14"/>
    </row>
    <row r="662" spans="1:12" ht="15.75" x14ac:dyDescent="0.25">
      <c r="A662" s="32">
        <v>61087</v>
      </c>
      <c r="B662" s="14">
        <f>103.012 * CHOOSE(CONTROL!$C$9, $D$9, 100%, $F$9) + CHOOSE(CONTROL!$C$27, 0.0021, 0)</f>
        <v>103.0141</v>
      </c>
      <c r="C662" s="14">
        <f>102.5797 * CHOOSE(CONTROL!$C$9, $D$9, 100%, $F$9) + CHOOSE(CONTROL!$C$27, 0.0021, 0)</f>
        <v>102.5818</v>
      </c>
      <c r="D662" s="14">
        <f>102.5797 * CHOOSE(CONTROL!$C$9, $D$9, 100%, $F$9) + CHOOSE(CONTROL!$C$27, 0.0021, 0)</f>
        <v>102.5818</v>
      </c>
      <c r="E662" s="14">
        <f>102.4431 * CHOOSE(CONTROL!$C$9, $D$9, 100%, $F$9) + CHOOSE(CONTROL!$C$27, 0.0021, 0)</f>
        <v>102.4452</v>
      </c>
      <c r="F662" s="14">
        <f>102.4431 * CHOOSE(CONTROL!$C$9, $D$9, 100%, $F$9) + CHOOSE(CONTROL!$C$27, 0.0021, 0)</f>
        <v>102.4452</v>
      </c>
      <c r="G662" s="14">
        <f>102.7144 * CHOOSE(CONTROL!$C$9, $D$9, 100%, $F$9) + CHOOSE(CONTROL!$C$27, 0.0021, 0)</f>
        <v>102.7165</v>
      </c>
      <c r="H662" s="14">
        <f>102.5797 * CHOOSE(CONTROL!$C$9, $D$9, 100%, $F$9) + CHOOSE(CONTROL!$C$27, 0.0021, 0)</f>
        <v>102.5818</v>
      </c>
      <c r="I662" s="14">
        <f>102.5797 * CHOOSE(CONTROL!$C$9, $D$9, 100%, $F$9) + CHOOSE(CONTROL!$C$27, 0.0021, 0)</f>
        <v>102.5818</v>
      </c>
      <c r="J662" s="14">
        <f>102.5797 * CHOOSE(CONTROL!$C$9, $D$9, 100%, $F$9) + CHOOSE(CONTROL!$C$27, 0.0021, 0)</f>
        <v>102.5818</v>
      </c>
      <c r="K662" s="14">
        <f>102.5797 * CHOOSE(CONTROL!$C$9, $D$9, 100%, $F$9) + CHOOSE(CONTROL!$C$27, 0.0021, 0)</f>
        <v>102.5818</v>
      </c>
      <c r="L662" s="14"/>
    </row>
    <row r="663" spans="1:12" ht="15.75" x14ac:dyDescent="0.25">
      <c r="A663" s="32">
        <v>61117</v>
      </c>
      <c r="B663" s="14">
        <f>109.5512 * CHOOSE(CONTROL!$C$9, $D$9, 100%, $F$9) + CHOOSE(CONTROL!$C$27, 0.0021, 0)</f>
        <v>109.55329999999999</v>
      </c>
      <c r="C663" s="14">
        <f>109.1189 * CHOOSE(CONTROL!$C$9, $D$9, 100%, $F$9) + CHOOSE(CONTROL!$C$27, 0.0021, 0)</f>
        <v>109.121</v>
      </c>
      <c r="D663" s="14">
        <f>109.1189 * CHOOSE(CONTROL!$C$9, $D$9, 100%, $F$9) + CHOOSE(CONTROL!$C$27, 0.0021, 0)</f>
        <v>109.121</v>
      </c>
      <c r="E663" s="14">
        <f>108.9823 * CHOOSE(CONTROL!$C$9, $D$9, 100%, $F$9) + CHOOSE(CONTROL!$C$27, 0.0021, 0)</f>
        <v>108.98439999999999</v>
      </c>
      <c r="F663" s="14">
        <f>108.9823 * CHOOSE(CONTROL!$C$9, $D$9, 100%, $F$9) + CHOOSE(CONTROL!$C$27, 0.0021, 0)</f>
        <v>108.98439999999999</v>
      </c>
      <c r="G663" s="14">
        <f>109.2536 * CHOOSE(CONTROL!$C$9, $D$9, 100%, $F$9) + CHOOSE(CONTROL!$C$27, 0.0021, 0)</f>
        <v>109.2557</v>
      </c>
      <c r="H663" s="14">
        <f>109.1189 * CHOOSE(CONTROL!$C$9, $D$9, 100%, $F$9) + CHOOSE(CONTROL!$C$27, 0.0021, 0)</f>
        <v>109.121</v>
      </c>
      <c r="I663" s="14">
        <f>109.1189 * CHOOSE(CONTROL!$C$9, $D$9, 100%, $F$9) + CHOOSE(CONTROL!$C$27, 0.0021, 0)</f>
        <v>109.121</v>
      </c>
      <c r="J663" s="14">
        <f>109.1189 * CHOOSE(CONTROL!$C$9, $D$9, 100%, $F$9) + CHOOSE(CONTROL!$C$27, 0.0021, 0)</f>
        <v>109.121</v>
      </c>
      <c r="K663" s="14">
        <f>109.1189 * CHOOSE(CONTROL!$C$9, $D$9, 100%, $F$9) + CHOOSE(CONTROL!$C$27, 0.0021, 0)</f>
        <v>109.121</v>
      </c>
      <c r="L663" s="14"/>
    </row>
    <row r="664" spans="1:12" ht="15.75" x14ac:dyDescent="0.25">
      <c r="A664" s="32">
        <v>61148</v>
      </c>
      <c r="B664" s="14">
        <f>113.1506 * CHOOSE(CONTROL!$C$9, $D$9, 100%, $F$9) + CHOOSE(CONTROL!$C$27, 0.0021, 0)</f>
        <v>113.1527</v>
      </c>
      <c r="C664" s="14">
        <f>112.7183 * CHOOSE(CONTROL!$C$9, $D$9, 100%, $F$9) + CHOOSE(CONTROL!$C$27, 0.0021, 0)</f>
        <v>112.7204</v>
      </c>
      <c r="D664" s="14">
        <f>112.7183 * CHOOSE(CONTROL!$C$9, $D$9, 100%, $F$9) + CHOOSE(CONTROL!$C$27, 0.0021, 0)</f>
        <v>112.7204</v>
      </c>
      <c r="E664" s="14">
        <f>112.5817 * CHOOSE(CONTROL!$C$9, $D$9, 100%, $F$9) + CHOOSE(CONTROL!$C$27, 0.0021, 0)</f>
        <v>112.5838</v>
      </c>
      <c r="F664" s="14">
        <f>112.5817 * CHOOSE(CONTROL!$C$9, $D$9, 100%, $F$9) + CHOOSE(CONTROL!$C$27, 0.0021, 0)</f>
        <v>112.5838</v>
      </c>
      <c r="G664" s="14">
        <f>112.853 * CHOOSE(CONTROL!$C$9, $D$9, 100%, $F$9) + CHOOSE(CONTROL!$C$27, 0.0021, 0)</f>
        <v>112.85509999999999</v>
      </c>
      <c r="H664" s="14">
        <f>112.7183 * CHOOSE(CONTROL!$C$9, $D$9, 100%, $F$9) + CHOOSE(CONTROL!$C$27, 0.0021, 0)</f>
        <v>112.7204</v>
      </c>
      <c r="I664" s="14">
        <f>112.7183 * CHOOSE(CONTROL!$C$9, $D$9, 100%, $F$9) + CHOOSE(CONTROL!$C$27, 0.0021, 0)</f>
        <v>112.7204</v>
      </c>
      <c r="J664" s="14">
        <f>112.7183 * CHOOSE(CONTROL!$C$9, $D$9, 100%, $F$9) + CHOOSE(CONTROL!$C$27, 0.0021, 0)</f>
        <v>112.7204</v>
      </c>
      <c r="K664" s="14">
        <f>112.7183 * CHOOSE(CONTROL!$C$9, $D$9, 100%, $F$9) + CHOOSE(CONTROL!$C$27, 0.0021, 0)</f>
        <v>112.7204</v>
      </c>
      <c r="L664" s="14"/>
    </row>
    <row r="665" spans="1:12" ht="15.75" x14ac:dyDescent="0.25">
      <c r="A665" s="32">
        <v>61178</v>
      </c>
      <c r="B665" s="14">
        <f>114.7479 * CHOOSE(CONTROL!$C$9, $D$9, 100%, $F$9) + CHOOSE(CONTROL!$C$27, 0.0021, 0)</f>
        <v>114.75</v>
      </c>
      <c r="C665" s="14">
        <f>114.3157 * CHOOSE(CONTROL!$C$9, $D$9, 100%, $F$9) + CHOOSE(CONTROL!$C$27, 0.0021, 0)</f>
        <v>114.31780000000001</v>
      </c>
      <c r="D665" s="14">
        <f>114.3157 * CHOOSE(CONTROL!$C$9, $D$9, 100%, $F$9) + CHOOSE(CONTROL!$C$27, 0.0021, 0)</f>
        <v>114.31780000000001</v>
      </c>
      <c r="E665" s="14">
        <f>114.179 * CHOOSE(CONTROL!$C$9, $D$9, 100%, $F$9) + CHOOSE(CONTROL!$C$27, 0.0021, 0)</f>
        <v>114.1811</v>
      </c>
      <c r="F665" s="14">
        <f>114.179 * CHOOSE(CONTROL!$C$9, $D$9, 100%, $F$9) + CHOOSE(CONTROL!$C$27, 0.0021, 0)</f>
        <v>114.1811</v>
      </c>
      <c r="G665" s="14">
        <f>114.4504 * CHOOSE(CONTROL!$C$9, $D$9, 100%, $F$9) + CHOOSE(CONTROL!$C$27, 0.0021, 0)</f>
        <v>114.4525</v>
      </c>
      <c r="H665" s="14">
        <f>114.3157 * CHOOSE(CONTROL!$C$9, $D$9, 100%, $F$9) + CHOOSE(CONTROL!$C$27, 0.0021, 0)</f>
        <v>114.31780000000001</v>
      </c>
      <c r="I665" s="14">
        <f>114.3157 * CHOOSE(CONTROL!$C$9, $D$9, 100%, $F$9) + CHOOSE(CONTROL!$C$27, 0.0021, 0)</f>
        <v>114.31780000000001</v>
      </c>
      <c r="J665" s="14">
        <f>114.3157 * CHOOSE(CONTROL!$C$9, $D$9, 100%, $F$9) + CHOOSE(CONTROL!$C$27, 0.0021, 0)</f>
        <v>114.31780000000001</v>
      </c>
      <c r="K665" s="14">
        <f>114.3157 * CHOOSE(CONTROL!$C$9, $D$9, 100%, $F$9) + CHOOSE(CONTROL!$C$27, 0.0021, 0)</f>
        <v>114.31780000000001</v>
      </c>
      <c r="L665" s="14"/>
    </row>
    <row r="666" spans="1:12" ht="15.75" x14ac:dyDescent="0.25">
      <c r="A666" s="32">
        <v>61209</v>
      </c>
      <c r="B666" s="14">
        <f>114.222 * CHOOSE(CONTROL!$C$9, $D$9, 100%, $F$9) + CHOOSE(CONTROL!$C$27, 0.0021, 0)</f>
        <v>114.22409999999999</v>
      </c>
      <c r="C666" s="14">
        <f>113.7897 * CHOOSE(CONTROL!$C$9, $D$9, 100%, $F$9) + CHOOSE(CONTROL!$C$27, 0.0021, 0)</f>
        <v>113.79179999999999</v>
      </c>
      <c r="D666" s="14">
        <f>113.7897 * CHOOSE(CONTROL!$C$9, $D$9, 100%, $F$9) + CHOOSE(CONTROL!$C$27, 0.0021, 0)</f>
        <v>113.79179999999999</v>
      </c>
      <c r="E666" s="14">
        <f>113.6531 * CHOOSE(CONTROL!$C$9, $D$9, 100%, $F$9) + CHOOSE(CONTROL!$C$27, 0.0021, 0)</f>
        <v>113.65519999999999</v>
      </c>
      <c r="F666" s="14">
        <f>113.6531 * CHOOSE(CONTROL!$C$9, $D$9, 100%, $F$9) + CHOOSE(CONTROL!$C$27, 0.0021, 0)</f>
        <v>113.65519999999999</v>
      </c>
      <c r="G666" s="14">
        <f>113.9245 * CHOOSE(CONTROL!$C$9, $D$9, 100%, $F$9) + CHOOSE(CONTROL!$C$27, 0.0021, 0)</f>
        <v>113.92659999999999</v>
      </c>
      <c r="H666" s="14">
        <f>113.7897 * CHOOSE(CONTROL!$C$9, $D$9, 100%, $F$9) + CHOOSE(CONTROL!$C$27, 0.0021, 0)</f>
        <v>113.79179999999999</v>
      </c>
      <c r="I666" s="14">
        <f>113.7897 * CHOOSE(CONTROL!$C$9, $D$9, 100%, $F$9) + CHOOSE(CONTROL!$C$27, 0.0021, 0)</f>
        <v>113.79179999999999</v>
      </c>
      <c r="J666" s="14">
        <f>113.7897 * CHOOSE(CONTROL!$C$9, $D$9, 100%, $F$9) + CHOOSE(CONTROL!$C$27, 0.0021, 0)</f>
        <v>113.79179999999999</v>
      </c>
      <c r="K666" s="14">
        <f>113.7897 * CHOOSE(CONTROL!$C$9, $D$9, 100%, $F$9) + CHOOSE(CONTROL!$C$27, 0.0021, 0)</f>
        <v>113.79179999999999</v>
      </c>
      <c r="L666" s="14"/>
    </row>
    <row r="667" spans="1:12" ht="15.75" x14ac:dyDescent="0.25">
      <c r="A667" s="32">
        <v>61240</v>
      </c>
      <c r="B667" s="14">
        <f>111.6163 * CHOOSE(CONTROL!$C$9, $D$9, 100%, $F$9) + CHOOSE(CONTROL!$C$27, 0.0021, 0)</f>
        <v>111.61839999999999</v>
      </c>
      <c r="C667" s="14">
        <f>111.1841 * CHOOSE(CONTROL!$C$9, $D$9, 100%, $F$9) + CHOOSE(CONTROL!$C$27, 0.0021, 0)</f>
        <v>111.1862</v>
      </c>
      <c r="D667" s="14">
        <f>111.1841 * CHOOSE(CONTROL!$C$9, $D$9, 100%, $F$9) + CHOOSE(CONTROL!$C$27, 0.0021, 0)</f>
        <v>111.1862</v>
      </c>
      <c r="E667" s="14">
        <f>111.0474 * CHOOSE(CONTROL!$C$9, $D$9, 100%, $F$9) + CHOOSE(CONTROL!$C$27, 0.0021, 0)</f>
        <v>111.04949999999999</v>
      </c>
      <c r="F667" s="14">
        <f>111.0474 * CHOOSE(CONTROL!$C$9, $D$9, 100%, $F$9) + CHOOSE(CONTROL!$C$27, 0.0021, 0)</f>
        <v>111.04949999999999</v>
      </c>
      <c r="G667" s="14">
        <f>111.3188 * CHOOSE(CONTROL!$C$9, $D$9, 100%, $F$9) + CHOOSE(CONTROL!$C$27, 0.0021, 0)</f>
        <v>111.32089999999999</v>
      </c>
      <c r="H667" s="14">
        <f>111.1841 * CHOOSE(CONTROL!$C$9, $D$9, 100%, $F$9) + CHOOSE(CONTROL!$C$27, 0.0021, 0)</f>
        <v>111.1862</v>
      </c>
      <c r="I667" s="14">
        <f>111.1841 * CHOOSE(CONTROL!$C$9, $D$9, 100%, $F$9) + CHOOSE(CONTROL!$C$27, 0.0021, 0)</f>
        <v>111.1862</v>
      </c>
      <c r="J667" s="14">
        <f>111.1841 * CHOOSE(CONTROL!$C$9, $D$9, 100%, $F$9) + CHOOSE(CONTROL!$C$27, 0.0021, 0)</f>
        <v>111.1862</v>
      </c>
      <c r="K667" s="14">
        <f>111.1841 * CHOOSE(CONTROL!$C$9, $D$9, 100%, $F$9) + CHOOSE(CONTROL!$C$27, 0.0021, 0)</f>
        <v>111.1862</v>
      </c>
      <c r="L667" s="14"/>
    </row>
    <row r="668" spans="1:12" ht="15.75" x14ac:dyDescent="0.25">
      <c r="A668" s="32">
        <v>61270</v>
      </c>
      <c r="B668" s="14">
        <f>107.9826 * CHOOSE(CONTROL!$C$9, $D$9, 100%, $F$9) + CHOOSE(CONTROL!$C$27, 0.0021, 0)</f>
        <v>107.9847</v>
      </c>
      <c r="C668" s="14">
        <f>107.5503 * CHOOSE(CONTROL!$C$9, $D$9, 100%, $F$9) + CHOOSE(CONTROL!$C$27, 0.0021, 0)</f>
        <v>107.55239999999999</v>
      </c>
      <c r="D668" s="14">
        <f>107.5503 * CHOOSE(CONTROL!$C$9, $D$9, 100%, $F$9) + CHOOSE(CONTROL!$C$27, 0.0021, 0)</f>
        <v>107.55239999999999</v>
      </c>
      <c r="E668" s="14">
        <f>107.4137 * CHOOSE(CONTROL!$C$9, $D$9, 100%, $F$9) + CHOOSE(CONTROL!$C$27, 0.0021, 0)</f>
        <v>107.4158</v>
      </c>
      <c r="F668" s="14">
        <f>107.4137 * CHOOSE(CONTROL!$C$9, $D$9, 100%, $F$9) + CHOOSE(CONTROL!$C$27, 0.0021, 0)</f>
        <v>107.4158</v>
      </c>
      <c r="G668" s="14">
        <f>107.685 * CHOOSE(CONTROL!$C$9, $D$9, 100%, $F$9) + CHOOSE(CONTROL!$C$27, 0.0021, 0)</f>
        <v>107.6871</v>
      </c>
      <c r="H668" s="14">
        <f>107.5503 * CHOOSE(CONTROL!$C$9, $D$9, 100%, $F$9) + CHOOSE(CONTROL!$C$27, 0.0021, 0)</f>
        <v>107.55239999999999</v>
      </c>
      <c r="I668" s="14">
        <f>107.5503 * CHOOSE(CONTROL!$C$9, $D$9, 100%, $F$9) + CHOOSE(CONTROL!$C$27, 0.0021, 0)</f>
        <v>107.55239999999999</v>
      </c>
      <c r="J668" s="14">
        <f>107.5503 * CHOOSE(CONTROL!$C$9, $D$9, 100%, $F$9) + CHOOSE(CONTROL!$C$27, 0.0021, 0)</f>
        <v>107.55239999999999</v>
      </c>
      <c r="K668" s="14">
        <f>107.5503 * CHOOSE(CONTROL!$C$9, $D$9, 100%, $F$9) + CHOOSE(CONTROL!$C$27, 0.0021, 0)</f>
        <v>107.55239999999999</v>
      </c>
      <c r="L668" s="14"/>
    </row>
    <row r="669" spans="1:12" ht="15.75" x14ac:dyDescent="0.25">
      <c r="A669" s="32">
        <v>61301</v>
      </c>
      <c r="B669" s="14">
        <f>104.3277 * CHOOSE(CONTROL!$C$9, $D$9, 100%, $F$9) + CHOOSE(CONTROL!$C$27, 0.0021, 0)</f>
        <v>104.32979999999999</v>
      </c>
      <c r="C669" s="14">
        <f>103.8954 * CHOOSE(CONTROL!$C$9, $D$9, 100%, $F$9) + CHOOSE(CONTROL!$C$27, 0.0021, 0)</f>
        <v>103.89749999999999</v>
      </c>
      <c r="D669" s="14">
        <f>103.8954 * CHOOSE(CONTROL!$C$9, $D$9, 100%, $F$9) + CHOOSE(CONTROL!$C$27, 0.0021, 0)</f>
        <v>103.89749999999999</v>
      </c>
      <c r="E669" s="14">
        <f>103.7588 * CHOOSE(CONTROL!$C$9, $D$9, 100%, $F$9) + CHOOSE(CONTROL!$C$27, 0.0021, 0)</f>
        <v>103.76089999999999</v>
      </c>
      <c r="F669" s="14">
        <f>103.7588 * CHOOSE(CONTROL!$C$9, $D$9, 100%, $F$9) + CHOOSE(CONTROL!$C$27, 0.0021, 0)</f>
        <v>103.76089999999999</v>
      </c>
      <c r="G669" s="14">
        <f>104.0302 * CHOOSE(CONTROL!$C$9, $D$9, 100%, $F$9) + CHOOSE(CONTROL!$C$27, 0.0021, 0)</f>
        <v>104.03229999999999</v>
      </c>
      <c r="H669" s="14">
        <f>103.8954 * CHOOSE(CONTROL!$C$9, $D$9, 100%, $F$9) + CHOOSE(CONTROL!$C$27, 0.0021, 0)</f>
        <v>103.89749999999999</v>
      </c>
      <c r="I669" s="14">
        <f>103.8954 * CHOOSE(CONTROL!$C$9, $D$9, 100%, $F$9) + CHOOSE(CONTROL!$C$27, 0.0021, 0)</f>
        <v>103.89749999999999</v>
      </c>
      <c r="J669" s="14">
        <f>103.8954 * CHOOSE(CONTROL!$C$9, $D$9, 100%, $F$9) + CHOOSE(CONTROL!$C$27, 0.0021, 0)</f>
        <v>103.89749999999999</v>
      </c>
      <c r="K669" s="14">
        <f>103.8954 * CHOOSE(CONTROL!$C$9, $D$9, 100%, $F$9) + CHOOSE(CONTROL!$C$27, 0.0021, 0)</f>
        <v>103.89749999999999</v>
      </c>
      <c r="L669" s="14"/>
    </row>
    <row r="670" spans="1:12" ht="15.75" x14ac:dyDescent="0.25">
      <c r="A670" s="32">
        <v>61331</v>
      </c>
      <c r="B670" s="14">
        <f>103.6007 * CHOOSE(CONTROL!$C$9, $D$9, 100%, $F$9) + CHOOSE(CONTROL!$C$27, 0.0021, 0)</f>
        <v>103.6028</v>
      </c>
      <c r="C670" s="14">
        <f>103.1684 * CHOOSE(CONTROL!$C$9, $D$9, 100%, $F$9) + CHOOSE(CONTROL!$C$27, 0.0021, 0)</f>
        <v>103.1705</v>
      </c>
      <c r="D670" s="14">
        <f>103.1684 * CHOOSE(CONTROL!$C$9, $D$9, 100%, $F$9) + CHOOSE(CONTROL!$C$27, 0.0021, 0)</f>
        <v>103.1705</v>
      </c>
      <c r="E670" s="14">
        <f>103.0318 * CHOOSE(CONTROL!$C$9, $D$9, 100%, $F$9) + CHOOSE(CONTROL!$C$27, 0.0021, 0)</f>
        <v>103.0339</v>
      </c>
      <c r="F670" s="14">
        <f>103.0318 * CHOOSE(CONTROL!$C$9, $D$9, 100%, $F$9) + CHOOSE(CONTROL!$C$27, 0.0021, 0)</f>
        <v>103.0339</v>
      </c>
      <c r="G670" s="14">
        <f>103.3031 * CHOOSE(CONTROL!$C$9, $D$9, 100%, $F$9) + CHOOSE(CONTROL!$C$27, 0.0021, 0)</f>
        <v>103.3052</v>
      </c>
      <c r="H670" s="14">
        <f>103.1684 * CHOOSE(CONTROL!$C$9, $D$9, 100%, $F$9) + CHOOSE(CONTROL!$C$27, 0.0021, 0)</f>
        <v>103.1705</v>
      </c>
      <c r="I670" s="14">
        <f>103.1684 * CHOOSE(CONTROL!$C$9, $D$9, 100%, $F$9) + CHOOSE(CONTROL!$C$27, 0.0021, 0)</f>
        <v>103.1705</v>
      </c>
      <c r="J670" s="14">
        <f>103.1684 * CHOOSE(CONTROL!$C$9, $D$9, 100%, $F$9) + CHOOSE(CONTROL!$C$27, 0.0021, 0)</f>
        <v>103.1705</v>
      </c>
      <c r="K670" s="14">
        <f>103.1684 * CHOOSE(CONTROL!$C$9, $D$9, 100%, $F$9) + CHOOSE(CONTROL!$C$27, 0.0021, 0)</f>
        <v>103.1705</v>
      </c>
      <c r="L670" s="14"/>
    </row>
    <row r="671" spans="1:12" ht="15.75" x14ac:dyDescent="0.25">
      <c r="A671" s="32">
        <v>61362</v>
      </c>
      <c r="B671" s="14">
        <f>100.5943 * CHOOSE(CONTROL!$C$9, $D$9, 100%, $F$9) + CHOOSE(CONTROL!$C$27, 0.0021, 0)</f>
        <v>100.5964</v>
      </c>
      <c r="C671" s="14">
        <f>100.1621 * CHOOSE(CONTROL!$C$9, $D$9, 100%, $F$9) + CHOOSE(CONTROL!$C$27, 0.0021, 0)</f>
        <v>100.16419999999999</v>
      </c>
      <c r="D671" s="14">
        <f>100.1621 * CHOOSE(CONTROL!$C$9, $D$9, 100%, $F$9) + CHOOSE(CONTROL!$C$27, 0.0021, 0)</f>
        <v>100.16419999999999</v>
      </c>
      <c r="E671" s="14">
        <f>100.0254 * CHOOSE(CONTROL!$C$9, $D$9, 100%, $F$9) + CHOOSE(CONTROL!$C$27, 0.0021, 0)</f>
        <v>100.0275</v>
      </c>
      <c r="F671" s="14">
        <f>100.0254 * CHOOSE(CONTROL!$C$9, $D$9, 100%, $F$9) + CHOOSE(CONTROL!$C$27, 0.0021, 0)</f>
        <v>100.0275</v>
      </c>
      <c r="G671" s="14">
        <f>100.2968 * CHOOSE(CONTROL!$C$9, $D$9, 100%, $F$9) + CHOOSE(CONTROL!$C$27, 0.0021, 0)</f>
        <v>100.2989</v>
      </c>
      <c r="H671" s="14">
        <f>100.1621 * CHOOSE(CONTROL!$C$9, $D$9, 100%, $F$9) + CHOOSE(CONTROL!$C$27, 0.0021, 0)</f>
        <v>100.16419999999999</v>
      </c>
      <c r="I671" s="14">
        <f>100.1621 * CHOOSE(CONTROL!$C$9, $D$9, 100%, $F$9) + CHOOSE(CONTROL!$C$27, 0.0021, 0)</f>
        <v>100.16419999999999</v>
      </c>
      <c r="J671" s="14">
        <f>100.1621 * CHOOSE(CONTROL!$C$9, $D$9, 100%, $F$9) + CHOOSE(CONTROL!$C$27, 0.0021, 0)</f>
        <v>100.16419999999999</v>
      </c>
      <c r="K671" s="14">
        <f>100.1621 * CHOOSE(CONTROL!$C$9, $D$9, 100%, $F$9) + CHOOSE(CONTROL!$C$27, 0.0021, 0)</f>
        <v>100.16419999999999</v>
      </c>
      <c r="L671" s="14"/>
    </row>
    <row r="672" spans="1:12" ht="15.75" x14ac:dyDescent="0.25">
      <c r="A672" s="32">
        <v>61393</v>
      </c>
      <c r="B672" s="14">
        <f>100.009 * CHOOSE(CONTROL!$C$9, $D$9, 100%, $F$9) + CHOOSE(CONTROL!$C$27, 0.0021, 0)</f>
        <v>100.0111</v>
      </c>
      <c r="C672" s="14">
        <f>99.5768 * CHOOSE(CONTROL!$C$9, $D$9, 100%, $F$9) + CHOOSE(CONTROL!$C$27, 0.0021, 0)</f>
        <v>99.578900000000004</v>
      </c>
      <c r="D672" s="14">
        <f>99.5768 * CHOOSE(CONTROL!$C$9, $D$9, 100%, $F$9) + CHOOSE(CONTROL!$C$27, 0.0021, 0)</f>
        <v>99.578900000000004</v>
      </c>
      <c r="E672" s="14">
        <f>99.4401 * CHOOSE(CONTROL!$C$9, $D$9, 100%, $F$9) + CHOOSE(CONTROL!$C$27, 0.0021, 0)</f>
        <v>99.4422</v>
      </c>
      <c r="F672" s="14">
        <f>99.4401 * CHOOSE(CONTROL!$C$9, $D$9, 100%, $F$9) + CHOOSE(CONTROL!$C$27, 0.0021, 0)</f>
        <v>99.4422</v>
      </c>
      <c r="G672" s="14">
        <f>99.7115 * CHOOSE(CONTROL!$C$9, $D$9, 100%, $F$9) + CHOOSE(CONTROL!$C$27, 0.0021, 0)</f>
        <v>99.7136</v>
      </c>
      <c r="H672" s="14">
        <f>99.5768 * CHOOSE(CONTROL!$C$9, $D$9, 100%, $F$9) + CHOOSE(CONTROL!$C$27, 0.0021, 0)</f>
        <v>99.578900000000004</v>
      </c>
      <c r="I672" s="14">
        <f>99.5768 * CHOOSE(CONTROL!$C$9, $D$9, 100%, $F$9) + CHOOSE(CONTROL!$C$27, 0.0021, 0)</f>
        <v>99.578900000000004</v>
      </c>
      <c r="J672" s="14">
        <f>99.5768 * CHOOSE(CONTROL!$C$9, $D$9, 100%, $F$9) + CHOOSE(CONTROL!$C$27, 0.0021, 0)</f>
        <v>99.578900000000004</v>
      </c>
      <c r="K672" s="14">
        <f>99.5768 * CHOOSE(CONTROL!$C$9, $D$9, 100%, $F$9) + CHOOSE(CONTROL!$C$27, 0.0021, 0)</f>
        <v>99.578900000000004</v>
      </c>
      <c r="L672" s="14"/>
    </row>
    <row r="673" spans="1:12" ht="15.75" x14ac:dyDescent="0.25">
      <c r="A673" s="32">
        <v>61422</v>
      </c>
      <c r="B673" s="14">
        <f>99.7374 * CHOOSE(CONTROL!$C$9, $D$9, 100%, $F$9) + CHOOSE(CONTROL!$C$27, 0.0021, 0)</f>
        <v>99.739499999999992</v>
      </c>
      <c r="C673" s="14">
        <f>99.3052 * CHOOSE(CONTROL!$C$9, $D$9, 100%, $F$9) + CHOOSE(CONTROL!$C$27, 0.0021, 0)</f>
        <v>99.307299999999998</v>
      </c>
      <c r="D673" s="14">
        <f>99.3052 * CHOOSE(CONTROL!$C$9, $D$9, 100%, $F$9) + CHOOSE(CONTROL!$C$27, 0.0021, 0)</f>
        <v>99.307299999999998</v>
      </c>
      <c r="E673" s="14">
        <f>99.1685 * CHOOSE(CONTROL!$C$9, $D$9, 100%, $F$9) + CHOOSE(CONTROL!$C$27, 0.0021, 0)</f>
        <v>99.170599999999993</v>
      </c>
      <c r="F673" s="14">
        <f>99.1685 * CHOOSE(CONTROL!$C$9, $D$9, 100%, $F$9) + CHOOSE(CONTROL!$C$27, 0.0021, 0)</f>
        <v>99.170599999999993</v>
      </c>
      <c r="G673" s="14">
        <f>99.4399 * CHOOSE(CONTROL!$C$9, $D$9, 100%, $F$9) + CHOOSE(CONTROL!$C$27, 0.0021, 0)</f>
        <v>99.441999999999993</v>
      </c>
      <c r="H673" s="14">
        <f>99.3052 * CHOOSE(CONTROL!$C$9, $D$9, 100%, $F$9) + CHOOSE(CONTROL!$C$27, 0.0021, 0)</f>
        <v>99.307299999999998</v>
      </c>
      <c r="I673" s="14">
        <f>99.3052 * CHOOSE(CONTROL!$C$9, $D$9, 100%, $F$9) + CHOOSE(CONTROL!$C$27, 0.0021, 0)</f>
        <v>99.307299999999998</v>
      </c>
      <c r="J673" s="14">
        <f>99.3052 * CHOOSE(CONTROL!$C$9, $D$9, 100%, $F$9) + CHOOSE(CONTROL!$C$27, 0.0021, 0)</f>
        <v>99.307299999999998</v>
      </c>
      <c r="K673" s="14">
        <f>99.3052 * CHOOSE(CONTROL!$C$9, $D$9, 100%, $F$9) + CHOOSE(CONTROL!$C$27, 0.0021, 0)</f>
        <v>99.307299999999998</v>
      </c>
      <c r="L673" s="14"/>
    </row>
    <row r="674" spans="1:12" ht="15.75" x14ac:dyDescent="0.25">
      <c r="A674" s="32">
        <v>61453</v>
      </c>
      <c r="B674" s="14">
        <f>104.8733 * CHOOSE(CONTROL!$C$9, $D$9, 100%, $F$9) + CHOOSE(CONTROL!$C$27, 0.0021, 0)</f>
        <v>104.8754</v>
      </c>
      <c r="C674" s="14">
        <f>104.4411 * CHOOSE(CONTROL!$C$9, $D$9, 100%, $F$9) + CHOOSE(CONTROL!$C$27, 0.0021, 0)</f>
        <v>104.4432</v>
      </c>
      <c r="D674" s="14">
        <f>104.4411 * CHOOSE(CONTROL!$C$9, $D$9, 100%, $F$9) + CHOOSE(CONTROL!$C$27, 0.0021, 0)</f>
        <v>104.4432</v>
      </c>
      <c r="E674" s="14">
        <f>104.3044 * CHOOSE(CONTROL!$C$9, $D$9, 100%, $F$9) + CHOOSE(CONTROL!$C$27, 0.0021, 0)</f>
        <v>104.3065</v>
      </c>
      <c r="F674" s="14">
        <f>104.3044 * CHOOSE(CONTROL!$C$9, $D$9, 100%, $F$9) + CHOOSE(CONTROL!$C$27, 0.0021, 0)</f>
        <v>104.3065</v>
      </c>
      <c r="G674" s="14">
        <f>104.5758 * CHOOSE(CONTROL!$C$9, $D$9, 100%, $F$9) + CHOOSE(CONTROL!$C$27, 0.0021, 0)</f>
        <v>104.5779</v>
      </c>
      <c r="H674" s="14">
        <f>104.4411 * CHOOSE(CONTROL!$C$9, $D$9, 100%, $F$9) + CHOOSE(CONTROL!$C$27, 0.0021, 0)</f>
        <v>104.4432</v>
      </c>
      <c r="I674" s="14">
        <f>104.4411 * CHOOSE(CONTROL!$C$9, $D$9, 100%, $F$9) + CHOOSE(CONTROL!$C$27, 0.0021, 0)</f>
        <v>104.4432</v>
      </c>
      <c r="J674" s="14">
        <f>104.4411 * CHOOSE(CONTROL!$C$9, $D$9, 100%, $F$9) + CHOOSE(CONTROL!$C$27, 0.0021, 0)</f>
        <v>104.4432</v>
      </c>
      <c r="K674" s="14">
        <f>104.4411 * CHOOSE(CONTROL!$C$9, $D$9, 100%, $F$9) + CHOOSE(CONTROL!$C$27, 0.0021, 0)</f>
        <v>104.4432</v>
      </c>
      <c r="L674" s="14"/>
    </row>
    <row r="675" spans="1:12" ht="15.75" x14ac:dyDescent="0.25">
      <c r="A675" s="32">
        <v>61483</v>
      </c>
      <c r="B675" s="14">
        <f>111.5334 * CHOOSE(CONTROL!$C$9, $D$9, 100%, $F$9) + CHOOSE(CONTROL!$C$27, 0.0021, 0)</f>
        <v>111.5355</v>
      </c>
      <c r="C675" s="14">
        <f>111.1011 * CHOOSE(CONTROL!$C$9, $D$9, 100%, $F$9) + CHOOSE(CONTROL!$C$27, 0.0021, 0)</f>
        <v>111.1032</v>
      </c>
      <c r="D675" s="14">
        <f>111.1011 * CHOOSE(CONTROL!$C$9, $D$9, 100%, $F$9) + CHOOSE(CONTROL!$C$27, 0.0021, 0)</f>
        <v>111.1032</v>
      </c>
      <c r="E675" s="14">
        <f>110.9645 * CHOOSE(CONTROL!$C$9, $D$9, 100%, $F$9) + CHOOSE(CONTROL!$C$27, 0.0021, 0)</f>
        <v>110.9666</v>
      </c>
      <c r="F675" s="14">
        <f>110.9645 * CHOOSE(CONTROL!$C$9, $D$9, 100%, $F$9) + CHOOSE(CONTROL!$C$27, 0.0021, 0)</f>
        <v>110.9666</v>
      </c>
      <c r="G675" s="14">
        <f>111.2359 * CHOOSE(CONTROL!$C$9, $D$9, 100%, $F$9) + CHOOSE(CONTROL!$C$27, 0.0021, 0)</f>
        <v>111.238</v>
      </c>
      <c r="H675" s="14">
        <f>111.1011 * CHOOSE(CONTROL!$C$9, $D$9, 100%, $F$9) + CHOOSE(CONTROL!$C$27, 0.0021, 0)</f>
        <v>111.1032</v>
      </c>
      <c r="I675" s="14">
        <f>111.1011 * CHOOSE(CONTROL!$C$9, $D$9, 100%, $F$9) + CHOOSE(CONTROL!$C$27, 0.0021, 0)</f>
        <v>111.1032</v>
      </c>
      <c r="J675" s="14">
        <f>111.1011 * CHOOSE(CONTROL!$C$9, $D$9, 100%, $F$9) + CHOOSE(CONTROL!$C$27, 0.0021, 0)</f>
        <v>111.1032</v>
      </c>
      <c r="K675" s="14">
        <f>111.1011 * CHOOSE(CONTROL!$C$9, $D$9, 100%, $F$9) + CHOOSE(CONTROL!$C$27, 0.0021, 0)</f>
        <v>111.1032</v>
      </c>
      <c r="L675" s="14"/>
    </row>
    <row r="676" spans="1:12" ht="15.75" x14ac:dyDescent="0.25">
      <c r="A676" s="32">
        <v>61514</v>
      </c>
      <c r="B676" s="14">
        <f>115.1993 * CHOOSE(CONTROL!$C$9, $D$9, 100%, $F$9) + CHOOSE(CONTROL!$C$27, 0.0021, 0)</f>
        <v>115.20139999999999</v>
      </c>
      <c r="C676" s="14">
        <f>114.7671 * CHOOSE(CONTROL!$C$9, $D$9, 100%, $F$9) + CHOOSE(CONTROL!$C$27, 0.0021, 0)</f>
        <v>114.7692</v>
      </c>
      <c r="D676" s="14">
        <f>114.7671 * CHOOSE(CONTROL!$C$9, $D$9, 100%, $F$9) + CHOOSE(CONTROL!$C$27, 0.0021, 0)</f>
        <v>114.7692</v>
      </c>
      <c r="E676" s="14">
        <f>114.6304 * CHOOSE(CONTROL!$C$9, $D$9, 100%, $F$9) + CHOOSE(CONTROL!$C$27, 0.0021, 0)</f>
        <v>114.63249999999999</v>
      </c>
      <c r="F676" s="14">
        <f>114.6304 * CHOOSE(CONTROL!$C$9, $D$9, 100%, $F$9) + CHOOSE(CONTROL!$C$27, 0.0021, 0)</f>
        <v>114.63249999999999</v>
      </c>
      <c r="G676" s="14">
        <f>114.9018 * CHOOSE(CONTROL!$C$9, $D$9, 100%, $F$9) + CHOOSE(CONTROL!$C$27, 0.0021, 0)</f>
        <v>114.90389999999999</v>
      </c>
      <c r="H676" s="14">
        <f>114.7671 * CHOOSE(CONTROL!$C$9, $D$9, 100%, $F$9) + CHOOSE(CONTROL!$C$27, 0.0021, 0)</f>
        <v>114.7692</v>
      </c>
      <c r="I676" s="14">
        <f>114.7671 * CHOOSE(CONTROL!$C$9, $D$9, 100%, $F$9) + CHOOSE(CONTROL!$C$27, 0.0021, 0)</f>
        <v>114.7692</v>
      </c>
      <c r="J676" s="14">
        <f>114.7671 * CHOOSE(CONTROL!$C$9, $D$9, 100%, $F$9) + CHOOSE(CONTROL!$C$27, 0.0021, 0)</f>
        <v>114.7692</v>
      </c>
      <c r="K676" s="14">
        <f>114.7671 * CHOOSE(CONTROL!$C$9, $D$9, 100%, $F$9) + CHOOSE(CONTROL!$C$27, 0.0021, 0)</f>
        <v>114.7692</v>
      </c>
      <c r="L676" s="14"/>
    </row>
    <row r="677" spans="1:12" ht="15.75" x14ac:dyDescent="0.25">
      <c r="A677" s="32">
        <v>61544</v>
      </c>
      <c r="B677" s="14">
        <f>116.8262 * CHOOSE(CONTROL!$C$9, $D$9, 100%, $F$9) + CHOOSE(CONTROL!$C$27, 0.0021, 0)</f>
        <v>116.8283</v>
      </c>
      <c r="C677" s="14">
        <f>116.3939 * CHOOSE(CONTROL!$C$9, $D$9, 100%, $F$9) + CHOOSE(CONTROL!$C$27, 0.0021, 0)</f>
        <v>116.396</v>
      </c>
      <c r="D677" s="14">
        <f>116.3939 * CHOOSE(CONTROL!$C$9, $D$9, 100%, $F$9) + CHOOSE(CONTROL!$C$27, 0.0021, 0)</f>
        <v>116.396</v>
      </c>
      <c r="E677" s="14">
        <f>116.2573 * CHOOSE(CONTROL!$C$9, $D$9, 100%, $F$9) + CHOOSE(CONTROL!$C$27, 0.0021, 0)</f>
        <v>116.2594</v>
      </c>
      <c r="F677" s="14">
        <f>116.2573 * CHOOSE(CONTROL!$C$9, $D$9, 100%, $F$9) + CHOOSE(CONTROL!$C$27, 0.0021, 0)</f>
        <v>116.2594</v>
      </c>
      <c r="G677" s="14">
        <f>116.5286 * CHOOSE(CONTROL!$C$9, $D$9, 100%, $F$9) + CHOOSE(CONTROL!$C$27, 0.0021, 0)</f>
        <v>116.5307</v>
      </c>
      <c r="H677" s="14">
        <f>116.3939 * CHOOSE(CONTROL!$C$9, $D$9, 100%, $F$9) + CHOOSE(CONTROL!$C$27, 0.0021, 0)</f>
        <v>116.396</v>
      </c>
      <c r="I677" s="14">
        <f>116.3939 * CHOOSE(CONTROL!$C$9, $D$9, 100%, $F$9) + CHOOSE(CONTROL!$C$27, 0.0021, 0)</f>
        <v>116.396</v>
      </c>
      <c r="J677" s="14">
        <f>116.3939 * CHOOSE(CONTROL!$C$9, $D$9, 100%, $F$9) + CHOOSE(CONTROL!$C$27, 0.0021, 0)</f>
        <v>116.396</v>
      </c>
      <c r="K677" s="14">
        <f>116.3939 * CHOOSE(CONTROL!$C$9, $D$9, 100%, $F$9) + CHOOSE(CONTROL!$C$27, 0.0021, 0)</f>
        <v>116.396</v>
      </c>
      <c r="L677" s="14"/>
    </row>
    <row r="678" spans="1:12" ht="15.75" x14ac:dyDescent="0.25">
      <c r="A678" s="32">
        <v>61575</v>
      </c>
      <c r="B678" s="14">
        <f>116.2905 * CHOOSE(CONTROL!$C$9, $D$9, 100%, $F$9) + CHOOSE(CONTROL!$C$27, 0.0021, 0)</f>
        <v>116.29259999999999</v>
      </c>
      <c r="C678" s="14">
        <f>115.8583 * CHOOSE(CONTROL!$C$9, $D$9, 100%, $F$9) + CHOOSE(CONTROL!$C$27, 0.0021, 0)</f>
        <v>115.8604</v>
      </c>
      <c r="D678" s="14">
        <f>115.8583 * CHOOSE(CONTROL!$C$9, $D$9, 100%, $F$9) + CHOOSE(CONTROL!$C$27, 0.0021, 0)</f>
        <v>115.8604</v>
      </c>
      <c r="E678" s="14">
        <f>115.7216 * CHOOSE(CONTROL!$C$9, $D$9, 100%, $F$9) + CHOOSE(CONTROL!$C$27, 0.0021, 0)</f>
        <v>115.72369999999999</v>
      </c>
      <c r="F678" s="14">
        <f>115.7216 * CHOOSE(CONTROL!$C$9, $D$9, 100%, $F$9) + CHOOSE(CONTROL!$C$27, 0.0021, 0)</f>
        <v>115.72369999999999</v>
      </c>
      <c r="G678" s="14">
        <f>115.993 * CHOOSE(CONTROL!$C$9, $D$9, 100%, $F$9) + CHOOSE(CONTROL!$C$27, 0.0021, 0)</f>
        <v>115.99509999999999</v>
      </c>
      <c r="H678" s="14">
        <f>115.8583 * CHOOSE(CONTROL!$C$9, $D$9, 100%, $F$9) + CHOOSE(CONTROL!$C$27, 0.0021, 0)</f>
        <v>115.8604</v>
      </c>
      <c r="I678" s="14">
        <f>115.8583 * CHOOSE(CONTROL!$C$9, $D$9, 100%, $F$9) + CHOOSE(CONTROL!$C$27, 0.0021, 0)</f>
        <v>115.8604</v>
      </c>
      <c r="J678" s="14">
        <f>115.8583 * CHOOSE(CONTROL!$C$9, $D$9, 100%, $F$9) + CHOOSE(CONTROL!$C$27, 0.0021, 0)</f>
        <v>115.8604</v>
      </c>
      <c r="K678" s="14">
        <f>115.8583 * CHOOSE(CONTROL!$C$9, $D$9, 100%, $F$9) + CHOOSE(CONTROL!$C$27, 0.0021, 0)</f>
        <v>115.8604</v>
      </c>
      <c r="L678" s="14"/>
    </row>
    <row r="679" spans="1:12" ht="15.75" x14ac:dyDescent="0.25">
      <c r="A679" s="32">
        <v>61606</v>
      </c>
      <c r="B679" s="14">
        <f>113.6367 * CHOOSE(CONTROL!$C$9, $D$9, 100%, $F$9) + CHOOSE(CONTROL!$C$27, 0.0021, 0)</f>
        <v>113.6388</v>
      </c>
      <c r="C679" s="14">
        <f>113.2045 * CHOOSE(CONTROL!$C$9, $D$9, 100%, $F$9) + CHOOSE(CONTROL!$C$27, 0.0021, 0)</f>
        <v>113.20659999999999</v>
      </c>
      <c r="D679" s="14">
        <f>113.2045 * CHOOSE(CONTROL!$C$9, $D$9, 100%, $F$9) + CHOOSE(CONTROL!$C$27, 0.0021, 0)</f>
        <v>113.20659999999999</v>
      </c>
      <c r="E679" s="14">
        <f>113.0678 * CHOOSE(CONTROL!$C$9, $D$9, 100%, $F$9) + CHOOSE(CONTROL!$C$27, 0.0021, 0)</f>
        <v>113.0699</v>
      </c>
      <c r="F679" s="14">
        <f>113.0678 * CHOOSE(CONTROL!$C$9, $D$9, 100%, $F$9) + CHOOSE(CONTROL!$C$27, 0.0021, 0)</f>
        <v>113.0699</v>
      </c>
      <c r="G679" s="14">
        <f>113.3392 * CHOOSE(CONTROL!$C$9, $D$9, 100%, $F$9) + CHOOSE(CONTROL!$C$27, 0.0021, 0)</f>
        <v>113.3413</v>
      </c>
      <c r="H679" s="14">
        <f>113.2045 * CHOOSE(CONTROL!$C$9, $D$9, 100%, $F$9) + CHOOSE(CONTROL!$C$27, 0.0021, 0)</f>
        <v>113.20659999999999</v>
      </c>
      <c r="I679" s="14">
        <f>113.2045 * CHOOSE(CONTROL!$C$9, $D$9, 100%, $F$9) + CHOOSE(CONTROL!$C$27, 0.0021, 0)</f>
        <v>113.20659999999999</v>
      </c>
      <c r="J679" s="14">
        <f>113.2045 * CHOOSE(CONTROL!$C$9, $D$9, 100%, $F$9) + CHOOSE(CONTROL!$C$27, 0.0021, 0)</f>
        <v>113.20659999999999</v>
      </c>
      <c r="K679" s="14">
        <f>113.2045 * CHOOSE(CONTROL!$C$9, $D$9, 100%, $F$9) + CHOOSE(CONTROL!$C$27, 0.0021, 0)</f>
        <v>113.20659999999999</v>
      </c>
      <c r="L679" s="14"/>
    </row>
    <row r="680" spans="1:12" ht="15.75" x14ac:dyDescent="0.25">
      <c r="A680" s="32">
        <v>61636</v>
      </c>
      <c r="B680" s="14">
        <f>109.9358 * CHOOSE(CONTROL!$C$9, $D$9, 100%, $F$9) + CHOOSE(CONTROL!$C$27, 0.0021, 0)</f>
        <v>109.9379</v>
      </c>
      <c r="C680" s="14">
        <f>109.5036 * CHOOSE(CONTROL!$C$9, $D$9, 100%, $F$9) + CHOOSE(CONTROL!$C$27, 0.0021, 0)</f>
        <v>109.5057</v>
      </c>
      <c r="D680" s="14">
        <f>109.5036 * CHOOSE(CONTROL!$C$9, $D$9, 100%, $F$9) + CHOOSE(CONTROL!$C$27, 0.0021, 0)</f>
        <v>109.5057</v>
      </c>
      <c r="E680" s="14">
        <f>109.3669 * CHOOSE(CONTROL!$C$9, $D$9, 100%, $F$9) + CHOOSE(CONTROL!$C$27, 0.0021, 0)</f>
        <v>109.369</v>
      </c>
      <c r="F680" s="14">
        <f>109.3669 * CHOOSE(CONTROL!$C$9, $D$9, 100%, $F$9) + CHOOSE(CONTROL!$C$27, 0.0021, 0)</f>
        <v>109.369</v>
      </c>
      <c r="G680" s="14">
        <f>109.6383 * CHOOSE(CONTROL!$C$9, $D$9, 100%, $F$9) + CHOOSE(CONTROL!$C$27, 0.0021, 0)</f>
        <v>109.6404</v>
      </c>
      <c r="H680" s="14">
        <f>109.5036 * CHOOSE(CONTROL!$C$9, $D$9, 100%, $F$9) + CHOOSE(CONTROL!$C$27, 0.0021, 0)</f>
        <v>109.5057</v>
      </c>
      <c r="I680" s="14">
        <f>109.5036 * CHOOSE(CONTROL!$C$9, $D$9, 100%, $F$9) + CHOOSE(CONTROL!$C$27, 0.0021, 0)</f>
        <v>109.5057</v>
      </c>
      <c r="J680" s="14">
        <f>109.5036 * CHOOSE(CONTROL!$C$9, $D$9, 100%, $F$9) + CHOOSE(CONTROL!$C$27, 0.0021, 0)</f>
        <v>109.5057</v>
      </c>
      <c r="K680" s="14">
        <f>109.5036 * CHOOSE(CONTROL!$C$9, $D$9, 100%, $F$9) + CHOOSE(CONTROL!$C$27, 0.0021, 0)</f>
        <v>109.5057</v>
      </c>
      <c r="L680" s="14"/>
    </row>
    <row r="681" spans="1:12" ht="15.75" x14ac:dyDescent="0.25">
      <c r="A681" s="32">
        <v>61667</v>
      </c>
      <c r="B681" s="14">
        <f>106.2134 * CHOOSE(CONTROL!$C$9, $D$9, 100%, $F$9) + CHOOSE(CONTROL!$C$27, 0.0021, 0)</f>
        <v>106.21549999999999</v>
      </c>
      <c r="C681" s="14">
        <f>105.7811 * CHOOSE(CONTROL!$C$9, $D$9, 100%, $F$9) + CHOOSE(CONTROL!$C$27, 0.0021, 0)</f>
        <v>105.78319999999999</v>
      </c>
      <c r="D681" s="14">
        <f>105.7811 * CHOOSE(CONTROL!$C$9, $D$9, 100%, $F$9) + CHOOSE(CONTROL!$C$27, 0.0021, 0)</f>
        <v>105.78319999999999</v>
      </c>
      <c r="E681" s="14">
        <f>105.6445 * CHOOSE(CONTROL!$C$9, $D$9, 100%, $F$9) + CHOOSE(CONTROL!$C$27, 0.0021, 0)</f>
        <v>105.64659999999999</v>
      </c>
      <c r="F681" s="14">
        <f>105.6445 * CHOOSE(CONTROL!$C$9, $D$9, 100%, $F$9) + CHOOSE(CONTROL!$C$27, 0.0021, 0)</f>
        <v>105.64659999999999</v>
      </c>
      <c r="G681" s="14">
        <f>105.9159 * CHOOSE(CONTROL!$C$9, $D$9, 100%, $F$9) + CHOOSE(CONTROL!$C$27, 0.0021, 0)</f>
        <v>105.91799999999999</v>
      </c>
      <c r="H681" s="14">
        <f>105.7811 * CHOOSE(CONTROL!$C$9, $D$9, 100%, $F$9) + CHOOSE(CONTROL!$C$27, 0.0021, 0)</f>
        <v>105.78319999999999</v>
      </c>
      <c r="I681" s="14">
        <f>105.7811 * CHOOSE(CONTROL!$C$9, $D$9, 100%, $F$9) + CHOOSE(CONTROL!$C$27, 0.0021, 0)</f>
        <v>105.78319999999999</v>
      </c>
      <c r="J681" s="14">
        <f>105.7811 * CHOOSE(CONTROL!$C$9, $D$9, 100%, $F$9) + CHOOSE(CONTROL!$C$27, 0.0021, 0)</f>
        <v>105.78319999999999</v>
      </c>
      <c r="K681" s="14">
        <f>105.7811 * CHOOSE(CONTROL!$C$9, $D$9, 100%, $F$9) + CHOOSE(CONTROL!$C$27, 0.0021, 0)</f>
        <v>105.78319999999999</v>
      </c>
      <c r="L681" s="14"/>
    </row>
    <row r="682" spans="1:12" ht="15.75" x14ac:dyDescent="0.25">
      <c r="A682" s="32">
        <v>61697</v>
      </c>
      <c r="B682" s="14">
        <f>105.4729 * CHOOSE(CONTROL!$C$9, $D$9, 100%, $F$9) + CHOOSE(CONTROL!$C$27, 0.0021, 0)</f>
        <v>105.47499999999999</v>
      </c>
      <c r="C682" s="14">
        <f>105.0407 * CHOOSE(CONTROL!$C$9, $D$9, 100%, $F$9) + CHOOSE(CONTROL!$C$27, 0.0021, 0)</f>
        <v>105.0428</v>
      </c>
      <c r="D682" s="14">
        <f>105.0407 * CHOOSE(CONTROL!$C$9, $D$9, 100%, $F$9) + CHOOSE(CONTROL!$C$27, 0.0021, 0)</f>
        <v>105.0428</v>
      </c>
      <c r="E682" s="14">
        <f>104.904 * CHOOSE(CONTROL!$C$9, $D$9, 100%, $F$9) + CHOOSE(CONTROL!$C$27, 0.0021, 0)</f>
        <v>104.9061</v>
      </c>
      <c r="F682" s="14">
        <f>104.904 * CHOOSE(CONTROL!$C$9, $D$9, 100%, $F$9) + CHOOSE(CONTROL!$C$27, 0.0021, 0)</f>
        <v>104.9061</v>
      </c>
      <c r="G682" s="14">
        <f>105.1754 * CHOOSE(CONTROL!$C$9, $D$9, 100%, $F$9) + CHOOSE(CONTROL!$C$27, 0.0021, 0)</f>
        <v>105.17749999999999</v>
      </c>
      <c r="H682" s="14">
        <f>105.0407 * CHOOSE(CONTROL!$C$9, $D$9, 100%, $F$9) + CHOOSE(CONTROL!$C$27, 0.0021, 0)</f>
        <v>105.0428</v>
      </c>
      <c r="I682" s="14">
        <f>105.0407 * CHOOSE(CONTROL!$C$9, $D$9, 100%, $F$9) + CHOOSE(CONTROL!$C$27, 0.0021, 0)</f>
        <v>105.0428</v>
      </c>
      <c r="J682" s="14">
        <f>105.0407 * CHOOSE(CONTROL!$C$9, $D$9, 100%, $F$9) + CHOOSE(CONTROL!$C$27, 0.0021, 0)</f>
        <v>105.0428</v>
      </c>
      <c r="K682" s="14">
        <f>105.0407 * CHOOSE(CONTROL!$C$9, $D$9, 100%, $F$9) + CHOOSE(CONTROL!$C$27, 0.0021, 0)</f>
        <v>105.0428</v>
      </c>
      <c r="L682" s="14"/>
    </row>
    <row r="683" spans="1:12" ht="15.75" x14ac:dyDescent="0.25">
      <c r="A683" s="32">
        <v>61728</v>
      </c>
      <c r="B683" s="14">
        <f>102.411 * CHOOSE(CONTROL!$C$9, $D$9, 100%, $F$9) + CHOOSE(CONTROL!$C$27, 0.0021, 0)</f>
        <v>102.4131</v>
      </c>
      <c r="C683" s="14">
        <f>101.9788 * CHOOSE(CONTROL!$C$9, $D$9, 100%, $F$9) + CHOOSE(CONTROL!$C$27, 0.0021, 0)</f>
        <v>101.98090000000001</v>
      </c>
      <c r="D683" s="14">
        <f>101.9788 * CHOOSE(CONTROL!$C$9, $D$9, 100%, $F$9) + CHOOSE(CONTROL!$C$27, 0.0021, 0)</f>
        <v>101.98090000000001</v>
      </c>
      <c r="E683" s="14">
        <f>101.8421 * CHOOSE(CONTROL!$C$9, $D$9, 100%, $F$9) + CHOOSE(CONTROL!$C$27, 0.0021, 0)</f>
        <v>101.8442</v>
      </c>
      <c r="F683" s="14">
        <f>101.8421 * CHOOSE(CONTROL!$C$9, $D$9, 100%, $F$9) + CHOOSE(CONTROL!$C$27, 0.0021, 0)</f>
        <v>101.8442</v>
      </c>
      <c r="G683" s="14">
        <f>102.1135 * CHOOSE(CONTROL!$C$9, $D$9, 100%, $F$9) + CHOOSE(CONTROL!$C$27, 0.0021, 0)</f>
        <v>102.1156</v>
      </c>
      <c r="H683" s="14">
        <f>101.9788 * CHOOSE(CONTROL!$C$9, $D$9, 100%, $F$9) + CHOOSE(CONTROL!$C$27, 0.0021, 0)</f>
        <v>101.98090000000001</v>
      </c>
      <c r="I683" s="14">
        <f>101.9788 * CHOOSE(CONTROL!$C$9, $D$9, 100%, $F$9) + CHOOSE(CONTROL!$C$27, 0.0021, 0)</f>
        <v>101.98090000000001</v>
      </c>
      <c r="J683" s="14">
        <f>101.9788 * CHOOSE(CONTROL!$C$9, $D$9, 100%, $F$9) + CHOOSE(CONTROL!$C$27, 0.0021, 0)</f>
        <v>101.98090000000001</v>
      </c>
      <c r="K683" s="14">
        <f>101.9788 * CHOOSE(CONTROL!$C$9, $D$9, 100%, $F$9) + CHOOSE(CONTROL!$C$27, 0.0021, 0)</f>
        <v>101.98090000000001</v>
      </c>
      <c r="L683" s="14"/>
    </row>
    <row r="684" spans="1:12" ht="15.75" x14ac:dyDescent="0.25">
      <c r="A684" s="32">
        <v>61759</v>
      </c>
      <c r="B684" s="14">
        <f>101.8149 * CHOOSE(CONTROL!$C$9, $D$9, 100%, $F$9) + CHOOSE(CONTROL!$C$27, 0.0021, 0)</f>
        <v>101.81699999999999</v>
      </c>
      <c r="C684" s="14">
        <f>101.3827 * CHOOSE(CONTROL!$C$9, $D$9, 100%, $F$9) + CHOOSE(CONTROL!$C$27, 0.0021, 0)</f>
        <v>101.3848</v>
      </c>
      <c r="D684" s="14">
        <f>101.3827 * CHOOSE(CONTROL!$C$9, $D$9, 100%, $F$9) + CHOOSE(CONTROL!$C$27, 0.0021, 0)</f>
        <v>101.3848</v>
      </c>
      <c r="E684" s="14">
        <f>101.246 * CHOOSE(CONTROL!$C$9, $D$9, 100%, $F$9) + CHOOSE(CONTROL!$C$27, 0.0021, 0)</f>
        <v>101.24809999999999</v>
      </c>
      <c r="F684" s="14">
        <f>101.246 * CHOOSE(CONTROL!$C$9, $D$9, 100%, $F$9) + CHOOSE(CONTROL!$C$27, 0.0021, 0)</f>
        <v>101.24809999999999</v>
      </c>
      <c r="G684" s="14">
        <f>101.5174 * CHOOSE(CONTROL!$C$9, $D$9, 100%, $F$9) + CHOOSE(CONTROL!$C$27, 0.0021, 0)</f>
        <v>101.51949999999999</v>
      </c>
      <c r="H684" s="14">
        <f>101.3827 * CHOOSE(CONTROL!$C$9, $D$9, 100%, $F$9) + CHOOSE(CONTROL!$C$27, 0.0021, 0)</f>
        <v>101.3848</v>
      </c>
      <c r="I684" s="14">
        <f>101.3827 * CHOOSE(CONTROL!$C$9, $D$9, 100%, $F$9) + CHOOSE(CONTROL!$C$27, 0.0021, 0)</f>
        <v>101.3848</v>
      </c>
      <c r="J684" s="14">
        <f>101.3827 * CHOOSE(CONTROL!$C$9, $D$9, 100%, $F$9) + CHOOSE(CONTROL!$C$27, 0.0021, 0)</f>
        <v>101.3848</v>
      </c>
      <c r="K684" s="14">
        <f>101.3827 * CHOOSE(CONTROL!$C$9, $D$9, 100%, $F$9) + CHOOSE(CONTROL!$C$27, 0.0021, 0)</f>
        <v>101.3848</v>
      </c>
      <c r="L684" s="14"/>
    </row>
    <row r="685" spans="1:12" ht="15.75" x14ac:dyDescent="0.25">
      <c r="A685" s="32">
        <v>61787</v>
      </c>
      <c r="B685" s="14">
        <f>101.5383 * CHOOSE(CONTROL!$C$9, $D$9, 100%, $F$9) + CHOOSE(CONTROL!$C$27, 0.0021, 0)</f>
        <v>101.54040000000001</v>
      </c>
      <c r="C685" s="14">
        <f>101.106 * CHOOSE(CONTROL!$C$9, $D$9, 100%, $F$9) + CHOOSE(CONTROL!$C$27, 0.0021, 0)</f>
        <v>101.10809999999999</v>
      </c>
      <c r="D685" s="14">
        <f>101.106 * CHOOSE(CONTROL!$C$9, $D$9, 100%, $F$9) + CHOOSE(CONTROL!$C$27, 0.0021, 0)</f>
        <v>101.10809999999999</v>
      </c>
      <c r="E685" s="14">
        <f>100.9694 * CHOOSE(CONTROL!$C$9, $D$9, 100%, $F$9) + CHOOSE(CONTROL!$C$27, 0.0021, 0)</f>
        <v>100.97149999999999</v>
      </c>
      <c r="F685" s="14">
        <f>100.9694 * CHOOSE(CONTROL!$C$9, $D$9, 100%, $F$9) + CHOOSE(CONTROL!$C$27, 0.0021, 0)</f>
        <v>100.97149999999999</v>
      </c>
      <c r="G685" s="14">
        <f>101.2407 * CHOOSE(CONTROL!$C$9, $D$9, 100%, $F$9) + CHOOSE(CONTROL!$C$27, 0.0021, 0)</f>
        <v>101.2428</v>
      </c>
      <c r="H685" s="14">
        <f>101.106 * CHOOSE(CONTROL!$C$9, $D$9, 100%, $F$9) + CHOOSE(CONTROL!$C$27, 0.0021, 0)</f>
        <v>101.10809999999999</v>
      </c>
      <c r="I685" s="14">
        <f>101.106 * CHOOSE(CONTROL!$C$9, $D$9, 100%, $F$9) + CHOOSE(CONTROL!$C$27, 0.0021, 0)</f>
        <v>101.10809999999999</v>
      </c>
      <c r="J685" s="14">
        <f>101.106 * CHOOSE(CONTROL!$C$9, $D$9, 100%, $F$9) + CHOOSE(CONTROL!$C$27, 0.0021, 0)</f>
        <v>101.10809999999999</v>
      </c>
      <c r="K685" s="14">
        <f>101.106 * CHOOSE(CONTROL!$C$9, $D$9, 100%, $F$9) + CHOOSE(CONTROL!$C$27, 0.0021, 0)</f>
        <v>101.10809999999999</v>
      </c>
      <c r="L685" s="14"/>
    </row>
    <row r="686" spans="1:12" ht="15.75" x14ac:dyDescent="0.25">
      <c r="A686" s="32">
        <v>61818</v>
      </c>
      <c r="B686" s="14">
        <f>106.7691 * CHOOSE(CONTROL!$C$9, $D$9, 100%, $F$9) + CHOOSE(CONTROL!$C$27, 0.0021, 0)</f>
        <v>106.77119999999999</v>
      </c>
      <c r="C686" s="14">
        <f>106.3369 * CHOOSE(CONTROL!$C$9, $D$9, 100%, $F$9) + CHOOSE(CONTROL!$C$27, 0.0021, 0)</f>
        <v>106.339</v>
      </c>
      <c r="D686" s="14">
        <f>106.3369 * CHOOSE(CONTROL!$C$9, $D$9, 100%, $F$9) + CHOOSE(CONTROL!$C$27, 0.0021, 0)</f>
        <v>106.339</v>
      </c>
      <c r="E686" s="14">
        <f>106.2002 * CHOOSE(CONTROL!$C$9, $D$9, 100%, $F$9) + CHOOSE(CONTROL!$C$27, 0.0021, 0)</f>
        <v>106.20229999999999</v>
      </c>
      <c r="F686" s="14">
        <f>106.2002 * CHOOSE(CONTROL!$C$9, $D$9, 100%, $F$9) + CHOOSE(CONTROL!$C$27, 0.0021, 0)</f>
        <v>106.20229999999999</v>
      </c>
      <c r="G686" s="14">
        <f>106.4716 * CHOOSE(CONTROL!$C$9, $D$9, 100%, $F$9) + CHOOSE(CONTROL!$C$27, 0.0021, 0)</f>
        <v>106.47369999999999</v>
      </c>
      <c r="H686" s="14">
        <f>106.3369 * CHOOSE(CONTROL!$C$9, $D$9, 100%, $F$9) + CHOOSE(CONTROL!$C$27, 0.0021, 0)</f>
        <v>106.339</v>
      </c>
      <c r="I686" s="14">
        <f>106.3369 * CHOOSE(CONTROL!$C$9, $D$9, 100%, $F$9) + CHOOSE(CONTROL!$C$27, 0.0021, 0)</f>
        <v>106.339</v>
      </c>
      <c r="J686" s="14">
        <f>106.3369 * CHOOSE(CONTROL!$C$9, $D$9, 100%, $F$9) + CHOOSE(CONTROL!$C$27, 0.0021, 0)</f>
        <v>106.339</v>
      </c>
      <c r="K686" s="14">
        <f>106.3369 * CHOOSE(CONTROL!$C$9, $D$9, 100%, $F$9) + CHOOSE(CONTROL!$C$27, 0.0021, 0)</f>
        <v>106.339</v>
      </c>
      <c r="L686" s="14"/>
    </row>
    <row r="687" spans="1:12" ht="15.75" x14ac:dyDescent="0.25">
      <c r="A687" s="32">
        <v>61848</v>
      </c>
      <c r="B687" s="14">
        <f>113.5522 * CHOOSE(CONTROL!$C$9, $D$9, 100%, $F$9) + CHOOSE(CONTROL!$C$27, 0.0021, 0)</f>
        <v>113.5543</v>
      </c>
      <c r="C687" s="14">
        <f>113.12 * CHOOSE(CONTROL!$C$9, $D$9, 100%, $F$9) + CHOOSE(CONTROL!$C$27, 0.0021, 0)</f>
        <v>113.1221</v>
      </c>
      <c r="D687" s="14">
        <f>113.12 * CHOOSE(CONTROL!$C$9, $D$9, 100%, $F$9) + CHOOSE(CONTROL!$C$27, 0.0021, 0)</f>
        <v>113.1221</v>
      </c>
      <c r="E687" s="14">
        <f>112.9833 * CHOOSE(CONTROL!$C$9, $D$9, 100%, $F$9) + CHOOSE(CONTROL!$C$27, 0.0021, 0)</f>
        <v>112.9854</v>
      </c>
      <c r="F687" s="14">
        <f>112.9833 * CHOOSE(CONTROL!$C$9, $D$9, 100%, $F$9) + CHOOSE(CONTROL!$C$27, 0.0021, 0)</f>
        <v>112.9854</v>
      </c>
      <c r="G687" s="14">
        <f>113.2547 * CHOOSE(CONTROL!$C$9, $D$9, 100%, $F$9) + CHOOSE(CONTROL!$C$27, 0.0021, 0)</f>
        <v>113.2568</v>
      </c>
      <c r="H687" s="14">
        <f>113.12 * CHOOSE(CONTROL!$C$9, $D$9, 100%, $F$9) + CHOOSE(CONTROL!$C$27, 0.0021, 0)</f>
        <v>113.1221</v>
      </c>
      <c r="I687" s="14">
        <f>113.12 * CHOOSE(CONTROL!$C$9, $D$9, 100%, $F$9) + CHOOSE(CONTROL!$C$27, 0.0021, 0)</f>
        <v>113.1221</v>
      </c>
      <c r="J687" s="14">
        <f>113.12 * CHOOSE(CONTROL!$C$9, $D$9, 100%, $F$9) + CHOOSE(CONTROL!$C$27, 0.0021, 0)</f>
        <v>113.1221</v>
      </c>
      <c r="K687" s="14">
        <f>113.12 * CHOOSE(CONTROL!$C$9, $D$9, 100%, $F$9) + CHOOSE(CONTROL!$C$27, 0.0021, 0)</f>
        <v>113.1221</v>
      </c>
      <c r="L687" s="14"/>
    </row>
    <row r="688" spans="1:12" ht="15.75" x14ac:dyDescent="0.25">
      <c r="A688" s="32">
        <v>61879</v>
      </c>
      <c r="B688" s="14">
        <f>117.2859 * CHOOSE(CONTROL!$C$9, $D$9, 100%, $F$9) + CHOOSE(CONTROL!$C$27, 0.0021, 0)</f>
        <v>117.288</v>
      </c>
      <c r="C688" s="14">
        <f>116.8537 * CHOOSE(CONTROL!$C$9, $D$9, 100%, $F$9) + CHOOSE(CONTROL!$C$27, 0.0021, 0)</f>
        <v>116.8558</v>
      </c>
      <c r="D688" s="14">
        <f>116.8537 * CHOOSE(CONTROL!$C$9, $D$9, 100%, $F$9) + CHOOSE(CONTROL!$C$27, 0.0021, 0)</f>
        <v>116.8558</v>
      </c>
      <c r="E688" s="14">
        <f>116.717 * CHOOSE(CONTROL!$C$9, $D$9, 100%, $F$9) + CHOOSE(CONTROL!$C$27, 0.0021, 0)</f>
        <v>116.7191</v>
      </c>
      <c r="F688" s="14">
        <f>116.717 * CHOOSE(CONTROL!$C$9, $D$9, 100%, $F$9) + CHOOSE(CONTROL!$C$27, 0.0021, 0)</f>
        <v>116.7191</v>
      </c>
      <c r="G688" s="14">
        <f>116.9884 * CHOOSE(CONTROL!$C$9, $D$9, 100%, $F$9) + CHOOSE(CONTROL!$C$27, 0.0021, 0)</f>
        <v>116.9905</v>
      </c>
      <c r="H688" s="14">
        <f>116.8537 * CHOOSE(CONTROL!$C$9, $D$9, 100%, $F$9) + CHOOSE(CONTROL!$C$27, 0.0021, 0)</f>
        <v>116.8558</v>
      </c>
      <c r="I688" s="14">
        <f>116.8537 * CHOOSE(CONTROL!$C$9, $D$9, 100%, $F$9) + CHOOSE(CONTROL!$C$27, 0.0021, 0)</f>
        <v>116.8558</v>
      </c>
      <c r="J688" s="14">
        <f>116.8537 * CHOOSE(CONTROL!$C$9, $D$9, 100%, $F$9) + CHOOSE(CONTROL!$C$27, 0.0021, 0)</f>
        <v>116.8558</v>
      </c>
      <c r="K688" s="14">
        <f>116.8537 * CHOOSE(CONTROL!$C$9, $D$9, 100%, $F$9) + CHOOSE(CONTROL!$C$27, 0.0021, 0)</f>
        <v>116.8558</v>
      </c>
      <c r="L688" s="14"/>
    </row>
    <row r="689" spans="1:12" ht="15.75" x14ac:dyDescent="0.25">
      <c r="A689" s="32">
        <v>61909</v>
      </c>
      <c r="B689" s="14">
        <f>118.9428 * CHOOSE(CONTROL!$C$9, $D$9, 100%, $F$9) + CHOOSE(CONTROL!$C$27, 0.0021, 0)</f>
        <v>118.9449</v>
      </c>
      <c r="C689" s="14">
        <f>118.5106 * CHOOSE(CONTROL!$C$9, $D$9, 100%, $F$9) + CHOOSE(CONTROL!$C$27, 0.0021, 0)</f>
        <v>118.5127</v>
      </c>
      <c r="D689" s="14">
        <f>118.5106 * CHOOSE(CONTROL!$C$9, $D$9, 100%, $F$9) + CHOOSE(CONTROL!$C$27, 0.0021, 0)</f>
        <v>118.5127</v>
      </c>
      <c r="E689" s="14">
        <f>118.3739 * CHOOSE(CONTROL!$C$9, $D$9, 100%, $F$9) + CHOOSE(CONTROL!$C$27, 0.0021, 0)</f>
        <v>118.376</v>
      </c>
      <c r="F689" s="14">
        <f>118.3739 * CHOOSE(CONTROL!$C$9, $D$9, 100%, $F$9) + CHOOSE(CONTROL!$C$27, 0.0021, 0)</f>
        <v>118.376</v>
      </c>
      <c r="G689" s="14">
        <f>118.6453 * CHOOSE(CONTROL!$C$9, $D$9, 100%, $F$9) + CHOOSE(CONTROL!$C$27, 0.0021, 0)</f>
        <v>118.6474</v>
      </c>
      <c r="H689" s="14">
        <f>118.5106 * CHOOSE(CONTROL!$C$9, $D$9, 100%, $F$9) + CHOOSE(CONTROL!$C$27, 0.0021, 0)</f>
        <v>118.5127</v>
      </c>
      <c r="I689" s="14">
        <f>118.5106 * CHOOSE(CONTROL!$C$9, $D$9, 100%, $F$9) + CHOOSE(CONTROL!$C$27, 0.0021, 0)</f>
        <v>118.5127</v>
      </c>
      <c r="J689" s="14">
        <f>118.5106 * CHOOSE(CONTROL!$C$9, $D$9, 100%, $F$9) + CHOOSE(CONTROL!$C$27, 0.0021, 0)</f>
        <v>118.5127</v>
      </c>
      <c r="K689" s="14">
        <f>118.5106 * CHOOSE(CONTROL!$C$9, $D$9, 100%, $F$9) + CHOOSE(CONTROL!$C$27, 0.0021, 0)</f>
        <v>118.5127</v>
      </c>
      <c r="L689" s="14"/>
    </row>
    <row r="690" spans="1:12" ht="15.75" x14ac:dyDescent="0.25">
      <c r="A690" s="32">
        <v>61940</v>
      </c>
      <c r="B690" s="14">
        <f>118.3973 * CHOOSE(CONTROL!$C$9, $D$9, 100%, $F$9) + CHOOSE(CONTROL!$C$27, 0.0021, 0)</f>
        <v>118.3994</v>
      </c>
      <c r="C690" s="14">
        <f>117.9651 * CHOOSE(CONTROL!$C$9, $D$9, 100%, $F$9) + CHOOSE(CONTROL!$C$27, 0.0021, 0)</f>
        <v>117.96720000000001</v>
      </c>
      <c r="D690" s="14">
        <f>117.9651 * CHOOSE(CONTROL!$C$9, $D$9, 100%, $F$9) + CHOOSE(CONTROL!$C$27, 0.0021, 0)</f>
        <v>117.96720000000001</v>
      </c>
      <c r="E690" s="14">
        <f>117.8284 * CHOOSE(CONTROL!$C$9, $D$9, 100%, $F$9) + CHOOSE(CONTROL!$C$27, 0.0021, 0)</f>
        <v>117.8305</v>
      </c>
      <c r="F690" s="14">
        <f>117.8284 * CHOOSE(CONTROL!$C$9, $D$9, 100%, $F$9) + CHOOSE(CONTROL!$C$27, 0.0021, 0)</f>
        <v>117.8305</v>
      </c>
      <c r="G690" s="14">
        <f>118.0998 * CHOOSE(CONTROL!$C$9, $D$9, 100%, $F$9) + CHOOSE(CONTROL!$C$27, 0.0021, 0)</f>
        <v>118.1019</v>
      </c>
      <c r="H690" s="14">
        <f>117.9651 * CHOOSE(CONTROL!$C$9, $D$9, 100%, $F$9) + CHOOSE(CONTROL!$C$27, 0.0021, 0)</f>
        <v>117.96720000000001</v>
      </c>
      <c r="I690" s="14">
        <f>117.9651 * CHOOSE(CONTROL!$C$9, $D$9, 100%, $F$9) + CHOOSE(CONTROL!$C$27, 0.0021, 0)</f>
        <v>117.96720000000001</v>
      </c>
      <c r="J690" s="14">
        <f>117.9651 * CHOOSE(CONTROL!$C$9, $D$9, 100%, $F$9) + CHOOSE(CONTROL!$C$27, 0.0021, 0)</f>
        <v>117.96720000000001</v>
      </c>
      <c r="K690" s="14">
        <f>117.9651 * CHOOSE(CONTROL!$C$9, $D$9, 100%, $F$9) + CHOOSE(CONTROL!$C$27, 0.0021, 0)</f>
        <v>117.96720000000001</v>
      </c>
      <c r="L690" s="14"/>
    </row>
    <row r="691" spans="1:12" ht="15.75" x14ac:dyDescent="0.25">
      <c r="A691" s="32">
        <v>61971</v>
      </c>
      <c r="B691" s="14">
        <f>115.6944 * CHOOSE(CONTROL!$C$9, $D$9, 100%, $F$9) + CHOOSE(CONTROL!$C$27, 0.0021, 0)</f>
        <v>115.6965</v>
      </c>
      <c r="C691" s="14">
        <f>115.2622 * CHOOSE(CONTROL!$C$9, $D$9, 100%, $F$9) + CHOOSE(CONTROL!$C$27, 0.0021, 0)</f>
        <v>115.26430000000001</v>
      </c>
      <c r="D691" s="14">
        <f>115.2622 * CHOOSE(CONTROL!$C$9, $D$9, 100%, $F$9) + CHOOSE(CONTROL!$C$27, 0.0021, 0)</f>
        <v>115.26430000000001</v>
      </c>
      <c r="E691" s="14">
        <f>115.1255 * CHOOSE(CONTROL!$C$9, $D$9, 100%, $F$9) + CHOOSE(CONTROL!$C$27, 0.0021, 0)</f>
        <v>115.1276</v>
      </c>
      <c r="F691" s="14">
        <f>115.1255 * CHOOSE(CONTROL!$C$9, $D$9, 100%, $F$9) + CHOOSE(CONTROL!$C$27, 0.0021, 0)</f>
        <v>115.1276</v>
      </c>
      <c r="G691" s="14">
        <f>115.3969 * CHOOSE(CONTROL!$C$9, $D$9, 100%, $F$9) + CHOOSE(CONTROL!$C$27, 0.0021, 0)</f>
        <v>115.399</v>
      </c>
      <c r="H691" s="14">
        <f>115.2622 * CHOOSE(CONTROL!$C$9, $D$9, 100%, $F$9) + CHOOSE(CONTROL!$C$27, 0.0021, 0)</f>
        <v>115.26430000000001</v>
      </c>
      <c r="I691" s="14">
        <f>115.2622 * CHOOSE(CONTROL!$C$9, $D$9, 100%, $F$9) + CHOOSE(CONTROL!$C$27, 0.0021, 0)</f>
        <v>115.26430000000001</v>
      </c>
      <c r="J691" s="14">
        <f>115.2622 * CHOOSE(CONTROL!$C$9, $D$9, 100%, $F$9) + CHOOSE(CONTROL!$C$27, 0.0021, 0)</f>
        <v>115.26430000000001</v>
      </c>
      <c r="K691" s="14">
        <f>115.2622 * CHOOSE(CONTROL!$C$9, $D$9, 100%, $F$9) + CHOOSE(CONTROL!$C$27, 0.0021, 0)</f>
        <v>115.26430000000001</v>
      </c>
      <c r="L691" s="14"/>
    </row>
    <row r="692" spans="1:12" ht="15.75" x14ac:dyDescent="0.25">
      <c r="A692" s="32">
        <v>62001</v>
      </c>
      <c r="B692" s="14">
        <f>111.9251 * CHOOSE(CONTROL!$C$9, $D$9, 100%, $F$9) + CHOOSE(CONTROL!$C$27, 0.0021, 0)</f>
        <v>111.9272</v>
      </c>
      <c r="C692" s="14">
        <f>111.4929 * CHOOSE(CONTROL!$C$9, $D$9, 100%, $F$9) + CHOOSE(CONTROL!$C$27, 0.0021, 0)</f>
        <v>111.495</v>
      </c>
      <c r="D692" s="14">
        <f>111.4929 * CHOOSE(CONTROL!$C$9, $D$9, 100%, $F$9) + CHOOSE(CONTROL!$C$27, 0.0021, 0)</f>
        <v>111.495</v>
      </c>
      <c r="E692" s="14">
        <f>111.3562 * CHOOSE(CONTROL!$C$9, $D$9, 100%, $F$9) + CHOOSE(CONTROL!$C$27, 0.0021, 0)</f>
        <v>111.3583</v>
      </c>
      <c r="F692" s="14">
        <f>111.3562 * CHOOSE(CONTROL!$C$9, $D$9, 100%, $F$9) + CHOOSE(CONTROL!$C$27, 0.0021, 0)</f>
        <v>111.3583</v>
      </c>
      <c r="G692" s="14">
        <f>111.6276 * CHOOSE(CONTROL!$C$9, $D$9, 100%, $F$9) + CHOOSE(CONTROL!$C$27, 0.0021, 0)</f>
        <v>111.6297</v>
      </c>
      <c r="H692" s="14">
        <f>111.4929 * CHOOSE(CONTROL!$C$9, $D$9, 100%, $F$9) + CHOOSE(CONTROL!$C$27, 0.0021, 0)</f>
        <v>111.495</v>
      </c>
      <c r="I692" s="14">
        <f>111.4929 * CHOOSE(CONTROL!$C$9, $D$9, 100%, $F$9) + CHOOSE(CONTROL!$C$27, 0.0021, 0)</f>
        <v>111.495</v>
      </c>
      <c r="J692" s="14">
        <f>111.4929 * CHOOSE(CONTROL!$C$9, $D$9, 100%, $F$9) + CHOOSE(CONTROL!$C$27, 0.0021, 0)</f>
        <v>111.495</v>
      </c>
      <c r="K692" s="14">
        <f>111.4929 * CHOOSE(CONTROL!$C$9, $D$9, 100%, $F$9) + CHOOSE(CONTROL!$C$27, 0.0021, 0)</f>
        <v>111.495</v>
      </c>
      <c r="L692" s="14"/>
    </row>
    <row r="693" spans="1:12" ht="15.75" x14ac:dyDescent="0.25">
      <c r="A693" s="32">
        <v>62032</v>
      </c>
      <c r="B693" s="14">
        <f>108.1339 * CHOOSE(CONTROL!$C$9, $D$9, 100%, $F$9) + CHOOSE(CONTROL!$C$27, 0.0021, 0)</f>
        <v>108.136</v>
      </c>
      <c r="C693" s="14">
        <f>107.7017 * CHOOSE(CONTROL!$C$9, $D$9, 100%, $F$9) + CHOOSE(CONTROL!$C$27, 0.0021, 0)</f>
        <v>107.7038</v>
      </c>
      <c r="D693" s="14">
        <f>107.7017 * CHOOSE(CONTROL!$C$9, $D$9, 100%, $F$9) + CHOOSE(CONTROL!$C$27, 0.0021, 0)</f>
        <v>107.7038</v>
      </c>
      <c r="E693" s="14">
        <f>107.565 * CHOOSE(CONTROL!$C$9, $D$9, 100%, $F$9) + CHOOSE(CONTROL!$C$27, 0.0021, 0)</f>
        <v>107.5671</v>
      </c>
      <c r="F693" s="14">
        <f>107.565 * CHOOSE(CONTROL!$C$9, $D$9, 100%, $F$9) + CHOOSE(CONTROL!$C$27, 0.0021, 0)</f>
        <v>107.5671</v>
      </c>
      <c r="G693" s="14">
        <f>107.8364 * CHOOSE(CONTROL!$C$9, $D$9, 100%, $F$9) + CHOOSE(CONTROL!$C$27, 0.0021, 0)</f>
        <v>107.8385</v>
      </c>
      <c r="H693" s="14">
        <f>107.7017 * CHOOSE(CONTROL!$C$9, $D$9, 100%, $F$9) + CHOOSE(CONTROL!$C$27, 0.0021, 0)</f>
        <v>107.7038</v>
      </c>
      <c r="I693" s="14">
        <f>107.7017 * CHOOSE(CONTROL!$C$9, $D$9, 100%, $F$9) + CHOOSE(CONTROL!$C$27, 0.0021, 0)</f>
        <v>107.7038</v>
      </c>
      <c r="J693" s="14">
        <f>107.7017 * CHOOSE(CONTROL!$C$9, $D$9, 100%, $F$9) + CHOOSE(CONTROL!$C$27, 0.0021, 0)</f>
        <v>107.7038</v>
      </c>
      <c r="K693" s="14">
        <f>107.7017 * CHOOSE(CONTROL!$C$9, $D$9, 100%, $F$9) + CHOOSE(CONTROL!$C$27, 0.0021, 0)</f>
        <v>107.7038</v>
      </c>
      <c r="L693" s="14"/>
    </row>
    <row r="694" spans="1:12" ht="15.75" x14ac:dyDescent="0.25">
      <c r="A694" s="32">
        <v>62062</v>
      </c>
      <c r="B694" s="14">
        <f>107.3798 * CHOOSE(CONTROL!$C$9, $D$9, 100%, $F$9) + CHOOSE(CONTROL!$C$27, 0.0021, 0)</f>
        <v>107.3819</v>
      </c>
      <c r="C694" s="14">
        <f>106.9475 * CHOOSE(CONTROL!$C$9, $D$9, 100%, $F$9) + CHOOSE(CONTROL!$C$27, 0.0021, 0)</f>
        <v>106.9496</v>
      </c>
      <c r="D694" s="14">
        <f>106.9475 * CHOOSE(CONTROL!$C$9, $D$9, 100%, $F$9) + CHOOSE(CONTROL!$C$27, 0.0021, 0)</f>
        <v>106.9496</v>
      </c>
      <c r="E694" s="14">
        <f>106.8109 * CHOOSE(CONTROL!$C$9, $D$9, 100%, $F$9) + CHOOSE(CONTROL!$C$27, 0.0021, 0)</f>
        <v>106.813</v>
      </c>
      <c r="F694" s="14">
        <f>106.8109 * CHOOSE(CONTROL!$C$9, $D$9, 100%, $F$9) + CHOOSE(CONTROL!$C$27, 0.0021, 0)</f>
        <v>106.813</v>
      </c>
      <c r="G694" s="14">
        <f>107.0822 * CHOOSE(CONTROL!$C$9, $D$9, 100%, $F$9) + CHOOSE(CONTROL!$C$27, 0.0021, 0)</f>
        <v>107.0843</v>
      </c>
      <c r="H694" s="14">
        <f>106.9475 * CHOOSE(CONTROL!$C$9, $D$9, 100%, $F$9) + CHOOSE(CONTROL!$C$27, 0.0021, 0)</f>
        <v>106.9496</v>
      </c>
      <c r="I694" s="14">
        <f>106.9475 * CHOOSE(CONTROL!$C$9, $D$9, 100%, $F$9) + CHOOSE(CONTROL!$C$27, 0.0021, 0)</f>
        <v>106.9496</v>
      </c>
      <c r="J694" s="14">
        <f>106.9475 * CHOOSE(CONTROL!$C$9, $D$9, 100%, $F$9) + CHOOSE(CONTROL!$C$27, 0.0021, 0)</f>
        <v>106.9496</v>
      </c>
      <c r="K694" s="14">
        <f>106.9475 * CHOOSE(CONTROL!$C$9, $D$9, 100%, $F$9) + CHOOSE(CONTROL!$C$27, 0.0021, 0)</f>
        <v>106.9496</v>
      </c>
      <c r="L694" s="14"/>
    </row>
    <row r="695" spans="1:12" ht="15.75" x14ac:dyDescent="0.25">
      <c r="A695" s="32">
        <v>62093</v>
      </c>
      <c r="B695" s="14">
        <f>104.2613 * CHOOSE(CONTROL!$C$9, $D$9, 100%, $F$9) + CHOOSE(CONTROL!$C$27, 0.0021, 0)</f>
        <v>104.2634</v>
      </c>
      <c r="C695" s="14">
        <f>103.8291 * CHOOSE(CONTROL!$C$9, $D$9, 100%, $F$9) + CHOOSE(CONTROL!$C$27, 0.0021, 0)</f>
        <v>103.8312</v>
      </c>
      <c r="D695" s="14">
        <f>103.8291 * CHOOSE(CONTROL!$C$9, $D$9, 100%, $F$9) + CHOOSE(CONTROL!$C$27, 0.0021, 0)</f>
        <v>103.8312</v>
      </c>
      <c r="E695" s="14">
        <f>103.6924 * CHOOSE(CONTROL!$C$9, $D$9, 100%, $F$9) + CHOOSE(CONTROL!$C$27, 0.0021, 0)</f>
        <v>103.69450000000001</v>
      </c>
      <c r="F695" s="14">
        <f>103.6924 * CHOOSE(CONTROL!$C$9, $D$9, 100%, $F$9) + CHOOSE(CONTROL!$C$27, 0.0021, 0)</f>
        <v>103.69450000000001</v>
      </c>
      <c r="G695" s="14">
        <f>103.9638 * CHOOSE(CONTROL!$C$9, $D$9, 100%, $F$9) + CHOOSE(CONTROL!$C$27, 0.0021, 0)</f>
        <v>103.9659</v>
      </c>
      <c r="H695" s="14">
        <f>103.8291 * CHOOSE(CONTROL!$C$9, $D$9, 100%, $F$9) + CHOOSE(CONTROL!$C$27, 0.0021, 0)</f>
        <v>103.8312</v>
      </c>
      <c r="I695" s="14">
        <f>103.8291 * CHOOSE(CONTROL!$C$9, $D$9, 100%, $F$9) + CHOOSE(CONTROL!$C$27, 0.0021, 0)</f>
        <v>103.8312</v>
      </c>
      <c r="J695" s="14">
        <f>103.8291 * CHOOSE(CONTROL!$C$9, $D$9, 100%, $F$9) + CHOOSE(CONTROL!$C$27, 0.0021, 0)</f>
        <v>103.8312</v>
      </c>
      <c r="K695" s="14">
        <f>103.8291 * CHOOSE(CONTROL!$C$9, $D$9, 100%, $F$9) + CHOOSE(CONTROL!$C$27, 0.0021, 0)</f>
        <v>103.8312</v>
      </c>
      <c r="L695" s="14"/>
    </row>
    <row r="696" spans="1:12" ht="15.75" x14ac:dyDescent="0.25">
      <c r="A696" s="32">
        <v>62124</v>
      </c>
      <c r="B696" s="14">
        <f>103.6542 * CHOOSE(CONTROL!$C$9, $D$9, 100%, $F$9) + CHOOSE(CONTROL!$C$27, 0.0021, 0)</f>
        <v>103.6563</v>
      </c>
      <c r="C696" s="14">
        <f>103.2219 * CHOOSE(CONTROL!$C$9, $D$9, 100%, $F$9) + CHOOSE(CONTROL!$C$27, 0.0021, 0)</f>
        <v>103.224</v>
      </c>
      <c r="D696" s="14">
        <f>103.2219 * CHOOSE(CONTROL!$C$9, $D$9, 100%, $F$9) + CHOOSE(CONTROL!$C$27, 0.0021, 0)</f>
        <v>103.224</v>
      </c>
      <c r="E696" s="14">
        <f>103.0853 * CHOOSE(CONTROL!$C$9, $D$9, 100%, $F$9) + CHOOSE(CONTROL!$C$27, 0.0021, 0)</f>
        <v>103.0874</v>
      </c>
      <c r="F696" s="14">
        <f>103.0853 * CHOOSE(CONTROL!$C$9, $D$9, 100%, $F$9) + CHOOSE(CONTROL!$C$27, 0.0021, 0)</f>
        <v>103.0874</v>
      </c>
      <c r="G696" s="14">
        <f>103.3566 * CHOOSE(CONTROL!$C$9, $D$9, 100%, $F$9) + CHOOSE(CONTROL!$C$27, 0.0021, 0)</f>
        <v>103.3587</v>
      </c>
      <c r="H696" s="14">
        <f>103.2219 * CHOOSE(CONTROL!$C$9, $D$9, 100%, $F$9) + CHOOSE(CONTROL!$C$27, 0.0021, 0)</f>
        <v>103.224</v>
      </c>
      <c r="I696" s="14">
        <f>103.2219 * CHOOSE(CONTROL!$C$9, $D$9, 100%, $F$9) + CHOOSE(CONTROL!$C$27, 0.0021, 0)</f>
        <v>103.224</v>
      </c>
      <c r="J696" s="14">
        <f>103.2219 * CHOOSE(CONTROL!$C$9, $D$9, 100%, $F$9) + CHOOSE(CONTROL!$C$27, 0.0021, 0)</f>
        <v>103.224</v>
      </c>
      <c r="K696" s="14">
        <f>103.2219 * CHOOSE(CONTROL!$C$9, $D$9, 100%, $F$9) + CHOOSE(CONTROL!$C$27, 0.0021, 0)</f>
        <v>103.224</v>
      </c>
      <c r="L696" s="14"/>
    </row>
    <row r="697" spans="1:12" ht="15.75" x14ac:dyDescent="0.25">
      <c r="A697" s="32">
        <v>62152</v>
      </c>
      <c r="B697" s="14">
        <f>103.3724 * CHOOSE(CONTROL!$C$9, $D$9, 100%, $F$9) + CHOOSE(CONTROL!$C$27, 0.0021, 0)</f>
        <v>103.3745</v>
      </c>
      <c r="C697" s="14">
        <f>102.9402 * CHOOSE(CONTROL!$C$9, $D$9, 100%, $F$9) + CHOOSE(CONTROL!$C$27, 0.0021, 0)</f>
        <v>102.9423</v>
      </c>
      <c r="D697" s="14">
        <f>102.9402 * CHOOSE(CONTROL!$C$9, $D$9, 100%, $F$9) + CHOOSE(CONTROL!$C$27, 0.0021, 0)</f>
        <v>102.9423</v>
      </c>
      <c r="E697" s="14">
        <f>102.8035 * CHOOSE(CONTROL!$C$9, $D$9, 100%, $F$9) + CHOOSE(CONTROL!$C$27, 0.0021, 0)</f>
        <v>102.8056</v>
      </c>
      <c r="F697" s="14">
        <f>102.8035 * CHOOSE(CONTROL!$C$9, $D$9, 100%, $F$9) + CHOOSE(CONTROL!$C$27, 0.0021, 0)</f>
        <v>102.8056</v>
      </c>
      <c r="G697" s="14">
        <f>103.0749 * CHOOSE(CONTROL!$C$9, $D$9, 100%, $F$9) + CHOOSE(CONTROL!$C$27, 0.0021, 0)</f>
        <v>103.077</v>
      </c>
      <c r="H697" s="14">
        <f>102.9402 * CHOOSE(CONTROL!$C$9, $D$9, 100%, $F$9) + CHOOSE(CONTROL!$C$27, 0.0021, 0)</f>
        <v>102.9423</v>
      </c>
      <c r="I697" s="14">
        <f>102.9402 * CHOOSE(CONTROL!$C$9, $D$9, 100%, $F$9) + CHOOSE(CONTROL!$C$27, 0.0021, 0)</f>
        <v>102.9423</v>
      </c>
      <c r="J697" s="14">
        <f>102.9402 * CHOOSE(CONTROL!$C$9, $D$9, 100%, $F$9) + CHOOSE(CONTROL!$C$27, 0.0021, 0)</f>
        <v>102.9423</v>
      </c>
      <c r="K697" s="14">
        <f>102.9402 * CHOOSE(CONTROL!$C$9, $D$9, 100%, $F$9) + CHOOSE(CONTROL!$C$27, 0.0021, 0)</f>
        <v>102.9423</v>
      </c>
      <c r="L697" s="14"/>
    </row>
    <row r="698" spans="1:12" ht="15.75" x14ac:dyDescent="0.25">
      <c r="A698" s="32">
        <v>62183</v>
      </c>
      <c r="B698" s="14">
        <f>108.6999 * CHOOSE(CONTROL!$C$9, $D$9, 100%, $F$9) + CHOOSE(CONTROL!$C$27, 0.0021, 0)</f>
        <v>108.702</v>
      </c>
      <c r="C698" s="14">
        <f>108.2677 * CHOOSE(CONTROL!$C$9, $D$9, 100%, $F$9) + CHOOSE(CONTROL!$C$27, 0.0021, 0)</f>
        <v>108.2698</v>
      </c>
      <c r="D698" s="14">
        <f>108.2677 * CHOOSE(CONTROL!$C$9, $D$9, 100%, $F$9) + CHOOSE(CONTROL!$C$27, 0.0021, 0)</f>
        <v>108.2698</v>
      </c>
      <c r="E698" s="14">
        <f>108.131 * CHOOSE(CONTROL!$C$9, $D$9, 100%, $F$9) + CHOOSE(CONTROL!$C$27, 0.0021, 0)</f>
        <v>108.1331</v>
      </c>
      <c r="F698" s="14">
        <f>108.131 * CHOOSE(CONTROL!$C$9, $D$9, 100%, $F$9) + CHOOSE(CONTROL!$C$27, 0.0021, 0)</f>
        <v>108.1331</v>
      </c>
      <c r="G698" s="14">
        <f>108.4024 * CHOOSE(CONTROL!$C$9, $D$9, 100%, $F$9) + CHOOSE(CONTROL!$C$27, 0.0021, 0)</f>
        <v>108.4045</v>
      </c>
      <c r="H698" s="14">
        <f>108.2677 * CHOOSE(CONTROL!$C$9, $D$9, 100%, $F$9) + CHOOSE(CONTROL!$C$27, 0.0021, 0)</f>
        <v>108.2698</v>
      </c>
      <c r="I698" s="14">
        <f>108.2677 * CHOOSE(CONTROL!$C$9, $D$9, 100%, $F$9) + CHOOSE(CONTROL!$C$27, 0.0021, 0)</f>
        <v>108.2698</v>
      </c>
      <c r="J698" s="14">
        <f>108.2677 * CHOOSE(CONTROL!$C$9, $D$9, 100%, $F$9) + CHOOSE(CONTROL!$C$27, 0.0021, 0)</f>
        <v>108.2698</v>
      </c>
      <c r="K698" s="14">
        <f>108.2677 * CHOOSE(CONTROL!$C$9, $D$9, 100%, $F$9) + CHOOSE(CONTROL!$C$27, 0.0021, 0)</f>
        <v>108.2698</v>
      </c>
      <c r="L698" s="14"/>
    </row>
    <row r="699" spans="1:12" ht="15.75" x14ac:dyDescent="0.25">
      <c r="A699" s="32">
        <v>62213</v>
      </c>
      <c r="B699" s="14">
        <f>115.6084 * CHOOSE(CONTROL!$C$9, $D$9, 100%, $F$9) + CHOOSE(CONTROL!$C$27, 0.0021, 0)</f>
        <v>115.6105</v>
      </c>
      <c r="C699" s="14">
        <f>115.1762 * CHOOSE(CONTROL!$C$9, $D$9, 100%, $F$9) + CHOOSE(CONTROL!$C$27, 0.0021, 0)</f>
        <v>115.17829999999999</v>
      </c>
      <c r="D699" s="14">
        <f>115.1762 * CHOOSE(CONTROL!$C$9, $D$9, 100%, $F$9) + CHOOSE(CONTROL!$C$27, 0.0021, 0)</f>
        <v>115.17829999999999</v>
      </c>
      <c r="E699" s="14">
        <f>115.0395 * CHOOSE(CONTROL!$C$9, $D$9, 100%, $F$9) + CHOOSE(CONTROL!$C$27, 0.0021, 0)</f>
        <v>115.0416</v>
      </c>
      <c r="F699" s="14">
        <f>115.0395 * CHOOSE(CONTROL!$C$9, $D$9, 100%, $F$9) + CHOOSE(CONTROL!$C$27, 0.0021, 0)</f>
        <v>115.0416</v>
      </c>
      <c r="G699" s="14">
        <f>115.3109 * CHOOSE(CONTROL!$C$9, $D$9, 100%, $F$9) + CHOOSE(CONTROL!$C$27, 0.0021, 0)</f>
        <v>115.313</v>
      </c>
      <c r="H699" s="14">
        <f>115.1762 * CHOOSE(CONTROL!$C$9, $D$9, 100%, $F$9) + CHOOSE(CONTROL!$C$27, 0.0021, 0)</f>
        <v>115.17829999999999</v>
      </c>
      <c r="I699" s="14">
        <f>115.1762 * CHOOSE(CONTROL!$C$9, $D$9, 100%, $F$9) + CHOOSE(CONTROL!$C$27, 0.0021, 0)</f>
        <v>115.17829999999999</v>
      </c>
      <c r="J699" s="14">
        <f>115.1762 * CHOOSE(CONTROL!$C$9, $D$9, 100%, $F$9) + CHOOSE(CONTROL!$C$27, 0.0021, 0)</f>
        <v>115.17829999999999</v>
      </c>
      <c r="K699" s="14">
        <f>115.1762 * CHOOSE(CONTROL!$C$9, $D$9, 100%, $F$9) + CHOOSE(CONTROL!$C$27, 0.0021, 0)</f>
        <v>115.17829999999999</v>
      </c>
      <c r="L699" s="14"/>
    </row>
    <row r="700" spans="1:12" ht="15.75" x14ac:dyDescent="0.25">
      <c r="A700" s="32">
        <v>62244</v>
      </c>
      <c r="B700" s="14">
        <f>119.4111 * CHOOSE(CONTROL!$C$9, $D$9, 100%, $F$9) + CHOOSE(CONTROL!$C$27, 0.0021, 0)</f>
        <v>119.4132</v>
      </c>
      <c r="C700" s="14">
        <f>118.9788 * CHOOSE(CONTROL!$C$9, $D$9, 100%, $F$9) + CHOOSE(CONTROL!$C$27, 0.0021, 0)</f>
        <v>118.98090000000001</v>
      </c>
      <c r="D700" s="14">
        <f>118.9788 * CHOOSE(CONTROL!$C$9, $D$9, 100%, $F$9) + CHOOSE(CONTROL!$C$27, 0.0021, 0)</f>
        <v>118.98090000000001</v>
      </c>
      <c r="E700" s="14">
        <f>118.8422 * CHOOSE(CONTROL!$C$9, $D$9, 100%, $F$9) + CHOOSE(CONTROL!$C$27, 0.0021, 0)</f>
        <v>118.8443</v>
      </c>
      <c r="F700" s="14">
        <f>118.8422 * CHOOSE(CONTROL!$C$9, $D$9, 100%, $F$9) + CHOOSE(CONTROL!$C$27, 0.0021, 0)</f>
        <v>118.8443</v>
      </c>
      <c r="G700" s="14">
        <f>119.1135 * CHOOSE(CONTROL!$C$9, $D$9, 100%, $F$9) + CHOOSE(CONTROL!$C$27, 0.0021, 0)</f>
        <v>119.1156</v>
      </c>
      <c r="H700" s="14">
        <f>118.9788 * CHOOSE(CONTROL!$C$9, $D$9, 100%, $F$9) + CHOOSE(CONTROL!$C$27, 0.0021, 0)</f>
        <v>118.98090000000001</v>
      </c>
      <c r="I700" s="14">
        <f>118.9788 * CHOOSE(CONTROL!$C$9, $D$9, 100%, $F$9) + CHOOSE(CONTROL!$C$27, 0.0021, 0)</f>
        <v>118.98090000000001</v>
      </c>
      <c r="J700" s="14">
        <f>118.9788 * CHOOSE(CONTROL!$C$9, $D$9, 100%, $F$9) + CHOOSE(CONTROL!$C$27, 0.0021, 0)</f>
        <v>118.98090000000001</v>
      </c>
      <c r="K700" s="14">
        <f>118.9788 * CHOOSE(CONTROL!$C$9, $D$9, 100%, $F$9) + CHOOSE(CONTROL!$C$27, 0.0021, 0)</f>
        <v>118.98090000000001</v>
      </c>
      <c r="L700" s="14"/>
    </row>
    <row r="701" spans="1:12" ht="15.75" x14ac:dyDescent="0.25">
      <c r="A701" s="32">
        <v>62274</v>
      </c>
      <c r="B701" s="14">
        <f>121.0986 * CHOOSE(CONTROL!$C$9, $D$9, 100%, $F$9) + CHOOSE(CONTROL!$C$27, 0.0021, 0)</f>
        <v>121.1007</v>
      </c>
      <c r="C701" s="14">
        <f>120.6664 * CHOOSE(CONTROL!$C$9, $D$9, 100%, $F$9) + CHOOSE(CONTROL!$C$27, 0.0021, 0)</f>
        <v>120.66849999999999</v>
      </c>
      <c r="D701" s="14">
        <f>120.6664 * CHOOSE(CONTROL!$C$9, $D$9, 100%, $F$9) + CHOOSE(CONTROL!$C$27, 0.0021, 0)</f>
        <v>120.66849999999999</v>
      </c>
      <c r="E701" s="14">
        <f>120.5297 * CHOOSE(CONTROL!$C$9, $D$9, 100%, $F$9) + CHOOSE(CONTROL!$C$27, 0.0021, 0)</f>
        <v>120.5318</v>
      </c>
      <c r="F701" s="14">
        <f>120.5297 * CHOOSE(CONTROL!$C$9, $D$9, 100%, $F$9) + CHOOSE(CONTROL!$C$27, 0.0021, 0)</f>
        <v>120.5318</v>
      </c>
      <c r="G701" s="14">
        <f>120.8011 * CHOOSE(CONTROL!$C$9, $D$9, 100%, $F$9) + CHOOSE(CONTROL!$C$27, 0.0021, 0)</f>
        <v>120.8032</v>
      </c>
      <c r="H701" s="14">
        <f>120.6664 * CHOOSE(CONTROL!$C$9, $D$9, 100%, $F$9) + CHOOSE(CONTROL!$C$27, 0.0021, 0)</f>
        <v>120.66849999999999</v>
      </c>
      <c r="I701" s="14">
        <f>120.6664 * CHOOSE(CONTROL!$C$9, $D$9, 100%, $F$9) + CHOOSE(CONTROL!$C$27, 0.0021, 0)</f>
        <v>120.66849999999999</v>
      </c>
      <c r="J701" s="14">
        <f>120.6664 * CHOOSE(CONTROL!$C$9, $D$9, 100%, $F$9) + CHOOSE(CONTROL!$C$27, 0.0021, 0)</f>
        <v>120.66849999999999</v>
      </c>
      <c r="K701" s="14">
        <f>120.6664 * CHOOSE(CONTROL!$C$9, $D$9, 100%, $F$9) + CHOOSE(CONTROL!$C$27, 0.0021, 0)</f>
        <v>120.66849999999999</v>
      </c>
      <c r="L701" s="14"/>
    </row>
    <row r="702" spans="1:12" ht="15.75" x14ac:dyDescent="0.25">
      <c r="A702" s="32">
        <v>62305</v>
      </c>
      <c r="B702" s="14">
        <f>120.543 * CHOOSE(CONTROL!$C$9, $D$9, 100%, $F$9) + CHOOSE(CONTROL!$C$27, 0.0021, 0)</f>
        <v>120.54510000000001</v>
      </c>
      <c r="C702" s="14">
        <f>120.1108 * CHOOSE(CONTROL!$C$9, $D$9, 100%, $F$9) + CHOOSE(CONTROL!$C$27, 0.0021, 0)</f>
        <v>120.1129</v>
      </c>
      <c r="D702" s="14">
        <f>120.1108 * CHOOSE(CONTROL!$C$9, $D$9, 100%, $F$9) + CHOOSE(CONTROL!$C$27, 0.0021, 0)</f>
        <v>120.1129</v>
      </c>
      <c r="E702" s="14">
        <f>119.9741 * CHOOSE(CONTROL!$C$9, $D$9, 100%, $F$9) + CHOOSE(CONTROL!$C$27, 0.0021, 0)</f>
        <v>119.97620000000001</v>
      </c>
      <c r="F702" s="14">
        <f>119.9741 * CHOOSE(CONTROL!$C$9, $D$9, 100%, $F$9) + CHOOSE(CONTROL!$C$27, 0.0021, 0)</f>
        <v>119.97620000000001</v>
      </c>
      <c r="G702" s="14">
        <f>120.2455 * CHOOSE(CONTROL!$C$9, $D$9, 100%, $F$9) + CHOOSE(CONTROL!$C$27, 0.0021, 0)</f>
        <v>120.24760000000001</v>
      </c>
      <c r="H702" s="14">
        <f>120.1108 * CHOOSE(CONTROL!$C$9, $D$9, 100%, $F$9) + CHOOSE(CONTROL!$C$27, 0.0021, 0)</f>
        <v>120.1129</v>
      </c>
      <c r="I702" s="14">
        <f>120.1108 * CHOOSE(CONTROL!$C$9, $D$9, 100%, $F$9) + CHOOSE(CONTROL!$C$27, 0.0021, 0)</f>
        <v>120.1129</v>
      </c>
      <c r="J702" s="14">
        <f>120.1108 * CHOOSE(CONTROL!$C$9, $D$9, 100%, $F$9) + CHOOSE(CONTROL!$C$27, 0.0021, 0)</f>
        <v>120.1129</v>
      </c>
      <c r="K702" s="14">
        <f>120.1108 * CHOOSE(CONTROL!$C$9, $D$9, 100%, $F$9) + CHOOSE(CONTROL!$C$27, 0.0021, 0)</f>
        <v>120.1129</v>
      </c>
      <c r="L702" s="14"/>
    </row>
    <row r="703" spans="1:12" ht="15.75" x14ac:dyDescent="0.25">
      <c r="A703" s="32">
        <v>62336</v>
      </c>
      <c r="B703" s="14">
        <f>117.7902 * CHOOSE(CONTROL!$C$9, $D$9, 100%, $F$9) + CHOOSE(CONTROL!$C$27, 0.0021, 0)</f>
        <v>117.7923</v>
      </c>
      <c r="C703" s="14">
        <f>117.3579 * CHOOSE(CONTROL!$C$9, $D$9, 100%, $F$9) + CHOOSE(CONTROL!$C$27, 0.0021, 0)</f>
        <v>117.36</v>
      </c>
      <c r="D703" s="14">
        <f>117.3579 * CHOOSE(CONTROL!$C$9, $D$9, 100%, $F$9) + CHOOSE(CONTROL!$C$27, 0.0021, 0)</f>
        <v>117.36</v>
      </c>
      <c r="E703" s="14">
        <f>117.2213 * CHOOSE(CONTROL!$C$9, $D$9, 100%, $F$9) + CHOOSE(CONTROL!$C$27, 0.0021, 0)</f>
        <v>117.2234</v>
      </c>
      <c r="F703" s="14">
        <f>117.2213 * CHOOSE(CONTROL!$C$9, $D$9, 100%, $F$9) + CHOOSE(CONTROL!$C$27, 0.0021, 0)</f>
        <v>117.2234</v>
      </c>
      <c r="G703" s="14">
        <f>117.4927 * CHOOSE(CONTROL!$C$9, $D$9, 100%, $F$9) + CHOOSE(CONTROL!$C$27, 0.0021, 0)</f>
        <v>117.4948</v>
      </c>
      <c r="H703" s="14">
        <f>117.3579 * CHOOSE(CONTROL!$C$9, $D$9, 100%, $F$9) + CHOOSE(CONTROL!$C$27, 0.0021, 0)</f>
        <v>117.36</v>
      </c>
      <c r="I703" s="14">
        <f>117.3579 * CHOOSE(CONTROL!$C$9, $D$9, 100%, $F$9) + CHOOSE(CONTROL!$C$27, 0.0021, 0)</f>
        <v>117.36</v>
      </c>
      <c r="J703" s="14">
        <f>117.3579 * CHOOSE(CONTROL!$C$9, $D$9, 100%, $F$9) + CHOOSE(CONTROL!$C$27, 0.0021, 0)</f>
        <v>117.36</v>
      </c>
      <c r="K703" s="14">
        <f>117.3579 * CHOOSE(CONTROL!$C$9, $D$9, 100%, $F$9) + CHOOSE(CONTROL!$C$27, 0.0021, 0)</f>
        <v>117.36</v>
      </c>
      <c r="L703" s="14"/>
    </row>
    <row r="704" spans="1:12" ht="15.75" x14ac:dyDescent="0.25">
      <c r="A704" s="32">
        <v>62366</v>
      </c>
      <c r="B704" s="14">
        <f>113.9512 * CHOOSE(CONTROL!$C$9, $D$9, 100%, $F$9) + CHOOSE(CONTROL!$C$27, 0.0021, 0)</f>
        <v>113.9533</v>
      </c>
      <c r="C704" s="14">
        <f>113.519 * CHOOSE(CONTROL!$C$9, $D$9, 100%, $F$9) + CHOOSE(CONTROL!$C$27, 0.0021, 0)</f>
        <v>113.5211</v>
      </c>
      <c r="D704" s="14">
        <f>113.519 * CHOOSE(CONTROL!$C$9, $D$9, 100%, $F$9) + CHOOSE(CONTROL!$C$27, 0.0021, 0)</f>
        <v>113.5211</v>
      </c>
      <c r="E704" s="14">
        <f>113.3823 * CHOOSE(CONTROL!$C$9, $D$9, 100%, $F$9) + CHOOSE(CONTROL!$C$27, 0.0021, 0)</f>
        <v>113.3844</v>
      </c>
      <c r="F704" s="14">
        <f>113.3823 * CHOOSE(CONTROL!$C$9, $D$9, 100%, $F$9) + CHOOSE(CONTROL!$C$27, 0.0021, 0)</f>
        <v>113.3844</v>
      </c>
      <c r="G704" s="14">
        <f>113.6537 * CHOOSE(CONTROL!$C$9, $D$9, 100%, $F$9) + CHOOSE(CONTROL!$C$27, 0.0021, 0)</f>
        <v>113.6558</v>
      </c>
      <c r="H704" s="14">
        <f>113.519 * CHOOSE(CONTROL!$C$9, $D$9, 100%, $F$9) + CHOOSE(CONTROL!$C$27, 0.0021, 0)</f>
        <v>113.5211</v>
      </c>
      <c r="I704" s="14">
        <f>113.519 * CHOOSE(CONTROL!$C$9, $D$9, 100%, $F$9) + CHOOSE(CONTROL!$C$27, 0.0021, 0)</f>
        <v>113.5211</v>
      </c>
      <c r="J704" s="14">
        <f>113.519 * CHOOSE(CONTROL!$C$9, $D$9, 100%, $F$9) + CHOOSE(CONTROL!$C$27, 0.0021, 0)</f>
        <v>113.5211</v>
      </c>
      <c r="K704" s="14">
        <f>113.519 * CHOOSE(CONTROL!$C$9, $D$9, 100%, $F$9) + CHOOSE(CONTROL!$C$27, 0.0021, 0)</f>
        <v>113.5211</v>
      </c>
      <c r="L704" s="14"/>
    </row>
    <row r="705" spans="1:12" ht="15.75" x14ac:dyDescent="0.25">
      <c r="A705" s="32">
        <v>62397</v>
      </c>
      <c r="B705" s="14">
        <f>110.09 * CHOOSE(CONTROL!$C$9, $D$9, 100%, $F$9) + CHOOSE(CONTROL!$C$27, 0.0021, 0)</f>
        <v>110.0921</v>
      </c>
      <c r="C705" s="14">
        <f>109.6577 * CHOOSE(CONTROL!$C$9, $D$9, 100%, $F$9) + CHOOSE(CONTROL!$C$27, 0.0021, 0)</f>
        <v>109.6598</v>
      </c>
      <c r="D705" s="14">
        <f>109.6577 * CHOOSE(CONTROL!$C$9, $D$9, 100%, $F$9) + CHOOSE(CONTROL!$C$27, 0.0021, 0)</f>
        <v>109.6598</v>
      </c>
      <c r="E705" s="14">
        <f>109.5211 * CHOOSE(CONTROL!$C$9, $D$9, 100%, $F$9) + CHOOSE(CONTROL!$C$27, 0.0021, 0)</f>
        <v>109.5232</v>
      </c>
      <c r="F705" s="14">
        <f>109.5211 * CHOOSE(CONTROL!$C$9, $D$9, 100%, $F$9) + CHOOSE(CONTROL!$C$27, 0.0021, 0)</f>
        <v>109.5232</v>
      </c>
      <c r="G705" s="14">
        <f>109.7924 * CHOOSE(CONTROL!$C$9, $D$9, 100%, $F$9) + CHOOSE(CONTROL!$C$27, 0.0021, 0)</f>
        <v>109.7945</v>
      </c>
      <c r="H705" s="14">
        <f>109.6577 * CHOOSE(CONTROL!$C$9, $D$9, 100%, $F$9) + CHOOSE(CONTROL!$C$27, 0.0021, 0)</f>
        <v>109.6598</v>
      </c>
      <c r="I705" s="14">
        <f>109.6577 * CHOOSE(CONTROL!$C$9, $D$9, 100%, $F$9) + CHOOSE(CONTROL!$C$27, 0.0021, 0)</f>
        <v>109.6598</v>
      </c>
      <c r="J705" s="14">
        <f>109.6577 * CHOOSE(CONTROL!$C$9, $D$9, 100%, $F$9) + CHOOSE(CONTROL!$C$27, 0.0021, 0)</f>
        <v>109.6598</v>
      </c>
      <c r="K705" s="14">
        <f>109.6577 * CHOOSE(CONTROL!$C$9, $D$9, 100%, $F$9) + CHOOSE(CONTROL!$C$27, 0.0021, 0)</f>
        <v>109.6598</v>
      </c>
      <c r="L705" s="14"/>
    </row>
    <row r="706" spans="1:12" ht="15.75" x14ac:dyDescent="0.25">
      <c r="A706" s="32">
        <v>62427</v>
      </c>
      <c r="B706" s="14">
        <f>109.3219 * CHOOSE(CONTROL!$C$9, $D$9, 100%, $F$9) + CHOOSE(CONTROL!$C$27, 0.0021, 0)</f>
        <v>109.324</v>
      </c>
      <c r="C706" s="14">
        <f>108.8896 * CHOOSE(CONTROL!$C$9, $D$9, 100%, $F$9) + CHOOSE(CONTROL!$C$27, 0.0021, 0)</f>
        <v>108.8917</v>
      </c>
      <c r="D706" s="14">
        <f>108.8896 * CHOOSE(CONTROL!$C$9, $D$9, 100%, $F$9) + CHOOSE(CONTROL!$C$27, 0.0021, 0)</f>
        <v>108.8917</v>
      </c>
      <c r="E706" s="14">
        <f>108.753 * CHOOSE(CONTROL!$C$9, $D$9, 100%, $F$9) + CHOOSE(CONTROL!$C$27, 0.0021, 0)</f>
        <v>108.7551</v>
      </c>
      <c r="F706" s="14">
        <f>108.753 * CHOOSE(CONTROL!$C$9, $D$9, 100%, $F$9) + CHOOSE(CONTROL!$C$27, 0.0021, 0)</f>
        <v>108.7551</v>
      </c>
      <c r="G706" s="14">
        <f>109.0243 * CHOOSE(CONTROL!$C$9, $D$9, 100%, $F$9) + CHOOSE(CONTROL!$C$27, 0.0021, 0)</f>
        <v>109.0264</v>
      </c>
      <c r="H706" s="14">
        <f>108.8896 * CHOOSE(CONTROL!$C$9, $D$9, 100%, $F$9) + CHOOSE(CONTROL!$C$27, 0.0021, 0)</f>
        <v>108.8917</v>
      </c>
      <c r="I706" s="14">
        <f>108.8896 * CHOOSE(CONTROL!$C$9, $D$9, 100%, $F$9) + CHOOSE(CONTROL!$C$27, 0.0021, 0)</f>
        <v>108.8917</v>
      </c>
      <c r="J706" s="14">
        <f>108.8896 * CHOOSE(CONTROL!$C$9, $D$9, 100%, $F$9) + CHOOSE(CONTROL!$C$27, 0.0021, 0)</f>
        <v>108.8917</v>
      </c>
      <c r="K706" s="14">
        <f>108.8896 * CHOOSE(CONTROL!$C$9, $D$9, 100%, $F$9) + CHOOSE(CONTROL!$C$27, 0.0021, 0)</f>
        <v>108.8917</v>
      </c>
      <c r="L706" s="14"/>
    </row>
    <row r="707" spans="1:12" ht="15.75" x14ac:dyDescent="0.25">
      <c r="A707" s="32">
        <v>62458</v>
      </c>
      <c r="B707" s="14">
        <f>106.1458 * CHOOSE(CONTROL!$C$9, $D$9, 100%, $F$9) + CHOOSE(CONTROL!$C$27, 0.0021, 0)</f>
        <v>106.14789999999999</v>
      </c>
      <c r="C707" s="14">
        <f>105.7135 * CHOOSE(CONTROL!$C$9, $D$9, 100%, $F$9) + CHOOSE(CONTROL!$C$27, 0.0021, 0)</f>
        <v>105.71559999999999</v>
      </c>
      <c r="D707" s="14">
        <f>105.7135 * CHOOSE(CONTROL!$C$9, $D$9, 100%, $F$9) + CHOOSE(CONTROL!$C$27, 0.0021, 0)</f>
        <v>105.71559999999999</v>
      </c>
      <c r="E707" s="14">
        <f>105.5769 * CHOOSE(CONTROL!$C$9, $D$9, 100%, $F$9) + CHOOSE(CONTROL!$C$27, 0.0021, 0)</f>
        <v>105.57899999999999</v>
      </c>
      <c r="F707" s="14">
        <f>105.5769 * CHOOSE(CONTROL!$C$9, $D$9, 100%, $F$9) + CHOOSE(CONTROL!$C$27, 0.0021, 0)</f>
        <v>105.57899999999999</v>
      </c>
      <c r="G707" s="14">
        <f>105.8482 * CHOOSE(CONTROL!$C$9, $D$9, 100%, $F$9) + CHOOSE(CONTROL!$C$27, 0.0021, 0)</f>
        <v>105.8503</v>
      </c>
      <c r="H707" s="14">
        <f>105.7135 * CHOOSE(CONTROL!$C$9, $D$9, 100%, $F$9) + CHOOSE(CONTROL!$C$27, 0.0021, 0)</f>
        <v>105.71559999999999</v>
      </c>
      <c r="I707" s="14">
        <f>105.7135 * CHOOSE(CONTROL!$C$9, $D$9, 100%, $F$9) + CHOOSE(CONTROL!$C$27, 0.0021, 0)</f>
        <v>105.71559999999999</v>
      </c>
      <c r="J707" s="14">
        <f>105.7135 * CHOOSE(CONTROL!$C$9, $D$9, 100%, $F$9) + CHOOSE(CONTROL!$C$27, 0.0021, 0)</f>
        <v>105.71559999999999</v>
      </c>
      <c r="K707" s="14">
        <f>105.7135 * CHOOSE(CONTROL!$C$9, $D$9, 100%, $F$9) + CHOOSE(CONTROL!$C$27, 0.0021, 0)</f>
        <v>105.71559999999999</v>
      </c>
      <c r="L707" s="14"/>
    </row>
    <row r="708" spans="1:12" ht="15.75" x14ac:dyDescent="0.25">
      <c r="A708" s="32">
        <v>62489</v>
      </c>
      <c r="B708" s="14">
        <f>105.5274 * CHOOSE(CONTROL!$C$9, $D$9, 100%, $F$9) + CHOOSE(CONTROL!$C$27, 0.0021, 0)</f>
        <v>105.5295</v>
      </c>
      <c r="C708" s="14">
        <f>105.0952 * CHOOSE(CONTROL!$C$9, $D$9, 100%, $F$9) + CHOOSE(CONTROL!$C$27, 0.0021, 0)</f>
        <v>105.0973</v>
      </c>
      <c r="D708" s="14">
        <f>105.0952 * CHOOSE(CONTROL!$C$9, $D$9, 100%, $F$9) + CHOOSE(CONTROL!$C$27, 0.0021, 0)</f>
        <v>105.0973</v>
      </c>
      <c r="E708" s="14">
        <f>104.9585 * CHOOSE(CONTROL!$C$9, $D$9, 100%, $F$9) + CHOOSE(CONTROL!$C$27, 0.0021, 0)</f>
        <v>104.9606</v>
      </c>
      <c r="F708" s="14">
        <f>104.9585 * CHOOSE(CONTROL!$C$9, $D$9, 100%, $F$9) + CHOOSE(CONTROL!$C$27, 0.0021, 0)</f>
        <v>104.9606</v>
      </c>
      <c r="G708" s="14">
        <f>105.2299 * CHOOSE(CONTROL!$C$9, $D$9, 100%, $F$9) + CHOOSE(CONTROL!$C$27, 0.0021, 0)</f>
        <v>105.232</v>
      </c>
      <c r="H708" s="14">
        <f>105.0952 * CHOOSE(CONTROL!$C$9, $D$9, 100%, $F$9) + CHOOSE(CONTROL!$C$27, 0.0021, 0)</f>
        <v>105.0973</v>
      </c>
      <c r="I708" s="14">
        <f>105.0952 * CHOOSE(CONTROL!$C$9, $D$9, 100%, $F$9) + CHOOSE(CONTROL!$C$27, 0.0021, 0)</f>
        <v>105.0973</v>
      </c>
      <c r="J708" s="14">
        <f>105.0952 * CHOOSE(CONTROL!$C$9, $D$9, 100%, $F$9) + CHOOSE(CONTROL!$C$27, 0.0021, 0)</f>
        <v>105.0973</v>
      </c>
      <c r="K708" s="14">
        <f>105.0952 * CHOOSE(CONTROL!$C$9, $D$9, 100%, $F$9) + CHOOSE(CONTROL!$C$27, 0.0021, 0)</f>
        <v>105.0973</v>
      </c>
      <c r="L708" s="14"/>
    </row>
    <row r="709" spans="1:12" ht="15.75" x14ac:dyDescent="0.25">
      <c r="A709" s="32">
        <v>62517</v>
      </c>
      <c r="B709" s="14">
        <f>105.2404 * CHOOSE(CONTROL!$C$9, $D$9, 100%, $F$9) + CHOOSE(CONTROL!$C$27, 0.0021, 0)</f>
        <v>105.24249999999999</v>
      </c>
      <c r="C709" s="14">
        <f>104.8082 * CHOOSE(CONTROL!$C$9, $D$9, 100%, $F$9) + CHOOSE(CONTROL!$C$27, 0.0021, 0)</f>
        <v>104.8103</v>
      </c>
      <c r="D709" s="14">
        <f>104.8082 * CHOOSE(CONTROL!$C$9, $D$9, 100%, $F$9) + CHOOSE(CONTROL!$C$27, 0.0021, 0)</f>
        <v>104.8103</v>
      </c>
      <c r="E709" s="14">
        <f>104.6715 * CHOOSE(CONTROL!$C$9, $D$9, 100%, $F$9) + CHOOSE(CONTROL!$C$27, 0.0021, 0)</f>
        <v>104.67359999999999</v>
      </c>
      <c r="F709" s="14">
        <f>104.6715 * CHOOSE(CONTROL!$C$9, $D$9, 100%, $F$9) + CHOOSE(CONTROL!$C$27, 0.0021, 0)</f>
        <v>104.67359999999999</v>
      </c>
      <c r="G709" s="14">
        <f>104.9429 * CHOOSE(CONTROL!$C$9, $D$9, 100%, $F$9) + CHOOSE(CONTROL!$C$27, 0.0021, 0)</f>
        <v>104.94499999999999</v>
      </c>
      <c r="H709" s="14">
        <f>104.8082 * CHOOSE(CONTROL!$C$9, $D$9, 100%, $F$9) + CHOOSE(CONTROL!$C$27, 0.0021, 0)</f>
        <v>104.8103</v>
      </c>
      <c r="I709" s="14">
        <f>104.8082 * CHOOSE(CONTROL!$C$9, $D$9, 100%, $F$9) + CHOOSE(CONTROL!$C$27, 0.0021, 0)</f>
        <v>104.8103</v>
      </c>
      <c r="J709" s="14">
        <f>104.8082 * CHOOSE(CONTROL!$C$9, $D$9, 100%, $F$9) + CHOOSE(CONTROL!$C$27, 0.0021, 0)</f>
        <v>104.8103</v>
      </c>
      <c r="K709" s="14">
        <f>104.8082 * CHOOSE(CONTROL!$C$9, $D$9, 100%, $F$9) + CHOOSE(CONTROL!$C$27, 0.0021, 0)</f>
        <v>104.8103</v>
      </c>
      <c r="L709" s="14"/>
    </row>
    <row r="710" spans="1:12" ht="15.75" x14ac:dyDescent="0.25">
      <c r="A710" s="32">
        <v>62548</v>
      </c>
      <c r="B710" s="14">
        <f>110.6664 * CHOOSE(CONTROL!$C$9, $D$9, 100%, $F$9) + CHOOSE(CONTROL!$C$27, 0.0021, 0)</f>
        <v>110.66849999999999</v>
      </c>
      <c r="C710" s="14">
        <f>110.2342 * CHOOSE(CONTROL!$C$9, $D$9, 100%, $F$9) + CHOOSE(CONTROL!$C$27, 0.0021, 0)</f>
        <v>110.2363</v>
      </c>
      <c r="D710" s="14">
        <f>110.2342 * CHOOSE(CONTROL!$C$9, $D$9, 100%, $F$9) + CHOOSE(CONTROL!$C$27, 0.0021, 0)</f>
        <v>110.2363</v>
      </c>
      <c r="E710" s="14">
        <f>110.0975 * CHOOSE(CONTROL!$C$9, $D$9, 100%, $F$9) + CHOOSE(CONTROL!$C$27, 0.0021, 0)</f>
        <v>110.0996</v>
      </c>
      <c r="F710" s="14">
        <f>110.0975 * CHOOSE(CONTROL!$C$9, $D$9, 100%, $F$9) + CHOOSE(CONTROL!$C$27, 0.0021, 0)</f>
        <v>110.0996</v>
      </c>
      <c r="G710" s="14">
        <f>110.3689 * CHOOSE(CONTROL!$C$9, $D$9, 100%, $F$9) + CHOOSE(CONTROL!$C$27, 0.0021, 0)</f>
        <v>110.371</v>
      </c>
      <c r="H710" s="14">
        <f>110.2342 * CHOOSE(CONTROL!$C$9, $D$9, 100%, $F$9) + CHOOSE(CONTROL!$C$27, 0.0021, 0)</f>
        <v>110.2363</v>
      </c>
      <c r="I710" s="14">
        <f>110.2342 * CHOOSE(CONTROL!$C$9, $D$9, 100%, $F$9) + CHOOSE(CONTROL!$C$27, 0.0021, 0)</f>
        <v>110.2363</v>
      </c>
      <c r="J710" s="14">
        <f>110.2342 * CHOOSE(CONTROL!$C$9, $D$9, 100%, $F$9) + CHOOSE(CONTROL!$C$27, 0.0021, 0)</f>
        <v>110.2363</v>
      </c>
      <c r="K710" s="14">
        <f>110.2342 * CHOOSE(CONTROL!$C$9, $D$9, 100%, $F$9) + CHOOSE(CONTROL!$C$27, 0.0021, 0)</f>
        <v>110.2363</v>
      </c>
      <c r="L710" s="14"/>
    </row>
    <row r="711" spans="1:12" ht="15.75" x14ac:dyDescent="0.25">
      <c r="A711" s="32">
        <v>62578</v>
      </c>
      <c r="B711" s="14">
        <f>117.7026 * CHOOSE(CONTROL!$C$9, $D$9, 100%, $F$9) + CHOOSE(CONTROL!$C$27, 0.0021, 0)</f>
        <v>117.7047</v>
      </c>
      <c r="C711" s="14">
        <f>117.2703 * CHOOSE(CONTROL!$C$9, $D$9, 100%, $F$9) + CHOOSE(CONTROL!$C$27, 0.0021, 0)</f>
        <v>117.2724</v>
      </c>
      <c r="D711" s="14">
        <f>117.2703 * CHOOSE(CONTROL!$C$9, $D$9, 100%, $F$9) + CHOOSE(CONTROL!$C$27, 0.0021, 0)</f>
        <v>117.2724</v>
      </c>
      <c r="E711" s="14">
        <f>117.1337 * CHOOSE(CONTROL!$C$9, $D$9, 100%, $F$9) + CHOOSE(CONTROL!$C$27, 0.0021, 0)</f>
        <v>117.1358</v>
      </c>
      <c r="F711" s="14">
        <f>117.1337 * CHOOSE(CONTROL!$C$9, $D$9, 100%, $F$9) + CHOOSE(CONTROL!$C$27, 0.0021, 0)</f>
        <v>117.1358</v>
      </c>
      <c r="G711" s="14">
        <f>117.4051 * CHOOSE(CONTROL!$C$9, $D$9, 100%, $F$9) + CHOOSE(CONTROL!$C$27, 0.0021, 0)</f>
        <v>117.4072</v>
      </c>
      <c r="H711" s="14">
        <f>117.2703 * CHOOSE(CONTROL!$C$9, $D$9, 100%, $F$9) + CHOOSE(CONTROL!$C$27, 0.0021, 0)</f>
        <v>117.2724</v>
      </c>
      <c r="I711" s="14">
        <f>117.2703 * CHOOSE(CONTROL!$C$9, $D$9, 100%, $F$9) + CHOOSE(CONTROL!$C$27, 0.0021, 0)</f>
        <v>117.2724</v>
      </c>
      <c r="J711" s="14">
        <f>117.2703 * CHOOSE(CONTROL!$C$9, $D$9, 100%, $F$9) + CHOOSE(CONTROL!$C$27, 0.0021, 0)</f>
        <v>117.2724</v>
      </c>
      <c r="K711" s="14">
        <f>117.2703 * CHOOSE(CONTROL!$C$9, $D$9, 100%, $F$9) + CHOOSE(CONTROL!$C$27, 0.0021, 0)</f>
        <v>117.2724</v>
      </c>
      <c r="L711" s="14"/>
    </row>
    <row r="712" spans="1:12" ht="15.75" x14ac:dyDescent="0.25">
      <c r="A712" s="32">
        <v>62609</v>
      </c>
      <c r="B712" s="14">
        <f>121.5755 * CHOOSE(CONTROL!$C$9, $D$9, 100%, $F$9) + CHOOSE(CONTROL!$C$27, 0.0021, 0)</f>
        <v>121.5776</v>
      </c>
      <c r="C712" s="14">
        <f>121.1433 * CHOOSE(CONTROL!$C$9, $D$9, 100%, $F$9) + CHOOSE(CONTROL!$C$27, 0.0021, 0)</f>
        <v>121.1454</v>
      </c>
      <c r="D712" s="14">
        <f>121.1433 * CHOOSE(CONTROL!$C$9, $D$9, 100%, $F$9) + CHOOSE(CONTROL!$C$27, 0.0021, 0)</f>
        <v>121.1454</v>
      </c>
      <c r="E712" s="14">
        <f>121.0066 * CHOOSE(CONTROL!$C$9, $D$9, 100%, $F$9) + CHOOSE(CONTROL!$C$27, 0.0021, 0)</f>
        <v>121.0087</v>
      </c>
      <c r="F712" s="14">
        <f>121.0066 * CHOOSE(CONTROL!$C$9, $D$9, 100%, $F$9) + CHOOSE(CONTROL!$C$27, 0.0021, 0)</f>
        <v>121.0087</v>
      </c>
      <c r="G712" s="14">
        <f>121.278 * CHOOSE(CONTROL!$C$9, $D$9, 100%, $F$9) + CHOOSE(CONTROL!$C$27, 0.0021, 0)</f>
        <v>121.2801</v>
      </c>
      <c r="H712" s="14">
        <f>121.1433 * CHOOSE(CONTROL!$C$9, $D$9, 100%, $F$9) + CHOOSE(CONTROL!$C$27, 0.0021, 0)</f>
        <v>121.1454</v>
      </c>
      <c r="I712" s="14">
        <f>121.1433 * CHOOSE(CONTROL!$C$9, $D$9, 100%, $F$9) + CHOOSE(CONTROL!$C$27, 0.0021, 0)</f>
        <v>121.1454</v>
      </c>
      <c r="J712" s="14">
        <f>121.1433 * CHOOSE(CONTROL!$C$9, $D$9, 100%, $F$9) + CHOOSE(CONTROL!$C$27, 0.0021, 0)</f>
        <v>121.1454</v>
      </c>
      <c r="K712" s="14">
        <f>121.1433 * CHOOSE(CONTROL!$C$9, $D$9, 100%, $F$9) + CHOOSE(CONTROL!$C$27, 0.0021, 0)</f>
        <v>121.1454</v>
      </c>
      <c r="L712" s="14"/>
    </row>
    <row r="713" spans="1:12" ht="15.75" x14ac:dyDescent="0.25">
      <c r="A713" s="32">
        <v>62639</v>
      </c>
      <c r="B713" s="14">
        <f>123.2943 * CHOOSE(CONTROL!$C$9, $D$9, 100%, $F$9) + CHOOSE(CONTROL!$C$27, 0.0021, 0)</f>
        <v>123.29640000000001</v>
      </c>
      <c r="C713" s="14">
        <f>122.862 * CHOOSE(CONTROL!$C$9, $D$9, 100%, $F$9) + CHOOSE(CONTROL!$C$27, 0.0021, 0)</f>
        <v>122.86409999999999</v>
      </c>
      <c r="D713" s="14">
        <f>122.862 * CHOOSE(CONTROL!$C$9, $D$9, 100%, $F$9) + CHOOSE(CONTROL!$C$27, 0.0021, 0)</f>
        <v>122.86409999999999</v>
      </c>
      <c r="E713" s="14">
        <f>122.7254 * CHOOSE(CONTROL!$C$9, $D$9, 100%, $F$9) + CHOOSE(CONTROL!$C$27, 0.0021, 0)</f>
        <v>122.72749999999999</v>
      </c>
      <c r="F713" s="14">
        <f>122.7254 * CHOOSE(CONTROL!$C$9, $D$9, 100%, $F$9) + CHOOSE(CONTROL!$C$27, 0.0021, 0)</f>
        <v>122.72749999999999</v>
      </c>
      <c r="G713" s="14">
        <f>122.9967 * CHOOSE(CONTROL!$C$9, $D$9, 100%, $F$9) + CHOOSE(CONTROL!$C$27, 0.0021, 0)</f>
        <v>122.9988</v>
      </c>
      <c r="H713" s="14">
        <f>122.862 * CHOOSE(CONTROL!$C$9, $D$9, 100%, $F$9) + CHOOSE(CONTROL!$C$27, 0.0021, 0)</f>
        <v>122.86409999999999</v>
      </c>
      <c r="I713" s="14">
        <f>122.862 * CHOOSE(CONTROL!$C$9, $D$9, 100%, $F$9) + CHOOSE(CONTROL!$C$27, 0.0021, 0)</f>
        <v>122.86409999999999</v>
      </c>
      <c r="J713" s="14">
        <f>122.862 * CHOOSE(CONTROL!$C$9, $D$9, 100%, $F$9) + CHOOSE(CONTROL!$C$27, 0.0021, 0)</f>
        <v>122.86409999999999</v>
      </c>
      <c r="K713" s="14">
        <f>122.862 * CHOOSE(CONTROL!$C$9, $D$9, 100%, $F$9) + CHOOSE(CONTROL!$C$27, 0.0021, 0)</f>
        <v>122.86409999999999</v>
      </c>
      <c r="L713" s="14"/>
    </row>
    <row r="714" spans="1:12" ht="15.75" x14ac:dyDescent="0.25">
      <c r="A714" s="32">
        <v>62670</v>
      </c>
      <c r="B714" s="14">
        <f>122.7284 * CHOOSE(CONTROL!$C$9, $D$9, 100%, $F$9) + CHOOSE(CONTROL!$C$27, 0.0021, 0)</f>
        <v>122.73049999999999</v>
      </c>
      <c r="C714" s="14">
        <f>122.2961 * CHOOSE(CONTROL!$C$9, $D$9, 100%, $F$9) + CHOOSE(CONTROL!$C$27, 0.0021, 0)</f>
        <v>122.29819999999999</v>
      </c>
      <c r="D714" s="14">
        <f>122.2961 * CHOOSE(CONTROL!$C$9, $D$9, 100%, $F$9) + CHOOSE(CONTROL!$C$27, 0.0021, 0)</f>
        <v>122.29819999999999</v>
      </c>
      <c r="E714" s="14">
        <f>122.1595 * CHOOSE(CONTROL!$C$9, $D$9, 100%, $F$9) + CHOOSE(CONTROL!$C$27, 0.0021, 0)</f>
        <v>122.16159999999999</v>
      </c>
      <c r="F714" s="14">
        <f>122.1595 * CHOOSE(CONTROL!$C$9, $D$9, 100%, $F$9) + CHOOSE(CONTROL!$C$27, 0.0021, 0)</f>
        <v>122.16159999999999</v>
      </c>
      <c r="G714" s="14">
        <f>122.4308 * CHOOSE(CONTROL!$C$9, $D$9, 100%, $F$9) + CHOOSE(CONTROL!$C$27, 0.0021, 0)</f>
        <v>122.4329</v>
      </c>
      <c r="H714" s="14">
        <f>122.2961 * CHOOSE(CONTROL!$C$9, $D$9, 100%, $F$9) + CHOOSE(CONTROL!$C$27, 0.0021, 0)</f>
        <v>122.29819999999999</v>
      </c>
      <c r="I714" s="14">
        <f>122.2961 * CHOOSE(CONTROL!$C$9, $D$9, 100%, $F$9) + CHOOSE(CONTROL!$C$27, 0.0021, 0)</f>
        <v>122.29819999999999</v>
      </c>
      <c r="J714" s="14">
        <f>122.2961 * CHOOSE(CONTROL!$C$9, $D$9, 100%, $F$9) + CHOOSE(CONTROL!$C$27, 0.0021, 0)</f>
        <v>122.29819999999999</v>
      </c>
      <c r="K714" s="14">
        <f>122.2961 * CHOOSE(CONTROL!$C$9, $D$9, 100%, $F$9) + CHOOSE(CONTROL!$C$27, 0.0021, 0)</f>
        <v>122.29819999999999</v>
      </c>
      <c r="L714" s="14"/>
    </row>
    <row r="715" spans="1:12" ht="15.75" x14ac:dyDescent="0.25">
      <c r="A715" s="32">
        <v>62701</v>
      </c>
      <c r="B715" s="14">
        <f>119.9247 * CHOOSE(CONTROL!$C$9, $D$9, 100%, $F$9) + CHOOSE(CONTROL!$C$27, 0.0021, 0)</f>
        <v>119.9268</v>
      </c>
      <c r="C715" s="14">
        <f>119.4924 * CHOOSE(CONTROL!$C$9, $D$9, 100%, $F$9) + CHOOSE(CONTROL!$C$27, 0.0021, 0)</f>
        <v>119.4945</v>
      </c>
      <c r="D715" s="14">
        <f>119.4924 * CHOOSE(CONTROL!$C$9, $D$9, 100%, $F$9) + CHOOSE(CONTROL!$C$27, 0.0021, 0)</f>
        <v>119.4945</v>
      </c>
      <c r="E715" s="14">
        <f>119.3558 * CHOOSE(CONTROL!$C$9, $D$9, 100%, $F$9) + CHOOSE(CONTROL!$C$27, 0.0021, 0)</f>
        <v>119.3579</v>
      </c>
      <c r="F715" s="14">
        <f>119.3558 * CHOOSE(CONTROL!$C$9, $D$9, 100%, $F$9) + CHOOSE(CONTROL!$C$27, 0.0021, 0)</f>
        <v>119.3579</v>
      </c>
      <c r="G715" s="14">
        <f>119.6271 * CHOOSE(CONTROL!$C$9, $D$9, 100%, $F$9) + CHOOSE(CONTROL!$C$27, 0.0021, 0)</f>
        <v>119.6292</v>
      </c>
      <c r="H715" s="14">
        <f>119.4924 * CHOOSE(CONTROL!$C$9, $D$9, 100%, $F$9) + CHOOSE(CONTROL!$C$27, 0.0021, 0)</f>
        <v>119.4945</v>
      </c>
      <c r="I715" s="14">
        <f>119.4924 * CHOOSE(CONTROL!$C$9, $D$9, 100%, $F$9) + CHOOSE(CONTROL!$C$27, 0.0021, 0)</f>
        <v>119.4945</v>
      </c>
      <c r="J715" s="14">
        <f>119.4924 * CHOOSE(CONTROL!$C$9, $D$9, 100%, $F$9) + CHOOSE(CONTROL!$C$27, 0.0021, 0)</f>
        <v>119.4945</v>
      </c>
      <c r="K715" s="14">
        <f>119.4924 * CHOOSE(CONTROL!$C$9, $D$9, 100%, $F$9) + CHOOSE(CONTROL!$C$27, 0.0021, 0)</f>
        <v>119.4945</v>
      </c>
      <c r="L715" s="14"/>
    </row>
    <row r="716" spans="1:12" ht="15.75" x14ac:dyDescent="0.25">
      <c r="A716" s="32">
        <v>62731</v>
      </c>
      <c r="B716" s="14">
        <f>116.0148 * CHOOSE(CONTROL!$C$9, $D$9, 100%, $F$9) + CHOOSE(CONTROL!$C$27, 0.0021, 0)</f>
        <v>116.01689999999999</v>
      </c>
      <c r="C716" s="14">
        <f>115.5825 * CHOOSE(CONTROL!$C$9, $D$9, 100%, $F$9) + CHOOSE(CONTROL!$C$27, 0.0021, 0)</f>
        <v>115.58459999999999</v>
      </c>
      <c r="D716" s="14">
        <f>115.5825 * CHOOSE(CONTROL!$C$9, $D$9, 100%, $F$9) + CHOOSE(CONTROL!$C$27, 0.0021, 0)</f>
        <v>115.58459999999999</v>
      </c>
      <c r="E716" s="14">
        <f>115.4459 * CHOOSE(CONTROL!$C$9, $D$9, 100%, $F$9) + CHOOSE(CONTROL!$C$27, 0.0021, 0)</f>
        <v>115.44799999999999</v>
      </c>
      <c r="F716" s="14">
        <f>115.4459 * CHOOSE(CONTROL!$C$9, $D$9, 100%, $F$9) + CHOOSE(CONTROL!$C$27, 0.0021, 0)</f>
        <v>115.44799999999999</v>
      </c>
      <c r="G716" s="14">
        <f>115.7172 * CHOOSE(CONTROL!$C$9, $D$9, 100%, $F$9) + CHOOSE(CONTROL!$C$27, 0.0021, 0)</f>
        <v>115.7193</v>
      </c>
      <c r="H716" s="14">
        <f>115.5825 * CHOOSE(CONTROL!$C$9, $D$9, 100%, $F$9) + CHOOSE(CONTROL!$C$27, 0.0021, 0)</f>
        <v>115.58459999999999</v>
      </c>
      <c r="I716" s="14">
        <f>115.5825 * CHOOSE(CONTROL!$C$9, $D$9, 100%, $F$9) + CHOOSE(CONTROL!$C$27, 0.0021, 0)</f>
        <v>115.58459999999999</v>
      </c>
      <c r="J716" s="14">
        <f>115.5825 * CHOOSE(CONTROL!$C$9, $D$9, 100%, $F$9) + CHOOSE(CONTROL!$C$27, 0.0021, 0)</f>
        <v>115.58459999999999</v>
      </c>
      <c r="K716" s="14">
        <f>115.5825 * CHOOSE(CONTROL!$C$9, $D$9, 100%, $F$9) + CHOOSE(CONTROL!$C$27, 0.0021, 0)</f>
        <v>115.58459999999999</v>
      </c>
      <c r="L716" s="14"/>
    </row>
    <row r="717" spans="1:12" ht="15.75" x14ac:dyDescent="0.25">
      <c r="A717" s="32">
        <v>62762</v>
      </c>
      <c r="B717" s="14">
        <f>112.0821 * CHOOSE(CONTROL!$C$9, $D$9, 100%, $F$9) + CHOOSE(CONTROL!$C$27, 0.0021, 0)</f>
        <v>112.0842</v>
      </c>
      <c r="C717" s="14">
        <f>111.6499 * CHOOSE(CONTROL!$C$9, $D$9, 100%, $F$9) + CHOOSE(CONTROL!$C$27, 0.0021, 0)</f>
        <v>111.652</v>
      </c>
      <c r="D717" s="14">
        <f>111.6499 * CHOOSE(CONTROL!$C$9, $D$9, 100%, $F$9) + CHOOSE(CONTROL!$C$27, 0.0021, 0)</f>
        <v>111.652</v>
      </c>
      <c r="E717" s="14">
        <f>111.5132 * CHOOSE(CONTROL!$C$9, $D$9, 100%, $F$9) + CHOOSE(CONTROL!$C$27, 0.0021, 0)</f>
        <v>111.5153</v>
      </c>
      <c r="F717" s="14">
        <f>111.5132 * CHOOSE(CONTROL!$C$9, $D$9, 100%, $F$9) + CHOOSE(CONTROL!$C$27, 0.0021, 0)</f>
        <v>111.5153</v>
      </c>
      <c r="G717" s="14">
        <f>111.7846 * CHOOSE(CONTROL!$C$9, $D$9, 100%, $F$9) + CHOOSE(CONTROL!$C$27, 0.0021, 0)</f>
        <v>111.7867</v>
      </c>
      <c r="H717" s="14">
        <f>111.6499 * CHOOSE(CONTROL!$C$9, $D$9, 100%, $F$9) + CHOOSE(CONTROL!$C$27, 0.0021, 0)</f>
        <v>111.652</v>
      </c>
      <c r="I717" s="14">
        <f>111.6499 * CHOOSE(CONTROL!$C$9, $D$9, 100%, $F$9) + CHOOSE(CONTROL!$C$27, 0.0021, 0)</f>
        <v>111.652</v>
      </c>
      <c r="J717" s="14">
        <f>111.6499 * CHOOSE(CONTROL!$C$9, $D$9, 100%, $F$9) + CHOOSE(CONTROL!$C$27, 0.0021, 0)</f>
        <v>111.652</v>
      </c>
      <c r="K717" s="14">
        <f>111.6499 * CHOOSE(CONTROL!$C$9, $D$9, 100%, $F$9) + CHOOSE(CONTROL!$C$27, 0.0021, 0)</f>
        <v>111.652</v>
      </c>
      <c r="L717" s="14"/>
    </row>
    <row r="718" spans="1:12" ht="15.75" x14ac:dyDescent="0.25">
      <c r="A718" s="32">
        <v>62792</v>
      </c>
      <c r="B718" s="14">
        <f>111.2999 * CHOOSE(CONTROL!$C$9, $D$9, 100%, $F$9) + CHOOSE(CONTROL!$C$27, 0.0021, 0)</f>
        <v>111.30199999999999</v>
      </c>
      <c r="C718" s="14">
        <f>110.8676 * CHOOSE(CONTROL!$C$9, $D$9, 100%, $F$9) + CHOOSE(CONTROL!$C$27, 0.0021, 0)</f>
        <v>110.86969999999999</v>
      </c>
      <c r="D718" s="14">
        <f>110.8676 * CHOOSE(CONTROL!$C$9, $D$9, 100%, $F$9) + CHOOSE(CONTROL!$C$27, 0.0021, 0)</f>
        <v>110.86969999999999</v>
      </c>
      <c r="E718" s="14">
        <f>110.731 * CHOOSE(CONTROL!$C$9, $D$9, 100%, $F$9) + CHOOSE(CONTROL!$C$27, 0.0021, 0)</f>
        <v>110.73309999999999</v>
      </c>
      <c r="F718" s="14">
        <f>110.731 * CHOOSE(CONTROL!$C$9, $D$9, 100%, $F$9) + CHOOSE(CONTROL!$C$27, 0.0021, 0)</f>
        <v>110.73309999999999</v>
      </c>
      <c r="G718" s="14">
        <f>111.0023 * CHOOSE(CONTROL!$C$9, $D$9, 100%, $F$9) + CHOOSE(CONTROL!$C$27, 0.0021, 0)</f>
        <v>111.0044</v>
      </c>
      <c r="H718" s="14">
        <f>110.8676 * CHOOSE(CONTROL!$C$9, $D$9, 100%, $F$9) + CHOOSE(CONTROL!$C$27, 0.0021, 0)</f>
        <v>110.86969999999999</v>
      </c>
      <c r="I718" s="14">
        <f>110.8676 * CHOOSE(CONTROL!$C$9, $D$9, 100%, $F$9) + CHOOSE(CONTROL!$C$27, 0.0021, 0)</f>
        <v>110.86969999999999</v>
      </c>
      <c r="J718" s="14">
        <f>110.8676 * CHOOSE(CONTROL!$C$9, $D$9, 100%, $F$9) + CHOOSE(CONTROL!$C$27, 0.0021, 0)</f>
        <v>110.86969999999999</v>
      </c>
      <c r="K718" s="14">
        <f>110.8676 * CHOOSE(CONTROL!$C$9, $D$9, 100%, $F$9) + CHOOSE(CONTROL!$C$27, 0.0021, 0)</f>
        <v>110.86969999999999</v>
      </c>
      <c r="L718" s="14"/>
    </row>
    <row r="719" spans="1:12" ht="15.75" x14ac:dyDescent="0.25">
      <c r="A719" s="32">
        <v>62823</v>
      </c>
      <c r="B719" s="14">
        <f>108.065 * CHOOSE(CONTROL!$C$9, $D$9, 100%, $F$9) + CHOOSE(CONTROL!$C$27, 0.0021, 0)</f>
        <v>108.0671</v>
      </c>
      <c r="C719" s="14">
        <f>107.6328 * CHOOSE(CONTROL!$C$9, $D$9, 100%, $F$9) + CHOOSE(CONTROL!$C$27, 0.0021, 0)</f>
        <v>107.6349</v>
      </c>
      <c r="D719" s="14">
        <f>107.6328 * CHOOSE(CONTROL!$C$9, $D$9, 100%, $F$9) + CHOOSE(CONTROL!$C$27, 0.0021, 0)</f>
        <v>107.6349</v>
      </c>
      <c r="E719" s="14">
        <f>107.4961 * CHOOSE(CONTROL!$C$9, $D$9, 100%, $F$9) + CHOOSE(CONTROL!$C$27, 0.0021, 0)</f>
        <v>107.4982</v>
      </c>
      <c r="F719" s="14">
        <f>107.4961 * CHOOSE(CONTROL!$C$9, $D$9, 100%, $F$9) + CHOOSE(CONTROL!$C$27, 0.0021, 0)</f>
        <v>107.4982</v>
      </c>
      <c r="G719" s="14">
        <f>107.7675 * CHOOSE(CONTROL!$C$9, $D$9, 100%, $F$9) + CHOOSE(CONTROL!$C$27, 0.0021, 0)</f>
        <v>107.7696</v>
      </c>
      <c r="H719" s="14">
        <f>107.6328 * CHOOSE(CONTROL!$C$9, $D$9, 100%, $F$9) + CHOOSE(CONTROL!$C$27, 0.0021, 0)</f>
        <v>107.6349</v>
      </c>
      <c r="I719" s="14">
        <f>107.6328 * CHOOSE(CONTROL!$C$9, $D$9, 100%, $F$9) + CHOOSE(CONTROL!$C$27, 0.0021, 0)</f>
        <v>107.6349</v>
      </c>
      <c r="J719" s="14">
        <f>107.6328 * CHOOSE(CONTROL!$C$9, $D$9, 100%, $F$9) + CHOOSE(CONTROL!$C$27, 0.0021, 0)</f>
        <v>107.6349</v>
      </c>
      <c r="K719" s="14">
        <f>107.6328 * CHOOSE(CONTROL!$C$9, $D$9, 100%, $F$9) + CHOOSE(CONTROL!$C$27, 0.0021, 0)</f>
        <v>107.6349</v>
      </c>
      <c r="L719" s="14"/>
    </row>
    <row r="720" spans="1:12" ht="15.75" x14ac:dyDescent="0.25">
      <c r="A720" s="32">
        <v>62854</v>
      </c>
      <c r="B720" s="14">
        <f>107.4353 * CHOOSE(CONTROL!$C$9, $D$9, 100%, $F$9) + CHOOSE(CONTROL!$C$27, 0.0021, 0)</f>
        <v>107.4374</v>
      </c>
      <c r="C720" s="14">
        <f>107.003 * CHOOSE(CONTROL!$C$9, $D$9, 100%, $F$9) + CHOOSE(CONTROL!$C$27, 0.0021, 0)</f>
        <v>107.0051</v>
      </c>
      <c r="D720" s="14">
        <f>107.003 * CHOOSE(CONTROL!$C$9, $D$9, 100%, $F$9) + CHOOSE(CONTROL!$C$27, 0.0021, 0)</f>
        <v>107.0051</v>
      </c>
      <c r="E720" s="14">
        <f>106.8664 * CHOOSE(CONTROL!$C$9, $D$9, 100%, $F$9) + CHOOSE(CONTROL!$C$27, 0.0021, 0)</f>
        <v>106.8685</v>
      </c>
      <c r="F720" s="14">
        <f>106.8664 * CHOOSE(CONTROL!$C$9, $D$9, 100%, $F$9) + CHOOSE(CONTROL!$C$27, 0.0021, 0)</f>
        <v>106.8685</v>
      </c>
      <c r="G720" s="14">
        <f>107.1377 * CHOOSE(CONTROL!$C$9, $D$9, 100%, $F$9) + CHOOSE(CONTROL!$C$27, 0.0021, 0)</f>
        <v>107.13979999999999</v>
      </c>
      <c r="H720" s="14">
        <f>107.003 * CHOOSE(CONTROL!$C$9, $D$9, 100%, $F$9) + CHOOSE(CONTROL!$C$27, 0.0021, 0)</f>
        <v>107.0051</v>
      </c>
      <c r="I720" s="14">
        <f>107.003 * CHOOSE(CONTROL!$C$9, $D$9, 100%, $F$9) + CHOOSE(CONTROL!$C$27, 0.0021, 0)</f>
        <v>107.0051</v>
      </c>
      <c r="J720" s="14">
        <f>107.003 * CHOOSE(CONTROL!$C$9, $D$9, 100%, $F$9) + CHOOSE(CONTROL!$C$27, 0.0021, 0)</f>
        <v>107.0051</v>
      </c>
      <c r="K720" s="14">
        <f>107.003 * CHOOSE(CONTROL!$C$9, $D$9, 100%, $F$9) + CHOOSE(CONTROL!$C$27, 0.0021, 0)</f>
        <v>107.0051</v>
      </c>
      <c r="L720" s="14"/>
    </row>
    <row r="721" spans="1:12" ht="15.75" x14ac:dyDescent="0.25">
      <c r="A721" s="32">
        <v>62883</v>
      </c>
      <c r="B721" s="14">
        <f>107.143 * CHOOSE(CONTROL!$C$9, $D$9, 100%, $F$9) + CHOOSE(CONTROL!$C$27, 0.0021, 0)</f>
        <v>107.1451</v>
      </c>
      <c r="C721" s="14">
        <f>106.7108 * CHOOSE(CONTROL!$C$9, $D$9, 100%, $F$9) + CHOOSE(CONTROL!$C$27, 0.0021, 0)</f>
        <v>106.7129</v>
      </c>
      <c r="D721" s="14">
        <f>106.7108 * CHOOSE(CONTROL!$C$9, $D$9, 100%, $F$9) + CHOOSE(CONTROL!$C$27, 0.0021, 0)</f>
        <v>106.7129</v>
      </c>
      <c r="E721" s="14">
        <f>106.5741 * CHOOSE(CONTROL!$C$9, $D$9, 100%, $F$9) + CHOOSE(CONTROL!$C$27, 0.0021, 0)</f>
        <v>106.5762</v>
      </c>
      <c r="F721" s="14">
        <f>106.5741 * CHOOSE(CONTROL!$C$9, $D$9, 100%, $F$9) + CHOOSE(CONTROL!$C$27, 0.0021, 0)</f>
        <v>106.5762</v>
      </c>
      <c r="G721" s="14">
        <f>106.8455 * CHOOSE(CONTROL!$C$9, $D$9, 100%, $F$9) + CHOOSE(CONTROL!$C$27, 0.0021, 0)</f>
        <v>106.8476</v>
      </c>
      <c r="H721" s="14">
        <f>106.7108 * CHOOSE(CONTROL!$C$9, $D$9, 100%, $F$9) + CHOOSE(CONTROL!$C$27, 0.0021, 0)</f>
        <v>106.7129</v>
      </c>
      <c r="I721" s="14">
        <f>106.7108 * CHOOSE(CONTROL!$C$9, $D$9, 100%, $F$9) + CHOOSE(CONTROL!$C$27, 0.0021, 0)</f>
        <v>106.7129</v>
      </c>
      <c r="J721" s="14">
        <f>106.7108 * CHOOSE(CONTROL!$C$9, $D$9, 100%, $F$9) + CHOOSE(CONTROL!$C$27, 0.0021, 0)</f>
        <v>106.7129</v>
      </c>
      <c r="K721" s="14">
        <f>106.7108 * CHOOSE(CONTROL!$C$9, $D$9, 100%, $F$9) + CHOOSE(CONTROL!$C$27, 0.0021, 0)</f>
        <v>106.7129</v>
      </c>
      <c r="L721" s="14"/>
    </row>
    <row r="722" spans="1:12" ht="15.75" x14ac:dyDescent="0.25">
      <c r="A722" s="32">
        <v>62914</v>
      </c>
      <c r="B722" s="14">
        <f>112.6692 * CHOOSE(CONTROL!$C$9, $D$9, 100%, $F$9) + CHOOSE(CONTROL!$C$27, 0.0021, 0)</f>
        <v>112.6713</v>
      </c>
      <c r="C722" s="14">
        <f>112.237 * CHOOSE(CONTROL!$C$9, $D$9, 100%, $F$9) + CHOOSE(CONTROL!$C$27, 0.0021, 0)</f>
        <v>112.23909999999999</v>
      </c>
      <c r="D722" s="14">
        <f>112.237 * CHOOSE(CONTROL!$C$9, $D$9, 100%, $F$9) + CHOOSE(CONTROL!$C$27, 0.0021, 0)</f>
        <v>112.23909999999999</v>
      </c>
      <c r="E722" s="14">
        <f>112.1003 * CHOOSE(CONTROL!$C$9, $D$9, 100%, $F$9) + CHOOSE(CONTROL!$C$27, 0.0021, 0)</f>
        <v>112.1024</v>
      </c>
      <c r="F722" s="14">
        <f>112.1003 * CHOOSE(CONTROL!$C$9, $D$9, 100%, $F$9) + CHOOSE(CONTROL!$C$27, 0.0021, 0)</f>
        <v>112.1024</v>
      </c>
      <c r="G722" s="14">
        <f>112.3717 * CHOOSE(CONTROL!$C$9, $D$9, 100%, $F$9) + CHOOSE(CONTROL!$C$27, 0.0021, 0)</f>
        <v>112.3738</v>
      </c>
      <c r="H722" s="14">
        <f>112.237 * CHOOSE(CONTROL!$C$9, $D$9, 100%, $F$9) + CHOOSE(CONTROL!$C$27, 0.0021, 0)</f>
        <v>112.23909999999999</v>
      </c>
      <c r="I722" s="14">
        <f>112.237 * CHOOSE(CONTROL!$C$9, $D$9, 100%, $F$9) + CHOOSE(CONTROL!$C$27, 0.0021, 0)</f>
        <v>112.23909999999999</v>
      </c>
      <c r="J722" s="14">
        <f>112.237 * CHOOSE(CONTROL!$C$9, $D$9, 100%, $F$9) + CHOOSE(CONTROL!$C$27, 0.0021, 0)</f>
        <v>112.23909999999999</v>
      </c>
      <c r="K722" s="14">
        <f>112.237 * CHOOSE(CONTROL!$C$9, $D$9, 100%, $F$9) + CHOOSE(CONTROL!$C$27, 0.0021, 0)</f>
        <v>112.23909999999999</v>
      </c>
      <c r="L722" s="14"/>
    </row>
    <row r="723" spans="1:12" ht="15.75" x14ac:dyDescent="0.25">
      <c r="A723" s="32">
        <v>62944</v>
      </c>
      <c r="B723" s="14">
        <f>119.8354 * CHOOSE(CONTROL!$C$9, $D$9, 100%, $F$9) + CHOOSE(CONTROL!$C$27, 0.0021, 0)</f>
        <v>119.83750000000001</v>
      </c>
      <c r="C723" s="14">
        <f>119.4032 * CHOOSE(CONTROL!$C$9, $D$9, 100%, $F$9) + CHOOSE(CONTROL!$C$27, 0.0021, 0)</f>
        <v>119.4053</v>
      </c>
      <c r="D723" s="14">
        <f>119.4032 * CHOOSE(CONTROL!$C$9, $D$9, 100%, $F$9) + CHOOSE(CONTROL!$C$27, 0.0021, 0)</f>
        <v>119.4053</v>
      </c>
      <c r="E723" s="14">
        <f>119.2665 * CHOOSE(CONTROL!$C$9, $D$9, 100%, $F$9) + CHOOSE(CONTROL!$C$27, 0.0021, 0)</f>
        <v>119.26859999999999</v>
      </c>
      <c r="F723" s="14">
        <f>119.2665 * CHOOSE(CONTROL!$C$9, $D$9, 100%, $F$9) + CHOOSE(CONTROL!$C$27, 0.0021, 0)</f>
        <v>119.26859999999999</v>
      </c>
      <c r="G723" s="14">
        <f>119.5379 * CHOOSE(CONTROL!$C$9, $D$9, 100%, $F$9) + CHOOSE(CONTROL!$C$27, 0.0021, 0)</f>
        <v>119.53999999999999</v>
      </c>
      <c r="H723" s="14">
        <f>119.4032 * CHOOSE(CONTROL!$C$9, $D$9, 100%, $F$9) + CHOOSE(CONTROL!$C$27, 0.0021, 0)</f>
        <v>119.4053</v>
      </c>
      <c r="I723" s="14">
        <f>119.4032 * CHOOSE(CONTROL!$C$9, $D$9, 100%, $F$9) + CHOOSE(CONTROL!$C$27, 0.0021, 0)</f>
        <v>119.4053</v>
      </c>
      <c r="J723" s="14">
        <f>119.4032 * CHOOSE(CONTROL!$C$9, $D$9, 100%, $F$9) + CHOOSE(CONTROL!$C$27, 0.0021, 0)</f>
        <v>119.4053</v>
      </c>
      <c r="K723" s="14">
        <f>119.4032 * CHOOSE(CONTROL!$C$9, $D$9, 100%, $F$9) + CHOOSE(CONTROL!$C$27, 0.0021, 0)</f>
        <v>119.4053</v>
      </c>
      <c r="L723" s="14"/>
    </row>
    <row r="724" spans="1:12" ht="15.75" x14ac:dyDescent="0.25">
      <c r="A724" s="32">
        <v>62975</v>
      </c>
      <c r="B724" s="14">
        <f>123.78 * CHOOSE(CONTROL!$C$9, $D$9, 100%, $F$9) + CHOOSE(CONTROL!$C$27, 0.0021, 0)</f>
        <v>123.7821</v>
      </c>
      <c r="C724" s="14">
        <f>123.3477 * CHOOSE(CONTROL!$C$9, $D$9, 100%, $F$9) + CHOOSE(CONTROL!$C$27, 0.0021, 0)</f>
        <v>123.3498</v>
      </c>
      <c r="D724" s="14">
        <f>123.3477 * CHOOSE(CONTROL!$C$9, $D$9, 100%, $F$9) + CHOOSE(CONTROL!$C$27, 0.0021, 0)</f>
        <v>123.3498</v>
      </c>
      <c r="E724" s="14">
        <f>123.2111 * CHOOSE(CONTROL!$C$9, $D$9, 100%, $F$9) + CHOOSE(CONTROL!$C$27, 0.0021, 0)</f>
        <v>123.2132</v>
      </c>
      <c r="F724" s="14">
        <f>123.2111 * CHOOSE(CONTROL!$C$9, $D$9, 100%, $F$9) + CHOOSE(CONTROL!$C$27, 0.0021, 0)</f>
        <v>123.2132</v>
      </c>
      <c r="G724" s="14">
        <f>123.4824 * CHOOSE(CONTROL!$C$9, $D$9, 100%, $F$9) + CHOOSE(CONTROL!$C$27, 0.0021, 0)</f>
        <v>123.4845</v>
      </c>
      <c r="H724" s="14">
        <f>123.3477 * CHOOSE(CONTROL!$C$9, $D$9, 100%, $F$9) + CHOOSE(CONTROL!$C$27, 0.0021, 0)</f>
        <v>123.3498</v>
      </c>
      <c r="I724" s="14">
        <f>123.3477 * CHOOSE(CONTROL!$C$9, $D$9, 100%, $F$9) + CHOOSE(CONTROL!$C$27, 0.0021, 0)</f>
        <v>123.3498</v>
      </c>
      <c r="J724" s="14">
        <f>123.3477 * CHOOSE(CONTROL!$C$9, $D$9, 100%, $F$9) + CHOOSE(CONTROL!$C$27, 0.0021, 0)</f>
        <v>123.3498</v>
      </c>
      <c r="K724" s="14">
        <f>123.3477 * CHOOSE(CONTROL!$C$9, $D$9, 100%, $F$9) + CHOOSE(CONTROL!$C$27, 0.0021, 0)</f>
        <v>123.3498</v>
      </c>
      <c r="L724" s="14"/>
    </row>
    <row r="725" spans="1:12" ht="15.75" x14ac:dyDescent="0.25">
      <c r="A725" s="32">
        <v>63005</v>
      </c>
      <c r="B725" s="14">
        <f>125.5305 * CHOOSE(CONTROL!$C$9, $D$9, 100%, $F$9) + CHOOSE(CONTROL!$C$27, 0.0021, 0)</f>
        <v>125.5326</v>
      </c>
      <c r="C725" s="14">
        <f>125.0982 * CHOOSE(CONTROL!$C$9, $D$9, 100%, $F$9) + CHOOSE(CONTROL!$C$27, 0.0021, 0)</f>
        <v>125.1003</v>
      </c>
      <c r="D725" s="14">
        <f>125.0982 * CHOOSE(CONTROL!$C$9, $D$9, 100%, $F$9) + CHOOSE(CONTROL!$C$27, 0.0021, 0)</f>
        <v>125.1003</v>
      </c>
      <c r="E725" s="14">
        <f>124.9616 * CHOOSE(CONTROL!$C$9, $D$9, 100%, $F$9) + CHOOSE(CONTROL!$C$27, 0.0021, 0)</f>
        <v>124.9637</v>
      </c>
      <c r="F725" s="14">
        <f>124.9616 * CHOOSE(CONTROL!$C$9, $D$9, 100%, $F$9) + CHOOSE(CONTROL!$C$27, 0.0021, 0)</f>
        <v>124.9637</v>
      </c>
      <c r="G725" s="14">
        <f>125.2329 * CHOOSE(CONTROL!$C$9, $D$9, 100%, $F$9) + CHOOSE(CONTROL!$C$27, 0.0021, 0)</f>
        <v>125.235</v>
      </c>
      <c r="H725" s="14">
        <f>125.0982 * CHOOSE(CONTROL!$C$9, $D$9, 100%, $F$9) + CHOOSE(CONTROL!$C$27, 0.0021, 0)</f>
        <v>125.1003</v>
      </c>
      <c r="I725" s="14">
        <f>125.0982 * CHOOSE(CONTROL!$C$9, $D$9, 100%, $F$9) + CHOOSE(CONTROL!$C$27, 0.0021, 0)</f>
        <v>125.1003</v>
      </c>
      <c r="J725" s="14">
        <f>125.0982 * CHOOSE(CONTROL!$C$9, $D$9, 100%, $F$9) + CHOOSE(CONTROL!$C$27, 0.0021, 0)</f>
        <v>125.1003</v>
      </c>
      <c r="K725" s="14">
        <f>125.0982 * CHOOSE(CONTROL!$C$9, $D$9, 100%, $F$9) + CHOOSE(CONTROL!$C$27, 0.0021, 0)</f>
        <v>125.1003</v>
      </c>
      <c r="L725" s="14"/>
    </row>
    <row r="726" spans="1:12" ht="15.75" x14ac:dyDescent="0.25">
      <c r="A726" s="32">
        <v>63036</v>
      </c>
      <c r="B726" s="14">
        <f>124.9541 * CHOOSE(CONTROL!$C$9, $D$9, 100%, $F$9) + CHOOSE(CONTROL!$C$27, 0.0021, 0)</f>
        <v>124.9562</v>
      </c>
      <c r="C726" s="14">
        <f>124.5219 * CHOOSE(CONTROL!$C$9, $D$9, 100%, $F$9) + CHOOSE(CONTROL!$C$27, 0.0021, 0)</f>
        <v>124.524</v>
      </c>
      <c r="D726" s="14">
        <f>124.5219 * CHOOSE(CONTROL!$C$9, $D$9, 100%, $F$9) + CHOOSE(CONTROL!$C$27, 0.0021, 0)</f>
        <v>124.524</v>
      </c>
      <c r="E726" s="14">
        <f>124.3852 * CHOOSE(CONTROL!$C$9, $D$9, 100%, $F$9) + CHOOSE(CONTROL!$C$27, 0.0021, 0)</f>
        <v>124.3873</v>
      </c>
      <c r="F726" s="14">
        <f>124.3852 * CHOOSE(CONTROL!$C$9, $D$9, 100%, $F$9) + CHOOSE(CONTROL!$C$27, 0.0021, 0)</f>
        <v>124.3873</v>
      </c>
      <c r="G726" s="14">
        <f>124.6566 * CHOOSE(CONTROL!$C$9, $D$9, 100%, $F$9) + CHOOSE(CONTROL!$C$27, 0.0021, 0)</f>
        <v>124.6587</v>
      </c>
      <c r="H726" s="14">
        <f>124.5219 * CHOOSE(CONTROL!$C$9, $D$9, 100%, $F$9) + CHOOSE(CONTROL!$C$27, 0.0021, 0)</f>
        <v>124.524</v>
      </c>
      <c r="I726" s="14">
        <f>124.5219 * CHOOSE(CONTROL!$C$9, $D$9, 100%, $F$9) + CHOOSE(CONTROL!$C$27, 0.0021, 0)</f>
        <v>124.524</v>
      </c>
      <c r="J726" s="14">
        <f>124.5219 * CHOOSE(CONTROL!$C$9, $D$9, 100%, $F$9) + CHOOSE(CONTROL!$C$27, 0.0021, 0)</f>
        <v>124.524</v>
      </c>
      <c r="K726" s="14">
        <f>124.5219 * CHOOSE(CONTROL!$C$9, $D$9, 100%, $F$9) + CHOOSE(CONTROL!$C$27, 0.0021, 0)</f>
        <v>124.524</v>
      </c>
      <c r="L726" s="14"/>
    </row>
    <row r="727" spans="1:12" ht="15.75" x14ac:dyDescent="0.25">
      <c r="A727" s="32">
        <v>63067</v>
      </c>
      <c r="B727" s="14">
        <f>122.0986 * CHOOSE(CONTROL!$C$9, $D$9, 100%, $F$9) + CHOOSE(CONTROL!$C$27, 0.0021, 0)</f>
        <v>122.1007</v>
      </c>
      <c r="C727" s="14">
        <f>121.6664 * CHOOSE(CONTROL!$C$9, $D$9, 100%, $F$9) + CHOOSE(CONTROL!$C$27, 0.0021, 0)</f>
        <v>121.66849999999999</v>
      </c>
      <c r="D727" s="14">
        <f>121.6664 * CHOOSE(CONTROL!$C$9, $D$9, 100%, $F$9) + CHOOSE(CONTROL!$C$27, 0.0021, 0)</f>
        <v>121.66849999999999</v>
      </c>
      <c r="E727" s="14">
        <f>121.5297 * CHOOSE(CONTROL!$C$9, $D$9, 100%, $F$9) + CHOOSE(CONTROL!$C$27, 0.0021, 0)</f>
        <v>121.5318</v>
      </c>
      <c r="F727" s="14">
        <f>121.5297 * CHOOSE(CONTROL!$C$9, $D$9, 100%, $F$9) + CHOOSE(CONTROL!$C$27, 0.0021, 0)</f>
        <v>121.5318</v>
      </c>
      <c r="G727" s="14">
        <f>121.8011 * CHOOSE(CONTROL!$C$9, $D$9, 100%, $F$9) + CHOOSE(CONTROL!$C$27, 0.0021, 0)</f>
        <v>121.8032</v>
      </c>
      <c r="H727" s="14">
        <f>121.6664 * CHOOSE(CONTROL!$C$9, $D$9, 100%, $F$9) + CHOOSE(CONTROL!$C$27, 0.0021, 0)</f>
        <v>121.66849999999999</v>
      </c>
      <c r="I727" s="14">
        <f>121.6664 * CHOOSE(CONTROL!$C$9, $D$9, 100%, $F$9) + CHOOSE(CONTROL!$C$27, 0.0021, 0)</f>
        <v>121.66849999999999</v>
      </c>
      <c r="J727" s="14">
        <f>121.6664 * CHOOSE(CONTROL!$C$9, $D$9, 100%, $F$9) + CHOOSE(CONTROL!$C$27, 0.0021, 0)</f>
        <v>121.66849999999999</v>
      </c>
      <c r="K727" s="14">
        <f>121.6664 * CHOOSE(CONTROL!$C$9, $D$9, 100%, $F$9) + CHOOSE(CONTROL!$C$27, 0.0021, 0)</f>
        <v>121.66849999999999</v>
      </c>
      <c r="L727" s="14"/>
    </row>
    <row r="728" spans="1:12" ht="15.75" x14ac:dyDescent="0.25">
      <c r="A728" s="32">
        <v>63097</v>
      </c>
      <c r="B728" s="14">
        <f>118.1165 * CHOOSE(CONTROL!$C$9, $D$9, 100%, $F$9) + CHOOSE(CONTROL!$C$27, 0.0021, 0)</f>
        <v>118.1186</v>
      </c>
      <c r="C728" s="14">
        <f>117.6842 * CHOOSE(CONTROL!$C$9, $D$9, 100%, $F$9) + CHOOSE(CONTROL!$C$27, 0.0021, 0)</f>
        <v>117.6863</v>
      </c>
      <c r="D728" s="14">
        <f>117.6842 * CHOOSE(CONTROL!$C$9, $D$9, 100%, $F$9) + CHOOSE(CONTROL!$C$27, 0.0021, 0)</f>
        <v>117.6863</v>
      </c>
      <c r="E728" s="14">
        <f>117.5475 * CHOOSE(CONTROL!$C$9, $D$9, 100%, $F$9) + CHOOSE(CONTROL!$C$27, 0.0021, 0)</f>
        <v>117.5496</v>
      </c>
      <c r="F728" s="14">
        <f>117.5475 * CHOOSE(CONTROL!$C$9, $D$9, 100%, $F$9) + CHOOSE(CONTROL!$C$27, 0.0021, 0)</f>
        <v>117.5496</v>
      </c>
      <c r="G728" s="14">
        <f>117.8189 * CHOOSE(CONTROL!$C$9, $D$9, 100%, $F$9) + CHOOSE(CONTROL!$C$27, 0.0021, 0)</f>
        <v>117.821</v>
      </c>
      <c r="H728" s="14">
        <f>117.6842 * CHOOSE(CONTROL!$C$9, $D$9, 100%, $F$9) + CHOOSE(CONTROL!$C$27, 0.0021, 0)</f>
        <v>117.6863</v>
      </c>
      <c r="I728" s="14">
        <f>117.6842 * CHOOSE(CONTROL!$C$9, $D$9, 100%, $F$9) + CHOOSE(CONTROL!$C$27, 0.0021, 0)</f>
        <v>117.6863</v>
      </c>
      <c r="J728" s="14">
        <f>117.6842 * CHOOSE(CONTROL!$C$9, $D$9, 100%, $F$9) + CHOOSE(CONTROL!$C$27, 0.0021, 0)</f>
        <v>117.6863</v>
      </c>
      <c r="K728" s="14">
        <f>117.6842 * CHOOSE(CONTROL!$C$9, $D$9, 100%, $F$9) + CHOOSE(CONTROL!$C$27, 0.0021, 0)</f>
        <v>117.6863</v>
      </c>
      <c r="L728" s="14"/>
    </row>
    <row r="729" spans="1:12" ht="15.75" x14ac:dyDescent="0.25">
      <c r="A729" s="32">
        <v>63128</v>
      </c>
      <c r="B729" s="14">
        <f>114.1111 * CHOOSE(CONTROL!$C$9, $D$9, 100%, $F$9) + CHOOSE(CONTROL!$C$27, 0.0021, 0)</f>
        <v>114.11319999999999</v>
      </c>
      <c r="C729" s="14">
        <f>113.6789 * CHOOSE(CONTROL!$C$9, $D$9, 100%, $F$9) + CHOOSE(CONTROL!$C$27, 0.0021, 0)</f>
        <v>113.681</v>
      </c>
      <c r="D729" s="14">
        <f>113.6789 * CHOOSE(CONTROL!$C$9, $D$9, 100%, $F$9) + CHOOSE(CONTROL!$C$27, 0.0021, 0)</f>
        <v>113.681</v>
      </c>
      <c r="E729" s="14">
        <f>113.5422 * CHOOSE(CONTROL!$C$9, $D$9, 100%, $F$9) + CHOOSE(CONTROL!$C$27, 0.0021, 0)</f>
        <v>113.54429999999999</v>
      </c>
      <c r="F729" s="14">
        <f>113.5422 * CHOOSE(CONTROL!$C$9, $D$9, 100%, $F$9) + CHOOSE(CONTROL!$C$27, 0.0021, 0)</f>
        <v>113.54429999999999</v>
      </c>
      <c r="G729" s="14">
        <f>113.8136 * CHOOSE(CONTROL!$C$9, $D$9, 100%, $F$9) + CHOOSE(CONTROL!$C$27, 0.0021, 0)</f>
        <v>113.81569999999999</v>
      </c>
      <c r="H729" s="14">
        <f>113.6789 * CHOOSE(CONTROL!$C$9, $D$9, 100%, $F$9) + CHOOSE(CONTROL!$C$27, 0.0021, 0)</f>
        <v>113.681</v>
      </c>
      <c r="I729" s="14">
        <f>113.6789 * CHOOSE(CONTROL!$C$9, $D$9, 100%, $F$9) + CHOOSE(CONTROL!$C$27, 0.0021, 0)</f>
        <v>113.681</v>
      </c>
      <c r="J729" s="14">
        <f>113.6789 * CHOOSE(CONTROL!$C$9, $D$9, 100%, $F$9) + CHOOSE(CONTROL!$C$27, 0.0021, 0)</f>
        <v>113.681</v>
      </c>
      <c r="K729" s="14">
        <f>113.6789 * CHOOSE(CONTROL!$C$9, $D$9, 100%, $F$9) + CHOOSE(CONTROL!$C$27, 0.0021, 0)</f>
        <v>113.681</v>
      </c>
      <c r="L729" s="14"/>
    </row>
    <row r="730" spans="1:12" ht="15.75" x14ac:dyDescent="0.25">
      <c r="A730" s="32">
        <v>63158</v>
      </c>
      <c r="B730" s="14">
        <f>113.3144 * CHOOSE(CONTROL!$C$9, $D$9, 100%, $F$9) + CHOOSE(CONTROL!$C$27, 0.0021, 0)</f>
        <v>113.3165</v>
      </c>
      <c r="C730" s="14">
        <f>112.8822 * CHOOSE(CONTROL!$C$9, $D$9, 100%, $F$9) + CHOOSE(CONTROL!$C$27, 0.0021, 0)</f>
        <v>112.8843</v>
      </c>
      <c r="D730" s="14">
        <f>112.8822 * CHOOSE(CONTROL!$C$9, $D$9, 100%, $F$9) + CHOOSE(CONTROL!$C$27, 0.0021, 0)</f>
        <v>112.8843</v>
      </c>
      <c r="E730" s="14">
        <f>112.7455 * CHOOSE(CONTROL!$C$9, $D$9, 100%, $F$9) + CHOOSE(CONTROL!$C$27, 0.0021, 0)</f>
        <v>112.74760000000001</v>
      </c>
      <c r="F730" s="14">
        <f>112.7455 * CHOOSE(CONTROL!$C$9, $D$9, 100%, $F$9) + CHOOSE(CONTROL!$C$27, 0.0021, 0)</f>
        <v>112.74760000000001</v>
      </c>
      <c r="G730" s="14">
        <f>113.0169 * CHOOSE(CONTROL!$C$9, $D$9, 100%, $F$9) + CHOOSE(CONTROL!$C$27, 0.0021, 0)</f>
        <v>113.01900000000001</v>
      </c>
      <c r="H730" s="14">
        <f>112.8822 * CHOOSE(CONTROL!$C$9, $D$9, 100%, $F$9) + CHOOSE(CONTROL!$C$27, 0.0021, 0)</f>
        <v>112.8843</v>
      </c>
      <c r="I730" s="14">
        <f>112.8822 * CHOOSE(CONTROL!$C$9, $D$9, 100%, $F$9) + CHOOSE(CONTROL!$C$27, 0.0021, 0)</f>
        <v>112.8843</v>
      </c>
      <c r="J730" s="14">
        <f>112.8822 * CHOOSE(CONTROL!$C$9, $D$9, 100%, $F$9) + CHOOSE(CONTROL!$C$27, 0.0021, 0)</f>
        <v>112.8843</v>
      </c>
      <c r="K730" s="14">
        <f>112.8822 * CHOOSE(CONTROL!$C$9, $D$9, 100%, $F$9) + CHOOSE(CONTROL!$C$27, 0.0021, 0)</f>
        <v>112.8843</v>
      </c>
      <c r="L730" s="14"/>
    </row>
    <row r="731" spans="1:12" ht="15.75" x14ac:dyDescent="0.25">
      <c r="A731" s="32">
        <v>63189</v>
      </c>
      <c r="B731" s="14">
        <f>110.0198 * CHOOSE(CONTROL!$C$9, $D$9, 100%, $F$9) + CHOOSE(CONTROL!$C$27, 0.0021, 0)</f>
        <v>110.0219</v>
      </c>
      <c r="C731" s="14">
        <f>109.5876 * CHOOSE(CONTROL!$C$9, $D$9, 100%, $F$9) + CHOOSE(CONTROL!$C$27, 0.0021, 0)</f>
        <v>109.58969999999999</v>
      </c>
      <c r="D731" s="14">
        <f>109.5876 * CHOOSE(CONTROL!$C$9, $D$9, 100%, $F$9) + CHOOSE(CONTROL!$C$27, 0.0021, 0)</f>
        <v>109.58969999999999</v>
      </c>
      <c r="E731" s="14">
        <f>109.4509 * CHOOSE(CONTROL!$C$9, $D$9, 100%, $F$9) + CHOOSE(CONTROL!$C$27, 0.0021, 0)</f>
        <v>109.453</v>
      </c>
      <c r="F731" s="14">
        <f>109.4509 * CHOOSE(CONTROL!$C$9, $D$9, 100%, $F$9) + CHOOSE(CONTROL!$C$27, 0.0021, 0)</f>
        <v>109.453</v>
      </c>
      <c r="G731" s="14">
        <f>109.7223 * CHOOSE(CONTROL!$C$9, $D$9, 100%, $F$9) + CHOOSE(CONTROL!$C$27, 0.0021, 0)</f>
        <v>109.7244</v>
      </c>
      <c r="H731" s="14">
        <f>109.5876 * CHOOSE(CONTROL!$C$9, $D$9, 100%, $F$9) + CHOOSE(CONTROL!$C$27, 0.0021, 0)</f>
        <v>109.58969999999999</v>
      </c>
      <c r="I731" s="14">
        <f>109.5876 * CHOOSE(CONTROL!$C$9, $D$9, 100%, $F$9) + CHOOSE(CONTROL!$C$27, 0.0021, 0)</f>
        <v>109.58969999999999</v>
      </c>
      <c r="J731" s="14">
        <f>109.5876 * CHOOSE(CONTROL!$C$9, $D$9, 100%, $F$9) + CHOOSE(CONTROL!$C$27, 0.0021, 0)</f>
        <v>109.58969999999999</v>
      </c>
      <c r="K731" s="14">
        <f>109.5876 * CHOOSE(CONTROL!$C$9, $D$9, 100%, $F$9) + CHOOSE(CONTROL!$C$27, 0.0021, 0)</f>
        <v>109.58969999999999</v>
      </c>
      <c r="L731" s="14"/>
    </row>
    <row r="732" spans="1:12" ht="15.75" x14ac:dyDescent="0.25">
      <c r="A732" s="32">
        <v>63220</v>
      </c>
      <c r="B732" s="14">
        <f>109.3784 * CHOOSE(CONTROL!$C$9, $D$9, 100%, $F$9) + CHOOSE(CONTROL!$C$27, 0.0021, 0)</f>
        <v>109.3805</v>
      </c>
      <c r="C732" s="14">
        <f>108.9461 * CHOOSE(CONTROL!$C$9, $D$9, 100%, $F$9) + CHOOSE(CONTROL!$C$27, 0.0021, 0)</f>
        <v>108.9482</v>
      </c>
      <c r="D732" s="14">
        <f>108.9461 * CHOOSE(CONTROL!$C$9, $D$9, 100%, $F$9) + CHOOSE(CONTROL!$C$27, 0.0021, 0)</f>
        <v>108.9482</v>
      </c>
      <c r="E732" s="14">
        <f>108.8095 * CHOOSE(CONTROL!$C$9, $D$9, 100%, $F$9) + CHOOSE(CONTROL!$C$27, 0.0021, 0)</f>
        <v>108.8116</v>
      </c>
      <c r="F732" s="14">
        <f>108.8095 * CHOOSE(CONTROL!$C$9, $D$9, 100%, $F$9) + CHOOSE(CONTROL!$C$27, 0.0021, 0)</f>
        <v>108.8116</v>
      </c>
      <c r="G732" s="14">
        <f>109.0809 * CHOOSE(CONTROL!$C$9, $D$9, 100%, $F$9) + CHOOSE(CONTROL!$C$27, 0.0021, 0)</f>
        <v>109.083</v>
      </c>
      <c r="H732" s="14">
        <f>108.9461 * CHOOSE(CONTROL!$C$9, $D$9, 100%, $F$9) + CHOOSE(CONTROL!$C$27, 0.0021, 0)</f>
        <v>108.9482</v>
      </c>
      <c r="I732" s="14">
        <f>108.9461 * CHOOSE(CONTROL!$C$9, $D$9, 100%, $F$9) + CHOOSE(CONTROL!$C$27, 0.0021, 0)</f>
        <v>108.9482</v>
      </c>
      <c r="J732" s="14">
        <f>108.9461 * CHOOSE(CONTROL!$C$9, $D$9, 100%, $F$9) + CHOOSE(CONTROL!$C$27, 0.0021, 0)</f>
        <v>108.9482</v>
      </c>
      <c r="K732" s="14">
        <f>108.9461 * CHOOSE(CONTROL!$C$9, $D$9, 100%, $F$9) + CHOOSE(CONTROL!$C$27, 0.0021, 0)</f>
        <v>108.9482</v>
      </c>
      <c r="L732" s="14"/>
    </row>
    <row r="733" spans="1:12" ht="15.75" x14ac:dyDescent="0.25">
      <c r="A733" s="32">
        <v>63248</v>
      </c>
      <c r="B733" s="14">
        <f>109.0807 * CHOOSE(CONTROL!$C$9, $D$9, 100%, $F$9) + CHOOSE(CONTROL!$C$27, 0.0021, 0)</f>
        <v>109.08279999999999</v>
      </c>
      <c r="C733" s="14">
        <f>108.6485 * CHOOSE(CONTROL!$C$9, $D$9, 100%, $F$9) + CHOOSE(CONTROL!$C$27, 0.0021, 0)</f>
        <v>108.6506</v>
      </c>
      <c r="D733" s="14">
        <f>108.6485 * CHOOSE(CONTROL!$C$9, $D$9, 100%, $F$9) + CHOOSE(CONTROL!$C$27, 0.0021, 0)</f>
        <v>108.6506</v>
      </c>
      <c r="E733" s="14">
        <f>108.5118 * CHOOSE(CONTROL!$C$9, $D$9, 100%, $F$9) + CHOOSE(CONTROL!$C$27, 0.0021, 0)</f>
        <v>108.51389999999999</v>
      </c>
      <c r="F733" s="14">
        <f>108.5118 * CHOOSE(CONTROL!$C$9, $D$9, 100%, $F$9) + CHOOSE(CONTROL!$C$27, 0.0021, 0)</f>
        <v>108.51389999999999</v>
      </c>
      <c r="G733" s="14">
        <f>108.7832 * CHOOSE(CONTROL!$C$9, $D$9, 100%, $F$9) + CHOOSE(CONTROL!$C$27, 0.0021, 0)</f>
        <v>108.78529999999999</v>
      </c>
      <c r="H733" s="14">
        <f>108.6485 * CHOOSE(CONTROL!$C$9, $D$9, 100%, $F$9) + CHOOSE(CONTROL!$C$27, 0.0021, 0)</f>
        <v>108.6506</v>
      </c>
      <c r="I733" s="14">
        <f>108.6485 * CHOOSE(CONTROL!$C$9, $D$9, 100%, $F$9) + CHOOSE(CONTROL!$C$27, 0.0021, 0)</f>
        <v>108.6506</v>
      </c>
      <c r="J733" s="14">
        <f>108.6485 * CHOOSE(CONTROL!$C$9, $D$9, 100%, $F$9) + CHOOSE(CONTROL!$C$27, 0.0021, 0)</f>
        <v>108.6506</v>
      </c>
      <c r="K733" s="14">
        <f>108.6485 * CHOOSE(CONTROL!$C$9, $D$9, 100%, $F$9) + CHOOSE(CONTROL!$C$27, 0.0021, 0)</f>
        <v>108.6506</v>
      </c>
      <c r="L733" s="14"/>
    </row>
    <row r="734" spans="1:12" ht="15.75" x14ac:dyDescent="0.25">
      <c r="A734" s="32">
        <v>63279</v>
      </c>
      <c r="B734" s="14">
        <f>114.7091 * CHOOSE(CONTROL!$C$9, $D$9, 100%, $F$9) + CHOOSE(CONTROL!$C$27, 0.0021, 0)</f>
        <v>114.71120000000001</v>
      </c>
      <c r="C734" s="14">
        <f>114.2768 * CHOOSE(CONTROL!$C$9, $D$9, 100%, $F$9) + CHOOSE(CONTROL!$C$27, 0.0021, 0)</f>
        <v>114.27889999999999</v>
      </c>
      <c r="D734" s="14">
        <f>114.2768 * CHOOSE(CONTROL!$C$9, $D$9, 100%, $F$9) + CHOOSE(CONTROL!$C$27, 0.0021, 0)</f>
        <v>114.27889999999999</v>
      </c>
      <c r="E734" s="14">
        <f>114.1402 * CHOOSE(CONTROL!$C$9, $D$9, 100%, $F$9) + CHOOSE(CONTROL!$C$27, 0.0021, 0)</f>
        <v>114.14229999999999</v>
      </c>
      <c r="F734" s="14">
        <f>114.1402 * CHOOSE(CONTROL!$C$9, $D$9, 100%, $F$9) + CHOOSE(CONTROL!$C$27, 0.0021, 0)</f>
        <v>114.14229999999999</v>
      </c>
      <c r="G734" s="14">
        <f>114.4116 * CHOOSE(CONTROL!$C$9, $D$9, 100%, $F$9) + CHOOSE(CONTROL!$C$27, 0.0021, 0)</f>
        <v>114.41370000000001</v>
      </c>
      <c r="H734" s="14">
        <f>114.2768 * CHOOSE(CONTROL!$C$9, $D$9, 100%, $F$9) + CHOOSE(CONTROL!$C$27, 0.0021, 0)</f>
        <v>114.27889999999999</v>
      </c>
      <c r="I734" s="14">
        <f>114.2768 * CHOOSE(CONTROL!$C$9, $D$9, 100%, $F$9) + CHOOSE(CONTROL!$C$27, 0.0021, 0)</f>
        <v>114.27889999999999</v>
      </c>
      <c r="J734" s="14">
        <f>114.2768 * CHOOSE(CONTROL!$C$9, $D$9, 100%, $F$9) + CHOOSE(CONTROL!$C$27, 0.0021, 0)</f>
        <v>114.27889999999999</v>
      </c>
      <c r="K734" s="14">
        <f>114.2768 * CHOOSE(CONTROL!$C$9, $D$9, 100%, $F$9) + CHOOSE(CONTROL!$C$27, 0.0021, 0)</f>
        <v>114.27889999999999</v>
      </c>
      <c r="L734" s="14"/>
    </row>
    <row r="735" spans="1:12" ht="15.75" x14ac:dyDescent="0.25">
      <c r="A735" s="32">
        <v>63309</v>
      </c>
      <c r="B735" s="14">
        <f>122.0077 * CHOOSE(CONTROL!$C$9, $D$9, 100%, $F$9) + CHOOSE(CONTROL!$C$27, 0.0021, 0)</f>
        <v>122.0098</v>
      </c>
      <c r="C735" s="14">
        <f>121.5755 * CHOOSE(CONTROL!$C$9, $D$9, 100%, $F$9) + CHOOSE(CONTROL!$C$27, 0.0021, 0)</f>
        <v>121.5776</v>
      </c>
      <c r="D735" s="14">
        <f>121.5755 * CHOOSE(CONTROL!$C$9, $D$9, 100%, $F$9) + CHOOSE(CONTROL!$C$27, 0.0021, 0)</f>
        <v>121.5776</v>
      </c>
      <c r="E735" s="14">
        <f>121.4388 * CHOOSE(CONTROL!$C$9, $D$9, 100%, $F$9) + CHOOSE(CONTROL!$C$27, 0.0021, 0)</f>
        <v>121.4409</v>
      </c>
      <c r="F735" s="14">
        <f>121.4388 * CHOOSE(CONTROL!$C$9, $D$9, 100%, $F$9) + CHOOSE(CONTROL!$C$27, 0.0021, 0)</f>
        <v>121.4409</v>
      </c>
      <c r="G735" s="14">
        <f>121.7102 * CHOOSE(CONTROL!$C$9, $D$9, 100%, $F$9) + CHOOSE(CONTROL!$C$27, 0.0021, 0)</f>
        <v>121.7123</v>
      </c>
      <c r="H735" s="14">
        <f>121.5755 * CHOOSE(CONTROL!$C$9, $D$9, 100%, $F$9) + CHOOSE(CONTROL!$C$27, 0.0021, 0)</f>
        <v>121.5776</v>
      </c>
      <c r="I735" s="14">
        <f>121.5755 * CHOOSE(CONTROL!$C$9, $D$9, 100%, $F$9) + CHOOSE(CONTROL!$C$27, 0.0021, 0)</f>
        <v>121.5776</v>
      </c>
      <c r="J735" s="14">
        <f>121.5755 * CHOOSE(CONTROL!$C$9, $D$9, 100%, $F$9) + CHOOSE(CONTROL!$C$27, 0.0021, 0)</f>
        <v>121.5776</v>
      </c>
      <c r="K735" s="14">
        <f>121.5755 * CHOOSE(CONTROL!$C$9, $D$9, 100%, $F$9) + CHOOSE(CONTROL!$C$27, 0.0021, 0)</f>
        <v>121.5776</v>
      </c>
      <c r="L735" s="14"/>
    </row>
    <row r="736" spans="1:12" ht="15.75" x14ac:dyDescent="0.25">
      <c r="A736" s="32">
        <v>63340</v>
      </c>
      <c r="B736" s="14">
        <f>126.0251 * CHOOSE(CONTROL!$C$9, $D$9, 100%, $F$9) + CHOOSE(CONTROL!$C$27, 0.0021, 0)</f>
        <v>126.02719999999999</v>
      </c>
      <c r="C736" s="14">
        <f>125.5929 * CHOOSE(CONTROL!$C$9, $D$9, 100%, $F$9) + CHOOSE(CONTROL!$C$27, 0.0021, 0)</f>
        <v>125.595</v>
      </c>
      <c r="D736" s="14">
        <f>125.5929 * CHOOSE(CONTROL!$C$9, $D$9, 100%, $F$9) + CHOOSE(CONTROL!$C$27, 0.0021, 0)</f>
        <v>125.595</v>
      </c>
      <c r="E736" s="14">
        <f>125.4562 * CHOOSE(CONTROL!$C$9, $D$9, 100%, $F$9) + CHOOSE(CONTROL!$C$27, 0.0021, 0)</f>
        <v>125.45829999999999</v>
      </c>
      <c r="F736" s="14">
        <f>125.4562 * CHOOSE(CONTROL!$C$9, $D$9, 100%, $F$9) + CHOOSE(CONTROL!$C$27, 0.0021, 0)</f>
        <v>125.45829999999999</v>
      </c>
      <c r="G736" s="14">
        <f>125.7276 * CHOOSE(CONTROL!$C$9, $D$9, 100%, $F$9) + CHOOSE(CONTROL!$C$27, 0.0021, 0)</f>
        <v>125.72969999999999</v>
      </c>
      <c r="H736" s="14">
        <f>125.5929 * CHOOSE(CONTROL!$C$9, $D$9, 100%, $F$9) + CHOOSE(CONTROL!$C$27, 0.0021, 0)</f>
        <v>125.595</v>
      </c>
      <c r="I736" s="14">
        <f>125.5929 * CHOOSE(CONTROL!$C$9, $D$9, 100%, $F$9) + CHOOSE(CONTROL!$C$27, 0.0021, 0)</f>
        <v>125.595</v>
      </c>
      <c r="J736" s="14">
        <f>125.5929 * CHOOSE(CONTROL!$C$9, $D$9, 100%, $F$9) + CHOOSE(CONTROL!$C$27, 0.0021, 0)</f>
        <v>125.595</v>
      </c>
      <c r="K736" s="14">
        <f>125.5929 * CHOOSE(CONTROL!$C$9, $D$9, 100%, $F$9) + CHOOSE(CONTROL!$C$27, 0.0021, 0)</f>
        <v>125.595</v>
      </c>
      <c r="L736" s="14"/>
    </row>
    <row r="737" spans="1:12" ht="15.75" x14ac:dyDescent="0.25">
      <c r="A737" s="32">
        <v>63370</v>
      </c>
      <c r="B737" s="14">
        <f>127.808 * CHOOSE(CONTROL!$C$9, $D$9, 100%, $F$9) + CHOOSE(CONTROL!$C$27, 0.0021, 0)</f>
        <v>127.81010000000001</v>
      </c>
      <c r="C737" s="14">
        <f>127.3758 * CHOOSE(CONTROL!$C$9, $D$9, 100%, $F$9) + CHOOSE(CONTROL!$C$27, 0.0021, 0)</f>
        <v>127.3779</v>
      </c>
      <c r="D737" s="14">
        <f>127.3758 * CHOOSE(CONTROL!$C$9, $D$9, 100%, $F$9) + CHOOSE(CONTROL!$C$27, 0.0021, 0)</f>
        <v>127.3779</v>
      </c>
      <c r="E737" s="14">
        <f>127.2391 * CHOOSE(CONTROL!$C$9, $D$9, 100%, $F$9) + CHOOSE(CONTROL!$C$27, 0.0021, 0)</f>
        <v>127.24119999999999</v>
      </c>
      <c r="F737" s="14">
        <f>127.2391 * CHOOSE(CONTROL!$C$9, $D$9, 100%, $F$9) + CHOOSE(CONTROL!$C$27, 0.0021, 0)</f>
        <v>127.24119999999999</v>
      </c>
      <c r="G737" s="14">
        <f>127.5105 * CHOOSE(CONTROL!$C$9, $D$9, 100%, $F$9) + CHOOSE(CONTROL!$C$27, 0.0021, 0)</f>
        <v>127.51259999999999</v>
      </c>
      <c r="H737" s="14">
        <f>127.3758 * CHOOSE(CONTROL!$C$9, $D$9, 100%, $F$9) + CHOOSE(CONTROL!$C$27, 0.0021, 0)</f>
        <v>127.3779</v>
      </c>
      <c r="I737" s="14">
        <f>127.3758 * CHOOSE(CONTROL!$C$9, $D$9, 100%, $F$9) + CHOOSE(CONTROL!$C$27, 0.0021, 0)</f>
        <v>127.3779</v>
      </c>
      <c r="J737" s="14">
        <f>127.3758 * CHOOSE(CONTROL!$C$9, $D$9, 100%, $F$9) + CHOOSE(CONTROL!$C$27, 0.0021, 0)</f>
        <v>127.3779</v>
      </c>
      <c r="K737" s="14">
        <f>127.3758 * CHOOSE(CONTROL!$C$9, $D$9, 100%, $F$9) + CHOOSE(CONTROL!$C$27, 0.0021, 0)</f>
        <v>127.3779</v>
      </c>
      <c r="L737" s="14"/>
    </row>
    <row r="738" spans="1:12" ht="15.75" x14ac:dyDescent="0.25">
      <c r="A738" s="32">
        <v>63401</v>
      </c>
      <c r="B738" s="14">
        <f>127.221 * CHOOSE(CONTROL!$C$9, $D$9, 100%, $F$9) + CHOOSE(CONTROL!$C$27, 0.0021, 0)</f>
        <v>127.2231</v>
      </c>
      <c r="C738" s="14">
        <f>126.7888 * CHOOSE(CONTROL!$C$9, $D$9, 100%, $F$9) + CHOOSE(CONTROL!$C$27, 0.0021, 0)</f>
        <v>126.79089999999999</v>
      </c>
      <c r="D738" s="14">
        <f>126.7888 * CHOOSE(CONTROL!$C$9, $D$9, 100%, $F$9) + CHOOSE(CONTROL!$C$27, 0.0021, 0)</f>
        <v>126.79089999999999</v>
      </c>
      <c r="E738" s="14">
        <f>126.6521 * CHOOSE(CONTROL!$C$9, $D$9, 100%, $F$9) + CHOOSE(CONTROL!$C$27, 0.0021, 0)</f>
        <v>126.6542</v>
      </c>
      <c r="F738" s="14">
        <f>126.6521 * CHOOSE(CONTROL!$C$9, $D$9, 100%, $F$9) + CHOOSE(CONTROL!$C$27, 0.0021, 0)</f>
        <v>126.6542</v>
      </c>
      <c r="G738" s="14">
        <f>126.9235 * CHOOSE(CONTROL!$C$9, $D$9, 100%, $F$9) + CHOOSE(CONTROL!$C$27, 0.0021, 0)</f>
        <v>126.9256</v>
      </c>
      <c r="H738" s="14">
        <f>126.7888 * CHOOSE(CONTROL!$C$9, $D$9, 100%, $F$9) + CHOOSE(CONTROL!$C$27, 0.0021, 0)</f>
        <v>126.79089999999999</v>
      </c>
      <c r="I738" s="14">
        <f>126.7888 * CHOOSE(CONTROL!$C$9, $D$9, 100%, $F$9) + CHOOSE(CONTROL!$C$27, 0.0021, 0)</f>
        <v>126.79089999999999</v>
      </c>
      <c r="J738" s="14">
        <f>126.7888 * CHOOSE(CONTROL!$C$9, $D$9, 100%, $F$9) + CHOOSE(CONTROL!$C$27, 0.0021, 0)</f>
        <v>126.79089999999999</v>
      </c>
      <c r="K738" s="14">
        <f>126.7888 * CHOOSE(CONTROL!$C$9, $D$9, 100%, $F$9) + CHOOSE(CONTROL!$C$27, 0.0021, 0)</f>
        <v>126.79089999999999</v>
      </c>
      <c r="L738" s="14"/>
    </row>
    <row r="739" spans="1:12" ht="15.75" x14ac:dyDescent="0.25">
      <c r="A739" s="32">
        <v>63432</v>
      </c>
      <c r="B739" s="14">
        <f>124.3127 * CHOOSE(CONTROL!$C$9, $D$9, 100%, $F$9) + CHOOSE(CONTROL!$C$27, 0.0021, 0)</f>
        <v>124.31480000000001</v>
      </c>
      <c r="C739" s="14">
        <f>123.8805 * CHOOSE(CONTROL!$C$9, $D$9, 100%, $F$9) + CHOOSE(CONTROL!$C$27, 0.0021, 0)</f>
        <v>123.8826</v>
      </c>
      <c r="D739" s="14">
        <f>123.8805 * CHOOSE(CONTROL!$C$9, $D$9, 100%, $F$9) + CHOOSE(CONTROL!$C$27, 0.0021, 0)</f>
        <v>123.8826</v>
      </c>
      <c r="E739" s="14">
        <f>123.7438 * CHOOSE(CONTROL!$C$9, $D$9, 100%, $F$9) + CHOOSE(CONTROL!$C$27, 0.0021, 0)</f>
        <v>123.74589999999999</v>
      </c>
      <c r="F739" s="14">
        <f>123.7438 * CHOOSE(CONTROL!$C$9, $D$9, 100%, $F$9) + CHOOSE(CONTROL!$C$27, 0.0021, 0)</f>
        <v>123.74589999999999</v>
      </c>
      <c r="G739" s="14">
        <f>124.0152 * CHOOSE(CONTROL!$C$9, $D$9, 100%, $F$9) + CHOOSE(CONTROL!$C$27, 0.0021, 0)</f>
        <v>124.01729999999999</v>
      </c>
      <c r="H739" s="14">
        <f>123.8805 * CHOOSE(CONTROL!$C$9, $D$9, 100%, $F$9) + CHOOSE(CONTROL!$C$27, 0.0021, 0)</f>
        <v>123.8826</v>
      </c>
      <c r="I739" s="14">
        <f>123.8805 * CHOOSE(CONTROL!$C$9, $D$9, 100%, $F$9) + CHOOSE(CONTROL!$C$27, 0.0021, 0)</f>
        <v>123.8826</v>
      </c>
      <c r="J739" s="14">
        <f>123.8805 * CHOOSE(CONTROL!$C$9, $D$9, 100%, $F$9) + CHOOSE(CONTROL!$C$27, 0.0021, 0)</f>
        <v>123.8826</v>
      </c>
      <c r="K739" s="14">
        <f>123.8805 * CHOOSE(CONTROL!$C$9, $D$9, 100%, $F$9) + CHOOSE(CONTROL!$C$27, 0.0021, 0)</f>
        <v>123.8826</v>
      </c>
      <c r="L739" s="14"/>
    </row>
    <row r="740" spans="1:12" ht="15.75" x14ac:dyDescent="0.25">
      <c r="A740" s="32">
        <v>63462</v>
      </c>
      <c r="B740" s="14">
        <f>120.257 * CHOOSE(CONTROL!$C$9, $D$9, 100%, $F$9) + CHOOSE(CONTROL!$C$27, 0.0021, 0)</f>
        <v>120.2591</v>
      </c>
      <c r="C740" s="14">
        <f>119.8247 * CHOOSE(CONTROL!$C$9, $D$9, 100%, $F$9) + CHOOSE(CONTROL!$C$27, 0.0021, 0)</f>
        <v>119.82680000000001</v>
      </c>
      <c r="D740" s="14">
        <f>119.8247 * CHOOSE(CONTROL!$C$9, $D$9, 100%, $F$9) + CHOOSE(CONTROL!$C$27, 0.0021, 0)</f>
        <v>119.82680000000001</v>
      </c>
      <c r="E740" s="14">
        <f>119.6881 * CHOOSE(CONTROL!$C$9, $D$9, 100%, $F$9) + CHOOSE(CONTROL!$C$27, 0.0021, 0)</f>
        <v>119.6902</v>
      </c>
      <c r="F740" s="14">
        <f>119.6881 * CHOOSE(CONTROL!$C$9, $D$9, 100%, $F$9) + CHOOSE(CONTROL!$C$27, 0.0021, 0)</f>
        <v>119.6902</v>
      </c>
      <c r="G740" s="14">
        <f>119.9594 * CHOOSE(CONTROL!$C$9, $D$9, 100%, $F$9) + CHOOSE(CONTROL!$C$27, 0.0021, 0)</f>
        <v>119.9615</v>
      </c>
      <c r="H740" s="14">
        <f>119.8247 * CHOOSE(CONTROL!$C$9, $D$9, 100%, $F$9) + CHOOSE(CONTROL!$C$27, 0.0021, 0)</f>
        <v>119.82680000000001</v>
      </c>
      <c r="I740" s="14">
        <f>119.8247 * CHOOSE(CONTROL!$C$9, $D$9, 100%, $F$9) + CHOOSE(CONTROL!$C$27, 0.0021, 0)</f>
        <v>119.82680000000001</v>
      </c>
      <c r="J740" s="14">
        <f>119.8247 * CHOOSE(CONTROL!$C$9, $D$9, 100%, $F$9) + CHOOSE(CONTROL!$C$27, 0.0021, 0)</f>
        <v>119.82680000000001</v>
      </c>
      <c r="K740" s="14">
        <f>119.8247 * CHOOSE(CONTROL!$C$9, $D$9, 100%, $F$9) + CHOOSE(CONTROL!$C$27, 0.0021, 0)</f>
        <v>119.82680000000001</v>
      </c>
      <c r="L740" s="14"/>
    </row>
    <row r="741" spans="1:12" ht="15.75" x14ac:dyDescent="0.25">
      <c r="A741" s="32">
        <v>63493</v>
      </c>
      <c r="B741" s="14">
        <f>116.1776 * CHOOSE(CONTROL!$C$9, $D$9, 100%, $F$9) + CHOOSE(CONTROL!$C$27, 0.0021, 0)</f>
        <v>116.1797</v>
      </c>
      <c r="C741" s="14">
        <f>115.7454 * CHOOSE(CONTROL!$C$9, $D$9, 100%, $F$9) + CHOOSE(CONTROL!$C$27, 0.0021, 0)</f>
        <v>115.7475</v>
      </c>
      <c r="D741" s="14">
        <f>115.7454 * CHOOSE(CONTROL!$C$9, $D$9, 100%, $F$9) + CHOOSE(CONTROL!$C$27, 0.0021, 0)</f>
        <v>115.7475</v>
      </c>
      <c r="E741" s="14">
        <f>115.6087 * CHOOSE(CONTROL!$C$9, $D$9, 100%, $F$9) + CHOOSE(CONTROL!$C$27, 0.0021, 0)</f>
        <v>115.6108</v>
      </c>
      <c r="F741" s="14">
        <f>115.6087 * CHOOSE(CONTROL!$C$9, $D$9, 100%, $F$9) + CHOOSE(CONTROL!$C$27, 0.0021, 0)</f>
        <v>115.6108</v>
      </c>
      <c r="G741" s="14">
        <f>115.8801 * CHOOSE(CONTROL!$C$9, $D$9, 100%, $F$9) + CHOOSE(CONTROL!$C$27, 0.0021, 0)</f>
        <v>115.8822</v>
      </c>
      <c r="H741" s="14">
        <f>115.7454 * CHOOSE(CONTROL!$C$9, $D$9, 100%, $F$9) + CHOOSE(CONTROL!$C$27, 0.0021, 0)</f>
        <v>115.7475</v>
      </c>
      <c r="I741" s="14">
        <f>115.7454 * CHOOSE(CONTROL!$C$9, $D$9, 100%, $F$9) + CHOOSE(CONTROL!$C$27, 0.0021, 0)</f>
        <v>115.7475</v>
      </c>
      <c r="J741" s="14">
        <f>115.7454 * CHOOSE(CONTROL!$C$9, $D$9, 100%, $F$9) + CHOOSE(CONTROL!$C$27, 0.0021, 0)</f>
        <v>115.7475</v>
      </c>
      <c r="K741" s="14">
        <f>115.7454 * CHOOSE(CONTROL!$C$9, $D$9, 100%, $F$9) + CHOOSE(CONTROL!$C$27, 0.0021, 0)</f>
        <v>115.7475</v>
      </c>
      <c r="L741" s="14"/>
    </row>
    <row r="742" spans="1:12" ht="15.75" x14ac:dyDescent="0.25">
      <c r="A742" s="32">
        <v>63523</v>
      </c>
      <c r="B742" s="14">
        <f>115.3662 * CHOOSE(CONTROL!$C$9, $D$9, 100%, $F$9) + CHOOSE(CONTROL!$C$27, 0.0021, 0)</f>
        <v>115.3683</v>
      </c>
      <c r="C742" s="14">
        <f>114.9339 * CHOOSE(CONTROL!$C$9, $D$9, 100%, $F$9) + CHOOSE(CONTROL!$C$27, 0.0021, 0)</f>
        <v>114.93599999999999</v>
      </c>
      <c r="D742" s="14">
        <f>114.9339 * CHOOSE(CONTROL!$C$9, $D$9, 100%, $F$9) + CHOOSE(CONTROL!$C$27, 0.0021, 0)</f>
        <v>114.93599999999999</v>
      </c>
      <c r="E742" s="14">
        <f>114.7973 * CHOOSE(CONTROL!$C$9, $D$9, 100%, $F$9) + CHOOSE(CONTROL!$C$27, 0.0021, 0)</f>
        <v>114.79940000000001</v>
      </c>
      <c r="F742" s="14">
        <f>114.7973 * CHOOSE(CONTROL!$C$9, $D$9, 100%, $F$9) + CHOOSE(CONTROL!$C$27, 0.0021, 0)</f>
        <v>114.79940000000001</v>
      </c>
      <c r="G742" s="14">
        <f>115.0686 * CHOOSE(CONTROL!$C$9, $D$9, 100%, $F$9) + CHOOSE(CONTROL!$C$27, 0.0021, 0)</f>
        <v>115.0707</v>
      </c>
      <c r="H742" s="14">
        <f>114.9339 * CHOOSE(CONTROL!$C$9, $D$9, 100%, $F$9) + CHOOSE(CONTROL!$C$27, 0.0021, 0)</f>
        <v>114.93599999999999</v>
      </c>
      <c r="I742" s="14">
        <f>114.9339 * CHOOSE(CONTROL!$C$9, $D$9, 100%, $F$9) + CHOOSE(CONTROL!$C$27, 0.0021, 0)</f>
        <v>114.93599999999999</v>
      </c>
      <c r="J742" s="14">
        <f>114.9339 * CHOOSE(CONTROL!$C$9, $D$9, 100%, $F$9) + CHOOSE(CONTROL!$C$27, 0.0021, 0)</f>
        <v>114.93599999999999</v>
      </c>
      <c r="K742" s="14">
        <f>114.9339 * CHOOSE(CONTROL!$C$9, $D$9, 100%, $F$9) + CHOOSE(CONTROL!$C$27, 0.0021, 0)</f>
        <v>114.93599999999999</v>
      </c>
      <c r="L742" s="14"/>
    </row>
    <row r="743" spans="1:12" ht="15.75" x14ac:dyDescent="0.25">
      <c r="A743" s="32">
        <v>63554</v>
      </c>
      <c r="B743" s="14">
        <f>112.0107 * CHOOSE(CONTROL!$C$9, $D$9, 100%, $F$9) + CHOOSE(CONTROL!$C$27, 0.0021, 0)</f>
        <v>112.0128</v>
      </c>
      <c r="C743" s="14">
        <f>111.5784 * CHOOSE(CONTROL!$C$9, $D$9, 100%, $F$9) + CHOOSE(CONTROL!$C$27, 0.0021, 0)</f>
        <v>111.5805</v>
      </c>
      <c r="D743" s="14">
        <f>111.5784 * CHOOSE(CONTROL!$C$9, $D$9, 100%, $F$9) + CHOOSE(CONTROL!$C$27, 0.0021, 0)</f>
        <v>111.5805</v>
      </c>
      <c r="E743" s="14">
        <f>111.4418 * CHOOSE(CONTROL!$C$9, $D$9, 100%, $F$9) + CHOOSE(CONTROL!$C$27, 0.0021, 0)</f>
        <v>111.4439</v>
      </c>
      <c r="F743" s="14">
        <f>111.4418 * CHOOSE(CONTROL!$C$9, $D$9, 100%, $F$9) + CHOOSE(CONTROL!$C$27, 0.0021, 0)</f>
        <v>111.4439</v>
      </c>
      <c r="G743" s="14">
        <f>111.7132 * CHOOSE(CONTROL!$C$9, $D$9, 100%, $F$9) + CHOOSE(CONTROL!$C$27, 0.0021, 0)</f>
        <v>111.7153</v>
      </c>
      <c r="H743" s="14">
        <f>111.5784 * CHOOSE(CONTROL!$C$9, $D$9, 100%, $F$9) + CHOOSE(CONTROL!$C$27, 0.0021, 0)</f>
        <v>111.5805</v>
      </c>
      <c r="I743" s="14">
        <f>111.5784 * CHOOSE(CONTROL!$C$9, $D$9, 100%, $F$9) + CHOOSE(CONTROL!$C$27, 0.0021, 0)</f>
        <v>111.5805</v>
      </c>
      <c r="J743" s="14">
        <f>111.5784 * CHOOSE(CONTROL!$C$9, $D$9, 100%, $F$9) + CHOOSE(CONTROL!$C$27, 0.0021, 0)</f>
        <v>111.5805</v>
      </c>
      <c r="K743" s="14">
        <f>111.5784 * CHOOSE(CONTROL!$C$9, $D$9, 100%, $F$9) + CHOOSE(CONTROL!$C$27, 0.0021, 0)</f>
        <v>111.5805</v>
      </c>
      <c r="L743" s="14"/>
    </row>
    <row r="744" spans="1:12" ht="15.75" x14ac:dyDescent="0.25">
      <c r="A744" s="32">
        <v>63585</v>
      </c>
      <c r="B744" s="14">
        <f>111.3574 * CHOOSE(CONTROL!$C$9, $D$9, 100%, $F$9) + CHOOSE(CONTROL!$C$27, 0.0021, 0)</f>
        <v>111.3595</v>
      </c>
      <c r="C744" s="14">
        <f>110.9252 * CHOOSE(CONTROL!$C$9, $D$9, 100%, $F$9) + CHOOSE(CONTROL!$C$27, 0.0021, 0)</f>
        <v>110.9273</v>
      </c>
      <c r="D744" s="14">
        <f>110.9252 * CHOOSE(CONTROL!$C$9, $D$9, 100%, $F$9) + CHOOSE(CONTROL!$C$27, 0.0021, 0)</f>
        <v>110.9273</v>
      </c>
      <c r="E744" s="14">
        <f>110.7885 * CHOOSE(CONTROL!$C$9, $D$9, 100%, $F$9) + CHOOSE(CONTROL!$C$27, 0.0021, 0)</f>
        <v>110.7906</v>
      </c>
      <c r="F744" s="14">
        <f>110.7885 * CHOOSE(CONTROL!$C$9, $D$9, 100%, $F$9) + CHOOSE(CONTROL!$C$27, 0.0021, 0)</f>
        <v>110.7906</v>
      </c>
      <c r="G744" s="14">
        <f>111.0599 * CHOOSE(CONTROL!$C$9, $D$9, 100%, $F$9) + CHOOSE(CONTROL!$C$27, 0.0021, 0)</f>
        <v>111.062</v>
      </c>
      <c r="H744" s="14">
        <f>110.9252 * CHOOSE(CONTROL!$C$9, $D$9, 100%, $F$9) + CHOOSE(CONTROL!$C$27, 0.0021, 0)</f>
        <v>110.9273</v>
      </c>
      <c r="I744" s="14">
        <f>110.9252 * CHOOSE(CONTROL!$C$9, $D$9, 100%, $F$9) + CHOOSE(CONTROL!$C$27, 0.0021, 0)</f>
        <v>110.9273</v>
      </c>
      <c r="J744" s="14">
        <f>110.9252 * CHOOSE(CONTROL!$C$9, $D$9, 100%, $F$9) + CHOOSE(CONTROL!$C$27, 0.0021, 0)</f>
        <v>110.9273</v>
      </c>
      <c r="K744" s="14">
        <f>110.9252 * CHOOSE(CONTROL!$C$9, $D$9, 100%, $F$9) + CHOOSE(CONTROL!$C$27, 0.0021, 0)</f>
        <v>110.9273</v>
      </c>
      <c r="L744" s="14"/>
    </row>
    <row r="745" spans="1:12" ht="15.75" x14ac:dyDescent="0.25">
      <c r="A745" s="32">
        <v>63613</v>
      </c>
      <c r="B745" s="14">
        <f>111.0543 * CHOOSE(CONTROL!$C$9, $D$9, 100%, $F$9) + CHOOSE(CONTROL!$C$27, 0.0021, 0)</f>
        <v>111.0564</v>
      </c>
      <c r="C745" s="14">
        <f>110.622 * CHOOSE(CONTROL!$C$9, $D$9, 100%, $F$9) + CHOOSE(CONTROL!$C$27, 0.0021, 0)</f>
        <v>110.6241</v>
      </c>
      <c r="D745" s="14">
        <f>110.622 * CHOOSE(CONTROL!$C$9, $D$9, 100%, $F$9) + CHOOSE(CONTROL!$C$27, 0.0021, 0)</f>
        <v>110.6241</v>
      </c>
      <c r="E745" s="14">
        <f>110.4853 * CHOOSE(CONTROL!$C$9, $D$9, 100%, $F$9) + CHOOSE(CONTROL!$C$27, 0.0021, 0)</f>
        <v>110.48739999999999</v>
      </c>
      <c r="F745" s="14">
        <f>110.4853 * CHOOSE(CONTROL!$C$9, $D$9, 100%, $F$9) + CHOOSE(CONTROL!$C$27, 0.0021, 0)</f>
        <v>110.48739999999999</v>
      </c>
      <c r="G745" s="14">
        <f>110.7567 * CHOOSE(CONTROL!$C$9, $D$9, 100%, $F$9) + CHOOSE(CONTROL!$C$27, 0.0021, 0)</f>
        <v>110.75879999999999</v>
      </c>
      <c r="H745" s="14">
        <f>110.622 * CHOOSE(CONTROL!$C$9, $D$9, 100%, $F$9) + CHOOSE(CONTROL!$C$27, 0.0021, 0)</f>
        <v>110.6241</v>
      </c>
      <c r="I745" s="14">
        <f>110.622 * CHOOSE(CONTROL!$C$9, $D$9, 100%, $F$9) + CHOOSE(CONTROL!$C$27, 0.0021, 0)</f>
        <v>110.6241</v>
      </c>
      <c r="J745" s="14">
        <f>110.622 * CHOOSE(CONTROL!$C$9, $D$9, 100%, $F$9) + CHOOSE(CONTROL!$C$27, 0.0021, 0)</f>
        <v>110.6241</v>
      </c>
      <c r="K745" s="14">
        <f>110.622 * CHOOSE(CONTROL!$C$9, $D$9, 100%, $F$9) + CHOOSE(CONTROL!$C$27, 0.0021, 0)</f>
        <v>110.6241</v>
      </c>
      <c r="L745" s="14"/>
    </row>
    <row r="746" spans="1:12" ht="15.75" x14ac:dyDescent="0.25">
      <c r="A746" s="32">
        <v>63644</v>
      </c>
      <c r="B746" s="14">
        <f>116.7866 * CHOOSE(CONTROL!$C$9, $D$9, 100%, $F$9) + CHOOSE(CONTROL!$C$27, 0.0021, 0)</f>
        <v>116.78870000000001</v>
      </c>
      <c r="C746" s="14">
        <f>116.3544 * CHOOSE(CONTROL!$C$9, $D$9, 100%, $F$9) + CHOOSE(CONTROL!$C$27, 0.0021, 0)</f>
        <v>116.3565</v>
      </c>
      <c r="D746" s="14">
        <f>116.3544 * CHOOSE(CONTROL!$C$9, $D$9, 100%, $F$9) + CHOOSE(CONTROL!$C$27, 0.0021, 0)</f>
        <v>116.3565</v>
      </c>
      <c r="E746" s="14">
        <f>116.2177 * CHOOSE(CONTROL!$C$9, $D$9, 100%, $F$9) + CHOOSE(CONTROL!$C$27, 0.0021, 0)</f>
        <v>116.21979999999999</v>
      </c>
      <c r="F746" s="14">
        <f>116.2177 * CHOOSE(CONTROL!$C$9, $D$9, 100%, $F$9) + CHOOSE(CONTROL!$C$27, 0.0021, 0)</f>
        <v>116.21979999999999</v>
      </c>
      <c r="G746" s="14">
        <f>116.4891 * CHOOSE(CONTROL!$C$9, $D$9, 100%, $F$9) + CHOOSE(CONTROL!$C$27, 0.0021, 0)</f>
        <v>116.49119999999999</v>
      </c>
      <c r="H746" s="14">
        <f>116.3544 * CHOOSE(CONTROL!$C$9, $D$9, 100%, $F$9) + CHOOSE(CONTROL!$C$27, 0.0021, 0)</f>
        <v>116.3565</v>
      </c>
      <c r="I746" s="14">
        <f>116.3544 * CHOOSE(CONTROL!$C$9, $D$9, 100%, $F$9) + CHOOSE(CONTROL!$C$27, 0.0021, 0)</f>
        <v>116.3565</v>
      </c>
      <c r="J746" s="14">
        <f>116.3544 * CHOOSE(CONTROL!$C$9, $D$9, 100%, $F$9) + CHOOSE(CONTROL!$C$27, 0.0021, 0)</f>
        <v>116.3565</v>
      </c>
      <c r="K746" s="14">
        <f>116.3544 * CHOOSE(CONTROL!$C$9, $D$9, 100%, $F$9) + CHOOSE(CONTROL!$C$27, 0.0021, 0)</f>
        <v>116.3565</v>
      </c>
      <c r="L746" s="14"/>
    </row>
    <row r="747" spans="1:12" ht="15.75" x14ac:dyDescent="0.25">
      <c r="A747" s="32">
        <v>63674</v>
      </c>
      <c r="B747" s="14">
        <f>124.2202 * CHOOSE(CONTROL!$C$9, $D$9, 100%, $F$9) + CHOOSE(CONTROL!$C$27, 0.0021, 0)</f>
        <v>124.2223</v>
      </c>
      <c r="C747" s="14">
        <f>123.7879 * CHOOSE(CONTROL!$C$9, $D$9, 100%, $F$9) + CHOOSE(CONTROL!$C$27, 0.0021, 0)</f>
        <v>123.78999999999999</v>
      </c>
      <c r="D747" s="14">
        <f>123.7879 * CHOOSE(CONTROL!$C$9, $D$9, 100%, $F$9) + CHOOSE(CONTROL!$C$27, 0.0021, 0)</f>
        <v>123.78999999999999</v>
      </c>
      <c r="E747" s="14">
        <f>123.6513 * CHOOSE(CONTROL!$C$9, $D$9, 100%, $F$9) + CHOOSE(CONTROL!$C$27, 0.0021, 0)</f>
        <v>123.6534</v>
      </c>
      <c r="F747" s="14">
        <f>123.6513 * CHOOSE(CONTROL!$C$9, $D$9, 100%, $F$9) + CHOOSE(CONTROL!$C$27, 0.0021, 0)</f>
        <v>123.6534</v>
      </c>
      <c r="G747" s="14">
        <f>123.9226 * CHOOSE(CONTROL!$C$9, $D$9, 100%, $F$9) + CHOOSE(CONTROL!$C$27, 0.0021, 0)</f>
        <v>123.9247</v>
      </c>
      <c r="H747" s="14">
        <f>123.7879 * CHOOSE(CONTROL!$C$9, $D$9, 100%, $F$9) + CHOOSE(CONTROL!$C$27, 0.0021, 0)</f>
        <v>123.78999999999999</v>
      </c>
      <c r="I747" s="14">
        <f>123.7879 * CHOOSE(CONTROL!$C$9, $D$9, 100%, $F$9) + CHOOSE(CONTROL!$C$27, 0.0021, 0)</f>
        <v>123.78999999999999</v>
      </c>
      <c r="J747" s="14">
        <f>123.7879 * CHOOSE(CONTROL!$C$9, $D$9, 100%, $F$9) + CHOOSE(CONTROL!$C$27, 0.0021, 0)</f>
        <v>123.78999999999999</v>
      </c>
      <c r="K747" s="14">
        <f>123.7879 * CHOOSE(CONTROL!$C$9, $D$9, 100%, $F$9) + CHOOSE(CONTROL!$C$27, 0.0021, 0)</f>
        <v>123.78999999999999</v>
      </c>
      <c r="L747" s="14"/>
    </row>
    <row r="748" spans="1:12" ht="15.75" x14ac:dyDescent="0.25">
      <c r="A748" s="32">
        <v>63705</v>
      </c>
      <c r="B748" s="14">
        <f>128.3118 * CHOOSE(CONTROL!$C$9, $D$9, 100%, $F$9) + CHOOSE(CONTROL!$C$27, 0.0021, 0)</f>
        <v>128.31390000000002</v>
      </c>
      <c r="C748" s="14">
        <f>127.8796 * CHOOSE(CONTROL!$C$9, $D$9, 100%, $F$9) + CHOOSE(CONTROL!$C$27, 0.0021, 0)</f>
        <v>127.8817</v>
      </c>
      <c r="D748" s="14">
        <f>127.8796 * CHOOSE(CONTROL!$C$9, $D$9, 100%, $F$9) + CHOOSE(CONTROL!$C$27, 0.0021, 0)</f>
        <v>127.8817</v>
      </c>
      <c r="E748" s="14">
        <f>127.7429 * CHOOSE(CONTROL!$C$9, $D$9, 100%, $F$9) + CHOOSE(CONTROL!$C$27, 0.0021, 0)</f>
        <v>127.745</v>
      </c>
      <c r="F748" s="14">
        <f>127.7429 * CHOOSE(CONTROL!$C$9, $D$9, 100%, $F$9) + CHOOSE(CONTROL!$C$27, 0.0021, 0)</f>
        <v>127.745</v>
      </c>
      <c r="G748" s="14">
        <f>128.0143 * CHOOSE(CONTROL!$C$9, $D$9, 100%, $F$9) + CHOOSE(CONTROL!$C$27, 0.0021, 0)</f>
        <v>128.0164</v>
      </c>
      <c r="H748" s="14">
        <f>127.8796 * CHOOSE(CONTROL!$C$9, $D$9, 100%, $F$9) + CHOOSE(CONTROL!$C$27, 0.0021, 0)</f>
        <v>127.8817</v>
      </c>
      <c r="I748" s="14">
        <f>127.8796 * CHOOSE(CONTROL!$C$9, $D$9, 100%, $F$9) + CHOOSE(CONTROL!$C$27, 0.0021, 0)</f>
        <v>127.8817</v>
      </c>
      <c r="J748" s="14">
        <f>127.8796 * CHOOSE(CONTROL!$C$9, $D$9, 100%, $F$9) + CHOOSE(CONTROL!$C$27, 0.0021, 0)</f>
        <v>127.8817</v>
      </c>
      <c r="K748" s="14">
        <f>127.8796 * CHOOSE(CONTROL!$C$9, $D$9, 100%, $F$9) + CHOOSE(CONTROL!$C$27, 0.0021, 0)</f>
        <v>127.8817</v>
      </c>
      <c r="L748" s="14"/>
    </row>
    <row r="749" spans="1:12" ht="15.75" x14ac:dyDescent="0.25">
      <c r="A749" s="32">
        <v>63735</v>
      </c>
      <c r="B749" s="14">
        <f>130.1276 * CHOOSE(CONTROL!$C$9, $D$9, 100%, $F$9) + CHOOSE(CONTROL!$C$27, 0.0021, 0)</f>
        <v>130.12970000000001</v>
      </c>
      <c r="C749" s="14">
        <f>129.6954 * CHOOSE(CONTROL!$C$9, $D$9, 100%, $F$9) + CHOOSE(CONTROL!$C$27, 0.0021, 0)</f>
        <v>129.69750000000002</v>
      </c>
      <c r="D749" s="14">
        <f>129.6954 * CHOOSE(CONTROL!$C$9, $D$9, 100%, $F$9) + CHOOSE(CONTROL!$C$27, 0.0021, 0)</f>
        <v>129.69750000000002</v>
      </c>
      <c r="E749" s="14">
        <f>129.5587 * CHOOSE(CONTROL!$C$9, $D$9, 100%, $F$9) + CHOOSE(CONTROL!$C$27, 0.0021, 0)</f>
        <v>129.5608</v>
      </c>
      <c r="F749" s="14">
        <f>129.5587 * CHOOSE(CONTROL!$C$9, $D$9, 100%, $F$9) + CHOOSE(CONTROL!$C$27, 0.0021, 0)</f>
        <v>129.5608</v>
      </c>
      <c r="G749" s="14">
        <f>129.8301 * CHOOSE(CONTROL!$C$9, $D$9, 100%, $F$9) + CHOOSE(CONTROL!$C$27, 0.0021, 0)</f>
        <v>129.8322</v>
      </c>
      <c r="H749" s="14">
        <f>129.6954 * CHOOSE(CONTROL!$C$9, $D$9, 100%, $F$9) + CHOOSE(CONTROL!$C$27, 0.0021, 0)</f>
        <v>129.69750000000002</v>
      </c>
      <c r="I749" s="14">
        <f>129.6954 * CHOOSE(CONTROL!$C$9, $D$9, 100%, $F$9) + CHOOSE(CONTROL!$C$27, 0.0021, 0)</f>
        <v>129.69750000000002</v>
      </c>
      <c r="J749" s="14">
        <f>129.6954 * CHOOSE(CONTROL!$C$9, $D$9, 100%, $F$9) + CHOOSE(CONTROL!$C$27, 0.0021, 0)</f>
        <v>129.69750000000002</v>
      </c>
      <c r="K749" s="14">
        <f>129.6954 * CHOOSE(CONTROL!$C$9, $D$9, 100%, $F$9) + CHOOSE(CONTROL!$C$27, 0.0021, 0)</f>
        <v>129.69750000000002</v>
      </c>
      <c r="L749" s="14"/>
    </row>
    <row r="750" spans="1:12" ht="15.75" x14ac:dyDescent="0.25">
      <c r="A750" s="32">
        <v>63766</v>
      </c>
      <c r="B750" s="14">
        <f>129.5298 * CHOOSE(CONTROL!$C$9, $D$9, 100%, $F$9) + CHOOSE(CONTROL!$C$27, 0.0021, 0)</f>
        <v>129.53190000000001</v>
      </c>
      <c r="C750" s="14">
        <f>129.0975 * CHOOSE(CONTROL!$C$9, $D$9, 100%, $F$9) + CHOOSE(CONTROL!$C$27, 0.0021, 0)</f>
        <v>129.09960000000001</v>
      </c>
      <c r="D750" s="14">
        <f>129.0975 * CHOOSE(CONTROL!$C$9, $D$9, 100%, $F$9) + CHOOSE(CONTROL!$C$27, 0.0021, 0)</f>
        <v>129.09960000000001</v>
      </c>
      <c r="E750" s="14">
        <f>128.9609 * CHOOSE(CONTROL!$C$9, $D$9, 100%, $F$9) + CHOOSE(CONTROL!$C$27, 0.0021, 0)</f>
        <v>128.96300000000002</v>
      </c>
      <c r="F750" s="14">
        <f>128.9609 * CHOOSE(CONTROL!$C$9, $D$9, 100%, $F$9) + CHOOSE(CONTROL!$C$27, 0.0021, 0)</f>
        <v>128.96300000000002</v>
      </c>
      <c r="G750" s="14">
        <f>129.2322 * CHOOSE(CONTROL!$C$9, $D$9, 100%, $F$9) + CHOOSE(CONTROL!$C$27, 0.0021, 0)</f>
        <v>129.23430000000002</v>
      </c>
      <c r="H750" s="14">
        <f>129.0975 * CHOOSE(CONTROL!$C$9, $D$9, 100%, $F$9) + CHOOSE(CONTROL!$C$27, 0.0021, 0)</f>
        <v>129.09960000000001</v>
      </c>
      <c r="I750" s="14">
        <f>129.0975 * CHOOSE(CONTROL!$C$9, $D$9, 100%, $F$9) + CHOOSE(CONTROL!$C$27, 0.0021, 0)</f>
        <v>129.09960000000001</v>
      </c>
      <c r="J750" s="14">
        <f>129.0975 * CHOOSE(CONTROL!$C$9, $D$9, 100%, $F$9) + CHOOSE(CONTROL!$C$27, 0.0021, 0)</f>
        <v>129.09960000000001</v>
      </c>
      <c r="K750" s="14">
        <f>129.0975 * CHOOSE(CONTROL!$C$9, $D$9, 100%, $F$9) + CHOOSE(CONTROL!$C$27, 0.0021, 0)</f>
        <v>129.09960000000001</v>
      </c>
      <c r="L750" s="14"/>
    </row>
    <row r="751" spans="1:12" ht="15.75" x14ac:dyDescent="0.25">
      <c r="A751" s="32">
        <v>63797</v>
      </c>
      <c r="B751" s="14">
        <f>126.5677 * CHOOSE(CONTROL!$C$9, $D$9, 100%, $F$9) + CHOOSE(CONTROL!$C$27, 0.0021, 0)</f>
        <v>126.5698</v>
      </c>
      <c r="C751" s="14">
        <f>126.1355 * CHOOSE(CONTROL!$C$9, $D$9, 100%, $F$9) + CHOOSE(CONTROL!$C$27, 0.0021, 0)</f>
        <v>126.13759999999999</v>
      </c>
      <c r="D751" s="14">
        <f>126.1355 * CHOOSE(CONTROL!$C$9, $D$9, 100%, $F$9) + CHOOSE(CONTROL!$C$27, 0.0021, 0)</f>
        <v>126.13759999999999</v>
      </c>
      <c r="E751" s="14">
        <f>125.9988 * CHOOSE(CONTROL!$C$9, $D$9, 100%, $F$9) + CHOOSE(CONTROL!$C$27, 0.0021, 0)</f>
        <v>126.0009</v>
      </c>
      <c r="F751" s="14">
        <f>125.9988 * CHOOSE(CONTROL!$C$9, $D$9, 100%, $F$9) + CHOOSE(CONTROL!$C$27, 0.0021, 0)</f>
        <v>126.0009</v>
      </c>
      <c r="G751" s="14">
        <f>126.2702 * CHOOSE(CONTROL!$C$9, $D$9, 100%, $F$9) + CHOOSE(CONTROL!$C$27, 0.0021, 0)</f>
        <v>126.2723</v>
      </c>
      <c r="H751" s="14">
        <f>126.1355 * CHOOSE(CONTROL!$C$9, $D$9, 100%, $F$9) + CHOOSE(CONTROL!$C$27, 0.0021, 0)</f>
        <v>126.13759999999999</v>
      </c>
      <c r="I751" s="14">
        <f>126.1355 * CHOOSE(CONTROL!$C$9, $D$9, 100%, $F$9) + CHOOSE(CONTROL!$C$27, 0.0021, 0)</f>
        <v>126.13759999999999</v>
      </c>
      <c r="J751" s="14">
        <f>126.1355 * CHOOSE(CONTROL!$C$9, $D$9, 100%, $F$9) + CHOOSE(CONTROL!$C$27, 0.0021, 0)</f>
        <v>126.13759999999999</v>
      </c>
      <c r="K751" s="14">
        <f>126.1355 * CHOOSE(CONTROL!$C$9, $D$9, 100%, $F$9) + CHOOSE(CONTROL!$C$27, 0.0021, 0)</f>
        <v>126.13759999999999</v>
      </c>
      <c r="L751" s="14"/>
    </row>
    <row r="752" spans="1:12" ht="15.75" x14ac:dyDescent="0.25">
      <c r="A752" s="32">
        <v>63827</v>
      </c>
      <c r="B752" s="14">
        <f>122.437 * CHOOSE(CONTROL!$C$9, $D$9, 100%, $F$9) + CHOOSE(CONTROL!$C$27, 0.0021, 0)</f>
        <v>122.4391</v>
      </c>
      <c r="C752" s="14">
        <f>122.0048 * CHOOSE(CONTROL!$C$9, $D$9, 100%, $F$9) + CHOOSE(CONTROL!$C$27, 0.0021, 0)</f>
        <v>122.0069</v>
      </c>
      <c r="D752" s="14">
        <f>122.0048 * CHOOSE(CONTROL!$C$9, $D$9, 100%, $F$9) + CHOOSE(CONTROL!$C$27, 0.0021, 0)</f>
        <v>122.0069</v>
      </c>
      <c r="E752" s="14">
        <f>121.8681 * CHOOSE(CONTROL!$C$9, $D$9, 100%, $F$9) + CHOOSE(CONTROL!$C$27, 0.0021, 0)</f>
        <v>121.8702</v>
      </c>
      <c r="F752" s="14">
        <f>121.8681 * CHOOSE(CONTROL!$C$9, $D$9, 100%, $F$9) + CHOOSE(CONTROL!$C$27, 0.0021, 0)</f>
        <v>121.8702</v>
      </c>
      <c r="G752" s="14">
        <f>122.1395 * CHOOSE(CONTROL!$C$9, $D$9, 100%, $F$9) + CHOOSE(CONTROL!$C$27, 0.0021, 0)</f>
        <v>122.1416</v>
      </c>
      <c r="H752" s="14">
        <f>122.0048 * CHOOSE(CONTROL!$C$9, $D$9, 100%, $F$9) + CHOOSE(CONTROL!$C$27, 0.0021, 0)</f>
        <v>122.0069</v>
      </c>
      <c r="I752" s="14">
        <f>122.0048 * CHOOSE(CONTROL!$C$9, $D$9, 100%, $F$9) + CHOOSE(CONTROL!$C$27, 0.0021, 0)</f>
        <v>122.0069</v>
      </c>
      <c r="J752" s="14">
        <f>122.0048 * CHOOSE(CONTROL!$C$9, $D$9, 100%, $F$9) + CHOOSE(CONTROL!$C$27, 0.0021, 0)</f>
        <v>122.0069</v>
      </c>
      <c r="K752" s="14">
        <f>122.0048 * CHOOSE(CONTROL!$C$9, $D$9, 100%, $F$9) + CHOOSE(CONTROL!$C$27, 0.0021, 0)</f>
        <v>122.0069</v>
      </c>
      <c r="L752" s="14"/>
    </row>
    <row r="753" spans="1:12" ht="15.75" x14ac:dyDescent="0.25">
      <c r="A753" s="32">
        <v>63858</v>
      </c>
      <c r="B753" s="14">
        <f>118.2823 * CHOOSE(CONTROL!$C$9, $D$9, 100%, $F$9) + CHOOSE(CONTROL!$C$27, 0.0021, 0)</f>
        <v>118.28440000000001</v>
      </c>
      <c r="C753" s="14">
        <f>117.8501 * CHOOSE(CONTROL!$C$9, $D$9, 100%, $F$9) + CHOOSE(CONTROL!$C$27, 0.0021, 0)</f>
        <v>117.8522</v>
      </c>
      <c r="D753" s="14">
        <f>117.8501 * CHOOSE(CONTROL!$C$9, $D$9, 100%, $F$9) + CHOOSE(CONTROL!$C$27, 0.0021, 0)</f>
        <v>117.8522</v>
      </c>
      <c r="E753" s="14">
        <f>117.7134 * CHOOSE(CONTROL!$C$9, $D$9, 100%, $F$9) + CHOOSE(CONTROL!$C$27, 0.0021, 0)</f>
        <v>117.71549999999999</v>
      </c>
      <c r="F753" s="14">
        <f>117.7134 * CHOOSE(CONTROL!$C$9, $D$9, 100%, $F$9) + CHOOSE(CONTROL!$C$27, 0.0021, 0)</f>
        <v>117.71549999999999</v>
      </c>
      <c r="G753" s="14">
        <f>117.9848 * CHOOSE(CONTROL!$C$9, $D$9, 100%, $F$9) + CHOOSE(CONTROL!$C$27, 0.0021, 0)</f>
        <v>117.98690000000001</v>
      </c>
      <c r="H753" s="14">
        <f>117.8501 * CHOOSE(CONTROL!$C$9, $D$9, 100%, $F$9) + CHOOSE(CONTROL!$C$27, 0.0021, 0)</f>
        <v>117.8522</v>
      </c>
      <c r="I753" s="14">
        <f>117.8501 * CHOOSE(CONTROL!$C$9, $D$9, 100%, $F$9) + CHOOSE(CONTROL!$C$27, 0.0021, 0)</f>
        <v>117.8522</v>
      </c>
      <c r="J753" s="14">
        <f>117.8501 * CHOOSE(CONTROL!$C$9, $D$9, 100%, $F$9) + CHOOSE(CONTROL!$C$27, 0.0021, 0)</f>
        <v>117.8522</v>
      </c>
      <c r="K753" s="14">
        <f>117.8501 * CHOOSE(CONTROL!$C$9, $D$9, 100%, $F$9) + CHOOSE(CONTROL!$C$27, 0.0021, 0)</f>
        <v>117.8522</v>
      </c>
      <c r="L753" s="14"/>
    </row>
    <row r="754" spans="1:12" ht="15.75" x14ac:dyDescent="0.25">
      <c r="A754" s="32">
        <v>63888</v>
      </c>
      <c r="B754" s="14">
        <f>117.4559 * CHOOSE(CONTROL!$C$9, $D$9, 100%, $F$9) + CHOOSE(CONTROL!$C$27, 0.0021, 0)</f>
        <v>117.458</v>
      </c>
      <c r="C754" s="14">
        <f>117.0236 * CHOOSE(CONTROL!$C$9, $D$9, 100%, $F$9) + CHOOSE(CONTROL!$C$27, 0.0021, 0)</f>
        <v>117.0257</v>
      </c>
      <c r="D754" s="14">
        <f>117.0236 * CHOOSE(CONTROL!$C$9, $D$9, 100%, $F$9) + CHOOSE(CONTROL!$C$27, 0.0021, 0)</f>
        <v>117.0257</v>
      </c>
      <c r="E754" s="14">
        <f>116.887 * CHOOSE(CONTROL!$C$9, $D$9, 100%, $F$9) + CHOOSE(CONTROL!$C$27, 0.0021, 0)</f>
        <v>116.8891</v>
      </c>
      <c r="F754" s="14">
        <f>116.887 * CHOOSE(CONTROL!$C$9, $D$9, 100%, $F$9) + CHOOSE(CONTROL!$C$27, 0.0021, 0)</f>
        <v>116.8891</v>
      </c>
      <c r="G754" s="14">
        <f>117.1583 * CHOOSE(CONTROL!$C$9, $D$9, 100%, $F$9) + CHOOSE(CONTROL!$C$27, 0.0021, 0)</f>
        <v>117.1604</v>
      </c>
      <c r="H754" s="14">
        <f>117.0236 * CHOOSE(CONTROL!$C$9, $D$9, 100%, $F$9) + CHOOSE(CONTROL!$C$27, 0.0021, 0)</f>
        <v>117.0257</v>
      </c>
      <c r="I754" s="14">
        <f>117.0236 * CHOOSE(CONTROL!$C$9, $D$9, 100%, $F$9) + CHOOSE(CONTROL!$C$27, 0.0021, 0)</f>
        <v>117.0257</v>
      </c>
      <c r="J754" s="14">
        <f>117.0236 * CHOOSE(CONTROL!$C$9, $D$9, 100%, $F$9) + CHOOSE(CONTROL!$C$27, 0.0021, 0)</f>
        <v>117.0257</v>
      </c>
      <c r="K754" s="14">
        <f>117.0236 * CHOOSE(CONTROL!$C$9, $D$9, 100%, $F$9) + CHOOSE(CONTROL!$C$27, 0.0021, 0)</f>
        <v>117.0257</v>
      </c>
      <c r="L754" s="14"/>
    </row>
    <row r="755" spans="1:12" ht="15.75" x14ac:dyDescent="0.25">
      <c r="A755" s="32">
        <v>63919</v>
      </c>
      <c r="B755" s="14">
        <f>114.0384 * CHOOSE(CONTROL!$C$9, $D$9, 100%, $F$9) + CHOOSE(CONTROL!$C$27, 0.0021, 0)</f>
        <v>114.04049999999999</v>
      </c>
      <c r="C755" s="14">
        <f>113.6061 * CHOOSE(CONTROL!$C$9, $D$9, 100%, $F$9) + CHOOSE(CONTROL!$C$27, 0.0021, 0)</f>
        <v>113.6082</v>
      </c>
      <c r="D755" s="14">
        <f>113.6061 * CHOOSE(CONTROL!$C$9, $D$9, 100%, $F$9) + CHOOSE(CONTROL!$C$27, 0.0021, 0)</f>
        <v>113.6082</v>
      </c>
      <c r="E755" s="14">
        <f>113.4695 * CHOOSE(CONTROL!$C$9, $D$9, 100%, $F$9) + CHOOSE(CONTROL!$C$27, 0.0021, 0)</f>
        <v>113.4716</v>
      </c>
      <c r="F755" s="14">
        <f>113.4695 * CHOOSE(CONTROL!$C$9, $D$9, 100%, $F$9) + CHOOSE(CONTROL!$C$27, 0.0021, 0)</f>
        <v>113.4716</v>
      </c>
      <c r="G755" s="14">
        <f>113.7408 * CHOOSE(CONTROL!$C$9, $D$9, 100%, $F$9) + CHOOSE(CONTROL!$C$27, 0.0021, 0)</f>
        <v>113.74289999999999</v>
      </c>
      <c r="H755" s="14">
        <f>113.6061 * CHOOSE(CONTROL!$C$9, $D$9, 100%, $F$9) + CHOOSE(CONTROL!$C$27, 0.0021, 0)</f>
        <v>113.6082</v>
      </c>
      <c r="I755" s="14">
        <f>113.6061 * CHOOSE(CONTROL!$C$9, $D$9, 100%, $F$9) + CHOOSE(CONTROL!$C$27, 0.0021, 0)</f>
        <v>113.6082</v>
      </c>
      <c r="J755" s="14">
        <f>113.6061 * CHOOSE(CONTROL!$C$9, $D$9, 100%, $F$9) + CHOOSE(CONTROL!$C$27, 0.0021, 0)</f>
        <v>113.6082</v>
      </c>
      <c r="K755" s="14">
        <f>113.6061 * CHOOSE(CONTROL!$C$9, $D$9, 100%, $F$9) + CHOOSE(CONTROL!$C$27, 0.0021, 0)</f>
        <v>113.6082</v>
      </c>
      <c r="L755" s="14"/>
    </row>
    <row r="756" spans="1:12" ht="15.75" x14ac:dyDescent="0.25">
      <c r="A756" s="32">
        <v>63950</v>
      </c>
      <c r="B756" s="14">
        <f>113.373 * CHOOSE(CONTROL!$C$9, $D$9, 100%, $F$9) + CHOOSE(CONTROL!$C$27, 0.0021, 0)</f>
        <v>113.3751</v>
      </c>
      <c r="C756" s="14">
        <f>112.9408 * CHOOSE(CONTROL!$C$9, $D$9, 100%, $F$9) + CHOOSE(CONTROL!$C$27, 0.0021, 0)</f>
        <v>112.94289999999999</v>
      </c>
      <c r="D756" s="14">
        <f>112.9408 * CHOOSE(CONTROL!$C$9, $D$9, 100%, $F$9) + CHOOSE(CONTROL!$C$27, 0.0021, 0)</f>
        <v>112.94289999999999</v>
      </c>
      <c r="E756" s="14">
        <f>112.8041 * CHOOSE(CONTROL!$C$9, $D$9, 100%, $F$9) + CHOOSE(CONTROL!$C$27, 0.0021, 0)</f>
        <v>112.8062</v>
      </c>
      <c r="F756" s="14">
        <f>112.8041 * CHOOSE(CONTROL!$C$9, $D$9, 100%, $F$9) + CHOOSE(CONTROL!$C$27, 0.0021, 0)</f>
        <v>112.8062</v>
      </c>
      <c r="G756" s="14">
        <f>113.0755 * CHOOSE(CONTROL!$C$9, $D$9, 100%, $F$9) + CHOOSE(CONTROL!$C$27, 0.0021, 0)</f>
        <v>113.0776</v>
      </c>
      <c r="H756" s="14">
        <f>112.9408 * CHOOSE(CONTROL!$C$9, $D$9, 100%, $F$9) + CHOOSE(CONTROL!$C$27, 0.0021, 0)</f>
        <v>112.94289999999999</v>
      </c>
      <c r="I756" s="14">
        <f>112.9408 * CHOOSE(CONTROL!$C$9, $D$9, 100%, $F$9) + CHOOSE(CONTROL!$C$27, 0.0021, 0)</f>
        <v>112.94289999999999</v>
      </c>
      <c r="J756" s="14">
        <f>112.9408 * CHOOSE(CONTROL!$C$9, $D$9, 100%, $F$9) + CHOOSE(CONTROL!$C$27, 0.0021, 0)</f>
        <v>112.94289999999999</v>
      </c>
      <c r="K756" s="14">
        <f>112.9408 * CHOOSE(CONTROL!$C$9, $D$9, 100%, $F$9) + CHOOSE(CONTROL!$C$27, 0.0021, 0)</f>
        <v>112.94289999999999</v>
      </c>
      <c r="L756" s="14"/>
    </row>
    <row r="757" spans="1:12" ht="15.75" x14ac:dyDescent="0.25">
      <c r="A757" s="32">
        <v>63978</v>
      </c>
      <c r="B757" s="14">
        <f>113.0643 * CHOOSE(CONTROL!$C$9, $D$9, 100%, $F$9) + CHOOSE(CONTROL!$C$27, 0.0021, 0)</f>
        <v>113.0664</v>
      </c>
      <c r="C757" s="14">
        <f>112.632 * CHOOSE(CONTROL!$C$9, $D$9, 100%, $F$9) + CHOOSE(CONTROL!$C$27, 0.0021, 0)</f>
        <v>112.6341</v>
      </c>
      <c r="D757" s="14">
        <f>112.632 * CHOOSE(CONTROL!$C$9, $D$9, 100%, $F$9) + CHOOSE(CONTROL!$C$27, 0.0021, 0)</f>
        <v>112.6341</v>
      </c>
      <c r="E757" s="14">
        <f>112.4953 * CHOOSE(CONTROL!$C$9, $D$9, 100%, $F$9) + CHOOSE(CONTROL!$C$27, 0.0021, 0)</f>
        <v>112.4974</v>
      </c>
      <c r="F757" s="14">
        <f>112.4953 * CHOOSE(CONTROL!$C$9, $D$9, 100%, $F$9) + CHOOSE(CONTROL!$C$27, 0.0021, 0)</f>
        <v>112.4974</v>
      </c>
      <c r="G757" s="14">
        <f>112.7667 * CHOOSE(CONTROL!$C$9, $D$9, 100%, $F$9) + CHOOSE(CONTROL!$C$27, 0.0021, 0)</f>
        <v>112.7688</v>
      </c>
      <c r="H757" s="14">
        <f>112.632 * CHOOSE(CONTROL!$C$9, $D$9, 100%, $F$9) + CHOOSE(CONTROL!$C$27, 0.0021, 0)</f>
        <v>112.6341</v>
      </c>
      <c r="I757" s="14">
        <f>112.632 * CHOOSE(CONTROL!$C$9, $D$9, 100%, $F$9) + CHOOSE(CONTROL!$C$27, 0.0021, 0)</f>
        <v>112.6341</v>
      </c>
      <c r="J757" s="14">
        <f>112.632 * CHOOSE(CONTROL!$C$9, $D$9, 100%, $F$9) + CHOOSE(CONTROL!$C$27, 0.0021, 0)</f>
        <v>112.6341</v>
      </c>
      <c r="K757" s="14">
        <f>112.632 * CHOOSE(CONTROL!$C$9, $D$9, 100%, $F$9) + CHOOSE(CONTROL!$C$27, 0.0021, 0)</f>
        <v>112.6341</v>
      </c>
      <c r="L757" s="14"/>
    </row>
    <row r="758" spans="1:12" ht="15.75" x14ac:dyDescent="0.25">
      <c r="A758" s="32">
        <v>64009</v>
      </c>
      <c r="B758" s="14">
        <f>118.9026 * CHOOSE(CONTROL!$C$9, $D$9, 100%, $F$9) + CHOOSE(CONTROL!$C$27, 0.0021, 0)</f>
        <v>118.90470000000001</v>
      </c>
      <c r="C758" s="14">
        <f>118.4703 * CHOOSE(CONTROL!$C$9, $D$9, 100%, $F$9) + CHOOSE(CONTROL!$C$27, 0.0021, 0)</f>
        <v>118.47239999999999</v>
      </c>
      <c r="D758" s="14">
        <f>118.4703 * CHOOSE(CONTROL!$C$9, $D$9, 100%, $F$9) + CHOOSE(CONTROL!$C$27, 0.0021, 0)</f>
        <v>118.47239999999999</v>
      </c>
      <c r="E758" s="14">
        <f>118.3337 * CHOOSE(CONTROL!$C$9, $D$9, 100%, $F$9) + CHOOSE(CONTROL!$C$27, 0.0021, 0)</f>
        <v>118.33579999999999</v>
      </c>
      <c r="F758" s="14">
        <f>118.3337 * CHOOSE(CONTROL!$C$9, $D$9, 100%, $F$9) + CHOOSE(CONTROL!$C$27, 0.0021, 0)</f>
        <v>118.33579999999999</v>
      </c>
      <c r="G758" s="14">
        <f>118.605 * CHOOSE(CONTROL!$C$9, $D$9, 100%, $F$9) + CHOOSE(CONTROL!$C$27, 0.0021, 0)</f>
        <v>118.6071</v>
      </c>
      <c r="H758" s="14">
        <f>118.4703 * CHOOSE(CONTROL!$C$9, $D$9, 100%, $F$9) + CHOOSE(CONTROL!$C$27, 0.0021, 0)</f>
        <v>118.47239999999999</v>
      </c>
      <c r="I758" s="14">
        <f>118.4703 * CHOOSE(CONTROL!$C$9, $D$9, 100%, $F$9) + CHOOSE(CONTROL!$C$27, 0.0021, 0)</f>
        <v>118.47239999999999</v>
      </c>
      <c r="J758" s="14">
        <f>118.4703 * CHOOSE(CONTROL!$C$9, $D$9, 100%, $F$9) + CHOOSE(CONTROL!$C$27, 0.0021, 0)</f>
        <v>118.47239999999999</v>
      </c>
      <c r="K758" s="14">
        <f>118.4703 * CHOOSE(CONTROL!$C$9, $D$9, 100%, $F$9) + CHOOSE(CONTROL!$C$27, 0.0021, 0)</f>
        <v>118.47239999999999</v>
      </c>
      <c r="L758" s="14"/>
    </row>
    <row r="759" spans="1:12" ht="15.75" x14ac:dyDescent="0.25">
      <c r="A759" s="32">
        <v>64039</v>
      </c>
      <c r="B759" s="14">
        <f>126.4735 * CHOOSE(CONTROL!$C$9, $D$9, 100%, $F$9) + CHOOSE(CONTROL!$C$27, 0.0021, 0)</f>
        <v>126.4756</v>
      </c>
      <c r="C759" s="14">
        <f>126.0412 * CHOOSE(CONTROL!$C$9, $D$9, 100%, $F$9) + CHOOSE(CONTROL!$C$27, 0.0021, 0)</f>
        <v>126.0433</v>
      </c>
      <c r="D759" s="14">
        <f>126.0412 * CHOOSE(CONTROL!$C$9, $D$9, 100%, $F$9) + CHOOSE(CONTROL!$C$27, 0.0021, 0)</f>
        <v>126.0433</v>
      </c>
      <c r="E759" s="14">
        <f>125.9046 * CHOOSE(CONTROL!$C$9, $D$9, 100%, $F$9) + CHOOSE(CONTROL!$C$27, 0.0021, 0)</f>
        <v>125.9067</v>
      </c>
      <c r="F759" s="14">
        <f>125.9046 * CHOOSE(CONTROL!$C$9, $D$9, 100%, $F$9) + CHOOSE(CONTROL!$C$27, 0.0021, 0)</f>
        <v>125.9067</v>
      </c>
      <c r="G759" s="14">
        <f>126.1759 * CHOOSE(CONTROL!$C$9, $D$9, 100%, $F$9) + CHOOSE(CONTROL!$C$27, 0.0021, 0)</f>
        <v>126.178</v>
      </c>
      <c r="H759" s="14">
        <f>126.0412 * CHOOSE(CONTROL!$C$9, $D$9, 100%, $F$9) + CHOOSE(CONTROL!$C$27, 0.0021, 0)</f>
        <v>126.0433</v>
      </c>
      <c r="I759" s="14">
        <f>126.0412 * CHOOSE(CONTROL!$C$9, $D$9, 100%, $F$9) + CHOOSE(CONTROL!$C$27, 0.0021, 0)</f>
        <v>126.0433</v>
      </c>
      <c r="J759" s="14">
        <f>126.0412 * CHOOSE(CONTROL!$C$9, $D$9, 100%, $F$9) + CHOOSE(CONTROL!$C$27, 0.0021, 0)</f>
        <v>126.0433</v>
      </c>
      <c r="K759" s="14">
        <f>126.0412 * CHOOSE(CONTROL!$C$9, $D$9, 100%, $F$9) + CHOOSE(CONTROL!$C$27, 0.0021, 0)</f>
        <v>126.0433</v>
      </c>
      <c r="L759" s="14"/>
    </row>
    <row r="760" spans="1:12" ht="15.75" x14ac:dyDescent="0.25">
      <c r="A760" s="32">
        <v>64070</v>
      </c>
      <c r="B760" s="14">
        <f>130.6408 * CHOOSE(CONTROL!$C$9, $D$9, 100%, $F$9) + CHOOSE(CONTROL!$C$27, 0.0021, 0)</f>
        <v>130.64290000000003</v>
      </c>
      <c r="C760" s="14">
        <f>130.2085 * CHOOSE(CONTROL!$C$9, $D$9, 100%, $F$9) + CHOOSE(CONTROL!$C$27, 0.0021, 0)</f>
        <v>130.2106</v>
      </c>
      <c r="D760" s="14">
        <f>130.2085 * CHOOSE(CONTROL!$C$9, $D$9, 100%, $F$9) + CHOOSE(CONTROL!$C$27, 0.0021, 0)</f>
        <v>130.2106</v>
      </c>
      <c r="E760" s="14">
        <f>130.0718 * CHOOSE(CONTROL!$C$9, $D$9, 100%, $F$9) + CHOOSE(CONTROL!$C$27, 0.0021, 0)</f>
        <v>130.07390000000001</v>
      </c>
      <c r="F760" s="14">
        <f>130.0718 * CHOOSE(CONTROL!$C$9, $D$9, 100%, $F$9) + CHOOSE(CONTROL!$C$27, 0.0021, 0)</f>
        <v>130.07390000000001</v>
      </c>
      <c r="G760" s="14">
        <f>130.3432 * CHOOSE(CONTROL!$C$9, $D$9, 100%, $F$9) + CHOOSE(CONTROL!$C$27, 0.0021, 0)</f>
        <v>130.34530000000001</v>
      </c>
      <c r="H760" s="14">
        <f>130.2085 * CHOOSE(CONTROL!$C$9, $D$9, 100%, $F$9) + CHOOSE(CONTROL!$C$27, 0.0021, 0)</f>
        <v>130.2106</v>
      </c>
      <c r="I760" s="14">
        <f>130.2085 * CHOOSE(CONTROL!$C$9, $D$9, 100%, $F$9) + CHOOSE(CONTROL!$C$27, 0.0021, 0)</f>
        <v>130.2106</v>
      </c>
      <c r="J760" s="14">
        <f>130.2085 * CHOOSE(CONTROL!$C$9, $D$9, 100%, $F$9) + CHOOSE(CONTROL!$C$27, 0.0021, 0)</f>
        <v>130.2106</v>
      </c>
      <c r="K760" s="14">
        <f>130.2085 * CHOOSE(CONTROL!$C$9, $D$9, 100%, $F$9) + CHOOSE(CONTROL!$C$27, 0.0021, 0)</f>
        <v>130.2106</v>
      </c>
      <c r="L760" s="14"/>
    </row>
    <row r="761" spans="1:12" ht="15.75" x14ac:dyDescent="0.25">
      <c r="A761" s="32">
        <v>64100</v>
      </c>
      <c r="B761" s="14">
        <f>132.4901 * CHOOSE(CONTROL!$C$9, $D$9, 100%, $F$9) + CHOOSE(CONTROL!$C$27, 0.0021, 0)</f>
        <v>132.49220000000003</v>
      </c>
      <c r="C761" s="14">
        <f>132.0579 * CHOOSE(CONTROL!$C$9, $D$9, 100%, $F$9) + CHOOSE(CONTROL!$C$27, 0.0021, 0)</f>
        <v>132.06</v>
      </c>
      <c r="D761" s="14">
        <f>132.0579 * CHOOSE(CONTROL!$C$9, $D$9, 100%, $F$9) + CHOOSE(CONTROL!$C$27, 0.0021, 0)</f>
        <v>132.06</v>
      </c>
      <c r="E761" s="14">
        <f>131.9212 * CHOOSE(CONTROL!$C$9, $D$9, 100%, $F$9) + CHOOSE(CONTROL!$C$27, 0.0021, 0)</f>
        <v>131.92330000000001</v>
      </c>
      <c r="F761" s="14">
        <f>131.9212 * CHOOSE(CONTROL!$C$9, $D$9, 100%, $F$9) + CHOOSE(CONTROL!$C$27, 0.0021, 0)</f>
        <v>131.92330000000001</v>
      </c>
      <c r="G761" s="14">
        <f>132.1926 * CHOOSE(CONTROL!$C$9, $D$9, 100%, $F$9) + CHOOSE(CONTROL!$C$27, 0.0021, 0)</f>
        <v>132.19470000000001</v>
      </c>
      <c r="H761" s="14">
        <f>132.0579 * CHOOSE(CONTROL!$C$9, $D$9, 100%, $F$9) + CHOOSE(CONTROL!$C$27, 0.0021, 0)</f>
        <v>132.06</v>
      </c>
      <c r="I761" s="14">
        <f>132.0579 * CHOOSE(CONTROL!$C$9, $D$9, 100%, $F$9) + CHOOSE(CONTROL!$C$27, 0.0021, 0)</f>
        <v>132.06</v>
      </c>
      <c r="J761" s="14">
        <f>132.0579 * CHOOSE(CONTROL!$C$9, $D$9, 100%, $F$9) + CHOOSE(CONTROL!$C$27, 0.0021, 0)</f>
        <v>132.06</v>
      </c>
      <c r="K761" s="14">
        <f>132.0579 * CHOOSE(CONTROL!$C$9, $D$9, 100%, $F$9) + CHOOSE(CONTROL!$C$27, 0.0021, 0)</f>
        <v>132.06</v>
      </c>
      <c r="L761" s="14"/>
    </row>
    <row r="762" spans="1:12" ht="15.75" x14ac:dyDescent="0.25">
      <c r="A762" s="32">
        <v>64131</v>
      </c>
      <c r="B762" s="14">
        <f>131.8812 * CHOOSE(CONTROL!$C$9, $D$9, 100%, $F$9) + CHOOSE(CONTROL!$C$27, 0.0021, 0)</f>
        <v>131.88330000000002</v>
      </c>
      <c r="C762" s="14">
        <f>131.449 * CHOOSE(CONTROL!$C$9, $D$9, 100%, $F$9) + CHOOSE(CONTROL!$C$27, 0.0021, 0)</f>
        <v>131.45110000000003</v>
      </c>
      <c r="D762" s="14">
        <f>131.449 * CHOOSE(CONTROL!$C$9, $D$9, 100%, $F$9) + CHOOSE(CONTROL!$C$27, 0.0021, 0)</f>
        <v>131.45110000000003</v>
      </c>
      <c r="E762" s="14">
        <f>131.3123 * CHOOSE(CONTROL!$C$9, $D$9, 100%, $F$9) + CHOOSE(CONTROL!$C$27, 0.0021, 0)</f>
        <v>131.31440000000001</v>
      </c>
      <c r="F762" s="14">
        <f>131.3123 * CHOOSE(CONTROL!$C$9, $D$9, 100%, $F$9) + CHOOSE(CONTROL!$C$27, 0.0021, 0)</f>
        <v>131.31440000000001</v>
      </c>
      <c r="G762" s="14">
        <f>131.5837 * CHOOSE(CONTROL!$C$9, $D$9, 100%, $F$9) + CHOOSE(CONTROL!$C$27, 0.0021, 0)</f>
        <v>131.58580000000001</v>
      </c>
      <c r="H762" s="14">
        <f>131.449 * CHOOSE(CONTROL!$C$9, $D$9, 100%, $F$9) + CHOOSE(CONTROL!$C$27, 0.0021, 0)</f>
        <v>131.45110000000003</v>
      </c>
      <c r="I762" s="14">
        <f>131.449 * CHOOSE(CONTROL!$C$9, $D$9, 100%, $F$9) + CHOOSE(CONTROL!$C$27, 0.0021, 0)</f>
        <v>131.45110000000003</v>
      </c>
      <c r="J762" s="14">
        <f>131.449 * CHOOSE(CONTROL!$C$9, $D$9, 100%, $F$9) + CHOOSE(CONTROL!$C$27, 0.0021, 0)</f>
        <v>131.45110000000003</v>
      </c>
      <c r="K762" s="14">
        <f>131.449 * CHOOSE(CONTROL!$C$9, $D$9, 100%, $F$9) + CHOOSE(CONTROL!$C$27, 0.0021, 0)</f>
        <v>131.45110000000003</v>
      </c>
      <c r="L762" s="14"/>
    </row>
    <row r="763" spans="1:12" ht="15.75" x14ac:dyDescent="0.25">
      <c r="A763" s="32">
        <v>64162</v>
      </c>
      <c r="B763" s="14">
        <f>128.8644 * CHOOSE(CONTROL!$C$9, $D$9, 100%, $F$9) + CHOOSE(CONTROL!$C$27, 0.0021, 0)</f>
        <v>128.8665</v>
      </c>
      <c r="C763" s="14">
        <f>128.4322 * CHOOSE(CONTROL!$C$9, $D$9, 100%, $F$9) + CHOOSE(CONTROL!$C$27, 0.0021, 0)</f>
        <v>128.43430000000001</v>
      </c>
      <c r="D763" s="14">
        <f>128.4322 * CHOOSE(CONTROL!$C$9, $D$9, 100%, $F$9) + CHOOSE(CONTROL!$C$27, 0.0021, 0)</f>
        <v>128.43430000000001</v>
      </c>
      <c r="E763" s="14">
        <f>128.2955 * CHOOSE(CONTROL!$C$9, $D$9, 100%, $F$9) + CHOOSE(CONTROL!$C$27, 0.0021, 0)</f>
        <v>128.29760000000002</v>
      </c>
      <c r="F763" s="14">
        <f>128.2955 * CHOOSE(CONTROL!$C$9, $D$9, 100%, $F$9) + CHOOSE(CONTROL!$C$27, 0.0021, 0)</f>
        <v>128.29760000000002</v>
      </c>
      <c r="G763" s="14">
        <f>128.5669 * CHOOSE(CONTROL!$C$9, $D$9, 100%, $F$9) + CHOOSE(CONTROL!$C$27, 0.0021, 0)</f>
        <v>128.56900000000002</v>
      </c>
      <c r="H763" s="14">
        <f>128.4322 * CHOOSE(CONTROL!$C$9, $D$9, 100%, $F$9) + CHOOSE(CONTROL!$C$27, 0.0021, 0)</f>
        <v>128.43430000000001</v>
      </c>
      <c r="I763" s="14">
        <f>128.4322 * CHOOSE(CONTROL!$C$9, $D$9, 100%, $F$9) + CHOOSE(CONTROL!$C$27, 0.0021, 0)</f>
        <v>128.43430000000001</v>
      </c>
      <c r="J763" s="14">
        <f>128.4322 * CHOOSE(CONTROL!$C$9, $D$9, 100%, $F$9) + CHOOSE(CONTROL!$C$27, 0.0021, 0)</f>
        <v>128.43430000000001</v>
      </c>
      <c r="K763" s="14">
        <f>128.4322 * CHOOSE(CONTROL!$C$9, $D$9, 100%, $F$9) + CHOOSE(CONTROL!$C$27, 0.0021, 0)</f>
        <v>128.43430000000001</v>
      </c>
      <c r="L763" s="14"/>
    </row>
    <row r="764" spans="1:12" ht="15.75" x14ac:dyDescent="0.25">
      <c r="A764" s="32">
        <v>64192</v>
      </c>
      <c r="B764" s="14">
        <f>124.6574 * CHOOSE(CONTROL!$C$9, $D$9, 100%, $F$9) + CHOOSE(CONTROL!$C$27, 0.0021, 0)</f>
        <v>124.65949999999999</v>
      </c>
      <c r="C764" s="14">
        <f>124.2252 * CHOOSE(CONTROL!$C$9, $D$9, 100%, $F$9) + CHOOSE(CONTROL!$C$27, 0.0021, 0)</f>
        <v>124.2273</v>
      </c>
      <c r="D764" s="14">
        <f>124.2252 * CHOOSE(CONTROL!$C$9, $D$9, 100%, $F$9) + CHOOSE(CONTROL!$C$27, 0.0021, 0)</f>
        <v>124.2273</v>
      </c>
      <c r="E764" s="14">
        <f>124.0885 * CHOOSE(CONTROL!$C$9, $D$9, 100%, $F$9) + CHOOSE(CONTROL!$C$27, 0.0021, 0)</f>
        <v>124.09059999999999</v>
      </c>
      <c r="F764" s="14">
        <f>124.0885 * CHOOSE(CONTROL!$C$9, $D$9, 100%, $F$9) + CHOOSE(CONTROL!$C$27, 0.0021, 0)</f>
        <v>124.09059999999999</v>
      </c>
      <c r="G764" s="14">
        <f>124.3599 * CHOOSE(CONTROL!$C$9, $D$9, 100%, $F$9) + CHOOSE(CONTROL!$C$27, 0.0021, 0)</f>
        <v>124.36199999999999</v>
      </c>
      <c r="H764" s="14">
        <f>124.2252 * CHOOSE(CONTROL!$C$9, $D$9, 100%, $F$9) + CHOOSE(CONTROL!$C$27, 0.0021, 0)</f>
        <v>124.2273</v>
      </c>
      <c r="I764" s="14">
        <f>124.2252 * CHOOSE(CONTROL!$C$9, $D$9, 100%, $F$9) + CHOOSE(CONTROL!$C$27, 0.0021, 0)</f>
        <v>124.2273</v>
      </c>
      <c r="J764" s="14">
        <f>124.2252 * CHOOSE(CONTROL!$C$9, $D$9, 100%, $F$9) + CHOOSE(CONTROL!$C$27, 0.0021, 0)</f>
        <v>124.2273</v>
      </c>
      <c r="K764" s="14">
        <f>124.2252 * CHOOSE(CONTROL!$C$9, $D$9, 100%, $F$9) + CHOOSE(CONTROL!$C$27, 0.0021, 0)</f>
        <v>124.2273</v>
      </c>
      <c r="L764" s="14"/>
    </row>
    <row r="765" spans="1:12" ht="15.75" x14ac:dyDescent="0.25">
      <c r="A765" s="32">
        <v>64223</v>
      </c>
      <c r="B765" s="14">
        <f>120.4259 * CHOOSE(CONTROL!$C$9, $D$9, 100%, $F$9) + CHOOSE(CONTROL!$C$27, 0.0021, 0)</f>
        <v>120.428</v>
      </c>
      <c r="C765" s="14">
        <f>119.9936 * CHOOSE(CONTROL!$C$9, $D$9, 100%, $F$9) + CHOOSE(CONTROL!$C$27, 0.0021, 0)</f>
        <v>119.9957</v>
      </c>
      <c r="D765" s="14">
        <f>119.9936 * CHOOSE(CONTROL!$C$9, $D$9, 100%, $F$9) + CHOOSE(CONTROL!$C$27, 0.0021, 0)</f>
        <v>119.9957</v>
      </c>
      <c r="E765" s="14">
        <f>119.857 * CHOOSE(CONTROL!$C$9, $D$9, 100%, $F$9) + CHOOSE(CONTROL!$C$27, 0.0021, 0)</f>
        <v>119.8591</v>
      </c>
      <c r="F765" s="14">
        <f>119.857 * CHOOSE(CONTROL!$C$9, $D$9, 100%, $F$9) + CHOOSE(CONTROL!$C$27, 0.0021, 0)</f>
        <v>119.8591</v>
      </c>
      <c r="G765" s="14">
        <f>120.1284 * CHOOSE(CONTROL!$C$9, $D$9, 100%, $F$9) + CHOOSE(CONTROL!$C$27, 0.0021, 0)</f>
        <v>120.1305</v>
      </c>
      <c r="H765" s="14">
        <f>119.9936 * CHOOSE(CONTROL!$C$9, $D$9, 100%, $F$9) + CHOOSE(CONTROL!$C$27, 0.0021, 0)</f>
        <v>119.9957</v>
      </c>
      <c r="I765" s="14">
        <f>119.9936 * CHOOSE(CONTROL!$C$9, $D$9, 100%, $F$9) + CHOOSE(CONTROL!$C$27, 0.0021, 0)</f>
        <v>119.9957</v>
      </c>
      <c r="J765" s="14">
        <f>119.9936 * CHOOSE(CONTROL!$C$9, $D$9, 100%, $F$9) + CHOOSE(CONTROL!$C$27, 0.0021, 0)</f>
        <v>119.9957</v>
      </c>
      <c r="K765" s="14">
        <f>119.9936 * CHOOSE(CONTROL!$C$9, $D$9, 100%, $F$9) + CHOOSE(CONTROL!$C$27, 0.0021, 0)</f>
        <v>119.9957</v>
      </c>
      <c r="L765" s="14"/>
    </row>
    <row r="766" spans="1:12" ht="15.75" x14ac:dyDescent="0.25">
      <c r="A766" s="32">
        <v>64253</v>
      </c>
      <c r="B766" s="14">
        <f>119.5842 * CHOOSE(CONTROL!$C$9, $D$9, 100%, $F$9) + CHOOSE(CONTROL!$C$27, 0.0021, 0)</f>
        <v>119.58629999999999</v>
      </c>
      <c r="C766" s="14">
        <f>119.1519 * CHOOSE(CONTROL!$C$9, $D$9, 100%, $F$9) + CHOOSE(CONTROL!$C$27, 0.0021, 0)</f>
        <v>119.154</v>
      </c>
      <c r="D766" s="14">
        <f>119.1519 * CHOOSE(CONTROL!$C$9, $D$9, 100%, $F$9) + CHOOSE(CONTROL!$C$27, 0.0021, 0)</f>
        <v>119.154</v>
      </c>
      <c r="E766" s="14">
        <f>119.0153 * CHOOSE(CONTROL!$C$9, $D$9, 100%, $F$9) + CHOOSE(CONTROL!$C$27, 0.0021, 0)</f>
        <v>119.01739999999999</v>
      </c>
      <c r="F766" s="14">
        <f>119.0153 * CHOOSE(CONTROL!$C$9, $D$9, 100%, $F$9) + CHOOSE(CONTROL!$C$27, 0.0021, 0)</f>
        <v>119.01739999999999</v>
      </c>
      <c r="G766" s="14">
        <f>119.2866 * CHOOSE(CONTROL!$C$9, $D$9, 100%, $F$9) + CHOOSE(CONTROL!$C$27, 0.0021, 0)</f>
        <v>119.28870000000001</v>
      </c>
      <c r="H766" s="14">
        <f>119.1519 * CHOOSE(CONTROL!$C$9, $D$9, 100%, $F$9) + CHOOSE(CONTROL!$C$27, 0.0021, 0)</f>
        <v>119.154</v>
      </c>
      <c r="I766" s="14">
        <f>119.1519 * CHOOSE(CONTROL!$C$9, $D$9, 100%, $F$9) + CHOOSE(CONTROL!$C$27, 0.0021, 0)</f>
        <v>119.154</v>
      </c>
      <c r="J766" s="14">
        <f>119.1519 * CHOOSE(CONTROL!$C$9, $D$9, 100%, $F$9) + CHOOSE(CONTROL!$C$27, 0.0021, 0)</f>
        <v>119.154</v>
      </c>
      <c r="K766" s="14">
        <f>119.1519 * CHOOSE(CONTROL!$C$9, $D$9, 100%, $F$9) + CHOOSE(CONTROL!$C$27, 0.0021, 0)</f>
        <v>119.154</v>
      </c>
      <c r="L766" s="14"/>
    </row>
    <row r="767" spans="1:12" ht="15.75" x14ac:dyDescent="0.25">
      <c r="A767" s="32">
        <v>64284</v>
      </c>
      <c r="B767" s="14">
        <f>116.1035 * CHOOSE(CONTROL!$C$9, $D$9, 100%, $F$9) + CHOOSE(CONTROL!$C$27, 0.0021, 0)</f>
        <v>116.1056</v>
      </c>
      <c r="C767" s="14">
        <f>115.6713 * CHOOSE(CONTROL!$C$9, $D$9, 100%, $F$9) + CHOOSE(CONTROL!$C$27, 0.0021, 0)</f>
        <v>115.6734</v>
      </c>
      <c r="D767" s="14">
        <f>115.6713 * CHOOSE(CONTROL!$C$9, $D$9, 100%, $F$9) + CHOOSE(CONTROL!$C$27, 0.0021, 0)</f>
        <v>115.6734</v>
      </c>
      <c r="E767" s="14">
        <f>115.5346 * CHOOSE(CONTROL!$C$9, $D$9, 100%, $F$9) + CHOOSE(CONTROL!$C$27, 0.0021, 0)</f>
        <v>115.5367</v>
      </c>
      <c r="F767" s="14">
        <f>115.5346 * CHOOSE(CONTROL!$C$9, $D$9, 100%, $F$9) + CHOOSE(CONTROL!$C$27, 0.0021, 0)</f>
        <v>115.5367</v>
      </c>
      <c r="G767" s="14">
        <f>115.806 * CHOOSE(CONTROL!$C$9, $D$9, 100%, $F$9) + CHOOSE(CONTROL!$C$27, 0.0021, 0)</f>
        <v>115.8081</v>
      </c>
      <c r="H767" s="14">
        <f>115.6713 * CHOOSE(CONTROL!$C$9, $D$9, 100%, $F$9) + CHOOSE(CONTROL!$C$27, 0.0021, 0)</f>
        <v>115.6734</v>
      </c>
      <c r="I767" s="14">
        <f>115.6713 * CHOOSE(CONTROL!$C$9, $D$9, 100%, $F$9) + CHOOSE(CONTROL!$C$27, 0.0021, 0)</f>
        <v>115.6734</v>
      </c>
      <c r="J767" s="14">
        <f>115.6713 * CHOOSE(CONTROL!$C$9, $D$9, 100%, $F$9) + CHOOSE(CONTROL!$C$27, 0.0021, 0)</f>
        <v>115.6734</v>
      </c>
      <c r="K767" s="14">
        <f>115.6713 * CHOOSE(CONTROL!$C$9, $D$9, 100%, $F$9) + CHOOSE(CONTROL!$C$27, 0.0021, 0)</f>
        <v>115.6734</v>
      </c>
      <c r="L767" s="14"/>
    </row>
    <row r="768" spans="1:12" ht="15.75" x14ac:dyDescent="0.25">
      <c r="A768" s="32">
        <v>64315</v>
      </c>
      <c r="B768" s="14">
        <f>115.4259 * CHOOSE(CONTROL!$C$9, $D$9, 100%, $F$9) + CHOOSE(CONTROL!$C$27, 0.0021, 0)</f>
        <v>115.428</v>
      </c>
      <c r="C768" s="14">
        <f>114.9936 * CHOOSE(CONTROL!$C$9, $D$9, 100%, $F$9) + CHOOSE(CONTROL!$C$27, 0.0021, 0)</f>
        <v>114.9957</v>
      </c>
      <c r="D768" s="14">
        <f>114.9936 * CHOOSE(CONTROL!$C$9, $D$9, 100%, $F$9) + CHOOSE(CONTROL!$C$27, 0.0021, 0)</f>
        <v>114.9957</v>
      </c>
      <c r="E768" s="14">
        <f>114.857 * CHOOSE(CONTROL!$C$9, $D$9, 100%, $F$9) + CHOOSE(CONTROL!$C$27, 0.0021, 0)</f>
        <v>114.8591</v>
      </c>
      <c r="F768" s="14">
        <f>114.857 * CHOOSE(CONTROL!$C$9, $D$9, 100%, $F$9) + CHOOSE(CONTROL!$C$27, 0.0021, 0)</f>
        <v>114.8591</v>
      </c>
      <c r="G768" s="14">
        <f>115.1283 * CHOOSE(CONTROL!$C$9, $D$9, 100%, $F$9) + CHOOSE(CONTROL!$C$27, 0.0021, 0)</f>
        <v>115.13039999999999</v>
      </c>
      <c r="H768" s="14">
        <f>114.9936 * CHOOSE(CONTROL!$C$9, $D$9, 100%, $F$9) + CHOOSE(CONTROL!$C$27, 0.0021, 0)</f>
        <v>114.9957</v>
      </c>
      <c r="I768" s="14">
        <f>114.9936 * CHOOSE(CONTROL!$C$9, $D$9, 100%, $F$9) + CHOOSE(CONTROL!$C$27, 0.0021, 0)</f>
        <v>114.9957</v>
      </c>
      <c r="J768" s="14">
        <f>114.9936 * CHOOSE(CONTROL!$C$9, $D$9, 100%, $F$9) + CHOOSE(CONTROL!$C$27, 0.0021, 0)</f>
        <v>114.9957</v>
      </c>
      <c r="K768" s="14">
        <f>114.9936 * CHOOSE(CONTROL!$C$9, $D$9, 100%, $F$9) + CHOOSE(CONTROL!$C$27, 0.0021, 0)</f>
        <v>114.9957</v>
      </c>
      <c r="L768" s="14"/>
    </row>
    <row r="769" spans="1:12" ht="15.75" x14ac:dyDescent="0.25">
      <c r="A769" s="32">
        <v>64344</v>
      </c>
      <c r="B769" s="14">
        <f>115.1114 * CHOOSE(CONTROL!$C$9, $D$9, 100%, $F$9) + CHOOSE(CONTROL!$C$27, 0.0021, 0)</f>
        <v>115.1135</v>
      </c>
      <c r="C769" s="14">
        <f>114.6792 * CHOOSE(CONTROL!$C$9, $D$9, 100%, $F$9) + CHOOSE(CONTROL!$C$27, 0.0021, 0)</f>
        <v>114.68129999999999</v>
      </c>
      <c r="D769" s="14">
        <f>114.6792 * CHOOSE(CONTROL!$C$9, $D$9, 100%, $F$9) + CHOOSE(CONTROL!$C$27, 0.0021, 0)</f>
        <v>114.68129999999999</v>
      </c>
      <c r="E769" s="14">
        <f>114.5425 * CHOOSE(CONTROL!$C$9, $D$9, 100%, $F$9) + CHOOSE(CONTROL!$C$27, 0.0021, 0)</f>
        <v>114.5446</v>
      </c>
      <c r="F769" s="14">
        <f>114.5425 * CHOOSE(CONTROL!$C$9, $D$9, 100%, $F$9) + CHOOSE(CONTROL!$C$27, 0.0021, 0)</f>
        <v>114.5446</v>
      </c>
      <c r="G769" s="14">
        <f>114.8139 * CHOOSE(CONTROL!$C$9, $D$9, 100%, $F$9) + CHOOSE(CONTROL!$C$27, 0.0021, 0)</f>
        <v>114.816</v>
      </c>
      <c r="H769" s="14">
        <f>114.6792 * CHOOSE(CONTROL!$C$9, $D$9, 100%, $F$9) + CHOOSE(CONTROL!$C$27, 0.0021, 0)</f>
        <v>114.68129999999999</v>
      </c>
      <c r="I769" s="14">
        <f>114.6792 * CHOOSE(CONTROL!$C$9, $D$9, 100%, $F$9) + CHOOSE(CONTROL!$C$27, 0.0021, 0)</f>
        <v>114.68129999999999</v>
      </c>
      <c r="J769" s="14">
        <f>114.6792 * CHOOSE(CONTROL!$C$9, $D$9, 100%, $F$9) + CHOOSE(CONTROL!$C$27, 0.0021, 0)</f>
        <v>114.68129999999999</v>
      </c>
      <c r="K769" s="14">
        <f>114.6792 * CHOOSE(CONTROL!$C$9, $D$9, 100%, $F$9) + CHOOSE(CONTROL!$C$27, 0.0021, 0)</f>
        <v>114.68129999999999</v>
      </c>
      <c r="L769" s="14"/>
    </row>
    <row r="770" spans="1:12" ht="15.75" x14ac:dyDescent="0.25">
      <c r="A770" s="32">
        <v>64375</v>
      </c>
      <c r="B770" s="14">
        <f>121.0576 * CHOOSE(CONTROL!$C$9, $D$9, 100%, $F$9) + CHOOSE(CONTROL!$C$27, 0.0021, 0)</f>
        <v>121.05969999999999</v>
      </c>
      <c r="C770" s="14">
        <f>120.6254 * CHOOSE(CONTROL!$C$9, $D$9, 100%, $F$9) + CHOOSE(CONTROL!$C$27, 0.0021, 0)</f>
        <v>120.6275</v>
      </c>
      <c r="D770" s="14">
        <f>120.6254 * CHOOSE(CONTROL!$C$9, $D$9, 100%, $F$9) + CHOOSE(CONTROL!$C$27, 0.0021, 0)</f>
        <v>120.6275</v>
      </c>
      <c r="E770" s="14">
        <f>120.4887 * CHOOSE(CONTROL!$C$9, $D$9, 100%, $F$9) + CHOOSE(CONTROL!$C$27, 0.0021, 0)</f>
        <v>120.49079999999999</v>
      </c>
      <c r="F770" s="14">
        <f>120.4887 * CHOOSE(CONTROL!$C$9, $D$9, 100%, $F$9) + CHOOSE(CONTROL!$C$27, 0.0021, 0)</f>
        <v>120.49079999999999</v>
      </c>
      <c r="G770" s="14">
        <f>120.7601 * CHOOSE(CONTROL!$C$9, $D$9, 100%, $F$9) + CHOOSE(CONTROL!$C$27, 0.0021, 0)</f>
        <v>120.76219999999999</v>
      </c>
      <c r="H770" s="14">
        <f>120.6254 * CHOOSE(CONTROL!$C$9, $D$9, 100%, $F$9) + CHOOSE(CONTROL!$C$27, 0.0021, 0)</f>
        <v>120.6275</v>
      </c>
      <c r="I770" s="14">
        <f>120.6254 * CHOOSE(CONTROL!$C$9, $D$9, 100%, $F$9) + CHOOSE(CONTROL!$C$27, 0.0021, 0)</f>
        <v>120.6275</v>
      </c>
      <c r="J770" s="14">
        <f>120.6254 * CHOOSE(CONTROL!$C$9, $D$9, 100%, $F$9) + CHOOSE(CONTROL!$C$27, 0.0021, 0)</f>
        <v>120.6275</v>
      </c>
      <c r="K770" s="14">
        <f>120.6254 * CHOOSE(CONTROL!$C$9, $D$9, 100%, $F$9) + CHOOSE(CONTROL!$C$27, 0.0021, 0)</f>
        <v>120.6275</v>
      </c>
      <c r="L770" s="14"/>
    </row>
    <row r="771" spans="1:12" ht="15.75" x14ac:dyDescent="0.25">
      <c r="A771" s="32">
        <v>64405</v>
      </c>
      <c r="B771" s="14">
        <f>128.7684 * CHOOSE(CONTROL!$C$9, $D$9, 100%, $F$9) + CHOOSE(CONTROL!$C$27, 0.0021, 0)</f>
        <v>128.77050000000003</v>
      </c>
      <c r="C771" s="14">
        <f>128.3362 * CHOOSE(CONTROL!$C$9, $D$9, 100%, $F$9) + CHOOSE(CONTROL!$C$27, 0.0021, 0)</f>
        <v>128.3383</v>
      </c>
      <c r="D771" s="14">
        <f>128.3362 * CHOOSE(CONTROL!$C$9, $D$9, 100%, $F$9) + CHOOSE(CONTROL!$C$27, 0.0021, 0)</f>
        <v>128.3383</v>
      </c>
      <c r="E771" s="14">
        <f>128.1995 * CHOOSE(CONTROL!$C$9, $D$9, 100%, $F$9) + CHOOSE(CONTROL!$C$27, 0.0021, 0)</f>
        <v>128.20160000000001</v>
      </c>
      <c r="F771" s="14">
        <f>128.1995 * CHOOSE(CONTROL!$C$9, $D$9, 100%, $F$9) + CHOOSE(CONTROL!$C$27, 0.0021, 0)</f>
        <v>128.20160000000001</v>
      </c>
      <c r="G771" s="14">
        <f>128.4709 * CHOOSE(CONTROL!$C$9, $D$9, 100%, $F$9) + CHOOSE(CONTROL!$C$27, 0.0021, 0)</f>
        <v>128.47300000000001</v>
      </c>
      <c r="H771" s="14">
        <f>128.3362 * CHOOSE(CONTROL!$C$9, $D$9, 100%, $F$9) + CHOOSE(CONTROL!$C$27, 0.0021, 0)</f>
        <v>128.3383</v>
      </c>
      <c r="I771" s="14">
        <f>128.3362 * CHOOSE(CONTROL!$C$9, $D$9, 100%, $F$9) + CHOOSE(CONTROL!$C$27, 0.0021, 0)</f>
        <v>128.3383</v>
      </c>
      <c r="J771" s="14">
        <f>128.3362 * CHOOSE(CONTROL!$C$9, $D$9, 100%, $F$9) + CHOOSE(CONTROL!$C$27, 0.0021, 0)</f>
        <v>128.3383</v>
      </c>
      <c r="K771" s="14">
        <f>128.3362 * CHOOSE(CONTROL!$C$9, $D$9, 100%, $F$9) + CHOOSE(CONTROL!$C$27, 0.0021, 0)</f>
        <v>128.3383</v>
      </c>
      <c r="L771" s="14"/>
    </row>
    <row r="772" spans="1:12" ht="15.75" x14ac:dyDescent="0.25">
      <c r="A772" s="32">
        <v>64436</v>
      </c>
      <c r="B772" s="14">
        <f>133.0127 * CHOOSE(CONTROL!$C$9, $D$9, 100%, $F$9) + CHOOSE(CONTROL!$C$27, 0.0021, 0)</f>
        <v>133.01480000000001</v>
      </c>
      <c r="C772" s="14">
        <f>132.5805 * CHOOSE(CONTROL!$C$9, $D$9, 100%, $F$9) + CHOOSE(CONTROL!$C$27, 0.0021, 0)</f>
        <v>132.58260000000001</v>
      </c>
      <c r="D772" s="14">
        <f>132.5805 * CHOOSE(CONTROL!$C$9, $D$9, 100%, $F$9) + CHOOSE(CONTROL!$C$27, 0.0021, 0)</f>
        <v>132.58260000000001</v>
      </c>
      <c r="E772" s="14">
        <f>132.4438 * CHOOSE(CONTROL!$C$9, $D$9, 100%, $F$9) + CHOOSE(CONTROL!$C$27, 0.0021, 0)</f>
        <v>132.44590000000002</v>
      </c>
      <c r="F772" s="14">
        <f>132.4438 * CHOOSE(CONTROL!$C$9, $D$9, 100%, $F$9) + CHOOSE(CONTROL!$C$27, 0.0021, 0)</f>
        <v>132.44590000000002</v>
      </c>
      <c r="G772" s="14">
        <f>132.7152 * CHOOSE(CONTROL!$C$9, $D$9, 100%, $F$9) + CHOOSE(CONTROL!$C$27, 0.0021, 0)</f>
        <v>132.71730000000002</v>
      </c>
      <c r="H772" s="14">
        <f>132.5805 * CHOOSE(CONTROL!$C$9, $D$9, 100%, $F$9) + CHOOSE(CONTROL!$C$27, 0.0021, 0)</f>
        <v>132.58260000000001</v>
      </c>
      <c r="I772" s="14">
        <f>132.5805 * CHOOSE(CONTROL!$C$9, $D$9, 100%, $F$9) + CHOOSE(CONTROL!$C$27, 0.0021, 0)</f>
        <v>132.58260000000001</v>
      </c>
      <c r="J772" s="14">
        <f>132.5805 * CHOOSE(CONTROL!$C$9, $D$9, 100%, $F$9) + CHOOSE(CONTROL!$C$27, 0.0021, 0)</f>
        <v>132.58260000000001</v>
      </c>
      <c r="K772" s="14">
        <f>132.5805 * CHOOSE(CONTROL!$C$9, $D$9, 100%, $F$9) + CHOOSE(CONTROL!$C$27, 0.0021, 0)</f>
        <v>132.58260000000001</v>
      </c>
      <c r="L772" s="14"/>
    </row>
    <row r="773" spans="1:12" ht="15.75" x14ac:dyDescent="0.25">
      <c r="A773" s="32">
        <v>64466</v>
      </c>
      <c r="B773" s="14">
        <f>134.8963 * CHOOSE(CONTROL!$C$9, $D$9, 100%, $F$9) + CHOOSE(CONTROL!$C$27, 0.0021, 0)</f>
        <v>134.89840000000001</v>
      </c>
      <c r="C773" s="14">
        <f>134.464 * CHOOSE(CONTROL!$C$9, $D$9, 100%, $F$9) + CHOOSE(CONTROL!$C$27, 0.0021, 0)</f>
        <v>134.46610000000001</v>
      </c>
      <c r="D773" s="14">
        <f>134.464 * CHOOSE(CONTROL!$C$9, $D$9, 100%, $F$9) + CHOOSE(CONTROL!$C$27, 0.0021, 0)</f>
        <v>134.46610000000001</v>
      </c>
      <c r="E773" s="14">
        <f>134.3274 * CHOOSE(CONTROL!$C$9, $D$9, 100%, $F$9) + CHOOSE(CONTROL!$C$27, 0.0021, 0)</f>
        <v>134.32950000000002</v>
      </c>
      <c r="F773" s="14">
        <f>134.3274 * CHOOSE(CONTROL!$C$9, $D$9, 100%, $F$9) + CHOOSE(CONTROL!$C$27, 0.0021, 0)</f>
        <v>134.32950000000002</v>
      </c>
      <c r="G773" s="14">
        <f>134.5987 * CHOOSE(CONTROL!$C$9, $D$9, 100%, $F$9) + CHOOSE(CONTROL!$C$27, 0.0021, 0)</f>
        <v>134.60080000000002</v>
      </c>
      <c r="H773" s="14">
        <f>134.464 * CHOOSE(CONTROL!$C$9, $D$9, 100%, $F$9) + CHOOSE(CONTROL!$C$27, 0.0021, 0)</f>
        <v>134.46610000000001</v>
      </c>
      <c r="I773" s="14">
        <f>134.464 * CHOOSE(CONTROL!$C$9, $D$9, 100%, $F$9) + CHOOSE(CONTROL!$C$27, 0.0021, 0)</f>
        <v>134.46610000000001</v>
      </c>
      <c r="J773" s="14">
        <f>134.464 * CHOOSE(CONTROL!$C$9, $D$9, 100%, $F$9) + CHOOSE(CONTROL!$C$27, 0.0021, 0)</f>
        <v>134.46610000000001</v>
      </c>
      <c r="K773" s="14">
        <f>134.464 * CHOOSE(CONTROL!$C$9, $D$9, 100%, $F$9) + CHOOSE(CONTROL!$C$27, 0.0021, 0)</f>
        <v>134.46610000000001</v>
      </c>
      <c r="L773" s="14"/>
    </row>
    <row r="774" spans="1:12" ht="15.75" x14ac:dyDescent="0.25">
      <c r="A774" s="32">
        <v>64497</v>
      </c>
      <c r="B774" s="14">
        <f>134.2761 * CHOOSE(CONTROL!$C$9, $D$9, 100%, $F$9) + CHOOSE(CONTROL!$C$27, 0.0021, 0)</f>
        <v>134.27820000000003</v>
      </c>
      <c r="C774" s="14">
        <f>133.8439 * CHOOSE(CONTROL!$C$9, $D$9, 100%, $F$9) + CHOOSE(CONTROL!$C$27, 0.0021, 0)</f>
        <v>133.846</v>
      </c>
      <c r="D774" s="14">
        <f>133.8439 * CHOOSE(CONTROL!$C$9, $D$9, 100%, $F$9) + CHOOSE(CONTROL!$C$27, 0.0021, 0)</f>
        <v>133.846</v>
      </c>
      <c r="E774" s="14">
        <f>133.7072 * CHOOSE(CONTROL!$C$9, $D$9, 100%, $F$9) + CHOOSE(CONTROL!$C$27, 0.0021, 0)</f>
        <v>133.70930000000001</v>
      </c>
      <c r="F774" s="14">
        <f>133.7072 * CHOOSE(CONTROL!$C$9, $D$9, 100%, $F$9) + CHOOSE(CONTROL!$C$27, 0.0021, 0)</f>
        <v>133.70930000000001</v>
      </c>
      <c r="G774" s="14">
        <f>133.9786 * CHOOSE(CONTROL!$C$9, $D$9, 100%, $F$9) + CHOOSE(CONTROL!$C$27, 0.0021, 0)</f>
        <v>133.98070000000001</v>
      </c>
      <c r="H774" s="14">
        <f>133.8439 * CHOOSE(CONTROL!$C$9, $D$9, 100%, $F$9) + CHOOSE(CONTROL!$C$27, 0.0021, 0)</f>
        <v>133.846</v>
      </c>
      <c r="I774" s="14">
        <f>133.8439 * CHOOSE(CONTROL!$C$9, $D$9, 100%, $F$9) + CHOOSE(CONTROL!$C$27, 0.0021, 0)</f>
        <v>133.846</v>
      </c>
      <c r="J774" s="14">
        <f>133.8439 * CHOOSE(CONTROL!$C$9, $D$9, 100%, $F$9) + CHOOSE(CONTROL!$C$27, 0.0021, 0)</f>
        <v>133.846</v>
      </c>
      <c r="K774" s="14">
        <f>133.8439 * CHOOSE(CONTROL!$C$9, $D$9, 100%, $F$9) + CHOOSE(CONTROL!$C$27, 0.0021, 0)</f>
        <v>133.846</v>
      </c>
      <c r="L774" s="14"/>
    </row>
    <row r="775" spans="1:12" ht="15.75" x14ac:dyDescent="0.25">
      <c r="A775" s="32">
        <v>64528</v>
      </c>
      <c r="B775" s="14">
        <f>131.2036 * CHOOSE(CONTROL!$C$9, $D$9, 100%, $F$9) + CHOOSE(CONTROL!$C$27, 0.0021, 0)</f>
        <v>131.20570000000001</v>
      </c>
      <c r="C775" s="14">
        <f>130.7713 * CHOOSE(CONTROL!$C$9, $D$9, 100%, $F$9) + CHOOSE(CONTROL!$C$27, 0.0021, 0)</f>
        <v>130.77340000000001</v>
      </c>
      <c r="D775" s="14">
        <f>130.7713 * CHOOSE(CONTROL!$C$9, $D$9, 100%, $F$9) + CHOOSE(CONTROL!$C$27, 0.0021, 0)</f>
        <v>130.77340000000001</v>
      </c>
      <c r="E775" s="14">
        <f>130.6347 * CHOOSE(CONTROL!$C$9, $D$9, 100%, $F$9) + CHOOSE(CONTROL!$C$27, 0.0021, 0)</f>
        <v>130.63680000000002</v>
      </c>
      <c r="F775" s="14">
        <f>130.6347 * CHOOSE(CONTROL!$C$9, $D$9, 100%, $F$9) + CHOOSE(CONTROL!$C$27, 0.0021, 0)</f>
        <v>130.63680000000002</v>
      </c>
      <c r="G775" s="14">
        <f>130.9061 * CHOOSE(CONTROL!$C$9, $D$9, 100%, $F$9) + CHOOSE(CONTROL!$C$27, 0.0021, 0)</f>
        <v>130.90820000000002</v>
      </c>
      <c r="H775" s="14">
        <f>130.7713 * CHOOSE(CONTROL!$C$9, $D$9, 100%, $F$9) + CHOOSE(CONTROL!$C$27, 0.0021, 0)</f>
        <v>130.77340000000001</v>
      </c>
      <c r="I775" s="14">
        <f>130.7713 * CHOOSE(CONTROL!$C$9, $D$9, 100%, $F$9) + CHOOSE(CONTROL!$C$27, 0.0021, 0)</f>
        <v>130.77340000000001</v>
      </c>
      <c r="J775" s="14">
        <f>130.7713 * CHOOSE(CONTROL!$C$9, $D$9, 100%, $F$9) + CHOOSE(CONTROL!$C$27, 0.0021, 0)</f>
        <v>130.77340000000001</v>
      </c>
      <c r="K775" s="14">
        <f>130.7713 * CHOOSE(CONTROL!$C$9, $D$9, 100%, $F$9) + CHOOSE(CONTROL!$C$27, 0.0021, 0)</f>
        <v>130.77340000000001</v>
      </c>
      <c r="L775" s="14"/>
    </row>
    <row r="776" spans="1:12" ht="15.75" x14ac:dyDescent="0.25">
      <c r="A776" s="32">
        <v>64558</v>
      </c>
      <c r="B776" s="14">
        <f>126.9188 * CHOOSE(CONTROL!$C$9, $D$9, 100%, $F$9) + CHOOSE(CONTROL!$C$27, 0.0021, 0)</f>
        <v>126.9209</v>
      </c>
      <c r="C776" s="14">
        <f>126.4866 * CHOOSE(CONTROL!$C$9, $D$9, 100%, $F$9) + CHOOSE(CONTROL!$C$27, 0.0021, 0)</f>
        <v>126.48869999999999</v>
      </c>
      <c r="D776" s="14">
        <f>126.4866 * CHOOSE(CONTROL!$C$9, $D$9, 100%, $F$9) + CHOOSE(CONTROL!$C$27, 0.0021, 0)</f>
        <v>126.48869999999999</v>
      </c>
      <c r="E776" s="14">
        <f>126.3499 * CHOOSE(CONTROL!$C$9, $D$9, 100%, $F$9) + CHOOSE(CONTROL!$C$27, 0.0021, 0)</f>
        <v>126.352</v>
      </c>
      <c r="F776" s="14">
        <f>126.3499 * CHOOSE(CONTROL!$C$9, $D$9, 100%, $F$9) + CHOOSE(CONTROL!$C$27, 0.0021, 0)</f>
        <v>126.352</v>
      </c>
      <c r="G776" s="14">
        <f>126.6213 * CHOOSE(CONTROL!$C$9, $D$9, 100%, $F$9) + CHOOSE(CONTROL!$C$27, 0.0021, 0)</f>
        <v>126.6234</v>
      </c>
      <c r="H776" s="14">
        <f>126.4866 * CHOOSE(CONTROL!$C$9, $D$9, 100%, $F$9) + CHOOSE(CONTROL!$C$27, 0.0021, 0)</f>
        <v>126.48869999999999</v>
      </c>
      <c r="I776" s="14">
        <f>126.4866 * CHOOSE(CONTROL!$C$9, $D$9, 100%, $F$9) + CHOOSE(CONTROL!$C$27, 0.0021, 0)</f>
        <v>126.48869999999999</v>
      </c>
      <c r="J776" s="14">
        <f>126.4866 * CHOOSE(CONTROL!$C$9, $D$9, 100%, $F$9) + CHOOSE(CONTROL!$C$27, 0.0021, 0)</f>
        <v>126.48869999999999</v>
      </c>
      <c r="K776" s="14">
        <f>126.4866 * CHOOSE(CONTROL!$C$9, $D$9, 100%, $F$9) + CHOOSE(CONTROL!$C$27, 0.0021, 0)</f>
        <v>126.48869999999999</v>
      </c>
      <c r="L776" s="14"/>
    </row>
    <row r="777" spans="1:12" ht="15.75" x14ac:dyDescent="0.25">
      <c r="A777" s="32">
        <v>64589</v>
      </c>
      <c r="B777" s="14">
        <f>122.6091 * CHOOSE(CONTROL!$C$9, $D$9, 100%, $F$9) + CHOOSE(CONTROL!$C$27, 0.0021, 0)</f>
        <v>122.6112</v>
      </c>
      <c r="C777" s="14">
        <f>122.1768 * CHOOSE(CONTROL!$C$9, $D$9, 100%, $F$9) + CHOOSE(CONTROL!$C$27, 0.0021, 0)</f>
        <v>122.1789</v>
      </c>
      <c r="D777" s="14">
        <f>122.1768 * CHOOSE(CONTROL!$C$9, $D$9, 100%, $F$9) + CHOOSE(CONTROL!$C$27, 0.0021, 0)</f>
        <v>122.1789</v>
      </c>
      <c r="E777" s="14">
        <f>122.0402 * CHOOSE(CONTROL!$C$9, $D$9, 100%, $F$9) + CHOOSE(CONTROL!$C$27, 0.0021, 0)</f>
        <v>122.0423</v>
      </c>
      <c r="F777" s="14">
        <f>122.0402 * CHOOSE(CONTROL!$C$9, $D$9, 100%, $F$9) + CHOOSE(CONTROL!$C$27, 0.0021, 0)</f>
        <v>122.0423</v>
      </c>
      <c r="G777" s="14">
        <f>122.3116 * CHOOSE(CONTROL!$C$9, $D$9, 100%, $F$9) + CHOOSE(CONTROL!$C$27, 0.0021, 0)</f>
        <v>122.3137</v>
      </c>
      <c r="H777" s="14">
        <f>122.1768 * CHOOSE(CONTROL!$C$9, $D$9, 100%, $F$9) + CHOOSE(CONTROL!$C$27, 0.0021, 0)</f>
        <v>122.1789</v>
      </c>
      <c r="I777" s="14">
        <f>122.1768 * CHOOSE(CONTROL!$C$9, $D$9, 100%, $F$9) + CHOOSE(CONTROL!$C$27, 0.0021, 0)</f>
        <v>122.1789</v>
      </c>
      <c r="J777" s="14">
        <f>122.1768 * CHOOSE(CONTROL!$C$9, $D$9, 100%, $F$9) + CHOOSE(CONTROL!$C$27, 0.0021, 0)</f>
        <v>122.1789</v>
      </c>
      <c r="K777" s="14">
        <f>122.1768 * CHOOSE(CONTROL!$C$9, $D$9, 100%, $F$9) + CHOOSE(CONTROL!$C$27, 0.0021, 0)</f>
        <v>122.1789</v>
      </c>
      <c r="L777" s="14"/>
    </row>
    <row r="778" spans="1:12" ht="15.75" x14ac:dyDescent="0.25">
      <c r="A778" s="32">
        <v>64619</v>
      </c>
      <c r="B778" s="14">
        <f>121.7518 * CHOOSE(CONTROL!$C$9, $D$9, 100%, $F$9) + CHOOSE(CONTROL!$C$27, 0.0021, 0)</f>
        <v>121.7539</v>
      </c>
      <c r="C778" s="14">
        <f>121.3196 * CHOOSE(CONTROL!$C$9, $D$9, 100%, $F$9) + CHOOSE(CONTROL!$C$27, 0.0021, 0)</f>
        <v>121.32169999999999</v>
      </c>
      <c r="D778" s="14">
        <f>121.3196 * CHOOSE(CONTROL!$C$9, $D$9, 100%, $F$9) + CHOOSE(CONTROL!$C$27, 0.0021, 0)</f>
        <v>121.32169999999999</v>
      </c>
      <c r="E778" s="14">
        <f>121.1829 * CHOOSE(CONTROL!$C$9, $D$9, 100%, $F$9) + CHOOSE(CONTROL!$C$27, 0.0021, 0)</f>
        <v>121.185</v>
      </c>
      <c r="F778" s="14">
        <f>121.1829 * CHOOSE(CONTROL!$C$9, $D$9, 100%, $F$9) + CHOOSE(CONTROL!$C$27, 0.0021, 0)</f>
        <v>121.185</v>
      </c>
      <c r="G778" s="14">
        <f>121.4543 * CHOOSE(CONTROL!$C$9, $D$9, 100%, $F$9) + CHOOSE(CONTROL!$C$27, 0.0021, 0)</f>
        <v>121.4564</v>
      </c>
      <c r="H778" s="14">
        <f>121.3196 * CHOOSE(CONTROL!$C$9, $D$9, 100%, $F$9) + CHOOSE(CONTROL!$C$27, 0.0021, 0)</f>
        <v>121.32169999999999</v>
      </c>
      <c r="I778" s="14">
        <f>121.3196 * CHOOSE(CONTROL!$C$9, $D$9, 100%, $F$9) + CHOOSE(CONTROL!$C$27, 0.0021, 0)</f>
        <v>121.32169999999999</v>
      </c>
      <c r="J778" s="14">
        <f>121.3196 * CHOOSE(CONTROL!$C$9, $D$9, 100%, $F$9) + CHOOSE(CONTROL!$C$27, 0.0021, 0)</f>
        <v>121.32169999999999</v>
      </c>
      <c r="K778" s="14">
        <f>121.3196 * CHOOSE(CONTROL!$C$9, $D$9, 100%, $F$9) + CHOOSE(CONTROL!$C$27, 0.0021, 0)</f>
        <v>121.32169999999999</v>
      </c>
      <c r="L778" s="14"/>
    </row>
    <row r="779" spans="1:12" ht="15.75" x14ac:dyDescent="0.25">
      <c r="A779" s="32">
        <v>64650</v>
      </c>
      <c r="B779" s="14">
        <f>118.2068 * CHOOSE(CONTROL!$C$9, $D$9, 100%, $F$9) + CHOOSE(CONTROL!$C$27, 0.0021, 0)</f>
        <v>118.2089</v>
      </c>
      <c r="C779" s="14">
        <f>117.7746 * CHOOSE(CONTROL!$C$9, $D$9, 100%, $F$9) + CHOOSE(CONTROL!$C$27, 0.0021, 0)</f>
        <v>117.77670000000001</v>
      </c>
      <c r="D779" s="14">
        <f>117.7746 * CHOOSE(CONTROL!$C$9, $D$9, 100%, $F$9) + CHOOSE(CONTROL!$C$27, 0.0021, 0)</f>
        <v>117.77670000000001</v>
      </c>
      <c r="E779" s="14">
        <f>117.6379 * CHOOSE(CONTROL!$C$9, $D$9, 100%, $F$9) + CHOOSE(CONTROL!$C$27, 0.0021, 0)</f>
        <v>117.64</v>
      </c>
      <c r="F779" s="14">
        <f>117.6379 * CHOOSE(CONTROL!$C$9, $D$9, 100%, $F$9) + CHOOSE(CONTROL!$C$27, 0.0021, 0)</f>
        <v>117.64</v>
      </c>
      <c r="G779" s="14">
        <f>117.9093 * CHOOSE(CONTROL!$C$9, $D$9, 100%, $F$9) + CHOOSE(CONTROL!$C$27, 0.0021, 0)</f>
        <v>117.9114</v>
      </c>
      <c r="H779" s="14">
        <f>117.7746 * CHOOSE(CONTROL!$C$9, $D$9, 100%, $F$9) + CHOOSE(CONTROL!$C$27, 0.0021, 0)</f>
        <v>117.77670000000001</v>
      </c>
      <c r="I779" s="14">
        <f>117.7746 * CHOOSE(CONTROL!$C$9, $D$9, 100%, $F$9) + CHOOSE(CONTROL!$C$27, 0.0021, 0)</f>
        <v>117.77670000000001</v>
      </c>
      <c r="J779" s="14">
        <f>117.7746 * CHOOSE(CONTROL!$C$9, $D$9, 100%, $F$9) + CHOOSE(CONTROL!$C$27, 0.0021, 0)</f>
        <v>117.77670000000001</v>
      </c>
      <c r="K779" s="14">
        <f>117.7746 * CHOOSE(CONTROL!$C$9, $D$9, 100%, $F$9) + CHOOSE(CONTROL!$C$27, 0.0021, 0)</f>
        <v>117.77670000000001</v>
      </c>
      <c r="L779" s="14"/>
    </row>
    <row r="780" spans="1:12" ht="15.75" x14ac:dyDescent="0.25">
      <c r="A780" s="32">
        <v>64681</v>
      </c>
      <c r="B780" s="14">
        <f>117.5167 * CHOOSE(CONTROL!$C$9, $D$9, 100%, $F$9) + CHOOSE(CONTROL!$C$27, 0.0021, 0)</f>
        <v>117.5188</v>
      </c>
      <c r="C780" s="14">
        <f>117.0844 * CHOOSE(CONTROL!$C$9, $D$9, 100%, $F$9) + CHOOSE(CONTROL!$C$27, 0.0021, 0)</f>
        <v>117.0865</v>
      </c>
      <c r="D780" s="14">
        <f>117.0844 * CHOOSE(CONTROL!$C$9, $D$9, 100%, $F$9) + CHOOSE(CONTROL!$C$27, 0.0021, 0)</f>
        <v>117.0865</v>
      </c>
      <c r="E780" s="14">
        <f>116.9478 * CHOOSE(CONTROL!$C$9, $D$9, 100%, $F$9) + CHOOSE(CONTROL!$C$27, 0.0021, 0)</f>
        <v>116.9499</v>
      </c>
      <c r="F780" s="14">
        <f>116.9478 * CHOOSE(CONTROL!$C$9, $D$9, 100%, $F$9) + CHOOSE(CONTROL!$C$27, 0.0021, 0)</f>
        <v>116.9499</v>
      </c>
      <c r="G780" s="14">
        <f>117.2191 * CHOOSE(CONTROL!$C$9, $D$9, 100%, $F$9) + CHOOSE(CONTROL!$C$27, 0.0021, 0)</f>
        <v>117.2212</v>
      </c>
      <c r="H780" s="14">
        <f>117.0844 * CHOOSE(CONTROL!$C$9, $D$9, 100%, $F$9) + CHOOSE(CONTROL!$C$27, 0.0021, 0)</f>
        <v>117.0865</v>
      </c>
      <c r="I780" s="14">
        <f>117.0844 * CHOOSE(CONTROL!$C$9, $D$9, 100%, $F$9) + CHOOSE(CONTROL!$C$27, 0.0021, 0)</f>
        <v>117.0865</v>
      </c>
      <c r="J780" s="14">
        <f>117.0844 * CHOOSE(CONTROL!$C$9, $D$9, 100%, $F$9) + CHOOSE(CONTROL!$C$27, 0.0021, 0)</f>
        <v>117.0865</v>
      </c>
      <c r="K780" s="14">
        <f>117.0844 * CHOOSE(CONTROL!$C$9, $D$9, 100%, $F$9) + CHOOSE(CONTROL!$C$27, 0.0021, 0)</f>
        <v>117.0865</v>
      </c>
      <c r="L780" s="14"/>
    </row>
    <row r="781" spans="1:12" ht="15.75" x14ac:dyDescent="0.25">
      <c r="A781" s="32">
        <v>64709</v>
      </c>
      <c r="B781" s="14">
        <f>117.1964 * CHOOSE(CONTROL!$C$9, $D$9, 100%, $F$9) + CHOOSE(CONTROL!$C$27, 0.0021, 0)</f>
        <v>117.1985</v>
      </c>
      <c r="C781" s="14">
        <f>116.7641 * CHOOSE(CONTROL!$C$9, $D$9, 100%, $F$9) + CHOOSE(CONTROL!$C$27, 0.0021, 0)</f>
        <v>116.7662</v>
      </c>
      <c r="D781" s="14">
        <f>116.7641 * CHOOSE(CONTROL!$C$9, $D$9, 100%, $F$9) + CHOOSE(CONTROL!$C$27, 0.0021, 0)</f>
        <v>116.7662</v>
      </c>
      <c r="E781" s="14">
        <f>116.6275 * CHOOSE(CONTROL!$C$9, $D$9, 100%, $F$9) + CHOOSE(CONTROL!$C$27, 0.0021, 0)</f>
        <v>116.6296</v>
      </c>
      <c r="F781" s="14">
        <f>116.6275 * CHOOSE(CONTROL!$C$9, $D$9, 100%, $F$9) + CHOOSE(CONTROL!$C$27, 0.0021, 0)</f>
        <v>116.6296</v>
      </c>
      <c r="G781" s="14">
        <f>116.8989 * CHOOSE(CONTROL!$C$9, $D$9, 100%, $F$9) + CHOOSE(CONTROL!$C$27, 0.0021, 0)</f>
        <v>116.901</v>
      </c>
      <c r="H781" s="14">
        <f>116.7641 * CHOOSE(CONTROL!$C$9, $D$9, 100%, $F$9) + CHOOSE(CONTROL!$C$27, 0.0021, 0)</f>
        <v>116.7662</v>
      </c>
      <c r="I781" s="14">
        <f>116.7641 * CHOOSE(CONTROL!$C$9, $D$9, 100%, $F$9) + CHOOSE(CONTROL!$C$27, 0.0021, 0)</f>
        <v>116.7662</v>
      </c>
      <c r="J781" s="14">
        <f>116.7641 * CHOOSE(CONTROL!$C$9, $D$9, 100%, $F$9) + CHOOSE(CONTROL!$C$27, 0.0021, 0)</f>
        <v>116.7662</v>
      </c>
      <c r="K781" s="14">
        <f>116.7641 * CHOOSE(CONTROL!$C$9, $D$9, 100%, $F$9) + CHOOSE(CONTROL!$C$27, 0.0021, 0)</f>
        <v>116.7662</v>
      </c>
      <c r="L781" s="14"/>
    </row>
    <row r="782" spans="1:12" ht="15.75" x14ac:dyDescent="0.25">
      <c r="A782" s="32">
        <v>64740</v>
      </c>
      <c r="B782" s="14">
        <f>123.2525 * CHOOSE(CONTROL!$C$9, $D$9, 100%, $F$9) + CHOOSE(CONTROL!$C$27, 0.0021, 0)</f>
        <v>123.2546</v>
      </c>
      <c r="C782" s="14">
        <f>122.8202 * CHOOSE(CONTROL!$C$9, $D$9, 100%, $F$9) + CHOOSE(CONTROL!$C$27, 0.0021, 0)</f>
        <v>122.8223</v>
      </c>
      <c r="D782" s="14">
        <f>122.8202 * CHOOSE(CONTROL!$C$9, $D$9, 100%, $F$9) + CHOOSE(CONTROL!$C$27, 0.0021, 0)</f>
        <v>122.8223</v>
      </c>
      <c r="E782" s="14">
        <f>122.6836 * CHOOSE(CONTROL!$C$9, $D$9, 100%, $F$9) + CHOOSE(CONTROL!$C$27, 0.0021, 0)</f>
        <v>122.6857</v>
      </c>
      <c r="F782" s="14">
        <f>122.6836 * CHOOSE(CONTROL!$C$9, $D$9, 100%, $F$9) + CHOOSE(CONTROL!$C$27, 0.0021, 0)</f>
        <v>122.6857</v>
      </c>
      <c r="G782" s="14">
        <f>122.955 * CHOOSE(CONTROL!$C$9, $D$9, 100%, $F$9) + CHOOSE(CONTROL!$C$27, 0.0021, 0)</f>
        <v>122.9571</v>
      </c>
      <c r="H782" s="14">
        <f>122.8202 * CHOOSE(CONTROL!$C$9, $D$9, 100%, $F$9) + CHOOSE(CONTROL!$C$27, 0.0021, 0)</f>
        <v>122.8223</v>
      </c>
      <c r="I782" s="14">
        <f>122.8202 * CHOOSE(CONTROL!$C$9, $D$9, 100%, $F$9) + CHOOSE(CONTROL!$C$27, 0.0021, 0)</f>
        <v>122.8223</v>
      </c>
      <c r="J782" s="14">
        <f>122.8202 * CHOOSE(CONTROL!$C$9, $D$9, 100%, $F$9) + CHOOSE(CONTROL!$C$27, 0.0021, 0)</f>
        <v>122.8223</v>
      </c>
      <c r="K782" s="14">
        <f>122.8202 * CHOOSE(CONTROL!$C$9, $D$9, 100%, $F$9) + CHOOSE(CONTROL!$C$27, 0.0021, 0)</f>
        <v>122.8223</v>
      </c>
      <c r="L782" s="14"/>
    </row>
    <row r="783" spans="1:12" ht="15.75" x14ac:dyDescent="0.25">
      <c r="A783" s="32">
        <v>64770</v>
      </c>
      <c r="B783" s="14">
        <f>131.1058 * CHOOSE(CONTROL!$C$9, $D$9, 100%, $F$9) + CHOOSE(CONTROL!$C$27, 0.0021, 0)</f>
        <v>131.1079</v>
      </c>
      <c r="C783" s="14">
        <f>130.6736 * CHOOSE(CONTROL!$C$9, $D$9, 100%, $F$9) + CHOOSE(CONTROL!$C$27, 0.0021, 0)</f>
        <v>130.67570000000001</v>
      </c>
      <c r="D783" s="14">
        <f>130.6736 * CHOOSE(CONTROL!$C$9, $D$9, 100%, $F$9) + CHOOSE(CONTROL!$C$27, 0.0021, 0)</f>
        <v>130.67570000000001</v>
      </c>
      <c r="E783" s="14">
        <f>130.5369 * CHOOSE(CONTROL!$C$9, $D$9, 100%, $F$9) + CHOOSE(CONTROL!$C$27, 0.0021, 0)</f>
        <v>130.53900000000002</v>
      </c>
      <c r="F783" s="14">
        <f>130.5369 * CHOOSE(CONTROL!$C$9, $D$9, 100%, $F$9) + CHOOSE(CONTROL!$C$27, 0.0021, 0)</f>
        <v>130.53900000000002</v>
      </c>
      <c r="G783" s="14">
        <f>130.8083 * CHOOSE(CONTROL!$C$9, $D$9, 100%, $F$9) + CHOOSE(CONTROL!$C$27, 0.0021, 0)</f>
        <v>130.81040000000002</v>
      </c>
      <c r="H783" s="14">
        <f>130.6736 * CHOOSE(CONTROL!$C$9, $D$9, 100%, $F$9) + CHOOSE(CONTROL!$C$27, 0.0021, 0)</f>
        <v>130.67570000000001</v>
      </c>
      <c r="I783" s="14">
        <f>130.6736 * CHOOSE(CONTROL!$C$9, $D$9, 100%, $F$9) + CHOOSE(CONTROL!$C$27, 0.0021, 0)</f>
        <v>130.67570000000001</v>
      </c>
      <c r="J783" s="14">
        <f>130.6736 * CHOOSE(CONTROL!$C$9, $D$9, 100%, $F$9) + CHOOSE(CONTROL!$C$27, 0.0021, 0)</f>
        <v>130.67570000000001</v>
      </c>
      <c r="K783" s="14">
        <f>130.6736 * CHOOSE(CONTROL!$C$9, $D$9, 100%, $F$9) + CHOOSE(CONTROL!$C$27, 0.0021, 0)</f>
        <v>130.67570000000001</v>
      </c>
      <c r="L783" s="14"/>
    </row>
    <row r="784" spans="1:12" ht="15.75" x14ac:dyDescent="0.25">
      <c r="A784" s="32">
        <v>64801</v>
      </c>
      <c r="B784" s="14">
        <f>135.4285 * CHOOSE(CONTROL!$C$9, $D$9, 100%, $F$9) + CHOOSE(CONTROL!$C$27, 0.0021, 0)</f>
        <v>135.43060000000003</v>
      </c>
      <c r="C784" s="14">
        <f>134.9963 * CHOOSE(CONTROL!$C$9, $D$9, 100%, $F$9) + CHOOSE(CONTROL!$C$27, 0.0021, 0)</f>
        <v>134.9984</v>
      </c>
      <c r="D784" s="14">
        <f>134.9963 * CHOOSE(CONTROL!$C$9, $D$9, 100%, $F$9) + CHOOSE(CONTROL!$C$27, 0.0021, 0)</f>
        <v>134.9984</v>
      </c>
      <c r="E784" s="14">
        <f>134.8596 * CHOOSE(CONTROL!$C$9, $D$9, 100%, $F$9) + CHOOSE(CONTROL!$C$27, 0.0021, 0)</f>
        <v>134.86170000000001</v>
      </c>
      <c r="F784" s="14">
        <f>134.8596 * CHOOSE(CONTROL!$C$9, $D$9, 100%, $F$9) + CHOOSE(CONTROL!$C$27, 0.0021, 0)</f>
        <v>134.86170000000001</v>
      </c>
      <c r="G784" s="14">
        <f>135.131 * CHOOSE(CONTROL!$C$9, $D$9, 100%, $F$9) + CHOOSE(CONTROL!$C$27, 0.0021, 0)</f>
        <v>135.13310000000001</v>
      </c>
      <c r="H784" s="14">
        <f>134.9963 * CHOOSE(CONTROL!$C$9, $D$9, 100%, $F$9) + CHOOSE(CONTROL!$C$27, 0.0021, 0)</f>
        <v>134.9984</v>
      </c>
      <c r="I784" s="14">
        <f>134.9963 * CHOOSE(CONTROL!$C$9, $D$9, 100%, $F$9) + CHOOSE(CONTROL!$C$27, 0.0021, 0)</f>
        <v>134.9984</v>
      </c>
      <c r="J784" s="14">
        <f>134.9963 * CHOOSE(CONTROL!$C$9, $D$9, 100%, $F$9) + CHOOSE(CONTROL!$C$27, 0.0021, 0)</f>
        <v>134.9984</v>
      </c>
      <c r="K784" s="14">
        <f>134.9963 * CHOOSE(CONTROL!$C$9, $D$9, 100%, $F$9) + CHOOSE(CONTROL!$C$27, 0.0021, 0)</f>
        <v>134.9984</v>
      </c>
      <c r="L784" s="14"/>
    </row>
    <row r="785" spans="1:12" ht="15.75" x14ac:dyDescent="0.25">
      <c r="A785" s="32">
        <v>64831</v>
      </c>
      <c r="B785" s="14">
        <f>137.3469 * CHOOSE(CONTROL!$C$9, $D$9, 100%, $F$9) + CHOOSE(CONTROL!$C$27, 0.0021, 0)</f>
        <v>137.34900000000002</v>
      </c>
      <c r="C785" s="14">
        <f>136.9146 * CHOOSE(CONTROL!$C$9, $D$9, 100%, $F$9) + CHOOSE(CONTROL!$C$27, 0.0021, 0)</f>
        <v>136.91670000000002</v>
      </c>
      <c r="D785" s="14">
        <f>136.9146 * CHOOSE(CONTROL!$C$9, $D$9, 100%, $F$9) + CHOOSE(CONTROL!$C$27, 0.0021, 0)</f>
        <v>136.91670000000002</v>
      </c>
      <c r="E785" s="14">
        <f>136.778 * CHOOSE(CONTROL!$C$9, $D$9, 100%, $F$9) + CHOOSE(CONTROL!$C$27, 0.0021, 0)</f>
        <v>136.7801</v>
      </c>
      <c r="F785" s="14">
        <f>136.778 * CHOOSE(CONTROL!$C$9, $D$9, 100%, $F$9) + CHOOSE(CONTROL!$C$27, 0.0021, 0)</f>
        <v>136.7801</v>
      </c>
      <c r="G785" s="14">
        <f>137.0494 * CHOOSE(CONTROL!$C$9, $D$9, 100%, $F$9) + CHOOSE(CONTROL!$C$27, 0.0021, 0)</f>
        <v>137.0515</v>
      </c>
      <c r="H785" s="14">
        <f>136.9146 * CHOOSE(CONTROL!$C$9, $D$9, 100%, $F$9) + CHOOSE(CONTROL!$C$27, 0.0021, 0)</f>
        <v>136.91670000000002</v>
      </c>
      <c r="I785" s="14">
        <f>136.9146 * CHOOSE(CONTROL!$C$9, $D$9, 100%, $F$9) + CHOOSE(CONTROL!$C$27, 0.0021, 0)</f>
        <v>136.91670000000002</v>
      </c>
      <c r="J785" s="14">
        <f>136.9146 * CHOOSE(CONTROL!$C$9, $D$9, 100%, $F$9) + CHOOSE(CONTROL!$C$27, 0.0021, 0)</f>
        <v>136.91670000000002</v>
      </c>
      <c r="K785" s="14">
        <f>136.9146 * CHOOSE(CONTROL!$C$9, $D$9, 100%, $F$9) + CHOOSE(CONTROL!$C$27, 0.0021, 0)</f>
        <v>136.91670000000002</v>
      </c>
      <c r="L785" s="14"/>
    </row>
    <row r="786" spans="1:12" ht="15.75" x14ac:dyDescent="0.25">
      <c r="A786" s="32">
        <v>64862</v>
      </c>
      <c r="B786" s="14">
        <f>136.7153 * CHOOSE(CONTROL!$C$9, $D$9, 100%, $F$9) + CHOOSE(CONTROL!$C$27, 0.0021, 0)</f>
        <v>136.71740000000003</v>
      </c>
      <c r="C786" s="14">
        <f>136.283 * CHOOSE(CONTROL!$C$9, $D$9, 100%, $F$9) + CHOOSE(CONTROL!$C$27, 0.0021, 0)</f>
        <v>136.2851</v>
      </c>
      <c r="D786" s="14">
        <f>136.283 * CHOOSE(CONTROL!$C$9, $D$9, 100%, $F$9) + CHOOSE(CONTROL!$C$27, 0.0021, 0)</f>
        <v>136.2851</v>
      </c>
      <c r="E786" s="14">
        <f>136.1464 * CHOOSE(CONTROL!$C$9, $D$9, 100%, $F$9) + CHOOSE(CONTROL!$C$27, 0.0021, 0)</f>
        <v>136.14850000000001</v>
      </c>
      <c r="F786" s="14">
        <f>136.1464 * CHOOSE(CONTROL!$C$9, $D$9, 100%, $F$9) + CHOOSE(CONTROL!$C$27, 0.0021, 0)</f>
        <v>136.14850000000001</v>
      </c>
      <c r="G786" s="14">
        <f>136.4177 * CHOOSE(CONTROL!$C$9, $D$9, 100%, $F$9) + CHOOSE(CONTROL!$C$27, 0.0021, 0)</f>
        <v>136.41980000000001</v>
      </c>
      <c r="H786" s="14">
        <f>136.283 * CHOOSE(CONTROL!$C$9, $D$9, 100%, $F$9) + CHOOSE(CONTROL!$C$27, 0.0021, 0)</f>
        <v>136.2851</v>
      </c>
      <c r="I786" s="14">
        <f>136.283 * CHOOSE(CONTROL!$C$9, $D$9, 100%, $F$9) + CHOOSE(CONTROL!$C$27, 0.0021, 0)</f>
        <v>136.2851</v>
      </c>
      <c r="J786" s="14">
        <f>136.283 * CHOOSE(CONTROL!$C$9, $D$9, 100%, $F$9) + CHOOSE(CONTROL!$C$27, 0.0021, 0)</f>
        <v>136.2851</v>
      </c>
      <c r="K786" s="14">
        <f>136.283 * CHOOSE(CONTROL!$C$9, $D$9, 100%, $F$9) + CHOOSE(CONTROL!$C$27, 0.0021, 0)</f>
        <v>136.2851</v>
      </c>
      <c r="L786" s="14"/>
    </row>
    <row r="787" spans="1:12" ht="15.75" x14ac:dyDescent="0.25">
      <c r="A787" s="32">
        <v>64893</v>
      </c>
      <c r="B787" s="14">
        <f>133.586 * CHOOSE(CONTROL!$C$9, $D$9, 100%, $F$9) + CHOOSE(CONTROL!$C$27, 0.0021, 0)</f>
        <v>133.58810000000003</v>
      </c>
      <c r="C787" s="14">
        <f>133.1537 * CHOOSE(CONTROL!$C$9, $D$9, 100%, $F$9) + CHOOSE(CONTROL!$C$27, 0.0021, 0)</f>
        <v>133.1558</v>
      </c>
      <c r="D787" s="14">
        <f>133.1537 * CHOOSE(CONTROL!$C$9, $D$9, 100%, $F$9) + CHOOSE(CONTROL!$C$27, 0.0021, 0)</f>
        <v>133.1558</v>
      </c>
      <c r="E787" s="14">
        <f>133.0171 * CHOOSE(CONTROL!$C$9, $D$9, 100%, $F$9) + CHOOSE(CONTROL!$C$27, 0.0021, 0)</f>
        <v>133.01920000000001</v>
      </c>
      <c r="F787" s="14">
        <f>133.0171 * CHOOSE(CONTROL!$C$9, $D$9, 100%, $F$9) + CHOOSE(CONTROL!$C$27, 0.0021, 0)</f>
        <v>133.01920000000001</v>
      </c>
      <c r="G787" s="14">
        <f>133.2884 * CHOOSE(CONTROL!$C$9, $D$9, 100%, $F$9) + CHOOSE(CONTROL!$C$27, 0.0021, 0)</f>
        <v>133.29050000000001</v>
      </c>
      <c r="H787" s="14">
        <f>133.1537 * CHOOSE(CONTROL!$C$9, $D$9, 100%, $F$9) + CHOOSE(CONTROL!$C$27, 0.0021, 0)</f>
        <v>133.1558</v>
      </c>
      <c r="I787" s="14">
        <f>133.1537 * CHOOSE(CONTROL!$C$9, $D$9, 100%, $F$9) + CHOOSE(CONTROL!$C$27, 0.0021, 0)</f>
        <v>133.1558</v>
      </c>
      <c r="J787" s="14">
        <f>133.1537 * CHOOSE(CONTROL!$C$9, $D$9, 100%, $F$9) + CHOOSE(CONTROL!$C$27, 0.0021, 0)</f>
        <v>133.1558</v>
      </c>
      <c r="K787" s="14">
        <f>133.1537 * CHOOSE(CONTROL!$C$9, $D$9, 100%, $F$9) + CHOOSE(CONTROL!$C$27, 0.0021, 0)</f>
        <v>133.1558</v>
      </c>
      <c r="L787" s="14"/>
    </row>
    <row r="788" spans="1:12" ht="15.75" x14ac:dyDescent="0.25">
      <c r="A788" s="32">
        <v>64923</v>
      </c>
      <c r="B788" s="14">
        <f>129.222 * CHOOSE(CONTROL!$C$9, $D$9, 100%, $F$9) + CHOOSE(CONTROL!$C$27, 0.0021, 0)</f>
        <v>129.22410000000002</v>
      </c>
      <c r="C788" s="14">
        <f>128.7897 * CHOOSE(CONTROL!$C$9, $D$9, 100%, $F$9) + CHOOSE(CONTROL!$C$27, 0.0021, 0)</f>
        <v>128.79180000000002</v>
      </c>
      <c r="D788" s="14">
        <f>128.7897 * CHOOSE(CONTROL!$C$9, $D$9, 100%, $F$9) + CHOOSE(CONTROL!$C$27, 0.0021, 0)</f>
        <v>128.79180000000002</v>
      </c>
      <c r="E788" s="14">
        <f>128.6531 * CHOOSE(CONTROL!$C$9, $D$9, 100%, $F$9) + CHOOSE(CONTROL!$C$27, 0.0021, 0)</f>
        <v>128.65520000000001</v>
      </c>
      <c r="F788" s="14">
        <f>128.6531 * CHOOSE(CONTROL!$C$9, $D$9, 100%, $F$9) + CHOOSE(CONTROL!$C$27, 0.0021, 0)</f>
        <v>128.65520000000001</v>
      </c>
      <c r="G788" s="14">
        <f>128.9245 * CHOOSE(CONTROL!$C$9, $D$9, 100%, $F$9) + CHOOSE(CONTROL!$C$27, 0.0021, 0)</f>
        <v>128.92660000000001</v>
      </c>
      <c r="H788" s="14">
        <f>128.7897 * CHOOSE(CONTROL!$C$9, $D$9, 100%, $F$9) + CHOOSE(CONTROL!$C$27, 0.0021, 0)</f>
        <v>128.79180000000002</v>
      </c>
      <c r="I788" s="14">
        <f>128.7897 * CHOOSE(CONTROL!$C$9, $D$9, 100%, $F$9) + CHOOSE(CONTROL!$C$27, 0.0021, 0)</f>
        <v>128.79180000000002</v>
      </c>
      <c r="J788" s="14">
        <f>128.7897 * CHOOSE(CONTROL!$C$9, $D$9, 100%, $F$9) + CHOOSE(CONTROL!$C$27, 0.0021, 0)</f>
        <v>128.79180000000002</v>
      </c>
      <c r="K788" s="14">
        <f>128.7897 * CHOOSE(CONTROL!$C$9, $D$9, 100%, $F$9) + CHOOSE(CONTROL!$C$27, 0.0021, 0)</f>
        <v>128.79180000000002</v>
      </c>
      <c r="L788" s="14"/>
    </row>
    <row r="789" spans="1:12" ht="15.75" x14ac:dyDescent="0.25">
      <c r="A789" s="32">
        <v>64954</v>
      </c>
      <c r="B789" s="14">
        <f>124.8326 * CHOOSE(CONTROL!$C$9, $D$9, 100%, $F$9) + CHOOSE(CONTROL!$C$27, 0.0021, 0)</f>
        <v>124.8347</v>
      </c>
      <c r="C789" s="14">
        <f>124.4004 * CHOOSE(CONTROL!$C$9, $D$9, 100%, $F$9) + CHOOSE(CONTROL!$C$27, 0.0021, 0)</f>
        <v>124.4025</v>
      </c>
      <c r="D789" s="14">
        <f>124.4004 * CHOOSE(CONTROL!$C$9, $D$9, 100%, $F$9) + CHOOSE(CONTROL!$C$27, 0.0021, 0)</f>
        <v>124.4025</v>
      </c>
      <c r="E789" s="14">
        <f>124.2637 * CHOOSE(CONTROL!$C$9, $D$9, 100%, $F$9) + CHOOSE(CONTROL!$C$27, 0.0021, 0)</f>
        <v>124.2658</v>
      </c>
      <c r="F789" s="14">
        <f>124.2637 * CHOOSE(CONTROL!$C$9, $D$9, 100%, $F$9) + CHOOSE(CONTROL!$C$27, 0.0021, 0)</f>
        <v>124.2658</v>
      </c>
      <c r="G789" s="14">
        <f>124.5351 * CHOOSE(CONTROL!$C$9, $D$9, 100%, $F$9) + CHOOSE(CONTROL!$C$27, 0.0021, 0)</f>
        <v>124.5372</v>
      </c>
      <c r="H789" s="14">
        <f>124.4004 * CHOOSE(CONTROL!$C$9, $D$9, 100%, $F$9) + CHOOSE(CONTROL!$C$27, 0.0021, 0)</f>
        <v>124.4025</v>
      </c>
      <c r="I789" s="14">
        <f>124.4004 * CHOOSE(CONTROL!$C$9, $D$9, 100%, $F$9) + CHOOSE(CONTROL!$C$27, 0.0021, 0)</f>
        <v>124.4025</v>
      </c>
      <c r="J789" s="14">
        <f>124.4004 * CHOOSE(CONTROL!$C$9, $D$9, 100%, $F$9) + CHOOSE(CONTROL!$C$27, 0.0021, 0)</f>
        <v>124.4025</v>
      </c>
      <c r="K789" s="14">
        <f>124.4004 * CHOOSE(CONTROL!$C$9, $D$9, 100%, $F$9) + CHOOSE(CONTROL!$C$27, 0.0021, 0)</f>
        <v>124.4025</v>
      </c>
      <c r="L789" s="14"/>
    </row>
    <row r="790" spans="1:12" ht="15.75" x14ac:dyDescent="0.25">
      <c r="A790" s="32">
        <v>64984</v>
      </c>
      <c r="B790" s="14">
        <f>123.9595 * CHOOSE(CONTROL!$C$9, $D$9, 100%, $F$9) + CHOOSE(CONTROL!$C$27, 0.0021, 0)</f>
        <v>123.9616</v>
      </c>
      <c r="C790" s="14">
        <f>123.5273 * CHOOSE(CONTROL!$C$9, $D$9, 100%, $F$9) + CHOOSE(CONTROL!$C$27, 0.0021, 0)</f>
        <v>123.5294</v>
      </c>
      <c r="D790" s="14">
        <f>123.5273 * CHOOSE(CONTROL!$C$9, $D$9, 100%, $F$9) + CHOOSE(CONTROL!$C$27, 0.0021, 0)</f>
        <v>123.5294</v>
      </c>
      <c r="E790" s="14">
        <f>123.3906 * CHOOSE(CONTROL!$C$9, $D$9, 100%, $F$9) + CHOOSE(CONTROL!$C$27, 0.0021, 0)</f>
        <v>123.3927</v>
      </c>
      <c r="F790" s="14">
        <f>123.3906 * CHOOSE(CONTROL!$C$9, $D$9, 100%, $F$9) + CHOOSE(CONTROL!$C$27, 0.0021, 0)</f>
        <v>123.3927</v>
      </c>
      <c r="G790" s="14">
        <f>123.662 * CHOOSE(CONTROL!$C$9, $D$9, 100%, $F$9) + CHOOSE(CONTROL!$C$27, 0.0021, 0)</f>
        <v>123.6641</v>
      </c>
      <c r="H790" s="14">
        <f>123.5273 * CHOOSE(CONTROL!$C$9, $D$9, 100%, $F$9) + CHOOSE(CONTROL!$C$27, 0.0021, 0)</f>
        <v>123.5294</v>
      </c>
      <c r="I790" s="14">
        <f>123.5273 * CHOOSE(CONTROL!$C$9, $D$9, 100%, $F$9) + CHOOSE(CONTROL!$C$27, 0.0021, 0)</f>
        <v>123.5294</v>
      </c>
      <c r="J790" s="14">
        <f>123.5273 * CHOOSE(CONTROL!$C$9, $D$9, 100%, $F$9) + CHOOSE(CONTROL!$C$27, 0.0021, 0)</f>
        <v>123.5294</v>
      </c>
      <c r="K790" s="14">
        <f>123.5273 * CHOOSE(CONTROL!$C$9, $D$9, 100%, $F$9) + CHOOSE(CONTROL!$C$27, 0.0021, 0)</f>
        <v>123.5294</v>
      </c>
      <c r="L790" s="14"/>
    </row>
    <row r="791" spans="1:12" ht="15.75" x14ac:dyDescent="0.25">
      <c r="A791" s="32">
        <v>65015</v>
      </c>
      <c r="B791" s="14">
        <f>120.349 * CHOOSE(CONTROL!$C$9, $D$9, 100%, $F$9) + CHOOSE(CONTROL!$C$27, 0.0021, 0)</f>
        <v>120.3511</v>
      </c>
      <c r="C791" s="14">
        <f>119.9168 * CHOOSE(CONTROL!$C$9, $D$9, 100%, $F$9) + CHOOSE(CONTROL!$C$27, 0.0021, 0)</f>
        <v>119.91889999999999</v>
      </c>
      <c r="D791" s="14">
        <f>119.9168 * CHOOSE(CONTROL!$C$9, $D$9, 100%, $F$9) + CHOOSE(CONTROL!$C$27, 0.0021, 0)</f>
        <v>119.91889999999999</v>
      </c>
      <c r="E791" s="14">
        <f>119.7801 * CHOOSE(CONTROL!$C$9, $D$9, 100%, $F$9) + CHOOSE(CONTROL!$C$27, 0.0021, 0)</f>
        <v>119.7822</v>
      </c>
      <c r="F791" s="14">
        <f>119.7801 * CHOOSE(CONTROL!$C$9, $D$9, 100%, $F$9) + CHOOSE(CONTROL!$C$27, 0.0021, 0)</f>
        <v>119.7822</v>
      </c>
      <c r="G791" s="14">
        <f>120.0515 * CHOOSE(CONTROL!$C$9, $D$9, 100%, $F$9) + CHOOSE(CONTROL!$C$27, 0.0021, 0)</f>
        <v>120.0536</v>
      </c>
      <c r="H791" s="14">
        <f>119.9168 * CHOOSE(CONTROL!$C$9, $D$9, 100%, $F$9) + CHOOSE(CONTROL!$C$27, 0.0021, 0)</f>
        <v>119.91889999999999</v>
      </c>
      <c r="I791" s="14">
        <f>119.9168 * CHOOSE(CONTROL!$C$9, $D$9, 100%, $F$9) + CHOOSE(CONTROL!$C$27, 0.0021, 0)</f>
        <v>119.91889999999999</v>
      </c>
      <c r="J791" s="14">
        <f>119.9168 * CHOOSE(CONTROL!$C$9, $D$9, 100%, $F$9) + CHOOSE(CONTROL!$C$27, 0.0021, 0)</f>
        <v>119.91889999999999</v>
      </c>
      <c r="K791" s="14">
        <f>119.9168 * CHOOSE(CONTROL!$C$9, $D$9, 100%, $F$9) + CHOOSE(CONTROL!$C$27, 0.0021, 0)</f>
        <v>119.91889999999999</v>
      </c>
      <c r="L791" s="14"/>
    </row>
    <row r="792" spans="1:12" ht="15.75" x14ac:dyDescent="0.25">
      <c r="A792" s="32">
        <v>65046</v>
      </c>
      <c r="B792" s="14">
        <f>119.6461 * CHOOSE(CONTROL!$C$9, $D$9, 100%, $F$9) + CHOOSE(CONTROL!$C$27, 0.0021, 0)</f>
        <v>119.6482</v>
      </c>
      <c r="C792" s="14">
        <f>119.2139 * CHOOSE(CONTROL!$C$9, $D$9, 100%, $F$9) + CHOOSE(CONTROL!$C$27, 0.0021, 0)</f>
        <v>119.21599999999999</v>
      </c>
      <c r="D792" s="14">
        <f>119.2139 * CHOOSE(CONTROL!$C$9, $D$9, 100%, $F$9) + CHOOSE(CONTROL!$C$27, 0.0021, 0)</f>
        <v>119.21599999999999</v>
      </c>
      <c r="E792" s="14">
        <f>119.0772 * CHOOSE(CONTROL!$C$9, $D$9, 100%, $F$9) + CHOOSE(CONTROL!$C$27, 0.0021, 0)</f>
        <v>119.0793</v>
      </c>
      <c r="F792" s="14">
        <f>119.0772 * CHOOSE(CONTROL!$C$9, $D$9, 100%, $F$9) + CHOOSE(CONTROL!$C$27, 0.0021, 0)</f>
        <v>119.0793</v>
      </c>
      <c r="G792" s="14">
        <f>119.3486 * CHOOSE(CONTROL!$C$9, $D$9, 100%, $F$9) + CHOOSE(CONTROL!$C$27, 0.0021, 0)</f>
        <v>119.3507</v>
      </c>
      <c r="H792" s="14">
        <f>119.2139 * CHOOSE(CONTROL!$C$9, $D$9, 100%, $F$9) + CHOOSE(CONTROL!$C$27, 0.0021, 0)</f>
        <v>119.21599999999999</v>
      </c>
      <c r="I792" s="14">
        <f>119.2139 * CHOOSE(CONTROL!$C$9, $D$9, 100%, $F$9) + CHOOSE(CONTROL!$C$27, 0.0021, 0)</f>
        <v>119.21599999999999</v>
      </c>
      <c r="J792" s="14">
        <f>119.2139 * CHOOSE(CONTROL!$C$9, $D$9, 100%, $F$9) + CHOOSE(CONTROL!$C$27, 0.0021, 0)</f>
        <v>119.21599999999999</v>
      </c>
      <c r="K792" s="14">
        <f>119.2139 * CHOOSE(CONTROL!$C$9, $D$9, 100%, $F$9) + CHOOSE(CONTROL!$C$27, 0.0021, 0)</f>
        <v>119.21599999999999</v>
      </c>
      <c r="L792" s="14"/>
    </row>
    <row r="793" spans="1:12" ht="15.75" x14ac:dyDescent="0.25">
      <c r="A793" s="32">
        <v>65074</v>
      </c>
      <c r="B793" s="14">
        <f>119.3199 * CHOOSE(CONTROL!$C$9, $D$9, 100%, $F$9) + CHOOSE(CONTROL!$C$27, 0.0021, 0)</f>
        <v>119.322</v>
      </c>
      <c r="C793" s="14">
        <f>118.8876 * CHOOSE(CONTROL!$C$9, $D$9, 100%, $F$9) + CHOOSE(CONTROL!$C$27, 0.0021, 0)</f>
        <v>118.8897</v>
      </c>
      <c r="D793" s="14">
        <f>118.8876 * CHOOSE(CONTROL!$C$9, $D$9, 100%, $F$9) + CHOOSE(CONTROL!$C$27, 0.0021, 0)</f>
        <v>118.8897</v>
      </c>
      <c r="E793" s="14">
        <f>118.751 * CHOOSE(CONTROL!$C$9, $D$9, 100%, $F$9) + CHOOSE(CONTROL!$C$27, 0.0021, 0)</f>
        <v>118.7531</v>
      </c>
      <c r="F793" s="14">
        <f>118.751 * CHOOSE(CONTROL!$C$9, $D$9, 100%, $F$9) + CHOOSE(CONTROL!$C$27, 0.0021, 0)</f>
        <v>118.7531</v>
      </c>
      <c r="G793" s="14">
        <f>119.0224 * CHOOSE(CONTROL!$C$9, $D$9, 100%, $F$9) + CHOOSE(CONTROL!$C$27, 0.0021, 0)</f>
        <v>119.0245</v>
      </c>
      <c r="H793" s="14">
        <f>118.8876 * CHOOSE(CONTROL!$C$9, $D$9, 100%, $F$9) + CHOOSE(CONTROL!$C$27, 0.0021, 0)</f>
        <v>118.8897</v>
      </c>
      <c r="I793" s="14">
        <f>118.8876 * CHOOSE(CONTROL!$C$9, $D$9, 100%, $F$9) + CHOOSE(CONTROL!$C$27, 0.0021, 0)</f>
        <v>118.8897</v>
      </c>
      <c r="J793" s="14">
        <f>118.8876 * CHOOSE(CONTROL!$C$9, $D$9, 100%, $F$9) + CHOOSE(CONTROL!$C$27, 0.0021, 0)</f>
        <v>118.8897</v>
      </c>
      <c r="K793" s="14">
        <f>118.8876 * CHOOSE(CONTROL!$C$9, $D$9, 100%, $F$9) + CHOOSE(CONTROL!$C$27, 0.0021, 0)</f>
        <v>118.8897</v>
      </c>
      <c r="L793" s="14"/>
    </row>
    <row r="794" spans="1:12" ht="15.75" x14ac:dyDescent="0.25">
      <c r="A794" s="32">
        <v>65105</v>
      </c>
      <c r="B794" s="14">
        <f>125.4879 * CHOOSE(CONTROL!$C$9, $D$9, 100%, $F$9) + CHOOSE(CONTROL!$C$27, 0.0021, 0)</f>
        <v>125.49</v>
      </c>
      <c r="C794" s="14">
        <f>125.0557 * CHOOSE(CONTROL!$C$9, $D$9, 100%, $F$9) + CHOOSE(CONTROL!$C$27, 0.0021, 0)</f>
        <v>125.0578</v>
      </c>
      <c r="D794" s="14">
        <f>125.0557 * CHOOSE(CONTROL!$C$9, $D$9, 100%, $F$9) + CHOOSE(CONTROL!$C$27, 0.0021, 0)</f>
        <v>125.0578</v>
      </c>
      <c r="E794" s="14">
        <f>124.919 * CHOOSE(CONTROL!$C$9, $D$9, 100%, $F$9) + CHOOSE(CONTROL!$C$27, 0.0021, 0)</f>
        <v>124.9211</v>
      </c>
      <c r="F794" s="14">
        <f>124.919 * CHOOSE(CONTROL!$C$9, $D$9, 100%, $F$9) + CHOOSE(CONTROL!$C$27, 0.0021, 0)</f>
        <v>124.9211</v>
      </c>
      <c r="G794" s="14">
        <f>125.1904 * CHOOSE(CONTROL!$C$9, $D$9, 100%, $F$9) + CHOOSE(CONTROL!$C$27, 0.0021, 0)</f>
        <v>125.1925</v>
      </c>
      <c r="H794" s="14">
        <f>125.0557 * CHOOSE(CONTROL!$C$9, $D$9, 100%, $F$9) + CHOOSE(CONTROL!$C$27, 0.0021, 0)</f>
        <v>125.0578</v>
      </c>
      <c r="I794" s="14">
        <f>125.0557 * CHOOSE(CONTROL!$C$9, $D$9, 100%, $F$9) + CHOOSE(CONTROL!$C$27, 0.0021, 0)</f>
        <v>125.0578</v>
      </c>
      <c r="J794" s="14">
        <f>125.0557 * CHOOSE(CONTROL!$C$9, $D$9, 100%, $F$9) + CHOOSE(CONTROL!$C$27, 0.0021, 0)</f>
        <v>125.0578</v>
      </c>
      <c r="K794" s="14">
        <f>125.0557 * CHOOSE(CONTROL!$C$9, $D$9, 100%, $F$9) + CHOOSE(CONTROL!$C$27, 0.0021, 0)</f>
        <v>125.0578</v>
      </c>
      <c r="L794" s="14"/>
    </row>
    <row r="795" spans="1:12" ht="15.75" x14ac:dyDescent="0.25">
      <c r="A795" s="32">
        <v>65135</v>
      </c>
      <c r="B795" s="14">
        <f>133.4864 * CHOOSE(CONTROL!$C$9, $D$9, 100%, $F$9) + CHOOSE(CONTROL!$C$27, 0.0021, 0)</f>
        <v>133.48850000000002</v>
      </c>
      <c r="C795" s="14">
        <f>133.0541 * CHOOSE(CONTROL!$C$9, $D$9, 100%, $F$9) + CHOOSE(CONTROL!$C$27, 0.0021, 0)</f>
        <v>133.05620000000002</v>
      </c>
      <c r="D795" s="14">
        <f>133.0541 * CHOOSE(CONTROL!$C$9, $D$9, 100%, $F$9) + CHOOSE(CONTROL!$C$27, 0.0021, 0)</f>
        <v>133.05620000000002</v>
      </c>
      <c r="E795" s="14">
        <f>132.9175 * CHOOSE(CONTROL!$C$9, $D$9, 100%, $F$9) + CHOOSE(CONTROL!$C$27, 0.0021, 0)</f>
        <v>132.9196</v>
      </c>
      <c r="F795" s="14">
        <f>132.9175 * CHOOSE(CONTROL!$C$9, $D$9, 100%, $F$9) + CHOOSE(CONTROL!$C$27, 0.0021, 0)</f>
        <v>132.9196</v>
      </c>
      <c r="G795" s="14">
        <f>133.1889 * CHOOSE(CONTROL!$C$9, $D$9, 100%, $F$9) + CHOOSE(CONTROL!$C$27, 0.0021, 0)</f>
        <v>133.191</v>
      </c>
      <c r="H795" s="14">
        <f>133.0541 * CHOOSE(CONTROL!$C$9, $D$9, 100%, $F$9) + CHOOSE(CONTROL!$C$27, 0.0021, 0)</f>
        <v>133.05620000000002</v>
      </c>
      <c r="I795" s="14">
        <f>133.0541 * CHOOSE(CONTROL!$C$9, $D$9, 100%, $F$9) + CHOOSE(CONTROL!$C$27, 0.0021, 0)</f>
        <v>133.05620000000002</v>
      </c>
      <c r="J795" s="14">
        <f>133.0541 * CHOOSE(CONTROL!$C$9, $D$9, 100%, $F$9) + CHOOSE(CONTROL!$C$27, 0.0021, 0)</f>
        <v>133.05620000000002</v>
      </c>
      <c r="K795" s="14">
        <f>133.0541 * CHOOSE(CONTROL!$C$9, $D$9, 100%, $F$9) + CHOOSE(CONTROL!$C$27, 0.0021, 0)</f>
        <v>133.05620000000002</v>
      </c>
      <c r="L795" s="14"/>
    </row>
    <row r="796" spans="1:12" ht="15.75" x14ac:dyDescent="0.25">
      <c r="A796" s="32">
        <v>65166</v>
      </c>
      <c r="B796" s="14">
        <f>137.889 * CHOOSE(CONTROL!$C$9, $D$9, 100%, $F$9) + CHOOSE(CONTROL!$C$27, 0.0021, 0)</f>
        <v>137.89110000000002</v>
      </c>
      <c r="C796" s="14">
        <f>137.4567 * CHOOSE(CONTROL!$C$9, $D$9, 100%, $F$9) + CHOOSE(CONTROL!$C$27, 0.0021, 0)</f>
        <v>137.45880000000002</v>
      </c>
      <c r="D796" s="14">
        <f>137.4567 * CHOOSE(CONTROL!$C$9, $D$9, 100%, $F$9) + CHOOSE(CONTROL!$C$27, 0.0021, 0)</f>
        <v>137.45880000000002</v>
      </c>
      <c r="E796" s="14">
        <f>137.3201 * CHOOSE(CONTROL!$C$9, $D$9, 100%, $F$9) + CHOOSE(CONTROL!$C$27, 0.0021, 0)</f>
        <v>137.32220000000001</v>
      </c>
      <c r="F796" s="14">
        <f>137.3201 * CHOOSE(CONTROL!$C$9, $D$9, 100%, $F$9) + CHOOSE(CONTROL!$C$27, 0.0021, 0)</f>
        <v>137.32220000000001</v>
      </c>
      <c r="G796" s="14">
        <f>137.5915 * CHOOSE(CONTROL!$C$9, $D$9, 100%, $F$9) + CHOOSE(CONTROL!$C$27, 0.0021, 0)</f>
        <v>137.59360000000001</v>
      </c>
      <c r="H796" s="14">
        <f>137.4567 * CHOOSE(CONTROL!$C$9, $D$9, 100%, $F$9) + CHOOSE(CONTROL!$C$27, 0.0021, 0)</f>
        <v>137.45880000000002</v>
      </c>
      <c r="I796" s="14">
        <f>137.4567 * CHOOSE(CONTROL!$C$9, $D$9, 100%, $F$9) + CHOOSE(CONTROL!$C$27, 0.0021, 0)</f>
        <v>137.45880000000002</v>
      </c>
      <c r="J796" s="14">
        <f>137.4567 * CHOOSE(CONTROL!$C$9, $D$9, 100%, $F$9) + CHOOSE(CONTROL!$C$27, 0.0021, 0)</f>
        <v>137.45880000000002</v>
      </c>
      <c r="K796" s="14">
        <f>137.4567 * CHOOSE(CONTROL!$C$9, $D$9, 100%, $F$9) + CHOOSE(CONTROL!$C$27, 0.0021, 0)</f>
        <v>137.45880000000002</v>
      </c>
      <c r="L796" s="14"/>
    </row>
    <row r="797" spans="1:12" ht="15.75" x14ac:dyDescent="0.25">
      <c r="A797" s="32">
        <v>65196</v>
      </c>
      <c r="B797" s="14">
        <f>139.8428 * CHOOSE(CONTROL!$C$9, $D$9, 100%, $F$9) + CHOOSE(CONTROL!$C$27, 0.0021, 0)</f>
        <v>139.84490000000002</v>
      </c>
      <c r="C797" s="14">
        <f>139.4105 * CHOOSE(CONTROL!$C$9, $D$9, 100%, $F$9) + CHOOSE(CONTROL!$C$27, 0.0021, 0)</f>
        <v>139.41260000000003</v>
      </c>
      <c r="D797" s="14">
        <f>139.4105 * CHOOSE(CONTROL!$C$9, $D$9, 100%, $F$9) + CHOOSE(CONTROL!$C$27, 0.0021, 0)</f>
        <v>139.41260000000003</v>
      </c>
      <c r="E797" s="14">
        <f>139.2739 * CHOOSE(CONTROL!$C$9, $D$9, 100%, $F$9) + CHOOSE(CONTROL!$C$27, 0.0021, 0)</f>
        <v>139.27600000000001</v>
      </c>
      <c r="F797" s="14">
        <f>139.2739 * CHOOSE(CONTROL!$C$9, $D$9, 100%, $F$9) + CHOOSE(CONTROL!$C$27, 0.0021, 0)</f>
        <v>139.27600000000001</v>
      </c>
      <c r="G797" s="14">
        <f>139.5453 * CHOOSE(CONTROL!$C$9, $D$9, 100%, $F$9) + CHOOSE(CONTROL!$C$27, 0.0021, 0)</f>
        <v>139.54740000000001</v>
      </c>
      <c r="H797" s="14">
        <f>139.4105 * CHOOSE(CONTROL!$C$9, $D$9, 100%, $F$9) + CHOOSE(CONTROL!$C$27, 0.0021, 0)</f>
        <v>139.41260000000003</v>
      </c>
      <c r="I797" s="14">
        <f>139.4105 * CHOOSE(CONTROL!$C$9, $D$9, 100%, $F$9) + CHOOSE(CONTROL!$C$27, 0.0021, 0)</f>
        <v>139.41260000000003</v>
      </c>
      <c r="J797" s="14">
        <f>139.4105 * CHOOSE(CONTROL!$C$9, $D$9, 100%, $F$9) + CHOOSE(CONTROL!$C$27, 0.0021, 0)</f>
        <v>139.41260000000003</v>
      </c>
      <c r="K797" s="14">
        <f>139.4105 * CHOOSE(CONTROL!$C$9, $D$9, 100%, $F$9) + CHOOSE(CONTROL!$C$27, 0.0021, 0)</f>
        <v>139.41260000000003</v>
      </c>
      <c r="L797" s="14"/>
    </row>
    <row r="798" spans="1:12" ht="15.75" x14ac:dyDescent="0.25">
      <c r="A798" s="32">
        <v>65227</v>
      </c>
      <c r="B798" s="14">
        <f>139.1995 * CHOOSE(CONTROL!$C$9, $D$9, 100%, $F$9) + CHOOSE(CONTROL!$C$27, 0.0021, 0)</f>
        <v>139.20160000000001</v>
      </c>
      <c r="C798" s="14">
        <f>138.7673 * CHOOSE(CONTROL!$C$9, $D$9, 100%, $F$9) + CHOOSE(CONTROL!$C$27, 0.0021, 0)</f>
        <v>138.76940000000002</v>
      </c>
      <c r="D798" s="14">
        <f>138.7673 * CHOOSE(CONTROL!$C$9, $D$9, 100%, $F$9) + CHOOSE(CONTROL!$C$27, 0.0021, 0)</f>
        <v>138.76940000000002</v>
      </c>
      <c r="E798" s="14">
        <f>138.6306 * CHOOSE(CONTROL!$C$9, $D$9, 100%, $F$9) + CHOOSE(CONTROL!$C$27, 0.0021, 0)</f>
        <v>138.6327</v>
      </c>
      <c r="F798" s="14">
        <f>138.6306 * CHOOSE(CONTROL!$C$9, $D$9, 100%, $F$9) + CHOOSE(CONTROL!$C$27, 0.0021, 0)</f>
        <v>138.6327</v>
      </c>
      <c r="G798" s="14">
        <f>138.902 * CHOOSE(CONTROL!$C$9, $D$9, 100%, $F$9) + CHOOSE(CONTROL!$C$27, 0.0021, 0)</f>
        <v>138.9041</v>
      </c>
      <c r="H798" s="14">
        <f>138.7673 * CHOOSE(CONTROL!$C$9, $D$9, 100%, $F$9) + CHOOSE(CONTROL!$C$27, 0.0021, 0)</f>
        <v>138.76940000000002</v>
      </c>
      <c r="I798" s="14">
        <f>138.7673 * CHOOSE(CONTROL!$C$9, $D$9, 100%, $F$9) + CHOOSE(CONTROL!$C$27, 0.0021, 0)</f>
        <v>138.76940000000002</v>
      </c>
      <c r="J798" s="14">
        <f>138.7673 * CHOOSE(CONTROL!$C$9, $D$9, 100%, $F$9) + CHOOSE(CONTROL!$C$27, 0.0021, 0)</f>
        <v>138.76940000000002</v>
      </c>
      <c r="K798" s="14">
        <f>138.7673 * CHOOSE(CONTROL!$C$9, $D$9, 100%, $F$9) + CHOOSE(CONTROL!$C$27, 0.0021, 0)</f>
        <v>138.76940000000002</v>
      </c>
      <c r="L798" s="14"/>
    </row>
    <row r="799" spans="1:12" ht="15.75" x14ac:dyDescent="0.25">
      <c r="A799" s="32">
        <v>65258</v>
      </c>
      <c r="B799" s="14">
        <f>136.0124 * CHOOSE(CONTROL!$C$9, $D$9, 100%, $F$9) + CHOOSE(CONTROL!$C$27, 0.0021, 0)</f>
        <v>136.01450000000003</v>
      </c>
      <c r="C799" s="14">
        <f>135.5801 * CHOOSE(CONTROL!$C$9, $D$9, 100%, $F$9) + CHOOSE(CONTROL!$C$27, 0.0021, 0)</f>
        <v>135.5822</v>
      </c>
      <c r="D799" s="14">
        <f>135.5801 * CHOOSE(CONTROL!$C$9, $D$9, 100%, $F$9) + CHOOSE(CONTROL!$C$27, 0.0021, 0)</f>
        <v>135.5822</v>
      </c>
      <c r="E799" s="14">
        <f>135.4435 * CHOOSE(CONTROL!$C$9, $D$9, 100%, $F$9) + CHOOSE(CONTROL!$C$27, 0.0021, 0)</f>
        <v>135.44560000000001</v>
      </c>
      <c r="F799" s="14">
        <f>135.4435 * CHOOSE(CONTROL!$C$9, $D$9, 100%, $F$9) + CHOOSE(CONTROL!$C$27, 0.0021, 0)</f>
        <v>135.44560000000001</v>
      </c>
      <c r="G799" s="14">
        <f>135.7148 * CHOOSE(CONTROL!$C$9, $D$9, 100%, $F$9) + CHOOSE(CONTROL!$C$27, 0.0021, 0)</f>
        <v>135.71690000000001</v>
      </c>
      <c r="H799" s="14">
        <f>135.5801 * CHOOSE(CONTROL!$C$9, $D$9, 100%, $F$9) + CHOOSE(CONTROL!$C$27, 0.0021, 0)</f>
        <v>135.5822</v>
      </c>
      <c r="I799" s="14">
        <f>135.5801 * CHOOSE(CONTROL!$C$9, $D$9, 100%, $F$9) + CHOOSE(CONTROL!$C$27, 0.0021, 0)</f>
        <v>135.5822</v>
      </c>
      <c r="J799" s="14">
        <f>135.5801 * CHOOSE(CONTROL!$C$9, $D$9, 100%, $F$9) + CHOOSE(CONTROL!$C$27, 0.0021, 0)</f>
        <v>135.5822</v>
      </c>
      <c r="K799" s="14">
        <f>135.5801 * CHOOSE(CONTROL!$C$9, $D$9, 100%, $F$9) + CHOOSE(CONTROL!$C$27, 0.0021, 0)</f>
        <v>135.5822</v>
      </c>
      <c r="L799" s="14"/>
    </row>
    <row r="800" spans="1:12" ht="15.75" x14ac:dyDescent="0.25">
      <c r="A800" s="32">
        <v>65288</v>
      </c>
      <c r="B800" s="14">
        <f>131.5677 * CHOOSE(CONTROL!$C$9, $D$9, 100%, $F$9) + CHOOSE(CONTROL!$C$27, 0.0021, 0)</f>
        <v>131.56980000000001</v>
      </c>
      <c r="C800" s="14">
        <f>131.1355 * CHOOSE(CONTROL!$C$9, $D$9, 100%, $F$9) + CHOOSE(CONTROL!$C$27, 0.0021, 0)</f>
        <v>131.13760000000002</v>
      </c>
      <c r="D800" s="14">
        <f>131.1355 * CHOOSE(CONTROL!$C$9, $D$9, 100%, $F$9) + CHOOSE(CONTROL!$C$27, 0.0021, 0)</f>
        <v>131.13760000000002</v>
      </c>
      <c r="E800" s="14">
        <f>130.9988 * CHOOSE(CONTROL!$C$9, $D$9, 100%, $F$9) + CHOOSE(CONTROL!$C$27, 0.0021, 0)</f>
        <v>131.0009</v>
      </c>
      <c r="F800" s="14">
        <f>130.9988 * CHOOSE(CONTROL!$C$9, $D$9, 100%, $F$9) + CHOOSE(CONTROL!$C$27, 0.0021, 0)</f>
        <v>131.0009</v>
      </c>
      <c r="G800" s="14">
        <f>131.2702 * CHOOSE(CONTROL!$C$9, $D$9, 100%, $F$9) + CHOOSE(CONTROL!$C$27, 0.0021, 0)</f>
        <v>131.2723</v>
      </c>
      <c r="H800" s="14">
        <f>131.1355 * CHOOSE(CONTROL!$C$9, $D$9, 100%, $F$9) + CHOOSE(CONTROL!$C$27, 0.0021, 0)</f>
        <v>131.13760000000002</v>
      </c>
      <c r="I800" s="14">
        <f>131.1355 * CHOOSE(CONTROL!$C$9, $D$9, 100%, $F$9) + CHOOSE(CONTROL!$C$27, 0.0021, 0)</f>
        <v>131.13760000000002</v>
      </c>
      <c r="J800" s="14">
        <f>131.1355 * CHOOSE(CONTROL!$C$9, $D$9, 100%, $F$9) + CHOOSE(CONTROL!$C$27, 0.0021, 0)</f>
        <v>131.13760000000002</v>
      </c>
      <c r="K800" s="14">
        <f>131.1355 * CHOOSE(CONTROL!$C$9, $D$9, 100%, $F$9) + CHOOSE(CONTROL!$C$27, 0.0021, 0)</f>
        <v>131.13760000000002</v>
      </c>
      <c r="L800" s="14"/>
    </row>
    <row r="801" spans="1:12" ht="15.75" x14ac:dyDescent="0.25">
      <c r="A801" s="32">
        <v>65319</v>
      </c>
      <c r="B801" s="14">
        <f>127.0973 * CHOOSE(CONTROL!$C$9, $D$9, 100%, $F$9) + CHOOSE(CONTROL!$C$27, 0.0021, 0)</f>
        <v>127.0994</v>
      </c>
      <c r="C801" s="14">
        <f>126.665 * CHOOSE(CONTROL!$C$9, $D$9, 100%, $F$9) + CHOOSE(CONTROL!$C$27, 0.0021, 0)</f>
        <v>126.6671</v>
      </c>
      <c r="D801" s="14">
        <f>126.665 * CHOOSE(CONTROL!$C$9, $D$9, 100%, $F$9) + CHOOSE(CONTROL!$C$27, 0.0021, 0)</f>
        <v>126.6671</v>
      </c>
      <c r="E801" s="14">
        <f>126.5284 * CHOOSE(CONTROL!$C$9, $D$9, 100%, $F$9) + CHOOSE(CONTROL!$C$27, 0.0021, 0)</f>
        <v>126.5305</v>
      </c>
      <c r="F801" s="14">
        <f>126.5284 * CHOOSE(CONTROL!$C$9, $D$9, 100%, $F$9) + CHOOSE(CONTROL!$C$27, 0.0021, 0)</f>
        <v>126.5305</v>
      </c>
      <c r="G801" s="14">
        <f>126.7997 * CHOOSE(CONTROL!$C$9, $D$9, 100%, $F$9) + CHOOSE(CONTROL!$C$27, 0.0021, 0)</f>
        <v>126.8018</v>
      </c>
      <c r="H801" s="14">
        <f>126.665 * CHOOSE(CONTROL!$C$9, $D$9, 100%, $F$9) + CHOOSE(CONTROL!$C$27, 0.0021, 0)</f>
        <v>126.6671</v>
      </c>
      <c r="I801" s="14">
        <f>126.665 * CHOOSE(CONTROL!$C$9, $D$9, 100%, $F$9) + CHOOSE(CONTROL!$C$27, 0.0021, 0)</f>
        <v>126.6671</v>
      </c>
      <c r="J801" s="14">
        <f>126.665 * CHOOSE(CONTROL!$C$9, $D$9, 100%, $F$9) + CHOOSE(CONTROL!$C$27, 0.0021, 0)</f>
        <v>126.6671</v>
      </c>
      <c r="K801" s="14">
        <f>126.665 * CHOOSE(CONTROL!$C$9, $D$9, 100%, $F$9) + CHOOSE(CONTROL!$C$27, 0.0021, 0)</f>
        <v>126.6671</v>
      </c>
      <c r="L801" s="14"/>
    </row>
    <row r="802" spans="1:12" ht="15.75" x14ac:dyDescent="0.25">
      <c r="A802" s="32">
        <v>65349</v>
      </c>
      <c r="B802" s="14">
        <f>126.208 * CHOOSE(CONTROL!$C$9, $D$9, 100%, $F$9) + CHOOSE(CONTROL!$C$27, 0.0021, 0)</f>
        <v>126.2101</v>
      </c>
      <c r="C802" s="14">
        <f>125.7758 * CHOOSE(CONTROL!$C$9, $D$9, 100%, $F$9) + CHOOSE(CONTROL!$C$27, 0.0021, 0)</f>
        <v>125.7779</v>
      </c>
      <c r="D802" s="14">
        <f>125.7758 * CHOOSE(CONTROL!$C$9, $D$9, 100%, $F$9) + CHOOSE(CONTROL!$C$27, 0.0021, 0)</f>
        <v>125.7779</v>
      </c>
      <c r="E802" s="14">
        <f>125.6391 * CHOOSE(CONTROL!$C$9, $D$9, 100%, $F$9) + CHOOSE(CONTROL!$C$27, 0.0021, 0)</f>
        <v>125.6412</v>
      </c>
      <c r="F802" s="14">
        <f>125.6391 * CHOOSE(CONTROL!$C$9, $D$9, 100%, $F$9) + CHOOSE(CONTROL!$C$27, 0.0021, 0)</f>
        <v>125.6412</v>
      </c>
      <c r="G802" s="14">
        <f>125.9105 * CHOOSE(CONTROL!$C$9, $D$9, 100%, $F$9) + CHOOSE(CONTROL!$C$27, 0.0021, 0)</f>
        <v>125.9126</v>
      </c>
      <c r="H802" s="14">
        <f>125.7758 * CHOOSE(CONTROL!$C$9, $D$9, 100%, $F$9) + CHOOSE(CONTROL!$C$27, 0.0021, 0)</f>
        <v>125.7779</v>
      </c>
      <c r="I802" s="14">
        <f>125.7758 * CHOOSE(CONTROL!$C$9, $D$9, 100%, $F$9) + CHOOSE(CONTROL!$C$27, 0.0021, 0)</f>
        <v>125.7779</v>
      </c>
      <c r="J802" s="14">
        <f>125.7758 * CHOOSE(CONTROL!$C$9, $D$9, 100%, $F$9) + CHOOSE(CONTROL!$C$27, 0.0021, 0)</f>
        <v>125.7779</v>
      </c>
      <c r="K802" s="14">
        <f>125.7758 * CHOOSE(CONTROL!$C$9, $D$9, 100%, $F$9) + CHOOSE(CONTROL!$C$27, 0.0021, 0)</f>
        <v>125.7779</v>
      </c>
      <c r="L802" s="14"/>
    </row>
    <row r="803" spans="1:12" ht="15.75" x14ac:dyDescent="0.25">
      <c r="A803" s="32">
        <v>65380</v>
      </c>
      <c r="B803" s="14">
        <f>122.5308 * CHOOSE(CONTROL!$C$9, $D$9, 100%, $F$9) + CHOOSE(CONTROL!$C$27, 0.0021, 0)</f>
        <v>122.5329</v>
      </c>
      <c r="C803" s="14">
        <f>122.0986 * CHOOSE(CONTROL!$C$9, $D$9, 100%, $F$9) + CHOOSE(CONTROL!$C$27, 0.0021, 0)</f>
        <v>122.1007</v>
      </c>
      <c r="D803" s="14">
        <f>122.0986 * CHOOSE(CONTROL!$C$9, $D$9, 100%, $F$9) + CHOOSE(CONTROL!$C$27, 0.0021, 0)</f>
        <v>122.1007</v>
      </c>
      <c r="E803" s="14">
        <f>121.9619 * CHOOSE(CONTROL!$C$9, $D$9, 100%, $F$9) + CHOOSE(CONTROL!$C$27, 0.0021, 0)</f>
        <v>121.964</v>
      </c>
      <c r="F803" s="14">
        <f>121.9619 * CHOOSE(CONTROL!$C$9, $D$9, 100%, $F$9) + CHOOSE(CONTROL!$C$27, 0.0021, 0)</f>
        <v>121.964</v>
      </c>
      <c r="G803" s="14">
        <f>122.2333 * CHOOSE(CONTROL!$C$9, $D$9, 100%, $F$9) + CHOOSE(CONTROL!$C$27, 0.0021, 0)</f>
        <v>122.2354</v>
      </c>
      <c r="H803" s="14">
        <f>122.0986 * CHOOSE(CONTROL!$C$9, $D$9, 100%, $F$9) + CHOOSE(CONTROL!$C$27, 0.0021, 0)</f>
        <v>122.1007</v>
      </c>
      <c r="I803" s="14">
        <f>122.0986 * CHOOSE(CONTROL!$C$9, $D$9, 100%, $F$9) + CHOOSE(CONTROL!$C$27, 0.0021, 0)</f>
        <v>122.1007</v>
      </c>
      <c r="J803" s="14">
        <f>122.0986 * CHOOSE(CONTROL!$C$9, $D$9, 100%, $F$9) + CHOOSE(CONTROL!$C$27, 0.0021, 0)</f>
        <v>122.1007</v>
      </c>
      <c r="K803" s="14">
        <f>122.0986 * CHOOSE(CONTROL!$C$9, $D$9, 100%, $F$9) + CHOOSE(CONTROL!$C$27, 0.0021, 0)</f>
        <v>122.1007</v>
      </c>
      <c r="L803" s="14"/>
    </row>
    <row r="804" spans="1:12" ht="15.75" x14ac:dyDescent="0.25">
      <c r="A804" s="32">
        <v>65411</v>
      </c>
      <c r="B804" s="14">
        <f>121.8149 * CHOOSE(CONTROL!$C$9, $D$9, 100%, $F$9) + CHOOSE(CONTROL!$C$27, 0.0021, 0)</f>
        <v>121.81699999999999</v>
      </c>
      <c r="C804" s="14">
        <f>121.3826 * CHOOSE(CONTROL!$C$9, $D$9, 100%, $F$9) + CHOOSE(CONTROL!$C$27, 0.0021, 0)</f>
        <v>121.3847</v>
      </c>
      <c r="D804" s="14">
        <f>121.3826 * CHOOSE(CONTROL!$C$9, $D$9, 100%, $F$9) + CHOOSE(CONTROL!$C$27, 0.0021, 0)</f>
        <v>121.3847</v>
      </c>
      <c r="E804" s="14">
        <f>121.246 * CHOOSE(CONTROL!$C$9, $D$9, 100%, $F$9) + CHOOSE(CONTROL!$C$27, 0.0021, 0)</f>
        <v>121.24809999999999</v>
      </c>
      <c r="F804" s="14">
        <f>121.246 * CHOOSE(CONTROL!$C$9, $D$9, 100%, $F$9) + CHOOSE(CONTROL!$C$27, 0.0021, 0)</f>
        <v>121.24809999999999</v>
      </c>
      <c r="G804" s="14">
        <f>121.5174 * CHOOSE(CONTROL!$C$9, $D$9, 100%, $F$9) + CHOOSE(CONTROL!$C$27, 0.0021, 0)</f>
        <v>121.51949999999999</v>
      </c>
      <c r="H804" s="14">
        <f>121.3826 * CHOOSE(CONTROL!$C$9, $D$9, 100%, $F$9) + CHOOSE(CONTROL!$C$27, 0.0021, 0)</f>
        <v>121.3847</v>
      </c>
      <c r="I804" s="14">
        <f>121.3826 * CHOOSE(CONTROL!$C$9, $D$9, 100%, $F$9) + CHOOSE(CONTROL!$C$27, 0.0021, 0)</f>
        <v>121.3847</v>
      </c>
      <c r="J804" s="14">
        <f>121.3826 * CHOOSE(CONTROL!$C$9, $D$9, 100%, $F$9) + CHOOSE(CONTROL!$C$27, 0.0021, 0)</f>
        <v>121.3847</v>
      </c>
      <c r="K804" s="14">
        <f>121.3826 * CHOOSE(CONTROL!$C$9, $D$9, 100%, $F$9) + CHOOSE(CONTROL!$C$27, 0.0021, 0)</f>
        <v>121.3847</v>
      </c>
      <c r="L804" s="14"/>
    </row>
    <row r="805" spans="1:12" ht="15.75" x14ac:dyDescent="0.25">
      <c r="A805" s="32">
        <v>65439</v>
      </c>
      <c r="B805" s="14">
        <f>121.4827 * CHOOSE(CONTROL!$C$9, $D$9, 100%, $F$9) + CHOOSE(CONTROL!$C$27, 0.0021, 0)</f>
        <v>121.48479999999999</v>
      </c>
      <c r="C805" s="14">
        <f>121.0504 * CHOOSE(CONTROL!$C$9, $D$9, 100%, $F$9) + CHOOSE(CONTROL!$C$27, 0.0021, 0)</f>
        <v>121.05249999999999</v>
      </c>
      <c r="D805" s="14">
        <f>121.0504 * CHOOSE(CONTROL!$C$9, $D$9, 100%, $F$9) + CHOOSE(CONTROL!$C$27, 0.0021, 0)</f>
        <v>121.05249999999999</v>
      </c>
      <c r="E805" s="14">
        <f>120.9137 * CHOOSE(CONTROL!$C$9, $D$9, 100%, $F$9) + CHOOSE(CONTROL!$C$27, 0.0021, 0)</f>
        <v>120.9158</v>
      </c>
      <c r="F805" s="14">
        <f>120.9137 * CHOOSE(CONTROL!$C$9, $D$9, 100%, $F$9) + CHOOSE(CONTROL!$C$27, 0.0021, 0)</f>
        <v>120.9158</v>
      </c>
      <c r="G805" s="14">
        <f>121.1851 * CHOOSE(CONTROL!$C$9, $D$9, 100%, $F$9) + CHOOSE(CONTROL!$C$27, 0.0021, 0)</f>
        <v>121.1872</v>
      </c>
      <c r="H805" s="14">
        <f>121.0504 * CHOOSE(CONTROL!$C$9, $D$9, 100%, $F$9) + CHOOSE(CONTROL!$C$27, 0.0021, 0)</f>
        <v>121.05249999999999</v>
      </c>
      <c r="I805" s="14">
        <f>121.0504 * CHOOSE(CONTROL!$C$9, $D$9, 100%, $F$9) + CHOOSE(CONTROL!$C$27, 0.0021, 0)</f>
        <v>121.05249999999999</v>
      </c>
      <c r="J805" s="14">
        <f>121.0504 * CHOOSE(CONTROL!$C$9, $D$9, 100%, $F$9) + CHOOSE(CONTROL!$C$27, 0.0021, 0)</f>
        <v>121.05249999999999</v>
      </c>
      <c r="K805" s="14">
        <f>121.0504 * CHOOSE(CONTROL!$C$9, $D$9, 100%, $F$9) + CHOOSE(CONTROL!$C$27, 0.0021, 0)</f>
        <v>121.05249999999999</v>
      </c>
      <c r="L805" s="14"/>
    </row>
    <row r="806" spans="1:12" ht="15.75" x14ac:dyDescent="0.25">
      <c r="A806" s="32">
        <v>65470</v>
      </c>
      <c r="B806" s="14">
        <f>127.7647 * CHOOSE(CONTROL!$C$9, $D$9, 100%, $F$9) + CHOOSE(CONTROL!$C$27, 0.0021, 0)</f>
        <v>127.7668</v>
      </c>
      <c r="C806" s="14">
        <f>127.3324 * CHOOSE(CONTROL!$C$9, $D$9, 100%, $F$9) + CHOOSE(CONTROL!$C$27, 0.0021, 0)</f>
        <v>127.33450000000001</v>
      </c>
      <c r="D806" s="14">
        <f>127.3324 * CHOOSE(CONTROL!$C$9, $D$9, 100%, $F$9) + CHOOSE(CONTROL!$C$27, 0.0021, 0)</f>
        <v>127.33450000000001</v>
      </c>
      <c r="E806" s="14">
        <f>127.1958 * CHOOSE(CONTROL!$C$9, $D$9, 100%, $F$9) + CHOOSE(CONTROL!$C$27, 0.0021, 0)</f>
        <v>127.1979</v>
      </c>
      <c r="F806" s="14">
        <f>127.1958 * CHOOSE(CONTROL!$C$9, $D$9, 100%, $F$9) + CHOOSE(CONTROL!$C$27, 0.0021, 0)</f>
        <v>127.1979</v>
      </c>
      <c r="G806" s="14">
        <f>127.4671 * CHOOSE(CONTROL!$C$9, $D$9, 100%, $F$9) + CHOOSE(CONTROL!$C$27, 0.0021, 0)</f>
        <v>127.4692</v>
      </c>
      <c r="H806" s="14">
        <f>127.3324 * CHOOSE(CONTROL!$C$9, $D$9, 100%, $F$9) + CHOOSE(CONTROL!$C$27, 0.0021, 0)</f>
        <v>127.33450000000001</v>
      </c>
      <c r="I806" s="14">
        <f>127.3324 * CHOOSE(CONTROL!$C$9, $D$9, 100%, $F$9) + CHOOSE(CONTROL!$C$27, 0.0021, 0)</f>
        <v>127.33450000000001</v>
      </c>
      <c r="J806" s="14">
        <f>127.3324 * CHOOSE(CONTROL!$C$9, $D$9, 100%, $F$9) + CHOOSE(CONTROL!$C$27, 0.0021, 0)</f>
        <v>127.33450000000001</v>
      </c>
      <c r="K806" s="14">
        <f>127.3324 * CHOOSE(CONTROL!$C$9, $D$9, 100%, $F$9) + CHOOSE(CONTROL!$C$27, 0.0021, 0)</f>
        <v>127.33450000000001</v>
      </c>
      <c r="L806" s="14"/>
    </row>
    <row r="807" spans="1:12" ht="15.75" x14ac:dyDescent="0.25">
      <c r="A807" s="32">
        <v>65500</v>
      </c>
      <c r="B807" s="14">
        <f>135.9109 * CHOOSE(CONTROL!$C$9, $D$9, 100%, $F$9) + CHOOSE(CONTROL!$C$27, 0.0021, 0)</f>
        <v>135.91300000000001</v>
      </c>
      <c r="C807" s="14">
        <f>135.4787 * CHOOSE(CONTROL!$C$9, $D$9, 100%, $F$9) + CHOOSE(CONTROL!$C$27, 0.0021, 0)</f>
        <v>135.48080000000002</v>
      </c>
      <c r="D807" s="14">
        <f>135.4787 * CHOOSE(CONTROL!$C$9, $D$9, 100%, $F$9) + CHOOSE(CONTROL!$C$27, 0.0021, 0)</f>
        <v>135.48080000000002</v>
      </c>
      <c r="E807" s="14">
        <f>135.342 * CHOOSE(CONTROL!$C$9, $D$9, 100%, $F$9) + CHOOSE(CONTROL!$C$27, 0.0021, 0)</f>
        <v>135.34410000000003</v>
      </c>
      <c r="F807" s="14">
        <f>135.342 * CHOOSE(CONTROL!$C$9, $D$9, 100%, $F$9) + CHOOSE(CONTROL!$C$27, 0.0021, 0)</f>
        <v>135.34410000000003</v>
      </c>
      <c r="G807" s="14">
        <f>135.6134 * CHOOSE(CONTROL!$C$9, $D$9, 100%, $F$9) + CHOOSE(CONTROL!$C$27, 0.0021, 0)</f>
        <v>135.61550000000003</v>
      </c>
      <c r="H807" s="14">
        <f>135.4787 * CHOOSE(CONTROL!$C$9, $D$9, 100%, $F$9) + CHOOSE(CONTROL!$C$27, 0.0021, 0)</f>
        <v>135.48080000000002</v>
      </c>
      <c r="I807" s="14">
        <f>135.4787 * CHOOSE(CONTROL!$C$9, $D$9, 100%, $F$9) + CHOOSE(CONTROL!$C$27, 0.0021, 0)</f>
        <v>135.48080000000002</v>
      </c>
      <c r="J807" s="14">
        <f>135.4787 * CHOOSE(CONTROL!$C$9, $D$9, 100%, $F$9) + CHOOSE(CONTROL!$C$27, 0.0021, 0)</f>
        <v>135.48080000000002</v>
      </c>
      <c r="K807" s="14">
        <f>135.4787 * CHOOSE(CONTROL!$C$9, $D$9, 100%, $F$9) + CHOOSE(CONTROL!$C$27, 0.0021, 0)</f>
        <v>135.48080000000002</v>
      </c>
      <c r="L807" s="14"/>
    </row>
    <row r="808" spans="1:12" ht="15.75" x14ac:dyDescent="0.25">
      <c r="A808" s="32">
        <v>65531</v>
      </c>
      <c r="B808" s="14">
        <f>140.3949 * CHOOSE(CONTROL!$C$9, $D$9, 100%, $F$9) + CHOOSE(CONTROL!$C$27, 0.0021, 0)</f>
        <v>140.39700000000002</v>
      </c>
      <c r="C808" s="14">
        <f>139.9627 * CHOOSE(CONTROL!$C$9, $D$9, 100%, $F$9) + CHOOSE(CONTROL!$C$27, 0.0021, 0)</f>
        <v>139.96480000000003</v>
      </c>
      <c r="D808" s="14">
        <f>139.9627 * CHOOSE(CONTROL!$C$9, $D$9, 100%, $F$9) + CHOOSE(CONTROL!$C$27, 0.0021, 0)</f>
        <v>139.96480000000003</v>
      </c>
      <c r="E808" s="14">
        <f>139.826 * CHOOSE(CONTROL!$C$9, $D$9, 100%, $F$9) + CHOOSE(CONTROL!$C$27, 0.0021, 0)</f>
        <v>139.82810000000001</v>
      </c>
      <c r="F808" s="14">
        <f>139.826 * CHOOSE(CONTROL!$C$9, $D$9, 100%, $F$9) + CHOOSE(CONTROL!$C$27, 0.0021, 0)</f>
        <v>139.82810000000001</v>
      </c>
      <c r="G808" s="14">
        <f>140.0974 * CHOOSE(CONTROL!$C$9, $D$9, 100%, $F$9) + CHOOSE(CONTROL!$C$27, 0.0021, 0)</f>
        <v>140.09950000000001</v>
      </c>
      <c r="H808" s="14">
        <f>139.9627 * CHOOSE(CONTROL!$C$9, $D$9, 100%, $F$9) + CHOOSE(CONTROL!$C$27, 0.0021, 0)</f>
        <v>139.96480000000003</v>
      </c>
      <c r="I808" s="14">
        <f>139.9627 * CHOOSE(CONTROL!$C$9, $D$9, 100%, $F$9) + CHOOSE(CONTROL!$C$27, 0.0021, 0)</f>
        <v>139.96480000000003</v>
      </c>
      <c r="J808" s="14">
        <f>139.9627 * CHOOSE(CONTROL!$C$9, $D$9, 100%, $F$9) + CHOOSE(CONTROL!$C$27, 0.0021, 0)</f>
        <v>139.96480000000003</v>
      </c>
      <c r="K808" s="14">
        <f>139.9627 * CHOOSE(CONTROL!$C$9, $D$9, 100%, $F$9) + CHOOSE(CONTROL!$C$27, 0.0021, 0)</f>
        <v>139.96480000000003</v>
      </c>
      <c r="L808" s="14"/>
    </row>
    <row r="809" spans="1:12" ht="15.75" x14ac:dyDescent="0.25">
      <c r="A809" s="32">
        <v>65561</v>
      </c>
      <c r="B809" s="14">
        <f>142.3848 * CHOOSE(CONTROL!$C$9, $D$9, 100%, $F$9) + CHOOSE(CONTROL!$C$27, 0.0021, 0)</f>
        <v>142.38690000000003</v>
      </c>
      <c r="C809" s="14">
        <f>141.9526 * CHOOSE(CONTROL!$C$9, $D$9, 100%, $F$9) + CHOOSE(CONTROL!$C$27, 0.0021, 0)</f>
        <v>141.9547</v>
      </c>
      <c r="D809" s="14">
        <f>141.9526 * CHOOSE(CONTROL!$C$9, $D$9, 100%, $F$9) + CHOOSE(CONTROL!$C$27, 0.0021, 0)</f>
        <v>141.9547</v>
      </c>
      <c r="E809" s="14">
        <f>141.8159 * CHOOSE(CONTROL!$C$9, $D$9, 100%, $F$9) + CHOOSE(CONTROL!$C$27, 0.0021, 0)</f>
        <v>141.81800000000001</v>
      </c>
      <c r="F809" s="14">
        <f>141.8159 * CHOOSE(CONTROL!$C$9, $D$9, 100%, $F$9) + CHOOSE(CONTROL!$C$27, 0.0021, 0)</f>
        <v>141.81800000000001</v>
      </c>
      <c r="G809" s="14">
        <f>142.0873 * CHOOSE(CONTROL!$C$9, $D$9, 100%, $F$9) + CHOOSE(CONTROL!$C$27, 0.0021, 0)</f>
        <v>142.08940000000001</v>
      </c>
      <c r="H809" s="14">
        <f>141.9526 * CHOOSE(CONTROL!$C$9, $D$9, 100%, $F$9) + CHOOSE(CONTROL!$C$27, 0.0021, 0)</f>
        <v>141.9547</v>
      </c>
      <c r="I809" s="14">
        <f>141.9526 * CHOOSE(CONTROL!$C$9, $D$9, 100%, $F$9) + CHOOSE(CONTROL!$C$27, 0.0021, 0)</f>
        <v>141.9547</v>
      </c>
      <c r="J809" s="14">
        <f>141.9526 * CHOOSE(CONTROL!$C$9, $D$9, 100%, $F$9) + CHOOSE(CONTROL!$C$27, 0.0021, 0)</f>
        <v>141.9547</v>
      </c>
      <c r="K809" s="14">
        <f>141.9526 * CHOOSE(CONTROL!$C$9, $D$9, 100%, $F$9) + CHOOSE(CONTROL!$C$27, 0.0021, 0)</f>
        <v>141.9547</v>
      </c>
      <c r="L809" s="14"/>
    </row>
    <row r="810" spans="1:12" ht="15.75" x14ac:dyDescent="0.25">
      <c r="A810" s="32">
        <v>65592</v>
      </c>
      <c r="B810" s="14">
        <f>141.7297 * CHOOSE(CONTROL!$C$9, $D$9, 100%, $F$9) + CHOOSE(CONTROL!$C$27, 0.0021, 0)</f>
        <v>141.73180000000002</v>
      </c>
      <c r="C810" s="14">
        <f>141.2974 * CHOOSE(CONTROL!$C$9, $D$9, 100%, $F$9) + CHOOSE(CONTROL!$C$27, 0.0021, 0)</f>
        <v>141.29950000000002</v>
      </c>
      <c r="D810" s="14">
        <f>141.2974 * CHOOSE(CONTROL!$C$9, $D$9, 100%, $F$9) + CHOOSE(CONTROL!$C$27, 0.0021, 0)</f>
        <v>141.29950000000002</v>
      </c>
      <c r="E810" s="14">
        <f>141.1608 * CHOOSE(CONTROL!$C$9, $D$9, 100%, $F$9) + CHOOSE(CONTROL!$C$27, 0.0021, 0)</f>
        <v>141.16290000000001</v>
      </c>
      <c r="F810" s="14">
        <f>141.1608 * CHOOSE(CONTROL!$C$9, $D$9, 100%, $F$9) + CHOOSE(CONTROL!$C$27, 0.0021, 0)</f>
        <v>141.16290000000001</v>
      </c>
      <c r="G810" s="14">
        <f>141.4321 * CHOOSE(CONTROL!$C$9, $D$9, 100%, $F$9) + CHOOSE(CONTROL!$C$27, 0.0021, 0)</f>
        <v>141.4342</v>
      </c>
      <c r="H810" s="14">
        <f>141.2974 * CHOOSE(CONTROL!$C$9, $D$9, 100%, $F$9) + CHOOSE(CONTROL!$C$27, 0.0021, 0)</f>
        <v>141.29950000000002</v>
      </c>
      <c r="I810" s="14">
        <f>141.2974 * CHOOSE(CONTROL!$C$9, $D$9, 100%, $F$9) + CHOOSE(CONTROL!$C$27, 0.0021, 0)</f>
        <v>141.29950000000002</v>
      </c>
      <c r="J810" s="14">
        <f>141.2974 * CHOOSE(CONTROL!$C$9, $D$9, 100%, $F$9) + CHOOSE(CONTROL!$C$27, 0.0021, 0)</f>
        <v>141.29950000000002</v>
      </c>
      <c r="K810" s="14">
        <f>141.2974 * CHOOSE(CONTROL!$C$9, $D$9, 100%, $F$9) + CHOOSE(CONTROL!$C$27, 0.0021, 0)</f>
        <v>141.29950000000002</v>
      </c>
      <c r="L810" s="14"/>
    </row>
    <row r="811" spans="1:12" ht="15.75" x14ac:dyDescent="0.25">
      <c r="A811" s="32">
        <v>65623</v>
      </c>
      <c r="B811" s="14">
        <f>138.4836 * CHOOSE(CONTROL!$C$9, $D$9, 100%, $F$9) + CHOOSE(CONTROL!$C$27, 0.0021, 0)</f>
        <v>138.48570000000001</v>
      </c>
      <c r="C811" s="14">
        <f>138.0514 * CHOOSE(CONTROL!$C$9, $D$9, 100%, $F$9) + CHOOSE(CONTROL!$C$27, 0.0021, 0)</f>
        <v>138.05350000000001</v>
      </c>
      <c r="D811" s="14">
        <f>138.0514 * CHOOSE(CONTROL!$C$9, $D$9, 100%, $F$9) + CHOOSE(CONTROL!$C$27, 0.0021, 0)</f>
        <v>138.05350000000001</v>
      </c>
      <c r="E811" s="14">
        <f>137.9147 * CHOOSE(CONTROL!$C$9, $D$9, 100%, $F$9) + CHOOSE(CONTROL!$C$27, 0.0021, 0)</f>
        <v>137.91680000000002</v>
      </c>
      <c r="F811" s="14">
        <f>137.9147 * CHOOSE(CONTROL!$C$9, $D$9, 100%, $F$9) + CHOOSE(CONTROL!$C$27, 0.0021, 0)</f>
        <v>137.91680000000002</v>
      </c>
      <c r="G811" s="14">
        <f>138.1861 * CHOOSE(CONTROL!$C$9, $D$9, 100%, $F$9) + CHOOSE(CONTROL!$C$27, 0.0021, 0)</f>
        <v>138.18820000000002</v>
      </c>
      <c r="H811" s="14">
        <f>138.0514 * CHOOSE(CONTROL!$C$9, $D$9, 100%, $F$9) + CHOOSE(CONTROL!$C$27, 0.0021, 0)</f>
        <v>138.05350000000001</v>
      </c>
      <c r="I811" s="14">
        <f>138.0514 * CHOOSE(CONTROL!$C$9, $D$9, 100%, $F$9) + CHOOSE(CONTROL!$C$27, 0.0021, 0)</f>
        <v>138.05350000000001</v>
      </c>
      <c r="J811" s="14">
        <f>138.0514 * CHOOSE(CONTROL!$C$9, $D$9, 100%, $F$9) + CHOOSE(CONTROL!$C$27, 0.0021, 0)</f>
        <v>138.05350000000001</v>
      </c>
      <c r="K811" s="14">
        <f>138.0514 * CHOOSE(CONTROL!$C$9, $D$9, 100%, $F$9) + CHOOSE(CONTROL!$C$27, 0.0021, 0)</f>
        <v>138.05350000000001</v>
      </c>
      <c r="L811" s="14"/>
    </row>
    <row r="812" spans="1:12" ht="15.75" x14ac:dyDescent="0.25">
      <c r="A812" s="32">
        <v>65653</v>
      </c>
      <c r="B812" s="14">
        <f>133.9569 * CHOOSE(CONTROL!$C$9, $D$9, 100%, $F$9) + CHOOSE(CONTROL!$C$27, 0.0021, 0)</f>
        <v>133.959</v>
      </c>
      <c r="C812" s="14">
        <f>133.5246 * CHOOSE(CONTROL!$C$9, $D$9, 100%, $F$9) + CHOOSE(CONTROL!$C$27, 0.0021, 0)</f>
        <v>133.52670000000001</v>
      </c>
      <c r="D812" s="14">
        <f>133.5246 * CHOOSE(CONTROL!$C$9, $D$9, 100%, $F$9) + CHOOSE(CONTROL!$C$27, 0.0021, 0)</f>
        <v>133.52670000000001</v>
      </c>
      <c r="E812" s="14">
        <f>133.3879 * CHOOSE(CONTROL!$C$9, $D$9, 100%, $F$9) + CHOOSE(CONTROL!$C$27, 0.0021, 0)</f>
        <v>133.39000000000001</v>
      </c>
      <c r="F812" s="14">
        <f>133.3879 * CHOOSE(CONTROL!$C$9, $D$9, 100%, $F$9) + CHOOSE(CONTROL!$C$27, 0.0021, 0)</f>
        <v>133.39000000000001</v>
      </c>
      <c r="G812" s="14">
        <f>133.6593 * CHOOSE(CONTROL!$C$9, $D$9, 100%, $F$9) + CHOOSE(CONTROL!$C$27, 0.0021, 0)</f>
        <v>133.66140000000001</v>
      </c>
      <c r="H812" s="14">
        <f>133.5246 * CHOOSE(CONTROL!$C$9, $D$9, 100%, $F$9) + CHOOSE(CONTROL!$C$27, 0.0021, 0)</f>
        <v>133.52670000000001</v>
      </c>
      <c r="I812" s="14">
        <f>133.5246 * CHOOSE(CONTROL!$C$9, $D$9, 100%, $F$9) + CHOOSE(CONTROL!$C$27, 0.0021, 0)</f>
        <v>133.52670000000001</v>
      </c>
      <c r="J812" s="14">
        <f>133.5246 * CHOOSE(CONTROL!$C$9, $D$9, 100%, $F$9) + CHOOSE(CONTROL!$C$27, 0.0021, 0)</f>
        <v>133.52670000000001</v>
      </c>
      <c r="K812" s="14">
        <f>133.5246 * CHOOSE(CONTROL!$C$9, $D$9, 100%, $F$9) + CHOOSE(CONTROL!$C$27, 0.0021, 0)</f>
        <v>133.52670000000001</v>
      </c>
      <c r="L812" s="14"/>
    </row>
    <row r="813" spans="1:12" ht="15.75" x14ac:dyDescent="0.25">
      <c r="A813" s="32">
        <v>65684</v>
      </c>
      <c r="B813" s="14">
        <f>129.4038 * CHOOSE(CONTROL!$C$9, $D$9, 100%, $F$9) + CHOOSE(CONTROL!$C$27, 0.0021, 0)</f>
        <v>129.4059</v>
      </c>
      <c r="C813" s="14">
        <f>128.9715 * CHOOSE(CONTROL!$C$9, $D$9, 100%, $F$9) + CHOOSE(CONTROL!$C$27, 0.0021, 0)</f>
        <v>128.9736</v>
      </c>
      <c r="D813" s="14">
        <f>128.9715 * CHOOSE(CONTROL!$C$9, $D$9, 100%, $F$9) + CHOOSE(CONTROL!$C$27, 0.0021, 0)</f>
        <v>128.9736</v>
      </c>
      <c r="E813" s="14">
        <f>128.8349 * CHOOSE(CONTROL!$C$9, $D$9, 100%, $F$9) + CHOOSE(CONTROL!$C$27, 0.0021, 0)</f>
        <v>128.83700000000002</v>
      </c>
      <c r="F813" s="14">
        <f>128.8349 * CHOOSE(CONTROL!$C$9, $D$9, 100%, $F$9) + CHOOSE(CONTROL!$C$27, 0.0021, 0)</f>
        <v>128.83700000000002</v>
      </c>
      <c r="G813" s="14">
        <f>129.1062 * CHOOSE(CONTROL!$C$9, $D$9, 100%, $F$9) + CHOOSE(CONTROL!$C$27, 0.0021, 0)</f>
        <v>129.10830000000001</v>
      </c>
      <c r="H813" s="14">
        <f>128.9715 * CHOOSE(CONTROL!$C$9, $D$9, 100%, $F$9) + CHOOSE(CONTROL!$C$27, 0.0021, 0)</f>
        <v>128.9736</v>
      </c>
      <c r="I813" s="14">
        <f>128.9715 * CHOOSE(CONTROL!$C$9, $D$9, 100%, $F$9) + CHOOSE(CONTROL!$C$27, 0.0021, 0)</f>
        <v>128.9736</v>
      </c>
      <c r="J813" s="14">
        <f>128.9715 * CHOOSE(CONTROL!$C$9, $D$9, 100%, $F$9) + CHOOSE(CONTROL!$C$27, 0.0021, 0)</f>
        <v>128.9736</v>
      </c>
      <c r="K813" s="14">
        <f>128.9715 * CHOOSE(CONTROL!$C$9, $D$9, 100%, $F$9) + CHOOSE(CONTROL!$C$27, 0.0021, 0)</f>
        <v>128.9736</v>
      </c>
      <c r="L813" s="14"/>
    </row>
    <row r="814" spans="1:12" ht="15.75" x14ac:dyDescent="0.25">
      <c r="A814" s="32">
        <v>65714</v>
      </c>
      <c r="B814" s="14">
        <f>128.4981 * CHOOSE(CONTROL!$C$9, $D$9, 100%, $F$9) + CHOOSE(CONTROL!$C$27, 0.0021, 0)</f>
        <v>128.50020000000001</v>
      </c>
      <c r="C814" s="14">
        <f>128.0658 * CHOOSE(CONTROL!$C$9, $D$9, 100%, $F$9) + CHOOSE(CONTROL!$C$27, 0.0021, 0)</f>
        <v>128.06790000000001</v>
      </c>
      <c r="D814" s="14">
        <f>128.0658 * CHOOSE(CONTROL!$C$9, $D$9, 100%, $F$9) + CHOOSE(CONTROL!$C$27, 0.0021, 0)</f>
        <v>128.06790000000001</v>
      </c>
      <c r="E814" s="14">
        <f>127.9292 * CHOOSE(CONTROL!$C$9, $D$9, 100%, $F$9) + CHOOSE(CONTROL!$C$27, 0.0021, 0)</f>
        <v>127.93129999999999</v>
      </c>
      <c r="F814" s="14">
        <f>127.9292 * CHOOSE(CONTROL!$C$9, $D$9, 100%, $F$9) + CHOOSE(CONTROL!$C$27, 0.0021, 0)</f>
        <v>127.93129999999999</v>
      </c>
      <c r="G814" s="14">
        <f>128.2005 * CHOOSE(CONTROL!$C$9, $D$9, 100%, $F$9) + CHOOSE(CONTROL!$C$27, 0.0021, 0)</f>
        <v>128.20260000000002</v>
      </c>
      <c r="H814" s="14">
        <f>128.0658 * CHOOSE(CONTROL!$C$9, $D$9, 100%, $F$9) + CHOOSE(CONTROL!$C$27, 0.0021, 0)</f>
        <v>128.06790000000001</v>
      </c>
      <c r="I814" s="14">
        <f>128.0658 * CHOOSE(CONTROL!$C$9, $D$9, 100%, $F$9) + CHOOSE(CONTROL!$C$27, 0.0021, 0)</f>
        <v>128.06790000000001</v>
      </c>
      <c r="J814" s="14">
        <f>128.0658 * CHOOSE(CONTROL!$C$9, $D$9, 100%, $F$9) + CHOOSE(CONTROL!$C$27, 0.0021, 0)</f>
        <v>128.06790000000001</v>
      </c>
      <c r="K814" s="14">
        <f>128.0658 * CHOOSE(CONTROL!$C$9, $D$9, 100%, $F$9) + CHOOSE(CONTROL!$C$27, 0.0021, 0)</f>
        <v>128.06790000000001</v>
      </c>
      <c r="L814" s="14"/>
    </row>
    <row r="815" spans="1:12" ht="15.75" x14ac:dyDescent="0.25">
      <c r="A815" s="32">
        <v>65745</v>
      </c>
      <c r="B815" s="14">
        <f>124.7529 * CHOOSE(CONTROL!$C$9, $D$9, 100%, $F$9) + CHOOSE(CONTROL!$C$27, 0.0021, 0)</f>
        <v>124.755</v>
      </c>
      <c r="C815" s="14">
        <f>124.3206 * CHOOSE(CONTROL!$C$9, $D$9, 100%, $F$9) + CHOOSE(CONTROL!$C$27, 0.0021, 0)</f>
        <v>124.3227</v>
      </c>
      <c r="D815" s="14">
        <f>124.3206 * CHOOSE(CONTROL!$C$9, $D$9, 100%, $F$9) + CHOOSE(CONTROL!$C$27, 0.0021, 0)</f>
        <v>124.3227</v>
      </c>
      <c r="E815" s="14">
        <f>124.184 * CHOOSE(CONTROL!$C$9, $D$9, 100%, $F$9) + CHOOSE(CONTROL!$C$27, 0.0021, 0)</f>
        <v>124.1861</v>
      </c>
      <c r="F815" s="14">
        <f>124.184 * CHOOSE(CONTROL!$C$9, $D$9, 100%, $F$9) + CHOOSE(CONTROL!$C$27, 0.0021, 0)</f>
        <v>124.1861</v>
      </c>
      <c r="G815" s="14">
        <f>124.4554 * CHOOSE(CONTROL!$C$9, $D$9, 100%, $F$9) + CHOOSE(CONTROL!$C$27, 0.0021, 0)</f>
        <v>124.4575</v>
      </c>
      <c r="H815" s="14">
        <f>124.3206 * CHOOSE(CONTROL!$C$9, $D$9, 100%, $F$9) + CHOOSE(CONTROL!$C$27, 0.0021, 0)</f>
        <v>124.3227</v>
      </c>
      <c r="I815" s="14">
        <f>124.3206 * CHOOSE(CONTROL!$C$9, $D$9, 100%, $F$9) + CHOOSE(CONTROL!$C$27, 0.0021, 0)</f>
        <v>124.3227</v>
      </c>
      <c r="J815" s="14">
        <f>124.3206 * CHOOSE(CONTROL!$C$9, $D$9, 100%, $F$9) + CHOOSE(CONTROL!$C$27, 0.0021, 0)</f>
        <v>124.3227</v>
      </c>
      <c r="K815" s="14">
        <f>124.3206 * CHOOSE(CONTROL!$C$9, $D$9, 100%, $F$9) + CHOOSE(CONTROL!$C$27, 0.0021, 0)</f>
        <v>124.3227</v>
      </c>
      <c r="L815" s="14"/>
    </row>
    <row r="816" spans="1:12" ht="15.75" x14ac:dyDescent="0.25">
      <c r="A816" s="32">
        <v>65776</v>
      </c>
      <c r="B816" s="14">
        <f>124.0238 * CHOOSE(CONTROL!$C$9, $D$9, 100%, $F$9) + CHOOSE(CONTROL!$C$27, 0.0021, 0)</f>
        <v>124.02589999999999</v>
      </c>
      <c r="C816" s="14">
        <f>123.5915 * CHOOSE(CONTROL!$C$9, $D$9, 100%, $F$9) + CHOOSE(CONTROL!$C$27, 0.0021, 0)</f>
        <v>123.5936</v>
      </c>
      <c r="D816" s="14">
        <f>123.5915 * CHOOSE(CONTROL!$C$9, $D$9, 100%, $F$9) + CHOOSE(CONTROL!$C$27, 0.0021, 0)</f>
        <v>123.5936</v>
      </c>
      <c r="E816" s="14">
        <f>123.4548 * CHOOSE(CONTROL!$C$9, $D$9, 100%, $F$9) + CHOOSE(CONTROL!$C$27, 0.0021, 0)</f>
        <v>123.4569</v>
      </c>
      <c r="F816" s="14">
        <f>123.4548 * CHOOSE(CONTROL!$C$9, $D$9, 100%, $F$9) + CHOOSE(CONTROL!$C$27, 0.0021, 0)</f>
        <v>123.4569</v>
      </c>
      <c r="G816" s="14">
        <f>123.7262 * CHOOSE(CONTROL!$C$9, $D$9, 100%, $F$9) + CHOOSE(CONTROL!$C$27, 0.0021, 0)</f>
        <v>123.7283</v>
      </c>
      <c r="H816" s="14">
        <f>123.5915 * CHOOSE(CONTROL!$C$9, $D$9, 100%, $F$9) + CHOOSE(CONTROL!$C$27, 0.0021, 0)</f>
        <v>123.5936</v>
      </c>
      <c r="I816" s="14">
        <f>123.5915 * CHOOSE(CONTROL!$C$9, $D$9, 100%, $F$9) + CHOOSE(CONTROL!$C$27, 0.0021, 0)</f>
        <v>123.5936</v>
      </c>
      <c r="J816" s="14">
        <f>123.5915 * CHOOSE(CONTROL!$C$9, $D$9, 100%, $F$9) + CHOOSE(CONTROL!$C$27, 0.0021, 0)</f>
        <v>123.5936</v>
      </c>
      <c r="K816" s="14">
        <f>123.5915 * CHOOSE(CONTROL!$C$9, $D$9, 100%, $F$9) + CHOOSE(CONTROL!$C$27, 0.0021, 0)</f>
        <v>123.5936</v>
      </c>
      <c r="L816" s="14"/>
    </row>
    <row r="817" spans="1:12" ht="15.75" x14ac:dyDescent="0.25">
      <c r="A817" s="32">
        <v>65805</v>
      </c>
      <c r="B817" s="14">
        <f>123.6854 * CHOOSE(CONTROL!$C$9, $D$9, 100%, $F$9) + CHOOSE(CONTROL!$C$27, 0.0021, 0)</f>
        <v>123.6875</v>
      </c>
      <c r="C817" s="14">
        <f>123.2531 * CHOOSE(CONTROL!$C$9, $D$9, 100%, $F$9) + CHOOSE(CONTROL!$C$27, 0.0021, 0)</f>
        <v>123.2552</v>
      </c>
      <c r="D817" s="14">
        <f>123.2531 * CHOOSE(CONTROL!$C$9, $D$9, 100%, $F$9) + CHOOSE(CONTROL!$C$27, 0.0021, 0)</f>
        <v>123.2552</v>
      </c>
      <c r="E817" s="14">
        <f>123.1165 * CHOOSE(CONTROL!$C$9, $D$9, 100%, $F$9) + CHOOSE(CONTROL!$C$27, 0.0021, 0)</f>
        <v>123.1186</v>
      </c>
      <c r="F817" s="14">
        <f>123.1165 * CHOOSE(CONTROL!$C$9, $D$9, 100%, $F$9) + CHOOSE(CONTROL!$C$27, 0.0021, 0)</f>
        <v>123.1186</v>
      </c>
      <c r="G817" s="14">
        <f>123.3878 * CHOOSE(CONTROL!$C$9, $D$9, 100%, $F$9) + CHOOSE(CONTROL!$C$27, 0.0021, 0)</f>
        <v>123.3899</v>
      </c>
      <c r="H817" s="14">
        <f>123.2531 * CHOOSE(CONTROL!$C$9, $D$9, 100%, $F$9) + CHOOSE(CONTROL!$C$27, 0.0021, 0)</f>
        <v>123.2552</v>
      </c>
      <c r="I817" s="14">
        <f>123.2531 * CHOOSE(CONTROL!$C$9, $D$9, 100%, $F$9) + CHOOSE(CONTROL!$C$27, 0.0021, 0)</f>
        <v>123.2552</v>
      </c>
      <c r="J817" s="14">
        <f>123.2531 * CHOOSE(CONTROL!$C$9, $D$9, 100%, $F$9) + CHOOSE(CONTROL!$C$27, 0.0021, 0)</f>
        <v>123.2552</v>
      </c>
      <c r="K817" s="14">
        <f>123.2531 * CHOOSE(CONTROL!$C$9, $D$9, 100%, $F$9) + CHOOSE(CONTROL!$C$27, 0.0021, 0)</f>
        <v>123.2552</v>
      </c>
      <c r="L817" s="14"/>
    </row>
    <row r="818" spans="1:12" ht="15.75" x14ac:dyDescent="0.25">
      <c r="A818" s="32">
        <v>65836</v>
      </c>
      <c r="B818" s="14">
        <f>130.0835 * CHOOSE(CONTROL!$C$9, $D$9, 100%, $F$9) + CHOOSE(CONTROL!$C$27, 0.0021, 0)</f>
        <v>130.0856</v>
      </c>
      <c r="C818" s="14">
        <f>129.6512 * CHOOSE(CONTROL!$C$9, $D$9, 100%, $F$9) + CHOOSE(CONTROL!$C$27, 0.0021, 0)</f>
        <v>129.6533</v>
      </c>
      <c r="D818" s="14">
        <f>129.6512 * CHOOSE(CONTROL!$C$9, $D$9, 100%, $F$9) + CHOOSE(CONTROL!$C$27, 0.0021, 0)</f>
        <v>129.6533</v>
      </c>
      <c r="E818" s="14">
        <f>129.5146 * CHOOSE(CONTROL!$C$9, $D$9, 100%, $F$9) + CHOOSE(CONTROL!$C$27, 0.0021, 0)</f>
        <v>129.51670000000001</v>
      </c>
      <c r="F818" s="14">
        <f>129.5146 * CHOOSE(CONTROL!$C$9, $D$9, 100%, $F$9) + CHOOSE(CONTROL!$C$27, 0.0021, 0)</f>
        <v>129.51670000000001</v>
      </c>
      <c r="G818" s="14">
        <f>129.786 * CHOOSE(CONTROL!$C$9, $D$9, 100%, $F$9) + CHOOSE(CONTROL!$C$27, 0.0021, 0)</f>
        <v>129.78810000000001</v>
      </c>
      <c r="H818" s="14">
        <f>129.6512 * CHOOSE(CONTROL!$C$9, $D$9, 100%, $F$9) + CHOOSE(CONTROL!$C$27, 0.0021, 0)</f>
        <v>129.6533</v>
      </c>
      <c r="I818" s="14">
        <f>129.6512 * CHOOSE(CONTROL!$C$9, $D$9, 100%, $F$9) + CHOOSE(CONTROL!$C$27, 0.0021, 0)</f>
        <v>129.6533</v>
      </c>
      <c r="J818" s="14">
        <f>129.6512 * CHOOSE(CONTROL!$C$9, $D$9, 100%, $F$9) + CHOOSE(CONTROL!$C$27, 0.0021, 0)</f>
        <v>129.6533</v>
      </c>
      <c r="K818" s="14">
        <f>129.6512 * CHOOSE(CONTROL!$C$9, $D$9, 100%, $F$9) + CHOOSE(CONTROL!$C$27, 0.0021, 0)</f>
        <v>129.6533</v>
      </c>
      <c r="L818" s="14"/>
    </row>
    <row r="819" spans="1:12" ht="15.75" x14ac:dyDescent="0.25">
      <c r="A819" s="32">
        <v>65866</v>
      </c>
      <c r="B819" s="14">
        <f>138.3803 * CHOOSE(CONTROL!$C$9, $D$9, 100%, $F$9) + CHOOSE(CONTROL!$C$27, 0.0021, 0)</f>
        <v>138.38240000000002</v>
      </c>
      <c r="C819" s="14">
        <f>137.9481 * CHOOSE(CONTROL!$C$9, $D$9, 100%, $F$9) + CHOOSE(CONTROL!$C$27, 0.0021, 0)</f>
        <v>137.95020000000002</v>
      </c>
      <c r="D819" s="14">
        <f>137.9481 * CHOOSE(CONTROL!$C$9, $D$9, 100%, $F$9) + CHOOSE(CONTROL!$C$27, 0.0021, 0)</f>
        <v>137.95020000000002</v>
      </c>
      <c r="E819" s="14">
        <f>137.8114 * CHOOSE(CONTROL!$C$9, $D$9, 100%, $F$9) + CHOOSE(CONTROL!$C$27, 0.0021, 0)</f>
        <v>137.8135</v>
      </c>
      <c r="F819" s="14">
        <f>137.8114 * CHOOSE(CONTROL!$C$9, $D$9, 100%, $F$9) + CHOOSE(CONTROL!$C$27, 0.0021, 0)</f>
        <v>137.8135</v>
      </c>
      <c r="G819" s="14">
        <f>138.0828 * CHOOSE(CONTROL!$C$9, $D$9, 100%, $F$9) + CHOOSE(CONTROL!$C$27, 0.0021, 0)</f>
        <v>138.0849</v>
      </c>
      <c r="H819" s="14">
        <f>137.9481 * CHOOSE(CONTROL!$C$9, $D$9, 100%, $F$9) + CHOOSE(CONTROL!$C$27, 0.0021, 0)</f>
        <v>137.95020000000002</v>
      </c>
      <c r="I819" s="14">
        <f>137.9481 * CHOOSE(CONTROL!$C$9, $D$9, 100%, $F$9) + CHOOSE(CONTROL!$C$27, 0.0021, 0)</f>
        <v>137.95020000000002</v>
      </c>
      <c r="J819" s="14">
        <f>137.9481 * CHOOSE(CONTROL!$C$9, $D$9, 100%, $F$9) + CHOOSE(CONTROL!$C$27, 0.0021, 0)</f>
        <v>137.95020000000002</v>
      </c>
      <c r="K819" s="14">
        <f>137.9481 * CHOOSE(CONTROL!$C$9, $D$9, 100%, $F$9) + CHOOSE(CONTROL!$C$27, 0.0021, 0)</f>
        <v>137.95020000000002</v>
      </c>
      <c r="L819" s="14"/>
    </row>
    <row r="820" spans="1:12" ht="15.75" x14ac:dyDescent="0.25">
      <c r="A820" s="32">
        <v>65897</v>
      </c>
      <c r="B820" s="14">
        <f>142.9472 * CHOOSE(CONTROL!$C$9, $D$9, 100%, $F$9) + CHOOSE(CONTROL!$C$27, 0.0021, 0)</f>
        <v>142.94930000000002</v>
      </c>
      <c r="C820" s="14">
        <f>142.5149 * CHOOSE(CONTROL!$C$9, $D$9, 100%, $F$9) + CHOOSE(CONTROL!$C$27, 0.0021, 0)</f>
        <v>142.51700000000002</v>
      </c>
      <c r="D820" s="14">
        <f>142.5149 * CHOOSE(CONTROL!$C$9, $D$9, 100%, $F$9) + CHOOSE(CONTROL!$C$27, 0.0021, 0)</f>
        <v>142.51700000000002</v>
      </c>
      <c r="E820" s="14">
        <f>142.3783 * CHOOSE(CONTROL!$C$9, $D$9, 100%, $F$9) + CHOOSE(CONTROL!$C$27, 0.0021, 0)</f>
        <v>142.38040000000001</v>
      </c>
      <c r="F820" s="14">
        <f>142.3783 * CHOOSE(CONTROL!$C$9, $D$9, 100%, $F$9) + CHOOSE(CONTROL!$C$27, 0.0021, 0)</f>
        <v>142.38040000000001</v>
      </c>
      <c r="G820" s="14">
        <f>142.6496 * CHOOSE(CONTROL!$C$9, $D$9, 100%, $F$9) + CHOOSE(CONTROL!$C$27, 0.0021, 0)</f>
        <v>142.65170000000001</v>
      </c>
      <c r="H820" s="14">
        <f>142.5149 * CHOOSE(CONTROL!$C$9, $D$9, 100%, $F$9) + CHOOSE(CONTROL!$C$27, 0.0021, 0)</f>
        <v>142.51700000000002</v>
      </c>
      <c r="I820" s="14">
        <f>142.5149 * CHOOSE(CONTROL!$C$9, $D$9, 100%, $F$9) + CHOOSE(CONTROL!$C$27, 0.0021, 0)</f>
        <v>142.51700000000002</v>
      </c>
      <c r="J820" s="14">
        <f>142.5149 * CHOOSE(CONTROL!$C$9, $D$9, 100%, $F$9) + CHOOSE(CONTROL!$C$27, 0.0021, 0)</f>
        <v>142.51700000000002</v>
      </c>
      <c r="K820" s="14">
        <f>142.5149 * CHOOSE(CONTROL!$C$9, $D$9, 100%, $F$9) + CHOOSE(CONTROL!$C$27, 0.0021, 0)</f>
        <v>142.51700000000002</v>
      </c>
      <c r="L820" s="14"/>
    </row>
    <row r="821" spans="1:12" ht="15.75" x14ac:dyDescent="0.25">
      <c r="A821" s="32">
        <v>65927</v>
      </c>
      <c r="B821" s="14">
        <f>144.9738 * CHOOSE(CONTROL!$C$9, $D$9, 100%, $F$9) + CHOOSE(CONTROL!$C$27, 0.0021, 0)</f>
        <v>144.97590000000002</v>
      </c>
      <c r="C821" s="14">
        <f>144.5416 * CHOOSE(CONTROL!$C$9, $D$9, 100%, $F$9) + CHOOSE(CONTROL!$C$27, 0.0021, 0)</f>
        <v>144.5437</v>
      </c>
      <c r="D821" s="14">
        <f>144.5416 * CHOOSE(CONTROL!$C$9, $D$9, 100%, $F$9) + CHOOSE(CONTROL!$C$27, 0.0021, 0)</f>
        <v>144.5437</v>
      </c>
      <c r="E821" s="14">
        <f>144.4049 * CHOOSE(CONTROL!$C$9, $D$9, 100%, $F$9) + CHOOSE(CONTROL!$C$27, 0.0021, 0)</f>
        <v>144.40700000000001</v>
      </c>
      <c r="F821" s="14">
        <f>144.4049 * CHOOSE(CONTROL!$C$9, $D$9, 100%, $F$9) + CHOOSE(CONTROL!$C$27, 0.0021, 0)</f>
        <v>144.40700000000001</v>
      </c>
      <c r="G821" s="14">
        <f>144.6763 * CHOOSE(CONTROL!$C$9, $D$9, 100%, $F$9) + CHOOSE(CONTROL!$C$27, 0.0021, 0)</f>
        <v>144.67840000000001</v>
      </c>
      <c r="H821" s="14">
        <f>144.5416 * CHOOSE(CONTROL!$C$9, $D$9, 100%, $F$9) + CHOOSE(CONTROL!$C$27, 0.0021, 0)</f>
        <v>144.5437</v>
      </c>
      <c r="I821" s="14">
        <f>144.5416 * CHOOSE(CONTROL!$C$9, $D$9, 100%, $F$9) + CHOOSE(CONTROL!$C$27, 0.0021, 0)</f>
        <v>144.5437</v>
      </c>
      <c r="J821" s="14">
        <f>144.5416 * CHOOSE(CONTROL!$C$9, $D$9, 100%, $F$9) + CHOOSE(CONTROL!$C$27, 0.0021, 0)</f>
        <v>144.5437</v>
      </c>
      <c r="K821" s="14">
        <f>144.5416 * CHOOSE(CONTROL!$C$9, $D$9, 100%, $F$9) + CHOOSE(CONTROL!$C$27, 0.0021, 0)</f>
        <v>144.5437</v>
      </c>
      <c r="L821" s="14"/>
    </row>
    <row r="822" spans="1:12" ht="15.75" x14ac:dyDescent="0.25">
      <c r="A822" s="32">
        <v>65958</v>
      </c>
      <c r="B822" s="14">
        <f>144.3066 * CHOOSE(CONTROL!$C$9, $D$9, 100%, $F$9) + CHOOSE(CONTROL!$C$27, 0.0021, 0)</f>
        <v>144.30870000000002</v>
      </c>
      <c r="C822" s="14">
        <f>143.8743 * CHOOSE(CONTROL!$C$9, $D$9, 100%, $F$9) + CHOOSE(CONTROL!$C$27, 0.0021, 0)</f>
        <v>143.87640000000002</v>
      </c>
      <c r="D822" s="14">
        <f>143.8743 * CHOOSE(CONTROL!$C$9, $D$9, 100%, $F$9) + CHOOSE(CONTROL!$C$27, 0.0021, 0)</f>
        <v>143.87640000000002</v>
      </c>
      <c r="E822" s="14">
        <f>143.7377 * CHOOSE(CONTROL!$C$9, $D$9, 100%, $F$9) + CHOOSE(CONTROL!$C$27, 0.0021, 0)</f>
        <v>143.7398</v>
      </c>
      <c r="F822" s="14">
        <f>143.7377 * CHOOSE(CONTROL!$C$9, $D$9, 100%, $F$9) + CHOOSE(CONTROL!$C$27, 0.0021, 0)</f>
        <v>143.7398</v>
      </c>
      <c r="G822" s="14">
        <f>144.009 * CHOOSE(CONTROL!$C$9, $D$9, 100%, $F$9) + CHOOSE(CONTROL!$C$27, 0.0021, 0)</f>
        <v>144.0111</v>
      </c>
      <c r="H822" s="14">
        <f>143.8743 * CHOOSE(CONTROL!$C$9, $D$9, 100%, $F$9) + CHOOSE(CONTROL!$C$27, 0.0021, 0)</f>
        <v>143.87640000000002</v>
      </c>
      <c r="I822" s="14">
        <f>143.8743 * CHOOSE(CONTROL!$C$9, $D$9, 100%, $F$9) + CHOOSE(CONTROL!$C$27, 0.0021, 0)</f>
        <v>143.87640000000002</v>
      </c>
      <c r="J822" s="14">
        <f>143.8743 * CHOOSE(CONTROL!$C$9, $D$9, 100%, $F$9) + CHOOSE(CONTROL!$C$27, 0.0021, 0)</f>
        <v>143.87640000000002</v>
      </c>
      <c r="K822" s="14">
        <f>143.8743 * CHOOSE(CONTROL!$C$9, $D$9, 100%, $F$9) + CHOOSE(CONTROL!$C$27, 0.0021, 0)</f>
        <v>143.87640000000002</v>
      </c>
      <c r="L822" s="14"/>
    </row>
    <row r="823" spans="1:12" ht="15.75" x14ac:dyDescent="0.25">
      <c r="A823" s="32">
        <v>65989</v>
      </c>
      <c r="B823" s="14">
        <f>141.0005 * CHOOSE(CONTROL!$C$9, $D$9, 100%, $F$9) + CHOOSE(CONTROL!$C$27, 0.0021, 0)</f>
        <v>141.0026</v>
      </c>
      <c r="C823" s="14">
        <f>140.5683 * CHOOSE(CONTROL!$C$9, $D$9, 100%, $F$9) + CHOOSE(CONTROL!$C$27, 0.0021, 0)</f>
        <v>140.57040000000001</v>
      </c>
      <c r="D823" s="14">
        <f>140.5683 * CHOOSE(CONTROL!$C$9, $D$9, 100%, $F$9) + CHOOSE(CONTROL!$C$27, 0.0021, 0)</f>
        <v>140.57040000000001</v>
      </c>
      <c r="E823" s="14">
        <f>140.4316 * CHOOSE(CONTROL!$C$9, $D$9, 100%, $F$9) + CHOOSE(CONTROL!$C$27, 0.0021, 0)</f>
        <v>140.43370000000002</v>
      </c>
      <c r="F823" s="14">
        <f>140.4316 * CHOOSE(CONTROL!$C$9, $D$9, 100%, $F$9) + CHOOSE(CONTROL!$C$27, 0.0021, 0)</f>
        <v>140.43370000000002</v>
      </c>
      <c r="G823" s="14">
        <f>140.703 * CHOOSE(CONTROL!$C$9, $D$9, 100%, $F$9) + CHOOSE(CONTROL!$C$27, 0.0021, 0)</f>
        <v>140.70510000000002</v>
      </c>
      <c r="H823" s="14">
        <f>140.5683 * CHOOSE(CONTROL!$C$9, $D$9, 100%, $F$9) + CHOOSE(CONTROL!$C$27, 0.0021, 0)</f>
        <v>140.57040000000001</v>
      </c>
      <c r="I823" s="14">
        <f>140.5683 * CHOOSE(CONTROL!$C$9, $D$9, 100%, $F$9) + CHOOSE(CONTROL!$C$27, 0.0021, 0)</f>
        <v>140.57040000000001</v>
      </c>
      <c r="J823" s="14">
        <f>140.5683 * CHOOSE(CONTROL!$C$9, $D$9, 100%, $F$9) + CHOOSE(CONTROL!$C$27, 0.0021, 0)</f>
        <v>140.57040000000001</v>
      </c>
      <c r="K823" s="14">
        <f>140.5683 * CHOOSE(CONTROL!$C$9, $D$9, 100%, $F$9) + CHOOSE(CONTROL!$C$27, 0.0021, 0)</f>
        <v>140.57040000000001</v>
      </c>
      <c r="L823" s="14"/>
    </row>
    <row r="824" spans="1:12" ht="15.75" x14ac:dyDescent="0.25">
      <c r="A824" s="32">
        <v>66019</v>
      </c>
      <c r="B824" s="14">
        <f>136.3901 * CHOOSE(CONTROL!$C$9, $D$9, 100%, $F$9) + CHOOSE(CONTROL!$C$27, 0.0021, 0)</f>
        <v>136.3922</v>
      </c>
      <c r="C824" s="14">
        <f>135.9579 * CHOOSE(CONTROL!$C$9, $D$9, 100%, $F$9) + CHOOSE(CONTROL!$C$27, 0.0021, 0)</f>
        <v>135.96</v>
      </c>
      <c r="D824" s="14">
        <f>135.9579 * CHOOSE(CONTROL!$C$9, $D$9, 100%, $F$9) + CHOOSE(CONTROL!$C$27, 0.0021, 0)</f>
        <v>135.96</v>
      </c>
      <c r="E824" s="14">
        <f>135.8212 * CHOOSE(CONTROL!$C$9, $D$9, 100%, $F$9) + CHOOSE(CONTROL!$C$27, 0.0021, 0)</f>
        <v>135.82330000000002</v>
      </c>
      <c r="F824" s="14">
        <f>135.8212 * CHOOSE(CONTROL!$C$9, $D$9, 100%, $F$9) + CHOOSE(CONTROL!$C$27, 0.0021, 0)</f>
        <v>135.82330000000002</v>
      </c>
      <c r="G824" s="14">
        <f>136.0926 * CHOOSE(CONTROL!$C$9, $D$9, 100%, $F$9) + CHOOSE(CONTROL!$C$27, 0.0021, 0)</f>
        <v>136.09470000000002</v>
      </c>
      <c r="H824" s="14">
        <f>135.9579 * CHOOSE(CONTROL!$C$9, $D$9, 100%, $F$9) + CHOOSE(CONTROL!$C$27, 0.0021, 0)</f>
        <v>135.96</v>
      </c>
      <c r="I824" s="14">
        <f>135.9579 * CHOOSE(CONTROL!$C$9, $D$9, 100%, $F$9) + CHOOSE(CONTROL!$C$27, 0.0021, 0)</f>
        <v>135.96</v>
      </c>
      <c r="J824" s="14">
        <f>135.9579 * CHOOSE(CONTROL!$C$9, $D$9, 100%, $F$9) + CHOOSE(CONTROL!$C$27, 0.0021, 0)</f>
        <v>135.96</v>
      </c>
      <c r="K824" s="14">
        <f>135.9579 * CHOOSE(CONTROL!$C$9, $D$9, 100%, $F$9) + CHOOSE(CONTROL!$C$27, 0.0021, 0)</f>
        <v>135.96</v>
      </c>
      <c r="L824" s="14"/>
    </row>
    <row r="825" spans="1:12" ht="15.75" x14ac:dyDescent="0.25">
      <c r="A825" s="32">
        <v>66050</v>
      </c>
      <c r="B825" s="14">
        <f>131.7529 * CHOOSE(CONTROL!$C$9, $D$9, 100%, $F$9) + CHOOSE(CONTROL!$C$27, 0.0021, 0)</f>
        <v>131.75500000000002</v>
      </c>
      <c r="C825" s="14">
        <f>131.3206 * CHOOSE(CONTROL!$C$9, $D$9, 100%, $F$9) + CHOOSE(CONTROL!$C$27, 0.0021, 0)</f>
        <v>131.32270000000003</v>
      </c>
      <c r="D825" s="14">
        <f>131.3206 * CHOOSE(CONTROL!$C$9, $D$9, 100%, $F$9) + CHOOSE(CONTROL!$C$27, 0.0021, 0)</f>
        <v>131.32270000000003</v>
      </c>
      <c r="E825" s="14">
        <f>131.184 * CHOOSE(CONTROL!$C$9, $D$9, 100%, $F$9) + CHOOSE(CONTROL!$C$27, 0.0021, 0)</f>
        <v>131.18610000000001</v>
      </c>
      <c r="F825" s="14">
        <f>131.184 * CHOOSE(CONTROL!$C$9, $D$9, 100%, $F$9) + CHOOSE(CONTROL!$C$27, 0.0021, 0)</f>
        <v>131.18610000000001</v>
      </c>
      <c r="G825" s="14">
        <f>131.4553 * CHOOSE(CONTROL!$C$9, $D$9, 100%, $F$9) + CHOOSE(CONTROL!$C$27, 0.0021, 0)</f>
        <v>131.45740000000001</v>
      </c>
      <c r="H825" s="14">
        <f>131.3206 * CHOOSE(CONTROL!$C$9, $D$9, 100%, $F$9) + CHOOSE(CONTROL!$C$27, 0.0021, 0)</f>
        <v>131.32270000000003</v>
      </c>
      <c r="I825" s="14">
        <f>131.3206 * CHOOSE(CONTROL!$C$9, $D$9, 100%, $F$9) + CHOOSE(CONTROL!$C$27, 0.0021, 0)</f>
        <v>131.32270000000003</v>
      </c>
      <c r="J825" s="14">
        <f>131.3206 * CHOOSE(CONTROL!$C$9, $D$9, 100%, $F$9) + CHOOSE(CONTROL!$C$27, 0.0021, 0)</f>
        <v>131.32270000000003</v>
      </c>
      <c r="K825" s="14">
        <f>131.3206 * CHOOSE(CONTROL!$C$9, $D$9, 100%, $F$9) + CHOOSE(CONTROL!$C$27, 0.0021, 0)</f>
        <v>131.32270000000003</v>
      </c>
      <c r="L825" s="14"/>
    </row>
    <row r="826" spans="1:12" ht="15.75" x14ac:dyDescent="0.25">
      <c r="A826" s="32">
        <v>66080</v>
      </c>
      <c r="B826" s="14">
        <f>130.8304 * CHOOSE(CONTROL!$C$9, $D$9, 100%, $F$9) + CHOOSE(CONTROL!$C$27, 0.0021, 0)</f>
        <v>130.83250000000001</v>
      </c>
      <c r="C826" s="14">
        <f>130.3982 * CHOOSE(CONTROL!$C$9, $D$9, 100%, $F$9) + CHOOSE(CONTROL!$C$27, 0.0021, 0)</f>
        <v>130.40030000000002</v>
      </c>
      <c r="D826" s="14">
        <f>130.3982 * CHOOSE(CONTROL!$C$9, $D$9, 100%, $F$9) + CHOOSE(CONTROL!$C$27, 0.0021, 0)</f>
        <v>130.40030000000002</v>
      </c>
      <c r="E826" s="14">
        <f>130.2615 * CHOOSE(CONTROL!$C$9, $D$9, 100%, $F$9) + CHOOSE(CONTROL!$C$27, 0.0021, 0)</f>
        <v>130.26360000000003</v>
      </c>
      <c r="F826" s="14">
        <f>130.2615 * CHOOSE(CONTROL!$C$9, $D$9, 100%, $F$9) + CHOOSE(CONTROL!$C$27, 0.0021, 0)</f>
        <v>130.26360000000003</v>
      </c>
      <c r="G826" s="14">
        <f>130.5329 * CHOOSE(CONTROL!$C$9, $D$9, 100%, $F$9) + CHOOSE(CONTROL!$C$27, 0.0021, 0)</f>
        <v>130.53500000000003</v>
      </c>
      <c r="H826" s="14">
        <f>130.3982 * CHOOSE(CONTROL!$C$9, $D$9, 100%, $F$9) + CHOOSE(CONTROL!$C$27, 0.0021, 0)</f>
        <v>130.40030000000002</v>
      </c>
      <c r="I826" s="14">
        <f>130.3982 * CHOOSE(CONTROL!$C$9, $D$9, 100%, $F$9) + CHOOSE(CONTROL!$C$27, 0.0021, 0)</f>
        <v>130.40030000000002</v>
      </c>
      <c r="J826" s="14">
        <f>130.3982 * CHOOSE(CONTROL!$C$9, $D$9, 100%, $F$9) + CHOOSE(CONTROL!$C$27, 0.0021, 0)</f>
        <v>130.40030000000002</v>
      </c>
      <c r="K826" s="14">
        <f>130.3982 * CHOOSE(CONTROL!$C$9, $D$9, 100%, $F$9) + CHOOSE(CONTROL!$C$27, 0.0021, 0)</f>
        <v>130.40030000000002</v>
      </c>
      <c r="L826" s="14"/>
    </row>
    <row r="827" spans="1:12" ht="15.75" x14ac:dyDescent="0.25">
      <c r="A827" s="32">
        <v>66111</v>
      </c>
      <c r="B827" s="14">
        <f>127.0161 * CHOOSE(CONTROL!$C$9, $D$9, 100%, $F$9) + CHOOSE(CONTROL!$C$27, 0.0021, 0)</f>
        <v>127.01819999999999</v>
      </c>
      <c r="C827" s="14">
        <f>126.5838 * CHOOSE(CONTROL!$C$9, $D$9, 100%, $F$9) + CHOOSE(CONTROL!$C$27, 0.0021, 0)</f>
        <v>126.5859</v>
      </c>
      <c r="D827" s="14">
        <f>126.5838 * CHOOSE(CONTROL!$C$9, $D$9, 100%, $F$9) + CHOOSE(CONTROL!$C$27, 0.0021, 0)</f>
        <v>126.5859</v>
      </c>
      <c r="E827" s="14">
        <f>126.4472 * CHOOSE(CONTROL!$C$9, $D$9, 100%, $F$9) + CHOOSE(CONTROL!$C$27, 0.0021, 0)</f>
        <v>126.44929999999999</v>
      </c>
      <c r="F827" s="14">
        <f>126.4472 * CHOOSE(CONTROL!$C$9, $D$9, 100%, $F$9) + CHOOSE(CONTROL!$C$27, 0.0021, 0)</f>
        <v>126.44929999999999</v>
      </c>
      <c r="G827" s="14">
        <f>126.7185 * CHOOSE(CONTROL!$C$9, $D$9, 100%, $F$9) + CHOOSE(CONTROL!$C$27, 0.0021, 0)</f>
        <v>126.7206</v>
      </c>
      <c r="H827" s="14">
        <f>126.5838 * CHOOSE(CONTROL!$C$9, $D$9, 100%, $F$9) + CHOOSE(CONTROL!$C$27, 0.0021, 0)</f>
        <v>126.5859</v>
      </c>
      <c r="I827" s="14">
        <f>126.5838 * CHOOSE(CONTROL!$C$9, $D$9, 100%, $F$9) + CHOOSE(CONTROL!$C$27, 0.0021, 0)</f>
        <v>126.5859</v>
      </c>
      <c r="J827" s="14">
        <f>126.5838 * CHOOSE(CONTROL!$C$9, $D$9, 100%, $F$9) + CHOOSE(CONTROL!$C$27, 0.0021, 0)</f>
        <v>126.5859</v>
      </c>
      <c r="K827" s="14">
        <f>126.5838 * CHOOSE(CONTROL!$C$9, $D$9, 100%, $F$9) + CHOOSE(CONTROL!$C$27, 0.0021, 0)</f>
        <v>126.5859</v>
      </c>
      <c r="L827" s="14"/>
    </row>
    <row r="828" spans="1:12" ht="15.75" x14ac:dyDescent="0.25">
      <c r="A828" s="32">
        <v>66142</v>
      </c>
      <c r="B828" s="14">
        <f>126.2734 * CHOOSE(CONTROL!$C$9, $D$9, 100%, $F$9) + CHOOSE(CONTROL!$C$27, 0.0021, 0)</f>
        <v>126.27549999999999</v>
      </c>
      <c r="C828" s="14">
        <f>125.8412 * CHOOSE(CONTROL!$C$9, $D$9, 100%, $F$9) + CHOOSE(CONTROL!$C$27, 0.0021, 0)</f>
        <v>125.8433</v>
      </c>
      <c r="D828" s="14">
        <f>125.8412 * CHOOSE(CONTROL!$C$9, $D$9, 100%, $F$9) + CHOOSE(CONTROL!$C$27, 0.0021, 0)</f>
        <v>125.8433</v>
      </c>
      <c r="E828" s="14">
        <f>125.7045 * CHOOSE(CONTROL!$C$9, $D$9, 100%, $F$9) + CHOOSE(CONTROL!$C$27, 0.0021, 0)</f>
        <v>125.70659999999999</v>
      </c>
      <c r="F828" s="14">
        <f>125.7045 * CHOOSE(CONTROL!$C$9, $D$9, 100%, $F$9) + CHOOSE(CONTROL!$C$27, 0.0021, 0)</f>
        <v>125.70659999999999</v>
      </c>
      <c r="G828" s="14">
        <f>125.9759 * CHOOSE(CONTROL!$C$9, $D$9, 100%, $F$9) + CHOOSE(CONTROL!$C$27, 0.0021, 0)</f>
        <v>125.97799999999999</v>
      </c>
      <c r="H828" s="14">
        <f>125.8412 * CHOOSE(CONTROL!$C$9, $D$9, 100%, $F$9) + CHOOSE(CONTROL!$C$27, 0.0021, 0)</f>
        <v>125.8433</v>
      </c>
      <c r="I828" s="14">
        <f>125.8412 * CHOOSE(CONTROL!$C$9, $D$9, 100%, $F$9) + CHOOSE(CONTROL!$C$27, 0.0021, 0)</f>
        <v>125.8433</v>
      </c>
      <c r="J828" s="14">
        <f>125.8412 * CHOOSE(CONTROL!$C$9, $D$9, 100%, $F$9) + CHOOSE(CONTROL!$C$27, 0.0021, 0)</f>
        <v>125.8433</v>
      </c>
      <c r="K828" s="14">
        <f>125.8412 * CHOOSE(CONTROL!$C$9, $D$9, 100%, $F$9) + CHOOSE(CONTROL!$C$27, 0.0021, 0)</f>
        <v>125.8433</v>
      </c>
      <c r="L828" s="14"/>
    </row>
    <row r="829" spans="1:12" ht="15.75" x14ac:dyDescent="0.25">
      <c r="A829" s="32">
        <v>66170</v>
      </c>
      <c r="B829" s="14">
        <f>125.9288 * CHOOSE(CONTROL!$C$9, $D$9, 100%, $F$9) + CHOOSE(CONTROL!$C$27, 0.0021, 0)</f>
        <v>125.93089999999999</v>
      </c>
      <c r="C829" s="14">
        <f>125.4966 * CHOOSE(CONTROL!$C$9, $D$9, 100%, $F$9) + CHOOSE(CONTROL!$C$27, 0.0021, 0)</f>
        <v>125.4987</v>
      </c>
      <c r="D829" s="14">
        <f>125.4966 * CHOOSE(CONTROL!$C$9, $D$9, 100%, $F$9) + CHOOSE(CONTROL!$C$27, 0.0021, 0)</f>
        <v>125.4987</v>
      </c>
      <c r="E829" s="14">
        <f>125.3599 * CHOOSE(CONTROL!$C$9, $D$9, 100%, $F$9) + CHOOSE(CONTROL!$C$27, 0.0021, 0)</f>
        <v>125.36199999999999</v>
      </c>
      <c r="F829" s="14">
        <f>125.3599 * CHOOSE(CONTROL!$C$9, $D$9, 100%, $F$9) + CHOOSE(CONTROL!$C$27, 0.0021, 0)</f>
        <v>125.36199999999999</v>
      </c>
      <c r="G829" s="14">
        <f>125.6313 * CHOOSE(CONTROL!$C$9, $D$9, 100%, $F$9) + CHOOSE(CONTROL!$C$27, 0.0021, 0)</f>
        <v>125.63339999999999</v>
      </c>
      <c r="H829" s="14">
        <f>125.4966 * CHOOSE(CONTROL!$C$9, $D$9, 100%, $F$9) + CHOOSE(CONTROL!$C$27, 0.0021, 0)</f>
        <v>125.4987</v>
      </c>
      <c r="I829" s="14">
        <f>125.4966 * CHOOSE(CONTROL!$C$9, $D$9, 100%, $F$9) + CHOOSE(CONTROL!$C$27, 0.0021, 0)</f>
        <v>125.4987</v>
      </c>
      <c r="J829" s="14">
        <f>125.4966 * CHOOSE(CONTROL!$C$9, $D$9, 100%, $F$9) + CHOOSE(CONTROL!$C$27, 0.0021, 0)</f>
        <v>125.4987</v>
      </c>
      <c r="K829" s="14">
        <f>125.4966 * CHOOSE(CONTROL!$C$9, $D$9, 100%, $F$9) + CHOOSE(CONTROL!$C$27, 0.0021, 0)</f>
        <v>125.4987</v>
      </c>
      <c r="L829" s="14"/>
    </row>
    <row r="830" spans="1:12" ht="15.75" x14ac:dyDescent="0.25">
      <c r="A830" s="32">
        <v>66201</v>
      </c>
      <c r="B830" s="14">
        <f>132.4452 * CHOOSE(CONTROL!$C$9, $D$9, 100%, $F$9) + CHOOSE(CONTROL!$C$27, 0.0021, 0)</f>
        <v>132.44730000000001</v>
      </c>
      <c r="C830" s="14">
        <f>132.0129 * CHOOSE(CONTROL!$C$9, $D$9, 100%, $F$9) + CHOOSE(CONTROL!$C$27, 0.0021, 0)</f>
        <v>132.01500000000001</v>
      </c>
      <c r="D830" s="14">
        <f>132.0129 * CHOOSE(CONTROL!$C$9, $D$9, 100%, $F$9) + CHOOSE(CONTROL!$C$27, 0.0021, 0)</f>
        <v>132.01500000000001</v>
      </c>
      <c r="E830" s="14">
        <f>131.8763 * CHOOSE(CONTROL!$C$9, $D$9, 100%, $F$9) + CHOOSE(CONTROL!$C$27, 0.0021, 0)</f>
        <v>131.8784</v>
      </c>
      <c r="F830" s="14">
        <f>131.8763 * CHOOSE(CONTROL!$C$9, $D$9, 100%, $F$9) + CHOOSE(CONTROL!$C$27, 0.0021, 0)</f>
        <v>131.8784</v>
      </c>
      <c r="G830" s="14">
        <f>132.1476 * CHOOSE(CONTROL!$C$9, $D$9, 100%, $F$9) + CHOOSE(CONTROL!$C$27, 0.0021, 0)</f>
        <v>132.14970000000002</v>
      </c>
      <c r="H830" s="14">
        <f>132.0129 * CHOOSE(CONTROL!$C$9, $D$9, 100%, $F$9) + CHOOSE(CONTROL!$C$27, 0.0021, 0)</f>
        <v>132.01500000000001</v>
      </c>
      <c r="I830" s="14">
        <f>132.0129 * CHOOSE(CONTROL!$C$9, $D$9, 100%, $F$9) + CHOOSE(CONTROL!$C$27, 0.0021, 0)</f>
        <v>132.01500000000001</v>
      </c>
      <c r="J830" s="14">
        <f>132.0129 * CHOOSE(CONTROL!$C$9, $D$9, 100%, $F$9) + CHOOSE(CONTROL!$C$27, 0.0021, 0)</f>
        <v>132.01500000000001</v>
      </c>
      <c r="K830" s="14">
        <f>132.0129 * CHOOSE(CONTROL!$C$9, $D$9, 100%, $F$9) + CHOOSE(CONTROL!$C$27, 0.0021, 0)</f>
        <v>132.01500000000001</v>
      </c>
      <c r="L830" s="14"/>
    </row>
    <row r="831" spans="1:12" ht="15.75" x14ac:dyDescent="0.25">
      <c r="A831" s="32">
        <v>66231</v>
      </c>
      <c r="B831" s="14">
        <f>140.8953 * CHOOSE(CONTROL!$C$9, $D$9, 100%, $F$9) + CHOOSE(CONTROL!$C$27, 0.0021, 0)</f>
        <v>140.8974</v>
      </c>
      <c r="C831" s="14">
        <f>140.4631 * CHOOSE(CONTROL!$C$9, $D$9, 100%, $F$9) + CHOOSE(CONTROL!$C$27, 0.0021, 0)</f>
        <v>140.46520000000001</v>
      </c>
      <c r="D831" s="14">
        <f>140.4631 * CHOOSE(CONTROL!$C$9, $D$9, 100%, $F$9) + CHOOSE(CONTROL!$C$27, 0.0021, 0)</f>
        <v>140.46520000000001</v>
      </c>
      <c r="E831" s="14">
        <f>140.3264 * CHOOSE(CONTROL!$C$9, $D$9, 100%, $F$9) + CHOOSE(CONTROL!$C$27, 0.0021, 0)</f>
        <v>140.32850000000002</v>
      </c>
      <c r="F831" s="14">
        <f>140.3264 * CHOOSE(CONTROL!$C$9, $D$9, 100%, $F$9) + CHOOSE(CONTROL!$C$27, 0.0021, 0)</f>
        <v>140.32850000000002</v>
      </c>
      <c r="G831" s="14">
        <f>140.5978 * CHOOSE(CONTROL!$C$9, $D$9, 100%, $F$9) + CHOOSE(CONTROL!$C$27, 0.0021, 0)</f>
        <v>140.59990000000002</v>
      </c>
      <c r="H831" s="14">
        <f>140.4631 * CHOOSE(CONTROL!$C$9, $D$9, 100%, $F$9) + CHOOSE(CONTROL!$C$27, 0.0021, 0)</f>
        <v>140.46520000000001</v>
      </c>
      <c r="I831" s="14">
        <f>140.4631 * CHOOSE(CONTROL!$C$9, $D$9, 100%, $F$9) + CHOOSE(CONTROL!$C$27, 0.0021, 0)</f>
        <v>140.46520000000001</v>
      </c>
      <c r="J831" s="14">
        <f>140.4631 * CHOOSE(CONTROL!$C$9, $D$9, 100%, $F$9) + CHOOSE(CONTROL!$C$27, 0.0021, 0)</f>
        <v>140.46520000000001</v>
      </c>
      <c r="K831" s="14">
        <f>140.4631 * CHOOSE(CONTROL!$C$9, $D$9, 100%, $F$9) + CHOOSE(CONTROL!$C$27, 0.0021, 0)</f>
        <v>140.46520000000001</v>
      </c>
      <c r="L831" s="14"/>
    </row>
    <row r="832" spans="1:12" ht="15.75" x14ac:dyDescent="0.25">
      <c r="A832" s="32">
        <v>66262</v>
      </c>
      <c r="B832" s="14">
        <f>145.5466 * CHOOSE(CONTROL!$C$9, $D$9, 100%, $F$9) + CHOOSE(CONTROL!$C$27, 0.0021, 0)</f>
        <v>145.54870000000003</v>
      </c>
      <c r="C832" s="14">
        <f>145.1143 * CHOOSE(CONTROL!$C$9, $D$9, 100%, $F$9) + CHOOSE(CONTROL!$C$27, 0.0021, 0)</f>
        <v>145.1164</v>
      </c>
      <c r="D832" s="14">
        <f>145.1143 * CHOOSE(CONTROL!$C$9, $D$9, 100%, $F$9) + CHOOSE(CONTROL!$C$27, 0.0021, 0)</f>
        <v>145.1164</v>
      </c>
      <c r="E832" s="14">
        <f>144.9777 * CHOOSE(CONTROL!$C$9, $D$9, 100%, $F$9) + CHOOSE(CONTROL!$C$27, 0.0021, 0)</f>
        <v>144.97980000000001</v>
      </c>
      <c r="F832" s="14">
        <f>144.9777 * CHOOSE(CONTROL!$C$9, $D$9, 100%, $F$9) + CHOOSE(CONTROL!$C$27, 0.0021, 0)</f>
        <v>144.97980000000001</v>
      </c>
      <c r="G832" s="14">
        <f>145.249 * CHOOSE(CONTROL!$C$9, $D$9, 100%, $F$9) + CHOOSE(CONTROL!$C$27, 0.0021, 0)</f>
        <v>145.25110000000001</v>
      </c>
      <c r="H832" s="14">
        <f>145.1143 * CHOOSE(CONTROL!$C$9, $D$9, 100%, $F$9) + CHOOSE(CONTROL!$C$27, 0.0021, 0)</f>
        <v>145.1164</v>
      </c>
      <c r="I832" s="14">
        <f>145.1143 * CHOOSE(CONTROL!$C$9, $D$9, 100%, $F$9) + CHOOSE(CONTROL!$C$27, 0.0021, 0)</f>
        <v>145.1164</v>
      </c>
      <c r="J832" s="14">
        <f>145.1143 * CHOOSE(CONTROL!$C$9, $D$9, 100%, $F$9) + CHOOSE(CONTROL!$C$27, 0.0021, 0)</f>
        <v>145.1164</v>
      </c>
      <c r="K832" s="14">
        <f>145.1143 * CHOOSE(CONTROL!$C$9, $D$9, 100%, $F$9) + CHOOSE(CONTROL!$C$27, 0.0021, 0)</f>
        <v>145.1164</v>
      </c>
      <c r="L832" s="14"/>
    </row>
    <row r="833" spans="1:12" ht="15.75" x14ac:dyDescent="0.25">
      <c r="A833" s="32">
        <v>66292</v>
      </c>
      <c r="B833" s="14">
        <f>147.6107 * CHOOSE(CONTROL!$C$9, $D$9, 100%, $F$9) + CHOOSE(CONTROL!$C$27, 0.0021, 0)</f>
        <v>147.61280000000002</v>
      </c>
      <c r="C833" s="14">
        <f>147.1785 * CHOOSE(CONTROL!$C$9, $D$9, 100%, $F$9) + CHOOSE(CONTROL!$C$27, 0.0021, 0)</f>
        <v>147.18060000000003</v>
      </c>
      <c r="D833" s="14">
        <f>147.1785 * CHOOSE(CONTROL!$C$9, $D$9, 100%, $F$9) + CHOOSE(CONTROL!$C$27, 0.0021, 0)</f>
        <v>147.18060000000003</v>
      </c>
      <c r="E833" s="14">
        <f>147.0418 * CHOOSE(CONTROL!$C$9, $D$9, 100%, $F$9) + CHOOSE(CONTROL!$C$27, 0.0021, 0)</f>
        <v>147.04390000000001</v>
      </c>
      <c r="F833" s="14">
        <f>147.0418 * CHOOSE(CONTROL!$C$9, $D$9, 100%, $F$9) + CHOOSE(CONTROL!$C$27, 0.0021, 0)</f>
        <v>147.04390000000001</v>
      </c>
      <c r="G833" s="14">
        <f>147.3132 * CHOOSE(CONTROL!$C$9, $D$9, 100%, $F$9) + CHOOSE(CONTROL!$C$27, 0.0021, 0)</f>
        <v>147.31530000000001</v>
      </c>
      <c r="H833" s="14">
        <f>147.1785 * CHOOSE(CONTROL!$C$9, $D$9, 100%, $F$9) + CHOOSE(CONTROL!$C$27, 0.0021, 0)</f>
        <v>147.18060000000003</v>
      </c>
      <c r="I833" s="14">
        <f>147.1785 * CHOOSE(CONTROL!$C$9, $D$9, 100%, $F$9) + CHOOSE(CONTROL!$C$27, 0.0021, 0)</f>
        <v>147.18060000000003</v>
      </c>
      <c r="J833" s="14">
        <f>147.1785 * CHOOSE(CONTROL!$C$9, $D$9, 100%, $F$9) + CHOOSE(CONTROL!$C$27, 0.0021, 0)</f>
        <v>147.18060000000003</v>
      </c>
      <c r="K833" s="14">
        <f>147.1785 * CHOOSE(CONTROL!$C$9, $D$9, 100%, $F$9) + CHOOSE(CONTROL!$C$27, 0.0021, 0)</f>
        <v>147.18060000000003</v>
      </c>
      <c r="L833" s="14"/>
    </row>
    <row r="834" spans="1:12" ht="15.75" x14ac:dyDescent="0.25">
      <c r="A834" s="32">
        <v>66323</v>
      </c>
      <c r="B834" s="14">
        <f>146.9311 * CHOOSE(CONTROL!$C$9, $D$9, 100%, $F$9) + CHOOSE(CONTROL!$C$27, 0.0021, 0)</f>
        <v>146.9332</v>
      </c>
      <c r="C834" s="14">
        <f>146.4988 * CHOOSE(CONTROL!$C$9, $D$9, 100%, $F$9) + CHOOSE(CONTROL!$C$27, 0.0021, 0)</f>
        <v>146.5009</v>
      </c>
      <c r="D834" s="14">
        <f>146.4988 * CHOOSE(CONTROL!$C$9, $D$9, 100%, $F$9) + CHOOSE(CONTROL!$C$27, 0.0021, 0)</f>
        <v>146.5009</v>
      </c>
      <c r="E834" s="14">
        <f>146.3622 * CHOOSE(CONTROL!$C$9, $D$9, 100%, $F$9) + CHOOSE(CONTROL!$C$27, 0.0021, 0)</f>
        <v>146.36430000000001</v>
      </c>
      <c r="F834" s="14">
        <f>146.3622 * CHOOSE(CONTROL!$C$9, $D$9, 100%, $F$9) + CHOOSE(CONTROL!$C$27, 0.0021, 0)</f>
        <v>146.36430000000001</v>
      </c>
      <c r="G834" s="14">
        <f>146.6336 * CHOOSE(CONTROL!$C$9, $D$9, 100%, $F$9) + CHOOSE(CONTROL!$C$27, 0.0021, 0)</f>
        <v>146.63570000000001</v>
      </c>
      <c r="H834" s="14">
        <f>146.4988 * CHOOSE(CONTROL!$C$9, $D$9, 100%, $F$9) + CHOOSE(CONTROL!$C$27, 0.0021, 0)</f>
        <v>146.5009</v>
      </c>
      <c r="I834" s="14">
        <f>146.4988 * CHOOSE(CONTROL!$C$9, $D$9, 100%, $F$9) + CHOOSE(CONTROL!$C$27, 0.0021, 0)</f>
        <v>146.5009</v>
      </c>
      <c r="J834" s="14">
        <f>146.4988 * CHOOSE(CONTROL!$C$9, $D$9, 100%, $F$9) + CHOOSE(CONTROL!$C$27, 0.0021, 0)</f>
        <v>146.5009</v>
      </c>
      <c r="K834" s="14">
        <f>146.4988 * CHOOSE(CONTROL!$C$9, $D$9, 100%, $F$9) + CHOOSE(CONTROL!$C$27, 0.0021, 0)</f>
        <v>146.5009</v>
      </c>
      <c r="L834" s="14"/>
    </row>
    <row r="835" spans="1:12" ht="15.75" x14ac:dyDescent="0.25">
      <c r="A835" s="32">
        <v>66354</v>
      </c>
      <c r="B835" s="14">
        <f>143.564 * CHOOSE(CONTROL!$C$9, $D$9, 100%, $F$9) + CHOOSE(CONTROL!$C$27, 0.0021, 0)</f>
        <v>143.56610000000001</v>
      </c>
      <c r="C835" s="14">
        <f>143.1317 * CHOOSE(CONTROL!$C$9, $D$9, 100%, $F$9) + CHOOSE(CONTROL!$C$27, 0.0021, 0)</f>
        <v>143.13380000000001</v>
      </c>
      <c r="D835" s="14">
        <f>143.1317 * CHOOSE(CONTROL!$C$9, $D$9, 100%, $F$9) + CHOOSE(CONTROL!$C$27, 0.0021, 0)</f>
        <v>143.13380000000001</v>
      </c>
      <c r="E835" s="14">
        <f>142.9951 * CHOOSE(CONTROL!$C$9, $D$9, 100%, $F$9) + CHOOSE(CONTROL!$C$27, 0.0021, 0)</f>
        <v>142.99720000000002</v>
      </c>
      <c r="F835" s="14">
        <f>142.9951 * CHOOSE(CONTROL!$C$9, $D$9, 100%, $F$9) + CHOOSE(CONTROL!$C$27, 0.0021, 0)</f>
        <v>142.99720000000002</v>
      </c>
      <c r="G835" s="14">
        <f>143.2664 * CHOOSE(CONTROL!$C$9, $D$9, 100%, $F$9) + CHOOSE(CONTROL!$C$27, 0.0021, 0)</f>
        <v>143.26850000000002</v>
      </c>
      <c r="H835" s="14">
        <f>143.1317 * CHOOSE(CONTROL!$C$9, $D$9, 100%, $F$9) + CHOOSE(CONTROL!$C$27, 0.0021, 0)</f>
        <v>143.13380000000001</v>
      </c>
      <c r="I835" s="14">
        <f>143.1317 * CHOOSE(CONTROL!$C$9, $D$9, 100%, $F$9) + CHOOSE(CONTROL!$C$27, 0.0021, 0)</f>
        <v>143.13380000000001</v>
      </c>
      <c r="J835" s="14">
        <f>143.1317 * CHOOSE(CONTROL!$C$9, $D$9, 100%, $F$9) + CHOOSE(CONTROL!$C$27, 0.0021, 0)</f>
        <v>143.13380000000001</v>
      </c>
      <c r="K835" s="14">
        <f>143.1317 * CHOOSE(CONTROL!$C$9, $D$9, 100%, $F$9) + CHOOSE(CONTROL!$C$27, 0.0021, 0)</f>
        <v>143.13380000000001</v>
      </c>
      <c r="L835" s="14"/>
    </row>
    <row r="836" spans="1:12" ht="15.75" x14ac:dyDescent="0.25">
      <c r="A836" s="32">
        <v>66384</v>
      </c>
      <c r="B836" s="14">
        <f>138.8683 * CHOOSE(CONTROL!$C$9, $D$9, 100%, $F$9) + CHOOSE(CONTROL!$C$27, 0.0021, 0)</f>
        <v>138.87040000000002</v>
      </c>
      <c r="C836" s="14">
        <f>138.4361 * CHOOSE(CONTROL!$C$9, $D$9, 100%, $F$9) + CHOOSE(CONTROL!$C$27, 0.0021, 0)</f>
        <v>138.43820000000002</v>
      </c>
      <c r="D836" s="14">
        <f>138.4361 * CHOOSE(CONTROL!$C$9, $D$9, 100%, $F$9) + CHOOSE(CONTROL!$C$27, 0.0021, 0)</f>
        <v>138.43820000000002</v>
      </c>
      <c r="E836" s="14">
        <f>138.2994 * CHOOSE(CONTROL!$C$9, $D$9, 100%, $F$9) + CHOOSE(CONTROL!$C$27, 0.0021, 0)</f>
        <v>138.3015</v>
      </c>
      <c r="F836" s="14">
        <f>138.2994 * CHOOSE(CONTROL!$C$9, $D$9, 100%, $F$9) + CHOOSE(CONTROL!$C$27, 0.0021, 0)</f>
        <v>138.3015</v>
      </c>
      <c r="G836" s="14">
        <f>138.5708 * CHOOSE(CONTROL!$C$9, $D$9, 100%, $F$9) + CHOOSE(CONTROL!$C$27, 0.0021, 0)</f>
        <v>138.5729</v>
      </c>
      <c r="H836" s="14">
        <f>138.4361 * CHOOSE(CONTROL!$C$9, $D$9, 100%, $F$9) + CHOOSE(CONTROL!$C$27, 0.0021, 0)</f>
        <v>138.43820000000002</v>
      </c>
      <c r="I836" s="14">
        <f>138.4361 * CHOOSE(CONTROL!$C$9, $D$9, 100%, $F$9) + CHOOSE(CONTROL!$C$27, 0.0021, 0)</f>
        <v>138.43820000000002</v>
      </c>
      <c r="J836" s="14">
        <f>138.4361 * CHOOSE(CONTROL!$C$9, $D$9, 100%, $F$9) + CHOOSE(CONTROL!$C$27, 0.0021, 0)</f>
        <v>138.43820000000002</v>
      </c>
      <c r="K836" s="14">
        <f>138.4361 * CHOOSE(CONTROL!$C$9, $D$9, 100%, $F$9) + CHOOSE(CONTROL!$C$27, 0.0021, 0)</f>
        <v>138.43820000000002</v>
      </c>
      <c r="L836" s="14"/>
    </row>
    <row r="837" spans="1:12" ht="15.75" x14ac:dyDescent="0.25">
      <c r="A837" s="32">
        <v>66415</v>
      </c>
      <c r="B837" s="14">
        <f>134.1454 * CHOOSE(CONTROL!$C$9, $D$9, 100%, $F$9) + CHOOSE(CONTROL!$C$27, 0.0021, 0)</f>
        <v>134.14750000000001</v>
      </c>
      <c r="C837" s="14">
        <f>133.7132 * CHOOSE(CONTROL!$C$9, $D$9, 100%, $F$9) + CHOOSE(CONTROL!$C$27, 0.0021, 0)</f>
        <v>133.71530000000001</v>
      </c>
      <c r="D837" s="14">
        <f>133.7132 * CHOOSE(CONTROL!$C$9, $D$9, 100%, $F$9) + CHOOSE(CONTROL!$C$27, 0.0021, 0)</f>
        <v>133.71530000000001</v>
      </c>
      <c r="E837" s="14">
        <f>133.5765 * CHOOSE(CONTROL!$C$9, $D$9, 100%, $F$9) + CHOOSE(CONTROL!$C$27, 0.0021, 0)</f>
        <v>133.57860000000002</v>
      </c>
      <c r="F837" s="14">
        <f>133.5765 * CHOOSE(CONTROL!$C$9, $D$9, 100%, $F$9) + CHOOSE(CONTROL!$C$27, 0.0021, 0)</f>
        <v>133.57860000000002</v>
      </c>
      <c r="G837" s="14">
        <f>133.8479 * CHOOSE(CONTROL!$C$9, $D$9, 100%, $F$9) + CHOOSE(CONTROL!$C$27, 0.0021, 0)</f>
        <v>133.85000000000002</v>
      </c>
      <c r="H837" s="14">
        <f>133.7132 * CHOOSE(CONTROL!$C$9, $D$9, 100%, $F$9) + CHOOSE(CONTROL!$C$27, 0.0021, 0)</f>
        <v>133.71530000000001</v>
      </c>
      <c r="I837" s="14">
        <f>133.7132 * CHOOSE(CONTROL!$C$9, $D$9, 100%, $F$9) + CHOOSE(CONTROL!$C$27, 0.0021, 0)</f>
        <v>133.71530000000001</v>
      </c>
      <c r="J837" s="14">
        <f>133.7132 * CHOOSE(CONTROL!$C$9, $D$9, 100%, $F$9) + CHOOSE(CONTROL!$C$27, 0.0021, 0)</f>
        <v>133.71530000000001</v>
      </c>
      <c r="K837" s="14">
        <f>133.7132 * CHOOSE(CONTROL!$C$9, $D$9, 100%, $F$9) + CHOOSE(CONTROL!$C$27, 0.0021, 0)</f>
        <v>133.71530000000001</v>
      </c>
      <c r="L837" s="14"/>
    </row>
    <row r="838" spans="1:12" ht="15.75" x14ac:dyDescent="0.25">
      <c r="A838" s="32">
        <v>66445</v>
      </c>
      <c r="B838" s="14">
        <f>133.2059 * CHOOSE(CONTROL!$C$9, $D$9, 100%, $F$9) + CHOOSE(CONTROL!$C$27, 0.0021, 0)</f>
        <v>133.20800000000003</v>
      </c>
      <c r="C838" s="14">
        <f>132.7737 * CHOOSE(CONTROL!$C$9, $D$9, 100%, $F$9) + CHOOSE(CONTROL!$C$27, 0.0021, 0)</f>
        <v>132.7758</v>
      </c>
      <c r="D838" s="14">
        <f>132.7737 * CHOOSE(CONTROL!$C$9, $D$9, 100%, $F$9) + CHOOSE(CONTROL!$C$27, 0.0021, 0)</f>
        <v>132.7758</v>
      </c>
      <c r="E838" s="14">
        <f>132.637 * CHOOSE(CONTROL!$C$9, $D$9, 100%, $F$9) + CHOOSE(CONTROL!$C$27, 0.0021, 0)</f>
        <v>132.63910000000001</v>
      </c>
      <c r="F838" s="14">
        <f>132.637 * CHOOSE(CONTROL!$C$9, $D$9, 100%, $F$9) + CHOOSE(CONTROL!$C$27, 0.0021, 0)</f>
        <v>132.63910000000001</v>
      </c>
      <c r="G838" s="14">
        <f>132.9084 * CHOOSE(CONTROL!$C$9, $D$9, 100%, $F$9) + CHOOSE(CONTROL!$C$27, 0.0021, 0)</f>
        <v>132.91050000000001</v>
      </c>
      <c r="H838" s="14">
        <f>132.7737 * CHOOSE(CONTROL!$C$9, $D$9, 100%, $F$9) + CHOOSE(CONTROL!$C$27, 0.0021, 0)</f>
        <v>132.7758</v>
      </c>
      <c r="I838" s="14">
        <f>132.7737 * CHOOSE(CONTROL!$C$9, $D$9, 100%, $F$9) + CHOOSE(CONTROL!$C$27, 0.0021, 0)</f>
        <v>132.7758</v>
      </c>
      <c r="J838" s="14">
        <f>132.7737 * CHOOSE(CONTROL!$C$9, $D$9, 100%, $F$9) + CHOOSE(CONTROL!$C$27, 0.0021, 0)</f>
        <v>132.7758</v>
      </c>
      <c r="K838" s="14">
        <f>132.7737 * CHOOSE(CONTROL!$C$9, $D$9, 100%, $F$9) + CHOOSE(CONTROL!$C$27, 0.0021, 0)</f>
        <v>132.7758</v>
      </c>
      <c r="L838" s="14"/>
    </row>
    <row r="839" spans="1:12" ht="15.75" x14ac:dyDescent="0.25">
      <c r="A839" s="32">
        <v>66476</v>
      </c>
      <c r="B839" s="14">
        <f>129.321 * CHOOSE(CONTROL!$C$9, $D$9, 100%, $F$9) + CHOOSE(CONTROL!$C$27, 0.0021, 0)</f>
        <v>129.32310000000001</v>
      </c>
      <c r="C839" s="14">
        <f>128.8888 * CHOOSE(CONTROL!$C$9, $D$9, 100%, $F$9) + CHOOSE(CONTROL!$C$27, 0.0021, 0)</f>
        <v>128.89090000000002</v>
      </c>
      <c r="D839" s="14">
        <f>128.8888 * CHOOSE(CONTROL!$C$9, $D$9, 100%, $F$9) + CHOOSE(CONTROL!$C$27, 0.0021, 0)</f>
        <v>128.89090000000002</v>
      </c>
      <c r="E839" s="14">
        <f>128.7521 * CHOOSE(CONTROL!$C$9, $D$9, 100%, $F$9) + CHOOSE(CONTROL!$C$27, 0.0021, 0)</f>
        <v>128.75420000000003</v>
      </c>
      <c r="F839" s="14">
        <f>128.7521 * CHOOSE(CONTROL!$C$9, $D$9, 100%, $F$9) + CHOOSE(CONTROL!$C$27, 0.0021, 0)</f>
        <v>128.75420000000003</v>
      </c>
      <c r="G839" s="14">
        <f>129.0235 * CHOOSE(CONTROL!$C$9, $D$9, 100%, $F$9) + CHOOSE(CONTROL!$C$27, 0.0021, 0)</f>
        <v>129.02560000000003</v>
      </c>
      <c r="H839" s="14">
        <f>128.8888 * CHOOSE(CONTROL!$C$9, $D$9, 100%, $F$9) + CHOOSE(CONTROL!$C$27, 0.0021, 0)</f>
        <v>128.89090000000002</v>
      </c>
      <c r="I839" s="14">
        <f>128.8888 * CHOOSE(CONTROL!$C$9, $D$9, 100%, $F$9) + CHOOSE(CONTROL!$C$27, 0.0021, 0)</f>
        <v>128.89090000000002</v>
      </c>
      <c r="J839" s="14">
        <f>128.8888 * CHOOSE(CONTROL!$C$9, $D$9, 100%, $F$9) + CHOOSE(CONTROL!$C$27, 0.0021, 0)</f>
        <v>128.89090000000002</v>
      </c>
      <c r="K839" s="14">
        <f>128.8888 * CHOOSE(CONTROL!$C$9, $D$9, 100%, $F$9) + CHOOSE(CONTROL!$C$27, 0.0021, 0)</f>
        <v>128.89090000000002</v>
      </c>
      <c r="L839" s="14"/>
    </row>
    <row r="840" spans="1:12" ht="15.75" x14ac:dyDescent="0.25">
      <c r="A840" s="32">
        <v>66507</v>
      </c>
      <c r="B840" s="14">
        <f>128.5647 * CHOOSE(CONTROL!$C$9, $D$9, 100%, $F$9) + CHOOSE(CONTROL!$C$27, 0.0021, 0)</f>
        <v>128.5668</v>
      </c>
      <c r="C840" s="14">
        <f>128.1325 * CHOOSE(CONTROL!$C$9, $D$9, 100%, $F$9) + CHOOSE(CONTROL!$C$27, 0.0021, 0)</f>
        <v>128.13460000000001</v>
      </c>
      <c r="D840" s="14">
        <f>128.1325 * CHOOSE(CONTROL!$C$9, $D$9, 100%, $F$9) + CHOOSE(CONTROL!$C$27, 0.0021, 0)</f>
        <v>128.13460000000001</v>
      </c>
      <c r="E840" s="14">
        <f>127.9958 * CHOOSE(CONTROL!$C$9, $D$9, 100%, $F$9) + CHOOSE(CONTROL!$C$27, 0.0021, 0)</f>
        <v>127.9979</v>
      </c>
      <c r="F840" s="14">
        <f>127.9958 * CHOOSE(CONTROL!$C$9, $D$9, 100%, $F$9) + CHOOSE(CONTROL!$C$27, 0.0021, 0)</f>
        <v>127.9979</v>
      </c>
      <c r="G840" s="14">
        <f>128.2672 * CHOOSE(CONTROL!$C$9, $D$9, 100%, $F$9) + CHOOSE(CONTROL!$C$27, 0.0021, 0)</f>
        <v>128.26930000000002</v>
      </c>
      <c r="H840" s="14">
        <f>128.1325 * CHOOSE(CONTROL!$C$9, $D$9, 100%, $F$9) + CHOOSE(CONTROL!$C$27, 0.0021, 0)</f>
        <v>128.13460000000001</v>
      </c>
      <c r="I840" s="14">
        <f>128.1325 * CHOOSE(CONTROL!$C$9, $D$9, 100%, $F$9) + CHOOSE(CONTROL!$C$27, 0.0021, 0)</f>
        <v>128.13460000000001</v>
      </c>
      <c r="J840" s="14">
        <f>128.1325 * CHOOSE(CONTROL!$C$9, $D$9, 100%, $F$9) + CHOOSE(CONTROL!$C$27, 0.0021, 0)</f>
        <v>128.13460000000001</v>
      </c>
      <c r="K840" s="14">
        <f>128.1325 * CHOOSE(CONTROL!$C$9, $D$9, 100%, $F$9) + CHOOSE(CONTROL!$C$27, 0.0021, 0)</f>
        <v>128.13460000000001</v>
      </c>
      <c r="L840" s="14"/>
    </row>
    <row r="841" spans="1:12" ht="15.75" x14ac:dyDescent="0.25">
      <c r="A841" s="32">
        <v>66535</v>
      </c>
      <c r="B841" s="14">
        <f>128.2137 * CHOOSE(CONTROL!$C$9, $D$9, 100%, $F$9) + CHOOSE(CONTROL!$C$27, 0.0021, 0)</f>
        <v>128.2158</v>
      </c>
      <c r="C841" s="14">
        <f>127.7815 * CHOOSE(CONTROL!$C$9, $D$9, 100%, $F$9) + CHOOSE(CONTROL!$C$27, 0.0021, 0)</f>
        <v>127.78359999999999</v>
      </c>
      <c r="D841" s="14">
        <f>127.7815 * CHOOSE(CONTROL!$C$9, $D$9, 100%, $F$9) + CHOOSE(CONTROL!$C$27, 0.0021, 0)</f>
        <v>127.78359999999999</v>
      </c>
      <c r="E841" s="14">
        <f>127.6448 * CHOOSE(CONTROL!$C$9, $D$9, 100%, $F$9) + CHOOSE(CONTROL!$C$27, 0.0021, 0)</f>
        <v>127.6469</v>
      </c>
      <c r="F841" s="14">
        <f>127.6448 * CHOOSE(CONTROL!$C$9, $D$9, 100%, $F$9) + CHOOSE(CONTROL!$C$27, 0.0021, 0)</f>
        <v>127.6469</v>
      </c>
      <c r="G841" s="14">
        <f>127.9162 * CHOOSE(CONTROL!$C$9, $D$9, 100%, $F$9) + CHOOSE(CONTROL!$C$27, 0.0021, 0)</f>
        <v>127.9183</v>
      </c>
      <c r="H841" s="14">
        <f>127.7815 * CHOOSE(CONTROL!$C$9, $D$9, 100%, $F$9) + CHOOSE(CONTROL!$C$27, 0.0021, 0)</f>
        <v>127.78359999999999</v>
      </c>
      <c r="I841" s="14">
        <f>127.7815 * CHOOSE(CONTROL!$C$9, $D$9, 100%, $F$9) + CHOOSE(CONTROL!$C$27, 0.0021, 0)</f>
        <v>127.78359999999999</v>
      </c>
      <c r="J841" s="14">
        <f>127.7815 * CHOOSE(CONTROL!$C$9, $D$9, 100%, $F$9) + CHOOSE(CONTROL!$C$27, 0.0021, 0)</f>
        <v>127.78359999999999</v>
      </c>
      <c r="K841" s="14">
        <f>127.7815 * CHOOSE(CONTROL!$C$9, $D$9, 100%, $F$9) + CHOOSE(CONTROL!$C$27, 0.0021, 0)</f>
        <v>127.78359999999999</v>
      </c>
      <c r="L841" s="14"/>
    </row>
    <row r="842" spans="1:12" ht="15.75" x14ac:dyDescent="0.25">
      <c r="A842" s="32">
        <v>66566</v>
      </c>
      <c r="B842" s="14">
        <f>134.8505 * CHOOSE(CONTROL!$C$9, $D$9, 100%, $F$9) + CHOOSE(CONTROL!$C$27, 0.0021, 0)</f>
        <v>134.85260000000002</v>
      </c>
      <c r="C842" s="14">
        <f>134.4182 * CHOOSE(CONTROL!$C$9, $D$9, 100%, $F$9) + CHOOSE(CONTROL!$C$27, 0.0021, 0)</f>
        <v>134.42030000000003</v>
      </c>
      <c r="D842" s="14">
        <f>134.4182 * CHOOSE(CONTROL!$C$9, $D$9, 100%, $F$9) + CHOOSE(CONTROL!$C$27, 0.0021, 0)</f>
        <v>134.42030000000003</v>
      </c>
      <c r="E842" s="14">
        <f>134.2816 * CHOOSE(CONTROL!$C$9, $D$9, 100%, $F$9) + CHOOSE(CONTROL!$C$27, 0.0021, 0)</f>
        <v>134.28370000000001</v>
      </c>
      <c r="F842" s="14">
        <f>134.2816 * CHOOSE(CONTROL!$C$9, $D$9, 100%, $F$9) + CHOOSE(CONTROL!$C$27, 0.0021, 0)</f>
        <v>134.28370000000001</v>
      </c>
      <c r="G842" s="14">
        <f>134.553 * CHOOSE(CONTROL!$C$9, $D$9, 100%, $F$9) + CHOOSE(CONTROL!$C$27, 0.0021, 0)</f>
        <v>134.55510000000001</v>
      </c>
      <c r="H842" s="14">
        <f>134.4182 * CHOOSE(CONTROL!$C$9, $D$9, 100%, $F$9) + CHOOSE(CONTROL!$C$27, 0.0021, 0)</f>
        <v>134.42030000000003</v>
      </c>
      <c r="I842" s="14">
        <f>134.4182 * CHOOSE(CONTROL!$C$9, $D$9, 100%, $F$9) + CHOOSE(CONTROL!$C$27, 0.0021, 0)</f>
        <v>134.42030000000003</v>
      </c>
      <c r="J842" s="14">
        <f>134.4182 * CHOOSE(CONTROL!$C$9, $D$9, 100%, $F$9) + CHOOSE(CONTROL!$C$27, 0.0021, 0)</f>
        <v>134.42030000000003</v>
      </c>
      <c r="K842" s="14">
        <f>134.4182 * CHOOSE(CONTROL!$C$9, $D$9, 100%, $F$9) + CHOOSE(CONTROL!$C$27, 0.0021, 0)</f>
        <v>134.42030000000003</v>
      </c>
      <c r="L842" s="14"/>
    </row>
    <row r="843" spans="1:12" ht="15.75" x14ac:dyDescent="0.25">
      <c r="A843" s="32">
        <v>66596</v>
      </c>
      <c r="B843" s="14">
        <f>143.4568 * CHOOSE(CONTROL!$C$9, $D$9, 100%, $F$9) + CHOOSE(CONTROL!$C$27, 0.0021, 0)</f>
        <v>143.4589</v>
      </c>
      <c r="C843" s="14">
        <f>143.0246 * CHOOSE(CONTROL!$C$9, $D$9, 100%, $F$9) + CHOOSE(CONTROL!$C$27, 0.0021, 0)</f>
        <v>143.02670000000001</v>
      </c>
      <c r="D843" s="14">
        <f>143.0246 * CHOOSE(CONTROL!$C$9, $D$9, 100%, $F$9) + CHOOSE(CONTROL!$C$27, 0.0021, 0)</f>
        <v>143.02670000000001</v>
      </c>
      <c r="E843" s="14">
        <f>142.8879 * CHOOSE(CONTROL!$C$9, $D$9, 100%, $F$9) + CHOOSE(CONTROL!$C$27, 0.0021, 0)</f>
        <v>142.89000000000001</v>
      </c>
      <c r="F843" s="14">
        <f>142.8879 * CHOOSE(CONTROL!$C$9, $D$9, 100%, $F$9) + CHOOSE(CONTROL!$C$27, 0.0021, 0)</f>
        <v>142.89000000000001</v>
      </c>
      <c r="G843" s="14">
        <f>143.1593 * CHOOSE(CONTROL!$C$9, $D$9, 100%, $F$9) + CHOOSE(CONTROL!$C$27, 0.0021, 0)</f>
        <v>143.16140000000001</v>
      </c>
      <c r="H843" s="14">
        <f>143.0246 * CHOOSE(CONTROL!$C$9, $D$9, 100%, $F$9) + CHOOSE(CONTROL!$C$27, 0.0021, 0)</f>
        <v>143.02670000000001</v>
      </c>
      <c r="I843" s="14">
        <f>143.0246 * CHOOSE(CONTROL!$C$9, $D$9, 100%, $F$9) + CHOOSE(CONTROL!$C$27, 0.0021, 0)</f>
        <v>143.02670000000001</v>
      </c>
      <c r="J843" s="14">
        <f>143.0246 * CHOOSE(CONTROL!$C$9, $D$9, 100%, $F$9) + CHOOSE(CONTROL!$C$27, 0.0021, 0)</f>
        <v>143.02670000000001</v>
      </c>
      <c r="K843" s="14">
        <f>143.0246 * CHOOSE(CONTROL!$C$9, $D$9, 100%, $F$9) + CHOOSE(CONTROL!$C$27, 0.0021, 0)</f>
        <v>143.02670000000001</v>
      </c>
      <c r="L843" s="14"/>
    </row>
    <row r="844" spans="1:12" ht="15.75" x14ac:dyDescent="0.25">
      <c r="A844" s="32">
        <v>66627</v>
      </c>
      <c r="B844" s="14">
        <f>148.194 * CHOOSE(CONTROL!$C$9, $D$9, 100%, $F$9) + CHOOSE(CONTROL!$C$27, 0.0021, 0)</f>
        <v>148.1961</v>
      </c>
      <c r="C844" s="14">
        <f>147.7618 * CHOOSE(CONTROL!$C$9, $D$9, 100%, $F$9) + CHOOSE(CONTROL!$C$27, 0.0021, 0)</f>
        <v>147.76390000000001</v>
      </c>
      <c r="D844" s="14">
        <f>147.7618 * CHOOSE(CONTROL!$C$9, $D$9, 100%, $F$9) + CHOOSE(CONTROL!$C$27, 0.0021, 0)</f>
        <v>147.76390000000001</v>
      </c>
      <c r="E844" s="14">
        <f>147.6251 * CHOOSE(CONTROL!$C$9, $D$9, 100%, $F$9) + CHOOSE(CONTROL!$C$27, 0.0021, 0)</f>
        <v>147.62720000000002</v>
      </c>
      <c r="F844" s="14">
        <f>147.6251 * CHOOSE(CONTROL!$C$9, $D$9, 100%, $F$9) + CHOOSE(CONTROL!$C$27, 0.0021, 0)</f>
        <v>147.62720000000002</v>
      </c>
      <c r="G844" s="14">
        <f>147.8965 * CHOOSE(CONTROL!$C$9, $D$9, 100%, $F$9) + CHOOSE(CONTROL!$C$27, 0.0021, 0)</f>
        <v>147.89860000000002</v>
      </c>
      <c r="H844" s="14">
        <f>147.7618 * CHOOSE(CONTROL!$C$9, $D$9, 100%, $F$9) + CHOOSE(CONTROL!$C$27, 0.0021, 0)</f>
        <v>147.76390000000001</v>
      </c>
      <c r="I844" s="14">
        <f>147.7618 * CHOOSE(CONTROL!$C$9, $D$9, 100%, $F$9) + CHOOSE(CONTROL!$C$27, 0.0021, 0)</f>
        <v>147.76390000000001</v>
      </c>
      <c r="J844" s="14">
        <f>147.7618 * CHOOSE(CONTROL!$C$9, $D$9, 100%, $F$9) + CHOOSE(CONTROL!$C$27, 0.0021, 0)</f>
        <v>147.76390000000001</v>
      </c>
      <c r="K844" s="14">
        <f>147.7618 * CHOOSE(CONTROL!$C$9, $D$9, 100%, $F$9) + CHOOSE(CONTROL!$C$27, 0.0021, 0)</f>
        <v>147.76390000000001</v>
      </c>
      <c r="L844" s="14"/>
    </row>
    <row r="845" spans="1:12" ht="15.75" x14ac:dyDescent="0.25">
      <c r="A845" s="32">
        <v>66657</v>
      </c>
      <c r="B845" s="14">
        <f>150.2963 * CHOOSE(CONTROL!$C$9, $D$9, 100%, $F$9) + CHOOSE(CONTROL!$C$27, 0.0021, 0)</f>
        <v>150.29840000000002</v>
      </c>
      <c r="C845" s="14">
        <f>149.8641 * CHOOSE(CONTROL!$C$9, $D$9, 100%, $F$9) + CHOOSE(CONTROL!$C$27, 0.0021, 0)</f>
        <v>149.86620000000002</v>
      </c>
      <c r="D845" s="14">
        <f>149.8641 * CHOOSE(CONTROL!$C$9, $D$9, 100%, $F$9) + CHOOSE(CONTROL!$C$27, 0.0021, 0)</f>
        <v>149.86620000000002</v>
      </c>
      <c r="E845" s="14">
        <f>149.7274 * CHOOSE(CONTROL!$C$9, $D$9, 100%, $F$9) + CHOOSE(CONTROL!$C$27, 0.0021, 0)</f>
        <v>149.7295</v>
      </c>
      <c r="F845" s="14">
        <f>149.7274 * CHOOSE(CONTROL!$C$9, $D$9, 100%, $F$9) + CHOOSE(CONTROL!$C$27, 0.0021, 0)</f>
        <v>149.7295</v>
      </c>
      <c r="G845" s="14">
        <f>149.9988 * CHOOSE(CONTROL!$C$9, $D$9, 100%, $F$9) + CHOOSE(CONTROL!$C$27, 0.0021, 0)</f>
        <v>150.0009</v>
      </c>
      <c r="H845" s="14">
        <f>149.8641 * CHOOSE(CONTROL!$C$9, $D$9, 100%, $F$9) + CHOOSE(CONTROL!$C$27, 0.0021, 0)</f>
        <v>149.86620000000002</v>
      </c>
      <c r="I845" s="14">
        <f>149.8641 * CHOOSE(CONTROL!$C$9, $D$9, 100%, $F$9) + CHOOSE(CONTROL!$C$27, 0.0021, 0)</f>
        <v>149.86620000000002</v>
      </c>
      <c r="J845" s="14">
        <f>149.8641 * CHOOSE(CONTROL!$C$9, $D$9, 100%, $F$9) + CHOOSE(CONTROL!$C$27, 0.0021, 0)</f>
        <v>149.86620000000002</v>
      </c>
      <c r="K845" s="14">
        <f>149.8641 * CHOOSE(CONTROL!$C$9, $D$9, 100%, $F$9) + CHOOSE(CONTROL!$C$27, 0.0021, 0)</f>
        <v>149.86620000000002</v>
      </c>
      <c r="L845" s="14"/>
    </row>
    <row r="846" spans="1:12" ht="15.75" x14ac:dyDescent="0.25">
      <c r="A846" s="32">
        <v>66688</v>
      </c>
      <c r="B846" s="14">
        <f>149.6041 * CHOOSE(CONTROL!$C$9, $D$9, 100%, $F$9) + CHOOSE(CONTROL!$C$27, 0.0021, 0)</f>
        <v>149.6062</v>
      </c>
      <c r="C846" s="14">
        <f>149.1719 * CHOOSE(CONTROL!$C$9, $D$9, 100%, $F$9) + CHOOSE(CONTROL!$C$27, 0.0021, 0)</f>
        <v>149.17400000000001</v>
      </c>
      <c r="D846" s="14">
        <f>149.1719 * CHOOSE(CONTROL!$C$9, $D$9, 100%, $F$9) + CHOOSE(CONTROL!$C$27, 0.0021, 0)</f>
        <v>149.17400000000001</v>
      </c>
      <c r="E846" s="14">
        <f>149.0352 * CHOOSE(CONTROL!$C$9, $D$9, 100%, $F$9) + CHOOSE(CONTROL!$C$27, 0.0021, 0)</f>
        <v>149.03730000000002</v>
      </c>
      <c r="F846" s="14">
        <f>149.0352 * CHOOSE(CONTROL!$C$9, $D$9, 100%, $F$9) + CHOOSE(CONTROL!$C$27, 0.0021, 0)</f>
        <v>149.03730000000002</v>
      </c>
      <c r="G846" s="14">
        <f>149.3066 * CHOOSE(CONTROL!$C$9, $D$9, 100%, $F$9) + CHOOSE(CONTROL!$C$27, 0.0021, 0)</f>
        <v>149.30870000000002</v>
      </c>
      <c r="H846" s="14">
        <f>149.1719 * CHOOSE(CONTROL!$C$9, $D$9, 100%, $F$9) + CHOOSE(CONTROL!$C$27, 0.0021, 0)</f>
        <v>149.17400000000001</v>
      </c>
      <c r="I846" s="14">
        <f>149.1719 * CHOOSE(CONTROL!$C$9, $D$9, 100%, $F$9) + CHOOSE(CONTROL!$C$27, 0.0021, 0)</f>
        <v>149.17400000000001</v>
      </c>
      <c r="J846" s="14">
        <f>149.1719 * CHOOSE(CONTROL!$C$9, $D$9, 100%, $F$9) + CHOOSE(CONTROL!$C$27, 0.0021, 0)</f>
        <v>149.17400000000001</v>
      </c>
      <c r="K846" s="14">
        <f>149.1719 * CHOOSE(CONTROL!$C$9, $D$9, 100%, $F$9) + CHOOSE(CONTROL!$C$27, 0.0021, 0)</f>
        <v>149.17400000000001</v>
      </c>
      <c r="L846" s="14"/>
    </row>
    <row r="847" spans="1:12" ht="15.75" x14ac:dyDescent="0.25">
      <c r="A847" s="32">
        <v>66719</v>
      </c>
      <c r="B847" s="14">
        <f>146.1748 * CHOOSE(CONTROL!$C$9, $D$9, 100%, $F$9) + CHOOSE(CONTROL!$C$27, 0.0021, 0)</f>
        <v>146.17690000000002</v>
      </c>
      <c r="C847" s="14">
        <f>145.7425 * CHOOSE(CONTROL!$C$9, $D$9, 100%, $F$9) + CHOOSE(CONTROL!$C$27, 0.0021, 0)</f>
        <v>145.74460000000002</v>
      </c>
      <c r="D847" s="14">
        <f>145.7425 * CHOOSE(CONTROL!$C$9, $D$9, 100%, $F$9) + CHOOSE(CONTROL!$C$27, 0.0021, 0)</f>
        <v>145.74460000000002</v>
      </c>
      <c r="E847" s="14">
        <f>145.6059 * CHOOSE(CONTROL!$C$9, $D$9, 100%, $F$9) + CHOOSE(CONTROL!$C$27, 0.0021, 0)</f>
        <v>145.608</v>
      </c>
      <c r="F847" s="14">
        <f>145.6059 * CHOOSE(CONTROL!$C$9, $D$9, 100%, $F$9) + CHOOSE(CONTROL!$C$27, 0.0021, 0)</f>
        <v>145.608</v>
      </c>
      <c r="G847" s="14">
        <f>145.8772 * CHOOSE(CONTROL!$C$9, $D$9, 100%, $F$9) + CHOOSE(CONTROL!$C$27, 0.0021, 0)</f>
        <v>145.8793</v>
      </c>
      <c r="H847" s="14">
        <f>145.7425 * CHOOSE(CONTROL!$C$9, $D$9, 100%, $F$9) + CHOOSE(CONTROL!$C$27, 0.0021, 0)</f>
        <v>145.74460000000002</v>
      </c>
      <c r="I847" s="14">
        <f>145.7425 * CHOOSE(CONTROL!$C$9, $D$9, 100%, $F$9) + CHOOSE(CONTROL!$C$27, 0.0021, 0)</f>
        <v>145.74460000000002</v>
      </c>
      <c r="J847" s="14">
        <f>145.7425 * CHOOSE(CONTROL!$C$9, $D$9, 100%, $F$9) + CHOOSE(CONTROL!$C$27, 0.0021, 0)</f>
        <v>145.74460000000002</v>
      </c>
      <c r="K847" s="14">
        <f>145.7425 * CHOOSE(CONTROL!$C$9, $D$9, 100%, $F$9) + CHOOSE(CONTROL!$C$27, 0.0021, 0)</f>
        <v>145.74460000000002</v>
      </c>
      <c r="L847" s="14"/>
    </row>
    <row r="848" spans="1:12" ht="15.75" x14ac:dyDescent="0.25">
      <c r="A848" s="32">
        <v>66749</v>
      </c>
      <c r="B848" s="14">
        <f>141.3924 * CHOOSE(CONTROL!$C$9, $D$9, 100%, $F$9) + CHOOSE(CONTROL!$C$27, 0.0021, 0)</f>
        <v>141.39450000000002</v>
      </c>
      <c r="C848" s="14">
        <f>140.9601 * CHOOSE(CONTROL!$C$9, $D$9, 100%, $F$9) + CHOOSE(CONTROL!$C$27, 0.0021, 0)</f>
        <v>140.96220000000002</v>
      </c>
      <c r="D848" s="14">
        <f>140.9601 * CHOOSE(CONTROL!$C$9, $D$9, 100%, $F$9) + CHOOSE(CONTROL!$C$27, 0.0021, 0)</f>
        <v>140.96220000000002</v>
      </c>
      <c r="E848" s="14">
        <f>140.8235 * CHOOSE(CONTROL!$C$9, $D$9, 100%, $F$9) + CHOOSE(CONTROL!$C$27, 0.0021, 0)</f>
        <v>140.82560000000001</v>
      </c>
      <c r="F848" s="14">
        <f>140.8235 * CHOOSE(CONTROL!$C$9, $D$9, 100%, $F$9) + CHOOSE(CONTROL!$C$27, 0.0021, 0)</f>
        <v>140.82560000000001</v>
      </c>
      <c r="G848" s="14">
        <f>141.0948 * CHOOSE(CONTROL!$C$9, $D$9, 100%, $F$9) + CHOOSE(CONTROL!$C$27, 0.0021, 0)</f>
        <v>141.09690000000001</v>
      </c>
      <c r="H848" s="14">
        <f>140.9601 * CHOOSE(CONTROL!$C$9, $D$9, 100%, $F$9) + CHOOSE(CONTROL!$C$27, 0.0021, 0)</f>
        <v>140.96220000000002</v>
      </c>
      <c r="I848" s="14">
        <f>140.9601 * CHOOSE(CONTROL!$C$9, $D$9, 100%, $F$9) + CHOOSE(CONTROL!$C$27, 0.0021, 0)</f>
        <v>140.96220000000002</v>
      </c>
      <c r="J848" s="14">
        <f>140.9601 * CHOOSE(CONTROL!$C$9, $D$9, 100%, $F$9) + CHOOSE(CONTROL!$C$27, 0.0021, 0)</f>
        <v>140.96220000000002</v>
      </c>
      <c r="K848" s="14">
        <f>140.9601 * CHOOSE(CONTROL!$C$9, $D$9, 100%, $F$9) + CHOOSE(CONTROL!$C$27, 0.0021, 0)</f>
        <v>140.96220000000002</v>
      </c>
      <c r="L848" s="14"/>
    </row>
    <row r="849" spans="1:12" ht="15.75" x14ac:dyDescent="0.25">
      <c r="A849" s="32">
        <v>66780</v>
      </c>
      <c r="B849" s="14">
        <f>136.5821 * CHOOSE(CONTROL!$C$9, $D$9, 100%, $F$9) + CHOOSE(CONTROL!$C$27, 0.0021, 0)</f>
        <v>136.58420000000001</v>
      </c>
      <c r="C849" s="14">
        <f>136.1499 * CHOOSE(CONTROL!$C$9, $D$9, 100%, $F$9) + CHOOSE(CONTROL!$C$27, 0.0021, 0)</f>
        <v>136.15200000000002</v>
      </c>
      <c r="D849" s="14">
        <f>136.1499 * CHOOSE(CONTROL!$C$9, $D$9, 100%, $F$9) + CHOOSE(CONTROL!$C$27, 0.0021, 0)</f>
        <v>136.15200000000002</v>
      </c>
      <c r="E849" s="14">
        <f>136.0132 * CHOOSE(CONTROL!$C$9, $D$9, 100%, $F$9) + CHOOSE(CONTROL!$C$27, 0.0021, 0)</f>
        <v>136.01530000000002</v>
      </c>
      <c r="F849" s="14">
        <f>136.0132 * CHOOSE(CONTROL!$C$9, $D$9, 100%, $F$9) + CHOOSE(CONTROL!$C$27, 0.0021, 0)</f>
        <v>136.01530000000002</v>
      </c>
      <c r="G849" s="14">
        <f>136.2846 * CHOOSE(CONTROL!$C$9, $D$9, 100%, $F$9) + CHOOSE(CONTROL!$C$27, 0.0021, 0)</f>
        <v>136.28670000000002</v>
      </c>
      <c r="H849" s="14">
        <f>136.1499 * CHOOSE(CONTROL!$C$9, $D$9, 100%, $F$9) + CHOOSE(CONTROL!$C$27, 0.0021, 0)</f>
        <v>136.15200000000002</v>
      </c>
      <c r="I849" s="14">
        <f>136.1499 * CHOOSE(CONTROL!$C$9, $D$9, 100%, $F$9) + CHOOSE(CONTROL!$C$27, 0.0021, 0)</f>
        <v>136.15200000000002</v>
      </c>
      <c r="J849" s="14">
        <f>136.1499 * CHOOSE(CONTROL!$C$9, $D$9, 100%, $F$9) + CHOOSE(CONTROL!$C$27, 0.0021, 0)</f>
        <v>136.15200000000002</v>
      </c>
      <c r="K849" s="14">
        <f>136.1499 * CHOOSE(CONTROL!$C$9, $D$9, 100%, $F$9) + CHOOSE(CONTROL!$C$27, 0.0021, 0)</f>
        <v>136.15200000000002</v>
      </c>
      <c r="L849" s="14"/>
    </row>
    <row r="850" spans="1:12" ht="15.75" x14ac:dyDescent="0.25">
      <c r="A850" s="32">
        <v>66810</v>
      </c>
      <c r="B850" s="14">
        <f>135.6253 * CHOOSE(CONTROL!$C$9, $D$9, 100%, $F$9) + CHOOSE(CONTROL!$C$27, 0.0021, 0)</f>
        <v>135.62740000000002</v>
      </c>
      <c r="C850" s="14">
        <f>135.1931 * CHOOSE(CONTROL!$C$9, $D$9, 100%, $F$9) + CHOOSE(CONTROL!$C$27, 0.0021, 0)</f>
        <v>135.1952</v>
      </c>
      <c r="D850" s="14">
        <f>135.1931 * CHOOSE(CONTROL!$C$9, $D$9, 100%, $F$9) + CHOOSE(CONTROL!$C$27, 0.0021, 0)</f>
        <v>135.1952</v>
      </c>
      <c r="E850" s="14">
        <f>135.0564 * CHOOSE(CONTROL!$C$9, $D$9, 100%, $F$9) + CHOOSE(CONTROL!$C$27, 0.0021, 0)</f>
        <v>135.05850000000001</v>
      </c>
      <c r="F850" s="14">
        <f>135.0564 * CHOOSE(CONTROL!$C$9, $D$9, 100%, $F$9) + CHOOSE(CONTROL!$C$27, 0.0021, 0)</f>
        <v>135.05850000000001</v>
      </c>
      <c r="G850" s="14">
        <f>135.3278 * CHOOSE(CONTROL!$C$9, $D$9, 100%, $F$9) + CHOOSE(CONTROL!$C$27, 0.0021, 0)</f>
        <v>135.32990000000001</v>
      </c>
      <c r="H850" s="14">
        <f>135.1931 * CHOOSE(CONTROL!$C$9, $D$9, 100%, $F$9) + CHOOSE(CONTROL!$C$27, 0.0021, 0)</f>
        <v>135.1952</v>
      </c>
      <c r="I850" s="14">
        <f>135.1931 * CHOOSE(CONTROL!$C$9, $D$9, 100%, $F$9) + CHOOSE(CONTROL!$C$27, 0.0021, 0)</f>
        <v>135.1952</v>
      </c>
      <c r="J850" s="14">
        <f>135.1931 * CHOOSE(CONTROL!$C$9, $D$9, 100%, $F$9) + CHOOSE(CONTROL!$C$27, 0.0021, 0)</f>
        <v>135.1952</v>
      </c>
      <c r="K850" s="14">
        <f>135.1931 * CHOOSE(CONTROL!$C$9, $D$9, 100%, $F$9) + CHOOSE(CONTROL!$C$27, 0.0021, 0)</f>
        <v>135.1952</v>
      </c>
      <c r="L850" s="14"/>
    </row>
    <row r="851" spans="1:12" ht="15.75" x14ac:dyDescent="0.25">
      <c r="A851" s="32">
        <v>66841</v>
      </c>
      <c r="B851" s="14">
        <f>131.6686 * CHOOSE(CONTROL!$C$9, $D$9, 100%, $F$9) + CHOOSE(CONTROL!$C$27, 0.0021, 0)</f>
        <v>131.67070000000001</v>
      </c>
      <c r="C851" s="14">
        <f>131.2364 * CHOOSE(CONTROL!$C$9, $D$9, 100%, $F$9) + CHOOSE(CONTROL!$C$27, 0.0021, 0)</f>
        <v>131.23850000000002</v>
      </c>
      <c r="D851" s="14">
        <f>131.2364 * CHOOSE(CONTROL!$C$9, $D$9, 100%, $F$9) + CHOOSE(CONTROL!$C$27, 0.0021, 0)</f>
        <v>131.23850000000002</v>
      </c>
      <c r="E851" s="14">
        <f>131.0997 * CHOOSE(CONTROL!$C$9, $D$9, 100%, $F$9) + CHOOSE(CONTROL!$C$27, 0.0021, 0)</f>
        <v>131.10180000000003</v>
      </c>
      <c r="F851" s="14">
        <f>131.0997 * CHOOSE(CONTROL!$C$9, $D$9, 100%, $F$9) + CHOOSE(CONTROL!$C$27, 0.0021, 0)</f>
        <v>131.10180000000003</v>
      </c>
      <c r="G851" s="14">
        <f>131.3711 * CHOOSE(CONTROL!$C$9, $D$9, 100%, $F$9) + CHOOSE(CONTROL!$C$27, 0.0021, 0)</f>
        <v>131.37320000000003</v>
      </c>
      <c r="H851" s="14">
        <f>131.2364 * CHOOSE(CONTROL!$C$9, $D$9, 100%, $F$9) + CHOOSE(CONTROL!$C$27, 0.0021, 0)</f>
        <v>131.23850000000002</v>
      </c>
      <c r="I851" s="14">
        <f>131.2364 * CHOOSE(CONTROL!$C$9, $D$9, 100%, $F$9) + CHOOSE(CONTROL!$C$27, 0.0021, 0)</f>
        <v>131.23850000000002</v>
      </c>
      <c r="J851" s="14">
        <f>131.2364 * CHOOSE(CONTROL!$C$9, $D$9, 100%, $F$9) + CHOOSE(CONTROL!$C$27, 0.0021, 0)</f>
        <v>131.23850000000002</v>
      </c>
      <c r="K851" s="14">
        <f>131.2364 * CHOOSE(CONTROL!$C$9, $D$9, 100%, $F$9) + CHOOSE(CONTROL!$C$27, 0.0021, 0)</f>
        <v>131.23850000000002</v>
      </c>
      <c r="L851" s="14"/>
    </row>
    <row r="852" spans="1:12" ht="15.75" x14ac:dyDescent="0.25">
      <c r="A852" s="32">
        <v>66872</v>
      </c>
      <c r="B852" s="14">
        <f>130.8983 * CHOOSE(CONTROL!$C$9, $D$9, 100%, $F$9) + CHOOSE(CONTROL!$C$27, 0.0021, 0)</f>
        <v>130.90040000000002</v>
      </c>
      <c r="C852" s="14">
        <f>130.4661 * CHOOSE(CONTROL!$C$9, $D$9, 100%, $F$9) + CHOOSE(CONTROL!$C$27, 0.0021, 0)</f>
        <v>130.46820000000002</v>
      </c>
      <c r="D852" s="14">
        <f>130.4661 * CHOOSE(CONTROL!$C$9, $D$9, 100%, $F$9) + CHOOSE(CONTROL!$C$27, 0.0021, 0)</f>
        <v>130.46820000000002</v>
      </c>
      <c r="E852" s="14">
        <f>130.3294 * CHOOSE(CONTROL!$C$9, $D$9, 100%, $F$9) + CHOOSE(CONTROL!$C$27, 0.0021, 0)</f>
        <v>130.33150000000001</v>
      </c>
      <c r="F852" s="14">
        <f>130.3294 * CHOOSE(CONTROL!$C$9, $D$9, 100%, $F$9) + CHOOSE(CONTROL!$C$27, 0.0021, 0)</f>
        <v>130.33150000000001</v>
      </c>
      <c r="G852" s="14">
        <f>130.6008 * CHOOSE(CONTROL!$C$9, $D$9, 100%, $F$9) + CHOOSE(CONTROL!$C$27, 0.0021, 0)</f>
        <v>130.60290000000001</v>
      </c>
      <c r="H852" s="14">
        <f>130.4661 * CHOOSE(CONTROL!$C$9, $D$9, 100%, $F$9) + CHOOSE(CONTROL!$C$27, 0.0021, 0)</f>
        <v>130.46820000000002</v>
      </c>
      <c r="I852" s="14">
        <f>130.4661 * CHOOSE(CONTROL!$C$9, $D$9, 100%, $F$9) + CHOOSE(CONTROL!$C$27, 0.0021, 0)</f>
        <v>130.46820000000002</v>
      </c>
      <c r="J852" s="14">
        <f>130.4661 * CHOOSE(CONTROL!$C$9, $D$9, 100%, $F$9) + CHOOSE(CONTROL!$C$27, 0.0021, 0)</f>
        <v>130.46820000000002</v>
      </c>
      <c r="K852" s="14">
        <f>130.4661 * CHOOSE(CONTROL!$C$9, $D$9, 100%, $F$9) + CHOOSE(CONTROL!$C$27, 0.0021, 0)</f>
        <v>130.46820000000002</v>
      </c>
      <c r="L852" s="14"/>
    </row>
    <row r="853" spans="1:12" ht="15.75" x14ac:dyDescent="0.25">
      <c r="A853" s="32">
        <v>66900</v>
      </c>
      <c r="B853" s="14">
        <f>130.5408 * CHOOSE(CONTROL!$C$9, $D$9, 100%, $F$9) + CHOOSE(CONTROL!$C$27, 0.0021, 0)</f>
        <v>130.5429</v>
      </c>
      <c r="C853" s="14">
        <f>130.1086 * CHOOSE(CONTROL!$C$9, $D$9, 100%, $F$9) + CHOOSE(CONTROL!$C$27, 0.0021, 0)</f>
        <v>130.11070000000001</v>
      </c>
      <c r="D853" s="14">
        <f>130.1086 * CHOOSE(CONTROL!$C$9, $D$9, 100%, $F$9) + CHOOSE(CONTROL!$C$27, 0.0021, 0)</f>
        <v>130.11070000000001</v>
      </c>
      <c r="E853" s="14">
        <f>129.9719 * CHOOSE(CONTROL!$C$9, $D$9, 100%, $F$9) + CHOOSE(CONTROL!$C$27, 0.0021, 0)</f>
        <v>129.97400000000002</v>
      </c>
      <c r="F853" s="14">
        <f>129.9719 * CHOOSE(CONTROL!$C$9, $D$9, 100%, $F$9) + CHOOSE(CONTROL!$C$27, 0.0021, 0)</f>
        <v>129.97400000000002</v>
      </c>
      <c r="G853" s="14">
        <f>130.2433 * CHOOSE(CONTROL!$C$9, $D$9, 100%, $F$9) + CHOOSE(CONTROL!$C$27, 0.0021, 0)</f>
        <v>130.24540000000002</v>
      </c>
      <c r="H853" s="14">
        <f>130.1086 * CHOOSE(CONTROL!$C$9, $D$9, 100%, $F$9) + CHOOSE(CONTROL!$C$27, 0.0021, 0)</f>
        <v>130.11070000000001</v>
      </c>
      <c r="I853" s="14">
        <f>130.1086 * CHOOSE(CONTROL!$C$9, $D$9, 100%, $F$9) + CHOOSE(CONTROL!$C$27, 0.0021, 0)</f>
        <v>130.11070000000001</v>
      </c>
      <c r="J853" s="14">
        <f>130.1086 * CHOOSE(CONTROL!$C$9, $D$9, 100%, $F$9) + CHOOSE(CONTROL!$C$27, 0.0021, 0)</f>
        <v>130.11070000000001</v>
      </c>
      <c r="K853" s="14">
        <f>130.1086 * CHOOSE(CONTROL!$C$9, $D$9, 100%, $F$9) + CHOOSE(CONTROL!$C$27, 0.0021, 0)</f>
        <v>130.11070000000001</v>
      </c>
      <c r="L853" s="14"/>
    </row>
    <row r="854" spans="1:12" ht="15.75" x14ac:dyDescent="0.25">
      <c r="A854" s="32">
        <v>66931</v>
      </c>
      <c r="B854" s="14">
        <f>137.3003 * CHOOSE(CONTROL!$C$9, $D$9, 100%, $F$9) + CHOOSE(CONTROL!$C$27, 0.0021, 0)</f>
        <v>137.30240000000001</v>
      </c>
      <c r="C854" s="14">
        <f>136.868 * CHOOSE(CONTROL!$C$9, $D$9, 100%, $F$9) + CHOOSE(CONTROL!$C$27, 0.0021, 0)</f>
        <v>136.87010000000001</v>
      </c>
      <c r="D854" s="14">
        <f>136.868 * CHOOSE(CONTROL!$C$9, $D$9, 100%, $F$9) + CHOOSE(CONTROL!$C$27, 0.0021, 0)</f>
        <v>136.87010000000001</v>
      </c>
      <c r="E854" s="14">
        <f>136.7314 * CHOOSE(CONTROL!$C$9, $D$9, 100%, $F$9) + CHOOSE(CONTROL!$C$27, 0.0021, 0)</f>
        <v>136.73350000000002</v>
      </c>
      <c r="F854" s="14">
        <f>136.7314 * CHOOSE(CONTROL!$C$9, $D$9, 100%, $F$9) + CHOOSE(CONTROL!$C$27, 0.0021, 0)</f>
        <v>136.73350000000002</v>
      </c>
      <c r="G854" s="14">
        <f>137.0027 * CHOOSE(CONTROL!$C$9, $D$9, 100%, $F$9) + CHOOSE(CONTROL!$C$27, 0.0021, 0)</f>
        <v>137.00480000000002</v>
      </c>
      <c r="H854" s="14">
        <f>136.868 * CHOOSE(CONTROL!$C$9, $D$9, 100%, $F$9) + CHOOSE(CONTROL!$C$27, 0.0021, 0)</f>
        <v>136.87010000000001</v>
      </c>
      <c r="I854" s="14">
        <f>136.868 * CHOOSE(CONTROL!$C$9, $D$9, 100%, $F$9) + CHOOSE(CONTROL!$C$27, 0.0021, 0)</f>
        <v>136.87010000000001</v>
      </c>
      <c r="J854" s="14">
        <f>136.868 * CHOOSE(CONTROL!$C$9, $D$9, 100%, $F$9) + CHOOSE(CONTROL!$C$27, 0.0021, 0)</f>
        <v>136.87010000000001</v>
      </c>
      <c r="K854" s="14">
        <f>136.868 * CHOOSE(CONTROL!$C$9, $D$9, 100%, $F$9) + CHOOSE(CONTROL!$C$27, 0.0021, 0)</f>
        <v>136.87010000000001</v>
      </c>
      <c r="L854" s="14"/>
    </row>
    <row r="855" spans="1:12" ht="15.75" x14ac:dyDescent="0.25">
      <c r="A855" s="32">
        <v>66961</v>
      </c>
      <c r="B855" s="14">
        <f>146.0656 * CHOOSE(CONTROL!$C$9, $D$9, 100%, $F$9) + CHOOSE(CONTROL!$C$27, 0.0021, 0)</f>
        <v>146.0677</v>
      </c>
      <c r="C855" s="14">
        <f>145.6334 * CHOOSE(CONTROL!$C$9, $D$9, 100%, $F$9) + CHOOSE(CONTROL!$C$27, 0.0021, 0)</f>
        <v>145.63550000000001</v>
      </c>
      <c r="D855" s="14">
        <f>145.6334 * CHOOSE(CONTROL!$C$9, $D$9, 100%, $F$9) + CHOOSE(CONTROL!$C$27, 0.0021, 0)</f>
        <v>145.63550000000001</v>
      </c>
      <c r="E855" s="14">
        <f>145.4967 * CHOOSE(CONTROL!$C$9, $D$9, 100%, $F$9) + CHOOSE(CONTROL!$C$27, 0.0021, 0)</f>
        <v>145.49880000000002</v>
      </c>
      <c r="F855" s="14">
        <f>145.4967 * CHOOSE(CONTROL!$C$9, $D$9, 100%, $F$9) + CHOOSE(CONTROL!$C$27, 0.0021, 0)</f>
        <v>145.49880000000002</v>
      </c>
      <c r="G855" s="14">
        <f>145.7681 * CHOOSE(CONTROL!$C$9, $D$9, 100%, $F$9) + CHOOSE(CONTROL!$C$27, 0.0021, 0)</f>
        <v>145.77020000000002</v>
      </c>
      <c r="H855" s="14">
        <f>145.6334 * CHOOSE(CONTROL!$C$9, $D$9, 100%, $F$9) + CHOOSE(CONTROL!$C$27, 0.0021, 0)</f>
        <v>145.63550000000001</v>
      </c>
      <c r="I855" s="14">
        <f>145.6334 * CHOOSE(CONTROL!$C$9, $D$9, 100%, $F$9) + CHOOSE(CONTROL!$C$27, 0.0021, 0)</f>
        <v>145.63550000000001</v>
      </c>
      <c r="J855" s="14">
        <f>145.6334 * CHOOSE(CONTROL!$C$9, $D$9, 100%, $F$9) + CHOOSE(CONTROL!$C$27, 0.0021, 0)</f>
        <v>145.63550000000001</v>
      </c>
      <c r="K855" s="14">
        <f>145.6334 * CHOOSE(CONTROL!$C$9, $D$9, 100%, $F$9) + CHOOSE(CONTROL!$C$27, 0.0021, 0)</f>
        <v>145.63550000000001</v>
      </c>
      <c r="L855" s="14"/>
    </row>
    <row r="856" spans="1:12" ht="15.75" x14ac:dyDescent="0.25">
      <c r="A856" s="32">
        <v>66992</v>
      </c>
      <c r="B856" s="14">
        <f>150.8904 * CHOOSE(CONTROL!$C$9, $D$9, 100%, $F$9) + CHOOSE(CONTROL!$C$27, 0.0021, 0)</f>
        <v>150.89250000000001</v>
      </c>
      <c r="C856" s="14">
        <f>150.4581 * CHOOSE(CONTROL!$C$9, $D$9, 100%, $F$9) + CHOOSE(CONTROL!$C$27, 0.0021, 0)</f>
        <v>150.46020000000001</v>
      </c>
      <c r="D856" s="14">
        <f>150.4581 * CHOOSE(CONTROL!$C$9, $D$9, 100%, $F$9) + CHOOSE(CONTROL!$C$27, 0.0021, 0)</f>
        <v>150.46020000000001</v>
      </c>
      <c r="E856" s="14">
        <f>150.3215 * CHOOSE(CONTROL!$C$9, $D$9, 100%, $F$9) + CHOOSE(CONTROL!$C$27, 0.0021, 0)</f>
        <v>150.3236</v>
      </c>
      <c r="F856" s="14">
        <f>150.3215 * CHOOSE(CONTROL!$C$9, $D$9, 100%, $F$9) + CHOOSE(CONTROL!$C$27, 0.0021, 0)</f>
        <v>150.3236</v>
      </c>
      <c r="G856" s="14">
        <f>150.5929 * CHOOSE(CONTROL!$C$9, $D$9, 100%, $F$9) + CHOOSE(CONTROL!$C$27, 0.0021, 0)</f>
        <v>150.595</v>
      </c>
      <c r="H856" s="14">
        <f>150.4581 * CHOOSE(CONTROL!$C$9, $D$9, 100%, $F$9) + CHOOSE(CONTROL!$C$27, 0.0021, 0)</f>
        <v>150.46020000000001</v>
      </c>
      <c r="I856" s="14">
        <f>150.4581 * CHOOSE(CONTROL!$C$9, $D$9, 100%, $F$9) + CHOOSE(CONTROL!$C$27, 0.0021, 0)</f>
        <v>150.46020000000001</v>
      </c>
      <c r="J856" s="14">
        <f>150.4581 * CHOOSE(CONTROL!$C$9, $D$9, 100%, $F$9) + CHOOSE(CONTROL!$C$27, 0.0021, 0)</f>
        <v>150.46020000000001</v>
      </c>
      <c r="K856" s="14">
        <f>150.4581 * CHOOSE(CONTROL!$C$9, $D$9, 100%, $F$9) + CHOOSE(CONTROL!$C$27, 0.0021, 0)</f>
        <v>150.46020000000001</v>
      </c>
      <c r="L856" s="14"/>
    </row>
    <row r="857" spans="1:12" ht="15.75" x14ac:dyDescent="0.25">
      <c r="A857" s="32">
        <v>67022</v>
      </c>
      <c r="B857" s="14">
        <f>153.0315 * CHOOSE(CONTROL!$C$9, $D$9, 100%, $F$9) + CHOOSE(CONTROL!$C$27, 0.0021, 0)</f>
        <v>153.03360000000001</v>
      </c>
      <c r="C857" s="14">
        <f>152.5993 * CHOOSE(CONTROL!$C$9, $D$9, 100%, $F$9) + CHOOSE(CONTROL!$C$27, 0.0021, 0)</f>
        <v>152.60140000000001</v>
      </c>
      <c r="D857" s="14">
        <f>152.5993 * CHOOSE(CONTROL!$C$9, $D$9, 100%, $F$9) + CHOOSE(CONTROL!$C$27, 0.0021, 0)</f>
        <v>152.60140000000001</v>
      </c>
      <c r="E857" s="14">
        <f>152.4626 * CHOOSE(CONTROL!$C$9, $D$9, 100%, $F$9) + CHOOSE(CONTROL!$C$27, 0.0021, 0)</f>
        <v>152.46470000000002</v>
      </c>
      <c r="F857" s="14">
        <f>152.4626 * CHOOSE(CONTROL!$C$9, $D$9, 100%, $F$9) + CHOOSE(CONTROL!$C$27, 0.0021, 0)</f>
        <v>152.46470000000002</v>
      </c>
      <c r="G857" s="14">
        <f>152.734 * CHOOSE(CONTROL!$C$9, $D$9, 100%, $F$9) + CHOOSE(CONTROL!$C$27, 0.0021, 0)</f>
        <v>152.73610000000002</v>
      </c>
      <c r="H857" s="14">
        <f>152.5993 * CHOOSE(CONTROL!$C$9, $D$9, 100%, $F$9) + CHOOSE(CONTROL!$C$27, 0.0021, 0)</f>
        <v>152.60140000000001</v>
      </c>
      <c r="I857" s="14">
        <f>152.5993 * CHOOSE(CONTROL!$C$9, $D$9, 100%, $F$9) + CHOOSE(CONTROL!$C$27, 0.0021, 0)</f>
        <v>152.60140000000001</v>
      </c>
      <c r="J857" s="14">
        <f>152.5993 * CHOOSE(CONTROL!$C$9, $D$9, 100%, $F$9) + CHOOSE(CONTROL!$C$27, 0.0021, 0)</f>
        <v>152.60140000000001</v>
      </c>
      <c r="K857" s="14">
        <f>152.5993 * CHOOSE(CONTROL!$C$9, $D$9, 100%, $F$9) + CHOOSE(CONTROL!$C$27, 0.0021, 0)</f>
        <v>152.60140000000001</v>
      </c>
      <c r="L857" s="14"/>
    </row>
    <row r="858" spans="1:12" ht="15.75" x14ac:dyDescent="0.25">
      <c r="A858" s="32">
        <v>67053</v>
      </c>
      <c r="B858" s="14">
        <f>152.3266 * CHOOSE(CONTROL!$C$9, $D$9, 100%, $F$9) + CHOOSE(CONTROL!$C$27, 0.0021, 0)</f>
        <v>152.32870000000003</v>
      </c>
      <c r="C858" s="14">
        <f>151.8943 * CHOOSE(CONTROL!$C$9, $D$9, 100%, $F$9) + CHOOSE(CONTROL!$C$27, 0.0021, 0)</f>
        <v>151.8964</v>
      </c>
      <c r="D858" s="14">
        <f>151.8943 * CHOOSE(CONTROL!$C$9, $D$9, 100%, $F$9) + CHOOSE(CONTROL!$C$27, 0.0021, 0)</f>
        <v>151.8964</v>
      </c>
      <c r="E858" s="14">
        <f>151.7577 * CHOOSE(CONTROL!$C$9, $D$9, 100%, $F$9) + CHOOSE(CONTROL!$C$27, 0.0021, 0)</f>
        <v>151.75980000000001</v>
      </c>
      <c r="F858" s="14">
        <f>151.7577 * CHOOSE(CONTROL!$C$9, $D$9, 100%, $F$9) + CHOOSE(CONTROL!$C$27, 0.0021, 0)</f>
        <v>151.75980000000001</v>
      </c>
      <c r="G858" s="14">
        <f>152.029 * CHOOSE(CONTROL!$C$9, $D$9, 100%, $F$9) + CHOOSE(CONTROL!$C$27, 0.0021, 0)</f>
        <v>152.03110000000001</v>
      </c>
      <c r="H858" s="14">
        <f>151.8943 * CHOOSE(CONTROL!$C$9, $D$9, 100%, $F$9) + CHOOSE(CONTROL!$C$27, 0.0021, 0)</f>
        <v>151.8964</v>
      </c>
      <c r="I858" s="14">
        <f>151.8943 * CHOOSE(CONTROL!$C$9, $D$9, 100%, $F$9) + CHOOSE(CONTROL!$C$27, 0.0021, 0)</f>
        <v>151.8964</v>
      </c>
      <c r="J858" s="14">
        <f>151.8943 * CHOOSE(CONTROL!$C$9, $D$9, 100%, $F$9) + CHOOSE(CONTROL!$C$27, 0.0021, 0)</f>
        <v>151.8964</v>
      </c>
      <c r="K858" s="14">
        <f>151.8943 * CHOOSE(CONTROL!$C$9, $D$9, 100%, $F$9) + CHOOSE(CONTROL!$C$27, 0.0021, 0)</f>
        <v>151.8964</v>
      </c>
      <c r="L858" s="14"/>
    </row>
    <row r="859" spans="1:12" ht="15.75" x14ac:dyDescent="0.25">
      <c r="A859" s="32">
        <v>67084</v>
      </c>
      <c r="B859" s="14">
        <f>148.8338 * CHOOSE(CONTROL!$C$9, $D$9, 100%, $F$9) + CHOOSE(CONTROL!$C$27, 0.0021, 0)</f>
        <v>148.83590000000001</v>
      </c>
      <c r="C859" s="14">
        <f>148.4016 * CHOOSE(CONTROL!$C$9, $D$9, 100%, $F$9) + CHOOSE(CONTROL!$C$27, 0.0021, 0)</f>
        <v>148.40370000000001</v>
      </c>
      <c r="D859" s="14">
        <f>148.4016 * CHOOSE(CONTROL!$C$9, $D$9, 100%, $F$9) + CHOOSE(CONTROL!$C$27, 0.0021, 0)</f>
        <v>148.40370000000001</v>
      </c>
      <c r="E859" s="14">
        <f>148.2649 * CHOOSE(CONTROL!$C$9, $D$9, 100%, $F$9) + CHOOSE(CONTROL!$C$27, 0.0021, 0)</f>
        <v>148.26700000000002</v>
      </c>
      <c r="F859" s="14">
        <f>148.2649 * CHOOSE(CONTROL!$C$9, $D$9, 100%, $F$9) + CHOOSE(CONTROL!$C$27, 0.0021, 0)</f>
        <v>148.26700000000002</v>
      </c>
      <c r="G859" s="14">
        <f>148.5363 * CHOOSE(CONTROL!$C$9, $D$9, 100%, $F$9) + CHOOSE(CONTROL!$C$27, 0.0021, 0)</f>
        <v>148.53840000000002</v>
      </c>
      <c r="H859" s="14">
        <f>148.4016 * CHOOSE(CONTROL!$C$9, $D$9, 100%, $F$9) + CHOOSE(CONTROL!$C$27, 0.0021, 0)</f>
        <v>148.40370000000001</v>
      </c>
      <c r="I859" s="14">
        <f>148.4016 * CHOOSE(CONTROL!$C$9, $D$9, 100%, $F$9) + CHOOSE(CONTROL!$C$27, 0.0021, 0)</f>
        <v>148.40370000000001</v>
      </c>
      <c r="J859" s="14">
        <f>148.4016 * CHOOSE(CONTROL!$C$9, $D$9, 100%, $F$9) + CHOOSE(CONTROL!$C$27, 0.0021, 0)</f>
        <v>148.40370000000001</v>
      </c>
      <c r="K859" s="14">
        <f>148.4016 * CHOOSE(CONTROL!$C$9, $D$9, 100%, $F$9) + CHOOSE(CONTROL!$C$27, 0.0021, 0)</f>
        <v>148.40370000000001</v>
      </c>
      <c r="L859" s="14"/>
    </row>
    <row r="860" spans="1:12" ht="15.75" x14ac:dyDescent="0.25">
      <c r="A860" s="32">
        <v>67114</v>
      </c>
      <c r="B860" s="14">
        <f>143.963 * CHOOSE(CONTROL!$C$9, $D$9, 100%, $F$9) + CHOOSE(CONTROL!$C$27, 0.0021, 0)</f>
        <v>143.96510000000001</v>
      </c>
      <c r="C860" s="14">
        <f>143.5308 * CHOOSE(CONTROL!$C$9, $D$9, 100%, $F$9) + CHOOSE(CONTROL!$C$27, 0.0021, 0)</f>
        <v>143.53290000000001</v>
      </c>
      <c r="D860" s="14">
        <f>143.5308 * CHOOSE(CONTROL!$C$9, $D$9, 100%, $F$9) + CHOOSE(CONTROL!$C$27, 0.0021, 0)</f>
        <v>143.53290000000001</v>
      </c>
      <c r="E860" s="14">
        <f>143.3941 * CHOOSE(CONTROL!$C$9, $D$9, 100%, $F$9) + CHOOSE(CONTROL!$C$27, 0.0021, 0)</f>
        <v>143.39620000000002</v>
      </c>
      <c r="F860" s="14">
        <f>143.3941 * CHOOSE(CONTROL!$C$9, $D$9, 100%, $F$9) + CHOOSE(CONTROL!$C$27, 0.0021, 0)</f>
        <v>143.39620000000002</v>
      </c>
      <c r="G860" s="14">
        <f>143.6655 * CHOOSE(CONTROL!$C$9, $D$9, 100%, $F$9) + CHOOSE(CONTROL!$C$27, 0.0021, 0)</f>
        <v>143.66760000000002</v>
      </c>
      <c r="H860" s="14">
        <f>143.5308 * CHOOSE(CONTROL!$C$9, $D$9, 100%, $F$9) + CHOOSE(CONTROL!$C$27, 0.0021, 0)</f>
        <v>143.53290000000001</v>
      </c>
      <c r="I860" s="14">
        <f>143.5308 * CHOOSE(CONTROL!$C$9, $D$9, 100%, $F$9) + CHOOSE(CONTROL!$C$27, 0.0021, 0)</f>
        <v>143.53290000000001</v>
      </c>
      <c r="J860" s="14">
        <f>143.5308 * CHOOSE(CONTROL!$C$9, $D$9, 100%, $F$9) + CHOOSE(CONTROL!$C$27, 0.0021, 0)</f>
        <v>143.53290000000001</v>
      </c>
      <c r="K860" s="14">
        <f>143.5308 * CHOOSE(CONTROL!$C$9, $D$9, 100%, $F$9) + CHOOSE(CONTROL!$C$27, 0.0021, 0)</f>
        <v>143.53290000000001</v>
      </c>
      <c r="L860" s="14"/>
    </row>
    <row r="861" spans="1:12" ht="15.75" x14ac:dyDescent="0.25">
      <c r="A861" s="32">
        <v>67145</v>
      </c>
      <c r="B861" s="14">
        <f>139.0639 * CHOOSE(CONTROL!$C$9, $D$9, 100%, $F$9) + CHOOSE(CONTROL!$C$27, 0.0021, 0)</f>
        <v>139.066</v>
      </c>
      <c r="C861" s="14">
        <f>138.6317 * CHOOSE(CONTROL!$C$9, $D$9, 100%, $F$9) + CHOOSE(CONTROL!$C$27, 0.0021, 0)</f>
        <v>138.63380000000001</v>
      </c>
      <c r="D861" s="14">
        <f>138.6317 * CHOOSE(CONTROL!$C$9, $D$9, 100%, $F$9) + CHOOSE(CONTROL!$C$27, 0.0021, 0)</f>
        <v>138.63380000000001</v>
      </c>
      <c r="E861" s="14">
        <f>138.495 * CHOOSE(CONTROL!$C$9, $D$9, 100%, $F$9) + CHOOSE(CONTROL!$C$27, 0.0021, 0)</f>
        <v>138.49710000000002</v>
      </c>
      <c r="F861" s="14">
        <f>138.495 * CHOOSE(CONTROL!$C$9, $D$9, 100%, $F$9) + CHOOSE(CONTROL!$C$27, 0.0021, 0)</f>
        <v>138.49710000000002</v>
      </c>
      <c r="G861" s="14">
        <f>138.7664 * CHOOSE(CONTROL!$C$9, $D$9, 100%, $F$9) + CHOOSE(CONTROL!$C$27, 0.0021, 0)</f>
        <v>138.76850000000002</v>
      </c>
      <c r="H861" s="14">
        <f>138.6317 * CHOOSE(CONTROL!$C$9, $D$9, 100%, $F$9) + CHOOSE(CONTROL!$C$27, 0.0021, 0)</f>
        <v>138.63380000000001</v>
      </c>
      <c r="I861" s="14">
        <f>138.6317 * CHOOSE(CONTROL!$C$9, $D$9, 100%, $F$9) + CHOOSE(CONTROL!$C$27, 0.0021, 0)</f>
        <v>138.63380000000001</v>
      </c>
      <c r="J861" s="14">
        <f>138.6317 * CHOOSE(CONTROL!$C$9, $D$9, 100%, $F$9) + CHOOSE(CONTROL!$C$27, 0.0021, 0)</f>
        <v>138.63380000000001</v>
      </c>
      <c r="K861" s="14">
        <f>138.6317 * CHOOSE(CONTROL!$C$9, $D$9, 100%, $F$9) + CHOOSE(CONTROL!$C$27, 0.0021, 0)</f>
        <v>138.63380000000001</v>
      </c>
      <c r="L861" s="14"/>
    </row>
    <row r="862" spans="1:12" ht="15.75" x14ac:dyDescent="0.25">
      <c r="A862" s="32">
        <v>67175</v>
      </c>
      <c r="B862" s="14">
        <f>138.0894 * CHOOSE(CONTROL!$C$9, $D$9, 100%, $F$9) + CHOOSE(CONTROL!$C$27, 0.0021, 0)</f>
        <v>138.09150000000002</v>
      </c>
      <c r="C862" s="14">
        <f>137.6571 * CHOOSE(CONTROL!$C$9, $D$9, 100%, $F$9) + CHOOSE(CONTROL!$C$27, 0.0021, 0)</f>
        <v>137.65920000000003</v>
      </c>
      <c r="D862" s="14">
        <f>137.6571 * CHOOSE(CONTROL!$C$9, $D$9, 100%, $F$9) + CHOOSE(CONTROL!$C$27, 0.0021, 0)</f>
        <v>137.65920000000003</v>
      </c>
      <c r="E862" s="14">
        <f>137.5205 * CHOOSE(CONTROL!$C$9, $D$9, 100%, $F$9) + CHOOSE(CONTROL!$C$27, 0.0021, 0)</f>
        <v>137.52260000000001</v>
      </c>
      <c r="F862" s="14">
        <f>137.5205 * CHOOSE(CONTROL!$C$9, $D$9, 100%, $F$9) + CHOOSE(CONTROL!$C$27, 0.0021, 0)</f>
        <v>137.52260000000001</v>
      </c>
      <c r="G862" s="14">
        <f>137.7919 * CHOOSE(CONTROL!$C$9, $D$9, 100%, $F$9) + CHOOSE(CONTROL!$C$27, 0.0021, 0)</f>
        <v>137.79400000000001</v>
      </c>
      <c r="H862" s="14">
        <f>137.6571 * CHOOSE(CONTROL!$C$9, $D$9, 100%, $F$9) + CHOOSE(CONTROL!$C$27, 0.0021, 0)</f>
        <v>137.65920000000003</v>
      </c>
      <c r="I862" s="14">
        <f>137.6571 * CHOOSE(CONTROL!$C$9, $D$9, 100%, $F$9) + CHOOSE(CONTROL!$C$27, 0.0021, 0)</f>
        <v>137.65920000000003</v>
      </c>
      <c r="J862" s="14">
        <f>137.6571 * CHOOSE(CONTROL!$C$9, $D$9, 100%, $F$9) + CHOOSE(CONTROL!$C$27, 0.0021, 0)</f>
        <v>137.65920000000003</v>
      </c>
      <c r="K862" s="14">
        <f>137.6571 * CHOOSE(CONTROL!$C$9, $D$9, 100%, $F$9) + CHOOSE(CONTROL!$C$27, 0.0021, 0)</f>
        <v>137.65920000000003</v>
      </c>
      <c r="L862" s="14"/>
    </row>
    <row r="863" spans="1:12" ht="15.75" x14ac:dyDescent="0.25">
      <c r="A863" s="32">
        <v>67206</v>
      </c>
      <c r="B863" s="14">
        <f>134.0596 * CHOOSE(CONTROL!$C$9, $D$9, 100%, $F$9) + CHOOSE(CONTROL!$C$27, 0.0021, 0)</f>
        <v>134.0617</v>
      </c>
      <c r="C863" s="14">
        <f>133.6274 * CHOOSE(CONTROL!$C$9, $D$9, 100%, $F$9) + CHOOSE(CONTROL!$C$27, 0.0021, 0)</f>
        <v>133.62950000000001</v>
      </c>
      <c r="D863" s="14">
        <f>133.6274 * CHOOSE(CONTROL!$C$9, $D$9, 100%, $F$9) + CHOOSE(CONTROL!$C$27, 0.0021, 0)</f>
        <v>133.62950000000001</v>
      </c>
      <c r="E863" s="14">
        <f>133.4907 * CHOOSE(CONTROL!$C$9, $D$9, 100%, $F$9) + CHOOSE(CONTROL!$C$27, 0.0021, 0)</f>
        <v>133.49280000000002</v>
      </c>
      <c r="F863" s="14">
        <f>133.4907 * CHOOSE(CONTROL!$C$9, $D$9, 100%, $F$9) + CHOOSE(CONTROL!$C$27, 0.0021, 0)</f>
        <v>133.49280000000002</v>
      </c>
      <c r="G863" s="14">
        <f>133.7621 * CHOOSE(CONTROL!$C$9, $D$9, 100%, $F$9) + CHOOSE(CONTROL!$C$27, 0.0021, 0)</f>
        <v>133.76420000000002</v>
      </c>
      <c r="H863" s="14">
        <f>133.6274 * CHOOSE(CONTROL!$C$9, $D$9, 100%, $F$9) + CHOOSE(CONTROL!$C$27, 0.0021, 0)</f>
        <v>133.62950000000001</v>
      </c>
      <c r="I863" s="14">
        <f>133.6274 * CHOOSE(CONTROL!$C$9, $D$9, 100%, $F$9) + CHOOSE(CONTROL!$C$27, 0.0021, 0)</f>
        <v>133.62950000000001</v>
      </c>
      <c r="J863" s="14">
        <f>133.6274 * CHOOSE(CONTROL!$C$9, $D$9, 100%, $F$9) + CHOOSE(CONTROL!$C$27, 0.0021, 0)</f>
        <v>133.62950000000001</v>
      </c>
      <c r="K863" s="14">
        <f>133.6274 * CHOOSE(CONTROL!$C$9, $D$9, 100%, $F$9) + CHOOSE(CONTROL!$C$27, 0.0021, 0)</f>
        <v>133.62950000000001</v>
      </c>
      <c r="L863" s="14"/>
    </row>
    <row r="864" spans="1:12" ht="15.75" x14ac:dyDescent="0.25">
      <c r="A864" s="32">
        <v>67237</v>
      </c>
      <c r="B864" s="14">
        <f>133.275 * CHOOSE(CONTROL!$C$9, $D$9, 100%, $F$9) + CHOOSE(CONTROL!$C$27, 0.0021, 0)</f>
        <v>133.27710000000002</v>
      </c>
      <c r="C864" s="14">
        <f>132.8428 * CHOOSE(CONTROL!$C$9, $D$9, 100%, $F$9) + CHOOSE(CONTROL!$C$27, 0.0021, 0)</f>
        <v>132.84490000000002</v>
      </c>
      <c r="D864" s="14">
        <f>132.8428 * CHOOSE(CONTROL!$C$9, $D$9, 100%, $F$9) + CHOOSE(CONTROL!$C$27, 0.0021, 0)</f>
        <v>132.84490000000002</v>
      </c>
      <c r="E864" s="14">
        <f>132.7061 * CHOOSE(CONTROL!$C$9, $D$9, 100%, $F$9) + CHOOSE(CONTROL!$C$27, 0.0021, 0)</f>
        <v>132.70820000000001</v>
      </c>
      <c r="F864" s="14">
        <f>132.7061 * CHOOSE(CONTROL!$C$9, $D$9, 100%, $F$9) + CHOOSE(CONTROL!$C$27, 0.0021, 0)</f>
        <v>132.70820000000001</v>
      </c>
      <c r="G864" s="14">
        <f>132.9775 * CHOOSE(CONTROL!$C$9, $D$9, 100%, $F$9) + CHOOSE(CONTROL!$C$27, 0.0021, 0)</f>
        <v>132.9796</v>
      </c>
      <c r="H864" s="14">
        <f>132.8428 * CHOOSE(CONTROL!$C$9, $D$9, 100%, $F$9) + CHOOSE(CONTROL!$C$27, 0.0021, 0)</f>
        <v>132.84490000000002</v>
      </c>
      <c r="I864" s="14">
        <f>132.8428 * CHOOSE(CONTROL!$C$9, $D$9, 100%, $F$9) + CHOOSE(CONTROL!$C$27, 0.0021, 0)</f>
        <v>132.84490000000002</v>
      </c>
      <c r="J864" s="14">
        <f>132.8428 * CHOOSE(CONTROL!$C$9, $D$9, 100%, $F$9) + CHOOSE(CONTROL!$C$27, 0.0021, 0)</f>
        <v>132.84490000000002</v>
      </c>
      <c r="K864" s="14">
        <f>132.8428 * CHOOSE(CONTROL!$C$9, $D$9, 100%, $F$9) + CHOOSE(CONTROL!$C$27, 0.0021, 0)</f>
        <v>132.84490000000002</v>
      </c>
      <c r="L864" s="14"/>
    </row>
    <row r="865" spans="1:12" ht="15.75" x14ac:dyDescent="0.25">
      <c r="A865" s="32">
        <v>67266</v>
      </c>
      <c r="B865" s="14">
        <f>132.911 * CHOOSE(CONTROL!$C$9, $D$9, 100%, $F$9) + CHOOSE(CONTROL!$C$27, 0.0021, 0)</f>
        <v>132.91310000000001</v>
      </c>
      <c r="C865" s="14">
        <f>132.4787 * CHOOSE(CONTROL!$C$9, $D$9, 100%, $F$9) + CHOOSE(CONTROL!$C$27, 0.0021, 0)</f>
        <v>132.48080000000002</v>
      </c>
      <c r="D865" s="14">
        <f>132.4787 * CHOOSE(CONTROL!$C$9, $D$9, 100%, $F$9) + CHOOSE(CONTROL!$C$27, 0.0021, 0)</f>
        <v>132.48080000000002</v>
      </c>
      <c r="E865" s="14">
        <f>132.3421 * CHOOSE(CONTROL!$C$9, $D$9, 100%, $F$9) + CHOOSE(CONTROL!$C$27, 0.0021, 0)</f>
        <v>132.3442</v>
      </c>
      <c r="F865" s="14">
        <f>132.3421 * CHOOSE(CONTROL!$C$9, $D$9, 100%, $F$9) + CHOOSE(CONTROL!$C$27, 0.0021, 0)</f>
        <v>132.3442</v>
      </c>
      <c r="G865" s="14">
        <f>132.6134 * CHOOSE(CONTROL!$C$9, $D$9, 100%, $F$9) + CHOOSE(CONTROL!$C$27, 0.0021, 0)</f>
        <v>132.61550000000003</v>
      </c>
      <c r="H865" s="14">
        <f>132.4787 * CHOOSE(CONTROL!$C$9, $D$9, 100%, $F$9) + CHOOSE(CONTROL!$C$27, 0.0021, 0)</f>
        <v>132.48080000000002</v>
      </c>
      <c r="I865" s="14">
        <f>132.4787 * CHOOSE(CONTROL!$C$9, $D$9, 100%, $F$9) + CHOOSE(CONTROL!$C$27, 0.0021, 0)</f>
        <v>132.48080000000002</v>
      </c>
      <c r="J865" s="14">
        <f>132.4787 * CHOOSE(CONTROL!$C$9, $D$9, 100%, $F$9) + CHOOSE(CONTROL!$C$27, 0.0021, 0)</f>
        <v>132.48080000000002</v>
      </c>
      <c r="K865" s="14">
        <f>132.4787 * CHOOSE(CONTROL!$C$9, $D$9, 100%, $F$9) + CHOOSE(CONTROL!$C$27, 0.0021, 0)</f>
        <v>132.48080000000002</v>
      </c>
      <c r="L865" s="14"/>
    </row>
    <row r="866" spans="1:12" ht="15.75" x14ac:dyDescent="0.25">
      <c r="A866" s="32">
        <v>67297</v>
      </c>
      <c r="B866" s="14">
        <f>139.7953 * CHOOSE(CONTROL!$C$9, $D$9, 100%, $F$9) + CHOOSE(CONTROL!$C$27, 0.0021, 0)</f>
        <v>139.79740000000001</v>
      </c>
      <c r="C866" s="14">
        <f>139.3631 * CHOOSE(CONTROL!$C$9, $D$9, 100%, $F$9) + CHOOSE(CONTROL!$C$27, 0.0021, 0)</f>
        <v>139.36520000000002</v>
      </c>
      <c r="D866" s="14">
        <f>139.3631 * CHOOSE(CONTROL!$C$9, $D$9, 100%, $F$9) + CHOOSE(CONTROL!$C$27, 0.0021, 0)</f>
        <v>139.36520000000002</v>
      </c>
      <c r="E866" s="14">
        <f>139.2264 * CHOOSE(CONTROL!$C$9, $D$9, 100%, $F$9) + CHOOSE(CONTROL!$C$27, 0.0021, 0)</f>
        <v>139.22850000000003</v>
      </c>
      <c r="F866" s="14">
        <f>139.2264 * CHOOSE(CONTROL!$C$9, $D$9, 100%, $F$9) + CHOOSE(CONTROL!$C$27, 0.0021, 0)</f>
        <v>139.22850000000003</v>
      </c>
      <c r="G866" s="14">
        <f>139.4978 * CHOOSE(CONTROL!$C$9, $D$9, 100%, $F$9) + CHOOSE(CONTROL!$C$27, 0.0021, 0)</f>
        <v>139.49990000000003</v>
      </c>
      <c r="H866" s="14">
        <f>139.3631 * CHOOSE(CONTROL!$C$9, $D$9, 100%, $F$9) + CHOOSE(CONTROL!$C$27, 0.0021, 0)</f>
        <v>139.36520000000002</v>
      </c>
      <c r="I866" s="14">
        <f>139.3631 * CHOOSE(CONTROL!$C$9, $D$9, 100%, $F$9) + CHOOSE(CONTROL!$C$27, 0.0021, 0)</f>
        <v>139.36520000000002</v>
      </c>
      <c r="J866" s="14">
        <f>139.3631 * CHOOSE(CONTROL!$C$9, $D$9, 100%, $F$9) + CHOOSE(CONTROL!$C$27, 0.0021, 0)</f>
        <v>139.36520000000002</v>
      </c>
      <c r="K866" s="14">
        <f>139.3631 * CHOOSE(CONTROL!$C$9, $D$9, 100%, $F$9) + CHOOSE(CONTROL!$C$27, 0.0021, 0)</f>
        <v>139.36520000000002</v>
      </c>
      <c r="L866" s="14"/>
    </row>
    <row r="867" spans="1:12" ht="15.75" x14ac:dyDescent="0.25">
      <c r="A867" s="32">
        <v>67327</v>
      </c>
      <c r="B867" s="14">
        <f>148.7227 * CHOOSE(CONTROL!$C$9, $D$9, 100%, $F$9) + CHOOSE(CONTROL!$C$27, 0.0021, 0)</f>
        <v>148.72480000000002</v>
      </c>
      <c r="C867" s="14">
        <f>148.2904 * CHOOSE(CONTROL!$C$9, $D$9, 100%, $F$9) + CHOOSE(CONTROL!$C$27, 0.0021, 0)</f>
        <v>148.29250000000002</v>
      </c>
      <c r="D867" s="14">
        <f>148.2904 * CHOOSE(CONTROL!$C$9, $D$9, 100%, $F$9) + CHOOSE(CONTROL!$C$27, 0.0021, 0)</f>
        <v>148.29250000000002</v>
      </c>
      <c r="E867" s="14">
        <f>148.1538 * CHOOSE(CONTROL!$C$9, $D$9, 100%, $F$9) + CHOOSE(CONTROL!$C$27, 0.0021, 0)</f>
        <v>148.1559</v>
      </c>
      <c r="F867" s="14">
        <f>148.1538 * CHOOSE(CONTROL!$C$9, $D$9, 100%, $F$9) + CHOOSE(CONTROL!$C$27, 0.0021, 0)</f>
        <v>148.1559</v>
      </c>
      <c r="G867" s="14">
        <f>148.4251 * CHOOSE(CONTROL!$C$9, $D$9, 100%, $F$9) + CHOOSE(CONTROL!$C$27, 0.0021, 0)</f>
        <v>148.4272</v>
      </c>
      <c r="H867" s="14">
        <f>148.2904 * CHOOSE(CONTROL!$C$9, $D$9, 100%, $F$9) + CHOOSE(CONTROL!$C$27, 0.0021, 0)</f>
        <v>148.29250000000002</v>
      </c>
      <c r="I867" s="14">
        <f>148.2904 * CHOOSE(CONTROL!$C$9, $D$9, 100%, $F$9) + CHOOSE(CONTROL!$C$27, 0.0021, 0)</f>
        <v>148.29250000000002</v>
      </c>
      <c r="J867" s="14">
        <f>148.2904 * CHOOSE(CONTROL!$C$9, $D$9, 100%, $F$9) + CHOOSE(CONTROL!$C$27, 0.0021, 0)</f>
        <v>148.29250000000002</v>
      </c>
      <c r="K867" s="14">
        <f>148.2904 * CHOOSE(CONTROL!$C$9, $D$9, 100%, $F$9) + CHOOSE(CONTROL!$C$27, 0.0021, 0)</f>
        <v>148.29250000000002</v>
      </c>
      <c r="L867" s="14"/>
    </row>
    <row r="868" spans="1:12" ht="15.75" x14ac:dyDescent="0.25">
      <c r="A868" s="32">
        <v>67358</v>
      </c>
      <c r="B868" s="14">
        <f>153.6366 * CHOOSE(CONTROL!$C$9, $D$9, 100%, $F$9) + CHOOSE(CONTROL!$C$27, 0.0021, 0)</f>
        <v>153.6387</v>
      </c>
      <c r="C868" s="14">
        <f>153.2043 * CHOOSE(CONTROL!$C$9, $D$9, 100%, $F$9) + CHOOSE(CONTROL!$C$27, 0.0021, 0)</f>
        <v>153.2064</v>
      </c>
      <c r="D868" s="14">
        <f>153.2043 * CHOOSE(CONTROL!$C$9, $D$9, 100%, $F$9) + CHOOSE(CONTROL!$C$27, 0.0021, 0)</f>
        <v>153.2064</v>
      </c>
      <c r="E868" s="14">
        <f>153.0677 * CHOOSE(CONTROL!$C$9, $D$9, 100%, $F$9) + CHOOSE(CONTROL!$C$27, 0.0021, 0)</f>
        <v>153.06980000000001</v>
      </c>
      <c r="F868" s="14">
        <f>153.0677 * CHOOSE(CONTROL!$C$9, $D$9, 100%, $F$9) + CHOOSE(CONTROL!$C$27, 0.0021, 0)</f>
        <v>153.06980000000001</v>
      </c>
      <c r="G868" s="14">
        <f>153.3391 * CHOOSE(CONTROL!$C$9, $D$9, 100%, $F$9) + CHOOSE(CONTROL!$C$27, 0.0021, 0)</f>
        <v>153.34120000000001</v>
      </c>
      <c r="H868" s="14">
        <f>153.2043 * CHOOSE(CONTROL!$C$9, $D$9, 100%, $F$9) + CHOOSE(CONTROL!$C$27, 0.0021, 0)</f>
        <v>153.2064</v>
      </c>
      <c r="I868" s="14">
        <f>153.2043 * CHOOSE(CONTROL!$C$9, $D$9, 100%, $F$9) + CHOOSE(CONTROL!$C$27, 0.0021, 0)</f>
        <v>153.2064</v>
      </c>
      <c r="J868" s="14">
        <f>153.2043 * CHOOSE(CONTROL!$C$9, $D$9, 100%, $F$9) + CHOOSE(CONTROL!$C$27, 0.0021, 0)</f>
        <v>153.2064</v>
      </c>
      <c r="K868" s="14">
        <f>153.2043 * CHOOSE(CONTROL!$C$9, $D$9, 100%, $F$9) + CHOOSE(CONTROL!$C$27, 0.0021, 0)</f>
        <v>153.2064</v>
      </c>
      <c r="L868" s="14"/>
    </row>
    <row r="869" spans="1:12" ht="15.75" x14ac:dyDescent="0.25">
      <c r="A869" s="32">
        <v>67388</v>
      </c>
      <c r="B869" s="14">
        <f>155.8173 * CHOOSE(CONTROL!$C$9, $D$9, 100%, $F$9) + CHOOSE(CONTROL!$C$27, 0.0021, 0)</f>
        <v>155.8194</v>
      </c>
      <c r="C869" s="14">
        <f>155.385 * CHOOSE(CONTROL!$C$9, $D$9, 100%, $F$9) + CHOOSE(CONTROL!$C$27, 0.0021, 0)</f>
        <v>155.3871</v>
      </c>
      <c r="D869" s="14">
        <f>155.385 * CHOOSE(CONTROL!$C$9, $D$9, 100%, $F$9) + CHOOSE(CONTROL!$C$27, 0.0021, 0)</f>
        <v>155.3871</v>
      </c>
      <c r="E869" s="14">
        <f>155.2484 * CHOOSE(CONTROL!$C$9, $D$9, 100%, $F$9) + CHOOSE(CONTROL!$C$27, 0.0021, 0)</f>
        <v>155.25050000000002</v>
      </c>
      <c r="F869" s="14">
        <f>155.2484 * CHOOSE(CONTROL!$C$9, $D$9, 100%, $F$9) + CHOOSE(CONTROL!$C$27, 0.0021, 0)</f>
        <v>155.25050000000002</v>
      </c>
      <c r="G869" s="14">
        <f>155.5198 * CHOOSE(CONTROL!$C$9, $D$9, 100%, $F$9) + CHOOSE(CONTROL!$C$27, 0.0021, 0)</f>
        <v>155.52190000000002</v>
      </c>
      <c r="H869" s="14">
        <f>155.385 * CHOOSE(CONTROL!$C$9, $D$9, 100%, $F$9) + CHOOSE(CONTROL!$C$27, 0.0021, 0)</f>
        <v>155.3871</v>
      </c>
      <c r="I869" s="14">
        <f>155.385 * CHOOSE(CONTROL!$C$9, $D$9, 100%, $F$9) + CHOOSE(CONTROL!$C$27, 0.0021, 0)</f>
        <v>155.3871</v>
      </c>
      <c r="J869" s="14">
        <f>155.385 * CHOOSE(CONTROL!$C$9, $D$9, 100%, $F$9) + CHOOSE(CONTROL!$C$27, 0.0021, 0)</f>
        <v>155.3871</v>
      </c>
      <c r="K869" s="14">
        <f>155.385 * CHOOSE(CONTROL!$C$9, $D$9, 100%, $F$9) + CHOOSE(CONTROL!$C$27, 0.0021, 0)</f>
        <v>155.3871</v>
      </c>
      <c r="L869" s="14"/>
    </row>
    <row r="870" spans="1:12" ht="15.75" x14ac:dyDescent="0.25">
      <c r="A870" s="32">
        <v>67419</v>
      </c>
      <c r="B870" s="14">
        <f>155.0993 * CHOOSE(CONTROL!$C$9, $D$9, 100%, $F$9) + CHOOSE(CONTROL!$C$27, 0.0021, 0)</f>
        <v>155.10140000000001</v>
      </c>
      <c r="C870" s="14">
        <f>154.6671 * CHOOSE(CONTROL!$C$9, $D$9, 100%, $F$9) + CHOOSE(CONTROL!$C$27, 0.0021, 0)</f>
        <v>154.66920000000002</v>
      </c>
      <c r="D870" s="14">
        <f>154.6671 * CHOOSE(CONTROL!$C$9, $D$9, 100%, $F$9) + CHOOSE(CONTROL!$C$27, 0.0021, 0)</f>
        <v>154.66920000000002</v>
      </c>
      <c r="E870" s="14">
        <f>154.5304 * CHOOSE(CONTROL!$C$9, $D$9, 100%, $F$9) + CHOOSE(CONTROL!$C$27, 0.0021, 0)</f>
        <v>154.5325</v>
      </c>
      <c r="F870" s="14">
        <f>154.5304 * CHOOSE(CONTROL!$C$9, $D$9, 100%, $F$9) + CHOOSE(CONTROL!$C$27, 0.0021, 0)</f>
        <v>154.5325</v>
      </c>
      <c r="G870" s="14">
        <f>154.8018 * CHOOSE(CONTROL!$C$9, $D$9, 100%, $F$9) + CHOOSE(CONTROL!$C$27, 0.0021, 0)</f>
        <v>154.8039</v>
      </c>
      <c r="H870" s="14">
        <f>154.6671 * CHOOSE(CONTROL!$C$9, $D$9, 100%, $F$9) + CHOOSE(CONTROL!$C$27, 0.0021, 0)</f>
        <v>154.66920000000002</v>
      </c>
      <c r="I870" s="14">
        <f>154.6671 * CHOOSE(CONTROL!$C$9, $D$9, 100%, $F$9) + CHOOSE(CONTROL!$C$27, 0.0021, 0)</f>
        <v>154.66920000000002</v>
      </c>
      <c r="J870" s="14">
        <f>154.6671 * CHOOSE(CONTROL!$C$9, $D$9, 100%, $F$9) + CHOOSE(CONTROL!$C$27, 0.0021, 0)</f>
        <v>154.66920000000002</v>
      </c>
      <c r="K870" s="14">
        <f>154.6671 * CHOOSE(CONTROL!$C$9, $D$9, 100%, $F$9) + CHOOSE(CONTROL!$C$27, 0.0021, 0)</f>
        <v>154.66920000000002</v>
      </c>
      <c r="L870" s="14"/>
    </row>
    <row r="871" spans="1:12" ht="15.75" x14ac:dyDescent="0.25">
      <c r="A871" s="32">
        <v>67450</v>
      </c>
      <c r="B871" s="14">
        <f>151.542 * CHOOSE(CONTROL!$C$9, $D$9, 100%, $F$9) + CHOOSE(CONTROL!$C$27, 0.0021, 0)</f>
        <v>151.54410000000001</v>
      </c>
      <c r="C871" s="14">
        <f>151.1098 * CHOOSE(CONTROL!$C$9, $D$9, 100%, $F$9) + CHOOSE(CONTROL!$C$27, 0.0021, 0)</f>
        <v>151.11190000000002</v>
      </c>
      <c r="D871" s="14">
        <f>151.1098 * CHOOSE(CONTROL!$C$9, $D$9, 100%, $F$9) + CHOOSE(CONTROL!$C$27, 0.0021, 0)</f>
        <v>151.11190000000002</v>
      </c>
      <c r="E871" s="14">
        <f>150.9731 * CHOOSE(CONTROL!$C$9, $D$9, 100%, $F$9) + CHOOSE(CONTROL!$C$27, 0.0021, 0)</f>
        <v>150.9752</v>
      </c>
      <c r="F871" s="14">
        <f>150.9731 * CHOOSE(CONTROL!$C$9, $D$9, 100%, $F$9) + CHOOSE(CONTROL!$C$27, 0.0021, 0)</f>
        <v>150.9752</v>
      </c>
      <c r="G871" s="14">
        <f>151.2445 * CHOOSE(CONTROL!$C$9, $D$9, 100%, $F$9) + CHOOSE(CONTROL!$C$27, 0.0021, 0)</f>
        <v>151.2466</v>
      </c>
      <c r="H871" s="14">
        <f>151.1098 * CHOOSE(CONTROL!$C$9, $D$9, 100%, $F$9) + CHOOSE(CONTROL!$C$27, 0.0021, 0)</f>
        <v>151.11190000000002</v>
      </c>
      <c r="I871" s="14">
        <f>151.1098 * CHOOSE(CONTROL!$C$9, $D$9, 100%, $F$9) + CHOOSE(CONTROL!$C$27, 0.0021, 0)</f>
        <v>151.11190000000002</v>
      </c>
      <c r="J871" s="14">
        <f>151.1098 * CHOOSE(CONTROL!$C$9, $D$9, 100%, $F$9) + CHOOSE(CONTROL!$C$27, 0.0021, 0)</f>
        <v>151.11190000000002</v>
      </c>
      <c r="K871" s="14">
        <f>151.1098 * CHOOSE(CONTROL!$C$9, $D$9, 100%, $F$9) + CHOOSE(CONTROL!$C$27, 0.0021, 0)</f>
        <v>151.11190000000002</v>
      </c>
      <c r="L871" s="14"/>
    </row>
    <row r="872" spans="1:12" ht="15.75" x14ac:dyDescent="0.25">
      <c r="A872" s="32">
        <v>67480</v>
      </c>
      <c r="B872" s="14">
        <f>146.5812 * CHOOSE(CONTROL!$C$9, $D$9, 100%, $F$9) + CHOOSE(CONTROL!$C$27, 0.0021, 0)</f>
        <v>146.58330000000001</v>
      </c>
      <c r="C872" s="14">
        <f>146.149 * CHOOSE(CONTROL!$C$9, $D$9, 100%, $F$9) + CHOOSE(CONTROL!$C$27, 0.0021, 0)</f>
        <v>146.15110000000001</v>
      </c>
      <c r="D872" s="14">
        <f>146.149 * CHOOSE(CONTROL!$C$9, $D$9, 100%, $F$9) + CHOOSE(CONTROL!$C$27, 0.0021, 0)</f>
        <v>146.15110000000001</v>
      </c>
      <c r="E872" s="14">
        <f>146.0123 * CHOOSE(CONTROL!$C$9, $D$9, 100%, $F$9) + CHOOSE(CONTROL!$C$27, 0.0021, 0)</f>
        <v>146.01440000000002</v>
      </c>
      <c r="F872" s="14">
        <f>146.0123 * CHOOSE(CONTROL!$C$9, $D$9, 100%, $F$9) + CHOOSE(CONTROL!$C$27, 0.0021, 0)</f>
        <v>146.01440000000002</v>
      </c>
      <c r="G872" s="14">
        <f>146.2837 * CHOOSE(CONTROL!$C$9, $D$9, 100%, $F$9) + CHOOSE(CONTROL!$C$27, 0.0021, 0)</f>
        <v>146.28580000000002</v>
      </c>
      <c r="H872" s="14">
        <f>146.149 * CHOOSE(CONTROL!$C$9, $D$9, 100%, $F$9) + CHOOSE(CONTROL!$C$27, 0.0021, 0)</f>
        <v>146.15110000000001</v>
      </c>
      <c r="I872" s="14">
        <f>146.149 * CHOOSE(CONTROL!$C$9, $D$9, 100%, $F$9) + CHOOSE(CONTROL!$C$27, 0.0021, 0)</f>
        <v>146.15110000000001</v>
      </c>
      <c r="J872" s="14">
        <f>146.149 * CHOOSE(CONTROL!$C$9, $D$9, 100%, $F$9) + CHOOSE(CONTROL!$C$27, 0.0021, 0)</f>
        <v>146.15110000000001</v>
      </c>
      <c r="K872" s="14">
        <f>146.149 * CHOOSE(CONTROL!$C$9, $D$9, 100%, $F$9) + CHOOSE(CONTROL!$C$27, 0.0021, 0)</f>
        <v>146.15110000000001</v>
      </c>
      <c r="L872" s="14"/>
    </row>
    <row r="873" spans="1:12" ht="15.75" x14ac:dyDescent="0.25">
      <c r="A873" s="32">
        <v>67511</v>
      </c>
      <c r="B873" s="14">
        <f>141.5916 * CHOOSE(CONTROL!$C$9, $D$9, 100%, $F$9) + CHOOSE(CONTROL!$C$27, 0.0021, 0)</f>
        <v>141.59370000000001</v>
      </c>
      <c r="C873" s="14">
        <f>141.1593 * CHOOSE(CONTROL!$C$9, $D$9, 100%, $F$9) + CHOOSE(CONTROL!$C$27, 0.0021, 0)</f>
        <v>141.16140000000001</v>
      </c>
      <c r="D873" s="14">
        <f>141.1593 * CHOOSE(CONTROL!$C$9, $D$9, 100%, $F$9) + CHOOSE(CONTROL!$C$27, 0.0021, 0)</f>
        <v>141.16140000000001</v>
      </c>
      <c r="E873" s="14">
        <f>141.0227 * CHOOSE(CONTROL!$C$9, $D$9, 100%, $F$9) + CHOOSE(CONTROL!$C$27, 0.0021, 0)</f>
        <v>141.0248</v>
      </c>
      <c r="F873" s="14">
        <f>141.0227 * CHOOSE(CONTROL!$C$9, $D$9, 100%, $F$9) + CHOOSE(CONTROL!$C$27, 0.0021, 0)</f>
        <v>141.0248</v>
      </c>
      <c r="G873" s="14">
        <f>141.294 * CHOOSE(CONTROL!$C$9, $D$9, 100%, $F$9) + CHOOSE(CONTROL!$C$27, 0.0021, 0)</f>
        <v>141.29610000000002</v>
      </c>
      <c r="H873" s="14">
        <f>141.1593 * CHOOSE(CONTROL!$C$9, $D$9, 100%, $F$9) + CHOOSE(CONTROL!$C$27, 0.0021, 0)</f>
        <v>141.16140000000001</v>
      </c>
      <c r="I873" s="14">
        <f>141.1593 * CHOOSE(CONTROL!$C$9, $D$9, 100%, $F$9) + CHOOSE(CONTROL!$C$27, 0.0021, 0)</f>
        <v>141.16140000000001</v>
      </c>
      <c r="J873" s="14">
        <f>141.1593 * CHOOSE(CONTROL!$C$9, $D$9, 100%, $F$9) + CHOOSE(CONTROL!$C$27, 0.0021, 0)</f>
        <v>141.16140000000001</v>
      </c>
      <c r="K873" s="14">
        <f>141.1593 * CHOOSE(CONTROL!$C$9, $D$9, 100%, $F$9) + CHOOSE(CONTROL!$C$27, 0.0021, 0)</f>
        <v>141.16140000000001</v>
      </c>
      <c r="L873" s="14"/>
    </row>
    <row r="874" spans="1:12" ht="15.75" x14ac:dyDescent="0.25">
      <c r="A874" s="32">
        <v>67541</v>
      </c>
      <c r="B874" s="14">
        <f>140.599 * CHOOSE(CONTROL!$C$9, $D$9, 100%, $F$9) + CHOOSE(CONTROL!$C$27, 0.0021, 0)</f>
        <v>140.6011</v>
      </c>
      <c r="C874" s="14">
        <f>140.1668 * CHOOSE(CONTROL!$C$9, $D$9, 100%, $F$9) + CHOOSE(CONTROL!$C$27, 0.0021, 0)</f>
        <v>140.16890000000001</v>
      </c>
      <c r="D874" s="14">
        <f>140.1668 * CHOOSE(CONTROL!$C$9, $D$9, 100%, $F$9) + CHOOSE(CONTROL!$C$27, 0.0021, 0)</f>
        <v>140.16890000000001</v>
      </c>
      <c r="E874" s="14">
        <f>140.0301 * CHOOSE(CONTROL!$C$9, $D$9, 100%, $F$9) + CHOOSE(CONTROL!$C$27, 0.0021, 0)</f>
        <v>140.03220000000002</v>
      </c>
      <c r="F874" s="14">
        <f>140.0301 * CHOOSE(CONTROL!$C$9, $D$9, 100%, $F$9) + CHOOSE(CONTROL!$C$27, 0.0021, 0)</f>
        <v>140.03220000000002</v>
      </c>
      <c r="G874" s="14">
        <f>140.3015 * CHOOSE(CONTROL!$C$9, $D$9, 100%, $F$9) + CHOOSE(CONTROL!$C$27, 0.0021, 0)</f>
        <v>140.30360000000002</v>
      </c>
      <c r="H874" s="14">
        <f>140.1668 * CHOOSE(CONTROL!$C$9, $D$9, 100%, $F$9) + CHOOSE(CONTROL!$C$27, 0.0021, 0)</f>
        <v>140.16890000000001</v>
      </c>
      <c r="I874" s="14">
        <f>140.1668 * CHOOSE(CONTROL!$C$9, $D$9, 100%, $F$9) + CHOOSE(CONTROL!$C$27, 0.0021, 0)</f>
        <v>140.16890000000001</v>
      </c>
      <c r="J874" s="14">
        <f>140.1668 * CHOOSE(CONTROL!$C$9, $D$9, 100%, $F$9) + CHOOSE(CONTROL!$C$27, 0.0021, 0)</f>
        <v>140.16890000000001</v>
      </c>
      <c r="K874" s="14">
        <f>140.1668 * CHOOSE(CONTROL!$C$9, $D$9, 100%, $F$9) + CHOOSE(CONTROL!$C$27, 0.0021, 0)</f>
        <v>140.16890000000001</v>
      </c>
      <c r="L874" s="14"/>
    </row>
    <row r="875" spans="1:12" ht="15.75" x14ac:dyDescent="0.25">
      <c r="A875" s="32">
        <v>67572</v>
      </c>
      <c r="B875" s="14">
        <f>136.4948 * CHOOSE(CONTROL!$C$9, $D$9, 100%, $F$9) + CHOOSE(CONTROL!$C$27, 0.0021, 0)</f>
        <v>136.49690000000001</v>
      </c>
      <c r="C875" s="14">
        <f>136.0625 * CHOOSE(CONTROL!$C$9, $D$9, 100%, $F$9) + CHOOSE(CONTROL!$C$27, 0.0021, 0)</f>
        <v>136.06460000000001</v>
      </c>
      <c r="D875" s="14">
        <f>136.0625 * CHOOSE(CONTROL!$C$9, $D$9, 100%, $F$9) + CHOOSE(CONTROL!$C$27, 0.0021, 0)</f>
        <v>136.06460000000001</v>
      </c>
      <c r="E875" s="14">
        <f>135.9259 * CHOOSE(CONTROL!$C$9, $D$9, 100%, $F$9) + CHOOSE(CONTROL!$C$27, 0.0021, 0)</f>
        <v>135.92800000000003</v>
      </c>
      <c r="F875" s="14">
        <f>135.9259 * CHOOSE(CONTROL!$C$9, $D$9, 100%, $F$9) + CHOOSE(CONTROL!$C$27, 0.0021, 0)</f>
        <v>135.92800000000003</v>
      </c>
      <c r="G875" s="14">
        <f>136.1972 * CHOOSE(CONTROL!$C$9, $D$9, 100%, $F$9) + CHOOSE(CONTROL!$C$27, 0.0021, 0)</f>
        <v>136.19930000000002</v>
      </c>
      <c r="H875" s="14">
        <f>136.0625 * CHOOSE(CONTROL!$C$9, $D$9, 100%, $F$9) + CHOOSE(CONTROL!$C$27, 0.0021, 0)</f>
        <v>136.06460000000001</v>
      </c>
      <c r="I875" s="14">
        <f>136.0625 * CHOOSE(CONTROL!$C$9, $D$9, 100%, $F$9) + CHOOSE(CONTROL!$C$27, 0.0021, 0)</f>
        <v>136.06460000000001</v>
      </c>
      <c r="J875" s="14">
        <f>136.0625 * CHOOSE(CONTROL!$C$9, $D$9, 100%, $F$9) + CHOOSE(CONTROL!$C$27, 0.0021, 0)</f>
        <v>136.06460000000001</v>
      </c>
      <c r="K875" s="14">
        <f>136.0625 * CHOOSE(CONTROL!$C$9, $D$9, 100%, $F$9) + CHOOSE(CONTROL!$C$27, 0.0021, 0)</f>
        <v>136.06460000000001</v>
      </c>
      <c r="L875" s="14"/>
    </row>
    <row r="876" spans="1:12" ht="15.75" x14ac:dyDescent="0.25">
      <c r="A876" s="32">
        <v>67603</v>
      </c>
      <c r="B876" s="14">
        <f>135.6957 * CHOOSE(CONTROL!$C$9, $D$9, 100%, $F$9) + CHOOSE(CONTROL!$C$27, 0.0021, 0)</f>
        <v>135.6978</v>
      </c>
      <c r="C876" s="14">
        <f>135.2635 * CHOOSE(CONTROL!$C$9, $D$9, 100%, $F$9) + CHOOSE(CONTROL!$C$27, 0.0021, 0)</f>
        <v>135.26560000000001</v>
      </c>
      <c r="D876" s="14">
        <f>135.2635 * CHOOSE(CONTROL!$C$9, $D$9, 100%, $F$9) + CHOOSE(CONTROL!$C$27, 0.0021, 0)</f>
        <v>135.26560000000001</v>
      </c>
      <c r="E876" s="14">
        <f>135.1268 * CHOOSE(CONTROL!$C$9, $D$9, 100%, $F$9) + CHOOSE(CONTROL!$C$27, 0.0021, 0)</f>
        <v>135.12890000000002</v>
      </c>
      <c r="F876" s="14">
        <f>135.1268 * CHOOSE(CONTROL!$C$9, $D$9, 100%, $F$9) + CHOOSE(CONTROL!$C$27, 0.0021, 0)</f>
        <v>135.12890000000002</v>
      </c>
      <c r="G876" s="14">
        <f>135.3982 * CHOOSE(CONTROL!$C$9, $D$9, 100%, $F$9) + CHOOSE(CONTROL!$C$27, 0.0021, 0)</f>
        <v>135.40030000000002</v>
      </c>
      <c r="H876" s="14">
        <f>135.2635 * CHOOSE(CONTROL!$C$9, $D$9, 100%, $F$9) + CHOOSE(CONTROL!$C$27, 0.0021, 0)</f>
        <v>135.26560000000001</v>
      </c>
      <c r="I876" s="14">
        <f>135.2635 * CHOOSE(CONTROL!$C$9, $D$9, 100%, $F$9) + CHOOSE(CONTROL!$C$27, 0.0021, 0)</f>
        <v>135.26560000000001</v>
      </c>
      <c r="J876" s="14">
        <f>135.2635 * CHOOSE(CONTROL!$C$9, $D$9, 100%, $F$9) + CHOOSE(CONTROL!$C$27, 0.0021, 0)</f>
        <v>135.26560000000001</v>
      </c>
      <c r="K876" s="14">
        <f>135.2635 * CHOOSE(CONTROL!$C$9, $D$9, 100%, $F$9) + CHOOSE(CONTROL!$C$27, 0.0021, 0)</f>
        <v>135.26560000000001</v>
      </c>
      <c r="L876" s="14"/>
    </row>
    <row r="877" spans="1:12" ht="15.75" x14ac:dyDescent="0.25">
      <c r="A877" s="32">
        <v>67631</v>
      </c>
      <c r="B877" s="14">
        <f>135.3249 * CHOOSE(CONTROL!$C$9, $D$9, 100%, $F$9) + CHOOSE(CONTROL!$C$27, 0.0021, 0)</f>
        <v>135.32700000000003</v>
      </c>
      <c r="C877" s="14">
        <f>134.8926 * CHOOSE(CONTROL!$C$9, $D$9, 100%, $F$9) + CHOOSE(CONTROL!$C$27, 0.0021, 0)</f>
        <v>134.8947</v>
      </c>
      <c r="D877" s="14">
        <f>134.8926 * CHOOSE(CONTROL!$C$9, $D$9, 100%, $F$9) + CHOOSE(CONTROL!$C$27, 0.0021, 0)</f>
        <v>134.8947</v>
      </c>
      <c r="E877" s="14">
        <f>134.756 * CHOOSE(CONTROL!$C$9, $D$9, 100%, $F$9) + CHOOSE(CONTROL!$C$27, 0.0021, 0)</f>
        <v>134.75810000000001</v>
      </c>
      <c r="F877" s="14">
        <f>134.756 * CHOOSE(CONTROL!$C$9, $D$9, 100%, $F$9) + CHOOSE(CONTROL!$C$27, 0.0021, 0)</f>
        <v>134.75810000000001</v>
      </c>
      <c r="G877" s="14">
        <f>135.0274 * CHOOSE(CONTROL!$C$9, $D$9, 100%, $F$9) + CHOOSE(CONTROL!$C$27, 0.0021, 0)</f>
        <v>135.02950000000001</v>
      </c>
      <c r="H877" s="14">
        <f>134.8926 * CHOOSE(CONTROL!$C$9, $D$9, 100%, $F$9) + CHOOSE(CONTROL!$C$27, 0.0021, 0)</f>
        <v>134.8947</v>
      </c>
      <c r="I877" s="14">
        <f>134.8926 * CHOOSE(CONTROL!$C$9, $D$9, 100%, $F$9) + CHOOSE(CONTROL!$C$27, 0.0021, 0)</f>
        <v>134.8947</v>
      </c>
      <c r="J877" s="14">
        <f>134.8926 * CHOOSE(CONTROL!$C$9, $D$9, 100%, $F$9) + CHOOSE(CONTROL!$C$27, 0.0021, 0)</f>
        <v>134.8947</v>
      </c>
      <c r="K877" s="14">
        <f>134.8926 * CHOOSE(CONTROL!$C$9, $D$9, 100%, $F$9) + CHOOSE(CONTROL!$C$27, 0.0021, 0)</f>
        <v>134.8947</v>
      </c>
      <c r="L877" s="14"/>
    </row>
    <row r="878" spans="1:12" ht="15.75" x14ac:dyDescent="0.25">
      <c r="A878" s="32">
        <v>67662</v>
      </c>
      <c r="B878" s="14">
        <f>142.3365 * CHOOSE(CONTROL!$C$9, $D$9, 100%, $F$9) + CHOOSE(CONTROL!$C$27, 0.0021, 0)</f>
        <v>142.33860000000001</v>
      </c>
      <c r="C878" s="14">
        <f>141.9042 * CHOOSE(CONTROL!$C$9, $D$9, 100%, $F$9) + CHOOSE(CONTROL!$C$27, 0.0021, 0)</f>
        <v>141.90630000000002</v>
      </c>
      <c r="D878" s="14">
        <f>141.9042 * CHOOSE(CONTROL!$C$9, $D$9, 100%, $F$9) + CHOOSE(CONTROL!$C$27, 0.0021, 0)</f>
        <v>141.90630000000002</v>
      </c>
      <c r="E878" s="14">
        <f>141.7676 * CHOOSE(CONTROL!$C$9, $D$9, 100%, $F$9) + CHOOSE(CONTROL!$C$27, 0.0021, 0)</f>
        <v>141.7697</v>
      </c>
      <c r="F878" s="14">
        <f>141.7676 * CHOOSE(CONTROL!$C$9, $D$9, 100%, $F$9) + CHOOSE(CONTROL!$C$27, 0.0021, 0)</f>
        <v>141.7697</v>
      </c>
      <c r="G878" s="14">
        <f>142.0389 * CHOOSE(CONTROL!$C$9, $D$9, 100%, $F$9) + CHOOSE(CONTROL!$C$27, 0.0021, 0)</f>
        <v>142.04100000000003</v>
      </c>
      <c r="H878" s="14">
        <f>141.9042 * CHOOSE(CONTROL!$C$9, $D$9, 100%, $F$9) + CHOOSE(CONTROL!$C$27, 0.0021, 0)</f>
        <v>141.90630000000002</v>
      </c>
      <c r="I878" s="14">
        <f>141.9042 * CHOOSE(CONTROL!$C$9, $D$9, 100%, $F$9) + CHOOSE(CONTROL!$C$27, 0.0021, 0)</f>
        <v>141.90630000000002</v>
      </c>
      <c r="J878" s="14">
        <f>141.9042 * CHOOSE(CONTROL!$C$9, $D$9, 100%, $F$9) + CHOOSE(CONTROL!$C$27, 0.0021, 0)</f>
        <v>141.90630000000002</v>
      </c>
      <c r="K878" s="14">
        <f>141.9042 * CHOOSE(CONTROL!$C$9, $D$9, 100%, $F$9) + CHOOSE(CONTROL!$C$27, 0.0021, 0)</f>
        <v>141.90630000000002</v>
      </c>
      <c r="L878" s="14"/>
    </row>
    <row r="879" spans="1:12" ht="15.75" x14ac:dyDescent="0.25">
      <c r="A879" s="32">
        <v>67692</v>
      </c>
      <c r="B879" s="14">
        <f>151.4288 * CHOOSE(CONTROL!$C$9, $D$9, 100%, $F$9) + CHOOSE(CONTROL!$C$27, 0.0021, 0)</f>
        <v>151.43090000000001</v>
      </c>
      <c r="C879" s="14">
        <f>150.9966 * CHOOSE(CONTROL!$C$9, $D$9, 100%, $F$9) + CHOOSE(CONTROL!$C$27, 0.0021, 0)</f>
        <v>150.99870000000001</v>
      </c>
      <c r="D879" s="14">
        <f>150.9966 * CHOOSE(CONTROL!$C$9, $D$9, 100%, $F$9) + CHOOSE(CONTROL!$C$27, 0.0021, 0)</f>
        <v>150.99870000000001</v>
      </c>
      <c r="E879" s="14">
        <f>150.8599 * CHOOSE(CONTROL!$C$9, $D$9, 100%, $F$9) + CHOOSE(CONTROL!$C$27, 0.0021, 0)</f>
        <v>150.86200000000002</v>
      </c>
      <c r="F879" s="14">
        <f>150.8599 * CHOOSE(CONTROL!$C$9, $D$9, 100%, $F$9) + CHOOSE(CONTROL!$C$27, 0.0021, 0)</f>
        <v>150.86200000000002</v>
      </c>
      <c r="G879" s="14">
        <f>151.1313 * CHOOSE(CONTROL!$C$9, $D$9, 100%, $F$9) + CHOOSE(CONTROL!$C$27, 0.0021, 0)</f>
        <v>151.13340000000002</v>
      </c>
      <c r="H879" s="14">
        <f>150.9966 * CHOOSE(CONTROL!$C$9, $D$9, 100%, $F$9) + CHOOSE(CONTROL!$C$27, 0.0021, 0)</f>
        <v>150.99870000000001</v>
      </c>
      <c r="I879" s="14">
        <f>150.9966 * CHOOSE(CONTROL!$C$9, $D$9, 100%, $F$9) + CHOOSE(CONTROL!$C$27, 0.0021, 0)</f>
        <v>150.99870000000001</v>
      </c>
      <c r="J879" s="14">
        <f>150.9966 * CHOOSE(CONTROL!$C$9, $D$9, 100%, $F$9) + CHOOSE(CONTROL!$C$27, 0.0021, 0)</f>
        <v>150.99870000000001</v>
      </c>
      <c r="K879" s="14">
        <f>150.9966 * CHOOSE(CONTROL!$C$9, $D$9, 100%, $F$9) + CHOOSE(CONTROL!$C$27, 0.0021, 0)</f>
        <v>150.99870000000001</v>
      </c>
      <c r="L879" s="14"/>
    </row>
    <row r="880" spans="1:12" ht="15.75" x14ac:dyDescent="0.25">
      <c r="A880" s="32">
        <v>67723</v>
      </c>
      <c r="B880" s="14">
        <f>156.4335 * CHOOSE(CONTROL!$C$9, $D$9, 100%, $F$9) + CHOOSE(CONTROL!$C$27, 0.0021, 0)</f>
        <v>156.43560000000002</v>
      </c>
      <c r="C880" s="14">
        <f>156.0013 * CHOOSE(CONTROL!$C$9, $D$9, 100%, $F$9) + CHOOSE(CONTROL!$C$27, 0.0021, 0)</f>
        <v>156.0034</v>
      </c>
      <c r="D880" s="14">
        <f>156.0013 * CHOOSE(CONTROL!$C$9, $D$9, 100%, $F$9) + CHOOSE(CONTROL!$C$27, 0.0021, 0)</f>
        <v>156.0034</v>
      </c>
      <c r="E880" s="14">
        <f>155.8646 * CHOOSE(CONTROL!$C$9, $D$9, 100%, $F$9) + CHOOSE(CONTROL!$C$27, 0.0021, 0)</f>
        <v>155.86670000000001</v>
      </c>
      <c r="F880" s="14">
        <f>155.8646 * CHOOSE(CONTROL!$C$9, $D$9, 100%, $F$9) + CHOOSE(CONTROL!$C$27, 0.0021, 0)</f>
        <v>155.86670000000001</v>
      </c>
      <c r="G880" s="14">
        <f>156.136 * CHOOSE(CONTROL!$C$9, $D$9, 100%, $F$9) + CHOOSE(CONTROL!$C$27, 0.0021, 0)</f>
        <v>156.13810000000001</v>
      </c>
      <c r="H880" s="14">
        <f>156.0013 * CHOOSE(CONTROL!$C$9, $D$9, 100%, $F$9) + CHOOSE(CONTROL!$C$27, 0.0021, 0)</f>
        <v>156.0034</v>
      </c>
      <c r="I880" s="14">
        <f>156.0013 * CHOOSE(CONTROL!$C$9, $D$9, 100%, $F$9) + CHOOSE(CONTROL!$C$27, 0.0021, 0)</f>
        <v>156.0034</v>
      </c>
      <c r="J880" s="14">
        <f>156.0013 * CHOOSE(CONTROL!$C$9, $D$9, 100%, $F$9) + CHOOSE(CONTROL!$C$27, 0.0021, 0)</f>
        <v>156.0034</v>
      </c>
      <c r="K880" s="14">
        <f>156.0013 * CHOOSE(CONTROL!$C$9, $D$9, 100%, $F$9) + CHOOSE(CONTROL!$C$27, 0.0021, 0)</f>
        <v>156.0034</v>
      </c>
      <c r="L880" s="14"/>
    </row>
    <row r="881" spans="1:12" ht="15.75" x14ac:dyDescent="0.25">
      <c r="A881" s="32">
        <v>67753</v>
      </c>
      <c r="B881" s="14">
        <f>158.6546 * CHOOSE(CONTROL!$C$9, $D$9, 100%, $F$9) + CHOOSE(CONTROL!$C$27, 0.0021, 0)</f>
        <v>158.6567</v>
      </c>
      <c r="C881" s="14">
        <f>158.2223 * CHOOSE(CONTROL!$C$9, $D$9, 100%, $F$9) + CHOOSE(CONTROL!$C$27, 0.0021, 0)</f>
        <v>158.2244</v>
      </c>
      <c r="D881" s="14">
        <f>158.2223 * CHOOSE(CONTROL!$C$9, $D$9, 100%, $F$9) + CHOOSE(CONTROL!$C$27, 0.0021, 0)</f>
        <v>158.2244</v>
      </c>
      <c r="E881" s="14">
        <f>158.0856 * CHOOSE(CONTROL!$C$9, $D$9, 100%, $F$9) + CHOOSE(CONTROL!$C$27, 0.0021, 0)</f>
        <v>158.08770000000001</v>
      </c>
      <c r="F881" s="14">
        <f>158.0856 * CHOOSE(CONTROL!$C$9, $D$9, 100%, $F$9) + CHOOSE(CONTROL!$C$27, 0.0021, 0)</f>
        <v>158.08770000000001</v>
      </c>
      <c r="G881" s="14">
        <f>158.357 * CHOOSE(CONTROL!$C$9, $D$9, 100%, $F$9) + CHOOSE(CONTROL!$C$27, 0.0021, 0)</f>
        <v>158.35910000000001</v>
      </c>
      <c r="H881" s="14">
        <f>158.2223 * CHOOSE(CONTROL!$C$9, $D$9, 100%, $F$9) + CHOOSE(CONTROL!$C$27, 0.0021, 0)</f>
        <v>158.2244</v>
      </c>
      <c r="I881" s="14">
        <f>158.2223 * CHOOSE(CONTROL!$C$9, $D$9, 100%, $F$9) + CHOOSE(CONTROL!$C$27, 0.0021, 0)</f>
        <v>158.2244</v>
      </c>
      <c r="J881" s="14">
        <f>158.2223 * CHOOSE(CONTROL!$C$9, $D$9, 100%, $F$9) + CHOOSE(CONTROL!$C$27, 0.0021, 0)</f>
        <v>158.2244</v>
      </c>
      <c r="K881" s="14">
        <f>158.2223 * CHOOSE(CONTROL!$C$9, $D$9, 100%, $F$9) + CHOOSE(CONTROL!$C$27, 0.0021, 0)</f>
        <v>158.2244</v>
      </c>
      <c r="L881" s="14"/>
    </row>
    <row r="882" spans="1:12" ht="15.75" x14ac:dyDescent="0.25">
      <c r="A882" s="32">
        <v>67784</v>
      </c>
      <c r="B882" s="14">
        <f>157.9233 * CHOOSE(CONTROL!$C$9, $D$9, 100%, $F$9) + CHOOSE(CONTROL!$C$27, 0.0021, 0)</f>
        <v>157.92540000000002</v>
      </c>
      <c r="C882" s="14">
        <f>157.491 * CHOOSE(CONTROL!$C$9, $D$9, 100%, $F$9) + CHOOSE(CONTROL!$C$27, 0.0021, 0)</f>
        <v>157.49310000000003</v>
      </c>
      <c r="D882" s="14">
        <f>157.491 * CHOOSE(CONTROL!$C$9, $D$9, 100%, $F$9) + CHOOSE(CONTROL!$C$27, 0.0021, 0)</f>
        <v>157.49310000000003</v>
      </c>
      <c r="E882" s="14">
        <f>157.3544 * CHOOSE(CONTROL!$C$9, $D$9, 100%, $F$9) + CHOOSE(CONTROL!$C$27, 0.0021, 0)</f>
        <v>157.35650000000001</v>
      </c>
      <c r="F882" s="14">
        <f>157.3544 * CHOOSE(CONTROL!$C$9, $D$9, 100%, $F$9) + CHOOSE(CONTROL!$C$27, 0.0021, 0)</f>
        <v>157.35650000000001</v>
      </c>
      <c r="G882" s="14">
        <f>157.6258 * CHOOSE(CONTROL!$C$9, $D$9, 100%, $F$9) + CHOOSE(CONTROL!$C$27, 0.0021, 0)</f>
        <v>157.62790000000001</v>
      </c>
      <c r="H882" s="14">
        <f>157.491 * CHOOSE(CONTROL!$C$9, $D$9, 100%, $F$9) + CHOOSE(CONTROL!$C$27, 0.0021, 0)</f>
        <v>157.49310000000003</v>
      </c>
      <c r="I882" s="14">
        <f>157.491 * CHOOSE(CONTROL!$C$9, $D$9, 100%, $F$9) + CHOOSE(CONTROL!$C$27, 0.0021, 0)</f>
        <v>157.49310000000003</v>
      </c>
      <c r="J882" s="14">
        <f>157.491 * CHOOSE(CONTROL!$C$9, $D$9, 100%, $F$9) + CHOOSE(CONTROL!$C$27, 0.0021, 0)</f>
        <v>157.49310000000003</v>
      </c>
      <c r="K882" s="14">
        <f>157.491 * CHOOSE(CONTROL!$C$9, $D$9, 100%, $F$9) + CHOOSE(CONTROL!$C$27, 0.0021, 0)</f>
        <v>157.49310000000003</v>
      </c>
      <c r="L882" s="14"/>
    </row>
    <row r="883" spans="1:12" ht="15.75" x14ac:dyDescent="0.25">
      <c r="A883" s="32">
        <v>67815</v>
      </c>
      <c r="B883" s="14">
        <f>154.3003 * CHOOSE(CONTROL!$C$9, $D$9, 100%, $F$9) + CHOOSE(CONTROL!$C$27, 0.0021, 0)</f>
        <v>154.30240000000001</v>
      </c>
      <c r="C883" s="14">
        <f>153.868 * CHOOSE(CONTROL!$C$9, $D$9, 100%, $F$9) + CHOOSE(CONTROL!$C$27, 0.0021, 0)</f>
        <v>153.87010000000001</v>
      </c>
      <c r="D883" s="14">
        <f>153.868 * CHOOSE(CONTROL!$C$9, $D$9, 100%, $F$9) + CHOOSE(CONTROL!$C$27, 0.0021, 0)</f>
        <v>153.87010000000001</v>
      </c>
      <c r="E883" s="14">
        <f>153.7314 * CHOOSE(CONTROL!$C$9, $D$9, 100%, $F$9) + CHOOSE(CONTROL!$C$27, 0.0021, 0)</f>
        <v>153.73350000000002</v>
      </c>
      <c r="F883" s="14">
        <f>153.7314 * CHOOSE(CONTROL!$C$9, $D$9, 100%, $F$9) + CHOOSE(CONTROL!$C$27, 0.0021, 0)</f>
        <v>153.73350000000002</v>
      </c>
      <c r="G883" s="14">
        <f>154.0027 * CHOOSE(CONTROL!$C$9, $D$9, 100%, $F$9) + CHOOSE(CONTROL!$C$27, 0.0021, 0)</f>
        <v>154.00480000000002</v>
      </c>
      <c r="H883" s="14">
        <f>153.868 * CHOOSE(CONTROL!$C$9, $D$9, 100%, $F$9) + CHOOSE(CONTROL!$C$27, 0.0021, 0)</f>
        <v>153.87010000000001</v>
      </c>
      <c r="I883" s="14">
        <f>153.868 * CHOOSE(CONTROL!$C$9, $D$9, 100%, $F$9) + CHOOSE(CONTROL!$C$27, 0.0021, 0)</f>
        <v>153.87010000000001</v>
      </c>
      <c r="J883" s="14">
        <f>153.868 * CHOOSE(CONTROL!$C$9, $D$9, 100%, $F$9) + CHOOSE(CONTROL!$C$27, 0.0021, 0)</f>
        <v>153.87010000000001</v>
      </c>
      <c r="K883" s="14">
        <f>153.868 * CHOOSE(CONTROL!$C$9, $D$9, 100%, $F$9) + CHOOSE(CONTROL!$C$27, 0.0021, 0)</f>
        <v>153.87010000000001</v>
      </c>
      <c r="L883" s="14"/>
    </row>
    <row r="884" spans="1:12" ht="15.75" x14ac:dyDescent="0.25">
      <c r="A884" s="32">
        <v>67845</v>
      </c>
      <c r="B884" s="14">
        <f>149.2478 * CHOOSE(CONTROL!$C$9, $D$9, 100%, $F$9) + CHOOSE(CONTROL!$C$27, 0.0021, 0)</f>
        <v>149.24990000000003</v>
      </c>
      <c r="C884" s="14">
        <f>148.8155 * CHOOSE(CONTROL!$C$9, $D$9, 100%, $F$9) + CHOOSE(CONTROL!$C$27, 0.0021, 0)</f>
        <v>148.8176</v>
      </c>
      <c r="D884" s="14">
        <f>148.8155 * CHOOSE(CONTROL!$C$9, $D$9, 100%, $F$9) + CHOOSE(CONTROL!$C$27, 0.0021, 0)</f>
        <v>148.8176</v>
      </c>
      <c r="E884" s="14">
        <f>148.6789 * CHOOSE(CONTROL!$C$9, $D$9, 100%, $F$9) + CHOOSE(CONTROL!$C$27, 0.0021, 0)</f>
        <v>148.68100000000001</v>
      </c>
      <c r="F884" s="14">
        <f>148.6789 * CHOOSE(CONTROL!$C$9, $D$9, 100%, $F$9) + CHOOSE(CONTROL!$C$27, 0.0021, 0)</f>
        <v>148.68100000000001</v>
      </c>
      <c r="G884" s="14">
        <f>148.9503 * CHOOSE(CONTROL!$C$9, $D$9, 100%, $F$9) + CHOOSE(CONTROL!$C$27, 0.0021, 0)</f>
        <v>148.95240000000001</v>
      </c>
      <c r="H884" s="14">
        <f>148.8155 * CHOOSE(CONTROL!$C$9, $D$9, 100%, $F$9) + CHOOSE(CONTROL!$C$27, 0.0021, 0)</f>
        <v>148.8176</v>
      </c>
      <c r="I884" s="14">
        <f>148.8155 * CHOOSE(CONTROL!$C$9, $D$9, 100%, $F$9) + CHOOSE(CONTROL!$C$27, 0.0021, 0)</f>
        <v>148.8176</v>
      </c>
      <c r="J884" s="14">
        <f>148.8155 * CHOOSE(CONTROL!$C$9, $D$9, 100%, $F$9) + CHOOSE(CONTROL!$C$27, 0.0021, 0)</f>
        <v>148.8176</v>
      </c>
      <c r="K884" s="14">
        <f>148.8155 * CHOOSE(CONTROL!$C$9, $D$9, 100%, $F$9) + CHOOSE(CONTROL!$C$27, 0.0021, 0)</f>
        <v>148.8176</v>
      </c>
      <c r="L884" s="14"/>
    </row>
    <row r="885" spans="1:12" ht="15.75" x14ac:dyDescent="0.25">
      <c r="A885" s="32">
        <v>67876</v>
      </c>
      <c r="B885" s="14">
        <f>144.1659 * CHOOSE(CONTROL!$C$9, $D$9, 100%, $F$9) + CHOOSE(CONTROL!$C$27, 0.0021, 0)</f>
        <v>144.16800000000001</v>
      </c>
      <c r="C885" s="14">
        <f>143.7337 * CHOOSE(CONTROL!$C$9, $D$9, 100%, $F$9) + CHOOSE(CONTROL!$C$27, 0.0021, 0)</f>
        <v>143.73580000000001</v>
      </c>
      <c r="D885" s="14">
        <f>143.7337 * CHOOSE(CONTROL!$C$9, $D$9, 100%, $F$9) + CHOOSE(CONTROL!$C$27, 0.0021, 0)</f>
        <v>143.73580000000001</v>
      </c>
      <c r="E885" s="14">
        <f>143.597 * CHOOSE(CONTROL!$C$9, $D$9, 100%, $F$9) + CHOOSE(CONTROL!$C$27, 0.0021, 0)</f>
        <v>143.59910000000002</v>
      </c>
      <c r="F885" s="14">
        <f>143.597 * CHOOSE(CONTROL!$C$9, $D$9, 100%, $F$9) + CHOOSE(CONTROL!$C$27, 0.0021, 0)</f>
        <v>143.59910000000002</v>
      </c>
      <c r="G885" s="14">
        <f>143.8684 * CHOOSE(CONTROL!$C$9, $D$9, 100%, $F$9) + CHOOSE(CONTROL!$C$27, 0.0021, 0)</f>
        <v>143.87050000000002</v>
      </c>
      <c r="H885" s="14">
        <f>143.7337 * CHOOSE(CONTROL!$C$9, $D$9, 100%, $F$9) + CHOOSE(CONTROL!$C$27, 0.0021, 0)</f>
        <v>143.73580000000001</v>
      </c>
      <c r="I885" s="14">
        <f>143.7337 * CHOOSE(CONTROL!$C$9, $D$9, 100%, $F$9) + CHOOSE(CONTROL!$C$27, 0.0021, 0)</f>
        <v>143.73580000000001</v>
      </c>
      <c r="J885" s="14">
        <f>143.7337 * CHOOSE(CONTROL!$C$9, $D$9, 100%, $F$9) + CHOOSE(CONTROL!$C$27, 0.0021, 0)</f>
        <v>143.73580000000001</v>
      </c>
      <c r="K885" s="14">
        <f>143.7337 * CHOOSE(CONTROL!$C$9, $D$9, 100%, $F$9) + CHOOSE(CONTROL!$C$27, 0.0021, 0)</f>
        <v>143.73580000000001</v>
      </c>
      <c r="L885" s="14"/>
    </row>
    <row r="886" spans="1:12" ht="15.75" x14ac:dyDescent="0.25">
      <c r="A886" s="32">
        <v>67906</v>
      </c>
      <c r="B886" s="14">
        <f>143.155 * CHOOSE(CONTROL!$C$9, $D$9, 100%, $F$9) + CHOOSE(CONTROL!$C$27, 0.0021, 0)</f>
        <v>143.15710000000001</v>
      </c>
      <c r="C886" s="14">
        <f>142.7228 * CHOOSE(CONTROL!$C$9, $D$9, 100%, $F$9) + CHOOSE(CONTROL!$C$27, 0.0021, 0)</f>
        <v>142.72490000000002</v>
      </c>
      <c r="D886" s="14">
        <f>142.7228 * CHOOSE(CONTROL!$C$9, $D$9, 100%, $F$9) + CHOOSE(CONTROL!$C$27, 0.0021, 0)</f>
        <v>142.72490000000002</v>
      </c>
      <c r="E886" s="14">
        <f>142.5861 * CHOOSE(CONTROL!$C$9, $D$9, 100%, $F$9) + CHOOSE(CONTROL!$C$27, 0.0021, 0)</f>
        <v>142.5882</v>
      </c>
      <c r="F886" s="14">
        <f>142.5861 * CHOOSE(CONTROL!$C$9, $D$9, 100%, $F$9) + CHOOSE(CONTROL!$C$27, 0.0021, 0)</f>
        <v>142.5882</v>
      </c>
      <c r="G886" s="14">
        <f>142.8575 * CHOOSE(CONTROL!$C$9, $D$9, 100%, $F$9) + CHOOSE(CONTROL!$C$27, 0.0021, 0)</f>
        <v>142.8596</v>
      </c>
      <c r="H886" s="14">
        <f>142.7228 * CHOOSE(CONTROL!$C$9, $D$9, 100%, $F$9) + CHOOSE(CONTROL!$C$27, 0.0021, 0)</f>
        <v>142.72490000000002</v>
      </c>
      <c r="I886" s="14">
        <f>142.7228 * CHOOSE(CONTROL!$C$9, $D$9, 100%, $F$9) + CHOOSE(CONTROL!$C$27, 0.0021, 0)</f>
        <v>142.72490000000002</v>
      </c>
      <c r="J886" s="14">
        <f>142.7228 * CHOOSE(CONTROL!$C$9, $D$9, 100%, $F$9) + CHOOSE(CONTROL!$C$27, 0.0021, 0)</f>
        <v>142.72490000000002</v>
      </c>
      <c r="K886" s="14">
        <f>142.7228 * CHOOSE(CONTROL!$C$9, $D$9, 100%, $F$9) + CHOOSE(CONTROL!$C$27, 0.0021, 0)</f>
        <v>142.72490000000002</v>
      </c>
      <c r="L886" s="14"/>
    </row>
    <row r="887" spans="1:12" ht="15.75" x14ac:dyDescent="0.25">
      <c r="A887" s="32">
        <v>67937</v>
      </c>
      <c r="B887" s="14">
        <f>138.9749 * CHOOSE(CONTROL!$C$9, $D$9, 100%, $F$9) + CHOOSE(CONTROL!$C$27, 0.0021, 0)</f>
        <v>138.977</v>
      </c>
      <c r="C887" s="14">
        <f>138.5427 * CHOOSE(CONTROL!$C$9, $D$9, 100%, $F$9) + CHOOSE(CONTROL!$C$27, 0.0021, 0)</f>
        <v>138.54480000000001</v>
      </c>
      <c r="D887" s="14">
        <f>138.5427 * CHOOSE(CONTROL!$C$9, $D$9, 100%, $F$9) + CHOOSE(CONTROL!$C$27, 0.0021, 0)</f>
        <v>138.54480000000001</v>
      </c>
      <c r="E887" s="14">
        <f>138.406 * CHOOSE(CONTROL!$C$9, $D$9, 100%, $F$9) + CHOOSE(CONTROL!$C$27, 0.0021, 0)</f>
        <v>138.40810000000002</v>
      </c>
      <c r="F887" s="14">
        <f>138.406 * CHOOSE(CONTROL!$C$9, $D$9, 100%, $F$9) + CHOOSE(CONTROL!$C$27, 0.0021, 0)</f>
        <v>138.40810000000002</v>
      </c>
      <c r="G887" s="14">
        <f>138.6774 * CHOOSE(CONTROL!$C$9, $D$9, 100%, $F$9) + CHOOSE(CONTROL!$C$27, 0.0021, 0)</f>
        <v>138.67950000000002</v>
      </c>
      <c r="H887" s="14">
        <f>138.5427 * CHOOSE(CONTROL!$C$9, $D$9, 100%, $F$9) + CHOOSE(CONTROL!$C$27, 0.0021, 0)</f>
        <v>138.54480000000001</v>
      </c>
      <c r="I887" s="14">
        <f>138.5427 * CHOOSE(CONTROL!$C$9, $D$9, 100%, $F$9) + CHOOSE(CONTROL!$C$27, 0.0021, 0)</f>
        <v>138.54480000000001</v>
      </c>
      <c r="J887" s="14">
        <f>138.5427 * CHOOSE(CONTROL!$C$9, $D$9, 100%, $F$9) + CHOOSE(CONTROL!$C$27, 0.0021, 0)</f>
        <v>138.54480000000001</v>
      </c>
      <c r="K887" s="14">
        <f>138.5427 * CHOOSE(CONTROL!$C$9, $D$9, 100%, $F$9) + CHOOSE(CONTROL!$C$27, 0.0021, 0)</f>
        <v>138.54480000000001</v>
      </c>
      <c r="L887" s="14"/>
    </row>
    <row r="888" spans="1:12" ht="15.75" x14ac:dyDescent="0.25">
      <c r="A888" s="32">
        <v>67968</v>
      </c>
      <c r="B888" s="14">
        <f>138.1611 * CHOOSE(CONTROL!$C$9, $D$9, 100%, $F$9) + CHOOSE(CONTROL!$C$27, 0.0021, 0)</f>
        <v>138.16320000000002</v>
      </c>
      <c r="C888" s="14">
        <f>137.7288 * CHOOSE(CONTROL!$C$9, $D$9, 100%, $F$9) + CHOOSE(CONTROL!$C$27, 0.0021, 0)</f>
        <v>137.73090000000002</v>
      </c>
      <c r="D888" s="14">
        <f>137.7288 * CHOOSE(CONTROL!$C$9, $D$9, 100%, $F$9) + CHOOSE(CONTROL!$C$27, 0.0021, 0)</f>
        <v>137.73090000000002</v>
      </c>
      <c r="E888" s="14">
        <f>137.5922 * CHOOSE(CONTROL!$C$9, $D$9, 100%, $F$9) + CHOOSE(CONTROL!$C$27, 0.0021, 0)</f>
        <v>137.5943</v>
      </c>
      <c r="F888" s="14">
        <f>137.5922 * CHOOSE(CONTROL!$C$9, $D$9, 100%, $F$9) + CHOOSE(CONTROL!$C$27, 0.0021, 0)</f>
        <v>137.5943</v>
      </c>
      <c r="G888" s="14">
        <f>137.8636 * CHOOSE(CONTROL!$C$9, $D$9, 100%, $F$9) + CHOOSE(CONTROL!$C$27, 0.0021, 0)</f>
        <v>137.8657</v>
      </c>
      <c r="H888" s="14">
        <f>137.7288 * CHOOSE(CONTROL!$C$9, $D$9, 100%, $F$9) + CHOOSE(CONTROL!$C$27, 0.0021, 0)</f>
        <v>137.73090000000002</v>
      </c>
      <c r="I888" s="14">
        <f>137.7288 * CHOOSE(CONTROL!$C$9, $D$9, 100%, $F$9) + CHOOSE(CONTROL!$C$27, 0.0021, 0)</f>
        <v>137.73090000000002</v>
      </c>
      <c r="J888" s="14">
        <f>137.7288 * CHOOSE(CONTROL!$C$9, $D$9, 100%, $F$9) + CHOOSE(CONTROL!$C$27, 0.0021, 0)</f>
        <v>137.73090000000002</v>
      </c>
      <c r="K888" s="14">
        <f>137.7288 * CHOOSE(CONTROL!$C$9, $D$9, 100%, $F$9) + CHOOSE(CONTROL!$C$27, 0.0021, 0)</f>
        <v>137.73090000000002</v>
      </c>
      <c r="L888" s="14"/>
    </row>
    <row r="889" spans="1:12" ht="15.75" x14ac:dyDescent="0.25">
      <c r="A889" s="32">
        <v>67996</v>
      </c>
      <c r="B889" s="14">
        <f>137.7834 * CHOOSE(CONTROL!$C$9, $D$9, 100%, $F$9) + CHOOSE(CONTROL!$C$27, 0.0021, 0)</f>
        <v>137.78550000000001</v>
      </c>
      <c r="C889" s="14">
        <f>137.3512 * CHOOSE(CONTROL!$C$9, $D$9, 100%, $F$9) + CHOOSE(CONTROL!$C$27, 0.0021, 0)</f>
        <v>137.35330000000002</v>
      </c>
      <c r="D889" s="14">
        <f>137.3512 * CHOOSE(CONTROL!$C$9, $D$9, 100%, $F$9) + CHOOSE(CONTROL!$C$27, 0.0021, 0)</f>
        <v>137.35330000000002</v>
      </c>
      <c r="E889" s="14">
        <f>137.2145 * CHOOSE(CONTROL!$C$9, $D$9, 100%, $F$9) + CHOOSE(CONTROL!$C$27, 0.0021, 0)</f>
        <v>137.2166</v>
      </c>
      <c r="F889" s="14">
        <f>137.2145 * CHOOSE(CONTROL!$C$9, $D$9, 100%, $F$9) + CHOOSE(CONTROL!$C$27, 0.0021, 0)</f>
        <v>137.2166</v>
      </c>
      <c r="G889" s="14">
        <f>137.4859 * CHOOSE(CONTROL!$C$9, $D$9, 100%, $F$9) + CHOOSE(CONTROL!$C$27, 0.0021, 0)</f>
        <v>137.488</v>
      </c>
      <c r="H889" s="14">
        <f>137.3512 * CHOOSE(CONTROL!$C$9, $D$9, 100%, $F$9) + CHOOSE(CONTROL!$C$27, 0.0021, 0)</f>
        <v>137.35330000000002</v>
      </c>
      <c r="I889" s="14">
        <f>137.3512 * CHOOSE(CONTROL!$C$9, $D$9, 100%, $F$9) + CHOOSE(CONTROL!$C$27, 0.0021, 0)</f>
        <v>137.35330000000002</v>
      </c>
      <c r="J889" s="14">
        <f>137.3512 * CHOOSE(CONTROL!$C$9, $D$9, 100%, $F$9) + CHOOSE(CONTROL!$C$27, 0.0021, 0)</f>
        <v>137.35330000000002</v>
      </c>
      <c r="K889" s="14">
        <f>137.3512 * CHOOSE(CONTROL!$C$9, $D$9, 100%, $F$9) + CHOOSE(CONTROL!$C$27, 0.0021, 0)</f>
        <v>137.35330000000002</v>
      </c>
      <c r="L889" s="14"/>
    </row>
    <row r="890" spans="1:12" ht="15.75" x14ac:dyDescent="0.25">
      <c r="A890" s="32">
        <v>68027</v>
      </c>
      <c r="B890" s="14">
        <f>144.9246 * CHOOSE(CONTROL!$C$9, $D$9, 100%, $F$9) + CHOOSE(CONTROL!$C$27, 0.0021, 0)</f>
        <v>144.92670000000001</v>
      </c>
      <c r="C890" s="14">
        <f>144.4923 * CHOOSE(CONTROL!$C$9, $D$9, 100%, $F$9) + CHOOSE(CONTROL!$C$27, 0.0021, 0)</f>
        <v>144.49440000000001</v>
      </c>
      <c r="D890" s="14">
        <f>144.4923 * CHOOSE(CONTROL!$C$9, $D$9, 100%, $F$9) + CHOOSE(CONTROL!$C$27, 0.0021, 0)</f>
        <v>144.49440000000001</v>
      </c>
      <c r="E890" s="14">
        <f>144.3557 * CHOOSE(CONTROL!$C$9, $D$9, 100%, $F$9) + CHOOSE(CONTROL!$C$27, 0.0021, 0)</f>
        <v>144.35780000000003</v>
      </c>
      <c r="F890" s="14">
        <f>144.3557 * CHOOSE(CONTROL!$C$9, $D$9, 100%, $F$9) + CHOOSE(CONTROL!$C$27, 0.0021, 0)</f>
        <v>144.35780000000003</v>
      </c>
      <c r="G890" s="14">
        <f>144.6271 * CHOOSE(CONTROL!$C$9, $D$9, 100%, $F$9) + CHOOSE(CONTROL!$C$27, 0.0021, 0)</f>
        <v>144.62920000000003</v>
      </c>
      <c r="H890" s="14">
        <f>144.4923 * CHOOSE(CONTROL!$C$9, $D$9, 100%, $F$9) + CHOOSE(CONTROL!$C$27, 0.0021, 0)</f>
        <v>144.49440000000001</v>
      </c>
      <c r="I890" s="14">
        <f>144.4923 * CHOOSE(CONTROL!$C$9, $D$9, 100%, $F$9) + CHOOSE(CONTROL!$C$27, 0.0021, 0)</f>
        <v>144.49440000000001</v>
      </c>
      <c r="J890" s="14">
        <f>144.4923 * CHOOSE(CONTROL!$C$9, $D$9, 100%, $F$9) + CHOOSE(CONTROL!$C$27, 0.0021, 0)</f>
        <v>144.49440000000001</v>
      </c>
      <c r="K890" s="14">
        <f>144.4923 * CHOOSE(CONTROL!$C$9, $D$9, 100%, $F$9) + CHOOSE(CONTROL!$C$27, 0.0021, 0)</f>
        <v>144.49440000000001</v>
      </c>
      <c r="L890" s="14"/>
    </row>
    <row r="891" spans="1:12" ht="15.75" x14ac:dyDescent="0.25">
      <c r="A891" s="32">
        <v>68057</v>
      </c>
      <c r="B891" s="14">
        <f>154.185 * CHOOSE(CONTROL!$C$9, $D$9, 100%, $F$9) + CHOOSE(CONTROL!$C$27, 0.0021, 0)</f>
        <v>154.18710000000002</v>
      </c>
      <c r="C891" s="14">
        <f>153.7527 * CHOOSE(CONTROL!$C$9, $D$9, 100%, $F$9) + CHOOSE(CONTROL!$C$27, 0.0021, 0)</f>
        <v>153.75480000000002</v>
      </c>
      <c r="D891" s="14">
        <f>153.7527 * CHOOSE(CONTROL!$C$9, $D$9, 100%, $F$9) + CHOOSE(CONTROL!$C$27, 0.0021, 0)</f>
        <v>153.75480000000002</v>
      </c>
      <c r="E891" s="14">
        <f>153.6161 * CHOOSE(CONTROL!$C$9, $D$9, 100%, $F$9) + CHOOSE(CONTROL!$C$27, 0.0021, 0)</f>
        <v>153.6182</v>
      </c>
      <c r="F891" s="14">
        <f>153.6161 * CHOOSE(CONTROL!$C$9, $D$9, 100%, $F$9) + CHOOSE(CONTROL!$C$27, 0.0021, 0)</f>
        <v>153.6182</v>
      </c>
      <c r="G891" s="14">
        <f>153.8874 * CHOOSE(CONTROL!$C$9, $D$9, 100%, $F$9) + CHOOSE(CONTROL!$C$27, 0.0021, 0)</f>
        <v>153.88950000000003</v>
      </c>
      <c r="H891" s="14">
        <f>153.7527 * CHOOSE(CONTROL!$C$9, $D$9, 100%, $F$9) + CHOOSE(CONTROL!$C$27, 0.0021, 0)</f>
        <v>153.75480000000002</v>
      </c>
      <c r="I891" s="14">
        <f>153.7527 * CHOOSE(CONTROL!$C$9, $D$9, 100%, $F$9) + CHOOSE(CONTROL!$C$27, 0.0021, 0)</f>
        <v>153.75480000000002</v>
      </c>
      <c r="J891" s="14">
        <f>153.7527 * CHOOSE(CONTROL!$C$9, $D$9, 100%, $F$9) + CHOOSE(CONTROL!$C$27, 0.0021, 0)</f>
        <v>153.75480000000002</v>
      </c>
      <c r="K891" s="14">
        <f>153.7527 * CHOOSE(CONTROL!$C$9, $D$9, 100%, $F$9) + CHOOSE(CONTROL!$C$27, 0.0021, 0)</f>
        <v>153.75480000000002</v>
      </c>
      <c r="L891" s="14"/>
    </row>
    <row r="892" spans="1:12" ht="15.75" x14ac:dyDescent="0.25">
      <c r="A892" s="32">
        <v>68088</v>
      </c>
      <c r="B892" s="14">
        <f>159.2822 * CHOOSE(CONTROL!$C$9, $D$9, 100%, $F$9) + CHOOSE(CONTROL!$C$27, 0.0021, 0)</f>
        <v>159.2843</v>
      </c>
      <c r="C892" s="14">
        <f>158.8499 * CHOOSE(CONTROL!$C$9, $D$9, 100%, $F$9) + CHOOSE(CONTROL!$C$27, 0.0021, 0)</f>
        <v>158.852</v>
      </c>
      <c r="D892" s="14">
        <f>158.8499 * CHOOSE(CONTROL!$C$9, $D$9, 100%, $F$9) + CHOOSE(CONTROL!$C$27, 0.0021, 0)</f>
        <v>158.852</v>
      </c>
      <c r="E892" s="14">
        <f>158.7133 * CHOOSE(CONTROL!$C$9, $D$9, 100%, $F$9) + CHOOSE(CONTROL!$C$27, 0.0021, 0)</f>
        <v>158.71540000000002</v>
      </c>
      <c r="F892" s="14">
        <f>158.7133 * CHOOSE(CONTROL!$C$9, $D$9, 100%, $F$9) + CHOOSE(CONTROL!$C$27, 0.0021, 0)</f>
        <v>158.71540000000002</v>
      </c>
      <c r="G892" s="14">
        <f>158.9847 * CHOOSE(CONTROL!$C$9, $D$9, 100%, $F$9) + CHOOSE(CONTROL!$C$27, 0.0021, 0)</f>
        <v>158.98680000000002</v>
      </c>
      <c r="H892" s="14">
        <f>158.8499 * CHOOSE(CONTROL!$C$9, $D$9, 100%, $F$9) + CHOOSE(CONTROL!$C$27, 0.0021, 0)</f>
        <v>158.852</v>
      </c>
      <c r="I892" s="14">
        <f>158.8499 * CHOOSE(CONTROL!$C$9, $D$9, 100%, $F$9) + CHOOSE(CONTROL!$C$27, 0.0021, 0)</f>
        <v>158.852</v>
      </c>
      <c r="J892" s="14">
        <f>158.8499 * CHOOSE(CONTROL!$C$9, $D$9, 100%, $F$9) + CHOOSE(CONTROL!$C$27, 0.0021, 0)</f>
        <v>158.852</v>
      </c>
      <c r="K892" s="14">
        <f>158.8499 * CHOOSE(CONTROL!$C$9, $D$9, 100%, $F$9) + CHOOSE(CONTROL!$C$27, 0.0021, 0)</f>
        <v>158.852</v>
      </c>
      <c r="L892" s="14"/>
    </row>
    <row r="893" spans="1:12" ht="15.75" x14ac:dyDescent="0.25">
      <c r="A893" s="32">
        <v>68118</v>
      </c>
      <c r="B893" s="14">
        <f>161.5442 * CHOOSE(CONTROL!$C$9, $D$9, 100%, $F$9) + CHOOSE(CONTROL!$C$27, 0.0021, 0)</f>
        <v>161.5463</v>
      </c>
      <c r="C893" s="14">
        <f>161.112 * CHOOSE(CONTROL!$C$9, $D$9, 100%, $F$9) + CHOOSE(CONTROL!$C$27, 0.0021, 0)</f>
        <v>161.11410000000001</v>
      </c>
      <c r="D893" s="14">
        <f>161.112 * CHOOSE(CONTROL!$C$9, $D$9, 100%, $F$9) + CHOOSE(CONTROL!$C$27, 0.0021, 0)</f>
        <v>161.11410000000001</v>
      </c>
      <c r="E893" s="14">
        <f>160.9753 * CHOOSE(CONTROL!$C$9, $D$9, 100%, $F$9) + CHOOSE(CONTROL!$C$27, 0.0021, 0)</f>
        <v>160.97740000000002</v>
      </c>
      <c r="F893" s="14">
        <f>160.9753 * CHOOSE(CONTROL!$C$9, $D$9, 100%, $F$9) + CHOOSE(CONTROL!$C$27, 0.0021, 0)</f>
        <v>160.97740000000002</v>
      </c>
      <c r="G893" s="14">
        <f>161.2467 * CHOOSE(CONTROL!$C$9, $D$9, 100%, $F$9) + CHOOSE(CONTROL!$C$27, 0.0021, 0)</f>
        <v>161.24880000000002</v>
      </c>
      <c r="H893" s="14">
        <f>161.112 * CHOOSE(CONTROL!$C$9, $D$9, 100%, $F$9) + CHOOSE(CONTROL!$C$27, 0.0021, 0)</f>
        <v>161.11410000000001</v>
      </c>
      <c r="I893" s="14">
        <f>161.112 * CHOOSE(CONTROL!$C$9, $D$9, 100%, $F$9) + CHOOSE(CONTROL!$C$27, 0.0021, 0)</f>
        <v>161.11410000000001</v>
      </c>
      <c r="J893" s="14">
        <f>161.112 * CHOOSE(CONTROL!$C$9, $D$9, 100%, $F$9) + CHOOSE(CONTROL!$C$27, 0.0021, 0)</f>
        <v>161.11410000000001</v>
      </c>
      <c r="K893" s="14">
        <f>161.112 * CHOOSE(CONTROL!$C$9, $D$9, 100%, $F$9) + CHOOSE(CONTROL!$C$27, 0.0021, 0)</f>
        <v>161.11410000000001</v>
      </c>
      <c r="L893" s="14"/>
    </row>
    <row r="894" spans="1:12" ht="15.75" x14ac:dyDescent="0.25">
      <c r="A894" s="32">
        <v>68149</v>
      </c>
      <c r="B894" s="14">
        <f>160.7995 * CHOOSE(CONTROL!$C$9, $D$9, 100%, $F$9) + CHOOSE(CONTROL!$C$27, 0.0021, 0)</f>
        <v>160.80160000000001</v>
      </c>
      <c r="C894" s="14">
        <f>160.3672 * CHOOSE(CONTROL!$C$9, $D$9, 100%, $F$9) + CHOOSE(CONTROL!$C$27, 0.0021, 0)</f>
        <v>160.36930000000001</v>
      </c>
      <c r="D894" s="14">
        <f>160.3672 * CHOOSE(CONTROL!$C$9, $D$9, 100%, $F$9) + CHOOSE(CONTROL!$C$27, 0.0021, 0)</f>
        <v>160.36930000000001</v>
      </c>
      <c r="E894" s="14">
        <f>160.2306 * CHOOSE(CONTROL!$C$9, $D$9, 100%, $F$9) + CHOOSE(CONTROL!$C$27, 0.0021, 0)</f>
        <v>160.23270000000002</v>
      </c>
      <c r="F894" s="14">
        <f>160.2306 * CHOOSE(CONTROL!$C$9, $D$9, 100%, $F$9) + CHOOSE(CONTROL!$C$27, 0.0021, 0)</f>
        <v>160.23270000000002</v>
      </c>
      <c r="G894" s="14">
        <f>160.5019 * CHOOSE(CONTROL!$C$9, $D$9, 100%, $F$9) + CHOOSE(CONTROL!$C$27, 0.0021, 0)</f>
        <v>160.50400000000002</v>
      </c>
      <c r="H894" s="14">
        <f>160.3672 * CHOOSE(CONTROL!$C$9, $D$9, 100%, $F$9) + CHOOSE(CONTROL!$C$27, 0.0021, 0)</f>
        <v>160.36930000000001</v>
      </c>
      <c r="I894" s="14">
        <f>160.3672 * CHOOSE(CONTROL!$C$9, $D$9, 100%, $F$9) + CHOOSE(CONTROL!$C$27, 0.0021, 0)</f>
        <v>160.36930000000001</v>
      </c>
      <c r="J894" s="14">
        <f>160.3672 * CHOOSE(CONTROL!$C$9, $D$9, 100%, $F$9) + CHOOSE(CONTROL!$C$27, 0.0021, 0)</f>
        <v>160.36930000000001</v>
      </c>
      <c r="K894" s="14">
        <f>160.3672 * CHOOSE(CONTROL!$C$9, $D$9, 100%, $F$9) + CHOOSE(CONTROL!$C$27, 0.0021, 0)</f>
        <v>160.36930000000001</v>
      </c>
      <c r="L894" s="14"/>
    </row>
    <row r="895" spans="1:12" ht="15.75" x14ac:dyDescent="0.25">
      <c r="A895" s="32">
        <v>68180</v>
      </c>
      <c r="B895" s="14">
        <f>157.1095 * CHOOSE(CONTROL!$C$9, $D$9, 100%, $F$9) + CHOOSE(CONTROL!$C$27, 0.0021, 0)</f>
        <v>157.11160000000001</v>
      </c>
      <c r="C895" s="14">
        <f>156.6772 * CHOOSE(CONTROL!$C$9, $D$9, 100%, $F$9) + CHOOSE(CONTROL!$C$27, 0.0021, 0)</f>
        <v>156.67930000000001</v>
      </c>
      <c r="D895" s="14">
        <f>156.6772 * CHOOSE(CONTROL!$C$9, $D$9, 100%, $F$9) + CHOOSE(CONTROL!$C$27, 0.0021, 0)</f>
        <v>156.67930000000001</v>
      </c>
      <c r="E895" s="14">
        <f>156.5406 * CHOOSE(CONTROL!$C$9, $D$9, 100%, $F$9) + CHOOSE(CONTROL!$C$27, 0.0021, 0)</f>
        <v>156.54270000000002</v>
      </c>
      <c r="F895" s="14">
        <f>156.5406 * CHOOSE(CONTROL!$C$9, $D$9, 100%, $F$9) + CHOOSE(CONTROL!$C$27, 0.0021, 0)</f>
        <v>156.54270000000002</v>
      </c>
      <c r="G895" s="14">
        <f>156.812 * CHOOSE(CONTROL!$C$9, $D$9, 100%, $F$9) + CHOOSE(CONTROL!$C$27, 0.0021, 0)</f>
        <v>156.81410000000002</v>
      </c>
      <c r="H895" s="14">
        <f>156.6772 * CHOOSE(CONTROL!$C$9, $D$9, 100%, $F$9) + CHOOSE(CONTROL!$C$27, 0.0021, 0)</f>
        <v>156.67930000000001</v>
      </c>
      <c r="I895" s="14">
        <f>156.6772 * CHOOSE(CONTROL!$C$9, $D$9, 100%, $F$9) + CHOOSE(CONTROL!$C$27, 0.0021, 0)</f>
        <v>156.67930000000001</v>
      </c>
      <c r="J895" s="14">
        <f>156.6772 * CHOOSE(CONTROL!$C$9, $D$9, 100%, $F$9) + CHOOSE(CONTROL!$C$27, 0.0021, 0)</f>
        <v>156.67930000000001</v>
      </c>
      <c r="K895" s="14">
        <f>156.6772 * CHOOSE(CONTROL!$C$9, $D$9, 100%, $F$9) + CHOOSE(CONTROL!$C$27, 0.0021, 0)</f>
        <v>156.67930000000001</v>
      </c>
      <c r="L895" s="14"/>
    </row>
    <row r="896" spans="1:12" ht="15.75" x14ac:dyDescent="0.25">
      <c r="A896" s="32">
        <v>68210</v>
      </c>
      <c r="B896" s="14">
        <f>151.9636 * CHOOSE(CONTROL!$C$9, $D$9, 100%, $F$9) + CHOOSE(CONTROL!$C$27, 0.0021, 0)</f>
        <v>151.96570000000003</v>
      </c>
      <c r="C896" s="14">
        <f>151.5314 * CHOOSE(CONTROL!$C$9, $D$9, 100%, $F$9) + CHOOSE(CONTROL!$C$27, 0.0021, 0)</f>
        <v>151.5335</v>
      </c>
      <c r="D896" s="14">
        <f>151.5314 * CHOOSE(CONTROL!$C$9, $D$9, 100%, $F$9) + CHOOSE(CONTROL!$C$27, 0.0021, 0)</f>
        <v>151.5335</v>
      </c>
      <c r="E896" s="14">
        <f>151.3947 * CHOOSE(CONTROL!$C$9, $D$9, 100%, $F$9) + CHOOSE(CONTROL!$C$27, 0.0021, 0)</f>
        <v>151.39680000000001</v>
      </c>
      <c r="F896" s="14">
        <f>151.3947 * CHOOSE(CONTROL!$C$9, $D$9, 100%, $F$9) + CHOOSE(CONTROL!$C$27, 0.0021, 0)</f>
        <v>151.39680000000001</v>
      </c>
      <c r="G896" s="14">
        <f>151.6661 * CHOOSE(CONTROL!$C$9, $D$9, 100%, $F$9) + CHOOSE(CONTROL!$C$27, 0.0021, 0)</f>
        <v>151.66820000000001</v>
      </c>
      <c r="H896" s="14">
        <f>151.5314 * CHOOSE(CONTROL!$C$9, $D$9, 100%, $F$9) + CHOOSE(CONTROL!$C$27, 0.0021, 0)</f>
        <v>151.5335</v>
      </c>
      <c r="I896" s="14">
        <f>151.5314 * CHOOSE(CONTROL!$C$9, $D$9, 100%, $F$9) + CHOOSE(CONTROL!$C$27, 0.0021, 0)</f>
        <v>151.5335</v>
      </c>
      <c r="J896" s="14">
        <f>151.5314 * CHOOSE(CONTROL!$C$9, $D$9, 100%, $F$9) + CHOOSE(CONTROL!$C$27, 0.0021, 0)</f>
        <v>151.5335</v>
      </c>
      <c r="K896" s="14">
        <f>151.5314 * CHOOSE(CONTROL!$C$9, $D$9, 100%, $F$9) + CHOOSE(CONTROL!$C$27, 0.0021, 0)</f>
        <v>151.5335</v>
      </c>
      <c r="L896" s="14"/>
    </row>
    <row r="897" spans="1:12" ht="15.75" x14ac:dyDescent="0.25">
      <c r="A897" s="32">
        <v>68241</v>
      </c>
      <c r="B897" s="14">
        <f>146.7878 * CHOOSE(CONTROL!$C$9, $D$9, 100%, $F$9) + CHOOSE(CONTROL!$C$27, 0.0021, 0)</f>
        <v>146.78990000000002</v>
      </c>
      <c r="C897" s="14">
        <f>146.3556 * CHOOSE(CONTROL!$C$9, $D$9, 100%, $F$9) + CHOOSE(CONTROL!$C$27, 0.0021, 0)</f>
        <v>146.35770000000002</v>
      </c>
      <c r="D897" s="14">
        <f>146.3556 * CHOOSE(CONTROL!$C$9, $D$9, 100%, $F$9) + CHOOSE(CONTROL!$C$27, 0.0021, 0)</f>
        <v>146.35770000000002</v>
      </c>
      <c r="E897" s="14">
        <f>146.2189 * CHOOSE(CONTROL!$C$9, $D$9, 100%, $F$9) + CHOOSE(CONTROL!$C$27, 0.0021, 0)</f>
        <v>146.221</v>
      </c>
      <c r="F897" s="14">
        <f>146.2189 * CHOOSE(CONTROL!$C$9, $D$9, 100%, $F$9) + CHOOSE(CONTROL!$C$27, 0.0021, 0)</f>
        <v>146.221</v>
      </c>
      <c r="G897" s="14">
        <f>146.4903 * CHOOSE(CONTROL!$C$9, $D$9, 100%, $F$9) + CHOOSE(CONTROL!$C$27, 0.0021, 0)</f>
        <v>146.4924</v>
      </c>
      <c r="H897" s="14">
        <f>146.3556 * CHOOSE(CONTROL!$C$9, $D$9, 100%, $F$9) + CHOOSE(CONTROL!$C$27, 0.0021, 0)</f>
        <v>146.35770000000002</v>
      </c>
      <c r="I897" s="14">
        <f>146.3556 * CHOOSE(CONTROL!$C$9, $D$9, 100%, $F$9) + CHOOSE(CONTROL!$C$27, 0.0021, 0)</f>
        <v>146.35770000000002</v>
      </c>
      <c r="J897" s="14">
        <f>146.3556 * CHOOSE(CONTROL!$C$9, $D$9, 100%, $F$9) + CHOOSE(CONTROL!$C$27, 0.0021, 0)</f>
        <v>146.35770000000002</v>
      </c>
      <c r="K897" s="14">
        <f>146.3556 * CHOOSE(CONTROL!$C$9, $D$9, 100%, $F$9) + CHOOSE(CONTROL!$C$27, 0.0021, 0)</f>
        <v>146.35770000000002</v>
      </c>
      <c r="L897" s="14"/>
    </row>
    <row r="898" spans="1:12" ht="15.75" x14ac:dyDescent="0.25">
      <c r="A898" s="32">
        <v>68271</v>
      </c>
      <c r="B898" s="14">
        <f>145.7583 * CHOOSE(CONTROL!$C$9, $D$9, 100%, $F$9) + CHOOSE(CONTROL!$C$27, 0.0021, 0)</f>
        <v>145.7604</v>
      </c>
      <c r="C898" s="14">
        <f>145.326 * CHOOSE(CONTROL!$C$9, $D$9, 100%, $F$9) + CHOOSE(CONTROL!$C$27, 0.0021, 0)</f>
        <v>145.32810000000001</v>
      </c>
      <c r="D898" s="14">
        <f>145.326 * CHOOSE(CONTROL!$C$9, $D$9, 100%, $F$9) + CHOOSE(CONTROL!$C$27, 0.0021, 0)</f>
        <v>145.32810000000001</v>
      </c>
      <c r="E898" s="14">
        <f>145.1894 * CHOOSE(CONTROL!$C$9, $D$9, 100%, $F$9) + CHOOSE(CONTROL!$C$27, 0.0021, 0)</f>
        <v>145.19150000000002</v>
      </c>
      <c r="F898" s="14">
        <f>145.1894 * CHOOSE(CONTROL!$C$9, $D$9, 100%, $F$9) + CHOOSE(CONTROL!$C$27, 0.0021, 0)</f>
        <v>145.19150000000002</v>
      </c>
      <c r="G898" s="14">
        <f>145.4608 * CHOOSE(CONTROL!$C$9, $D$9, 100%, $F$9) + CHOOSE(CONTROL!$C$27, 0.0021, 0)</f>
        <v>145.46290000000002</v>
      </c>
      <c r="H898" s="14">
        <f>145.326 * CHOOSE(CONTROL!$C$9, $D$9, 100%, $F$9) + CHOOSE(CONTROL!$C$27, 0.0021, 0)</f>
        <v>145.32810000000001</v>
      </c>
      <c r="I898" s="14">
        <f>145.326 * CHOOSE(CONTROL!$C$9, $D$9, 100%, $F$9) + CHOOSE(CONTROL!$C$27, 0.0021, 0)</f>
        <v>145.32810000000001</v>
      </c>
      <c r="J898" s="14">
        <f>145.326 * CHOOSE(CONTROL!$C$9, $D$9, 100%, $F$9) + CHOOSE(CONTROL!$C$27, 0.0021, 0)</f>
        <v>145.32810000000001</v>
      </c>
      <c r="K898" s="14">
        <f>145.326 * CHOOSE(CONTROL!$C$9, $D$9, 100%, $F$9) + CHOOSE(CONTROL!$C$27, 0.0021, 0)</f>
        <v>145.32810000000001</v>
      </c>
      <c r="L898" s="14"/>
    </row>
    <row r="899" spans="1:12" ht="15.75" x14ac:dyDescent="0.25">
      <c r="A899" s="32">
        <v>68302</v>
      </c>
      <c r="B899" s="14">
        <f>141.5009 * CHOOSE(CONTROL!$C$9, $D$9, 100%, $F$9) + CHOOSE(CONTROL!$C$27, 0.0021, 0)</f>
        <v>141.50300000000001</v>
      </c>
      <c r="C899" s="14">
        <f>141.0687 * CHOOSE(CONTROL!$C$9, $D$9, 100%, $F$9) + CHOOSE(CONTROL!$C$27, 0.0021, 0)</f>
        <v>141.07080000000002</v>
      </c>
      <c r="D899" s="14">
        <f>141.0687 * CHOOSE(CONTROL!$C$9, $D$9, 100%, $F$9) + CHOOSE(CONTROL!$C$27, 0.0021, 0)</f>
        <v>141.07080000000002</v>
      </c>
      <c r="E899" s="14">
        <f>140.932 * CHOOSE(CONTROL!$C$9, $D$9, 100%, $F$9) + CHOOSE(CONTROL!$C$27, 0.0021, 0)</f>
        <v>140.9341</v>
      </c>
      <c r="F899" s="14">
        <f>140.932 * CHOOSE(CONTROL!$C$9, $D$9, 100%, $F$9) + CHOOSE(CONTROL!$C$27, 0.0021, 0)</f>
        <v>140.9341</v>
      </c>
      <c r="G899" s="14">
        <f>141.2034 * CHOOSE(CONTROL!$C$9, $D$9, 100%, $F$9) + CHOOSE(CONTROL!$C$27, 0.0021, 0)</f>
        <v>141.2055</v>
      </c>
      <c r="H899" s="14">
        <f>141.0687 * CHOOSE(CONTROL!$C$9, $D$9, 100%, $F$9) + CHOOSE(CONTROL!$C$27, 0.0021, 0)</f>
        <v>141.07080000000002</v>
      </c>
      <c r="I899" s="14">
        <f>141.0687 * CHOOSE(CONTROL!$C$9, $D$9, 100%, $F$9) + CHOOSE(CONTROL!$C$27, 0.0021, 0)</f>
        <v>141.07080000000002</v>
      </c>
      <c r="J899" s="14">
        <f>141.0687 * CHOOSE(CONTROL!$C$9, $D$9, 100%, $F$9) + CHOOSE(CONTROL!$C$27, 0.0021, 0)</f>
        <v>141.07080000000002</v>
      </c>
      <c r="K899" s="14">
        <f>141.0687 * CHOOSE(CONTROL!$C$9, $D$9, 100%, $F$9) + CHOOSE(CONTROL!$C$27, 0.0021, 0)</f>
        <v>141.07080000000002</v>
      </c>
      <c r="L899" s="14"/>
    </row>
    <row r="900" spans="1:12" ht="15.75" x14ac:dyDescent="0.25">
      <c r="A900" s="32">
        <v>68333</v>
      </c>
      <c r="B900" s="14">
        <f>140.6721 * CHOOSE(CONTROL!$C$9, $D$9, 100%, $F$9) + CHOOSE(CONTROL!$C$27, 0.0021, 0)</f>
        <v>140.67420000000001</v>
      </c>
      <c r="C900" s="14">
        <f>140.2398 * CHOOSE(CONTROL!$C$9, $D$9, 100%, $F$9) + CHOOSE(CONTROL!$C$27, 0.0021, 0)</f>
        <v>140.24190000000002</v>
      </c>
      <c r="D900" s="14">
        <f>140.2398 * CHOOSE(CONTROL!$C$9, $D$9, 100%, $F$9) + CHOOSE(CONTROL!$C$27, 0.0021, 0)</f>
        <v>140.24190000000002</v>
      </c>
      <c r="E900" s="14">
        <f>140.1031 * CHOOSE(CONTROL!$C$9, $D$9, 100%, $F$9) + CHOOSE(CONTROL!$C$27, 0.0021, 0)</f>
        <v>140.10520000000002</v>
      </c>
      <c r="F900" s="14">
        <f>140.1031 * CHOOSE(CONTROL!$C$9, $D$9, 100%, $F$9) + CHOOSE(CONTROL!$C$27, 0.0021, 0)</f>
        <v>140.10520000000002</v>
      </c>
      <c r="G900" s="14">
        <f>140.3745 * CHOOSE(CONTROL!$C$9, $D$9, 100%, $F$9) + CHOOSE(CONTROL!$C$27, 0.0021, 0)</f>
        <v>140.37660000000002</v>
      </c>
      <c r="H900" s="14">
        <f>140.2398 * CHOOSE(CONTROL!$C$9, $D$9, 100%, $F$9) + CHOOSE(CONTROL!$C$27, 0.0021, 0)</f>
        <v>140.24190000000002</v>
      </c>
      <c r="I900" s="14">
        <f>140.2398 * CHOOSE(CONTROL!$C$9, $D$9, 100%, $F$9) + CHOOSE(CONTROL!$C$27, 0.0021, 0)</f>
        <v>140.24190000000002</v>
      </c>
      <c r="J900" s="14">
        <f>140.2398 * CHOOSE(CONTROL!$C$9, $D$9, 100%, $F$9) + CHOOSE(CONTROL!$C$27, 0.0021, 0)</f>
        <v>140.24190000000002</v>
      </c>
      <c r="K900" s="14">
        <f>140.2398 * CHOOSE(CONTROL!$C$9, $D$9, 100%, $F$9) + CHOOSE(CONTROL!$C$27, 0.0021, 0)</f>
        <v>140.24190000000002</v>
      </c>
      <c r="L900" s="14"/>
    </row>
    <row r="901" spans="1:12" ht="15.75" x14ac:dyDescent="0.25">
      <c r="A901" s="32">
        <v>68361</v>
      </c>
      <c r="B901" s="14">
        <f>140.2874 * CHOOSE(CONTROL!$C$9, $D$9, 100%, $F$9) + CHOOSE(CONTROL!$C$27, 0.0021, 0)</f>
        <v>140.2895</v>
      </c>
      <c r="C901" s="14">
        <f>139.8552 * CHOOSE(CONTROL!$C$9, $D$9, 100%, $F$9) + CHOOSE(CONTROL!$C$27, 0.0021, 0)</f>
        <v>139.85730000000001</v>
      </c>
      <c r="D901" s="14">
        <f>139.8552 * CHOOSE(CONTROL!$C$9, $D$9, 100%, $F$9) + CHOOSE(CONTROL!$C$27, 0.0021, 0)</f>
        <v>139.85730000000001</v>
      </c>
      <c r="E901" s="14">
        <f>139.7185 * CHOOSE(CONTROL!$C$9, $D$9, 100%, $F$9) + CHOOSE(CONTROL!$C$27, 0.0021, 0)</f>
        <v>139.72060000000002</v>
      </c>
      <c r="F901" s="14">
        <f>139.7185 * CHOOSE(CONTROL!$C$9, $D$9, 100%, $F$9) + CHOOSE(CONTROL!$C$27, 0.0021, 0)</f>
        <v>139.72060000000002</v>
      </c>
      <c r="G901" s="14">
        <f>139.9899 * CHOOSE(CONTROL!$C$9, $D$9, 100%, $F$9) + CHOOSE(CONTROL!$C$27, 0.0021, 0)</f>
        <v>139.99200000000002</v>
      </c>
      <c r="H901" s="14">
        <f>139.8552 * CHOOSE(CONTROL!$C$9, $D$9, 100%, $F$9) + CHOOSE(CONTROL!$C$27, 0.0021, 0)</f>
        <v>139.85730000000001</v>
      </c>
      <c r="I901" s="14">
        <f>139.8552 * CHOOSE(CONTROL!$C$9, $D$9, 100%, $F$9) + CHOOSE(CONTROL!$C$27, 0.0021, 0)</f>
        <v>139.85730000000001</v>
      </c>
      <c r="J901" s="14">
        <f>139.8552 * CHOOSE(CONTROL!$C$9, $D$9, 100%, $F$9) + CHOOSE(CONTROL!$C$27, 0.0021, 0)</f>
        <v>139.85730000000001</v>
      </c>
      <c r="K901" s="14">
        <f>139.8552 * CHOOSE(CONTROL!$C$9, $D$9, 100%, $F$9) + CHOOSE(CONTROL!$C$27, 0.0021, 0)</f>
        <v>139.85730000000001</v>
      </c>
      <c r="L901" s="14"/>
    </row>
    <row r="902" spans="1:12" ht="15.75" x14ac:dyDescent="0.25">
      <c r="A902" s="32">
        <v>68392</v>
      </c>
      <c r="B902" s="14">
        <f>147.5605 * CHOOSE(CONTROL!$C$9, $D$9, 100%, $F$9) + CHOOSE(CONTROL!$C$27, 0.0021, 0)</f>
        <v>147.5626</v>
      </c>
      <c r="C902" s="14">
        <f>147.1283 * CHOOSE(CONTROL!$C$9, $D$9, 100%, $F$9) + CHOOSE(CONTROL!$C$27, 0.0021, 0)</f>
        <v>147.13040000000001</v>
      </c>
      <c r="D902" s="14">
        <f>147.1283 * CHOOSE(CONTROL!$C$9, $D$9, 100%, $F$9) + CHOOSE(CONTROL!$C$27, 0.0021, 0)</f>
        <v>147.13040000000001</v>
      </c>
      <c r="E902" s="14">
        <f>146.9916 * CHOOSE(CONTROL!$C$9, $D$9, 100%, $F$9) + CHOOSE(CONTROL!$C$27, 0.0021, 0)</f>
        <v>146.99370000000002</v>
      </c>
      <c r="F902" s="14">
        <f>146.9916 * CHOOSE(CONTROL!$C$9, $D$9, 100%, $F$9) + CHOOSE(CONTROL!$C$27, 0.0021, 0)</f>
        <v>146.99370000000002</v>
      </c>
      <c r="G902" s="14">
        <f>147.263 * CHOOSE(CONTROL!$C$9, $D$9, 100%, $F$9) + CHOOSE(CONTROL!$C$27, 0.0021, 0)</f>
        <v>147.26510000000002</v>
      </c>
      <c r="H902" s="14">
        <f>147.1283 * CHOOSE(CONTROL!$C$9, $D$9, 100%, $F$9) + CHOOSE(CONTROL!$C$27, 0.0021, 0)</f>
        <v>147.13040000000001</v>
      </c>
      <c r="I902" s="14">
        <f>147.1283 * CHOOSE(CONTROL!$C$9, $D$9, 100%, $F$9) + CHOOSE(CONTROL!$C$27, 0.0021, 0)</f>
        <v>147.13040000000001</v>
      </c>
      <c r="J902" s="14">
        <f>147.1283 * CHOOSE(CONTROL!$C$9, $D$9, 100%, $F$9) + CHOOSE(CONTROL!$C$27, 0.0021, 0)</f>
        <v>147.13040000000001</v>
      </c>
      <c r="K902" s="14">
        <f>147.1283 * CHOOSE(CONTROL!$C$9, $D$9, 100%, $F$9) + CHOOSE(CONTROL!$C$27, 0.0021, 0)</f>
        <v>147.13040000000001</v>
      </c>
      <c r="L902" s="14"/>
    </row>
    <row r="903" spans="1:12" ht="15.75" x14ac:dyDescent="0.25">
      <c r="A903" s="32">
        <v>68422</v>
      </c>
      <c r="B903" s="14">
        <f>156.9921 * CHOOSE(CONTROL!$C$9, $D$9, 100%, $F$9) + CHOOSE(CONTROL!$C$27, 0.0021, 0)</f>
        <v>156.99420000000001</v>
      </c>
      <c r="C903" s="14">
        <f>156.5598 * CHOOSE(CONTROL!$C$9, $D$9, 100%, $F$9) + CHOOSE(CONTROL!$C$27, 0.0021, 0)</f>
        <v>156.56190000000001</v>
      </c>
      <c r="D903" s="14">
        <f>156.5598 * CHOOSE(CONTROL!$C$9, $D$9, 100%, $F$9) + CHOOSE(CONTROL!$C$27, 0.0021, 0)</f>
        <v>156.56190000000001</v>
      </c>
      <c r="E903" s="14">
        <f>156.4232 * CHOOSE(CONTROL!$C$9, $D$9, 100%, $F$9) + CHOOSE(CONTROL!$C$27, 0.0021, 0)</f>
        <v>156.42530000000002</v>
      </c>
      <c r="F903" s="14">
        <f>156.4232 * CHOOSE(CONTROL!$C$9, $D$9, 100%, $F$9) + CHOOSE(CONTROL!$C$27, 0.0021, 0)</f>
        <v>156.42530000000002</v>
      </c>
      <c r="G903" s="14">
        <f>156.6945 * CHOOSE(CONTROL!$C$9, $D$9, 100%, $F$9) + CHOOSE(CONTROL!$C$27, 0.0021, 0)</f>
        <v>156.69660000000002</v>
      </c>
      <c r="H903" s="14">
        <f>156.5598 * CHOOSE(CONTROL!$C$9, $D$9, 100%, $F$9) + CHOOSE(CONTROL!$C$27, 0.0021, 0)</f>
        <v>156.56190000000001</v>
      </c>
      <c r="I903" s="14">
        <f>156.5598 * CHOOSE(CONTROL!$C$9, $D$9, 100%, $F$9) + CHOOSE(CONTROL!$C$27, 0.0021, 0)</f>
        <v>156.56190000000001</v>
      </c>
      <c r="J903" s="14">
        <f>156.5598 * CHOOSE(CONTROL!$C$9, $D$9, 100%, $F$9) + CHOOSE(CONTROL!$C$27, 0.0021, 0)</f>
        <v>156.56190000000001</v>
      </c>
      <c r="K903" s="14">
        <f>156.5598 * CHOOSE(CONTROL!$C$9, $D$9, 100%, $F$9) + CHOOSE(CONTROL!$C$27, 0.0021, 0)</f>
        <v>156.56190000000001</v>
      </c>
      <c r="L903" s="14"/>
    </row>
    <row r="904" spans="1:12" ht="15.75" x14ac:dyDescent="0.25">
      <c r="A904" s="32">
        <v>68453</v>
      </c>
      <c r="B904" s="14">
        <f>162.1835 * CHOOSE(CONTROL!$C$9, $D$9, 100%, $F$9) + CHOOSE(CONTROL!$C$27, 0.0021, 0)</f>
        <v>162.18560000000002</v>
      </c>
      <c r="C904" s="14">
        <f>161.7512 * CHOOSE(CONTROL!$C$9, $D$9, 100%, $F$9) + CHOOSE(CONTROL!$C$27, 0.0021, 0)</f>
        <v>161.75330000000002</v>
      </c>
      <c r="D904" s="14">
        <f>161.7512 * CHOOSE(CONTROL!$C$9, $D$9, 100%, $F$9) + CHOOSE(CONTROL!$C$27, 0.0021, 0)</f>
        <v>161.75330000000002</v>
      </c>
      <c r="E904" s="14">
        <f>161.6146 * CHOOSE(CONTROL!$C$9, $D$9, 100%, $F$9) + CHOOSE(CONTROL!$C$27, 0.0021, 0)</f>
        <v>161.61670000000001</v>
      </c>
      <c r="F904" s="14">
        <f>161.6146 * CHOOSE(CONTROL!$C$9, $D$9, 100%, $F$9) + CHOOSE(CONTROL!$C$27, 0.0021, 0)</f>
        <v>161.61670000000001</v>
      </c>
      <c r="G904" s="14">
        <f>161.8859 * CHOOSE(CONTROL!$C$9, $D$9, 100%, $F$9) + CHOOSE(CONTROL!$C$27, 0.0021, 0)</f>
        <v>161.88800000000001</v>
      </c>
      <c r="H904" s="14">
        <f>161.7512 * CHOOSE(CONTROL!$C$9, $D$9, 100%, $F$9) + CHOOSE(CONTROL!$C$27, 0.0021, 0)</f>
        <v>161.75330000000002</v>
      </c>
      <c r="I904" s="14">
        <f>161.7512 * CHOOSE(CONTROL!$C$9, $D$9, 100%, $F$9) + CHOOSE(CONTROL!$C$27, 0.0021, 0)</f>
        <v>161.75330000000002</v>
      </c>
      <c r="J904" s="14">
        <f>161.7512 * CHOOSE(CONTROL!$C$9, $D$9, 100%, $F$9) + CHOOSE(CONTROL!$C$27, 0.0021, 0)</f>
        <v>161.75330000000002</v>
      </c>
      <c r="K904" s="14">
        <f>161.7512 * CHOOSE(CONTROL!$C$9, $D$9, 100%, $F$9) + CHOOSE(CONTROL!$C$27, 0.0021, 0)</f>
        <v>161.75330000000002</v>
      </c>
      <c r="L904" s="14"/>
    </row>
    <row r="905" spans="1:12" ht="15.75" x14ac:dyDescent="0.25">
      <c r="A905" s="32">
        <v>68483</v>
      </c>
      <c r="B905" s="14">
        <f>164.4873 * CHOOSE(CONTROL!$C$9, $D$9, 100%, $F$9) + CHOOSE(CONTROL!$C$27, 0.0021, 0)</f>
        <v>164.48940000000002</v>
      </c>
      <c r="C905" s="14">
        <f>164.0551 * CHOOSE(CONTROL!$C$9, $D$9, 100%, $F$9) + CHOOSE(CONTROL!$C$27, 0.0021, 0)</f>
        <v>164.05720000000002</v>
      </c>
      <c r="D905" s="14">
        <f>164.0551 * CHOOSE(CONTROL!$C$9, $D$9, 100%, $F$9) + CHOOSE(CONTROL!$C$27, 0.0021, 0)</f>
        <v>164.05720000000002</v>
      </c>
      <c r="E905" s="14">
        <f>163.9184 * CHOOSE(CONTROL!$C$9, $D$9, 100%, $F$9) + CHOOSE(CONTROL!$C$27, 0.0021, 0)</f>
        <v>163.9205</v>
      </c>
      <c r="F905" s="14">
        <f>163.9184 * CHOOSE(CONTROL!$C$9, $D$9, 100%, $F$9) + CHOOSE(CONTROL!$C$27, 0.0021, 0)</f>
        <v>163.9205</v>
      </c>
      <c r="G905" s="14">
        <f>164.1898 * CHOOSE(CONTROL!$C$9, $D$9, 100%, $F$9) + CHOOSE(CONTROL!$C$27, 0.0021, 0)</f>
        <v>164.1919</v>
      </c>
      <c r="H905" s="14">
        <f>164.0551 * CHOOSE(CONTROL!$C$9, $D$9, 100%, $F$9) + CHOOSE(CONTROL!$C$27, 0.0021, 0)</f>
        <v>164.05720000000002</v>
      </c>
      <c r="I905" s="14">
        <f>164.0551 * CHOOSE(CONTROL!$C$9, $D$9, 100%, $F$9) + CHOOSE(CONTROL!$C$27, 0.0021, 0)</f>
        <v>164.05720000000002</v>
      </c>
      <c r="J905" s="14">
        <f>164.0551 * CHOOSE(CONTROL!$C$9, $D$9, 100%, $F$9) + CHOOSE(CONTROL!$C$27, 0.0021, 0)</f>
        <v>164.05720000000002</v>
      </c>
      <c r="K905" s="14">
        <f>164.0551 * CHOOSE(CONTROL!$C$9, $D$9, 100%, $F$9) + CHOOSE(CONTROL!$C$27, 0.0021, 0)</f>
        <v>164.05720000000002</v>
      </c>
      <c r="L905" s="14"/>
    </row>
    <row r="906" spans="1:12" ht="15.75" x14ac:dyDescent="0.25">
      <c r="A906" s="32">
        <v>68514</v>
      </c>
      <c r="B906" s="14">
        <f>163.7288 * CHOOSE(CONTROL!$C$9, $D$9, 100%, $F$9) + CHOOSE(CONTROL!$C$27, 0.0021, 0)</f>
        <v>163.73090000000002</v>
      </c>
      <c r="C906" s="14">
        <f>163.2966 * CHOOSE(CONTROL!$C$9, $D$9, 100%, $F$9) + CHOOSE(CONTROL!$C$27, 0.0021, 0)</f>
        <v>163.29870000000003</v>
      </c>
      <c r="D906" s="14">
        <f>163.2966 * CHOOSE(CONTROL!$C$9, $D$9, 100%, $F$9) + CHOOSE(CONTROL!$C$27, 0.0021, 0)</f>
        <v>163.29870000000003</v>
      </c>
      <c r="E906" s="14">
        <f>163.1599 * CHOOSE(CONTROL!$C$9, $D$9, 100%, $F$9) + CHOOSE(CONTROL!$C$27, 0.0021, 0)</f>
        <v>163.16200000000001</v>
      </c>
      <c r="F906" s="14">
        <f>163.1599 * CHOOSE(CONTROL!$C$9, $D$9, 100%, $F$9) + CHOOSE(CONTROL!$C$27, 0.0021, 0)</f>
        <v>163.16200000000001</v>
      </c>
      <c r="G906" s="14">
        <f>163.4313 * CHOOSE(CONTROL!$C$9, $D$9, 100%, $F$9) + CHOOSE(CONTROL!$C$27, 0.0021, 0)</f>
        <v>163.43340000000001</v>
      </c>
      <c r="H906" s="14">
        <f>163.2966 * CHOOSE(CONTROL!$C$9, $D$9, 100%, $F$9) + CHOOSE(CONTROL!$C$27, 0.0021, 0)</f>
        <v>163.29870000000003</v>
      </c>
      <c r="I906" s="14">
        <f>163.2966 * CHOOSE(CONTROL!$C$9, $D$9, 100%, $F$9) + CHOOSE(CONTROL!$C$27, 0.0021, 0)</f>
        <v>163.29870000000003</v>
      </c>
      <c r="J906" s="14">
        <f>163.2966 * CHOOSE(CONTROL!$C$9, $D$9, 100%, $F$9) + CHOOSE(CONTROL!$C$27, 0.0021, 0)</f>
        <v>163.29870000000003</v>
      </c>
      <c r="K906" s="14">
        <f>163.2966 * CHOOSE(CONTROL!$C$9, $D$9, 100%, $F$9) + CHOOSE(CONTROL!$C$27, 0.0021, 0)</f>
        <v>163.29870000000003</v>
      </c>
      <c r="L906" s="14"/>
    </row>
    <row r="907" spans="1:12" ht="15.75" x14ac:dyDescent="0.25">
      <c r="A907" s="32">
        <v>68545</v>
      </c>
      <c r="B907" s="14">
        <f>159.9706 * CHOOSE(CONTROL!$C$9, $D$9, 100%, $F$9) + CHOOSE(CONTROL!$C$27, 0.0021, 0)</f>
        <v>159.9727</v>
      </c>
      <c r="C907" s="14">
        <f>159.5384 * CHOOSE(CONTROL!$C$9, $D$9, 100%, $F$9) + CHOOSE(CONTROL!$C$27, 0.0021, 0)</f>
        <v>159.54050000000001</v>
      </c>
      <c r="D907" s="14">
        <f>159.5384 * CHOOSE(CONTROL!$C$9, $D$9, 100%, $F$9) + CHOOSE(CONTROL!$C$27, 0.0021, 0)</f>
        <v>159.54050000000001</v>
      </c>
      <c r="E907" s="14">
        <f>159.4017 * CHOOSE(CONTROL!$C$9, $D$9, 100%, $F$9) + CHOOSE(CONTROL!$C$27, 0.0021, 0)</f>
        <v>159.40380000000002</v>
      </c>
      <c r="F907" s="14">
        <f>159.4017 * CHOOSE(CONTROL!$C$9, $D$9, 100%, $F$9) + CHOOSE(CONTROL!$C$27, 0.0021, 0)</f>
        <v>159.40380000000002</v>
      </c>
      <c r="G907" s="14">
        <f>159.6731 * CHOOSE(CONTROL!$C$9, $D$9, 100%, $F$9) + CHOOSE(CONTROL!$C$27, 0.0021, 0)</f>
        <v>159.67520000000002</v>
      </c>
      <c r="H907" s="14">
        <f>159.5384 * CHOOSE(CONTROL!$C$9, $D$9, 100%, $F$9) + CHOOSE(CONTROL!$C$27, 0.0021, 0)</f>
        <v>159.54050000000001</v>
      </c>
      <c r="I907" s="14">
        <f>159.5384 * CHOOSE(CONTROL!$C$9, $D$9, 100%, $F$9) + CHOOSE(CONTROL!$C$27, 0.0021, 0)</f>
        <v>159.54050000000001</v>
      </c>
      <c r="J907" s="14">
        <f>159.5384 * CHOOSE(CONTROL!$C$9, $D$9, 100%, $F$9) + CHOOSE(CONTROL!$C$27, 0.0021, 0)</f>
        <v>159.54050000000001</v>
      </c>
      <c r="K907" s="14">
        <f>159.5384 * CHOOSE(CONTROL!$C$9, $D$9, 100%, $F$9) + CHOOSE(CONTROL!$C$27, 0.0021, 0)</f>
        <v>159.54050000000001</v>
      </c>
      <c r="L907" s="14"/>
    </row>
    <row r="908" spans="1:12" ht="15.75" x14ac:dyDescent="0.25">
      <c r="A908" s="32">
        <v>68575</v>
      </c>
      <c r="B908" s="14">
        <f>154.7297 * CHOOSE(CONTROL!$C$9, $D$9, 100%, $F$9) + CHOOSE(CONTROL!$C$27, 0.0021, 0)</f>
        <v>154.73180000000002</v>
      </c>
      <c r="C908" s="14">
        <f>154.2974 * CHOOSE(CONTROL!$C$9, $D$9, 100%, $F$9) + CHOOSE(CONTROL!$C$27, 0.0021, 0)</f>
        <v>154.29950000000002</v>
      </c>
      <c r="D908" s="14">
        <f>154.2974 * CHOOSE(CONTROL!$C$9, $D$9, 100%, $F$9) + CHOOSE(CONTROL!$C$27, 0.0021, 0)</f>
        <v>154.29950000000002</v>
      </c>
      <c r="E908" s="14">
        <f>154.1608 * CHOOSE(CONTROL!$C$9, $D$9, 100%, $F$9) + CHOOSE(CONTROL!$C$27, 0.0021, 0)</f>
        <v>154.16290000000001</v>
      </c>
      <c r="F908" s="14">
        <f>154.1608 * CHOOSE(CONTROL!$C$9, $D$9, 100%, $F$9) + CHOOSE(CONTROL!$C$27, 0.0021, 0)</f>
        <v>154.16290000000001</v>
      </c>
      <c r="G908" s="14">
        <f>154.4321 * CHOOSE(CONTROL!$C$9, $D$9, 100%, $F$9) + CHOOSE(CONTROL!$C$27, 0.0021, 0)</f>
        <v>154.4342</v>
      </c>
      <c r="H908" s="14">
        <f>154.2974 * CHOOSE(CONTROL!$C$9, $D$9, 100%, $F$9) + CHOOSE(CONTROL!$C$27, 0.0021, 0)</f>
        <v>154.29950000000002</v>
      </c>
      <c r="I908" s="14">
        <f>154.2974 * CHOOSE(CONTROL!$C$9, $D$9, 100%, $F$9) + CHOOSE(CONTROL!$C$27, 0.0021, 0)</f>
        <v>154.29950000000002</v>
      </c>
      <c r="J908" s="14">
        <f>154.2974 * CHOOSE(CONTROL!$C$9, $D$9, 100%, $F$9) + CHOOSE(CONTROL!$C$27, 0.0021, 0)</f>
        <v>154.29950000000002</v>
      </c>
      <c r="K908" s="14">
        <f>154.2974 * CHOOSE(CONTROL!$C$9, $D$9, 100%, $F$9) + CHOOSE(CONTROL!$C$27, 0.0021, 0)</f>
        <v>154.29950000000002</v>
      </c>
      <c r="L908" s="14"/>
    </row>
    <row r="909" spans="1:12" ht="15.75" x14ac:dyDescent="0.25">
      <c r="A909" s="32">
        <v>68606</v>
      </c>
      <c r="B909" s="14">
        <f>149.4582 * CHOOSE(CONTROL!$C$9, $D$9, 100%, $F$9) + CHOOSE(CONTROL!$C$27, 0.0021, 0)</f>
        <v>149.46030000000002</v>
      </c>
      <c r="C909" s="14">
        <f>149.026 * CHOOSE(CONTROL!$C$9, $D$9, 100%, $F$9) + CHOOSE(CONTROL!$C$27, 0.0021, 0)</f>
        <v>149.02810000000002</v>
      </c>
      <c r="D909" s="14">
        <f>149.026 * CHOOSE(CONTROL!$C$9, $D$9, 100%, $F$9) + CHOOSE(CONTROL!$C$27, 0.0021, 0)</f>
        <v>149.02810000000002</v>
      </c>
      <c r="E909" s="14">
        <f>148.8893 * CHOOSE(CONTROL!$C$9, $D$9, 100%, $F$9) + CHOOSE(CONTROL!$C$27, 0.0021, 0)</f>
        <v>148.8914</v>
      </c>
      <c r="F909" s="14">
        <f>148.8893 * CHOOSE(CONTROL!$C$9, $D$9, 100%, $F$9) + CHOOSE(CONTROL!$C$27, 0.0021, 0)</f>
        <v>148.8914</v>
      </c>
      <c r="G909" s="14">
        <f>149.1607 * CHOOSE(CONTROL!$C$9, $D$9, 100%, $F$9) + CHOOSE(CONTROL!$C$27, 0.0021, 0)</f>
        <v>149.1628</v>
      </c>
      <c r="H909" s="14">
        <f>149.026 * CHOOSE(CONTROL!$C$9, $D$9, 100%, $F$9) + CHOOSE(CONTROL!$C$27, 0.0021, 0)</f>
        <v>149.02810000000002</v>
      </c>
      <c r="I909" s="14">
        <f>149.026 * CHOOSE(CONTROL!$C$9, $D$9, 100%, $F$9) + CHOOSE(CONTROL!$C$27, 0.0021, 0)</f>
        <v>149.02810000000002</v>
      </c>
      <c r="J909" s="14">
        <f>149.026 * CHOOSE(CONTROL!$C$9, $D$9, 100%, $F$9) + CHOOSE(CONTROL!$C$27, 0.0021, 0)</f>
        <v>149.02810000000002</v>
      </c>
      <c r="K909" s="14">
        <f>149.026 * CHOOSE(CONTROL!$C$9, $D$9, 100%, $F$9) + CHOOSE(CONTROL!$C$27, 0.0021, 0)</f>
        <v>149.02810000000002</v>
      </c>
      <c r="L909" s="14"/>
    </row>
    <row r="910" spans="1:12" ht="15.75" x14ac:dyDescent="0.25">
      <c r="A910" s="32">
        <v>68636</v>
      </c>
      <c r="B910" s="14">
        <f>148.4096 * CHOOSE(CONTROL!$C$9, $D$9, 100%, $F$9) + CHOOSE(CONTROL!$C$27, 0.0021, 0)</f>
        <v>148.41170000000002</v>
      </c>
      <c r="C910" s="14">
        <f>147.9774 * CHOOSE(CONTROL!$C$9, $D$9, 100%, $F$9) + CHOOSE(CONTROL!$C$27, 0.0021, 0)</f>
        <v>147.9795</v>
      </c>
      <c r="D910" s="14">
        <f>147.9774 * CHOOSE(CONTROL!$C$9, $D$9, 100%, $F$9) + CHOOSE(CONTROL!$C$27, 0.0021, 0)</f>
        <v>147.9795</v>
      </c>
      <c r="E910" s="14">
        <f>147.8407 * CHOOSE(CONTROL!$C$9, $D$9, 100%, $F$9) + CHOOSE(CONTROL!$C$27, 0.0021, 0)</f>
        <v>147.84280000000001</v>
      </c>
      <c r="F910" s="14">
        <f>147.8407 * CHOOSE(CONTROL!$C$9, $D$9, 100%, $F$9) + CHOOSE(CONTROL!$C$27, 0.0021, 0)</f>
        <v>147.84280000000001</v>
      </c>
      <c r="G910" s="14">
        <f>148.1121 * CHOOSE(CONTROL!$C$9, $D$9, 100%, $F$9) + CHOOSE(CONTROL!$C$27, 0.0021, 0)</f>
        <v>148.11420000000001</v>
      </c>
      <c r="H910" s="14">
        <f>147.9774 * CHOOSE(CONTROL!$C$9, $D$9, 100%, $F$9) + CHOOSE(CONTROL!$C$27, 0.0021, 0)</f>
        <v>147.9795</v>
      </c>
      <c r="I910" s="14">
        <f>147.9774 * CHOOSE(CONTROL!$C$9, $D$9, 100%, $F$9) + CHOOSE(CONTROL!$C$27, 0.0021, 0)</f>
        <v>147.9795</v>
      </c>
      <c r="J910" s="14">
        <f>147.9774 * CHOOSE(CONTROL!$C$9, $D$9, 100%, $F$9) + CHOOSE(CONTROL!$C$27, 0.0021, 0)</f>
        <v>147.9795</v>
      </c>
      <c r="K910" s="14">
        <f>147.9774 * CHOOSE(CONTROL!$C$9, $D$9, 100%, $F$9) + CHOOSE(CONTROL!$C$27, 0.0021, 0)</f>
        <v>147.9795</v>
      </c>
      <c r="L910" s="14"/>
    </row>
    <row r="911" spans="1:12" ht="15.75" x14ac:dyDescent="0.25">
      <c r="A911" s="32">
        <v>68667</v>
      </c>
      <c r="B911" s="14">
        <f>144.0736 * CHOOSE(CONTROL!$C$9, $D$9, 100%, $F$9) + CHOOSE(CONTROL!$C$27, 0.0021, 0)</f>
        <v>144.07570000000001</v>
      </c>
      <c r="C911" s="14">
        <f>143.6413 * CHOOSE(CONTROL!$C$9, $D$9, 100%, $F$9) + CHOOSE(CONTROL!$C$27, 0.0021, 0)</f>
        <v>143.64340000000001</v>
      </c>
      <c r="D911" s="14">
        <f>143.6413 * CHOOSE(CONTROL!$C$9, $D$9, 100%, $F$9) + CHOOSE(CONTROL!$C$27, 0.0021, 0)</f>
        <v>143.64340000000001</v>
      </c>
      <c r="E911" s="14">
        <f>143.5047 * CHOOSE(CONTROL!$C$9, $D$9, 100%, $F$9) + CHOOSE(CONTROL!$C$27, 0.0021, 0)</f>
        <v>143.50680000000003</v>
      </c>
      <c r="F911" s="14">
        <f>143.5047 * CHOOSE(CONTROL!$C$9, $D$9, 100%, $F$9) + CHOOSE(CONTROL!$C$27, 0.0021, 0)</f>
        <v>143.50680000000003</v>
      </c>
      <c r="G911" s="14">
        <f>143.7761 * CHOOSE(CONTROL!$C$9, $D$9, 100%, $F$9) + CHOOSE(CONTROL!$C$27, 0.0021, 0)</f>
        <v>143.77820000000003</v>
      </c>
      <c r="H911" s="14">
        <f>143.6413 * CHOOSE(CONTROL!$C$9, $D$9, 100%, $F$9) + CHOOSE(CONTROL!$C$27, 0.0021, 0)</f>
        <v>143.64340000000001</v>
      </c>
      <c r="I911" s="14">
        <f>143.6413 * CHOOSE(CONTROL!$C$9, $D$9, 100%, $F$9) + CHOOSE(CONTROL!$C$27, 0.0021, 0)</f>
        <v>143.64340000000001</v>
      </c>
      <c r="J911" s="14">
        <f>143.6413 * CHOOSE(CONTROL!$C$9, $D$9, 100%, $F$9) + CHOOSE(CONTROL!$C$27, 0.0021, 0)</f>
        <v>143.64340000000001</v>
      </c>
      <c r="K911" s="14">
        <f>143.6413 * CHOOSE(CONTROL!$C$9, $D$9, 100%, $F$9) + CHOOSE(CONTROL!$C$27, 0.0021, 0)</f>
        <v>143.64340000000001</v>
      </c>
      <c r="L911" s="14"/>
    </row>
    <row r="912" spans="1:12" ht="15.75" x14ac:dyDescent="0.25">
      <c r="A912" s="32">
        <v>68698</v>
      </c>
      <c r="B912" s="14">
        <f>143.2294 * CHOOSE(CONTROL!$C$9, $D$9, 100%, $F$9) + CHOOSE(CONTROL!$C$27, 0.0021, 0)</f>
        <v>143.23150000000001</v>
      </c>
      <c r="C912" s="14">
        <f>142.7972 * CHOOSE(CONTROL!$C$9, $D$9, 100%, $F$9) + CHOOSE(CONTROL!$C$27, 0.0021, 0)</f>
        <v>142.79930000000002</v>
      </c>
      <c r="D912" s="14">
        <f>142.7972 * CHOOSE(CONTROL!$C$9, $D$9, 100%, $F$9) + CHOOSE(CONTROL!$C$27, 0.0021, 0)</f>
        <v>142.79930000000002</v>
      </c>
      <c r="E912" s="14">
        <f>142.6605 * CHOOSE(CONTROL!$C$9, $D$9, 100%, $F$9) + CHOOSE(CONTROL!$C$27, 0.0021, 0)</f>
        <v>142.66260000000003</v>
      </c>
      <c r="F912" s="14">
        <f>142.6605 * CHOOSE(CONTROL!$C$9, $D$9, 100%, $F$9) + CHOOSE(CONTROL!$C$27, 0.0021, 0)</f>
        <v>142.66260000000003</v>
      </c>
      <c r="G912" s="14">
        <f>142.9319 * CHOOSE(CONTROL!$C$9, $D$9, 100%, $F$9) + CHOOSE(CONTROL!$C$27, 0.0021, 0)</f>
        <v>142.93400000000003</v>
      </c>
      <c r="H912" s="14">
        <f>142.7972 * CHOOSE(CONTROL!$C$9, $D$9, 100%, $F$9) + CHOOSE(CONTROL!$C$27, 0.0021, 0)</f>
        <v>142.79930000000002</v>
      </c>
      <c r="I912" s="14">
        <f>142.7972 * CHOOSE(CONTROL!$C$9, $D$9, 100%, $F$9) + CHOOSE(CONTROL!$C$27, 0.0021, 0)</f>
        <v>142.79930000000002</v>
      </c>
      <c r="J912" s="14">
        <f>142.7972 * CHOOSE(CONTROL!$C$9, $D$9, 100%, $F$9) + CHOOSE(CONTROL!$C$27, 0.0021, 0)</f>
        <v>142.79930000000002</v>
      </c>
      <c r="K912" s="14">
        <f>142.7972 * CHOOSE(CONTROL!$C$9, $D$9, 100%, $F$9) + CHOOSE(CONTROL!$C$27, 0.0021, 0)</f>
        <v>142.79930000000002</v>
      </c>
      <c r="L912" s="14"/>
    </row>
    <row r="913" spans="1:12" ht="15.75" x14ac:dyDescent="0.25">
      <c r="A913" s="32">
        <v>68727</v>
      </c>
      <c r="B913" s="14">
        <f>142.8377 * CHOOSE(CONTROL!$C$9, $D$9, 100%, $F$9) + CHOOSE(CONTROL!$C$27, 0.0021, 0)</f>
        <v>142.83980000000003</v>
      </c>
      <c r="C913" s="14">
        <f>142.4054 * CHOOSE(CONTROL!$C$9, $D$9, 100%, $F$9) + CHOOSE(CONTROL!$C$27, 0.0021, 0)</f>
        <v>142.4075</v>
      </c>
      <c r="D913" s="14">
        <f>142.4054 * CHOOSE(CONTROL!$C$9, $D$9, 100%, $F$9) + CHOOSE(CONTROL!$C$27, 0.0021, 0)</f>
        <v>142.4075</v>
      </c>
      <c r="E913" s="14">
        <f>142.2688 * CHOOSE(CONTROL!$C$9, $D$9, 100%, $F$9) + CHOOSE(CONTROL!$C$27, 0.0021, 0)</f>
        <v>142.27090000000001</v>
      </c>
      <c r="F913" s="14">
        <f>142.2688 * CHOOSE(CONTROL!$C$9, $D$9, 100%, $F$9) + CHOOSE(CONTROL!$C$27, 0.0021, 0)</f>
        <v>142.27090000000001</v>
      </c>
      <c r="G913" s="14">
        <f>142.5401 * CHOOSE(CONTROL!$C$9, $D$9, 100%, $F$9) + CHOOSE(CONTROL!$C$27, 0.0021, 0)</f>
        <v>142.54220000000001</v>
      </c>
      <c r="H913" s="14">
        <f>142.4054 * CHOOSE(CONTROL!$C$9, $D$9, 100%, $F$9) + CHOOSE(CONTROL!$C$27, 0.0021, 0)</f>
        <v>142.4075</v>
      </c>
      <c r="I913" s="14">
        <f>142.4054 * CHOOSE(CONTROL!$C$9, $D$9, 100%, $F$9) + CHOOSE(CONTROL!$C$27, 0.0021, 0)</f>
        <v>142.4075</v>
      </c>
      <c r="J913" s="14">
        <f>142.4054 * CHOOSE(CONTROL!$C$9, $D$9, 100%, $F$9) + CHOOSE(CONTROL!$C$27, 0.0021, 0)</f>
        <v>142.4075</v>
      </c>
      <c r="K913" s="14">
        <f>142.4054 * CHOOSE(CONTROL!$C$9, $D$9, 100%, $F$9) + CHOOSE(CONTROL!$C$27, 0.0021, 0)</f>
        <v>142.4075</v>
      </c>
      <c r="L913" s="14"/>
    </row>
    <row r="914" spans="1:12" ht="15.75" x14ac:dyDescent="0.25">
      <c r="A914" s="32">
        <v>68758</v>
      </c>
      <c r="B914" s="14">
        <f>150.2452 * CHOOSE(CONTROL!$C$9, $D$9, 100%, $F$9) + CHOOSE(CONTROL!$C$27, 0.0021, 0)</f>
        <v>150.24730000000002</v>
      </c>
      <c r="C914" s="14">
        <f>149.813 * CHOOSE(CONTROL!$C$9, $D$9, 100%, $F$9) + CHOOSE(CONTROL!$C$27, 0.0021, 0)</f>
        <v>149.8151</v>
      </c>
      <c r="D914" s="14">
        <f>149.813 * CHOOSE(CONTROL!$C$9, $D$9, 100%, $F$9) + CHOOSE(CONTROL!$C$27, 0.0021, 0)</f>
        <v>149.8151</v>
      </c>
      <c r="E914" s="14">
        <f>149.6763 * CHOOSE(CONTROL!$C$9, $D$9, 100%, $F$9) + CHOOSE(CONTROL!$C$27, 0.0021, 0)</f>
        <v>149.67840000000001</v>
      </c>
      <c r="F914" s="14">
        <f>149.6763 * CHOOSE(CONTROL!$C$9, $D$9, 100%, $F$9) + CHOOSE(CONTROL!$C$27, 0.0021, 0)</f>
        <v>149.67840000000001</v>
      </c>
      <c r="G914" s="14">
        <f>149.9477 * CHOOSE(CONTROL!$C$9, $D$9, 100%, $F$9) + CHOOSE(CONTROL!$C$27, 0.0021, 0)</f>
        <v>149.94980000000001</v>
      </c>
      <c r="H914" s="14">
        <f>149.813 * CHOOSE(CONTROL!$C$9, $D$9, 100%, $F$9) + CHOOSE(CONTROL!$C$27, 0.0021, 0)</f>
        <v>149.8151</v>
      </c>
      <c r="I914" s="14">
        <f>149.813 * CHOOSE(CONTROL!$C$9, $D$9, 100%, $F$9) + CHOOSE(CONTROL!$C$27, 0.0021, 0)</f>
        <v>149.8151</v>
      </c>
      <c r="J914" s="14">
        <f>149.813 * CHOOSE(CONTROL!$C$9, $D$9, 100%, $F$9) + CHOOSE(CONTROL!$C$27, 0.0021, 0)</f>
        <v>149.8151</v>
      </c>
      <c r="K914" s="14">
        <f>149.813 * CHOOSE(CONTROL!$C$9, $D$9, 100%, $F$9) + CHOOSE(CONTROL!$C$27, 0.0021, 0)</f>
        <v>149.8151</v>
      </c>
      <c r="L914" s="14"/>
    </row>
    <row r="915" spans="1:12" ht="15.75" x14ac:dyDescent="0.25">
      <c r="A915" s="32">
        <v>68788</v>
      </c>
      <c r="B915" s="14">
        <f>159.851 * CHOOSE(CONTROL!$C$9, $D$9, 100%, $F$9) + CHOOSE(CONTROL!$C$27, 0.0021, 0)</f>
        <v>159.85310000000001</v>
      </c>
      <c r="C915" s="14">
        <f>159.4188 * CHOOSE(CONTROL!$C$9, $D$9, 100%, $F$9) + CHOOSE(CONTROL!$C$27, 0.0021, 0)</f>
        <v>159.42090000000002</v>
      </c>
      <c r="D915" s="14">
        <f>159.4188 * CHOOSE(CONTROL!$C$9, $D$9, 100%, $F$9) + CHOOSE(CONTROL!$C$27, 0.0021, 0)</f>
        <v>159.42090000000002</v>
      </c>
      <c r="E915" s="14">
        <f>159.2821 * CHOOSE(CONTROL!$C$9, $D$9, 100%, $F$9) + CHOOSE(CONTROL!$C$27, 0.0021, 0)</f>
        <v>159.28420000000003</v>
      </c>
      <c r="F915" s="14">
        <f>159.2821 * CHOOSE(CONTROL!$C$9, $D$9, 100%, $F$9) + CHOOSE(CONTROL!$C$27, 0.0021, 0)</f>
        <v>159.28420000000003</v>
      </c>
      <c r="G915" s="14">
        <f>159.5535 * CHOOSE(CONTROL!$C$9, $D$9, 100%, $F$9) + CHOOSE(CONTROL!$C$27, 0.0021, 0)</f>
        <v>159.55560000000003</v>
      </c>
      <c r="H915" s="14">
        <f>159.4188 * CHOOSE(CONTROL!$C$9, $D$9, 100%, $F$9) + CHOOSE(CONTROL!$C$27, 0.0021, 0)</f>
        <v>159.42090000000002</v>
      </c>
      <c r="I915" s="14">
        <f>159.4188 * CHOOSE(CONTROL!$C$9, $D$9, 100%, $F$9) + CHOOSE(CONTROL!$C$27, 0.0021, 0)</f>
        <v>159.42090000000002</v>
      </c>
      <c r="J915" s="14">
        <f>159.4188 * CHOOSE(CONTROL!$C$9, $D$9, 100%, $F$9) + CHOOSE(CONTROL!$C$27, 0.0021, 0)</f>
        <v>159.42090000000002</v>
      </c>
      <c r="K915" s="14">
        <f>159.4188 * CHOOSE(CONTROL!$C$9, $D$9, 100%, $F$9) + CHOOSE(CONTROL!$C$27, 0.0021, 0)</f>
        <v>159.42090000000002</v>
      </c>
      <c r="L915" s="14"/>
    </row>
    <row r="916" spans="1:12" ht="15.75" x14ac:dyDescent="0.25">
      <c r="A916" s="32">
        <v>68819</v>
      </c>
      <c r="B916" s="14">
        <f>165.1384 * CHOOSE(CONTROL!$C$9, $D$9, 100%, $F$9) + CHOOSE(CONTROL!$C$27, 0.0021, 0)</f>
        <v>165.1405</v>
      </c>
      <c r="C916" s="14">
        <f>164.7061 * CHOOSE(CONTROL!$C$9, $D$9, 100%, $F$9) + CHOOSE(CONTROL!$C$27, 0.0021, 0)</f>
        <v>164.70820000000001</v>
      </c>
      <c r="D916" s="14">
        <f>164.7061 * CHOOSE(CONTROL!$C$9, $D$9, 100%, $F$9) + CHOOSE(CONTROL!$C$27, 0.0021, 0)</f>
        <v>164.70820000000001</v>
      </c>
      <c r="E916" s="14">
        <f>164.5695 * CHOOSE(CONTROL!$C$9, $D$9, 100%, $F$9) + CHOOSE(CONTROL!$C$27, 0.0021, 0)</f>
        <v>164.57160000000002</v>
      </c>
      <c r="F916" s="14">
        <f>164.5695 * CHOOSE(CONTROL!$C$9, $D$9, 100%, $F$9) + CHOOSE(CONTROL!$C$27, 0.0021, 0)</f>
        <v>164.57160000000002</v>
      </c>
      <c r="G916" s="14">
        <f>164.8409 * CHOOSE(CONTROL!$C$9, $D$9, 100%, $F$9) + CHOOSE(CONTROL!$C$27, 0.0021, 0)</f>
        <v>164.84300000000002</v>
      </c>
      <c r="H916" s="14">
        <f>164.7061 * CHOOSE(CONTROL!$C$9, $D$9, 100%, $F$9) + CHOOSE(CONTROL!$C$27, 0.0021, 0)</f>
        <v>164.70820000000001</v>
      </c>
      <c r="I916" s="14">
        <f>164.7061 * CHOOSE(CONTROL!$C$9, $D$9, 100%, $F$9) + CHOOSE(CONTROL!$C$27, 0.0021, 0)</f>
        <v>164.70820000000001</v>
      </c>
      <c r="J916" s="14">
        <f>164.7061 * CHOOSE(CONTROL!$C$9, $D$9, 100%, $F$9) + CHOOSE(CONTROL!$C$27, 0.0021, 0)</f>
        <v>164.70820000000001</v>
      </c>
      <c r="K916" s="14">
        <f>164.7061 * CHOOSE(CONTROL!$C$9, $D$9, 100%, $F$9) + CHOOSE(CONTROL!$C$27, 0.0021, 0)</f>
        <v>164.70820000000001</v>
      </c>
      <c r="L916" s="14"/>
    </row>
    <row r="917" spans="1:12" ht="15.75" x14ac:dyDescent="0.25">
      <c r="A917" s="32">
        <v>68849</v>
      </c>
      <c r="B917" s="14">
        <f>167.4848 * CHOOSE(CONTROL!$C$9, $D$9, 100%, $F$9) + CHOOSE(CONTROL!$C$27, 0.0021, 0)</f>
        <v>167.48690000000002</v>
      </c>
      <c r="C917" s="14">
        <f>167.0526 * CHOOSE(CONTROL!$C$9, $D$9, 100%, $F$9) + CHOOSE(CONTROL!$C$27, 0.0021, 0)</f>
        <v>167.05470000000003</v>
      </c>
      <c r="D917" s="14">
        <f>167.0526 * CHOOSE(CONTROL!$C$9, $D$9, 100%, $F$9) + CHOOSE(CONTROL!$C$27, 0.0021, 0)</f>
        <v>167.05470000000003</v>
      </c>
      <c r="E917" s="14">
        <f>166.9159 * CHOOSE(CONTROL!$C$9, $D$9, 100%, $F$9) + CHOOSE(CONTROL!$C$27, 0.0021, 0)</f>
        <v>166.91800000000001</v>
      </c>
      <c r="F917" s="14">
        <f>166.9159 * CHOOSE(CONTROL!$C$9, $D$9, 100%, $F$9) + CHOOSE(CONTROL!$C$27, 0.0021, 0)</f>
        <v>166.91800000000001</v>
      </c>
      <c r="G917" s="14">
        <f>167.1873 * CHOOSE(CONTROL!$C$9, $D$9, 100%, $F$9) + CHOOSE(CONTROL!$C$27, 0.0021, 0)</f>
        <v>167.18940000000001</v>
      </c>
      <c r="H917" s="14">
        <f>167.0526 * CHOOSE(CONTROL!$C$9, $D$9, 100%, $F$9) + CHOOSE(CONTROL!$C$27, 0.0021, 0)</f>
        <v>167.05470000000003</v>
      </c>
      <c r="I917" s="14">
        <f>167.0526 * CHOOSE(CONTROL!$C$9, $D$9, 100%, $F$9) + CHOOSE(CONTROL!$C$27, 0.0021, 0)</f>
        <v>167.05470000000003</v>
      </c>
      <c r="J917" s="14">
        <f>167.0526 * CHOOSE(CONTROL!$C$9, $D$9, 100%, $F$9) + CHOOSE(CONTROL!$C$27, 0.0021, 0)</f>
        <v>167.05470000000003</v>
      </c>
      <c r="K917" s="14">
        <f>167.0526 * CHOOSE(CONTROL!$C$9, $D$9, 100%, $F$9) + CHOOSE(CONTROL!$C$27, 0.0021, 0)</f>
        <v>167.05470000000003</v>
      </c>
      <c r="L917" s="14"/>
    </row>
    <row r="918" spans="1:12" ht="15.75" x14ac:dyDescent="0.25">
      <c r="A918" s="32">
        <v>68880</v>
      </c>
      <c r="B918" s="14">
        <f>166.7123 * CHOOSE(CONTROL!$C$9, $D$9, 100%, $F$9) + CHOOSE(CONTROL!$C$27, 0.0021, 0)</f>
        <v>166.71440000000001</v>
      </c>
      <c r="C918" s="14">
        <f>166.28 * CHOOSE(CONTROL!$C$9, $D$9, 100%, $F$9) + CHOOSE(CONTROL!$C$27, 0.0021, 0)</f>
        <v>166.28210000000001</v>
      </c>
      <c r="D918" s="14">
        <f>166.28 * CHOOSE(CONTROL!$C$9, $D$9, 100%, $F$9) + CHOOSE(CONTROL!$C$27, 0.0021, 0)</f>
        <v>166.28210000000001</v>
      </c>
      <c r="E918" s="14">
        <f>166.1434 * CHOOSE(CONTROL!$C$9, $D$9, 100%, $F$9) + CHOOSE(CONTROL!$C$27, 0.0021, 0)</f>
        <v>166.14550000000003</v>
      </c>
      <c r="F918" s="14">
        <f>166.1434 * CHOOSE(CONTROL!$C$9, $D$9, 100%, $F$9) + CHOOSE(CONTROL!$C$27, 0.0021, 0)</f>
        <v>166.14550000000003</v>
      </c>
      <c r="G918" s="14">
        <f>166.4147 * CHOOSE(CONTROL!$C$9, $D$9, 100%, $F$9) + CHOOSE(CONTROL!$C$27, 0.0021, 0)</f>
        <v>166.41680000000002</v>
      </c>
      <c r="H918" s="14">
        <f>166.28 * CHOOSE(CONTROL!$C$9, $D$9, 100%, $F$9) + CHOOSE(CONTROL!$C$27, 0.0021, 0)</f>
        <v>166.28210000000001</v>
      </c>
      <c r="I918" s="14">
        <f>166.28 * CHOOSE(CONTROL!$C$9, $D$9, 100%, $F$9) + CHOOSE(CONTROL!$C$27, 0.0021, 0)</f>
        <v>166.28210000000001</v>
      </c>
      <c r="J918" s="14">
        <f>166.28 * CHOOSE(CONTROL!$C$9, $D$9, 100%, $F$9) + CHOOSE(CONTROL!$C$27, 0.0021, 0)</f>
        <v>166.28210000000001</v>
      </c>
      <c r="K918" s="14">
        <f>166.28 * CHOOSE(CONTROL!$C$9, $D$9, 100%, $F$9) + CHOOSE(CONTROL!$C$27, 0.0021, 0)</f>
        <v>166.28210000000001</v>
      </c>
      <c r="L918" s="14"/>
    </row>
    <row r="919" spans="1:12" ht="15.75" x14ac:dyDescent="0.25">
      <c r="A919" s="32">
        <v>68911</v>
      </c>
      <c r="B919" s="14">
        <f>162.8846 * CHOOSE(CONTROL!$C$9, $D$9, 100%, $F$9) + CHOOSE(CONTROL!$C$27, 0.0021, 0)</f>
        <v>162.88670000000002</v>
      </c>
      <c r="C919" s="14">
        <f>162.4524 * CHOOSE(CONTROL!$C$9, $D$9, 100%, $F$9) + CHOOSE(CONTROL!$C$27, 0.0021, 0)</f>
        <v>162.45450000000002</v>
      </c>
      <c r="D919" s="14">
        <f>162.4524 * CHOOSE(CONTROL!$C$9, $D$9, 100%, $F$9) + CHOOSE(CONTROL!$C$27, 0.0021, 0)</f>
        <v>162.45450000000002</v>
      </c>
      <c r="E919" s="14">
        <f>162.3157 * CHOOSE(CONTROL!$C$9, $D$9, 100%, $F$9) + CHOOSE(CONTROL!$C$27, 0.0021, 0)</f>
        <v>162.31780000000001</v>
      </c>
      <c r="F919" s="14">
        <f>162.3157 * CHOOSE(CONTROL!$C$9, $D$9, 100%, $F$9) + CHOOSE(CONTROL!$C$27, 0.0021, 0)</f>
        <v>162.31780000000001</v>
      </c>
      <c r="G919" s="14">
        <f>162.5871 * CHOOSE(CONTROL!$C$9, $D$9, 100%, $F$9) + CHOOSE(CONTROL!$C$27, 0.0021, 0)</f>
        <v>162.58920000000001</v>
      </c>
      <c r="H919" s="14">
        <f>162.4524 * CHOOSE(CONTROL!$C$9, $D$9, 100%, $F$9) + CHOOSE(CONTROL!$C$27, 0.0021, 0)</f>
        <v>162.45450000000002</v>
      </c>
      <c r="I919" s="14">
        <f>162.4524 * CHOOSE(CONTROL!$C$9, $D$9, 100%, $F$9) + CHOOSE(CONTROL!$C$27, 0.0021, 0)</f>
        <v>162.45450000000002</v>
      </c>
      <c r="J919" s="14">
        <f>162.4524 * CHOOSE(CONTROL!$C$9, $D$9, 100%, $F$9) + CHOOSE(CONTROL!$C$27, 0.0021, 0)</f>
        <v>162.45450000000002</v>
      </c>
      <c r="K919" s="14">
        <f>162.4524 * CHOOSE(CONTROL!$C$9, $D$9, 100%, $F$9) + CHOOSE(CONTROL!$C$27, 0.0021, 0)</f>
        <v>162.45450000000002</v>
      </c>
      <c r="L919" s="14"/>
    </row>
    <row r="920" spans="1:12" ht="15.75" x14ac:dyDescent="0.25">
      <c r="A920" s="32">
        <v>68941</v>
      </c>
      <c r="B920" s="14">
        <f>157.5468 * CHOOSE(CONTROL!$C$9, $D$9, 100%, $F$9) + CHOOSE(CONTROL!$C$27, 0.0021, 0)</f>
        <v>157.5489</v>
      </c>
      <c r="C920" s="14">
        <f>157.1146 * CHOOSE(CONTROL!$C$9, $D$9, 100%, $F$9) + CHOOSE(CONTROL!$C$27, 0.0021, 0)</f>
        <v>157.11670000000001</v>
      </c>
      <c r="D920" s="14">
        <f>157.1146 * CHOOSE(CONTROL!$C$9, $D$9, 100%, $F$9) + CHOOSE(CONTROL!$C$27, 0.0021, 0)</f>
        <v>157.11670000000001</v>
      </c>
      <c r="E920" s="14">
        <f>156.9779 * CHOOSE(CONTROL!$C$9, $D$9, 100%, $F$9) + CHOOSE(CONTROL!$C$27, 0.0021, 0)</f>
        <v>156.98000000000002</v>
      </c>
      <c r="F920" s="14">
        <f>156.9779 * CHOOSE(CONTROL!$C$9, $D$9, 100%, $F$9) + CHOOSE(CONTROL!$C$27, 0.0021, 0)</f>
        <v>156.98000000000002</v>
      </c>
      <c r="G920" s="14">
        <f>157.2493 * CHOOSE(CONTROL!$C$9, $D$9, 100%, $F$9) + CHOOSE(CONTROL!$C$27, 0.0021, 0)</f>
        <v>157.25140000000002</v>
      </c>
      <c r="H920" s="14">
        <f>157.1146 * CHOOSE(CONTROL!$C$9, $D$9, 100%, $F$9) + CHOOSE(CONTROL!$C$27, 0.0021, 0)</f>
        <v>157.11670000000001</v>
      </c>
      <c r="I920" s="14">
        <f>157.1146 * CHOOSE(CONTROL!$C$9, $D$9, 100%, $F$9) + CHOOSE(CONTROL!$C$27, 0.0021, 0)</f>
        <v>157.11670000000001</v>
      </c>
      <c r="J920" s="14">
        <f>157.1146 * CHOOSE(CONTROL!$C$9, $D$9, 100%, $F$9) + CHOOSE(CONTROL!$C$27, 0.0021, 0)</f>
        <v>157.11670000000001</v>
      </c>
      <c r="K920" s="14">
        <f>157.1146 * CHOOSE(CONTROL!$C$9, $D$9, 100%, $F$9) + CHOOSE(CONTROL!$C$27, 0.0021, 0)</f>
        <v>157.11670000000001</v>
      </c>
      <c r="L920" s="14"/>
    </row>
    <row r="921" spans="1:12" ht="15.75" x14ac:dyDescent="0.25">
      <c r="A921" s="32">
        <v>68972</v>
      </c>
      <c r="B921" s="14">
        <f>152.178 * CHOOSE(CONTROL!$C$9, $D$9, 100%, $F$9) + CHOOSE(CONTROL!$C$27, 0.0021, 0)</f>
        <v>152.18010000000001</v>
      </c>
      <c r="C921" s="14">
        <f>151.7457 * CHOOSE(CONTROL!$C$9, $D$9, 100%, $F$9) + CHOOSE(CONTROL!$C$27, 0.0021, 0)</f>
        <v>151.74780000000001</v>
      </c>
      <c r="D921" s="14">
        <f>151.7457 * CHOOSE(CONTROL!$C$9, $D$9, 100%, $F$9) + CHOOSE(CONTROL!$C$27, 0.0021, 0)</f>
        <v>151.74780000000001</v>
      </c>
      <c r="E921" s="14">
        <f>151.6091 * CHOOSE(CONTROL!$C$9, $D$9, 100%, $F$9) + CHOOSE(CONTROL!$C$27, 0.0021, 0)</f>
        <v>151.61120000000003</v>
      </c>
      <c r="F921" s="14">
        <f>151.6091 * CHOOSE(CONTROL!$C$9, $D$9, 100%, $F$9) + CHOOSE(CONTROL!$C$27, 0.0021, 0)</f>
        <v>151.61120000000003</v>
      </c>
      <c r="G921" s="14">
        <f>151.8804 * CHOOSE(CONTROL!$C$9, $D$9, 100%, $F$9) + CHOOSE(CONTROL!$C$27, 0.0021, 0)</f>
        <v>151.88250000000002</v>
      </c>
      <c r="H921" s="14">
        <f>151.7457 * CHOOSE(CONTROL!$C$9, $D$9, 100%, $F$9) + CHOOSE(CONTROL!$C$27, 0.0021, 0)</f>
        <v>151.74780000000001</v>
      </c>
      <c r="I921" s="14">
        <f>151.7457 * CHOOSE(CONTROL!$C$9, $D$9, 100%, $F$9) + CHOOSE(CONTROL!$C$27, 0.0021, 0)</f>
        <v>151.74780000000001</v>
      </c>
      <c r="J921" s="14">
        <f>151.7457 * CHOOSE(CONTROL!$C$9, $D$9, 100%, $F$9) + CHOOSE(CONTROL!$C$27, 0.0021, 0)</f>
        <v>151.74780000000001</v>
      </c>
      <c r="K921" s="14">
        <f>151.7457 * CHOOSE(CONTROL!$C$9, $D$9, 100%, $F$9) + CHOOSE(CONTROL!$C$27, 0.0021, 0)</f>
        <v>151.74780000000001</v>
      </c>
      <c r="L921" s="14"/>
    </row>
    <row r="922" spans="1:12" ht="15.75" x14ac:dyDescent="0.25">
      <c r="A922" s="32">
        <v>69002</v>
      </c>
      <c r="B922" s="14">
        <f>151.11 * CHOOSE(CONTROL!$C$9, $D$9, 100%, $F$9) + CHOOSE(CONTROL!$C$27, 0.0021, 0)</f>
        <v>151.11210000000003</v>
      </c>
      <c r="C922" s="14">
        <f>150.6777 * CHOOSE(CONTROL!$C$9, $D$9, 100%, $F$9) + CHOOSE(CONTROL!$C$27, 0.0021, 0)</f>
        <v>150.6798</v>
      </c>
      <c r="D922" s="14">
        <f>150.6777 * CHOOSE(CONTROL!$C$9, $D$9, 100%, $F$9) + CHOOSE(CONTROL!$C$27, 0.0021, 0)</f>
        <v>150.6798</v>
      </c>
      <c r="E922" s="14">
        <f>150.5411 * CHOOSE(CONTROL!$C$9, $D$9, 100%, $F$9) + CHOOSE(CONTROL!$C$27, 0.0021, 0)</f>
        <v>150.54320000000001</v>
      </c>
      <c r="F922" s="14">
        <f>150.5411 * CHOOSE(CONTROL!$C$9, $D$9, 100%, $F$9) + CHOOSE(CONTROL!$C$27, 0.0021, 0)</f>
        <v>150.54320000000001</v>
      </c>
      <c r="G922" s="14">
        <f>150.8125 * CHOOSE(CONTROL!$C$9, $D$9, 100%, $F$9) + CHOOSE(CONTROL!$C$27, 0.0021, 0)</f>
        <v>150.81460000000001</v>
      </c>
      <c r="H922" s="14">
        <f>150.6777 * CHOOSE(CONTROL!$C$9, $D$9, 100%, $F$9) + CHOOSE(CONTROL!$C$27, 0.0021, 0)</f>
        <v>150.6798</v>
      </c>
      <c r="I922" s="14">
        <f>150.6777 * CHOOSE(CONTROL!$C$9, $D$9, 100%, $F$9) + CHOOSE(CONTROL!$C$27, 0.0021, 0)</f>
        <v>150.6798</v>
      </c>
      <c r="J922" s="14">
        <f>150.6777 * CHOOSE(CONTROL!$C$9, $D$9, 100%, $F$9) + CHOOSE(CONTROL!$C$27, 0.0021, 0)</f>
        <v>150.6798</v>
      </c>
      <c r="K922" s="14">
        <f>150.6777 * CHOOSE(CONTROL!$C$9, $D$9, 100%, $F$9) + CHOOSE(CONTROL!$C$27, 0.0021, 0)</f>
        <v>150.6798</v>
      </c>
      <c r="L922" s="14"/>
    </row>
    <row r="923" spans="1:12" ht="15.75" x14ac:dyDescent="0.25">
      <c r="A923" s="32">
        <v>69033</v>
      </c>
      <c r="B923" s="14">
        <f>146.6938 * CHOOSE(CONTROL!$C$9, $D$9, 100%, $F$9) + CHOOSE(CONTROL!$C$27, 0.0021, 0)</f>
        <v>146.69590000000002</v>
      </c>
      <c r="C923" s="14">
        <f>146.2616 * CHOOSE(CONTROL!$C$9, $D$9, 100%, $F$9) + CHOOSE(CONTROL!$C$27, 0.0021, 0)</f>
        <v>146.2637</v>
      </c>
      <c r="D923" s="14">
        <f>146.2616 * CHOOSE(CONTROL!$C$9, $D$9, 100%, $F$9) + CHOOSE(CONTROL!$C$27, 0.0021, 0)</f>
        <v>146.2637</v>
      </c>
      <c r="E923" s="14">
        <f>146.1249 * CHOOSE(CONTROL!$C$9, $D$9, 100%, $F$9) + CHOOSE(CONTROL!$C$27, 0.0021, 0)</f>
        <v>146.12700000000001</v>
      </c>
      <c r="F923" s="14">
        <f>146.1249 * CHOOSE(CONTROL!$C$9, $D$9, 100%, $F$9) + CHOOSE(CONTROL!$C$27, 0.0021, 0)</f>
        <v>146.12700000000001</v>
      </c>
      <c r="G923" s="14">
        <f>146.3963 * CHOOSE(CONTROL!$C$9, $D$9, 100%, $F$9) + CHOOSE(CONTROL!$C$27, 0.0021, 0)</f>
        <v>146.39840000000001</v>
      </c>
      <c r="H923" s="14">
        <f>146.2616 * CHOOSE(CONTROL!$C$9, $D$9, 100%, $F$9) + CHOOSE(CONTROL!$C$27, 0.0021, 0)</f>
        <v>146.2637</v>
      </c>
      <c r="I923" s="14">
        <f>146.2616 * CHOOSE(CONTROL!$C$9, $D$9, 100%, $F$9) + CHOOSE(CONTROL!$C$27, 0.0021, 0)</f>
        <v>146.2637</v>
      </c>
      <c r="J923" s="14">
        <f>146.2616 * CHOOSE(CONTROL!$C$9, $D$9, 100%, $F$9) + CHOOSE(CONTROL!$C$27, 0.0021, 0)</f>
        <v>146.2637</v>
      </c>
      <c r="K923" s="14">
        <f>146.2616 * CHOOSE(CONTROL!$C$9, $D$9, 100%, $F$9) + CHOOSE(CONTROL!$C$27, 0.0021, 0)</f>
        <v>146.2637</v>
      </c>
      <c r="L923" s="14"/>
    </row>
    <row r="924" spans="1:12" ht="15.75" x14ac:dyDescent="0.25">
      <c r="A924" s="32">
        <v>69064</v>
      </c>
      <c r="B924" s="14">
        <f>145.834 * CHOOSE(CONTROL!$C$9, $D$9, 100%, $F$9) + CHOOSE(CONTROL!$C$27, 0.0021, 0)</f>
        <v>145.83610000000002</v>
      </c>
      <c r="C924" s="14">
        <f>145.4018 * CHOOSE(CONTROL!$C$9, $D$9, 100%, $F$9) + CHOOSE(CONTROL!$C$27, 0.0021, 0)</f>
        <v>145.40390000000002</v>
      </c>
      <c r="D924" s="14">
        <f>145.4018 * CHOOSE(CONTROL!$C$9, $D$9, 100%, $F$9) + CHOOSE(CONTROL!$C$27, 0.0021, 0)</f>
        <v>145.40390000000002</v>
      </c>
      <c r="E924" s="14">
        <f>145.2651 * CHOOSE(CONTROL!$C$9, $D$9, 100%, $F$9) + CHOOSE(CONTROL!$C$27, 0.0021, 0)</f>
        <v>145.2672</v>
      </c>
      <c r="F924" s="14">
        <f>145.2651 * CHOOSE(CONTROL!$C$9, $D$9, 100%, $F$9) + CHOOSE(CONTROL!$C$27, 0.0021, 0)</f>
        <v>145.2672</v>
      </c>
      <c r="G924" s="14">
        <f>145.5365 * CHOOSE(CONTROL!$C$9, $D$9, 100%, $F$9) + CHOOSE(CONTROL!$C$27, 0.0021, 0)</f>
        <v>145.5386</v>
      </c>
      <c r="H924" s="14">
        <f>145.4018 * CHOOSE(CONTROL!$C$9, $D$9, 100%, $F$9) + CHOOSE(CONTROL!$C$27, 0.0021, 0)</f>
        <v>145.40390000000002</v>
      </c>
      <c r="I924" s="14">
        <f>145.4018 * CHOOSE(CONTROL!$C$9, $D$9, 100%, $F$9) + CHOOSE(CONTROL!$C$27, 0.0021, 0)</f>
        <v>145.40390000000002</v>
      </c>
      <c r="J924" s="14">
        <f>145.4018 * CHOOSE(CONTROL!$C$9, $D$9, 100%, $F$9) + CHOOSE(CONTROL!$C$27, 0.0021, 0)</f>
        <v>145.40390000000002</v>
      </c>
      <c r="K924" s="14">
        <f>145.4018 * CHOOSE(CONTROL!$C$9, $D$9, 100%, $F$9) + CHOOSE(CONTROL!$C$27, 0.0021, 0)</f>
        <v>145.40390000000002</v>
      </c>
      <c r="L924" s="14"/>
    </row>
    <row r="925" spans="1:12" ht="15.75" x14ac:dyDescent="0.25">
      <c r="A925" s="32">
        <v>69092</v>
      </c>
      <c r="B925" s="14">
        <f>145.435 * CHOOSE(CONTROL!$C$9, $D$9, 100%, $F$9) + CHOOSE(CONTROL!$C$27, 0.0021, 0)</f>
        <v>145.43710000000002</v>
      </c>
      <c r="C925" s="14">
        <f>145.0028 * CHOOSE(CONTROL!$C$9, $D$9, 100%, $F$9) + CHOOSE(CONTROL!$C$27, 0.0021, 0)</f>
        <v>145.00490000000002</v>
      </c>
      <c r="D925" s="14">
        <f>145.0028 * CHOOSE(CONTROL!$C$9, $D$9, 100%, $F$9) + CHOOSE(CONTROL!$C$27, 0.0021, 0)</f>
        <v>145.00490000000002</v>
      </c>
      <c r="E925" s="14">
        <f>144.8661 * CHOOSE(CONTROL!$C$9, $D$9, 100%, $F$9) + CHOOSE(CONTROL!$C$27, 0.0021, 0)</f>
        <v>144.8682</v>
      </c>
      <c r="F925" s="14">
        <f>144.8661 * CHOOSE(CONTROL!$C$9, $D$9, 100%, $F$9) + CHOOSE(CONTROL!$C$27, 0.0021, 0)</f>
        <v>144.8682</v>
      </c>
      <c r="G925" s="14">
        <f>145.1375 * CHOOSE(CONTROL!$C$9, $D$9, 100%, $F$9) + CHOOSE(CONTROL!$C$27, 0.0021, 0)</f>
        <v>145.1396</v>
      </c>
      <c r="H925" s="14">
        <f>145.0028 * CHOOSE(CONTROL!$C$9, $D$9, 100%, $F$9) + CHOOSE(CONTROL!$C$27, 0.0021, 0)</f>
        <v>145.00490000000002</v>
      </c>
      <c r="I925" s="14">
        <f>145.0028 * CHOOSE(CONTROL!$C$9, $D$9, 100%, $F$9) + CHOOSE(CONTROL!$C$27, 0.0021, 0)</f>
        <v>145.00490000000002</v>
      </c>
      <c r="J925" s="14">
        <f>145.0028 * CHOOSE(CONTROL!$C$9, $D$9, 100%, $F$9) + CHOOSE(CONTROL!$C$27, 0.0021, 0)</f>
        <v>145.00490000000002</v>
      </c>
      <c r="K925" s="14">
        <f>145.0028 * CHOOSE(CONTROL!$C$9, $D$9, 100%, $F$9) + CHOOSE(CONTROL!$C$27, 0.0021, 0)</f>
        <v>145.00490000000002</v>
      </c>
      <c r="L925" s="14"/>
    </row>
    <row r="926" spans="1:12" ht="15.75" x14ac:dyDescent="0.25">
      <c r="A926" s="32">
        <v>69123</v>
      </c>
      <c r="B926" s="14">
        <f>152.9795 * CHOOSE(CONTROL!$C$9, $D$9, 100%, $F$9) + CHOOSE(CONTROL!$C$27, 0.0021, 0)</f>
        <v>152.98160000000001</v>
      </c>
      <c r="C926" s="14">
        <f>152.5472 * CHOOSE(CONTROL!$C$9, $D$9, 100%, $F$9) + CHOOSE(CONTROL!$C$27, 0.0021, 0)</f>
        <v>152.54930000000002</v>
      </c>
      <c r="D926" s="14">
        <f>152.5472 * CHOOSE(CONTROL!$C$9, $D$9, 100%, $F$9) + CHOOSE(CONTROL!$C$27, 0.0021, 0)</f>
        <v>152.54930000000002</v>
      </c>
      <c r="E926" s="14">
        <f>152.4106 * CHOOSE(CONTROL!$C$9, $D$9, 100%, $F$9) + CHOOSE(CONTROL!$C$27, 0.0021, 0)</f>
        <v>152.4127</v>
      </c>
      <c r="F926" s="14">
        <f>152.4106 * CHOOSE(CONTROL!$C$9, $D$9, 100%, $F$9) + CHOOSE(CONTROL!$C$27, 0.0021, 0)</f>
        <v>152.4127</v>
      </c>
      <c r="G926" s="14">
        <f>152.682 * CHOOSE(CONTROL!$C$9, $D$9, 100%, $F$9) + CHOOSE(CONTROL!$C$27, 0.0021, 0)</f>
        <v>152.6841</v>
      </c>
      <c r="H926" s="14">
        <f>152.5472 * CHOOSE(CONTROL!$C$9, $D$9, 100%, $F$9) + CHOOSE(CONTROL!$C$27, 0.0021, 0)</f>
        <v>152.54930000000002</v>
      </c>
      <c r="I926" s="14">
        <f>152.5472 * CHOOSE(CONTROL!$C$9, $D$9, 100%, $F$9) + CHOOSE(CONTROL!$C$27, 0.0021, 0)</f>
        <v>152.54930000000002</v>
      </c>
      <c r="J926" s="14">
        <f>152.5472 * CHOOSE(CONTROL!$C$9, $D$9, 100%, $F$9) + CHOOSE(CONTROL!$C$27, 0.0021, 0)</f>
        <v>152.54930000000002</v>
      </c>
      <c r="K926" s="14">
        <f>152.5472 * CHOOSE(CONTROL!$C$9, $D$9, 100%, $F$9) + CHOOSE(CONTROL!$C$27, 0.0021, 0)</f>
        <v>152.54930000000002</v>
      </c>
      <c r="L926" s="14"/>
    </row>
    <row r="927" spans="1:12" ht="15.75" x14ac:dyDescent="0.25">
      <c r="A927" s="32">
        <v>69153</v>
      </c>
      <c r="B927" s="14">
        <f>162.7628 * CHOOSE(CONTROL!$C$9, $D$9, 100%, $F$9) + CHOOSE(CONTROL!$C$27, 0.0021, 0)</f>
        <v>162.76490000000001</v>
      </c>
      <c r="C927" s="14">
        <f>162.3306 * CHOOSE(CONTROL!$C$9, $D$9, 100%, $F$9) + CHOOSE(CONTROL!$C$27, 0.0021, 0)</f>
        <v>162.33270000000002</v>
      </c>
      <c r="D927" s="14">
        <f>162.3306 * CHOOSE(CONTROL!$C$9, $D$9, 100%, $F$9) + CHOOSE(CONTROL!$C$27, 0.0021, 0)</f>
        <v>162.33270000000002</v>
      </c>
      <c r="E927" s="14">
        <f>162.1939 * CHOOSE(CONTROL!$C$9, $D$9, 100%, $F$9) + CHOOSE(CONTROL!$C$27, 0.0021, 0)</f>
        <v>162.19600000000003</v>
      </c>
      <c r="F927" s="14">
        <f>162.1939 * CHOOSE(CONTROL!$C$9, $D$9, 100%, $F$9) + CHOOSE(CONTROL!$C$27, 0.0021, 0)</f>
        <v>162.19600000000003</v>
      </c>
      <c r="G927" s="14">
        <f>162.4653 * CHOOSE(CONTROL!$C$9, $D$9, 100%, $F$9) + CHOOSE(CONTROL!$C$27, 0.0021, 0)</f>
        <v>162.46740000000003</v>
      </c>
      <c r="H927" s="14">
        <f>162.3306 * CHOOSE(CONTROL!$C$9, $D$9, 100%, $F$9) + CHOOSE(CONTROL!$C$27, 0.0021, 0)</f>
        <v>162.33270000000002</v>
      </c>
      <c r="I927" s="14">
        <f>162.3306 * CHOOSE(CONTROL!$C$9, $D$9, 100%, $F$9) + CHOOSE(CONTROL!$C$27, 0.0021, 0)</f>
        <v>162.33270000000002</v>
      </c>
      <c r="J927" s="14">
        <f>162.3306 * CHOOSE(CONTROL!$C$9, $D$9, 100%, $F$9) + CHOOSE(CONTROL!$C$27, 0.0021, 0)</f>
        <v>162.33270000000002</v>
      </c>
      <c r="K927" s="14">
        <f>162.3306 * CHOOSE(CONTROL!$C$9, $D$9, 100%, $F$9) + CHOOSE(CONTROL!$C$27, 0.0021, 0)</f>
        <v>162.33270000000002</v>
      </c>
      <c r="L927" s="14"/>
    </row>
    <row r="928" spans="1:12" ht="15.75" x14ac:dyDescent="0.25">
      <c r="A928" s="32">
        <v>69184</v>
      </c>
      <c r="B928" s="14">
        <f>168.1479 * CHOOSE(CONTROL!$C$9, $D$9, 100%, $F$9) + CHOOSE(CONTROL!$C$27, 0.0021, 0)</f>
        <v>168.15</v>
      </c>
      <c r="C928" s="14">
        <f>167.7157 * CHOOSE(CONTROL!$C$9, $D$9, 100%, $F$9) + CHOOSE(CONTROL!$C$27, 0.0021, 0)</f>
        <v>167.71780000000001</v>
      </c>
      <c r="D928" s="14">
        <f>167.7157 * CHOOSE(CONTROL!$C$9, $D$9, 100%, $F$9) + CHOOSE(CONTROL!$C$27, 0.0021, 0)</f>
        <v>167.71780000000001</v>
      </c>
      <c r="E928" s="14">
        <f>167.579 * CHOOSE(CONTROL!$C$9, $D$9, 100%, $F$9) + CHOOSE(CONTROL!$C$27, 0.0021, 0)</f>
        <v>167.58110000000002</v>
      </c>
      <c r="F928" s="14">
        <f>167.579 * CHOOSE(CONTROL!$C$9, $D$9, 100%, $F$9) + CHOOSE(CONTROL!$C$27, 0.0021, 0)</f>
        <v>167.58110000000002</v>
      </c>
      <c r="G928" s="14">
        <f>167.8504 * CHOOSE(CONTROL!$C$9, $D$9, 100%, $F$9) + CHOOSE(CONTROL!$C$27, 0.0021, 0)</f>
        <v>167.85250000000002</v>
      </c>
      <c r="H928" s="14">
        <f>167.7157 * CHOOSE(CONTROL!$C$9, $D$9, 100%, $F$9) + CHOOSE(CONTROL!$C$27, 0.0021, 0)</f>
        <v>167.71780000000001</v>
      </c>
      <c r="I928" s="14">
        <f>167.7157 * CHOOSE(CONTROL!$C$9, $D$9, 100%, $F$9) + CHOOSE(CONTROL!$C$27, 0.0021, 0)</f>
        <v>167.71780000000001</v>
      </c>
      <c r="J928" s="14">
        <f>167.7157 * CHOOSE(CONTROL!$C$9, $D$9, 100%, $F$9) + CHOOSE(CONTROL!$C$27, 0.0021, 0)</f>
        <v>167.71780000000001</v>
      </c>
      <c r="K928" s="14">
        <f>167.7157 * CHOOSE(CONTROL!$C$9, $D$9, 100%, $F$9) + CHOOSE(CONTROL!$C$27, 0.0021, 0)</f>
        <v>167.71780000000001</v>
      </c>
      <c r="L928" s="14"/>
    </row>
    <row r="929" spans="1:12" ht="15.75" x14ac:dyDescent="0.25">
      <c r="A929" s="32">
        <v>69214</v>
      </c>
      <c r="B929" s="14">
        <f>170.5377 * CHOOSE(CONTROL!$C$9, $D$9, 100%, $F$9) + CHOOSE(CONTROL!$C$27, 0.0021, 0)</f>
        <v>170.53980000000001</v>
      </c>
      <c r="C929" s="14">
        <f>170.1055 * CHOOSE(CONTROL!$C$9, $D$9, 100%, $F$9) + CHOOSE(CONTROL!$C$27, 0.0021, 0)</f>
        <v>170.10760000000002</v>
      </c>
      <c r="D929" s="14">
        <f>170.1055 * CHOOSE(CONTROL!$C$9, $D$9, 100%, $F$9) + CHOOSE(CONTROL!$C$27, 0.0021, 0)</f>
        <v>170.10760000000002</v>
      </c>
      <c r="E929" s="14">
        <f>169.9688 * CHOOSE(CONTROL!$C$9, $D$9, 100%, $F$9) + CHOOSE(CONTROL!$C$27, 0.0021, 0)</f>
        <v>169.9709</v>
      </c>
      <c r="F929" s="14">
        <f>169.9688 * CHOOSE(CONTROL!$C$9, $D$9, 100%, $F$9) + CHOOSE(CONTROL!$C$27, 0.0021, 0)</f>
        <v>169.9709</v>
      </c>
      <c r="G929" s="14">
        <f>170.2402 * CHOOSE(CONTROL!$C$9, $D$9, 100%, $F$9) + CHOOSE(CONTROL!$C$27, 0.0021, 0)</f>
        <v>170.2423</v>
      </c>
      <c r="H929" s="14">
        <f>170.1055 * CHOOSE(CONTROL!$C$9, $D$9, 100%, $F$9) + CHOOSE(CONTROL!$C$27, 0.0021, 0)</f>
        <v>170.10760000000002</v>
      </c>
      <c r="I929" s="14">
        <f>170.1055 * CHOOSE(CONTROL!$C$9, $D$9, 100%, $F$9) + CHOOSE(CONTROL!$C$27, 0.0021, 0)</f>
        <v>170.10760000000002</v>
      </c>
      <c r="J929" s="14">
        <f>170.1055 * CHOOSE(CONTROL!$C$9, $D$9, 100%, $F$9) + CHOOSE(CONTROL!$C$27, 0.0021, 0)</f>
        <v>170.10760000000002</v>
      </c>
      <c r="K929" s="14">
        <f>170.1055 * CHOOSE(CONTROL!$C$9, $D$9, 100%, $F$9) + CHOOSE(CONTROL!$C$27, 0.0021, 0)</f>
        <v>170.10760000000002</v>
      </c>
      <c r="L929" s="14"/>
    </row>
    <row r="930" spans="1:12" ht="15.75" x14ac:dyDescent="0.25">
      <c r="A930" s="32">
        <v>69245</v>
      </c>
      <c r="B930" s="14">
        <f>169.7509 * CHOOSE(CONTROL!$C$9, $D$9, 100%, $F$9) + CHOOSE(CONTROL!$C$27, 0.0021, 0)</f>
        <v>169.75300000000001</v>
      </c>
      <c r="C930" s="14">
        <f>169.3186 * CHOOSE(CONTROL!$C$9, $D$9, 100%, $F$9) + CHOOSE(CONTROL!$C$27, 0.0021, 0)</f>
        <v>169.32070000000002</v>
      </c>
      <c r="D930" s="14">
        <f>169.3186 * CHOOSE(CONTROL!$C$9, $D$9, 100%, $F$9) + CHOOSE(CONTROL!$C$27, 0.0021, 0)</f>
        <v>169.32070000000002</v>
      </c>
      <c r="E930" s="14">
        <f>169.182 * CHOOSE(CONTROL!$C$9, $D$9, 100%, $F$9) + CHOOSE(CONTROL!$C$27, 0.0021, 0)</f>
        <v>169.1841</v>
      </c>
      <c r="F930" s="14">
        <f>169.182 * CHOOSE(CONTROL!$C$9, $D$9, 100%, $F$9) + CHOOSE(CONTROL!$C$27, 0.0021, 0)</f>
        <v>169.1841</v>
      </c>
      <c r="G930" s="14">
        <f>169.4533 * CHOOSE(CONTROL!$C$9, $D$9, 100%, $F$9) + CHOOSE(CONTROL!$C$27, 0.0021, 0)</f>
        <v>169.45540000000003</v>
      </c>
      <c r="H930" s="14">
        <f>169.3186 * CHOOSE(CONTROL!$C$9, $D$9, 100%, $F$9) + CHOOSE(CONTROL!$C$27, 0.0021, 0)</f>
        <v>169.32070000000002</v>
      </c>
      <c r="I930" s="14">
        <f>169.3186 * CHOOSE(CONTROL!$C$9, $D$9, 100%, $F$9) + CHOOSE(CONTROL!$C$27, 0.0021, 0)</f>
        <v>169.32070000000002</v>
      </c>
      <c r="J930" s="14">
        <f>169.3186 * CHOOSE(CONTROL!$C$9, $D$9, 100%, $F$9) + CHOOSE(CONTROL!$C$27, 0.0021, 0)</f>
        <v>169.32070000000002</v>
      </c>
      <c r="K930" s="14">
        <f>169.3186 * CHOOSE(CONTROL!$C$9, $D$9, 100%, $F$9) + CHOOSE(CONTROL!$C$27, 0.0021, 0)</f>
        <v>169.32070000000002</v>
      </c>
      <c r="L930" s="14"/>
    </row>
    <row r="931" spans="1:12" ht="15.75" x14ac:dyDescent="0.25">
      <c r="A931" s="32">
        <v>69276</v>
      </c>
      <c r="B931" s="14">
        <f>165.8525 * CHOOSE(CONTROL!$C$9, $D$9, 100%, $F$9) + CHOOSE(CONTROL!$C$27, 0.0021, 0)</f>
        <v>165.8546</v>
      </c>
      <c r="C931" s="14">
        <f>165.4203 * CHOOSE(CONTROL!$C$9, $D$9, 100%, $F$9) + CHOOSE(CONTROL!$C$27, 0.0021, 0)</f>
        <v>165.42240000000001</v>
      </c>
      <c r="D931" s="14">
        <f>165.4203 * CHOOSE(CONTROL!$C$9, $D$9, 100%, $F$9) + CHOOSE(CONTROL!$C$27, 0.0021, 0)</f>
        <v>165.42240000000001</v>
      </c>
      <c r="E931" s="14">
        <f>165.2836 * CHOOSE(CONTROL!$C$9, $D$9, 100%, $F$9) + CHOOSE(CONTROL!$C$27, 0.0021, 0)</f>
        <v>165.28570000000002</v>
      </c>
      <c r="F931" s="14">
        <f>165.2836 * CHOOSE(CONTROL!$C$9, $D$9, 100%, $F$9) + CHOOSE(CONTROL!$C$27, 0.0021, 0)</f>
        <v>165.28570000000002</v>
      </c>
      <c r="G931" s="14">
        <f>165.555 * CHOOSE(CONTROL!$C$9, $D$9, 100%, $F$9) + CHOOSE(CONTROL!$C$27, 0.0021, 0)</f>
        <v>165.55710000000002</v>
      </c>
      <c r="H931" s="14">
        <f>165.4203 * CHOOSE(CONTROL!$C$9, $D$9, 100%, $F$9) + CHOOSE(CONTROL!$C$27, 0.0021, 0)</f>
        <v>165.42240000000001</v>
      </c>
      <c r="I931" s="14">
        <f>165.4203 * CHOOSE(CONTROL!$C$9, $D$9, 100%, $F$9) + CHOOSE(CONTROL!$C$27, 0.0021, 0)</f>
        <v>165.42240000000001</v>
      </c>
      <c r="J931" s="14">
        <f>165.4203 * CHOOSE(CONTROL!$C$9, $D$9, 100%, $F$9) + CHOOSE(CONTROL!$C$27, 0.0021, 0)</f>
        <v>165.42240000000001</v>
      </c>
      <c r="K931" s="14">
        <f>165.4203 * CHOOSE(CONTROL!$C$9, $D$9, 100%, $F$9) + CHOOSE(CONTROL!$C$27, 0.0021, 0)</f>
        <v>165.42240000000001</v>
      </c>
      <c r="L931" s="14"/>
    </row>
    <row r="932" spans="1:12" ht="15.75" x14ac:dyDescent="0.25">
      <c r="A932" s="32">
        <v>69306</v>
      </c>
      <c r="B932" s="14">
        <f>160.416 * CHOOSE(CONTROL!$C$9, $D$9, 100%, $F$9) + CHOOSE(CONTROL!$C$27, 0.0021, 0)</f>
        <v>160.41810000000001</v>
      </c>
      <c r="C932" s="14">
        <f>159.9838 * CHOOSE(CONTROL!$C$9, $D$9, 100%, $F$9) + CHOOSE(CONTROL!$C$27, 0.0021, 0)</f>
        <v>159.98590000000002</v>
      </c>
      <c r="D932" s="14">
        <f>159.9838 * CHOOSE(CONTROL!$C$9, $D$9, 100%, $F$9) + CHOOSE(CONTROL!$C$27, 0.0021, 0)</f>
        <v>159.98590000000002</v>
      </c>
      <c r="E932" s="14">
        <f>159.8471 * CHOOSE(CONTROL!$C$9, $D$9, 100%, $F$9) + CHOOSE(CONTROL!$C$27, 0.0021, 0)</f>
        <v>159.84920000000002</v>
      </c>
      <c r="F932" s="14">
        <f>159.8471 * CHOOSE(CONTROL!$C$9, $D$9, 100%, $F$9) + CHOOSE(CONTROL!$C$27, 0.0021, 0)</f>
        <v>159.84920000000002</v>
      </c>
      <c r="G932" s="14">
        <f>160.1185 * CHOOSE(CONTROL!$C$9, $D$9, 100%, $F$9) + CHOOSE(CONTROL!$C$27, 0.0021, 0)</f>
        <v>160.12060000000002</v>
      </c>
      <c r="H932" s="14">
        <f>159.9838 * CHOOSE(CONTROL!$C$9, $D$9, 100%, $F$9) + CHOOSE(CONTROL!$C$27, 0.0021, 0)</f>
        <v>159.98590000000002</v>
      </c>
      <c r="I932" s="14">
        <f>159.9838 * CHOOSE(CONTROL!$C$9, $D$9, 100%, $F$9) + CHOOSE(CONTROL!$C$27, 0.0021, 0)</f>
        <v>159.98590000000002</v>
      </c>
      <c r="J932" s="14">
        <f>159.9838 * CHOOSE(CONTROL!$C$9, $D$9, 100%, $F$9) + CHOOSE(CONTROL!$C$27, 0.0021, 0)</f>
        <v>159.98590000000002</v>
      </c>
      <c r="K932" s="14">
        <f>159.9838 * CHOOSE(CONTROL!$C$9, $D$9, 100%, $F$9) + CHOOSE(CONTROL!$C$27, 0.0021, 0)</f>
        <v>159.98590000000002</v>
      </c>
      <c r="L932" s="14"/>
    </row>
    <row r="933" spans="1:12" ht="15.75" x14ac:dyDescent="0.25">
      <c r="A933" s="32">
        <v>69337</v>
      </c>
      <c r="B933" s="14">
        <f>154.948 * CHOOSE(CONTROL!$C$9, $D$9, 100%, $F$9) + CHOOSE(CONTROL!$C$27, 0.0021, 0)</f>
        <v>154.95010000000002</v>
      </c>
      <c r="C933" s="14">
        <f>154.5157 * CHOOSE(CONTROL!$C$9, $D$9, 100%, $F$9) + CHOOSE(CONTROL!$C$27, 0.0021, 0)</f>
        <v>154.51780000000002</v>
      </c>
      <c r="D933" s="14">
        <f>154.5157 * CHOOSE(CONTROL!$C$9, $D$9, 100%, $F$9) + CHOOSE(CONTROL!$C$27, 0.0021, 0)</f>
        <v>154.51780000000002</v>
      </c>
      <c r="E933" s="14">
        <f>154.3791 * CHOOSE(CONTROL!$C$9, $D$9, 100%, $F$9) + CHOOSE(CONTROL!$C$27, 0.0021, 0)</f>
        <v>154.38120000000001</v>
      </c>
      <c r="F933" s="14">
        <f>154.3791 * CHOOSE(CONTROL!$C$9, $D$9, 100%, $F$9) + CHOOSE(CONTROL!$C$27, 0.0021, 0)</f>
        <v>154.38120000000001</v>
      </c>
      <c r="G933" s="14">
        <f>154.6504 * CHOOSE(CONTROL!$C$9, $D$9, 100%, $F$9) + CHOOSE(CONTROL!$C$27, 0.0021, 0)</f>
        <v>154.6525</v>
      </c>
      <c r="H933" s="14">
        <f>154.5157 * CHOOSE(CONTROL!$C$9, $D$9, 100%, $F$9) + CHOOSE(CONTROL!$C$27, 0.0021, 0)</f>
        <v>154.51780000000002</v>
      </c>
      <c r="I933" s="14">
        <f>154.5157 * CHOOSE(CONTROL!$C$9, $D$9, 100%, $F$9) + CHOOSE(CONTROL!$C$27, 0.0021, 0)</f>
        <v>154.51780000000002</v>
      </c>
      <c r="J933" s="14">
        <f>154.5157 * CHOOSE(CONTROL!$C$9, $D$9, 100%, $F$9) + CHOOSE(CONTROL!$C$27, 0.0021, 0)</f>
        <v>154.51780000000002</v>
      </c>
      <c r="K933" s="14">
        <f>154.5157 * CHOOSE(CONTROL!$C$9, $D$9, 100%, $F$9) + CHOOSE(CONTROL!$C$27, 0.0021, 0)</f>
        <v>154.51780000000002</v>
      </c>
      <c r="L933" s="14"/>
    </row>
    <row r="934" spans="1:12" ht="15.75" x14ac:dyDescent="0.25">
      <c r="A934" s="32">
        <v>69367</v>
      </c>
      <c r="B934" s="14">
        <f>153.8603 * CHOOSE(CONTROL!$C$9, $D$9, 100%, $F$9) + CHOOSE(CONTROL!$C$27, 0.0021, 0)</f>
        <v>153.86240000000001</v>
      </c>
      <c r="C934" s="14">
        <f>153.428 * CHOOSE(CONTROL!$C$9, $D$9, 100%, $F$9) + CHOOSE(CONTROL!$C$27, 0.0021, 0)</f>
        <v>153.43010000000001</v>
      </c>
      <c r="D934" s="14">
        <f>153.428 * CHOOSE(CONTROL!$C$9, $D$9, 100%, $F$9) + CHOOSE(CONTROL!$C$27, 0.0021, 0)</f>
        <v>153.43010000000001</v>
      </c>
      <c r="E934" s="14">
        <f>153.2914 * CHOOSE(CONTROL!$C$9, $D$9, 100%, $F$9) + CHOOSE(CONTROL!$C$27, 0.0021, 0)</f>
        <v>153.29350000000002</v>
      </c>
      <c r="F934" s="14">
        <f>153.2914 * CHOOSE(CONTROL!$C$9, $D$9, 100%, $F$9) + CHOOSE(CONTROL!$C$27, 0.0021, 0)</f>
        <v>153.29350000000002</v>
      </c>
      <c r="G934" s="14">
        <f>153.5627 * CHOOSE(CONTROL!$C$9, $D$9, 100%, $F$9) + CHOOSE(CONTROL!$C$27, 0.0021, 0)</f>
        <v>153.56480000000002</v>
      </c>
      <c r="H934" s="14">
        <f>153.428 * CHOOSE(CONTROL!$C$9, $D$9, 100%, $F$9) + CHOOSE(CONTROL!$C$27, 0.0021, 0)</f>
        <v>153.43010000000001</v>
      </c>
      <c r="I934" s="14">
        <f>153.428 * CHOOSE(CONTROL!$C$9, $D$9, 100%, $F$9) + CHOOSE(CONTROL!$C$27, 0.0021, 0)</f>
        <v>153.43010000000001</v>
      </c>
      <c r="J934" s="14">
        <f>153.428 * CHOOSE(CONTROL!$C$9, $D$9, 100%, $F$9) + CHOOSE(CONTROL!$C$27, 0.0021, 0)</f>
        <v>153.43010000000001</v>
      </c>
      <c r="K934" s="14">
        <f>153.428 * CHOOSE(CONTROL!$C$9, $D$9, 100%, $F$9) + CHOOSE(CONTROL!$C$27, 0.0021, 0)</f>
        <v>153.43010000000001</v>
      </c>
      <c r="L934" s="14"/>
    </row>
    <row r="935" spans="1:12" ht="15.75" x14ac:dyDescent="0.25">
      <c r="A935" s="32">
        <v>69398</v>
      </c>
      <c r="B935" s="14">
        <f>149.3625 * CHOOSE(CONTROL!$C$9, $D$9, 100%, $F$9) + CHOOSE(CONTROL!$C$27, 0.0021, 0)</f>
        <v>149.36460000000002</v>
      </c>
      <c r="C935" s="14">
        <f>148.9302 * CHOOSE(CONTROL!$C$9, $D$9, 100%, $F$9) + CHOOSE(CONTROL!$C$27, 0.0021, 0)</f>
        <v>148.93230000000003</v>
      </c>
      <c r="D935" s="14">
        <f>148.9302 * CHOOSE(CONTROL!$C$9, $D$9, 100%, $F$9) + CHOOSE(CONTROL!$C$27, 0.0021, 0)</f>
        <v>148.93230000000003</v>
      </c>
      <c r="E935" s="14">
        <f>148.7936 * CHOOSE(CONTROL!$C$9, $D$9, 100%, $F$9) + CHOOSE(CONTROL!$C$27, 0.0021, 0)</f>
        <v>148.79570000000001</v>
      </c>
      <c r="F935" s="14">
        <f>148.7936 * CHOOSE(CONTROL!$C$9, $D$9, 100%, $F$9) + CHOOSE(CONTROL!$C$27, 0.0021, 0)</f>
        <v>148.79570000000001</v>
      </c>
      <c r="G935" s="14">
        <f>149.0649 * CHOOSE(CONTROL!$C$9, $D$9, 100%, $F$9) + CHOOSE(CONTROL!$C$27, 0.0021, 0)</f>
        <v>149.06700000000001</v>
      </c>
      <c r="H935" s="14">
        <f>148.9302 * CHOOSE(CONTROL!$C$9, $D$9, 100%, $F$9) + CHOOSE(CONTROL!$C$27, 0.0021, 0)</f>
        <v>148.93230000000003</v>
      </c>
      <c r="I935" s="14">
        <f>148.9302 * CHOOSE(CONTROL!$C$9, $D$9, 100%, $F$9) + CHOOSE(CONTROL!$C$27, 0.0021, 0)</f>
        <v>148.93230000000003</v>
      </c>
      <c r="J935" s="14">
        <f>148.9302 * CHOOSE(CONTROL!$C$9, $D$9, 100%, $F$9) + CHOOSE(CONTROL!$C$27, 0.0021, 0)</f>
        <v>148.93230000000003</v>
      </c>
      <c r="K935" s="14">
        <f>148.9302 * CHOOSE(CONTROL!$C$9, $D$9, 100%, $F$9) + CHOOSE(CONTROL!$C$27, 0.0021, 0)</f>
        <v>148.93230000000003</v>
      </c>
      <c r="L935" s="14"/>
    </row>
    <row r="936" spans="1:12" ht="15.75" x14ac:dyDescent="0.25">
      <c r="A936" s="32">
        <v>69429</v>
      </c>
      <c r="B936" s="14">
        <f>148.4868 * CHOOSE(CONTROL!$C$9, $D$9, 100%, $F$9) + CHOOSE(CONTROL!$C$27, 0.0021, 0)</f>
        <v>148.4889</v>
      </c>
      <c r="C936" s="14">
        <f>148.0545 * CHOOSE(CONTROL!$C$9, $D$9, 100%, $F$9) + CHOOSE(CONTROL!$C$27, 0.0021, 0)</f>
        <v>148.0566</v>
      </c>
      <c r="D936" s="14">
        <f>148.0545 * CHOOSE(CONTROL!$C$9, $D$9, 100%, $F$9) + CHOOSE(CONTROL!$C$27, 0.0021, 0)</f>
        <v>148.0566</v>
      </c>
      <c r="E936" s="14">
        <f>147.9179 * CHOOSE(CONTROL!$C$9, $D$9, 100%, $F$9) + CHOOSE(CONTROL!$C$27, 0.0021, 0)</f>
        <v>147.92000000000002</v>
      </c>
      <c r="F936" s="14">
        <f>147.9179 * CHOOSE(CONTROL!$C$9, $D$9, 100%, $F$9) + CHOOSE(CONTROL!$C$27, 0.0021, 0)</f>
        <v>147.92000000000002</v>
      </c>
      <c r="G936" s="14">
        <f>148.1893 * CHOOSE(CONTROL!$C$9, $D$9, 100%, $F$9) + CHOOSE(CONTROL!$C$27, 0.0021, 0)</f>
        <v>148.19140000000002</v>
      </c>
      <c r="H936" s="14">
        <f>148.0545 * CHOOSE(CONTROL!$C$9, $D$9, 100%, $F$9) + CHOOSE(CONTROL!$C$27, 0.0021, 0)</f>
        <v>148.0566</v>
      </c>
      <c r="I936" s="14">
        <f>148.0545 * CHOOSE(CONTROL!$C$9, $D$9, 100%, $F$9) + CHOOSE(CONTROL!$C$27, 0.0021, 0)</f>
        <v>148.0566</v>
      </c>
      <c r="J936" s="14">
        <f>148.0545 * CHOOSE(CONTROL!$C$9, $D$9, 100%, $F$9) + CHOOSE(CONTROL!$C$27, 0.0021, 0)</f>
        <v>148.0566</v>
      </c>
      <c r="K936" s="14">
        <f>148.0545 * CHOOSE(CONTROL!$C$9, $D$9, 100%, $F$9) + CHOOSE(CONTROL!$C$27, 0.0021, 0)</f>
        <v>148.0566</v>
      </c>
      <c r="L936" s="14"/>
    </row>
    <row r="937" spans="1:12" ht="15.75" x14ac:dyDescent="0.25">
      <c r="A937" s="32">
        <v>69457</v>
      </c>
      <c r="B937" s="14">
        <f>148.0804 * CHOOSE(CONTROL!$C$9, $D$9, 100%, $F$9) + CHOOSE(CONTROL!$C$27, 0.0021, 0)</f>
        <v>148.08250000000001</v>
      </c>
      <c r="C937" s="14">
        <f>147.6482 * CHOOSE(CONTROL!$C$9, $D$9, 100%, $F$9) + CHOOSE(CONTROL!$C$27, 0.0021, 0)</f>
        <v>147.65030000000002</v>
      </c>
      <c r="D937" s="14">
        <f>147.6482 * CHOOSE(CONTROL!$C$9, $D$9, 100%, $F$9) + CHOOSE(CONTROL!$C$27, 0.0021, 0)</f>
        <v>147.65030000000002</v>
      </c>
      <c r="E937" s="14">
        <f>147.5115 * CHOOSE(CONTROL!$C$9, $D$9, 100%, $F$9) + CHOOSE(CONTROL!$C$27, 0.0021, 0)</f>
        <v>147.51360000000003</v>
      </c>
      <c r="F937" s="14">
        <f>147.5115 * CHOOSE(CONTROL!$C$9, $D$9, 100%, $F$9) + CHOOSE(CONTROL!$C$27, 0.0021, 0)</f>
        <v>147.51360000000003</v>
      </c>
      <c r="G937" s="14">
        <f>147.7829 * CHOOSE(CONTROL!$C$9, $D$9, 100%, $F$9) + CHOOSE(CONTROL!$C$27, 0.0021, 0)</f>
        <v>147.78500000000003</v>
      </c>
      <c r="H937" s="14">
        <f>147.6482 * CHOOSE(CONTROL!$C$9, $D$9, 100%, $F$9) + CHOOSE(CONTROL!$C$27, 0.0021, 0)</f>
        <v>147.65030000000002</v>
      </c>
      <c r="I937" s="14">
        <f>147.6482 * CHOOSE(CONTROL!$C$9, $D$9, 100%, $F$9) + CHOOSE(CONTROL!$C$27, 0.0021, 0)</f>
        <v>147.65030000000002</v>
      </c>
      <c r="J937" s="14">
        <f>147.6482 * CHOOSE(CONTROL!$C$9, $D$9, 100%, $F$9) + CHOOSE(CONTROL!$C$27, 0.0021, 0)</f>
        <v>147.65030000000002</v>
      </c>
      <c r="K937" s="14">
        <f>147.6482 * CHOOSE(CONTROL!$C$9, $D$9, 100%, $F$9) + CHOOSE(CONTROL!$C$27, 0.0021, 0)</f>
        <v>147.65030000000002</v>
      </c>
      <c r="L937" s="14"/>
    </row>
    <row r="938" spans="1:12" ht="15.75" x14ac:dyDescent="0.25">
      <c r="A938" s="32">
        <v>69488</v>
      </c>
      <c r="B938" s="14">
        <f>155.7643 * CHOOSE(CONTROL!$C$9, $D$9, 100%, $F$9) + CHOOSE(CONTROL!$C$27, 0.0021, 0)</f>
        <v>155.7664</v>
      </c>
      <c r="C938" s="14">
        <f>155.3321 * CHOOSE(CONTROL!$C$9, $D$9, 100%, $F$9) + CHOOSE(CONTROL!$C$27, 0.0021, 0)</f>
        <v>155.33420000000001</v>
      </c>
      <c r="D938" s="14">
        <f>155.3321 * CHOOSE(CONTROL!$C$9, $D$9, 100%, $F$9) + CHOOSE(CONTROL!$C$27, 0.0021, 0)</f>
        <v>155.33420000000001</v>
      </c>
      <c r="E938" s="14">
        <f>155.1954 * CHOOSE(CONTROL!$C$9, $D$9, 100%, $F$9) + CHOOSE(CONTROL!$C$27, 0.0021, 0)</f>
        <v>155.19750000000002</v>
      </c>
      <c r="F938" s="14">
        <f>155.1954 * CHOOSE(CONTROL!$C$9, $D$9, 100%, $F$9) + CHOOSE(CONTROL!$C$27, 0.0021, 0)</f>
        <v>155.19750000000002</v>
      </c>
      <c r="G938" s="14">
        <f>155.4668 * CHOOSE(CONTROL!$C$9, $D$9, 100%, $F$9) + CHOOSE(CONTROL!$C$27, 0.0021, 0)</f>
        <v>155.46890000000002</v>
      </c>
      <c r="H938" s="14">
        <f>155.3321 * CHOOSE(CONTROL!$C$9, $D$9, 100%, $F$9) + CHOOSE(CONTROL!$C$27, 0.0021, 0)</f>
        <v>155.33420000000001</v>
      </c>
      <c r="I938" s="14">
        <f>155.3321 * CHOOSE(CONTROL!$C$9, $D$9, 100%, $F$9) + CHOOSE(CONTROL!$C$27, 0.0021, 0)</f>
        <v>155.33420000000001</v>
      </c>
      <c r="J938" s="14">
        <f>155.3321 * CHOOSE(CONTROL!$C$9, $D$9, 100%, $F$9) + CHOOSE(CONTROL!$C$27, 0.0021, 0)</f>
        <v>155.33420000000001</v>
      </c>
      <c r="K938" s="14">
        <f>155.3321 * CHOOSE(CONTROL!$C$9, $D$9, 100%, $F$9) + CHOOSE(CONTROL!$C$27, 0.0021, 0)</f>
        <v>155.33420000000001</v>
      </c>
      <c r="L938" s="14"/>
    </row>
    <row r="939" spans="1:12" ht="15.75" x14ac:dyDescent="0.25">
      <c r="A939" s="32">
        <v>69518</v>
      </c>
      <c r="B939" s="14">
        <f>165.7284 * CHOOSE(CONTROL!$C$9, $D$9, 100%, $F$9) + CHOOSE(CONTROL!$C$27, 0.0021, 0)</f>
        <v>165.73050000000001</v>
      </c>
      <c r="C939" s="14">
        <f>165.2962 * CHOOSE(CONTROL!$C$9, $D$9, 100%, $F$9) + CHOOSE(CONTROL!$C$27, 0.0021, 0)</f>
        <v>165.29830000000001</v>
      </c>
      <c r="D939" s="14">
        <f>165.2962 * CHOOSE(CONTROL!$C$9, $D$9, 100%, $F$9) + CHOOSE(CONTROL!$C$27, 0.0021, 0)</f>
        <v>165.29830000000001</v>
      </c>
      <c r="E939" s="14">
        <f>165.1595 * CHOOSE(CONTROL!$C$9, $D$9, 100%, $F$9) + CHOOSE(CONTROL!$C$27, 0.0021, 0)</f>
        <v>165.16160000000002</v>
      </c>
      <c r="F939" s="14">
        <f>165.1595 * CHOOSE(CONTROL!$C$9, $D$9, 100%, $F$9) + CHOOSE(CONTROL!$C$27, 0.0021, 0)</f>
        <v>165.16160000000002</v>
      </c>
      <c r="G939" s="14">
        <f>165.4309 * CHOOSE(CONTROL!$C$9, $D$9, 100%, $F$9) + CHOOSE(CONTROL!$C$27, 0.0021, 0)</f>
        <v>165.43300000000002</v>
      </c>
      <c r="H939" s="14">
        <f>165.2962 * CHOOSE(CONTROL!$C$9, $D$9, 100%, $F$9) + CHOOSE(CONTROL!$C$27, 0.0021, 0)</f>
        <v>165.29830000000001</v>
      </c>
      <c r="I939" s="14">
        <f>165.2962 * CHOOSE(CONTROL!$C$9, $D$9, 100%, $F$9) + CHOOSE(CONTROL!$C$27, 0.0021, 0)</f>
        <v>165.29830000000001</v>
      </c>
      <c r="J939" s="14">
        <f>165.2962 * CHOOSE(CONTROL!$C$9, $D$9, 100%, $F$9) + CHOOSE(CONTROL!$C$27, 0.0021, 0)</f>
        <v>165.29830000000001</v>
      </c>
      <c r="K939" s="14">
        <f>165.2962 * CHOOSE(CONTROL!$C$9, $D$9, 100%, $F$9) + CHOOSE(CONTROL!$C$27, 0.0021, 0)</f>
        <v>165.29830000000001</v>
      </c>
      <c r="L939" s="14"/>
    </row>
    <row r="940" spans="1:12" ht="15.75" x14ac:dyDescent="0.25">
      <c r="A940" s="32">
        <v>69549</v>
      </c>
      <c r="B940" s="14">
        <f>171.213 * CHOOSE(CONTROL!$C$9, $D$9, 100%, $F$9) + CHOOSE(CONTROL!$C$27, 0.0021, 0)</f>
        <v>171.21510000000001</v>
      </c>
      <c r="C940" s="14">
        <f>170.7808 * CHOOSE(CONTROL!$C$9, $D$9, 100%, $F$9) + CHOOSE(CONTROL!$C$27, 0.0021, 0)</f>
        <v>170.78290000000001</v>
      </c>
      <c r="D940" s="14">
        <f>170.7808 * CHOOSE(CONTROL!$C$9, $D$9, 100%, $F$9) + CHOOSE(CONTROL!$C$27, 0.0021, 0)</f>
        <v>170.78290000000001</v>
      </c>
      <c r="E940" s="14">
        <f>170.6441 * CHOOSE(CONTROL!$C$9, $D$9, 100%, $F$9) + CHOOSE(CONTROL!$C$27, 0.0021, 0)</f>
        <v>170.64620000000002</v>
      </c>
      <c r="F940" s="14">
        <f>170.6441 * CHOOSE(CONTROL!$C$9, $D$9, 100%, $F$9) + CHOOSE(CONTROL!$C$27, 0.0021, 0)</f>
        <v>170.64620000000002</v>
      </c>
      <c r="G940" s="14">
        <f>170.9155 * CHOOSE(CONTROL!$C$9, $D$9, 100%, $F$9) + CHOOSE(CONTROL!$C$27, 0.0021, 0)</f>
        <v>170.91760000000002</v>
      </c>
      <c r="H940" s="14">
        <f>170.7808 * CHOOSE(CONTROL!$C$9, $D$9, 100%, $F$9) + CHOOSE(CONTROL!$C$27, 0.0021, 0)</f>
        <v>170.78290000000001</v>
      </c>
      <c r="I940" s="14">
        <f>170.7808 * CHOOSE(CONTROL!$C$9, $D$9, 100%, $F$9) + CHOOSE(CONTROL!$C$27, 0.0021, 0)</f>
        <v>170.78290000000001</v>
      </c>
      <c r="J940" s="14">
        <f>170.7808 * CHOOSE(CONTROL!$C$9, $D$9, 100%, $F$9) + CHOOSE(CONTROL!$C$27, 0.0021, 0)</f>
        <v>170.78290000000001</v>
      </c>
      <c r="K940" s="14">
        <f>170.7808 * CHOOSE(CONTROL!$C$9, $D$9, 100%, $F$9) + CHOOSE(CONTROL!$C$27, 0.0021, 0)</f>
        <v>170.78290000000001</v>
      </c>
      <c r="L940" s="14"/>
    </row>
    <row r="941" spans="1:12" ht="15.75" x14ac:dyDescent="0.25">
      <c r="A941" s="32">
        <v>69579</v>
      </c>
      <c r="B941" s="14">
        <f>173.647 * CHOOSE(CONTROL!$C$9, $D$9, 100%, $F$9) + CHOOSE(CONTROL!$C$27, 0.0021, 0)</f>
        <v>173.6491</v>
      </c>
      <c r="C941" s="14">
        <f>173.2148 * CHOOSE(CONTROL!$C$9, $D$9, 100%, $F$9) + CHOOSE(CONTROL!$C$27, 0.0021, 0)</f>
        <v>173.21690000000001</v>
      </c>
      <c r="D941" s="14">
        <f>173.2148 * CHOOSE(CONTROL!$C$9, $D$9, 100%, $F$9) + CHOOSE(CONTROL!$C$27, 0.0021, 0)</f>
        <v>173.21690000000001</v>
      </c>
      <c r="E941" s="14">
        <f>173.0781 * CHOOSE(CONTROL!$C$9, $D$9, 100%, $F$9) + CHOOSE(CONTROL!$C$27, 0.0021, 0)</f>
        <v>173.08020000000002</v>
      </c>
      <c r="F941" s="14">
        <f>173.0781 * CHOOSE(CONTROL!$C$9, $D$9, 100%, $F$9) + CHOOSE(CONTROL!$C$27, 0.0021, 0)</f>
        <v>173.08020000000002</v>
      </c>
      <c r="G941" s="14">
        <f>173.3495 * CHOOSE(CONTROL!$C$9, $D$9, 100%, $F$9) + CHOOSE(CONTROL!$C$27, 0.0021, 0)</f>
        <v>173.35160000000002</v>
      </c>
      <c r="H941" s="14">
        <f>173.2148 * CHOOSE(CONTROL!$C$9, $D$9, 100%, $F$9) + CHOOSE(CONTROL!$C$27, 0.0021, 0)</f>
        <v>173.21690000000001</v>
      </c>
      <c r="I941" s="14">
        <f>173.2148 * CHOOSE(CONTROL!$C$9, $D$9, 100%, $F$9) + CHOOSE(CONTROL!$C$27, 0.0021, 0)</f>
        <v>173.21690000000001</v>
      </c>
      <c r="J941" s="14">
        <f>173.2148 * CHOOSE(CONTROL!$C$9, $D$9, 100%, $F$9) + CHOOSE(CONTROL!$C$27, 0.0021, 0)</f>
        <v>173.21690000000001</v>
      </c>
      <c r="K941" s="14">
        <f>173.2148 * CHOOSE(CONTROL!$C$9, $D$9, 100%, $F$9) + CHOOSE(CONTROL!$C$27, 0.0021, 0)</f>
        <v>173.21690000000001</v>
      </c>
      <c r="L941" s="14"/>
    </row>
    <row r="942" spans="1:12" ht="15.75" x14ac:dyDescent="0.25">
      <c r="A942" s="32">
        <v>69610</v>
      </c>
      <c r="B942" s="14">
        <f>172.8456 * CHOOSE(CONTROL!$C$9, $D$9, 100%, $F$9) + CHOOSE(CONTROL!$C$27, 0.0021, 0)</f>
        <v>172.8477</v>
      </c>
      <c r="C942" s="14">
        <f>172.4134 * CHOOSE(CONTROL!$C$9, $D$9, 100%, $F$9) + CHOOSE(CONTROL!$C$27, 0.0021, 0)</f>
        <v>172.41550000000001</v>
      </c>
      <c r="D942" s="14">
        <f>172.4134 * CHOOSE(CONTROL!$C$9, $D$9, 100%, $F$9) + CHOOSE(CONTROL!$C$27, 0.0021, 0)</f>
        <v>172.41550000000001</v>
      </c>
      <c r="E942" s="14">
        <f>172.2767 * CHOOSE(CONTROL!$C$9, $D$9, 100%, $F$9) + CHOOSE(CONTROL!$C$27, 0.0021, 0)</f>
        <v>172.27880000000002</v>
      </c>
      <c r="F942" s="14">
        <f>172.2767 * CHOOSE(CONTROL!$C$9, $D$9, 100%, $F$9) + CHOOSE(CONTROL!$C$27, 0.0021, 0)</f>
        <v>172.27880000000002</v>
      </c>
      <c r="G942" s="14">
        <f>172.5481 * CHOOSE(CONTROL!$C$9, $D$9, 100%, $F$9) + CHOOSE(CONTROL!$C$27, 0.0021, 0)</f>
        <v>172.55020000000002</v>
      </c>
      <c r="H942" s="14">
        <f>172.4134 * CHOOSE(CONTROL!$C$9, $D$9, 100%, $F$9) + CHOOSE(CONTROL!$C$27, 0.0021, 0)</f>
        <v>172.41550000000001</v>
      </c>
      <c r="I942" s="14">
        <f>172.4134 * CHOOSE(CONTROL!$C$9, $D$9, 100%, $F$9) + CHOOSE(CONTROL!$C$27, 0.0021, 0)</f>
        <v>172.41550000000001</v>
      </c>
      <c r="J942" s="14">
        <f>172.4134 * CHOOSE(CONTROL!$C$9, $D$9, 100%, $F$9) + CHOOSE(CONTROL!$C$27, 0.0021, 0)</f>
        <v>172.41550000000001</v>
      </c>
      <c r="K942" s="14">
        <f>172.4134 * CHOOSE(CONTROL!$C$9, $D$9, 100%, $F$9) + CHOOSE(CONTROL!$C$27, 0.0021, 0)</f>
        <v>172.41550000000001</v>
      </c>
      <c r="L942" s="14"/>
    </row>
    <row r="943" spans="1:12" ht="15.75" x14ac:dyDescent="0.25">
      <c r="A943" s="32">
        <v>69641</v>
      </c>
      <c r="B943" s="14">
        <f>168.8752 * CHOOSE(CONTROL!$C$9, $D$9, 100%, $F$9) + CHOOSE(CONTROL!$C$27, 0.0021, 0)</f>
        <v>168.87730000000002</v>
      </c>
      <c r="C943" s="14">
        <f>168.443 * CHOOSE(CONTROL!$C$9, $D$9, 100%, $F$9) + CHOOSE(CONTROL!$C$27, 0.0021, 0)</f>
        <v>168.44510000000002</v>
      </c>
      <c r="D943" s="14">
        <f>168.443 * CHOOSE(CONTROL!$C$9, $D$9, 100%, $F$9) + CHOOSE(CONTROL!$C$27, 0.0021, 0)</f>
        <v>168.44510000000002</v>
      </c>
      <c r="E943" s="14">
        <f>168.3063 * CHOOSE(CONTROL!$C$9, $D$9, 100%, $F$9) + CHOOSE(CONTROL!$C$27, 0.0021, 0)</f>
        <v>168.30840000000001</v>
      </c>
      <c r="F943" s="14">
        <f>168.3063 * CHOOSE(CONTROL!$C$9, $D$9, 100%, $F$9) + CHOOSE(CONTROL!$C$27, 0.0021, 0)</f>
        <v>168.30840000000001</v>
      </c>
      <c r="G943" s="14">
        <f>168.5777 * CHOOSE(CONTROL!$C$9, $D$9, 100%, $F$9) + CHOOSE(CONTROL!$C$27, 0.0021, 0)</f>
        <v>168.57980000000001</v>
      </c>
      <c r="H943" s="14">
        <f>168.443 * CHOOSE(CONTROL!$C$9, $D$9, 100%, $F$9) + CHOOSE(CONTROL!$C$27, 0.0021, 0)</f>
        <v>168.44510000000002</v>
      </c>
      <c r="I943" s="14">
        <f>168.443 * CHOOSE(CONTROL!$C$9, $D$9, 100%, $F$9) + CHOOSE(CONTROL!$C$27, 0.0021, 0)</f>
        <v>168.44510000000002</v>
      </c>
      <c r="J943" s="14">
        <f>168.443 * CHOOSE(CONTROL!$C$9, $D$9, 100%, $F$9) + CHOOSE(CONTROL!$C$27, 0.0021, 0)</f>
        <v>168.44510000000002</v>
      </c>
      <c r="K943" s="14">
        <f>168.443 * CHOOSE(CONTROL!$C$9, $D$9, 100%, $F$9) + CHOOSE(CONTROL!$C$27, 0.0021, 0)</f>
        <v>168.44510000000002</v>
      </c>
      <c r="L943" s="14"/>
    </row>
    <row r="944" spans="1:12" ht="15.75" x14ac:dyDescent="0.25">
      <c r="A944" s="32">
        <v>69671</v>
      </c>
      <c r="B944" s="14">
        <f>163.3383 * CHOOSE(CONTROL!$C$9, $D$9, 100%, $F$9) + CHOOSE(CONTROL!$C$27, 0.0021, 0)</f>
        <v>163.34040000000002</v>
      </c>
      <c r="C944" s="14">
        <f>162.906 * CHOOSE(CONTROL!$C$9, $D$9, 100%, $F$9) + CHOOSE(CONTROL!$C$27, 0.0021, 0)</f>
        <v>162.90810000000002</v>
      </c>
      <c r="D944" s="14">
        <f>162.906 * CHOOSE(CONTROL!$C$9, $D$9, 100%, $F$9) + CHOOSE(CONTROL!$C$27, 0.0021, 0)</f>
        <v>162.90810000000002</v>
      </c>
      <c r="E944" s="14">
        <f>162.7694 * CHOOSE(CONTROL!$C$9, $D$9, 100%, $F$9) + CHOOSE(CONTROL!$C$27, 0.0021, 0)</f>
        <v>162.7715</v>
      </c>
      <c r="F944" s="14">
        <f>162.7694 * CHOOSE(CONTROL!$C$9, $D$9, 100%, $F$9) + CHOOSE(CONTROL!$C$27, 0.0021, 0)</f>
        <v>162.7715</v>
      </c>
      <c r="G944" s="14">
        <f>163.0408 * CHOOSE(CONTROL!$C$9, $D$9, 100%, $F$9) + CHOOSE(CONTROL!$C$27, 0.0021, 0)</f>
        <v>163.0429</v>
      </c>
      <c r="H944" s="14">
        <f>162.906 * CHOOSE(CONTROL!$C$9, $D$9, 100%, $F$9) + CHOOSE(CONTROL!$C$27, 0.0021, 0)</f>
        <v>162.90810000000002</v>
      </c>
      <c r="I944" s="14">
        <f>162.906 * CHOOSE(CONTROL!$C$9, $D$9, 100%, $F$9) + CHOOSE(CONTROL!$C$27, 0.0021, 0)</f>
        <v>162.90810000000002</v>
      </c>
      <c r="J944" s="14">
        <f>162.906 * CHOOSE(CONTROL!$C$9, $D$9, 100%, $F$9) + CHOOSE(CONTROL!$C$27, 0.0021, 0)</f>
        <v>162.90810000000002</v>
      </c>
      <c r="K944" s="14">
        <f>162.906 * CHOOSE(CONTROL!$C$9, $D$9, 100%, $F$9) + CHOOSE(CONTROL!$C$27, 0.0021, 0)</f>
        <v>162.90810000000002</v>
      </c>
      <c r="L944" s="14"/>
    </row>
    <row r="945" spans="1:12" ht="15.75" x14ac:dyDescent="0.25">
      <c r="A945" s="32">
        <v>69702</v>
      </c>
      <c r="B945" s="14">
        <f>157.7692 * CHOOSE(CONTROL!$C$9, $D$9, 100%, $F$9) + CHOOSE(CONTROL!$C$27, 0.0021, 0)</f>
        <v>157.77130000000002</v>
      </c>
      <c r="C945" s="14">
        <f>157.3369 * CHOOSE(CONTROL!$C$9, $D$9, 100%, $F$9) + CHOOSE(CONTROL!$C$27, 0.0021, 0)</f>
        <v>157.33900000000003</v>
      </c>
      <c r="D945" s="14">
        <f>157.3369 * CHOOSE(CONTROL!$C$9, $D$9, 100%, $F$9) + CHOOSE(CONTROL!$C$27, 0.0021, 0)</f>
        <v>157.33900000000003</v>
      </c>
      <c r="E945" s="14">
        <f>157.2003 * CHOOSE(CONTROL!$C$9, $D$9, 100%, $F$9) + CHOOSE(CONTROL!$C$27, 0.0021, 0)</f>
        <v>157.20240000000001</v>
      </c>
      <c r="F945" s="14">
        <f>157.2003 * CHOOSE(CONTROL!$C$9, $D$9, 100%, $F$9) + CHOOSE(CONTROL!$C$27, 0.0021, 0)</f>
        <v>157.20240000000001</v>
      </c>
      <c r="G945" s="14">
        <f>157.4716 * CHOOSE(CONTROL!$C$9, $D$9, 100%, $F$9) + CHOOSE(CONTROL!$C$27, 0.0021, 0)</f>
        <v>157.47370000000001</v>
      </c>
      <c r="H945" s="14">
        <f>157.3369 * CHOOSE(CONTROL!$C$9, $D$9, 100%, $F$9) + CHOOSE(CONTROL!$C$27, 0.0021, 0)</f>
        <v>157.33900000000003</v>
      </c>
      <c r="I945" s="14">
        <f>157.3369 * CHOOSE(CONTROL!$C$9, $D$9, 100%, $F$9) + CHOOSE(CONTROL!$C$27, 0.0021, 0)</f>
        <v>157.33900000000003</v>
      </c>
      <c r="J945" s="14">
        <f>157.3369 * CHOOSE(CONTROL!$C$9, $D$9, 100%, $F$9) + CHOOSE(CONTROL!$C$27, 0.0021, 0)</f>
        <v>157.33900000000003</v>
      </c>
      <c r="K945" s="14">
        <f>157.3369 * CHOOSE(CONTROL!$C$9, $D$9, 100%, $F$9) + CHOOSE(CONTROL!$C$27, 0.0021, 0)</f>
        <v>157.33900000000003</v>
      </c>
      <c r="L945" s="14"/>
    </row>
    <row r="946" spans="1:12" ht="15.75" x14ac:dyDescent="0.25">
      <c r="A946" s="32">
        <v>69732</v>
      </c>
      <c r="B946" s="14">
        <f>156.6613 * CHOOSE(CONTROL!$C$9, $D$9, 100%, $F$9) + CHOOSE(CONTROL!$C$27, 0.0021, 0)</f>
        <v>156.66340000000002</v>
      </c>
      <c r="C946" s="14">
        <f>156.2291 * CHOOSE(CONTROL!$C$9, $D$9, 100%, $F$9) + CHOOSE(CONTROL!$C$27, 0.0021, 0)</f>
        <v>156.2312</v>
      </c>
      <c r="D946" s="14">
        <f>156.2291 * CHOOSE(CONTROL!$C$9, $D$9, 100%, $F$9) + CHOOSE(CONTROL!$C$27, 0.0021, 0)</f>
        <v>156.2312</v>
      </c>
      <c r="E946" s="14">
        <f>156.0924 * CHOOSE(CONTROL!$C$9, $D$9, 100%, $F$9) + CHOOSE(CONTROL!$C$27, 0.0021, 0)</f>
        <v>156.09450000000001</v>
      </c>
      <c r="F946" s="14">
        <f>156.0924 * CHOOSE(CONTROL!$C$9, $D$9, 100%, $F$9) + CHOOSE(CONTROL!$C$27, 0.0021, 0)</f>
        <v>156.09450000000001</v>
      </c>
      <c r="G946" s="14">
        <f>156.3638 * CHOOSE(CONTROL!$C$9, $D$9, 100%, $F$9) + CHOOSE(CONTROL!$C$27, 0.0021, 0)</f>
        <v>156.36590000000001</v>
      </c>
      <c r="H946" s="14">
        <f>156.2291 * CHOOSE(CONTROL!$C$9, $D$9, 100%, $F$9) + CHOOSE(CONTROL!$C$27, 0.0021, 0)</f>
        <v>156.2312</v>
      </c>
      <c r="I946" s="14">
        <f>156.2291 * CHOOSE(CONTROL!$C$9, $D$9, 100%, $F$9) + CHOOSE(CONTROL!$C$27, 0.0021, 0)</f>
        <v>156.2312</v>
      </c>
      <c r="J946" s="14">
        <f>156.2291 * CHOOSE(CONTROL!$C$9, $D$9, 100%, $F$9) + CHOOSE(CONTROL!$C$27, 0.0021, 0)</f>
        <v>156.2312</v>
      </c>
      <c r="K946" s="14">
        <f>156.2291 * CHOOSE(CONTROL!$C$9, $D$9, 100%, $F$9) + CHOOSE(CONTROL!$C$27, 0.0021, 0)</f>
        <v>156.2312</v>
      </c>
      <c r="L946" s="14"/>
    </row>
    <row r="947" spans="1:12" ht="15.75" x14ac:dyDescent="0.25">
      <c r="A947" s="32">
        <v>69763</v>
      </c>
      <c r="B947" s="14">
        <f>152.0804 * CHOOSE(CONTROL!$C$9, $D$9, 100%, $F$9) + CHOOSE(CONTROL!$C$27, 0.0021, 0)</f>
        <v>152.08250000000001</v>
      </c>
      <c r="C947" s="14">
        <f>151.6482 * CHOOSE(CONTROL!$C$9, $D$9, 100%, $F$9) + CHOOSE(CONTROL!$C$27, 0.0021, 0)</f>
        <v>151.65030000000002</v>
      </c>
      <c r="D947" s="14">
        <f>151.6482 * CHOOSE(CONTROL!$C$9, $D$9, 100%, $F$9) + CHOOSE(CONTROL!$C$27, 0.0021, 0)</f>
        <v>151.65030000000002</v>
      </c>
      <c r="E947" s="14">
        <f>151.5115 * CHOOSE(CONTROL!$C$9, $D$9, 100%, $F$9) + CHOOSE(CONTROL!$C$27, 0.0021, 0)</f>
        <v>151.51360000000003</v>
      </c>
      <c r="F947" s="14">
        <f>151.5115 * CHOOSE(CONTROL!$C$9, $D$9, 100%, $F$9) + CHOOSE(CONTROL!$C$27, 0.0021, 0)</f>
        <v>151.51360000000003</v>
      </c>
      <c r="G947" s="14">
        <f>151.7829 * CHOOSE(CONTROL!$C$9, $D$9, 100%, $F$9) + CHOOSE(CONTROL!$C$27, 0.0021, 0)</f>
        <v>151.78500000000003</v>
      </c>
      <c r="H947" s="14">
        <f>151.6482 * CHOOSE(CONTROL!$C$9, $D$9, 100%, $F$9) + CHOOSE(CONTROL!$C$27, 0.0021, 0)</f>
        <v>151.65030000000002</v>
      </c>
      <c r="I947" s="14">
        <f>151.6482 * CHOOSE(CONTROL!$C$9, $D$9, 100%, $F$9) + CHOOSE(CONTROL!$C$27, 0.0021, 0)</f>
        <v>151.65030000000002</v>
      </c>
      <c r="J947" s="14">
        <f>151.6482 * CHOOSE(CONTROL!$C$9, $D$9, 100%, $F$9) + CHOOSE(CONTROL!$C$27, 0.0021, 0)</f>
        <v>151.65030000000002</v>
      </c>
      <c r="K947" s="14">
        <f>151.6482 * CHOOSE(CONTROL!$C$9, $D$9, 100%, $F$9) + CHOOSE(CONTROL!$C$27, 0.0021, 0)</f>
        <v>151.65030000000002</v>
      </c>
      <c r="L947" s="14"/>
    </row>
    <row r="948" spans="1:12" ht="15.75" x14ac:dyDescent="0.25">
      <c r="A948" s="32">
        <v>69794</v>
      </c>
      <c r="B948" s="14">
        <f>151.1886 * CHOOSE(CONTROL!$C$9, $D$9, 100%, $F$9) + CHOOSE(CONTROL!$C$27, 0.0021, 0)</f>
        <v>151.19070000000002</v>
      </c>
      <c r="C948" s="14">
        <f>150.7563 * CHOOSE(CONTROL!$C$9, $D$9, 100%, $F$9) + CHOOSE(CONTROL!$C$27, 0.0021, 0)</f>
        <v>150.75840000000002</v>
      </c>
      <c r="D948" s="14">
        <f>150.7563 * CHOOSE(CONTROL!$C$9, $D$9, 100%, $F$9) + CHOOSE(CONTROL!$C$27, 0.0021, 0)</f>
        <v>150.75840000000002</v>
      </c>
      <c r="E948" s="14">
        <f>150.6197 * CHOOSE(CONTROL!$C$9, $D$9, 100%, $F$9) + CHOOSE(CONTROL!$C$27, 0.0021, 0)</f>
        <v>150.62180000000001</v>
      </c>
      <c r="F948" s="14">
        <f>150.6197 * CHOOSE(CONTROL!$C$9, $D$9, 100%, $F$9) + CHOOSE(CONTROL!$C$27, 0.0021, 0)</f>
        <v>150.62180000000001</v>
      </c>
      <c r="G948" s="14">
        <f>150.891 * CHOOSE(CONTROL!$C$9, $D$9, 100%, $F$9) + CHOOSE(CONTROL!$C$27, 0.0021, 0)</f>
        <v>150.8931</v>
      </c>
      <c r="H948" s="14">
        <f>150.7563 * CHOOSE(CONTROL!$C$9, $D$9, 100%, $F$9) + CHOOSE(CONTROL!$C$27, 0.0021, 0)</f>
        <v>150.75840000000002</v>
      </c>
      <c r="I948" s="14">
        <f>150.7563 * CHOOSE(CONTROL!$C$9, $D$9, 100%, $F$9) + CHOOSE(CONTROL!$C$27, 0.0021, 0)</f>
        <v>150.75840000000002</v>
      </c>
      <c r="J948" s="14">
        <f>150.7563 * CHOOSE(CONTROL!$C$9, $D$9, 100%, $F$9) + CHOOSE(CONTROL!$C$27, 0.0021, 0)</f>
        <v>150.75840000000002</v>
      </c>
      <c r="K948" s="14">
        <f>150.7563 * CHOOSE(CONTROL!$C$9, $D$9, 100%, $F$9) + CHOOSE(CONTROL!$C$27, 0.0021, 0)</f>
        <v>150.75840000000002</v>
      </c>
      <c r="L948" s="14"/>
    </row>
    <row r="949" spans="1:12" ht="15.75" x14ac:dyDescent="0.25">
      <c r="A949" s="32">
        <v>69822</v>
      </c>
      <c r="B949" s="14">
        <f>150.7747 * CHOOSE(CONTROL!$C$9, $D$9, 100%, $F$9) + CHOOSE(CONTROL!$C$27, 0.0021, 0)</f>
        <v>150.77680000000001</v>
      </c>
      <c r="C949" s="14">
        <f>150.3424 * CHOOSE(CONTROL!$C$9, $D$9, 100%, $F$9) + CHOOSE(CONTROL!$C$27, 0.0021, 0)</f>
        <v>150.34450000000001</v>
      </c>
      <c r="D949" s="14">
        <f>150.3424 * CHOOSE(CONTROL!$C$9, $D$9, 100%, $F$9) + CHOOSE(CONTROL!$C$27, 0.0021, 0)</f>
        <v>150.34450000000001</v>
      </c>
      <c r="E949" s="14">
        <f>150.2058 * CHOOSE(CONTROL!$C$9, $D$9, 100%, $F$9) + CHOOSE(CONTROL!$C$27, 0.0021, 0)</f>
        <v>150.20790000000002</v>
      </c>
      <c r="F949" s="14">
        <f>150.2058 * CHOOSE(CONTROL!$C$9, $D$9, 100%, $F$9) + CHOOSE(CONTROL!$C$27, 0.0021, 0)</f>
        <v>150.20790000000002</v>
      </c>
      <c r="G949" s="14">
        <f>150.4772 * CHOOSE(CONTROL!$C$9, $D$9, 100%, $F$9) + CHOOSE(CONTROL!$C$27, 0.0021, 0)</f>
        <v>150.47930000000002</v>
      </c>
      <c r="H949" s="14">
        <f>150.3424 * CHOOSE(CONTROL!$C$9, $D$9, 100%, $F$9) + CHOOSE(CONTROL!$C$27, 0.0021, 0)</f>
        <v>150.34450000000001</v>
      </c>
      <c r="I949" s="14">
        <f>150.3424 * CHOOSE(CONTROL!$C$9, $D$9, 100%, $F$9) + CHOOSE(CONTROL!$C$27, 0.0021, 0)</f>
        <v>150.34450000000001</v>
      </c>
      <c r="J949" s="14">
        <f>150.3424 * CHOOSE(CONTROL!$C$9, $D$9, 100%, $F$9) + CHOOSE(CONTROL!$C$27, 0.0021, 0)</f>
        <v>150.34450000000001</v>
      </c>
      <c r="K949" s="14">
        <f>150.3424 * CHOOSE(CONTROL!$C$9, $D$9, 100%, $F$9) + CHOOSE(CONTROL!$C$27, 0.0021, 0)</f>
        <v>150.34450000000001</v>
      </c>
      <c r="L949" s="14"/>
    </row>
    <row r="950" spans="1:12" ht="15.75" x14ac:dyDescent="0.25">
      <c r="A950" s="32">
        <v>69853</v>
      </c>
      <c r="B950" s="14">
        <f>158.6006 * CHOOSE(CONTROL!$C$9, $D$9, 100%, $F$9) + CHOOSE(CONTROL!$C$27, 0.0021, 0)</f>
        <v>158.6027</v>
      </c>
      <c r="C950" s="14">
        <f>158.1683 * CHOOSE(CONTROL!$C$9, $D$9, 100%, $F$9) + CHOOSE(CONTROL!$C$27, 0.0021, 0)</f>
        <v>158.1704</v>
      </c>
      <c r="D950" s="14">
        <f>158.1683 * CHOOSE(CONTROL!$C$9, $D$9, 100%, $F$9) + CHOOSE(CONTROL!$C$27, 0.0021, 0)</f>
        <v>158.1704</v>
      </c>
      <c r="E950" s="14">
        <f>158.0317 * CHOOSE(CONTROL!$C$9, $D$9, 100%, $F$9) + CHOOSE(CONTROL!$C$27, 0.0021, 0)</f>
        <v>158.03380000000001</v>
      </c>
      <c r="F950" s="14">
        <f>158.0317 * CHOOSE(CONTROL!$C$9, $D$9, 100%, $F$9) + CHOOSE(CONTROL!$C$27, 0.0021, 0)</f>
        <v>158.03380000000001</v>
      </c>
      <c r="G950" s="14">
        <f>158.303 * CHOOSE(CONTROL!$C$9, $D$9, 100%, $F$9) + CHOOSE(CONTROL!$C$27, 0.0021, 0)</f>
        <v>158.30510000000001</v>
      </c>
      <c r="H950" s="14">
        <f>158.1683 * CHOOSE(CONTROL!$C$9, $D$9, 100%, $F$9) + CHOOSE(CONTROL!$C$27, 0.0021, 0)</f>
        <v>158.1704</v>
      </c>
      <c r="I950" s="14">
        <f>158.1683 * CHOOSE(CONTROL!$C$9, $D$9, 100%, $F$9) + CHOOSE(CONTROL!$C$27, 0.0021, 0)</f>
        <v>158.1704</v>
      </c>
      <c r="J950" s="14">
        <f>158.1683 * CHOOSE(CONTROL!$C$9, $D$9, 100%, $F$9) + CHOOSE(CONTROL!$C$27, 0.0021, 0)</f>
        <v>158.1704</v>
      </c>
      <c r="K950" s="14">
        <f>158.1683 * CHOOSE(CONTROL!$C$9, $D$9, 100%, $F$9) + CHOOSE(CONTROL!$C$27, 0.0021, 0)</f>
        <v>158.1704</v>
      </c>
      <c r="L950" s="14"/>
    </row>
    <row r="951" spans="1:12" ht="15.75" x14ac:dyDescent="0.25">
      <c r="A951" s="32">
        <v>69883</v>
      </c>
      <c r="B951" s="14">
        <f>168.7489 * CHOOSE(CONTROL!$C$9, $D$9, 100%, $F$9) + CHOOSE(CONTROL!$C$27, 0.0021, 0)</f>
        <v>168.751</v>
      </c>
      <c r="C951" s="14">
        <f>168.3166 * CHOOSE(CONTROL!$C$9, $D$9, 100%, $F$9) + CHOOSE(CONTROL!$C$27, 0.0021, 0)</f>
        <v>168.31870000000001</v>
      </c>
      <c r="D951" s="14">
        <f>168.3166 * CHOOSE(CONTROL!$C$9, $D$9, 100%, $F$9) + CHOOSE(CONTROL!$C$27, 0.0021, 0)</f>
        <v>168.31870000000001</v>
      </c>
      <c r="E951" s="14">
        <f>168.18 * CHOOSE(CONTROL!$C$9, $D$9, 100%, $F$9) + CHOOSE(CONTROL!$C$27, 0.0021, 0)</f>
        <v>168.18210000000002</v>
      </c>
      <c r="F951" s="14">
        <f>168.18 * CHOOSE(CONTROL!$C$9, $D$9, 100%, $F$9) + CHOOSE(CONTROL!$C$27, 0.0021, 0)</f>
        <v>168.18210000000002</v>
      </c>
      <c r="G951" s="14">
        <f>168.4513 * CHOOSE(CONTROL!$C$9, $D$9, 100%, $F$9) + CHOOSE(CONTROL!$C$27, 0.0021, 0)</f>
        <v>168.45340000000002</v>
      </c>
      <c r="H951" s="14">
        <f>168.3166 * CHOOSE(CONTROL!$C$9, $D$9, 100%, $F$9) + CHOOSE(CONTROL!$C$27, 0.0021, 0)</f>
        <v>168.31870000000001</v>
      </c>
      <c r="I951" s="14">
        <f>168.3166 * CHOOSE(CONTROL!$C$9, $D$9, 100%, $F$9) + CHOOSE(CONTROL!$C$27, 0.0021, 0)</f>
        <v>168.31870000000001</v>
      </c>
      <c r="J951" s="14">
        <f>168.3166 * CHOOSE(CONTROL!$C$9, $D$9, 100%, $F$9) + CHOOSE(CONTROL!$C$27, 0.0021, 0)</f>
        <v>168.31870000000001</v>
      </c>
      <c r="K951" s="14">
        <f>168.3166 * CHOOSE(CONTROL!$C$9, $D$9, 100%, $F$9) + CHOOSE(CONTROL!$C$27, 0.0021, 0)</f>
        <v>168.31870000000001</v>
      </c>
      <c r="L951" s="14"/>
    </row>
    <row r="952" spans="1:12" ht="15.75" x14ac:dyDescent="0.25">
      <c r="A952" s="32">
        <v>69914</v>
      </c>
      <c r="B952" s="14">
        <f>174.3348 * CHOOSE(CONTROL!$C$9, $D$9, 100%, $F$9) + CHOOSE(CONTROL!$C$27, 0.0021, 0)</f>
        <v>174.33690000000001</v>
      </c>
      <c r="C952" s="14">
        <f>173.9026 * CHOOSE(CONTROL!$C$9, $D$9, 100%, $F$9) + CHOOSE(CONTROL!$C$27, 0.0021, 0)</f>
        <v>173.90470000000002</v>
      </c>
      <c r="D952" s="14">
        <f>173.9026 * CHOOSE(CONTROL!$C$9, $D$9, 100%, $F$9) + CHOOSE(CONTROL!$C$27, 0.0021, 0)</f>
        <v>173.90470000000002</v>
      </c>
      <c r="E952" s="14">
        <f>173.7659 * CHOOSE(CONTROL!$C$9, $D$9, 100%, $F$9) + CHOOSE(CONTROL!$C$27, 0.0021, 0)</f>
        <v>173.768</v>
      </c>
      <c r="F952" s="14">
        <f>173.7659 * CHOOSE(CONTROL!$C$9, $D$9, 100%, $F$9) + CHOOSE(CONTROL!$C$27, 0.0021, 0)</f>
        <v>173.768</v>
      </c>
      <c r="G952" s="14">
        <f>174.0373 * CHOOSE(CONTROL!$C$9, $D$9, 100%, $F$9) + CHOOSE(CONTROL!$C$27, 0.0021, 0)</f>
        <v>174.0394</v>
      </c>
      <c r="H952" s="14">
        <f>173.9026 * CHOOSE(CONTROL!$C$9, $D$9, 100%, $F$9) + CHOOSE(CONTROL!$C$27, 0.0021, 0)</f>
        <v>173.90470000000002</v>
      </c>
      <c r="I952" s="14">
        <f>173.9026 * CHOOSE(CONTROL!$C$9, $D$9, 100%, $F$9) + CHOOSE(CONTROL!$C$27, 0.0021, 0)</f>
        <v>173.90470000000002</v>
      </c>
      <c r="J952" s="14">
        <f>173.9026 * CHOOSE(CONTROL!$C$9, $D$9, 100%, $F$9) + CHOOSE(CONTROL!$C$27, 0.0021, 0)</f>
        <v>173.90470000000002</v>
      </c>
      <c r="K952" s="14">
        <f>173.9026 * CHOOSE(CONTROL!$C$9, $D$9, 100%, $F$9) + CHOOSE(CONTROL!$C$27, 0.0021, 0)</f>
        <v>173.90470000000002</v>
      </c>
      <c r="L952" s="14"/>
    </row>
    <row r="953" spans="1:12" ht="15.75" x14ac:dyDescent="0.25">
      <c r="A953" s="32">
        <v>69944</v>
      </c>
      <c r="B953" s="14">
        <f>176.8138 * CHOOSE(CONTROL!$C$9, $D$9, 100%, $F$9) + CHOOSE(CONTROL!$C$27, 0.0021, 0)</f>
        <v>176.8159</v>
      </c>
      <c r="C953" s="14">
        <f>176.3815 * CHOOSE(CONTROL!$C$9, $D$9, 100%, $F$9) + CHOOSE(CONTROL!$C$27, 0.0021, 0)</f>
        <v>176.3836</v>
      </c>
      <c r="D953" s="14">
        <f>176.3815 * CHOOSE(CONTROL!$C$9, $D$9, 100%, $F$9) + CHOOSE(CONTROL!$C$27, 0.0021, 0)</f>
        <v>176.3836</v>
      </c>
      <c r="E953" s="14">
        <f>176.2449 * CHOOSE(CONTROL!$C$9, $D$9, 100%, $F$9) + CHOOSE(CONTROL!$C$27, 0.0021, 0)</f>
        <v>176.24700000000001</v>
      </c>
      <c r="F953" s="14">
        <f>176.2449 * CHOOSE(CONTROL!$C$9, $D$9, 100%, $F$9) + CHOOSE(CONTROL!$C$27, 0.0021, 0)</f>
        <v>176.24700000000001</v>
      </c>
      <c r="G953" s="14">
        <f>176.5162 * CHOOSE(CONTROL!$C$9, $D$9, 100%, $F$9) + CHOOSE(CONTROL!$C$27, 0.0021, 0)</f>
        <v>176.51830000000001</v>
      </c>
      <c r="H953" s="14">
        <f>176.3815 * CHOOSE(CONTROL!$C$9, $D$9, 100%, $F$9) + CHOOSE(CONTROL!$C$27, 0.0021, 0)</f>
        <v>176.3836</v>
      </c>
      <c r="I953" s="14">
        <f>176.3815 * CHOOSE(CONTROL!$C$9, $D$9, 100%, $F$9) + CHOOSE(CONTROL!$C$27, 0.0021, 0)</f>
        <v>176.3836</v>
      </c>
      <c r="J953" s="14">
        <f>176.3815 * CHOOSE(CONTROL!$C$9, $D$9, 100%, $F$9) + CHOOSE(CONTROL!$C$27, 0.0021, 0)</f>
        <v>176.3836</v>
      </c>
      <c r="K953" s="14">
        <f>176.3815 * CHOOSE(CONTROL!$C$9, $D$9, 100%, $F$9) + CHOOSE(CONTROL!$C$27, 0.0021, 0)</f>
        <v>176.3836</v>
      </c>
      <c r="L953" s="14"/>
    </row>
    <row r="954" spans="1:12" ht="15.75" x14ac:dyDescent="0.25">
      <c r="A954" s="32">
        <v>69975</v>
      </c>
      <c r="B954" s="14">
        <f>175.9976 * CHOOSE(CONTROL!$C$9, $D$9, 100%, $F$9) + CHOOSE(CONTROL!$C$27, 0.0021, 0)</f>
        <v>175.99970000000002</v>
      </c>
      <c r="C954" s="14">
        <f>175.5653 * CHOOSE(CONTROL!$C$9, $D$9, 100%, $F$9) + CHOOSE(CONTROL!$C$27, 0.0021, 0)</f>
        <v>175.56740000000002</v>
      </c>
      <c r="D954" s="14">
        <f>175.5653 * CHOOSE(CONTROL!$C$9, $D$9, 100%, $F$9) + CHOOSE(CONTROL!$C$27, 0.0021, 0)</f>
        <v>175.56740000000002</v>
      </c>
      <c r="E954" s="14">
        <f>175.4287 * CHOOSE(CONTROL!$C$9, $D$9, 100%, $F$9) + CHOOSE(CONTROL!$C$27, 0.0021, 0)</f>
        <v>175.4308</v>
      </c>
      <c r="F954" s="14">
        <f>175.4287 * CHOOSE(CONTROL!$C$9, $D$9, 100%, $F$9) + CHOOSE(CONTROL!$C$27, 0.0021, 0)</f>
        <v>175.4308</v>
      </c>
      <c r="G954" s="14">
        <f>175.7001 * CHOOSE(CONTROL!$C$9, $D$9, 100%, $F$9) + CHOOSE(CONTROL!$C$27, 0.0021, 0)</f>
        <v>175.7022</v>
      </c>
      <c r="H954" s="14">
        <f>175.5653 * CHOOSE(CONTROL!$C$9, $D$9, 100%, $F$9) + CHOOSE(CONTROL!$C$27, 0.0021, 0)</f>
        <v>175.56740000000002</v>
      </c>
      <c r="I954" s="14">
        <f>175.5653 * CHOOSE(CONTROL!$C$9, $D$9, 100%, $F$9) + CHOOSE(CONTROL!$C$27, 0.0021, 0)</f>
        <v>175.56740000000002</v>
      </c>
      <c r="J954" s="14">
        <f>175.5653 * CHOOSE(CONTROL!$C$9, $D$9, 100%, $F$9) + CHOOSE(CONTROL!$C$27, 0.0021, 0)</f>
        <v>175.56740000000002</v>
      </c>
      <c r="K954" s="14">
        <f>175.5653 * CHOOSE(CONTROL!$C$9, $D$9, 100%, $F$9) + CHOOSE(CONTROL!$C$27, 0.0021, 0)</f>
        <v>175.56740000000002</v>
      </c>
      <c r="L954" s="14"/>
    </row>
    <row r="955" spans="1:12" ht="15.75" x14ac:dyDescent="0.25">
      <c r="A955" s="32">
        <v>70006</v>
      </c>
      <c r="B955" s="14">
        <f>171.9538 * CHOOSE(CONTROL!$C$9, $D$9, 100%, $F$9) + CHOOSE(CONTROL!$C$27, 0.0021, 0)</f>
        <v>171.95590000000001</v>
      </c>
      <c r="C955" s="14">
        <f>171.5215 * CHOOSE(CONTROL!$C$9, $D$9, 100%, $F$9) + CHOOSE(CONTROL!$C$27, 0.0021, 0)</f>
        <v>171.52360000000002</v>
      </c>
      <c r="D955" s="14">
        <f>171.5215 * CHOOSE(CONTROL!$C$9, $D$9, 100%, $F$9) + CHOOSE(CONTROL!$C$27, 0.0021, 0)</f>
        <v>171.52360000000002</v>
      </c>
      <c r="E955" s="14">
        <f>171.3849 * CHOOSE(CONTROL!$C$9, $D$9, 100%, $F$9) + CHOOSE(CONTROL!$C$27, 0.0021, 0)</f>
        <v>171.387</v>
      </c>
      <c r="F955" s="14">
        <f>171.3849 * CHOOSE(CONTROL!$C$9, $D$9, 100%, $F$9) + CHOOSE(CONTROL!$C$27, 0.0021, 0)</f>
        <v>171.387</v>
      </c>
      <c r="G955" s="14">
        <f>171.6563 * CHOOSE(CONTROL!$C$9, $D$9, 100%, $F$9) + CHOOSE(CONTROL!$C$27, 0.0021, 0)</f>
        <v>171.6584</v>
      </c>
      <c r="H955" s="14">
        <f>171.5215 * CHOOSE(CONTROL!$C$9, $D$9, 100%, $F$9) + CHOOSE(CONTROL!$C$27, 0.0021, 0)</f>
        <v>171.52360000000002</v>
      </c>
      <c r="I955" s="14">
        <f>171.5215 * CHOOSE(CONTROL!$C$9, $D$9, 100%, $F$9) + CHOOSE(CONTROL!$C$27, 0.0021, 0)</f>
        <v>171.52360000000002</v>
      </c>
      <c r="J955" s="14">
        <f>171.5215 * CHOOSE(CONTROL!$C$9, $D$9, 100%, $F$9) + CHOOSE(CONTROL!$C$27, 0.0021, 0)</f>
        <v>171.52360000000002</v>
      </c>
      <c r="K955" s="14">
        <f>171.5215 * CHOOSE(CONTROL!$C$9, $D$9, 100%, $F$9) + CHOOSE(CONTROL!$C$27, 0.0021, 0)</f>
        <v>171.52360000000002</v>
      </c>
      <c r="L955" s="14"/>
    </row>
    <row r="956" spans="1:12" ht="15.75" x14ac:dyDescent="0.25">
      <c r="A956" s="32">
        <v>70036</v>
      </c>
      <c r="B956" s="14">
        <f>166.3145 * CHOOSE(CONTROL!$C$9, $D$9, 100%, $F$9) + CHOOSE(CONTROL!$C$27, 0.0021, 0)</f>
        <v>166.31660000000002</v>
      </c>
      <c r="C956" s="14">
        <f>165.8823 * CHOOSE(CONTROL!$C$9, $D$9, 100%, $F$9) + CHOOSE(CONTROL!$C$27, 0.0021, 0)</f>
        <v>165.8844</v>
      </c>
      <c r="D956" s="14">
        <f>165.8823 * CHOOSE(CONTROL!$C$9, $D$9, 100%, $F$9) + CHOOSE(CONTROL!$C$27, 0.0021, 0)</f>
        <v>165.8844</v>
      </c>
      <c r="E956" s="14">
        <f>165.7456 * CHOOSE(CONTROL!$C$9, $D$9, 100%, $F$9) + CHOOSE(CONTROL!$C$27, 0.0021, 0)</f>
        <v>165.74770000000001</v>
      </c>
      <c r="F956" s="14">
        <f>165.7456 * CHOOSE(CONTROL!$C$9, $D$9, 100%, $F$9) + CHOOSE(CONTROL!$C$27, 0.0021, 0)</f>
        <v>165.74770000000001</v>
      </c>
      <c r="G956" s="14">
        <f>166.017 * CHOOSE(CONTROL!$C$9, $D$9, 100%, $F$9) + CHOOSE(CONTROL!$C$27, 0.0021, 0)</f>
        <v>166.01910000000001</v>
      </c>
      <c r="H956" s="14">
        <f>165.8823 * CHOOSE(CONTROL!$C$9, $D$9, 100%, $F$9) + CHOOSE(CONTROL!$C$27, 0.0021, 0)</f>
        <v>165.8844</v>
      </c>
      <c r="I956" s="14">
        <f>165.8823 * CHOOSE(CONTROL!$C$9, $D$9, 100%, $F$9) + CHOOSE(CONTROL!$C$27, 0.0021, 0)</f>
        <v>165.8844</v>
      </c>
      <c r="J956" s="14">
        <f>165.8823 * CHOOSE(CONTROL!$C$9, $D$9, 100%, $F$9) + CHOOSE(CONTROL!$C$27, 0.0021, 0)</f>
        <v>165.8844</v>
      </c>
      <c r="K956" s="14">
        <f>165.8823 * CHOOSE(CONTROL!$C$9, $D$9, 100%, $F$9) + CHOOSE(CONTROL!$C$27, 0.0021, 0)</f>
        <v>165.8844</v>
      </c>
      <c r="L956" s="14"/>
    </row>
    <row r="957" spans="1:12" ht="15.75" x14ac:dyDescent="0.25">
      <c r="A957" s="32">
        <v>70067</v>
      </c>
      <c r="B957" s="14">
        <f>160.6425 * CHOOSE(CONTROL!$C$9, $D$9, 100%, $F$9) + CHOOSE(CONTROL!$C$27, 0.0021, 0)</f>
        <v>160.64460000000003</v>
      </c>
      <c r="C957" s="14">
        <f>160.2102 * CHOOSE(CONTROL!$C$9, $D$9, 100%, $F$9) + CHOOSE(CONTROL!$C$27, 0.0021, 0)</f>
        <v>160.2123</v>
      </c>
      <c r="D957" s="14">
        <f>160.2102 * CHOOSE(CONTROL!$C$9, $D$9, 100%, $F$9) + CHOOSE(CONTROL!$C$27, 0.0021, 0)</f>
        <v>160.2123</v>
      </c>
      <c r="E957" s="14">
        <f>160.0736 * CHOOSE(CONTROL!$C$9, $D$9, 100%, $F$9) + CHOOSE(CONTROL!$C$27, 0.0021, 0)</f>
        <v>160.07570000000001</v>
      </c>
      <c r="F957" s="14">
        <f>160.0736 * CHOOSE(CONTROL!$C$9, $D$9, 100%, $F$9) + CHOOSE(CONTROL!$C$27, 0.0021, 0)</f>
        <v>160.07570000000001</v>
      </c>
      <c r="G957" s="14">
        <f>160.345 * CHOOSE(CONTROL!$C$9, $D$9, 100%, $F$9) + CHOOSE(CONTROL!$C$27, 0.0021, 0)</f>
        <v>160.34710000000001</v>
      </c>
      <c r="H957" s="14">
        <f>160.2102 * CHOOSE(CONTROL!$C$9, $D$9, 100%, $F$9) + CHOOSE(CONTROL!$C$27, 0.0021, 0)</f>
        <v>160.2123</v>
      </c>
      <c r="I957" s="14">
        <f>160.2102 * CHOOSE(CONTROL!$C$9, $D$9, 100%, $F$9) + CHOOSE(CONTROL!$C$27, 0.0021, 0)</f>
        <v>160.2123</v>
      </c>
      <c r="J957" s="14">
        <f>160.2102 * CHOOSE(CONTROL!$C$9, $D$9, 100%, $F$9) + CHOOSE(CONTROL!$C$27, 0.0021, 0)</f>
        <v>160.2123</v>
      </c>
      <c r="K957" s="14">
        <f>160.2102 * CHOOSE(CONTROL!$C$9, $D$9, 100%, $F$9) + CHOOSE(CONTROL!$C$27, 0.0021, 0)</f>
        <v>160.2123</v>
      </c>
      <c r="L957" s="14"/>
    </row>
    <row r="958" spans="1:12" ht="15.75" x14ac:dyDescent="0.25">
      <c r="A958" s="32">
        <v>70097</v>
      </c>
      <c r="B958" s="14">
        <f>159.5142 * CHOOSE(CONTROL!$C$9, $D$9, 100%, $F$9) + CHOOSE(CONTROL!$C$27, 0.0021, 0)</f>
        <v>159.5163</v>
      </c>
      <c r="C958" s="14">
        <f>159.082 * CHOOSE(CONTROL!$C$9, $D$9, 100%, $F$9) + CHOOSE(CONTROL!$C$27, 0.0021, 0)</f>
        <v>159.08410000000001</v>
      </c>
      <c r="D958" s="14">
        <f>159.082 * CHOOSE(CONTROL!$C$9, $D$9, 100%, $F$9) + CHOOSE(CONTROL!$C$27, 0.0021, 0)</f>
        <v>159.08410000000001</v>
      </c>
      <c r="E958" s="14">
        <f>158.9453 * CHOOSE(CONTROL!$C$9, $D$9, 100%, $F$9) + CHOOSE(CONTROL!$C$27, 0.0021, 0)</f>
        <v>158.94740000000002</v>
      </c>
      <c r="F958" s="14">
        <f>158.9453 * CHOOSE(CONTROL!$C$9, $D$9, 100%, $F$9) + CHOOSE(CONTROL!$C$27, 0.0021, 0)</f>
        <v>158.94740000000002</v>
      </c>
      <c r="G958" s="14">
        <f>159.2167 * CHOOSE(CONTROL!$C$9, $D$9, 100%, $F$9) + CHOOSE(CONTROL!$C$27, 0.0021, 0)</f>
        <v>159.21880000000002</v>
      </c>
      <c r="H958" s="14">
        <f>159.082 * CHOOSE(CONTROL!$C$9, $D$9, 100%, $F$9) + CHOOSE(CONTROL!$C$27, 0.0021, 0)</f>
        <v>159.08410000000001</v>
      </c>
      <c r="I958" s="14">
        <f>159.082 * CHOOSE(CONTROL!$C$9, $D$9, 100%, $F$9) + CHOOSE(CONTROL!$C$27, 0.0021, 0)</f>
        <v>159.08410000000001</v>
      </c>
      <c r="J958" s="14">
        <f>159.082 * CHOOSE(CONTROL!$C$9, $D$9, 100%, $F$9) + CHOOSE(CONTROL!$C$27, 0.0021, 0)</f>
        <v>159.08410000000001</v>
      </c>
      <c r="K958" s="14">
        <f>159.082 * CHOOSE(CONTROL!$C$9, $D$9, 100%, $F$9) + CHOOSE(CONTROL!$C$27, 0.0021, 0)</f>
        <v>159.08410000000001</v>
      </c>
      <c r="L958" s="14"/>
    </row>
    <row r="959" spans="1:12" ht="15.75" x14ac:dyDescent="0.25">
      <c r="A959" s="32">
        <v>70128</v>
      </c>
      <c r="B959" s="14">
        <f>154.8486 * CHOOSE(CONTROL!$C$9, $D$9, 100%, $F$9) + CHOOSE(CONTROL!$C$27, 0.0021, 0)</f>
        <v>154.85070000000002</v>
      </c>
      <c r="C959" s="14">
        <f>154.4164 * CHOOSE(CONTROL!$C$9, $D$9, 100%, $F$9) + CHOOSE(CONTROL!$C$27, 0.0021, 0)</f>
        <v>154.41850000000002</v>
      </c>
      <c r="D959" s="14">
        <f>154.4164 * CHOOSE(CONTROL!$C$9, $D$9, 100%, $F$9) + CHOOSE(CONTROL!$C$27, 0.0021, 0)</f>
        <v>154.41850000000002</v>
      </c>
      <c r="E959" s="14">
        <f>154.2797 * CHOOSE(CONTROL!$C$9, $D$9, 100%, $F$9) + CHOOSE(CONTROL!$C$27, 0.0021, 0)</f>
        <v>154.2818</v>
      </c>
      <c r="F959" s="14">
        <f>154.2797 * CHOOSE(CONTROL!$C$9, $D$9, 100%, $F$9) + CHOOSE(CONTROL!$C$27, 0.0021, 0)</f>
        <v>154.2818</v>
      </c>
      <c r="G959" s="14">
        <f>154.5511 * CHOOSE(CONTROL!$C$9, $D$9, 100%, $F$9) + CHOOSE(CONTROL!$C$27, 0.0021, 0)</f>
        <v>154.5532</v>
      </c>
      <c r="H959" s="14">
        <f>154.4164 * CHOOSE(CONTROL!$C$9, $D$9, 100%, $F$9) + CHOOSE(CONTROL!$C$27, 0.0021, 0)</f>
        <v>154.41850000000002</v>
      </c>
      <c r="I959" s="14">
        <f>154.4164 * CHOOSE(CONTROL!$C$9, $D$9, 100%, $F$9) + CHOOSE(CONTROL!$C$27, 0.0021, 0)</f>
        <v>154.41850000000002</v>
      </c>
      <c r="J959" s="14">
        <f>154.4164 * CHOOSE(CONTROL!$C$9, $D$9, 100%, $F$9) + CHOOSE(CONTROL!$C$27, 0.0021, 0)</f>
        <v>154.41850000000002</v>
      </c>
      <c r="K959" s="14">
        <f>154.4164 * CHOOSE(CONTROL!$C$9, $D$9, 100%, $F$9) + CHOOSE(CONTROL!$C$27, 0.0021, 0)</f>
        <v>154.41850000000002</v>
      </c>
      <c r="L959" s="14"/>
    </row>
    <row r="960" spans="1:12" ht="15.75" x14ac:dyDescent="0.25">
      <c r="A960" s="32">
        <v>70159</v>
      </c>
      <c r="B960" s="14">
        <f>153.9403 * CHOOSE(CONTROL!$C$9, $D$9, 100%, $F$9) + CHOOSE(CONTROL!$C$27, 0.0021, 0)</f>
        <v>153.94240000000002</v>
      </c>
      <c r="C960" s="14">
        <f>153.508 * CHOOSE(CONTROL!$C$9, $D$9, 100%, $F$9) + CHOOSE(CONTROL!$C$27, 0.0021, 0)</f>
        <v>153.51010000000002</v>
      </c>
      <c r="D960" s="14">
        <f>153.508 * CHOOSE(CONTROL!$C$9, $D$9, 100%, $F$9) + CHOOSE(CONTROL!$C$27, 0.0021, 0)</f>
        <v>153.51010000000002</v>
      </c>
      <c r="E960" s="14">
        <f>153.3714 * CHOOSE(CONTROL!$C$9, $D$9, 100%, $F$9) + CHOOSE(CONTROL!$C$27, 0.0021, 0)</f>
        <v>153.37350000000001</v>
      </c>
      <c r="F960" s="14">
        <f>153.3714 * CHOOSE(CONTROL!$C$9, $D$9, 100%, $F$9) + CHOOSE(CONTROL!$C$27, 0.0021, 0)</f>
        <v>153.37350000000001</v>
      </c>
      <c r="G960" s="14">
        <f>153.6428 * CHOOSE(CONTROL!$C$9, $D$9, 100%, $F$9) + CHOOSE(CONTROL!$C$27, 0.0021, 0)</f>
        <v>153.64490000000001</v>
      </c>
      <c r="H960" s="14">
        <f>153.508 * CHOOSE(CONTROL!$C$9, $D$9, 100%, $F$9) + CHOOSE(CONTROL!$C$27, 0.0021, 0)</f>
        <v>153.51010000000002</v>
      </c>
      <c r="I960" s="14">
        <f>153.508 * CHOOSE(CONTROL!$C$9, $D$9, 100%, $F$9) + CHOOSE(CONTROL!$C$27, 0.0021, 0)</f>
        <v>153.51010000000002</v>
      </c>
      <c r="J960" s="14">
        <f>153.508 * CHOOSE(CONTROL!$C$9, $D$9, 100%, $F$9) + CHOOSE(CONTROL!$C$27, 0.0021, 0)</f>
        <v>153.51010000000002</v>
      </c>
      <c r="K960" s="14">
        <f>153.508 * CHOOSE(CONTROL!$C$9, $D$9, 100%, $F$9) + CHOOSE(CONTROL!$C$27, 0.0021, 0)</f>
        <v>153.51010000000002</v>
      </c>
      <c r="L960" s="14"/>
    </row>
    <row r="961" spans="1:12" ht="15.75" x14ac:dyDescent="0.25">
      <c r="A961" s="32">
        <v>70188</v>
      </c>
      <c r="B961" s="14">
        <f>153.5188 * CHOOSE(CONTROL!$C$9, $D$9, 100%, $F$9) + CHOOSE(CONTROL!$C$27, 0.0021, 0)</f>
        <v>153.52090000000001</v>
      </c>
      <c r="C961" s="14">
        <f>153.0865 * CHOOSE(CONTROL!$C$9, $D$9, 100%, $F$9) + CHOOSE(CONTROL!$C$27, 0.0021, 0)</f>
        <v>153.08860000000001</v>
      </c>
      <c r="D961" s="14">
        <f>153.0865 * CHOOSE(CONTROL!$C$9, $D$9, 100%, $F$9) + CHOOSE(CONTROL!$C$27, 0.0021, 0)</f>
        <v>153.08860000000001</v>
      </c>
      <c r="E961" s="14">
        <f>152.9499 * CHOOSE(CONTROL!$C$9, $D$9, 100%, $F$9) + CHOOSE(CONTROL!$C$27, 0.0021, 0)</f>
        <v>152.95200000000003</v>
      </c>
      <c r="F961" s="14">
        <f>152.9499 * CHOOSE(CONTROL!$C$9, $D$9, 100%, $F$9) + CHOOSE(CONTROL!$C$27, 0.0021, 0)</f>
        <v>152.95200000000003</v>
      </c>
      <c r="G961" s="14">
        <f>153.2212 * CHOOSE(CONTROL!$C$9, $D$9, 100%, $F$9) + CHOOSE(CONTROL!$C$27, 0.0021, 0)</f>
        <v>153.22330000000002</v>
      </c>
      <c r="H961" s="14">
        <f>153.0865 * CHOOSE(CONTROL!$C$9, $D$9, 100%, $F$9) + CHOOSE(CONTROL!$C$27, 0.0021, 0)</f>
        <v>153.08860000000001</v>
      </c>
      <c r="I961" s="14">
        <f>153.0865 * CHOOSE(CONTROL!$C$9, $D$9, 100%, $F$9) + CHOOSE(CONTROL!$C$27, 0.0021, 0)</f>
        <v>153.08860000000001</v>
      </c>
      <c r="J961" s="14">
        <f>153.0865 * CHOOSE(CONTROL!$C$9, $D$9, 100%, $F$9) + CHOOSE(CONTROL!$C$27, 0.0021, 0)</f>
        <v>153.08860000000001</v>
      </c>
      <c r="K961" s="14">
        <f>153.0865 * CHOOSE(CONTROL!$C$9, $D$9, 100%, $F$9) + CHOOSE(CONTROL!$C$27, 0.0021, 0)</f>
        <v>153.08860000000001</v>
      </c>
      <c r="L961" s="14"/>
    </row>
    <row r="962" spans="1:12" ht="15.75" x14ac:dyDescent="0.25">
      <c r="A962" s="32">
        <v>70219</v>
      </c>
      <c r="B962" s="14">
        <f>161.4893 * CHOOSE(CONTROL!$C$9, $D$9, 100%, $F$9) + CHOOSE(CONTROL!$C$27, 0.0021, 0)</f>
        <v>161.4914</v>
      </c>
      <c r="C962" s="14">
        <f>161.057 * CHOOSE(CONTROL!$C$9, $D$9, 100%, $F$9) + CHOOSE(CONTROL!$C$27, 0.0021, 0)</f>
        <v>161.0591</v>
      </c>
      <c r="D962" s="14">
        <f>161.057 * CHOOSE(CONTROL!$C$9, $D$9, 100%, $F$9) + CHOOSE(CONTROL!$C$27, 0.0021, 0)</f>
        <v>161.0591</v>
      </c>
      <c r="E962" s="14">
        <f>160.9204 * CHOOSE(CONTROL!$C$9, $D$9, 100%, $F$9) + CHOOSE(CONTROL!$C$27, 0.0021, 0)</f>
        <v>160.92250000000001</v>
      </c>
      <c r="F962" s="14">
        <f>160.9204 * CHOOSE(CONTROL!$C$9, $D$9, 100%, $F$9) + CHOOSE(CONTROL!$C$27, 0.0021, 0)</f>
        <v>160.92250000000001</v>
      </c>
      <c r="G962" s="14">
        <f>161.1917 * CHOOSE(CONTROL!$C$9, $D$9, 100%, $F$9) + CHOOSE(CONTROL!$C$27, 0.0021, 0)</f>
        <v>161.19380000000001</v>
      </c>
      <c r="H962" s="14">
        <f>161.057 * CHOOSE(CONTROL!$C$9, $D$9, 100%, $F$9) + CHOOSE(CONTROL!$C$27, 0.0021, 0)</f>
        <v>161.0591</v>
      </c>
      <c r="I962" s="14">
        <f>161.057 * CHOOSE(CONTROL!$C$9, $D$9, 100%, $F$9) + CHOOSE(CONTROL!$C$27, 0.0021, 0)</f>
        <v>161.0591</v>
      </c>
      <c r="J962" s="14">
        <f>161.057 * CHOOSE(CONTROL!$C$9, $D$9, 100%, $F$9) + CHOOSE(CONTROL!$C$27, 0.0021, 0)</f>
        <v>161.0591</v>
      </c>
      <c r="K962" s="14">
        <f>161.057 * CHOOSE(CONTROL!$C$9, $D$9, 100%, $F$9) + CHOOSE(CONTROL!$C$27, 0.0021, 0)</f>
        <v>161.0591</v>
      </c>
      <c r="L962" s="14"/>
    </row>
    <row r="963" spans="1:12" ht="15.75" x14ac:dyDescent="0.25">
      <c r="A963" s="32">
        <v>70249</v>
      </c>
      <c r="B963" s="14">
        <f>171.8251 * CHOOSE(CONTROL!$C$9, $D$9, 100%, $F$9) + CHOOSE(CONTROL!$C$27, 0.0021, 0)</f>
        <v>171.8272</v>
      </c>
      <c r="C963" s="14">
        <f>171.3929 * CHOOSE(CONTROL!$C$9, $D$9, 100%, $F$9) + CHOOSE(CONTROL!$C$27, 0.0021, 0)</f>
        <v>171.39500000000001</v>
      </c>
      <c r="D963" s="14">
        <f>171.3929 * CHOOSE(CONTROL!$C$9, $D$9, 100%, $F$9) + CHOOSE(CONTROL!$C$27, 0.0021, 0)</f>
        <v>171.39500000000001</v>
      </c>
      <c r="E963" s="14">
        <f>171.2562 * CHOOSE(CONTROL!$C$9, $D$9, 100%, $F$9) + CHOOSE(CONTROL!$C$27, 0.0021, 0)</f>
        <v>171.25830000000002</v>
      </c>
      <c r="F963" s="14">
        <f>171.2562 * CHOOSE(CONTROL!$C$9, $D$9, 100%, $F$9) + CHOOSE(CONTROL!$C$27, 0.0021, 0)</f>
        <v>171.25830000000002</v>
      </c>
      <c r="G963" s="14">
        <f>171.5276 * CHOOSE(CONTROL!$C$9, $D$9, 100%, $F$9) + CHOOSE(CONTROL!$C$27, 0.0021, 0)</f>
        <v>171.52970000000002</v>
      </c>
      <c r="H963" s="14">
        <f>171.3929 * CHOOSE(CONTROL!$C$9, $D$9, 100%, $F$9) + CHOOSE(CONTROL!$C$27, 0.0021, 0)</f>
        <v>171.39500000000001</v>
      </c>
      <c r="I963" s="14">
        <f>171.3929 * CHOOSE(CONTROL!$C$9, $D$9, 100%, $F$9) + CHOOSE(CONTROL!$C$27, 0.0021, 0)</f>
        <v>171.39500000000001</v>
      </c>
      <c r="J963" s="14">
        <f>171.3929 * CHOOSE(CONTROL!$C$9, $D$9, 100%, $F$9) + CHOOSE(CONTROL!$C$27, 0.0021, 0)</f>
        <v>171.39500000000001</v>
      </c>
      <c r="K963" s="14">
        <f>171.3929 * CHOOSE(CONTROL!$C$9, $D$9, 100%, $F$9) + CHOOSE(CONTROL!$C$27, 0.0021, 0)</f>
        <v>171.39500000000001</v>
      </c>
      <c r="L963" s="14"/>
    </row>
    <row r="964" spans="1:12" ht="15.75" x14ac:dyDescent="0.25">
      <c r="A964" s="32">
        <v>70280</v>
      </c>
      <c r="B964" s="14">
        <f>177.5143 * CHOOSE(CONTROL!$C$9, $D$9, 100%, $F$9) + CHOOSE(CONTROL!$C$27, 0.0021, 0)</f>
        <v>177.5164</v>
      </c>
      <c r="C964" s="14">
        <f>177.082 * CHOOSE(CONTROL!$C$9, $D$9, 100%, $F$9) + CHOOSE(CONTROL!$C$27, 0.0021, 0)</f>
        <v>177.08410000000001</v>
      </c>
      <c r="D964" s="14">
        <f>177.082 * CHOOSE(CONTROL!$C$9, $D$9, 100%, $F$9) + CHOOSE(CONTROL!$C$27, 0.0021, 0)</f>
        <v>177.08410000000001</v>
      </c>
      <c r="E964" s="14">
        <f>176.9454 * CHOOSE(CONTROL!$C$9, $D$9, 100%, $F$9) + CHOOSE(CONTROL!$C$27, 0.0021, 0)</f>
        <v>176.94750000000002</v>
      </c>
      <c r="F964" s="14">
        <f>176.9454 * CHOOSE(CONTROL!$C$9, $D$9, 100%, $F$9) + CHOOSE(CONTROL!$C$27, 0.0021, 0)</f>
        <v>176.94750000000002</v>
      </c>
      <c r="G964" s="14">
        <f>177.2168 * CHOOSE(CONTROL!$C$9, $D$9, 100%, $F$9) + CHOOSE(CONTROL!$C$27, 0.0021, 0)</f>
        <v>177.21890000000002</v>
      </c>
      <c r="H964" s="14">
        <f>177.082 * CHOOSE(CONTROL!$C$9, $D$9, 100%, $F$9) + CHOOSE(CONTROL!$C$27, 0.0021, 0)</f>
        <v>177.08410000000001</v>
      </c>
      <c r="I964" s="14">
        <f>177.082 * CHOOSE(CONTROL!$C$9, $D$9, 100%, $F$9) + CHOOSE(CONTROL!$C$27, 0.0021, 0)</f>
        <v>177.08410000000001</v>
      </c>
      <c r="J964" s="14">
        <f>177.082 * CHOOSE(CONTROL!$C$9, $D$9, 100%, $F$9) + CHOOSE(CONTROL!$C$27, 0.0021, 0)</f>
        <v>177.08410000000001</v>
      </c>
      <c r="K964" s="14">
        <f>177.082 * CHOOSE(CONTROL!$C$9, $D$9, 100%, $F$9) + CHOOSE(CONTROL!$C$27, 0.0021, 0)</f>
        <v>177.08410000000001</v>
      </c>
      <c r="L964" s="14"/>
    </row>
    <row r="965" spans="1:12" ht="15.75" x14ac:dyDescent="0.25">
      <c r="A965" s="32">
        <v>70310</v>
      </c>
      <c r="B965" s="14">
        <f>180.0391 * CHOOSE(CONTROL!$C$9, $D$9, 100%, $F$9) + CHOOSE(CONTROL!$C$27, 0.0021, 0)</f>
        <v>180.0412</v>
      </c>
      <c r="C965" s="14">
        <f>179.6068 * CHOOSE(CONTROL!$C$9, $D$9, 100%, $F$9) + CHOOSE(CONTROL!$C$27, 0.0021, 0)</f>
        <v>179.60890000000001</v>
      </c>
      <c r="D965" s="14">
        <f>179.6068 * CHOOSE(CONTROL!$C$9, $D$9, 100%, $F$9) + CHOOSE(CONTROL!$C$27, 0.0021, 0)</f>
        <v>179.60890000000001</v>
      </c>
      <c r="E965" s="14">
        <f>179.4701 * CHOOSE(CONTROL!$C$9, $D$9, 100%, $F$9) + CHOOSE(CONTROL!$C$27, 0.0021, 0)</f>
        <v>179.47220000000002</v>
      </c>
      <c r="F965" s="14">
        <f>179.4701 * CHOOSE(CONTROL!$C$9, $D$9, 100%, $F$9) + CHOOSE(CONTROL!$C$27, 0.0021, 0)</f>
        <v>179.47220000000002</v>
      </c>
      <c r="G965" s="14">
        <f>179.7415 * CHOOSE(CONTROL!$C$9, $D$9, 100%, $F$9) + CHOOSE(CONTROL!$C$27, 0.0021, 0)</f>
        <v>179.74360000000001</v>
      </c>
      <c r="H965" s="14">
        <f>179.6068 * CHOOSE(CONTROL!$C$9, $D$9, 100%, $F$9) + CHOOSE(CONTROL!$C$27, 0.0021, 0)</f>
        <v>179.60890000000001</v>
      </c>
      <c r="I965" s="14">
        <f>179.6068 * CHOOSE(CONTROL!$C$9, $D$9, 100%, $F$9) + CHOOSE(CONTROL!$C$27, 0.0021, 0)</f>
        <v>179.60890000000001</v>
      </c>
      <c r="J965" s="14">
        <f>179.6068 * CHOOSE(CONTROL!$C$9, $D$9, 100%, $F$9) + CHOOSE(CONTROL!$C$27, 0.0021, 0)</f>
        <v>179.60890000000001</v>
      </c>
      <c r="K965" s="14">
        <f>179.6068 * CHOOSE(CONTROL!$C$9, $D$9, 100%, $F$9) + CHOOSE(CONTROL!$C$27, 0.0021, 0)</f>
        <v>179.60890000000001</v>
      </c>
      <c r="L965" s="14"/>
    </row>
    <row r="966" spans="1:12" ht="15.75" x14ac:dyDescent="0.25">
      <c r="A966" s="32">
        <v>70341</v>
      </c>
      <c r="B966" s="14">
        <f>179.2078 * CHOOSE(CONTROL!$C$9, $D$9, 100%, $F$9) + CHOOSE(CONTROL!$C$27, 0.0021, 0)</f>
        <v>179.2099</v>
      </c>
      <c r="C966" s="14">
        <f>178.7755 * CHOOSE(CONTROL!$C$9, $D$9, 100%, $F$9) + CHOOSE(CONTROL!$C$27, 0.0021, 0)</f>
        <v>178.77760000000001</v>
      </c>
      <c r="D966" s="14">
        <f>178.7755 * CHOOSE(CONTROL!$C$9, $D$9, 100%, $F$9) + CHOOSE(CONTROL!$C$27, 0.0021, 0)</f>
        <v>178.77760000000001</v>
      </c>
      <c r="E966" s="14">
        <f>178.6389 * CHOOSE(CONTROL!$C$9, $D$9, 100%, $F$9) + CHOOSE(CONTROL!$C$27, 0.0021, 0)</f>
        <v>178.64100000000002</v>
      </c>
      <c r="F966" s="14">
        <f>178.6389 * CHOOSE(CONTROL!$C$9, $D$9, 100%, $F$9) + CHOOSE(CONTROL!$C$27, 0.0021, 0)</f>
        <v>178.64100000000002</v>
      </c>
      <c r="G966" s="14">
        <f>178.9103 * CHOOSE(CONTROL!$C$9, $D$9, 100%, $F$9) + CHOOSE(CONTROL!$C$27, 0.0021, 0)</f>
        <v>178.91240000000002</v>
      </c>
      <c r="H966" s="14">
        <f>178.7755 * CHOOSE(CONTROL!$C$9, $D$9, 100%, $F$9) + CHOOSE(CONTROL!$C$27, 0.0021, 0)</f>
        <v>178.77760000000001</v>
      </c>
      <c r="I966" s="14">
        <f>178.7755 * CHOOSE(CONTROL!$C$9, $D$9, 100%, $F$9) + CHOOSE(CONTROL!$C$27, 0.0021, 0)</f>
        <v>178.77760000000001</v>
      </c>
      <c r="J966" s="14">
        <f>178.7755 * CHOOSE(CONTROL!$C$9, $D$9, 100%, $F$9) + CHOOSE(CONTROL!$C$27, 0.0021, 0)</f>
        <v>178.77760000000001</v>
      </c>
      <c r="K966" s="14">
        <f>178.7755 * CHOOSE(CONTROL!$C$9, $D$9, 100%, $F$9) + CHOOSE(CONTROL!$C$27, 0.0021, 0)</f>
        <v>178.77760000000001</v>
      </c>
      <c r="L966" s="14"/>
    </row>
    <row r="967" spans="1:12" ht="15.75" x14ac:dyDescent="0.25">
      <c r="A967" s="32">
        <v>70372</v>
      </c>
      <c r="B967" s="14">
        <f>175.0893 * CHOOSE(CONTROL!$C$9, $D$9, 100%, $F$9) + CHOOSE(CONTROL!$C$27, 0.0021, 0)</f>
        <v>175.09140000000002</v>
      </c>
      <c r="C967" s="14">
        <f>174.657 * CHOOSE(CONTROL!$C$9, $D$9, 100%, $F$9) + CHOOSE(CONTROL!$C$27, 0.0021, 0)</f>
        <v>174.65910000000002</v>
      </c>
      <c r="D967" s="14">
        <f>174.657 * CHOOSE(CONTROL!$C$9, $D$9, 100%, $F$9) + CHOOSE(CONTROL!$C$27, 0.0021, 0)</f>
        <v>174.65910000000002</v>
      </c>
      <c r="E967" s="14">
        <f>174.5204 * CHOOSE(CONTROL!$C$9, $D$9, 100%, $F$9) + CHOOSE(CONTROL!$C$27, 0.0021, 0)</f>
        <v>174.52250000000001</v>
      </c>
      <c r="F967" s="14">
        <f>174.5204 * CHOOSE(CONTROL!$C$9, $D$9, 100%, $F$9) + CHOOSE(CONTROL!$C$27, 0.0021, 0)</f>
        <v>174.52250000000001</v>
      </c>
      <c r="G967" s="14">
        <f>174.7917 * CHOOSE(CONTROL!$C$9, $D$9, 100%, $F$9) + CHOOSE(CONTROL!$C$27, 0.0021, 0)</f>
        <v>174.7938</v>
      </c>
      <c r="H967" s="14">
        <f>174.657 * CHOOSE(CONTROL!$C$9, $D$9, 100%, $F$9) + CHOOSE(CONTROL!$C$27, 0.0021, 0)</f>
        <v>174.65910000000002</v>
      </c>
      <c r="I967" s="14">
        <f>174.657 * CHOOSE(CONTROL!$C$9, $D$9, 100%, $F$9) + CHOOSE(CONTROL!$C$27, 0.0021, 0)</f>
        <v>174.65910000000002</v>
      </c>
      <c r="J967" s="14">
        <f>174.657 * CHOOSE(CONTROL!$C$9, $D$9, 100%, $F$9) + CHOOSE(CONTROL!$C$27, 0.0021, 0)</f>
        <v>174.65910000000002</v>
      </c>
      <c r="K967" s="14">
        <f>174.657 * CHOOSE(CONTROL!$C$9, $D$9, 100%, $F$9) + CHOOSE(CONTROL!$C$27, 0.0021, 0)</f>
        <v>174.65910000000002</v>
      </c>
      <c r="L967" s="14"/>
    </row>
    <row r="968" spans="1:12" ht="15.75" x14ac:dyDescent="0.25">
      <c r="A968" s="32">
        <v>70402</v>
      </c>
      <c r="B968" s="14">
        <f>169.3458 * CHOOSE(CONTROL!$C$9, $D$9, 100%, $F$9) + CHOOSE(CONTROL!$C$27, 0.0021, 0)</f>
        <v>169.34790000000001</v>
      </c>
      <c r="C968" s="14">
        <f>168.9135 * CHOOSE(CONTROL!$C$9, $D$9, 100%, $F$9) + CHOOSE(CONTROL!$C$27, 0.0021, 0)</f>
        <v>168.91560000000001</v>
      </c>
      <c r="D968" s="14">
        <f>168.9135 * CHOOSE(CONTROL!$C$9, $D$9, 100%, $F$9) + CHOOSE(CONTROL!$C$27, 0.0021, 0)</f>
        <v>168.91560000000001</v>
      </c>
      <c r="E968" s="14">
        <f>168.7769 * CHOOSE(CONTROL!$C$9, $D$9, 100%, $F$9) + CHOOSE(CONTROL!$C$27, 0.0021, 0)</f>
        <v>168.77900000000002</v>
      </c>
      <c r="F968" s="14">
        <f>168.7769 * CHOOSE(CONTROL!$C$9, $D$9, 100%, $F$9) + CHOOSE(CONTROL!$C$27, 0.0021, 0)</f>
        <v>168.77900000000002</v>
      </c>
      <c r="G968" s="14">
        <f>169.0483 * CHOOSE(CONTROL!$C$9, $D$9, 100%, $F$9) + CHOOSE(CONTROL!$C$27, 0.0021, 0)</f>
        <v>169.05040000000002</v>
      </c>
      <c r="H968" s="14">
        <f>168.9135 * CHOOSE(CONTROL!$C$9, $D$9, 100%, $F$9) + CHOOSE(CONTROL!$C$27, 0.0021, 0)</f>
        <v>168.91560000000001</v>
      </c>
      <c r="I968" s="14">
        <f>168.9135 * CHOOSE(CONTROL!$C$9, $D$9, 100%, $F$9) + CHOOSE(CONTROL!$C$27, 0.0021, 0)</f>
        <v>168.91560000000001</v>
      </c>
      <c r="J968" s="14">
        <f>168.9135 * CHOOSE(CONTROL!$C$9, $D$9, 100%, $F$9) + CHOOSE(CONTROL!$C$27, 0.0021, 0)</f>
        <v>168.91560000000001</v>
      </c>
      <c r="K968" s="14">
        <f>168.9135 * CHOOSE(CONTROL!$C$9, $D$9, 100%, $F$9) + CHOOSE(CONTROL!$C$27, 0.0021, 0)</f>
        <v>168.91560000000001</v>
      </c>
      <c r="L968" s="14"/>
    </row>
    <row r="969" spans="1:12" ht="15.75" x14ac:dyDescent="0.25">
      <c r="A969" s="32">
        <v>70433</v>
      </c>
      <c r="B969" s="14">
        <f>163.5689 * CHOOSE(CONTROL!$C$9, $D$9, 100%, $F$9) + CHOOSE(CONTROL!$C$27, 0.0021, 0)</f>
        <v>163.57100000000003</v>
      </c>
      <c r="C969" s="14">
        <f>163.1367 * CHOOSE(CONTROL!$C$9, $D$9, 100%, $F$9) + CHOOSE(CONTROL!$C$27, 0.0021, 0)</f>
        <v>163.1388</v>
      </c>
      <c r="D969" s="14">
        <f>163.1367 * CHOOSE(CONTROL!$C$9, $D$9, 100%, $F$9) + CHOOSE(CONTROL!$C$27, 0.0021, 0)</f>
        <v>163.1388</v>
      </c>
      <c r="E969" s="14">
        <f>163 * CHOOSE(CONTROL!$C$9, $D$9, 100%, $F$9) + CHOOSE(CONTROL!$C$27, 0.0021, 0)</f>
        <v>163.00210000000001</v>
      </c>
      <c r="F969" s="14">
        <f>163 * CHOOSE(CONTROL!$C$9, $D$9, 100%, $F$9) + CHOOSE(CONTROL!$C$27, 0.0021, 0)</f>
        <v>163.00210000000001</v>
      </c>
      <c r="G969" s="14">
        <f>163.2714 * CHOOSE(CONTROL!$C$9, $D$9, 100%, $F$9) + CHOOSE(CONTROL!$C$27, 0.0021, 0)</f>
        <v>163.27350000000001</v>
      </c>
      <c r="H969" s="14">
        <f>163.1367 * CHOOSE(CONTROL!$C$9, $D$9, 100%, $F$9) + CHOOSE(CONTROL!$C$27, 0.0021, 0)</f>
        <v>163.1388</v>
      </c>
      <c r="I969" s="14">
        <f>163.1367 * CHOOSE(CONTROL!$C$9, $D$9, 100%, $F$9) + CHOOSE(CONTROL!$C$27, 0.0021, 0)</f>
        <v>163.1388</v>
      </c>
      <c r="J969" s="14">
        <f>163.1367 * CHOOSE(CONTROL!$C$9, $D$9, 100%, $F$9) + CHOOSE(CONTROL!$C$27, 0.0021, 0)</f>
        <v>163.1388</v>
      </c>
      <c r="K969" s="14">
        <f>163.1367 * CHOOSE(CONTROL!$C$9, $D$9, 100%, $F$9) + CHOOSE(CONTROL!$C$27, 0.0021, 0)</f>
        <v>163.1388</v>
      </c>
      <c r="L969" s="14"/>
    </row>
    <row r="970" spans="1:12" ht="15.75" x14ac:dyDescent="0.25">
      <c r="A970" s="32">
        <v>70463</v>
      </c>
      <c r="B970" s="14">
        <f>162.4198 * CHOOSE(CONTROL!$C$9, $D$9, 100%, $F$9) + CHOOSE(CONTROL!$C$27, 0.0021, 0)</f>
        <v>162.42190000000002</v>
      </c>
      <c r="C970" s="14">
        <f>161.9875 * CHOOSE(CONTROL!$C$9, $D$9, 100%, $F$9) + CHOOSE(CONTROL!$C$27, 0.0021, 0)</f>
        <v>161.98960000000002</v>
      </c>
      <c r="D970" s="14">
        <f>161.9875 * CHOOSE(CONTROL!$C$9, $D$9, 100%, $F$9) + CHOOSE(CONTROL!$C$27, 0.0021, 0)</f>
        <v>161.98960000000002</v>
      </c>
      <c r="E970" s="14">
        <f>161.8509 * CHOOSE(CONTROL!$C$9, $D$9, 100%, $F$9) + CHOOSE(CONTROL!$C$27, 0.0021, 0)</f>
        <v>161.85300000000001</v>
      </c>
      <c r="F970" s="14">
        <f>161.8509 * CHOOSE(CONTROL!$C$9, $D$9, 100%, $F$9) + CHOOSE(CONTROL!$C$27, 0.0021, 0)</f>
        <v>161.85300000000001</v>
      </c>
      <c r="G970" s="14">
        <f>162.1222 * CHOOSE(CONTROL!$C$9, $D$9, 100%, $F$9) + CHOOSE(CONTROL!$C$27, 0.0021, 0)</f>
        <v>162.12430000000001</v>
      </c>
      <c r="H970" s="14">
        <f>161.9875 * CHOOSE(CONTROL!$C$9, $D$9, 100%, $F$9) + CHOOSE(CONTROL!$C$27, 0.0021, 0)</f>
        <v>161.98960000000002</v>
      </c>
      <c r="I970" s="14">
        <f>161.9875 * CHOOSE(CONTROL!$C$9, $D$9, 100%, $F$9) + CHOOSE(CONTROL!$C$27, 0.0021, 0)</f>
        <v>161.98960000000002</v>
      </c>
      <c r="J970" s="14">
        <f>161.9875 * CHOOSE(CONTROL!$C$9, $D$9, 100%, $F$9) + CHOOSE(CONTROL!$C$27, 0.0021, 0)</f>
        <v>161.98960000000002</v>
      </c>
      <c r="K970" s="14">
        <f>161.9875 * CHOOSE(CONTROL!$C$9, $D$9, 100%, $F$9) + CHOOSE(CONTROL!$C$27, 0.0021, 0)</f>
        <v>161.98960000000002</v>
      </c>
      <c r="L970" s="14"/>
    </row>
    <row r="971" spans="1:12" ht="15.75" x14ac:dyDescent="0.25">
      <c r="A971" s="32">
        <v>70494</v>
      </c>
      <c r="B971" s="14">
        <f>157.668 * CHOOSE(CONTROL!$C$9, $D$9, 100%, $F$9) + CHOOSE(CONTROL!$C$27, 0.0021, 0)</f>
        <v>157.67010000000002</v>
      </c>
      <c r="C971" s="14">
        <f>157.2357 * CHOOSE(CONTROL!$C$9, $D$9, 100%, $F$9) + CHOOSE(CONTROL!$C$27, 0.0021, 0)</f>
        <v>157.23780000000002</v>
      </c>
      <c r="D971" s="14">
        <f>157.2357 * CHOOSE(CONTROL!$C$9, $D$9, 100%, $F$9) + CHOOSE(CONTROL!$C$27, 0.0021, 0)</f>
        <v>157.23780000000002</v>
      </c>
      <c r="E971" s="14">
        <f>157.0991 * CHOOSE(CONTROL!$C$9, $D$9, 100%, $F$9) + CHOOSE(CONTROL!$C$27, 0.0021, 0)</f>
        <v>157.10120000000001</v>
      </c>
      <c r="F971" s="14">
        <f>157.0991 * CHOOSE(CONTROL!$C$9, $D$9, 100%, $F$9) + CHOOSE(CONTROL!$C$27, 0.0021, 0)</f>
        <v>157.10120000000001</v>
      </c>
      <c r="G971" s="14">
        <f>157.3705 * CHOOSE(CONTROL!$C$9, $D$9, 100%, $F$9) + CHOOSE(CONTROL!$C$27, 0.0021, 0)</f>
        <v>157.37260000000001</v>
      </c>
      <c r="H971" s="14">
        <f>157.2357 * CHOOSE(CONTROL!$C$9, $D$9, 100%, $F$9) + CHOOSE(CONTROL!$C$27, 0.0021, 0)</f>
        <v>157.23780000000002</v>
      </c>
      <c r="I971" s="14">
        <f>157.2357 * CHOOSE(CONTROL!$C$9, $D$9, 100%, $F$9) + CHOOSE(CONTROL!$C$27, 0.0021, 0)</f>
        <v>157.23780000000002</v>
      </c>
      <c r="J971" s="14">
        <f>157.2357 * CHOOSE(CONTROL!$C$9, $D$9, 100%, $F$9) + CHOOSE(CONTROL!$C$27, 0.0021, 0)</f>
        <v>157.23780000000002</v>
      </c>
      <c r="K971" s="14">
        <f>157.2357 * CHOOSE(CONTROL!$C$9, $D$9, 100%, $F$9) + CHOOSE(CONTROL!$C$27, 0.0021, 0)</f>
        <v>157.23780000000002</v>
      </c>
      <c r="L971" s="14"/>
    </row>
    <row r="972" spans="1:12" ht="15.75" x14ac:dyDescent="0.25">
      <c r="A972" s="32">
        <v>70525</v>
      </c>
      <c r="B972" s="14">
        <f>156.7429 * CHOOSE(CONTROL!$C$9, $D$9, 100%, $F$9) + CHOOSE(CONTROL!$C$27, 0.0021, 0)</f>
        <v>156.745</v>
      </c>
      <c r="C972" s="14">
        <f>156.3106 * CHOOSE(CONTROL!$C$9, $D$9, 100%, $F$9) + CHOOSE(CONTROL!$C$27, 0.0021, 0)</f>
        <v>156.31270000000001</v>
      </c>
      <c r="D972" s="14">
        <f>156.3106 * CHOOSE(CONTROL!$C$9, $D$9, 100%, $F$9) + CHOOSE(CONTROL!$C$27, 0.0021, 0)</f>
        <v>156.31270000000001</v>
      </c>
      <c r="E972" s="14">
        <f>156.174 * CHOOSE(CONTROL!$C$9, $D$9, 100%, $F$9) + CHOOSE(CONTROL!$C$27, 0.0021, 0)</f>
        <v>156.17610000000002</v>
      </c>
      <c r="F972" s="14">
        <f>156.174 * CHOOSE(CONTROL!$C$9, $D$9, 100%, $F$9) + CHOOSE(CONTROL!$C$27, 0.0021, 0)</f>
        <v>156.17610000000002</v>
      </c>
      <c r="G972" s="14">
        <f>156.4453 * CHOOSE(CONTROL!$C$9, $D$9, 100%, $F$9) + CHOOSE(CONTROL!$C$27, 0.0021, 0)</f>
        <v>156.44740000000002</v>
      </c>
      <c r="H972" s="14">
        <f>156.3106 * CHOOSE(CONTROL!$C$9, $D$9, 100%, $F$9) + CHOOSE(CONTROL!$C$27, 0.0021, 0)</f>
        <v>156.31270000000001</v>
      </c>
      <c r="I972" s="14">
        <f>156.3106 * CHOOSE(CONTROL!$C$9, $D$9, 100%, $F$9) + CHOOSE(CONTROL!$C$27, 0.0021, 0)</f>
        <v>156.31270000000001</v>
      </c>
      <c r="J972" s="14">
        <f>156.3106 * CHOOSE(CONTROL!$C$9, $D$9, 100%, $F$9) + CHOOSE(CONTROL!$C$27, 0.0021, 0)</f>
        <v>156.31270000000001</v>
      </c>
      <c r="K972" s="14">
        <f>156.3106 * CHOOSE(CONTROL!$C$9, $D$9, 100%, $F$9) + CHOOSE(CONTROL!$C$27, 0.0021, 0)</f>
        <v>156.31270000000001</v>
      </c>
      <c r="L972" s="14"/>
    </row>
    <row r="973" spans="1:12" ht="15.75" x14ac:dyDescent="0.25">
      <c r="A973" s="32">
        <v>70553</v>
      </c>
      <c r="B973" s="14">
        <f>156.3135 * CHOOSE(CONTROL!$C$9, $D$9, 100%, $F$9) + CHOOSE(CONTROL!$C$27, 0.0021, 0)</f>
        <v>156.31560000000002</v>
      </c>
      <c r="C973" s="14">
        <f>155.8813 * CHOOSE(CONTROL!$C$9, $D$9, 100%, $F$9) + CHOOSE(CONTROL!$C$27, 0.0021, 0)</f>
        <v>155.88340000000002</v>
      </c>
      <c r="D973" s="14">
        <f>155.8813 * CHOOSE(CONTROL!$C$9, $D$9, 100%, $F$9) + CHOOSE(CONTROL!$C$27, 0.0021, 0)</f>
        <v>155.88340000000002</v>
      </c>
      <c r="E973" s="14">
        <f>155.7446 * CHOOSE(CONTROL!$C$9, $D$9, 100%, $F$9) + CHOOSE(CONTROL!$C$27, 0.0021, 0)</f>
        <v>155.7467</v>
      </c>
      <c r="F973" s="14">
        <f>155.7446 * CHOOSE(CONTROL!$C$9, $D$9, 100%, $F$9) + CHOOSE(CONTROL!$C$27, 0.0021, 0)</f>
        <v>155.7467</v>
      </c>
      <c r="G973" s="14">
        <f>156.016 * CHOOSE(CONTROL!$C$9, $D$9, 100%, $F$9) + CHOOSE(CONTROL!$C$27, 0.0021, 0)</f>
        <v>156.0181</v>
      </c>
      <c r="H973" s="14">
        <f>155.8813 * CHOOSE(CONTROL!$C$9, $D$9, 100%, $F$9) + CHOOSE(CONTROL!$C$27, 0.0021, 0)</f>
        <v>155.88340000000002</v>
      </c>
      <c r="I973" s="14">
        <f>155.8813 * CHOOSE(CONTROL!$C$9, $D$9, 100%, $F$9) + CHOOSE(CONTROL!$C$27, 0.0021, 0)</f>
        <v>155.88340000000002</v>
      </c>
      <c r="J973" s="14">
        <f>155.8813 * CHOOSE(CONTROL!$C$9, $D$9, 100%, $F$9) + CHOOSE(CONTROL!$C$27, 0.0021, 0)</f>
        <v>155.88340000000002</v>
      </c>
      <c r="K973" s="14">
        <f>155.8813 * CHOOSE(CONTROL!$C$9, $D$9, 100%, $F$9) + CHOOSE(CONTROL!$C$27, 0.0021, 0)</f>
        <v>155.88340000000002</v>
      </c>
      <c r="L973" s="14"/>
    </row>
    <row r="974" spans="1:12" ht="15.75" x14ac:dyDescent="0.25">
      <c r="A974" s="32">
        <v>70584</v>
      </c>
      <c r="B974" s="14">
        <f>164.4313 * CHOOSE(CONTROL!$C$9, $D$9, 100%, $F$9) + CHOOSE(CONTROL!$C$27, 0.0021, 0)</f>
        <v>164.43340000000001</v>
      </c>
      <c r="C974" s="14">
        <f>163.9991 * CHOOSE(CONTROL!$C$9, $D$9, 100%, $F$9) + CHOOSE(CONTROL!$C$27, 0.0021, 0)</f>
        <v>164.00120000000001</v>
      </c>
      <c r="D974" s="14">
        <f>163.9991 * CHOOSE(CONTROL!$C$9, $D$9, 100%, $F$9) + CHOOSE(CONTROL!$C$27, 0.0021, 0)</f>
        <v>164.00120000000001</v>
      </c>
      <c r="E974" s="14">
        <f>163.8624 * CHOOSE(CONTROL!$C$9, $D$9, 100%, $F$9) + CHOOSE(CONTROL!$C$27, 0.0021, 0)</f>
        <v>163.86450000000002</v>
      </c>
      <c r="F974" s="14">
        <f>163.8624 * CHOOSE(CONTROL!$C$9, $D$9, 100%, $F$9) + CHOOSE(CONTROL!$C$27, 0.0021, 0)</f>
        <v>163.86450000000002</v>
      </c>
      <c r="G974" s="14">
        <f>164.1338 * CHOOSE(CONTROL!$C$9, $D$9, 100%, $F$9) + CHOOSE(CONTROL!$C$27, 0.0021, 0)</f>
        <v>164.13590000000002</v>
      </c>
      <c r="H974" s="14">
        <f>163.9991 * CHOOSE(CONTROL!$C$9, $D$9, 100%, $F$9) + CHOOSE(CONTROL!$C$27, 0.0021, 0)</f>
        <v>164.00120000000001</v>
      </c>
      <c r="I974" s="14">
        <f>163.9991 * CHOOSE(CONTROL!$C$9, $D$9, 100%, $F$9) + CHOOSE(CONTROL!$C$27, 0.0021, 0)</f>
        <v>164.00120000000001</v>
      </c>
      <c r="J974" s="14">
        <f>163.9991 * CHOOSE(CONTROL!$C$9, $D$9, 100%, $F$9) + CHOOSE(CONTROL!$C$27, 0.0021, 0)</f>
        <v>164.00120000000001</v>
      </c>
      <c r="K974" s="14">
        <f>163.9991 * CHOOSE(CONTROL!$C$9, $D$9, 100%, $F$9) + CHOOSE(CONTROL!$C$27, 0.0021, 0)</f>
        <v>164.00120000000001</v>
      </c>
      <c r="L974" s="14"/>
    </row>
    <row r="975" spans="1:12" ht="15.75" x14ac:dyDescent="0.25">
      <c r="A975" s="32">
        <v>70614</v>
      </c>
      <c r="B975" s="14">
        <f>174.9582 * CHOOSE(CONTROL!$C$9, $D$9, 100%, $F$9) + CHOOSE(CONTROL!$C$27, 0.0021, 0)</f>
        <v>174.96030000000002</v>
      </c>
      <c r="C975" s="14">
        <f>174.526 * CHOOSE(CONTROL!$C$9, $D$9, 100%, $F$9) + CHOOSE(CONTROL!$C$27, 0.0021, 0)</f>
        <v>174.52810000000002</v>
      </c>
      <c r="D975" s="14">
        <f>174.526 * CHOOSE(CONTROL!$C$9, $D$9, 100%, $F$9) + CHOOSE(CONTROL!$C$27, 0.0021, 0)</f>
        <v>174.52810000000002</v>
      </c>
      <c r="E975" s="14">
        <f>174.3893 * CHOOSE(CONTROL!$C$9, $D$9, 100%, $F$9) + CHOOSE(CONTROL!$C$27, 0.0021, 0)</f>
        <v>174.3914</v>
      </c>
      <c r="F975" s="14">
        <f>174.3893 * CHOOSE(CONTROL!$C$9, $D$9, 100%, $F$9) + CHOOSE(CONTROL!$C$27, 0.0021, 0)</f>
        <v>174.3914</v>
      </c>
      <c r="G975" s="14">
        <f>174.6607 * CHOOSE(CONTROL!$C$9, $D$9, 100%, $F$9) + CHOOSE(CONTROL!$C$27, 0.0021, 0)</f>
        <v>174.6628</v>
      </c>
      <c r="H975" s="14">
        <f>174.526 * CHOOSE(CONTROL!$C$9, $D$9, 100%, $F$9) + CHOOSE(CONTROL!$C$27, 0.0021, 0)</f>
        <v>174.52810000000002</v>
      </c>
      <c r="I975" s="14">
        <f>174.526 * CHOOSE(CONTROL!$C$9, $D$9, 100%, $F$9) + CHOOSE(CONTROL!$C$27, 0.0021, 0)</f>
        <v>174.52810000000002</v>
      </c>
      <c r="J975" s="14">
        <f>174.526 * CHOOSE(CONTROL!$C$9, $D$9, 100%, $F$9) + CHOOSE(CONTROL!$C$27, 0.0021, 0)</f>
        <v>174.52810000000002</v>
      </c>
      <c r="K975" s="14">
        <f>174.526 * CHOOSE(CONTROL!$C$9, $D$9, 100%, $F$9) + CHOOSE(CONTROL!$C$27, 0.0021, 0)</f>
        <v>174.52810000000002</v>
      </c>
      <c r="L975" s="14"/>
    </row>
    <row r="976" spans="1:12" ht="15.75" x14ac:dyDescent="0.25">
      <c r="A976" s="32">
        <v>70645</v>
      </c>
      <c r="B976" s="14">
        <f>180.7525 * CHOOSE(CONTROL!$C$9, $D$9, 100%, $F$9) + CHOOSE(CONTROL!$C$27, 0.0021, 0)</f>
        <v>180.75460000000001</v>
      </c>
      <c r="C976" s="14">
        <f>180.3203 * CHOOSE(CONTROL!$C$9, $D$9, 100%, $F$9) + CHOOSE(CONTROL!$C$27, 0.0021, 0)</f>
        <v>180.32240000000002</v>
      </c>
      <c r="D976" s="14">
        <f>180.3203 * CHOOSE(CONTROL!$C$9, $D$9, 100%, $F$9) + CHOOSE(CONTROL!$C$27, 0.0021, 0)</f>
        <v>180.32240000000002</v>
      </c>
      <c r="E976" s="14">
        <f>180.1836 * CHOOSE(CONTROL!$C$9, $D$9, 100%, $F$9) + CHOOSE(CONTROL!$C$27, 0.0021, 0)</f>
        <v>180.18570000000003</v>
      </c>
      <c r="F976" s="14">
        <f>180.1836 * CHOOSE(CONTROL!$C$9, $D$9, 100%, $F$9) + CHOOSE(CONTROL!$C$27, 0.0021, 0)</f>
        <v>180.18570000000003</v>
      </c>
      <c r="G976" s="14">
        <f>180.455 * CHOOSE(CONTROL!$C$9, $D$9, 100%, $F$9) + CHOOSE(CONTROL!$C$27, 0.0021, 0)</f>
        <v>180.45710000000003</v>
      </c>
      <c r="H976" s="14">
        <f>180.3203 * CHOOSE(CONTROL!$C$9, $D$9, 100%, $F$9) + CHOOSE(CONTROL!$C$27, 0.0021, 0)</f>
        <v>180.32240000000002</v>
      </c>
      <c r="I976" s="14">
        <f>180.3203 * CHOOSE(CONTROL!$C$9, $D$9, 100%, $F$9) + CHOOSE(CONTROL!$C$27, 0.0021, 0)</f>
        <v>180.32240000000002</v>
      </c>
      <c r="J976" s="14">
        <f>180.3203 * CHOOSE(CONTROL!$C$9, $D$9, 100%, $F$9) + CHOOSE(CONTROL!$C$27, 0.0021, 0)</f>
        <v>180.32240000000002</v>
      </c>
      <c r="K976" s="14">
        <f>180.3203 * CHOOSE(CONTROL!$C$9, $D$9, 100%, $F$9) + CHOOSE(CONTROL!$C$27, 0.0021, 0)</f>
        <v>180.32240000000002</v>
      </c>
      <c r="L976" s="14"/>
    </row>
    <row r="977" spans="1:12" ht="15.75" x14ac:dyDescent="0.25">
      <c r="A977" s="32">
        <v>70675</v>
      </c>
      <c r="B977" s="14">
        <f>183.3239 * CHOOSE(CONTROL!$C$9, $D$9, 100%, $F$9) + CHOOSE(CONTROL!$C$27, 0.0021, 0)</f>
        <v>183.32600000000002</v>
      </c>
      <c r="C977" s="14">
        <f>182.8917 * CHOOSE(CONTROL!$C$9, $D$9, 100%, $F$9) + CHOOSE(CONTROL!$C$27, 0.0021, 0)</f>
        <v>182.8938</v>
      </c>
      <c r="D977" s="14">
        <f>182.8917 * CHOOSE(CONTROL!$C$9, $D$9, 100%, $F$9) + CHOOSE(CONTROL!$C$27, 0.0021, 0)</f>
        <v>182.8938</v>
      </c>
      <c r="E977" s="14">
        <f>182.755 * CHOOSE(CONTROL!$C$9, $D$9, 100%, $F$9) + CHOOSE(CONTROL!$C$27, 0.0021, 0)</f>
        <v>182.75710000000001</v>
      </c>
      <c r="F977" s="14">
        <f>182.755 * CHOOSE(CONTROL!$C$9, $D$9, 100%, $F$9) + CHOOSE(CONTROL!$C$27, 0.0021, 0)</f>
        <v>182.75710000000001</v>
      </c>
      <c r="G977" s="14">
        <f>183.0264 * CHOOSE(CONTROL!$C$9, $D$9, 100%, $F$9) + CHOOSE(CONTROL!$C$27, 0.0021, 0)</f>
        <v>183.02850000000001</v>
      </c>
      <c r="H977" s="14">
        <f>182.8917 * CHOOSE(CONTROL!$C$9, $D$9, 100%, $F$9) + CHOOSE(CONTROL!$C$27, 0.0021, 0)</f>
        <v>182.8938</v>
      </c>
      <c r="I977" s="14">
        <f>182.8917 * CHOOSE(CONTROL!$C$9, $D$9, 100%, $F$9) + CHOOSE(CONTROL!$C$27, 0.0021, 0)</f>
        <v>182.8938</v>
      </c>
      <c r="J977" s="14">
        <f>182.8917 * CHOOSE(CONTROL!$C$9, $D$9, 100%, $F$9) + CHOOSE(CONTROL!$C$27, 0.0021, 0)</f>
        <v>182.8938</v>
      </c>
      <c r="K977" s="14">
        <f>182.8917 * CHOOSE(CONTROL!$C$9, $D$9, 100%, $F$9) + CHOOSE(CONTROL!$C$27, 0.0021, 0)</f>
        <v>182.8938</v>
      </c>
      <c r="L977" s="14"/>
    </row>
    <row r="978" spans="1:12" ht="15.75" x14ac:dyDescent="0.25">
      <c r="A978" s="32">
        <v>70706</v>
      </c>
      <c r="B978" s="14">
        <f>182.4773 * CHOOSE(CONTROL!$C$9, $D$9, 100%, $F$9) + CHOOSE(CONTROL!$C$27, 0.0021, 0)</f>
        <v>182.47940000000003</v>
      </c>
      <c r="C978" s="14">
        <f>182.0451 * CHOOSE(CONTROL!$C$9, $D$9, 100%, $F$9) + CHOOSE(CONTROL!$C$27, 0.0021, 0)</f>
        <v>182.0472</v>
      </c>
      <c r="D978" s="14">
        <f>182.0451 * CHOOSE(CONTROL!$C$9, $D$9, 100%, $F$9) + CHOOSE(CONTROL!$C$27, 0.0021, 0)</f>
        <v>182.0472</v>
      </c>
      <c r="E978" s="14">
        <f>181.9084 * CHOOSE(CONTROL!$C$9, $D$9, 100%, $F$9) + CHOOSE(CONTROL!$C$27, 0.0021, 0)</f>
        <v>181.91050000000001</v>
      </c>
      <c r="F978" s="14">
        <f>181.9084 * CHOOSE(CONTROL!$C$9, $D$9, 100%, $F$9) + CHOOSE(CONTROL!$C$27, 0.0021, 0)</f>
        <v>181.91050000000001</v>
      </c>
      <c r="G978" s="14">
        <f>182.1798 * CHOOSE(CONTROL!$C$9, $D$9, 100%, $F$9) + CHOOSE(CONTROL!$C$27, 0.0021, 0)</f>
        <v>182.18190000000001</v>
      </c>
      <c r="H978" s="14">
        <f>182.0451 * CHOOSE(CONTROL!$C$9, $D$9, 100%, $F$9) + CHOOSE(CONTROL!$C$27, 0.0021, 0)</f>
        <v>182.0472</v>
      </c>
      <c r="I978" s="14">
        <f>182.0451 * CHOOSE(CONTROL!$C$9, $D$9, 100%, $F$9) + CHOOSE(CONTROL!$C$27, 0.0021, 0)</f>
        <v>182.0472</v>
      </c>
      <c r="J978" s="14">
        <f>182.0451 * CHOOSE(CONTROL!$C$9, $D$9, 100%, $F$9) + CHOOSE(CONTROL!$C$27, 0.0021, 0)</f>
        <v>182.0472</v>
      </c>
      <c r="K978" s="14">
        <f>182.0451 * CHOOSE(CONTROL!$C$9, $D$9, 100%, $F$9) + CHOOSE(CONTROL!$C$27, 0.0021, 0)</f>
        <v>182.0472</v>
      </c>
      <c r="L978" s="14"/>
    </row>
    <row r="979" spans="1:12" ht="15.75" x14ac:dyDescent="0.25">
      <c r="A979" s="32">
        <v>70737</v>
      </c>
      <c r="B979" s="14">
        <f>178.2827 * CHOOSE(CONTROL!$C$9, $D$9, 100%, $F$9) + CHOOSE(CONTROL!$C$27, 0.0021, 0)</f>
        <v>178.28480000000002</v>
      </c>
      <c r="C979" s="14">
        <f>177.8504 * CHOOSE(CONTROL!$C$9, $D$9, 100%, $F$9) + CHOOSE(CONTROL!$C$27, 0.0021, 0)</f>
        <v>177.85250000000002</v>
      </c>
      <c r="D979" s="14">
        <f>177.8504 * CHOOSE(CONTROL!$C$9, $D$9, 100%, $F$9) + CHOOSE(CONTROL!$C$27, 0.0021, 0)</f>
        <v>177.85250000000002</v>
      </c>
      <c r="E979" s="14">
        <f>177.7138 * CHOOSE(CONTROL!$C$9, $D$9, 100%, $F$9) + CHOOSE(CONTROL!$C$27, 0.0021, 0)</f>
        <v>177.7159</v>
      </c>
      <c r="F979" s="14">
        <f>177.7138 * CHOOSE(CONTROL!$C$9, $D$9, 100%, $F$9) + CHOOSE(CONTROL!$C$27, 0.0021, 0)</f>
        <v>177.7159</v>
      </c>
      <c r="G979" s="14">
        <f>177.9852 * CHOOSE(CONTROL!$C$9, $D$9, 100%, $F$9) + CHOOSE(CONTROL!$C$27, 0.0021, 0)</f>
        <v>177.9873</v>
      </c>
      <c r="H979" s="14">
        <f>177.8504 * CHOOSE(CONTROL!$C$9, $D$9, 100%, $F$9) + CHOOSE(CONTROL!$C$27, 0.0021, 0)</f>
        <v>177.85250000000002</v>
      </c>
      <c r="I979" s="14">
        <f>177.8504 * CHOOSE(CONTROL!$C$9, $D$9, 100%, $F$9) + CHOOSE(CONTROL!$C$27, 0.0021, 0)</f>
        <v>177.85250000000002</v>
      </c>
      <c r="J979" s="14">
        <f>177.8504 * CHOOSE(CONTROL!$C$9, $D$9, 100%, $F$9) + CHOOSE(CONTROL!$C$27, 0.0021, 0)</f>
        <v>177.85250000000002</v>
      </c>
      <c r="K979" s="14">
        <f>177.8504 * CHOOSE(CONTROL!$C$9, $D$9, 100%, $F$9) + CHOOSE(CONTROL!$C$27, 0.0021, 0)</f>
        <v>177.85250000000002</v>
      </c>
      <c r="L979" s="14"/>
    </row>
    <row r="980" spans="1:12" ht="15.75" x14ac:dyDescent="0.25">
      <c r="A980" s="32">
        <v>70767</v>
      </c>
      <c r="B980" s="14">
        <f>172.4331 * CHOOSE(CONTROL!$C$9, $D$9, 100%, $F$9) + CHOOSE(CONTROL!$C$27, 0.0021, 0)</f>
        <v>172.43520000000001</v>
      </c>
      <c r="C980" s="14">
        <f>172.0008 * CHOOSE(CONTROL!$C$9, $D$9, 100%, $F$9) + CHOOSE(CONTROL!$C$27, 0.0021, 0)</f>
        <v>172.00290000000001</v>
      </c>
      <c r="D980" s="14">
        <f>172.0008 * CHOOSE(CONTROL!$C$9, $D$9, 100%, $F$9) + CHOOSE(CONTROL!$C$27, 0.0021, 0)</f>
        <v>172.00290000000001</v>
      </c>
      <c r="E980" s="14">
        <f>171.8642 * CHOOSE(CONTROL!$C$9, $D$9, 100%, $F$9) + CHOOSE(CONTROL!$C$27, 0.0021, 0)</f>
        <v>171.86630000000002</v>
      </c>
      <c r="F980" s="14">
        <f>171.8642 * CHOOSE(CONTROL!$C$9, $D$9, 100%, $F$9) + CHOOSE(CONTROL!$C$27, 0.0021, 0)</f>
        <v>171.86630000000002</v>
      </c>
      <c r="G980" s="14">
        <f>172.1355 * CHOOSE(CONTROL!$C$9, $D$9, 100%, $F$9) + CHOOSE(CONTROL!$C$27, 0.0021, 0)</f>
        <v>172.13760000000002</v>
      </c>
      <c r="H980" s="14">
        <f>172.0008 * CHOOSE(CONTROL!$C$9, $D$9, 100%, $F$9) + CHOOSE(CONTROL!$C$27, 0.0021, 0)</f>
        <v>172.00290000000001</v>
      </c>
      <c r="I980" s="14">
        <f>172.0008 * CHOOSE(CONTROL!$C$9, $D$9, 100%, $F$9) + CHOOSE(CONTROL!$C$27, 0.0021, 0)</f>
        <v>172.00290000000001</v>
      </c>
      <c r="J980" s="14">
        <f>172.0008 * CHOOSE(CONTROL!$C$9, $D$9, 100%, $F$9) + CHOOSE(CONTROL!$C$27, 0.0021, 0)</f>
        <v>172.00290000000001</v>
      </c>
      <c r="K980" s="14">
        <f>172.0008 * CHOOSE(CONTROL!$C$9, $D$9, 100%, $F$9) + CHOOSE(CONTROL!$C$27, 0.0021, 0)</f>
        <v>172.00290000000001</v>
      </c>
      <c r="L980" s="14"/>
    </row>
    <row r="981" spans="1:12" ht="15.75" x14ac:dyDescent="0.25">
      <c r="A981" s="32">
        <v>70798</v>
      </c>
      <c r="B981" s="14">
        <f>166.5494 * CHOOSE(CONTROL!$C$9, $D$9, 100%, $F$9) + CHOOSE(CONTROL!$C$27, 0.0021, 0)</f>
        <v>166.5515</v>
      </c>
      <c r="C981" s="14">
        <f>166.1172 * CHOOSE(CONTROL!$C$9, $D$9, 100%, $F$9) + CHOOSE(CONTROL!$C$27, 0.0021, 0)</f>
        <v>166.11930000000001</v>
      </c>
      <c r="D981" s="14">
        <f>166.1172 * CHOOSE(CONTROL!$C$9, $D$9, 100%, $F$9) + CHOOSE(CONTROL!$C$27, 0.0021, 0)</f>
        <v>166.11930000000001</v>
      </c>
      <c r="E981" s="14">
        <f>165.9805 * CHOOSE(CONTROL!$C$9, $D$9, 100%, $F$9) + CHOOSE(CONTROL!$C$27, 0.0021, 0)</f>
        <v>165.98260000000002</v>
      </c>
      <c r="F981" s="14">
        <f>165.9805 * CHOOSE(CONTROL!$C$9, $D$9, 100%, $F$9) + CHOOSE(CONTROL!$C$27, 0.0021, 0)</f>
        <v>165.98260000000002</v>
      </c>
      <c r="G981" s="14">
        <f>166.2519 * CHOOSE(CONTROL!$C$9, $D$9, 100%, $F$9) + CHOOSE(CONTROL!$C$27, 0.0021, 0)</f>
        <v>166.25400000000002</v>
      </c>
      <c r="H981" s="14">
        <f>166.1172 * CHOOSE(CONTROL!$C$9, $D$9, 100%, $F$9) + CHOOSE(CONTROL!$C$27, 0.0021, 0)</f>
        <v>166.11930000000001</v>
      </c>
      <c r="I981" s="14">
        <f>166.1172 * CHOOSE(CONTROL!$C$9, $D$9, 100%, $F$9) + CHOOSE(CONTROL!$C$27, 0.0021, 0)</f>
        <v>166.11930000000001</v>
      </c>
      <c r="J981" s="14">
        <f>166.1172 * CHOOSE(CONTROL!$C$9, $D$9, 100%, $F$9) + CHOOSE(CONTROL!$C$27, 0.0021, 0)</f>
        <v>166.11930000000001</v>
      </c>
      <c r="K981" s="14">
        <f>166.1172 * CHOOSE(CONTROL!$C$9, $D$9, 100%, $F$9) + CHOOSE(CONTROL!$C$27, 0.0021, 0)</f>
        <v>166.11930000000001</v>
      </c>
      <c r="L981" s="14"/>
    </row>
    <row r="982" spans="1:12" ht="15.75" x14ac:dyDescent="0.25">
      <c r="A982" s="32">
        <v>70828</v>
      </c>
      <c r="B982" s="14">
        <f>165.3791 * CHOOSE(CONTROL!$C$9, $D$9, 100%, $F$9) + CHOOSE(CONTROL!$C$27, 0.0021, 0)</f>
        <v>165.38120000000001</v>
      </c>
      <c r="C982" s="14">
        <f>164.9468 * CHOOSE(CONTROL!$C$9, $D$9, 100%, $F$9) + CHOOSE(CONTROL!$C$27, 0.0021, 0)</f>
        <v>164.94890000000001</v>
      </c>
      <c r="D982" s="14">
        <f>164.9468 * CHOOSE(CONTROL!$C$9, $D$9, 100%, $F$9) + CHOOSE(CONTROL!$C$27, 0.0021, 0)</f>
        <v>164.94890000000001</v>
      </c>
      <c r="E982" s="14">
        <f>164.8101 * CHOOSE(CONTROL!$C$9, $D$9, 100%, $F$9) + CHOOSE(CONTROL!$C$27, 0.0021, 0)</f>
        <v>164.81220000000002</v>
      </c>
      <c r="F982" s="14">
        <f>164.8101 * CHOOSE(CONTROL!$C$9, $D$9, 100%, $F$9) + CHOOSE(CONTROL!$C$27, 0.0021, 0)</f>
        <v>164.81220000000002</v>
      </c>
      <c r="G982" s="14">
        <f>165.0815 * CHOOSE(CONTROL!$C$9, $D$9, 100%, $F$9) + CHOOSE(CONTROL!$C$27, 0.0021, 0)</f>
        <v>165.08360000000002</v>
      </c>
      <c r="H982" s="14">
        <f>164.9468 * CHOOSE(CONTROL!$C$9, $D$9, 100%, $F$9) + CHOOSE(CONTROL!$C$27, 0.0021, 0)</f>
        <v>164.94890000000001</v>
      </c>
      <c r="I982" s="14">
        <f>164.9468 * CHOOSE(CONTROL!$C$9, $D$9, 100%, $F$9) + CHOOSE(CONTROL!$C$27, 0.0021, 0)</f>
        <v>164.94890000000001</v>
      </c>
      <c r="J982" s="14">
        <f>164.9468 * CHOOSE(CONTROL!$C$9, $D$9, 100%, $F$9) + CHOOSE(CONTROL!$C$27, 0.0021, 0)</f>
        <v>164.94890000000001</v>
      </c>
      <c r="K982" s="14">
        <f>164.9468 * CHOOSE(CONTROL!$C$9, $D$9, 100%, $F$9) + CHOOSE(CONTROL!$C$27, 0.0021, 0)</f>
        <v>164.94890000000001</v>
      </c>
      <c r="L982" s="14"/>
    </row>
    <row r="983" spans="1:12" ht="15.75" x14ac:dyDescent="0.25">
      <c r="A983" s="32">
        <v>70859</v>
      </c>
      <c r="B983" s="14">
        <f>160.5394 * CHOOSE(CONTROL!$C$9, $D$9, 100%, $F$9) + CHOOSE(CONTROL!$C$27, 0.0021, 0)</f>
        <v>160.54150000000001</v>
      </c>
      <c r="C983" s="14">
        <f>160.1072 * CHOOSE(CONTROL!$C$9, $D$9, 100%, $F$9) + CHOOSE(CONTROL!$C$27, 0.0021, 0)</f>
        <v>160.10930000000002</v>
      </c>
      <c r="D983" s="14">
        <f>160.1072 * CHOOSE(CONTROL!$C$9, $D$9, 100%, $F$9) + CHOOSE(CONTROL!$C$27, 0.0021, 0)</f>
        <v>160.10930000000002</v>
      </c>
      <c r="E983" s="14">
        <f>159.9705 * CHOOSE(CONTROL!$C$9, $D$9, 100%, $F$9) + CHOOSE(CONTROL!$C$27, 0.0021, 0)</f>
        <v>159.9726</v>
      </c>
      <c r="F983" s="14">
        <f>159.9705 * CHOOSE(CONTROL!$C$9, $D$9, 100%, $F$9) + CHOOSE(CONTROL!$C$27, 0.0021, 0)</f>
        <v>159.9726</v>
      </c>
      <c r="G983" s="14">
        <f>160.2419 * CHOOSE(CONTROL!$C$9, $D$9, 100%, $F$9) + CHOOSE(CONTROL!$C$27, 0.0021, 0)</f>
        <v>160.244</v>
      </c>
      <c r="H983" s="14">
        <f>160.1072 * CHOOSE(CONTROL!$C$9, $D$9, 100%, $F$9) + CHOOSE(CONTROL!$C$27, 0.0021, 0)</f>
        <v>160.10930000000002</v>
      </c>
      <c r="I983" s="14">
        <f>160.1072 * CHOOSE(CONTROL!$C$9, $D$9, 100%, $F$9) + CHOOSE(CONTROL!$C$27, 0.0021, 0)</f>
        <v>160.10930000000002</v>
      </c>
      <c r="J983" s="14">
        <f>160.1072 * CHOOSE(CONTROL!$C$9, $D$9, 100%, $F$9) + CHOOSE(CONTROL!$C$27, 0.0021, 0)</f>
        <v>160.10930000000002</v>
      </c>
      <c r="K983" s="14">
        <f>160.1072 * CHOOSE(CONTROL!$C$9, $D$9, 100%, $F$9) + CHOOSE(CONTROL!$C$27, 0.0021, 0)</f>
        <v>160.10930000000002</v>
      </c>
      <c r="L983" s="14"/>
    </row>
    <row r="984" spans="1:12" ht="15.75" x14ac:dyDescent="0.25">
      <c r="A984" s="32">
        <v>70890</v>
      </c>
      <c r="B984" s="14">
        <f>159.5972 * CHOOSE(CONTROL!$C$9, $D$9, 100%, $F$9) + CHOOSE(CONTROL!$C$27, 0.0021, 0)</f>
        <v>159.5993</v>
      </c>
      <c r="C984" s="14">
        <f>159.165 * CHOOSE(CONTROL!$C$9, $D$9, 100%, $F$9) + CHOOSE(CONTROL!$C$27, 0.0021, 0)</f>
        <v>159.1671</v>
      </c>
      <c r="D984" s="14">
        <f>159.165 * CHOOSE(CONTROL!$C$9, $D$9, 100%, $F$9) + CHOOSE(CONTROL!$C$27, 0.0021, 0)</f>
        <v>159.1671</v>
      </c>
      <c r="E984" s="14">
        <f>159.0283 * CHOOSE(CONTROL!$C$9, $D$9, 100%, $F$9) + CHOOSE(CONTROL!$C$27, 0.0021, 0)</f>
        <v>159.03040000000001</v>
      </c>
      <c r="F984" s="14">
        <f>159.0283 * CHOOSE(CONTROL!$C$9, $D$9, 100%, $F$9) + CHOOSE(CONTROL!$C$27, 0.0021, 0)</f>
        <v>159.03040000000001</v>
      </c>
      <c r="G984" s="14">
        <f>159.2997 * CHOOSE(CONTROL!$C$9, $D$9, 100%, $F$9) + CHOOSE(CONTROL!$C$27, 0.0021, 0)</f>
        <v>159.30180000000001</v>
      </c>
      <c r="H984" s="14">
        <f>159.165 * CHOOSE(CONTROL!$C$9, $D$9, 100%, $F$9) + CHOOSE(CONTROL!$C$27, 0.0021, 0)</f>
        <v>159.1671</v>
      </c>
      <c r="I984" s="14">
        <f>159.165 * CHOOSE(CONTROL!$C$9, $D$9, 100%, $F$9) + CHOOSE(CONTROL!$C$27, 0.0021, 0)</f>
        <v>159.1671</v>
      </c>
      <c r="J984" s="14">
        <f>159.165 * CHOOSE(CONTROL!$C$9, $D$9, 100%, $F$9) + CHOOSE(CONTROL!$C$27, 0.0021, 0)</f>
        <v>159.1671</v>
      </c>
      <c r="K984" s="14">
        <f>159.165 * CHOOSE(CONTROL!$C$9, $D$9, 100%, $F$9) + CHOOSE(CONTROL!$C$27, 0.0021, 0)</f>
        <v>159.1671</v>
      </c>
      <c r="L984" s="14"/>
    </row>
    <row r="985" spans="1:12" ht="15.75" x14ac:dyDescent="0.25">
      <c r="A985" s="32">
        <v>70918</v>
      </c>
      <c r="B985" s="14">
        <f>159.16 * CHOOSE(CONTROL!$C$9, $D$9, 100%, $F$9) + CHOOSE(CONTROL!$C$27, 0.0021, 0)</f>
        <v>159.16210000000001</v>
      </c>
      <c r="C985" s="14">
        <f>158.7277 * CHOOSE(CONTROL!$C$9, $D$9, 100%, $F$9) + CHOOSE(CONTROL!$C$27, 0.0021, 0)</f>
        <v>158.72980000000001</v>
      </c>
      <c r="D985" s="14">
        <f>158.7277 * CHOOSE(CONTROL!$C$9, $D$9, 100%, $F$9) + CHOOSE(CONTROL!$C$27, 0.0021, 0)</f>
        <v>158.72980000000001</v>
      </c>
      <c r="E985" s="14">
        <f>158.5911 * CHOOSE(CONTROL!$C$9, $D$9, 100%, $F$9) + CHOOSE(CONTROL!$C$27, 0.0021, 0)</f>
        <v>158.59320000000002</v>
      </c>
      <c r="F985" s="14">
        <f>158.5911 * CHOOSE(CONTROL!$C$9, $D$9, 100%, $F$9) + CHOOSE(CONTROL!$C$27, 0.0021, 0)</f>
        <v>158.59320000000002</v>
      </c>
      <c r="G985" s="14">
        <f>158.8624 * CHOOSE(CONTROL!$C$9, $D$9, 100%, $F$9) + CHOOSE(CONTROL!$C$27, 0.0021, 0)</f>
        <v>158.86450000000002</v>
      </c>
      <c r="H985" s="14">
        <f>158.7277 * CHOOSE(CONTROL!$C$9, $D$9, 100%, $F$9) + CHOOSE(CONTROL!$C$27, 0.0021, 0)</f>
        <v>158.72980000000001</v>
      </c>
      <c r="I985" s="14">
        <f>158.7277 * CHOOSE(CONTROL!$C$9, $D$9, 100%, $F$9) + CHOOSE(CONTROL!$C$27, 0.0021, 0)</f>
        <v>158.72980000000001</v>
      </c>
      <c r="J985" s="14">
        <f>158.7277 * CHOOSE(CONTROL!$C$9, $D$9, 100%, $F$9) + CHOOSE(CONTROL!$C$27, 0.0021, 0)</f>
        <v>158.72980000000001</v>
      </c>
      <c r="K985" s="14">
        <f>158.7277 * CHOOSE(CONTROL!$C$9, $D$9, 100%, $F$9) + CHOOSE(CONTROL!$C$27, 0.0021, 0)</f>
        <v>158.72980000000001</v>
      </c>
      <c r="L985" s="14"/>
    </row>
    <row r="986" spans="1:12" ht="15.75" x14ac:dyDescent="0.25">
      <c r="A986" s="32">
        <v>70949</v>
      </c>
      <c r="B986" s="14">
        <f>167.4278 * CHOOSE(CONTROL!$C$9, $D$9, 100%, $F$9) + CHOOSE(CONTROL!$C$27, 0.0021, 0)</f>
        <v>167.4299</v>
      </c>
      <c r="C986" s="14">
        <f>166.9955 * CHOOSE(CONTROL!$C$9, $D$9, 100%, $F$9) + CHOOSE(CONTROL!$C$27, 0.0021, 0)</f>
        <v>166.99760000000001</v>
      </c>
      <c r="D986" s="14">
        <f>166.9955 * CHOOSE(CONTROL!$C$9, $D$9, 100%, $F$9) + CHOOSE(CONTROL!$C$27, 0.0021, 0)</f>
        <v>166.99760000000001</v>
      </c>
      <c r="E986" s="14">
        <f>166.8589 * CHOOSE(CONTROL!$C$9, $D$9, 100%, $F$9) + CHOOSE(CONTROL!$C$27, 0.0021, 0)</f>
        <v>166.86100000000002</v>
      </c>
      <c r="F986" s="14">
        <f>166.8589 * CHOOSE(CONTROL!$C$9, $D$9, 100%, $F$9) + CHOOSE(CONTROL!$C$27, 0.0021, 0)</f>
        <v>166.86100000000002</v>
      </c>
      <c r="G986" s="14">
        <f>167.1303 * CHOOSE(CONTROL!$C$9, $D$9, 100%, $F$9) + CHOOSE(CONTROL!$C$27, 0.0021, 0)</f>
        <v>167.13240000000002</v>
      </c>
      <c r="H986" s="14">
        <f>166.9955 * CHOOSE(CONTROL!$C$9, $D$9, 100%, $F$9) + CHOOSE(CONTROL!$C$27, 0.0021, 0)</f>
        <v>166.99760000000001</v>
      </c>
      <c r="I986" s="14">
        <f>166.9955 * CHOOSE(CONTROL!$C$9, $D$9, 100%, $F$9) + CHOOSE(CONTROL!$C$27, 0.0021, 0)</f>
        <v>166.99760000000001</v>
      </c>
      <c r="J986" s="14">
        <f>166.9955 * CHOOSE(CONTROL!$C$9, $D$9, 100%, $F$9) + CHOOSE(CONTROL!$C$27, 0.0021, 0)</f>
        <v>166.99760000000001</v>
      </c>
      <c r="K986" s="14">
        <f>166.9955 * CHOOSE(CONTROL!$C$9, $D$9, 100%, $F$9) + CHOOSE(CONTROL!$C$27, 0.0021, 0)</f>
        <v>166.99760000000001</v>
      </c>
      <c r="L986" s="14"/>
    </row>
    <row r="987" spans="1:12" ht="15.75" x14ac:dyDescent="0.25">
      <c r="A987" s="32">
        <v>70979</v>
      </c>
      <c r="B987" s="14">
        <f>178.1492 * CHOOSE(CONTROL!$C$9, $D$9, 100%, $F$9) + CHOOSE(CONTROL!$C$27, 0.0021, 0)</f>
        <v>178.15130000000002</v>
      </c>
      <c r="C987" s="14">
        <f>177.7169 * CHOOSE(CONTROL!$C$9, $D$9, 100%, $F$9) + CHOOSE(CONTROL!$C$27, 0.0021, 0)</f>
        <v>177.71900000000002</v>
      </c>
      <c r="D987" s="14">
        <f>177.7169 * CHOOSE(CONTROL!$C$9, $D$9, 100%, $F$9) + CHOOSE(CONTROL!$C$27, 0.0021, 0)</f>
        <v>177.71900000000002</v>
      </c>
      <c r="E987" s="14">
        <f>177.5803 * CHOOSE(CONTROL!$C$9, $D$9, 100%, $F$9) + CHOOSE(CONTROL!$C$27, 0.0021, 0)</f>
        <v>177.58240000000001</v>
      </c>
      <c r="F987" s="14">
        <f>177.5803 * CHOOSE(CONTROL!$C$9, $D$9, 100%, $F$9) + CHOOSE(CONTROL!$C$27, 0.0021, 0)</f>
        <v>177.58240000000001</v>
      </c>
      <c r="G987" s="14">
        <f>177.8517 * CHOOSE(CONTROL!$C$9, $D$9, 100%, $F$9) + CHOOSE(CONTROL!$C$27, 0.0021, 0)</f>
        <v>177.85380000000001</v>
      </c>
      <c r="H987" s="14">
        <f>177.7169 * CHOOSE(CONTROL!$C$9, $D$9, 100%, $F$9) + CHOOSE(CONTROL!$C$27, 0.0021, 0)</f>
        <v>177.71900000000002</v>
      </c>
      <c r="I987" s="14">
        <f>177.7169 * CHOOSE(CONTROL!$C$9, $D$9, 100%, $F$9) + CHOOSE(CONTROL!$C$27, 0.0021, 0)</f>
        <v>177.71900000000002</v>
      </c>
      <c r="J987" s="14">
        <f>177.7169 * CHOOSE(CONTROL!$C$9, $D$9, 100%, $F$9) + CHOOSE(CONTROL!$C$27, 0.0021, 0)</f>
        <v>177.71900000000002</v>
      </c>
      <c r="K987" s="14">
        <f>177.7169 * CHOOSE(CONTROL!$C$9, $D$9, 100%, $F$9) + CHOOSE(CONTROL!$C$27, 0.0021, 0)</f>
        <v>177.71900000000002</v>
      </c>
      <c r="L987" s="14"/>
    </row>
    <row r="988" spans="1:12" ht="15.75" x14ac:dyDescent="0.25">
      <c r="A988" s="32">
        <v>71010</v>
      </c>
      <c r="B988" s="14">
        <f>184.0506 * CHOOSE(CONTROL!$C$9, $D$9, 100%, $F$9) + CHOOSE(CONTROL!$C$27, 0.0021, 0)</f>
        <v>184.05270000000002</v>
      </c>
      <c r="C988" s="14">
        <f>183.6184 * CHOOSE(CONTROL!$C$9, $D$9, 100%, $F$9) + CHOOSE(CONTROL!$C$27, 0.0021, 0)</f>
        <v>183.62050000000002</v>
      </c>
      <c r="D988" s="14">
        <f>183.6184 * CHOOSE(CONTROL!$C$9, $D$9, 100%, $F$9) + CHOOSE(CONTROL!$C$27, 0.0021, 0)</f>
        <v>183.62050000000002</v>
      </c>
      <c r="E988" s="14">
        <f>183.4817 * CHOOSE(CONTROL!$C$9, $D$9, 100%, $F$9) + CHOOSE(CONTROL!$C$27, 0.0021, 0)</f>
        <v>183.4838</v>
      </c>
      <c r="F988" s="14">
        <f>183.4817 * CHOOSE(CONTROL!$C$9, $D$9, 100%, $F$9) + CHOOSE(CONTROL!$C$27, 0.0021, 0)</f>
        <v>183.4838</v>
      </c>
      <c r="G988" s="14">
        <f>183.7531 * CHOOSE(CONTROL!$C$9, $D$9, 100%, $F$9) + CHOOSE(CONTROL!$C$27, 0.0021, 0)</f>
        <v>183.7552</v>
      </c>
      <c r="H988" s="14">
        <f>183.6184 * CHOOSE(CONTROL!$C$9, $D$9, 100%, $F$9) + CHOOSE(CONTROL!$C$27, 0.0021, 0)</f>
        <v>183.62050000000002</v>
      </c>
      <c r="I988" s="14">
        <f>183.6184 * CHOOSE(CONTROL!$C$9, $D$9, 100%, $F$9) + CHOOSE(CONTROL!$C$27, 0.0021, 0)</f>
        <v>183.62050000000002</v>
      </c>
      <c r="J988" s="14">
        <f>183.6184 * CHOOSE(CONTROL!$C$9, $D$9, 100%, $F$9) + CHOOSE(CONTROL!$C$27, 0.0021, 0)</f>
        <v>183.62050000000002</v>
      </c>
      <c r="K988" s="14">
        <f>183.6184 * CHOOSE(CONTROL!$C$9, $D$9, 100%, $F$9) + CHOOSE(CONTROL!$C$27, 0.0021, 0)</f>
        <v>183.62050000000002</v>
      </c>
      <c r="L988" s="14"/>
    </row>
    <row r="989" spans="1:12" ht="15.75" x14ac:dyDescent="0.25">
      <c r="A989" s="32">
        <v>71040</v>
      </c>
      <c r="B989" s="14">
        <f>186.6695 * CHOOSE(CONTROL!$C$9, $D$9, 100%, $F$9) + CHOOSE(CONTROL!$C$27, 0.0021, 0)</f>
        <v>186.67160000000001</v>
      </c>
      <c r="C989" s="14">
        <f>186.2373 * CHOOSE(CONTROL!$C$9, $D$9, 100%, $F$9) + CHOOSE(CONTROL!$C$27, 0.0021, 0)</f>
        <v>186.23940000000002</v>
      </c>
      <c r="D989" s="14">
        <f>186.2373 * CHOOSE(CONTROL!$C$9, $D$9, 100%, $F$9) + CHOOSE(CONTROL!$C$27, 0.0021, 0)</f>
        <v>186.23940000000002</v>
      </c>
      <c r="E989" s="14">
        <f>186.1006 * CHOOSE(CONTROL!$C$9, $D$9, 100%, $F$9) + CHOOSE(CONTROL!$C$27, 0.0021, 0)</f>
        <v>186.1027</v>
      </c>
      <c r="F989" s="14">
        <f>186.1006 * CHOOSE(CONTROL!$C$9, $D$9, 100%, $F$9) + CHOOSE(CONTROL!$C$27, 0.0021, 0)</f>
        <v>186.1027</v>
      </c>
      <c r="G989" s="14">
        <f>186.372 * CHOOSE(CONTROL!$C$9, $D$9, 100%, $F$9) + CHOOSE(CONTROL!$C$27, 0.0021, 0)</f>
        <v>186.37410000000003</v>
      </c>
      <c r="H989" s="14">
        <f>186.2373 * CHOOSE(CONTROL!$C$9, $D$9, 100%, $F$9) + CHOOSE(CONTROL!$C$27, 0.0021, 0)</f>
        <v>186.23940000000002</v>
      </c>
      <c r="I989" s="14">
        <f>186.2373 * CHOOSE(CONTROL!$C$9, $D$9, 100%, $F$9) + CHOOSE(CONTROL!$C$27, 0.0021, 0)</f>
        <v>186.23940000000002</v>
      </c>
      <c r="J989" s="14">
        <f>186.2373 * CHOOSE(CONTROL!$C$9, $D$9, 100%, $F$9) + CHOOSE(CONTROL!$C$27, 0.0021, 0)</f>
        <v>186.23940000000002</v>
      </c>
      <c r="K989" s="14">
        <f>186.2373 * CHOOSE(CONTROL!$C$9, $D$9, 100%, $F$9) + CHOOSE(CONTROL!$C$27, 0.0021, 0)</f>
        <v>186.23940000000002</v>
      </c>
      <c r="L989" s="14"/>
    </row>
    <row r="990" spans="1:12" ht="15.75" x14ac:dyDescent="0.25">
      <c r="A990" s="32">
        <v>71071</v>
      </c>
      <c r="B990" s="14">
        <f>185.8073 * CHOOSE(CONTROL!$C$9, $D$9, 100%, $F$9) + CHOOSE(CONTROL!$C$27, 0.0021, 0)</f>
        <v>185.80940000000001</v>
      </c>
      <c r="C990" s="14">
        <f>185.375 * CHOOSE(CONTROL!$C$9, $D$9, 100%, $F$9) + CHOOSE(CONTROL!$C$27, 0.0021, 0)</f>
        <v>185.37710000000001</v>
      </c>
      <c r="D990" s="14">
        <f>185.375 * CHOOSE(CONTROL!$C$9, $D$9, 100%, $F$9) + CHOOSE(CONTROL!$C$27, 0.0021, 0)</f>
        <v>185.37710000000001</v>
      </c>
      <c r="E990" s="14">
        <f>185.2384 * CHOOSE(CONTROL!$C$9, $D$9, 100%, $F$9) + CHOOSE(CONTROL!$C$27, 0.0021, 0)</f>
        <v>185.24050000000003</v>
      </c>
      <c r="F990" s="14">
        <f>185.2384 * CHOOSE(CONTROL!$C$9, $D$9, 100%, $F$9) + CHOOSE(CONTROL!$C$27, 0.0021, 0)</f>
        <v>185.24050000000003</v>
      </c>
      <c r="G990" s="14">
        <f>185.5097 * CHOOSE(CONTROL!$C$9, $D$9, 100%, $F$9) + CHOOSE(CONTROL!$C$27, 0.0021, 0)</f>
        <v>185.51180000000002</v>
      </c>
      <c r="H990" s="14">
        <f>185.375 * CHOOSE(CONTROL!$C$9, $D$9, 100%, $F$9) + CHOOSE(CONTROL!$C$27, 0.0021, 0)</f>
        <v>185.37710000000001</v>
      </c>
      <c r="I990" s="14">
        <f>185.375 * CHOOSE(CONTROL!$C$9, $D$9, 100%, $F$9) + CHOOSE(CONTROL!$C$27, 0.0021, 0)</f>
        <v>185.37710000000001</v>
      </c>
      <c r="J990" s="14">
        <f>185.375 * CHOOSE(CONTROL!$C$9, $D$9, 100%, $F$9) + CHOOSE(CONTROL!$C$27, 0.0021, 0)</f>
        <v>185.37710000000001</v>
      </c>
      <c r="K990" s="14">
        <f>185.375 * CHOOSE(CONTROL!$C$9, $D$9, 100%, $F$9) + CHOOSE(CONTROL!$C$27, 0.0021, 0)</f>
        <v>185.37710000000001</v>
      </c>
      <c r="L990" s="14"/>
    </row>
    <row r="991" spans="1:12" ht="15.75" x14ac:dyDescent="0.25">
      <c r="A991" s="32">
        <v>71102</v>
      </c>
      <c r="B991" s="14">
        <f>181.5351 * CHOOSE(CONTROL!$C$9, $D$9, 100%, $F$9) + CHOOSE(CONTROL!$C$27, 0.0021, 0)</f>
        <v>181.53720000000001</v>
      </c>
      <c r="C991" s="14">
        <f>181.1029 * CHOOSE(CONTROL!$C$9, $D$9, 100%, $F$9) + CHOOSE(CONTROL!$C$27, 0.0021, 0)</f>
        <v>181.10500000000002</v>
      </c>
      <c r="D991" s="14">
        <f>181.1029 * CHOOSE(CONTROL!$C$9, $D$9, 100%, $F$9) + CHOOSE(CONTROL!$C$27, 0.0021, 0)</f>
        <v>181.10500000000002</v>
      </c>
      <c r="E991" s="14">
        <f>180.9662 * CHOOSE(CONTROL!$C$9, $D$9, 100%, $F$9) + CHOOSE(CONTROL!$C$27, 0.0021, 0)</f>
        <v>180.9683</v>
      </c>
      <c r="F991" s="14">
        <f>180.9662 * CHOOSE(CONTROL!$C$9, $D$9, 100%, $F$9) + CHOOSE(CONTROL!$C$27, 0.0021, 0)</f>
        <v>180.9683</v>
      </c>
      <c r="G991" s="14">
        <f>181.2376 * CHOOSE(CONTROL!$C$9, $D$9, 100%, $F$9) + CHOOSE(CONTROL!$C$27, 0.0021, 0)</f>
        <v>181.2397</v>
      </c>
      <c r="H991" s="14">
        <f>181.1029 * CHOOSE(CONTROL!$C$9, $D$9, 100%, $F$9) + CHOOSE(CONTROL!$C$27, 0.0021, 0)</f>
        <v>181.10500000000002</v>
      </c>
      <c r="I991" s="14">
        <f>181.1029 * CHOOSE(CONTROL!$C$9, $D$9, 100%, $F$9) + CHOOSE(CONTROL!$C$27, 0.0021, 0)</f>
        <v>181.10500000000002</v>
      </c>
      <c r="J991" s="14">
        <f>181.1029 * CHOOSE(CONTROL!$C$9, $D$9, 100%, $F$9) + CHOOSE(CONTROL!$C$27, 0.0021, 0)</f>
        <v>181.10500000000002</v>
      </c>
      <c r="K991" s="14">
        <f>181.1029 * CHOOSE(CONTROL!$C$9, $D$9, 100%, $F$9) + CHOOSE(CONTROL!$C$27, 0.0021, 0)</f>
        <v>181.10500000000002</v>
      </c>
      <c r="L991" s="14"/>
    </row>
    <row r="992" spans="1:12" ht="15.75" x14ac:dyDescent="0.25">
      <c r="A992" s="32">
        <v>71132</v>
      </c>
      <c r="B992" s="14">
        <f>175.5774 * CHOOSE(CONTROL!$C$9, $D$9, 100%, $F$9) + CHOOSE(CONTROL!$C$27, 0.0021, 0)</f>
        <v>175.57950000000002</v>
      </c>
      <c r="C992" s="14">
        <f>175.1451 * CHOOSE(CONTROL!$C$9, $D$9, 100%, $F$9) + CHOOSE(CONTROL!$C$27, 0.0021, 0)</f>
        <v>175.14720000000003</v>
      </c>
      <c r="D992" s="14">
        <f>175.1451 * CHOOSE(CONTROL!$C$9, $D$9, 100%, $F$9) + CHOOSE(CONTROL!$C$27, 0.0021, 0)</f>
        <v>175.14720000000003</v>
      </c>
      <c r="E992" s="14">
        <f>175.0085 * CHOOSE(CONTROL!$C$9, $D$9, 100%, $F$9) + CHOOSE(CONTROL!$C$27, 0.0021, 0)</f>
        <v>175.01060000000001</v>
      </c>
      <c r="F992" s="14">
        <f>175.0085 * CHOOSE(CONTROL!$C$9, $D$9, 100%, $F$9) + CHOOSE(CONTROL!$C$27, 0.0021, 0)</f>
        <v>175.01060000000001</v>
      </c>
      <c r="G992" s="14">
        <f>175.2799 * CHOOSE(CONTROL!$C$9, $D$9, 100%, $F$9) + CHOOSE(CONTROL!$C$27, 0.0021, 0)</f>
        <v>175.28200000000001</v>
      </c>
      <c r="H992" s="14">
        <f>175.1451 * CHOOSE(CONTROL!$C$9, $D$9, 100%, $F$9) + CHOOSE(CONTROL!$C$27, 0.0021, 0)</f>
        <v>175.14720000000003</v>
      </c>
      <c r="I992" s="14">
        <f>175.1451 * CHOOSE(CONTROL!$C$9, $D$9, 100%, $F$9) + CHOOSE(CONTROL!$C$27, 0.0021, 0)</f>
        <v>175.14720000000003</v>
      </c>
      <c r="J992" s="14">
        <f>175.1451 * CHOOSE(CONTROL!$C$9, $D$9, 100%, $F$9) + CHOOSE(CONTROL!$C$27, 0.0021, 0)</f>
        <v>175.14720000000003</v>
      </c>
      <c r="K992" s="14">
        <f>175.1451 * CHOOSE(CONTROL!$C$9, $D$9, 100%, $F$9) + CHOOSE(CONTROL!$C$27, 0.0021, 0)</f>
        <v>175.14720000000003</v>
      </c>
      <c r="L992" s="14"/>
    </row>
    <row r="993" spans="1:12" ht="15.75" x14ac:dyDescent="0.25">
      <c r="A993" s="32">
        <v>71163</v>
      </c>
      <c r="B993" s="14">
        <f>169.585 * CHOOSE(CONTROL!$C$9, $D$9, 100%, $F$9) + CHOOSE(CONTROL!$C$27, 0.0021, 0)</f>
        <v>169.58710000000002</v>
      </c>
      <c r="C993" s="14">
        <f>169.1528 * CHOOSE(CONTROL!$C$9, $D$9, 100%, $F$9) + CHOOSE(CONTROL!$C$27, 0.0021, 0)</f>
        <v>169.15490000000003</v>
      </c>
      <c r="D993" s="14">
        <f>169.1528 * CHOOSE(CONTROL!$C$9, $D$9, 100%, $F$9) + CHOOSE(CONTROL!$C$27, 0.0021, 0)</f>
        <v>169.15490000000003</v>
      </c>
      <c r="E993" s="14">
        <f>169.0161 * CHOOSE(CONTROL!$C$9, $D$9, 100%, $F$9) + CHOOSE(CONTROL!$C$27, 0.0021, 0)</f>
        <v>169.01820000000001</v>
      </c>
      <c r="F993" s="14">
        <f>169.0161 * CHOOSE(CONTROL!$C$9, $D$9, 100%, $F$9) + CHOOSE(CONTROL!$C$27, 0.0021, 0)</f>
        <v>169.01820000000001</v>
      </c>
      <c r="G993" s="14">
        <f>169.2875 * CHOOSE(CONTROL!$C$9, $D$9, 100%, $F$9) + CHOOSE(CONTROL!$C$27, 0.0021, 0)</f>
        <v>169.28960000000001</v>
      </c>
      <c r="H993" s="14">
        <f>169.1528 * CHOOSE(CONTROL!$C$9, $D$9, 100%, $F$9) + CHOOSE(CONTROL!$C$27, 0.0021, 0)</f>
        <v>169.15490000000003</v>
      </c>
      <c r="I993" s="14">
        <f>169.1528 * CHOOSE(CONTROL!$C$9, $D$9, 100%, $F$9) + CHOOSE(CONTROL!$C$27, 0.0021, 0)</f>
        <v>169.15490000000003</v>
      </c>
      <c r="J993" s="14">
        <f>169.1528 * CHOOSE(CONTROL!$C$9, $D$9, 100%, $F$9) + CHOOSE(CONTROL!$C$27, 0.0021, 0)</f>
        <v>169.15490000000003</v>
      </c>
      <c r="K993" s="14">
        <f>169.1528 * CHOOSE(CONTROL!$C$9, $D$9, 100%, $F$9) + CHOOSE(CONTROL!$C$27, 0.0021, 0)</f>
        <v>169.15490000000003</v>
      </c>
      <c r="L993" s="14"/>
    </row>
    <row r="994" spans="1:12" ht="15.75" x14ac:dyDescent="0.25">
      <c r="A994" s="32">
        <v>71193</v>
      </c>
      <c r="B994" s="14">
        <f>168.393 * CHOOSE(CONTROL!$C$9, $D$9, 100%, $F$9) + CHOOSE(CONTROL!$C$27, 0.0021, 0)</f>
        <v>168.39510000000001</v>
      </c>
      <c r="C994" s="14">
        <f>167.9608 * CHOOSE(CONTROL!$C$9, $D$9, 100%, $F$9) + CHOOSE(CONTROL!$C$27, 0.0021, 0)</f>
        <v>167.96290000000002</v>
      </c>
      <c r="D994" s="14">
        <f>167.9608 * CHOOSE(CONTROL!$C$9, $D$9, 100%, $F$9) + CHOOSE(CONTROL!$C$27, 0.0021, 0)</f>
        <v>167.96290000000002</v>
      </c>
      <c r="E994" s="14">
        <f>167.8241 * CHOOSE(CONTROL!$C$9, $D$9, 100%, $F$9) + CHOOSE(CONTROL!$C$27, 0.0021, 0)</f>
        <v>167.8262</v>
      </c>
      <c r="F994" s="14">
        <f>167.8241 * CHOOSE(CONTROL!$C$9, $D$9, 100%, $F$9) + CHOOSE(CONTROL!$C$27, 0.0021, 0)</f>
        <v>167.8262</v>
      </c>
      <c r="G994" s="14">
        <f>168.0955 * CHOOSE(CONTROL!$C$9, $D$9, 100%, $F$9) + CHOOSE(CONTROL!$C$27, 0.0021, 0)</f>
        <v>168.0976</v>
      </c>
      <c r="H994" s="14">
        <f>167.9608 * CHOOSE(CONTROL!$C$9, $D$9, 100%, $F$9) + CHOOSE(CONTROL!$C$27, 0.0021, 0)</f>
        <v>167.96290000000002</v>
      </c>
      <c r="I994" s="14">
        <f>167.9608 * CHOOSE(CONTROL!$C$9, $D$9, 100%, $F$9) + CHOOSE(CONTROL!$C$27, 0.0021, 0)</f>
        <v>167.96290000000002</v>
      </c>
      <c r="J994" s="14">
        <f>167.9608 * CHOOSE(CONTROL!$C$9, $D$9, 100%, $F$9) + CHOOSE(CONTROL!$C$27, 0.0021, 0)</f>
        <v>167.96290000000002</v>
      </c>
      <c r="K994" s="14">
        <f>167.9608 * CHOOSE(CONTROL!$C$9, $D$9, 100%, $F$9) + CHOOSE(CONTROL!$C$27, 0.0021, 0)</f>
        <v>167.96290000000002</v>
      </c>
      <c r="L994" s="14"/>
    </row>
    <row r="995" spans="1:12" ht="15.75" x14ac:dyDescent="0.25">
      <c r="A995" s="32">
        <v>71224</v>
      </c>
      <c r="B995" s="14">
        <f>163.464 * CHOOSE(CONTROL!$C$9, $D$9, 100%, $F$9) + CHOOSE(CONTROL!$C$27, 0.0021, 0)</f>
        <v>163.46610000000001</v>
      </c>
      <c r="C995" s="14">
        <f>163.0317 * CHOOSE(CONTROL!$C$9, $D$9, 100%, $F$9) + CHOOSE(CONTROL!$C$27, 0.0021, 0)</f>
        <v>163.03380000000001</v>
      </c>
      <c r="D995" s="14">
        <f>163.0317 * CHOOSE(CONTROL!$C$9, $D$9, 100%, $F$9) + CHOOSE(CONTROL!$C$27, 0.0021, 0)</f>
        <v>163.03380000000001</v>
      </c>
      <c r="E995" s="14">
        <f>162.8951 * CHOOSE(CONTROL!$C$9, $D$9, 100%, $F$9) + CHOOSE(CONTROL!$C$27, 0.0021, 0)</f>
        <v>162.89720000000003</v>
      </c>
      <c r="F995" s="14">
        <f>162.8951 * CHOOSE(CONTROL!$C$9, $D$9, 100%, $F$9) + CHOOSE(CONTROL!$C$27, 0.0021, 0)</f>
        <v>162.89720000000003</v>
      </c>
      <c r="G995" s="14">
        <f>163.1664 * CHOOSE(CONTROL!$C$9, $D$9, 100%, $F$9) + CHOOSE(CONTROL!$C$27, 0.0021, 0)</f>
        <v>163.16850000000002</v>
      </c>
      <c r="H995" s="14">
        <f>163.0317 * CHOOSE(CONTROL!$C$9, $D$9, 100%, $F$9) + CHOOSE(CONTROL!$C$27, 0.0021, 0)</f>
        <v>163.03380000000001</v>
      </c>
      <c r="I995" s="14">
        <f>163.0317 * CHOOSE(CONTROL!$C$9, $D$9, 100%, $F$9) + CHOOSE(CONTROL!$C$27, 0.0021, 0)</f>
        <v>163.03380000000001</v>
      </c>
      <c r="J995" s="14">
        <f>163.0317 * CHOOSE(CONTROL!$C$9, $D$9, 100%, $F$9) + CHOOSE(CONTROL!$C$27, 0.0021, 0)</f>
        <v>163.03380000000001</v>
      </c>
      <c r="K995" s="14">
        <f>163.0317 * CHOOSE(CONTROL!$C$9, $D$9, 100%, $F$9) + CHOOSE(CONTROL!$C$27, 0.0021, 0)</f>
        <v>163.03380000000001</v>
      </c>
      <c r="L995" s="14"/>
    </row>
    <row r="996" spans="1:12" ht="15.75" x14ac:dyDescent="0.25">
      <c r="A996" s="32">
        <v>71255</v>
      </c>
      <c r="B996" s="14">
        <f>162.5043 * CHOOSE(CONTROL!$C$9, $D$9, 100%, $F$9) + CHOOSE(CONTROL!$C$27, 0.0021, 0)</f>
        <v>162.50640000000001</v>
      </c>
      <c r="C996" s="14">
        <f>162.0721 * CHOOSE(CONTROL!$C$9, $D$9, 100%, $F$9) + CHOOSE(CONTROL!$C$27, 0.0021, 0)</f>
        <v>162.07420000000002</v>
      </c>
      <c r="D996" s="14">
        <f>162.0721 * CHOOSE(CONTROL!$C$9, $D$9, 100%, $F$9) + CHOOSE(CONTROL!$C$27, 0.0021, 0)</f>
        <v>162.07420000000002</v>
      </c>
      <c r="E996" s="14">
        <f>161.9354 * CHOOSE(CONTROL!$C$9, $D$9, 100%, $F$9) + CHOOSE(CONTROL!$C$27, 0.0021, 0)</f>
        <v>161.9375</v>
      </c>
      <c r="F996" s="14">
        <f>161.9354 * CHOOSE(CONTROL!$C$9, $D$9, 100%, $F$9) + CHOOSE(CONTROL!$C$27, 0.0021, 0)</f>
        <v>161.9375</v>
      </c>
      <c r="G996" s="14">
        <f>162.2068 * CHOOSE(CONTROL!$C$9, $D$9, 100%, $F$9) + CHOOSE(CONTROL!$C$27, 0.0021, 0)</f>
        <v>162.2089</v>
      </c>
      <c r="H996" s="14">
        <f>162.0721 * CHOOSE(CONTROL!$C$9, $D$9, 100%, $F$9) + CHOOSE(CONTROL!$C$27, 0.0021, 0)</f>
        <v>162.07420000000002</v>
      </c>
      <c r="I996" s="14">
        <f>162.0721 * CHOOSE(CONTROL!$C$9, $D$9, 100%, $F$9) + CHOOSE(CONTROL!$C$27, 0.0021, 0)</f>
        <v>162.07420000000002</v>
      </c>
      <c r="J996" s="14">
        <f>162.0721 * CHOOSE(CONTROL!$C$9, $D$9, 100%, $F$9) + CHOOSE(CONTROL!$C$27, 0.0021, 0)</f>
        <v>162.07420000000002</v>
      </c>
      <c r="K996" s="14">
        <f>162.0721 * CHOOSE(CONTROL!$C$9, $D$9, 100%, $F$9) + CHOOSE(CONTROL!$C$27, 0.0021, 0)</f>
        <v>162.07420000000002</v>
      </c>
      <c r="L996" s="14"/>
    </row>
    <row r="997" spans="1:12" ht="15.75" x14ac:dyDescent="0.25">
      <c r="A997" s="32">
        <v>71283</v>
      </c>
      <c r="B997" s="14">
        <f>162.059 * CHOOSE(CONTROL!$C$9, $D$9, 100%, $F$9) + CHOOSE(CONTROL!$C$27, 0.0021, 0)</f>
        <v>162.06110000000001</v>
      </c>
      <c r="C997" s="14">
        <f>161.6267 * CHOOSE(CONTROL!$C$9, $D$9, 100%, $F$9) + CHOOSE(CONTROL!$C$27, 0.0021, 0)</f>
        <v>161.62880000000001</v>
      </c>
      <c r="D997" s="14">
        <f>161.6267 * CHOOSE(CONTROL!$C$9, $D$9, 100%, $F$9) + CHOOSE(CONTROL!$C$27, 0.0021, 0)</f>
        <v>161.62880000000001</v>
      </c>
      <c r="E997" s="14">
        <f>161.4901 * CHOOSE(CONTROL!$C$9, $D$9, 100%, $F$9) + CHOOSE(CONTROL!$C$27, 0.0021, 0)</f>
        <v>161.49220000000003</v>
      </c>
      <c r="F997" s="14">
        <f>161.4901 * CHOOSE(CONTROL!$C$9, $D$9, 100%, $F$9) + CHOOSE(CONTROL!$C$27, 0.0021, 0)</f>
        <v>161.49220000000003</v>
      </c>
      <c r="G997" s="14">
        <f>161.7615 * CHOOSE(CONTROL!$C$9, $D$9, 100%, $F$9) + CHOOSE(CONTROL!$C$27, 0.0021, 0)</f>
        <v>161.76360000000003</v>
      </c>
      <c r="H997" s="14">
        <f>161.6267 * CHOOSE(CONTROL!$C$9, $D$9, 100%, $F$9) + CHOOSE(CONTROL!$C$27, 0.0021, 0)</f>
        <v>161.62880000000001</v>
      </c>
      <c r="I997" s="14">
        <f>161.6267 * CHOOSE(CONTROL!$C$9, $D$9, 100%, $F$9) + CHOOSE(CONTROL!$C$27, 0.0021, 0)</f>
        <v>161.62880000000001</v>
      </c>
      <c r="J997" s="14">
        <f>161.6267 * CHOOSE(CONTROL!$C$9, $D$9, 100%, $F$9) + CHOOSE(CONTROL!$C$27, 0.0021, 0)</f>
        <v>161.62880000000001</v>
      </c>
      <c r="K997" s="14">
        <f>161.6267 * CHOOSE(CONTROL!$C$9, $D$9, 100%, $F$9) + CHOOSE(CONTROL!$C$27, 0.0021, 0)</f>
        <v>161.62880000000001</v>
      </c>
      <c r="L997" s="14"/>
    </row>
    <row r="998" spans="1:12" ht="15.75" x14ac:dyDescent="0.25">
      <c r="A998" s="32">
        <v>71314</v>
      </c>
      <c r="B998" s="14">
        <f>170.4796 * CHOOSE(CONTROL!$C$9, $D$9, 100%, $F$9) + CHOOSE(CONTROL!$C$27, 0.0021, 0)</f>
        <v>170.48170000000002</v>
      </c>
      <c r="C998" s="14">
        <f>170.0474 * CHOOSE(CONTROL!$C$9, $D$9, 100%, $F$9) + CHOOSE(CONTROL!$C$27, 0.0021, 0)</f>
        <v>170.04950000000002</v>
      </c>
      <c r="D998" s="14">
        <f>170.0474 * CHOOSE(CONTROL!$C$9, $D$9, 100%, $F$9) + CHOOSE(CONTROL!$C$27, 0.0021, 0)</f>
        <v>170.04950000000002</v>
      </c>
      <c r="E998" s="14">
        <f>169.9107 * CHOOSE(CONTROL!$C$9, $D$9, 100%, $F$9) + CHOOSE(CONTROL!$C$27, 0.0021, 0)</f>
        <v>169.9128</v>
      </c>
      <c r="F998" s="14">
        <f>169.9107 * CHOOSE(CONTROL!$C$9, $D$9, 100%, $F$9) + CHOOSE(CONTROL!$C$27, 0.0021, 0)</f>
        <v>169.9128</v>
      </c>
      <c r="G998" s="14">
        <f>170.1821 * CHOOSE(CONTROL!$C$9, $D$9, 100%, $F$9) + CHOOSE(CONTROL!$C$27, 0.0021, 0)</f>
        <v>170.1842</v>
      </c>
      <c r="H998" s="14">
        <f>170.0474 * CHOOSE(CONTROL!$C$9, $D$9, 100%, $F$9) + CHOOSE(CONTROL!$C$27, 0.0021, 0)</f>
        <v>170.04950000000002</v>
      </c>
      <c r="I998" s="14">
        <f>170.0474 * CHOOSE(CONTROL!$C$9, $D$9, 100%, $F$9) + CHOOSE(CONTROL!$C$27, 0.0021, 0)</f>
        <v>170.04950000000002</v>
      </c>
      <c r="J998" s="14">
        <f>170.0474 * CHOOSE(CONTROL!$C$9, $D$9, 100%, $F$9) + CHOOSE(CONTROL!$C$27, 0.0021, 0)</f>
        <v>170.04950000000002</v>
      </c>
      <c r="K998" s="14">
        <f>170.0474 * CHOOSE(CONTROL!$C$9, $D$9, 100%, $F$9) + CHOOSE(CONTROL!$C$27, 0.0021, 0)</f>
        <v>170.04950000000002</v>
      </c>
      <c r="L998" s="14"/>
    </row>
    <row r="999" spans="1:12" ht="15.75" x14ac:dyDescent="0.25">
      <c r="A999" s="32">
        <v>71344</v>
      </c>
      <c r="B999" s="14">
        <f>181.3992 * CHOOSE(CONTROL!$C$9, $D$9, 100%, $F$9) + CHOOSE(CONTROL!$C$27, 0.0021, 0)</f>
        <v>181.40130000000002</v>
      </c>
      <c r="C999" s="14">
        <f>180.9669 * CHOOSE(CONTROL!$C$9, $D$9, 100%, $F$9) + CHOOSE(CONTROL!$C$27, 0.0021, 0)</f>
        <v>180.96900000000002</v>
      </c>
      <c r="D999" s="14">
        <f>180.9669 * CHOOSE(CONTROL!$C$9, $D$9, 100%, $F$9) + CHOOSE(CONTROL!$C$27, 0.0021, 0)</f>
        <v>180.96900000000002</v>
      </c>
      <c r="E999" s="14">
        <f>180.8303 * CHOOSE(CONTROL!$C$9, $D$9, 100%, $F$9) + CHOOSE(CONTROL!$C$27, 0.0021, 0)</f>
        <v>180.83240000000001</v>
      </c>
      <c r="F999" s="14">
        <f>180.8303 * CHOOSE(CONTROL!$C$9, $D$9, 100%, $F$9) + CHOOSE(CONTROL!$C$27, 0.0021, 0)</f>
        <v>180.83240000000001</v>
      </c>
      <c r="G999" s="14">
        <f>181.1016 * CHOOSE(CONTROL!$C$9, $D$9, 100%, $F$9) + CHOOSE(CONTROL!$C$27, 0.0021, 0)</f>
        <v>181.1037</v>
      </c>
      <c r="H999" s="14">
        <f>180.9669 * CHOOSE(CONTROL!$C$9, $D$9, 100%, $F$9) + CHOOSE(CONTROL!$C$27, 0.0021, 0)</f>
        <v>180.96900000000002</v>
      </c>
      <c r="I999" s="14">
        <f>180.9669 * CHOOSE(CONTROL!$C$9, $D$9, 100%, $F$9) + CHOOSE(CONTROL!$C$27, 0.0021, 0)</f>
        <v>180.96900000000002</v>
      </c>
      <c r="J999" s="14">
        <f>180.9669 * CHOOSE(CONTROL!$C$9, $D$9, 100%, $F$9) + CHOOSE(CONTROL!$C$27, 0.0021, 0)</f>
        <v>180.96900000000002</v>
      </c>
      <c r="K999" s="14">
        <f>180.9669 * CHOOSE(CONTROL!$C$9, $D$9, 100%, $F$9) + CHOOSE(CONTROL!$C$27, 0.0021, 0)</f>
        <v>180.96900000000002</v>
      </c>
      <c r="L999" s="14"/>
    </row>
    <row r="1000" spans="1:12" ht="15.75" x14ac:dyDescent="0.25">
      <c r="A1000" s="32">
        <v>71375</v>
      </c>
      <c r="B1000" s="14">
        <f>187.4096 * CHOOSE(CONTROL!$C$9, $D$9, 100%, $F$9) + CHOOSE(CONTROL!$C$27, 0.0021, 0)</f>
        <v>187.41170000000002</v>
      </c>
      <c r="C1000" s="14">
        <f>186.9774 * CHOOSE(CONTROL!$C$9, $D$9, 100%, $F$9) + CHOOSE(CONTROL!$C$27, 0.0021, 0)</f>
        <v>186.9795</v>
      </c>
      <c r="D1000" s="14">
        <f>186.9774 * CHOOSE(CONTROL!$C$9, $D$9, 100%, $F$9) + CHOOSE(CONTROL!$C$27, 0.0021, 0)</f>
        <v>186.9795</v>
      </c>
      <c r="E1000" s="14">
        <f>186.8407 * CHOOSE(CONTROL!$C$9, $D$9, 100%, $F$9) + CHOOSE(CONTROL!$C$27, 0.0021, 0)</f>
        <v>186.84280000000001</v>
      </c>
      <c r="F1000" s="14">
        <f>186.8407 * CHOOSE(CONTROL!$C$9, $D$9, 100%, $F$9) + CHOOSE(CONTROL!$C$27, 0.0021, 0)</f>
        <v>186.84280000000001</v>
      </c>
      <c r="G1000" s="14">
        <f>187.1121 * CHOOSE(CONTROL!$C$9, $D$9, 100%, $F$9) + CHOOSE(CONTROL!$C$27, 0.0021, 0)</f>
        <v>187.11420000000001</v>
      </c>
      <c r="H1000" s="14">
        <f>186.9774 * CHOOSE(CONTROL!$C$9, $D$9, 100%, $F$9) + CHOOSE(CONTROL!$C$27, 0.0021, 0)</f>
        <v>186.9795</v>
      </c>
      <c r="I1000" s="14">
        <f>186.9774 * CHOOSE(CONTROL!$C$9, $D$9, 100%, $F$9) + CHOOSE(CONTROL!$C$27, 0.0021, 0)</f>
        <v>186.9795</v>
      </c>
      <c r="J1000" s="14">
        <f>186.9774 * CHOOSE(CONTROL!$C$9, $D$9, 100%, $F$9) + CHOOSE(CONTROL!$C$27, 0.0021, 0)</f>
        <v>186.9795</v>
      </c>
      <c r="K1000" s="14">
        <f>186.9774 * CHOOSE(CONTROL!$C$9, $D$9, 100%, $F$9) + CHOOSE(CONTROL!$C$27, 0.0021, 0)</f>
        <v>186.9795</v>
      </c>
      <c r="L1000" s="14"/>
    </row>
    <row r="1001" spans="1:12" ht="15.75" x14ac:dyDescent="0.25">
      <c r="A1001" s="32">
        <v>71405</v>
      </c>
      <c r="B1001" s="14">
        <f>190.077 * CHOOSE(CONTROL!$C$9, $D$9, 100%, $F$9) + CHOOSE(CONTROL!$C$27, 0.0021, 0)</f>
        <v>190.07910000000001</v>
      </c>
      <c r="C1001" s="14">
        <f>189.6447 * CHOOSE(CONTROL!$C$9, $D$9, 100%, $F$9) + CHOOSE(CONTROL!$C$27, 0.0021, 0)</f>
        <v>189.64680000000001</v>
      </c>
      <c r="D1001" s="14">
        <f>189.6447 * CHOOSE(CONTROL!$C$9, $D$9, 100%, $F$9) + CHOOSE(CONTROL!$C$27, 0.0021, 0)</f>
        <v>189.64680000000001</v>
      </c>
      <c r="E1001" s="14">
        <f>189.5081 * CHOOSE(CONTROL!$C$9, $D$9, 100%, $F$9) + CHOOSE(CONTROL!$C$27, 0.0021, 0)</f>
        <v>189.51020000000003</v>
      </c>
      <c r="F1001" s="14">
        <f>189.5081 * CHOOSE(CONTROL!$C$9, $D$9, 100%, $F$9) + CHOOSE(CONTROL!$C$27, 0.0021, 0)</f>
        <v>189.51020000000003</v>
      </c>
      <c r="G1001" s="14">
        <f>189.7794 * CHOOSE(CONTROL!$C$9, $D$9, 100%, $F$9) + CHOOSE(CONTROL!$C$27, 0.0021, 0)</f>
        <v>189.78150000000002</v>
      </c>
      <c r="H1001" s="14">
        <f>189.6447 * CHOOSE(CONTROL!$C$9, $D$9, 100%, $F$9) + CHOOSE(CONTROL!$C$27, 0.0021, 0)</f>
        <v>189.64680000000001</v>
      </c>
      <c r="I1001" s="14">
        <f>189.6447 * CHOOSE(CONTROL!$C$9, $D$9, 100%, $F$9) + CHOOSE(CONTROL!$C$27, 0.0021, 0)</f>
        <v>189.64680000000001</v>
      </c>
      <c r="J1001" s="14">
        <f>189.6447 * CHOOSE(CONTROL!$C$9, $D$9, 100%, $F$9) + CHOOSE(CONTROL!$C$27, 0.0021, 0)</f>
        <v>189.64680000000001</v>
      </c>
      <c r="K1001" s="14">
        <f>189.6447 * CHOOSE(CONTROL!$C$9, $D$9, 100%, $F$9) + CHOOSE(CONTROL!$C$27, 0.0021, 0)</f>
        <v>189.64680000000001</v>
      </c>
      <c r="L1001" s="14"/>
    </row>
    <row r="1002" spans="1:12" ht="15.75" x14ac:dyDescent="0.25">
      <c r="A1002" s="32">
        <v>71436</v>
      </c>
      <c r="B1002" s="14">
        <f>189.1988 * CHOOSE(CONTROL!$C$9, $D$9, 100%, $F$9) + CHOOSE(CONTROL!$C$27, 0.0021, 0)</f>
        <v>189.20090000000002</v>
      </c>
      <c r="C1002" s="14">
        <f>188.7665 * CHOOSE(CONTROL!$C$9, $D$9, 100%, $F$9) + CHOOSE(CONTROL!$C$27, 0.0021, 0)</f>
        <v>188.76860000000002</v>
      </c>
      <c r="D1002" s="14">
        <f>188.7665 * CHOOSE(CONTROL!$C$9, $D$9, 100%, $F$9) + CHOOSE(CONTROL!$C$27, 0.0021, 0)</f>
        <v>188.76860000000002</v>
      </c>
      <c r="E1002" s="14">
        <f>188.6299 * CHOOSE(CONTROL!$C$9, $D$9, 100%, $F$9) + CHOOSE(CONTROL!$C$27, 0.0021, 0)</f>
        <v>188.63200000000001</v>
      </c>
      <c r="F1002" s="14">
        <f>188.6299 * CHOOSE(CONTROL!$C$9, $D$9, 100%, $F$9) + CHOOSE(CONTROL!$C$27, 0.0021, 0)</f>
        <v>188.63200000000001</v>
      </c>
      <c r="G1002" s="14">
        <f>188.9012 * CHOOSE(CONTROL!$C$9, $D$9, 100%, $F$9) + CHOOSE(CONTROL!$C$27, 0.0021, 0)</f>
        <v>188.9033</v>
      </c>
      <c r="H1002" s="14">
        <f>188.7665 * CHOOSE(CONTROL!$C$9, $D$9, 100%, $F$9) + CHOOSE(CONTROL!$C$27, 0.0021, 0)</f>
        <v>188.76860000000002</v>
      </c>
      <c r="I1002" s="14">
        <f>188.7665 * CHOOSE(CONTROL!$C$9, $D$9, 100%, $F$9) + CHOOSE(CONTROL!$C$27, 0.0021, 0)</f>
        <v>188.76860000000002</v>
      </c>
      <c r="J1002" s="14">
        <f>188.7665 * CHOOSE(CONTROL!$C$9, $D$9, 100%, $F$9) + CHOOSE(CONTROL!$C$27, 0.0021, 0)</f>
        <v>188.76860000000002</v>
      </c>
      <c r="K1002" s="14">
        <f>188.7665 * CHOOSE(CONTROL!$C$9, $D$9, 100%, $F$9) + CHOOSE(CONTROL!$C$27, 0.0021, 0)</f>
        <v>188.76860000000002</v>
      </c>
      <c r="L1002" s="14"/>
    </row>
    <row r="1003" spans="1:12" ht="15.75" x14ac:dyDescent="0.25">
      <c r="A1003" s="32">
        <v>71467</v>
      </c>
      <c r="B1003" s="14">
        <f>184.8477 * CHOOSE(CONTROL!$C$9, $D$9, 100%, $F$9) + CHOOSE(CONTROL!$C$27, 0.0021, 0)</f>
        <v>184.84980000000002</v>
      </c>
      <c r="C1003" s="14">
        <f>184.4154 * CHOOSE(CONTROL!$C$9, $D$9, 100%, $F$9) + CHOOSE(CONTROL!$C$27, 0.0021, 0)</f>
        <v>184.41750000000002</v>
      </c>
      <c r="D1003" s="14">
        <f>184.4154 * CHOOSE(CONTROL!$C$9, $D$9, 100%, $F$9) + CHOOSE(CONTROL!$C$27, 0.0021, 0)</f>
        <v>184.41750000000002</v>
      </c>
      <c r="E1003" s="14">
        <f>184.2788 * CHOOSE(CONTROL!$C$9, $D$9, 100%, $F$9) + CHOOSE(CONTROL!$C$27, 0.0021, 0)</f>
        <v>184.2809</v>
      </c>
      <c r="F1003" s="14">
        <f>184.2788 * CHOOSE(CONTROL!$C$9, $D$9, 100%, $F$9) + CHOOSE(CONTROL!$C$27, 0.0021, 0)</f>
        <v>184.2809</v>
      </c>
      <c r="G1003" s="14">
        <f>184.5501 * CHOOSE(CONTROL!$C$9, $D$9, 100%, $F$9) + CHOOSE(CONTROL!$C$27, 0.0021, 0)</f>
        <v>184.5522</v>
      </c>
      <c r="H1003" s="14">
        <f>184.4154 * CHOOSE(CONTROL!$C$9, $D$9, 100%, $F$9) + CHOOSE(CONTROL!$C$27, 0.0021, 0)</f>
        <v>184.41750000000002</v>
      </c>
      <c r="I1003" s="14">
        <f>184.4154 * CHOOSE(CONTROL!$C$9, $D$9, 100%, $F$9) + CHOOSE(CONTROL!$C$27, 0.0021, 0)</f>
        <v>184.41750000000002</v>
      </c>
      <c r="J1003" s="14">
        <f>184.4154 * CHOOSE(CONTROL!$C$9, $D$9, 100%, $F$9) + CHOOSE(CONTROL!$C$27, 0.0021, 0)</f>
        <v>184.41750000000002</v>
      </c>
      <c r="K1003" s="14">
        <f>184.4154 * CHOOSE(CONTROL!$C$9, $D$9, 100%, $F$9) + CHOOSE(CONTROL!$C$27, 0.0021, 0)</f>
        <v>184.41750000000002</v>
      </c>
      <c r="L1003" s="14"/>
    </row>
    <row r="1004" spans="1:12" ht="15.75" x14ac:dyDescent="0.25">
      <c r="A1004" s="32">
        <v>71497</v>
      </c>
      <c r="B1004" s="14">
        <f>178.7798 * CHOOSE(CONTROL!$C$9, $D$9, 100%, $F$9) + CHOOSE(CONTROL!$C$27, 0.0021, 0)</f>
        <v>178.78190000000001</v>
      </c>
      <c r="C1004" s="14">
        <f>178.3476 * CHOOSE(CONTROL!$C$9, $D$9, 100%, $F$9) + CHOOSE(CONTROL!$C$27, 0.0021, 0)</f>
        <v>178.34970000000001</v>
      </c>
      <c r="D1004" s="14">
        <f>178.3476 * CHOOSE(CONTROL!$C$9, $D$9, 100%, $F$9) + CHOOSE(CONTROL!$C$27, 0.0021, 0)</f>
        <v>178.34970000000001</v>
      </c>
      <c r="E1004" s="14">
        <f>178.2109 * CHOOSE(CONTROL!$C$9, $D$9, 100%, $F$9) + CHOOSE(CONTROL!$C$27, 0.0021, 0)</f>
        <v>178.21300000000002</v>
      </c>
      <c r="F1004" s="14">
        <f>178.2109 * CHOOSE(CONTROL!$C$9, $D$9, 100%, $F$9) + CHOOSE(CONTROL!$C$27, 0.0021, 0)</f>
        <v>178.21300000000002</v>
      </c>
      <c r="G1004" s="14">
        <f>178.4823 * CHOOSE(CONTROL!$C$9, $D$9, 100%, $F$9) + CHOOSE(CONTROL!$C$27, 0.0021, 0)</f>
        <v>178.48440000000002</v>
      </c>
      <c r="H1004" s="14">
        <f>178.3476 * CHOOSE(CONTROL!$C$9, $D$9, 100%, $F$9) + CHOOSE(CONTROL!$C$27, 0.0021, 0)</f>
        <v>178.34970000000001</v>
      </c>
      <c r="I1004" s="14">
        <f>178.3476 * CHOOSE(CONTROL!$C$9, $D$9, 100%, $F$9) + CHOOSE(CONTROL!$C$27, 0.0021, 0)</f>
        <v>178.34970000000001</v>
      </c>
      <c r="J1004" s="14">
        <f>178.3476 * CHOOSE(CONTROL!$C$9, $D$9, 100%, $F$9) + CHOOSE(CONTROL!$C$27, 0.0021, 0)</f>
        <v>178.34970000000001</v>
      </c>
      <c r="K1004" s="14">
        <f>178.3476 * CHOOSE(CONTROL!$C$9, $D$9, 100%, $F$9) + CHOOSE(CONTROL!$C$27, 0.0021, 0)</f>
        <v>178.34970000000001</v>
      </c>
      <c r="L1004" s="14"/>
    </row>
    <row r="1005" spans="1:12" ht="15.75" x14ac:dyDescent="0.25">
      <c r="A1005" s="32">
        <v>71528</v>
      </c>
      <c r="B1005" s="14">
        <f>172.6767 * CHOOSE(CONTROL!$C$9, $D$9, 100%, $F$9) + CHOOSE(CONTROL!$C$27, 0.0021, 0)</f>
        <v>172.67880000000002</v>
      </c>
      <c r="C1005" s="14">
        <f>172.2445 * CHOOSE(CONTROL!$C$9, $D$9, 100%, $F$9) + CHOOSE(CONTROL!$C$27, 0.0021, 0)</f>
        <v>172.2466</v>
      </c>
      <c r="D1005" s="14">
        <f>172.2445 * CHOOSE(CONTROL!$C$9, $D$9, 100%, $F$9) + CHOOSE(CONTROL!$C$27, 0.0021, 0)</f>
        <v>172.2466</v>
      </c>
      <c r="E1005" s="14">
        <f>172.1078 * CHOOSE(CONTROL!$C$9, $D$9, 100%, $F$9) + CHOOSE(CONTROL!$C$27, 0.0021, 0)</f>
        <v>172.10990000000001</v>
      </c>
      <c r="F1005" s="14">
        <f>172.1078 * CHOOSE(CONTROL!$C$9, $D$9, 100%, $F$9) + CHOOSE(CONTROL!$C$27, 0.0021, 0)</f>
        <v>172.10990000000001</v>
      </c>
      <c r="G1005" s="14">
        <f>172.3792 * CHOOSE(CONTROL!$C$9, $D$9, 100%, $F$9) + CHOOSE(CONTROL!$C$27, 0.0021, 0)</f>
        <v>172.38130000000001</v>
      </c>
      <c r="H1005" s="14">
        <f>172.2445 * CHOOSE(CONTROL!$C$9, $D$9, 100%, $F$9) + CHOOSE(CONTROL!$C$27, 0.0021, 0)</f>
        <v>172.2466</v>
      </c>
      <c r="I1005" s="14">
        <f>172.2445 * CHOOSE(CONTROL!$C$9, $D$9, 100%, $F$9) + CHOOSE(CONTROL!$C$27, 0.0021, 0)</f>
        <v>172.2466</v>
      </c>
      <c r="J1005" s="14">
        <f>172.2445 * CHOOSE(CONTROL!$C$9, $D$9, 100%, $F$9) + CHOOSE(CONTROL!$C$27, 0.0021, 0)</f>
        <v>172.2466</v>
      </c>
      <c r="K1005" s="14">
        <f>172.2445 * CHOOSE(CONTROL!$C$9, $D$9, 100%, $F$9) + CHOOSE(CONTROL!$C$27, 0.0021, 0)</f>
        <v>172.2466</v>
      </c>
      <c r="L1005" s="14"/>
    </row>
    <row r="1006" spans="1:12" ht="15.75" x14ac:dyDescent="0.25">
      <c r="A1006" s="32">
        <v>71558</v>
      </c>
      <c r="B1006" s="14">
        <f>171.4627 * CHOOSE(CONTROL!$C$9, $D$9, 100%, $F$9) + CHOOSE(CONTROL!$C$27, 0.0021, 0)</f>
        <v>171.46480000000003</v>
      </c>
      <c r="C1006" s="14">
        <f>171.0304 * CHOOSE(CONTROL!$C$9, $D$9, 100%, $F$9) + CHOOSE(CONTROL!$C$27, 0.0021, 0)</f>
        <v>171.0325</v>
      </c>
      <c r="D1006" s="14">
        <f>171.0304 * CHOOSE(CONTROL!$C$9, $D$9, 100%, $F$9) + CHOOSE(CONTROL!$C$27, 0.0021, 0)</f>
        <v>171.0325</v>
      </c>
      <c r="E1006" s="14">
        <f>170.8938 * CHOOSE(CONTROL!$C$9, $D$9, 100%, $F$9) + CHOOSE(CONTROL!$C$27, 0.0021, 0)</f>
        <v>170.89590000000001</v>
      </c>
      <c r="F1006" s="14">
        <f>170.8938 * CHOOSE(CONTROL!$C$9, $D$9, 100%, $F$9) + CHOOSE(CONTROL!$C$27, 0.0021, 0)</f>
        <v>170.89590000000001</v>
      </c>
      <c r="G1006" s="14">
        <f>171.1652 * CHOOSE(CONTROL!$C$9, $D$9, 100%, $F$9) + CHOOSE(CONTROL!$C$27, 0.0021, 0)</f>
        <v>171.16730000000001</v>
      </c>
      <c r="H1006" s="14">
        <f>171.0304 * CHOOSE(CONTROL!$C$9, $D$9, 100%, $F$9) + CHOOSE(CONTROL!$C$27, 0.0021, 0)</f>
        <v>171.0325</v>
      </c>
      <c r="I1006" s="14">
        <f>171.0304 * CHOOSE(CONTROL!$C$9, $D$9, 100%, $F$9) + CHOOSE(CONTROL!$C$27, 0.0021, 0)</f>
        <v>171.0325</v>
      </c>
      <c r="J1006" s="14">
        <f>171.0304 * CHOOSE(CONTROL!$C$9, $D$9, 100%, $F$9) + CHOOSE(CONTROL!$C$27, 0.0021, 0)</f>
        <v>171.0325</v>
      </c>
      <c r="K1006" s="14">
        <f>171.0304 * CHOOSE(CONTROL!$C$9, $D$9, 100%, $F$9) + CHOOSE(CONTROL!$C$27, 0.0021, 0)</f>
        <v>171.0325</v>
      </c>
      <c r="L1006" s="14"/>
    </row>
    <row r="1007" spans="1:12" ht="15.75" x14ac:dyDescent="0.25">
      <c r="A1007" s="32">
        <v>71589</v>
      </c>
      <c r="B1007" s="14">
        <f>166.4425 * CHOOSE(CONTROL!$C$9, $D$9, 100%, $F$9) + CHOOSE(CONTROL!$C$27, 0.0021, 0)</f>
        <v>166.44460000000001</v>
      </c>
      <c r="C1007" s="14">
        <f>166.0103 * CHOOSE(CONTROL!$C$9, $D$9, 100%, $F$9) + CHOOSE(CONTROL!$C$27, 0.0021, 0)</f>
        <v>166.01240000000001</v>
      </c>
      <c r="D1007" s="14">
        <f>166.0103 * CHOOSE(CONTROL!$C$9, $D$9, 100%, $F$9) + CHOOSE(CONTROL!$C$27, 0.0021, 0)</f>
        <v>166.01240000000001</v>
      </c>
      <c r="E1007" s="14">
        <f>165.8736 * CHOOSE(CONTROL!$C$9, $D$9, 100%, $F$9) + CHOOSE(CONTROL!$C$27, 0.0021, 0)</f>
        <v>165.87570000000002</v>
      </c>
      <c r="F1007" s="14">
        <f>165.8736 * CHOOSE(CONTROL!$C$9, $D$9, 100%, $F$9) + CHOOSE(CONTROL!$C$27, 0.0021, 0)</f>
        <v>165.87570000000002</v>
      </c>
      <c r="G1007" s="14">
        <f>166.145 * CHOOSE(CONTROL!$C$9, $D$9, 100%, $F$9) + CHOOSE(CONTROL!$C$27, 0.0021, 0)</f>
        <v>166.14710000000002</v>
      </c>
      <c r="H1007" s="14">
        <f>166.0103 * CHOOSE(CONTROL!$C$9, $D$9, 100%, $F$9) + CHOOSE(CONTROL!$C$27, 0.0021, 0)</f>
        <v>166.01240000000001</v>
      </c>
      <c r="I1007" s="14">
        <f>166.0103 * CHOOSE(CONTROL!$C$9, $D$9, 100%, $F$9) + CHOOSE(CONTROL!$C$27, 0.0021, 0)</f>
        <v>166.01240000000001</v>
      </c>
      <c r="J1007" s="14">
        <f>166.0103 * CHOOSE(CONTROL!$C$9, $D$9, 100%, $F$9) + CHOOSE(CONTROL!$C$27, 0.0021, 0)</f>
        <v>166.01240000000001</v>
      </c>
      <c r="K1007" s="14">
        <f>166.0103 * CHOOSE(CONTROL!$C$9, $D$9, 100%, $F$9) + CHOOSE(CONTROL!$C$27, 0.0021, 0)</f>
        <v>166.01240000000001</v>
      </c>
      <c r="L1007" s="14"/>
    </row>
    <row r="1008" spans="1:12" ht="15.75" x14ac:dyDescent="0.25">
      <c r="A1008" s="32">
        <v>71620</v>
      </c>
      <c r="B1008" s="14">
        <f>165.4652 * CHOOSE(CONTROL!$C$9, $D$9, 100%, $F$9) + CHOOSE(CONTROL!$C$27, 0.0021, 0)</f>
        <v>165.46730000000002</v>
      </c>
      <c r="C1008" s="14">
        <f>165.0329 * CHOOSE(CONTROL!$C$9, $D$9, 100%, $F$9) + CHOOSE(CONTROL!$C$27, 0.0021, 0)</f>
        <v>165.03500000000003</v>
      </c>
      <c r="D1008" s="14">
        <f>165.0329 * CHOOSE(CONTROL!$C$9, $D$9, 100%, $F$9) + CHOOSE(CONTROL!$C$27, 0.0021, 0)</f>
        <v>165.03500000000003</v>
      </c>
      <c r="E1008" s="14">
        <f>164.8963 * CHOOSE(CONTROL!$C$9, $D$9, 100%, $F$9) + CHOOSE(CONTROL!$C$27, 0.0021, 0)</f>
        <v>164.89840000000001</v>
      </c>
      <c r="F1008" s="14">
        <f>164.8963 * CHOOSE(CONTROL!$C$9, $D$9, 100%, $F$9) + CHOOSE(CONTROL!$C$27, 0.0021, 0)</f>
        <v>164.89840000000001</v>
      </c>
      <c r="G1008" s="14">
        <f>165.1676 * CHOOSE(CONTROL!$C$9, $D$9, 100%, $F$9) + CHOOSE(CONTROL!$C$27, 0.0021, 0)</f>
        <v>165.16970000000001</v>
      </c>
      <c r="H1008" s="14">
        <f>165.0329 * CHOOSE(CONTROL!$C$9, $D$9, 100%, $F$9) + CHOOSE(CONTROL!$C$27, 0.0021, 0)</f>
        <v>165.03500000000003</v>
      </c>
      <c r="I1008" s="14">
        <f>165.0329 * CHOOSE(CONTROL!$C$9, $D$9, 100%, $F$9) + CHOOSE(CONTROL!$C$27, 0.0021, 0)</f>
        <v>165.03500000000003</v>
      </c>
      <c r="J1008" s="14">
        <f>165.0329 * CHOOSE(CONTROL!$C$9, $D$9, 100%, $F$9) + CHOOSE(CONTROL!$C$27, 0.0021, 0)</f>
        <v>165.03500000000003</v>
      </c>
      <c r="K1008" s="14">
        <f>165.0329 * CHOOSE(CONTROL!$C$9, $D$9, 100%, $F$9) + CHOOSE(CONTROL!$C$27, 0.0021, 0)</f>
        <v>165.03500000000003</v>
      </c>
      <c r="L1008" s="14"/>
    </row>
    <row r="1009" spans="1:12" ht="15.75" x14ac:dyDescent="0.25">
      <c r="A1009" s="32">
        <v>71649</v>
      </c>
      <c r="B1009" s="14">
        <f>165.0116 * CHOOSE(CONTROL!$C$9, $D$9, 100%, $F$9) + CHOOSE(CONTROL!$C$27, 0.0021, 0)</f>
        <v>165.0137</v>
      </c>
      <c r="C1009" s="14">
        <f>164.5794 * CHOOSE(CONTROL!$C$9, $D$9, 100%, $F$9) + CHOOSE(CONTROL!$C$27, 0.0021, 0)</f>
        <v>164.58150000000001</v>
      </c>
      <c r="D1009" s="14">
        <f>164.5794 * CHOOSE(CONTROL!$C$9, $D$9, 100%, $F$9) + CHOOSE(CONTROL!$C$27, 0.0021, 0)</f>
        <v>164.58150000000001</v>
      </c>
      <c r="E1009" s="14">
        <f>164.4427 * CHOOSE(CONTROL!$C$9, $D$9, 100%, $F$9) + CHOOSE(CONTROL!$C$27, 0.0021, 0)</f>
        <v>164.44480000000001</v>
      </c>
      <c r="F1009" s="14">
        <f>164.4427 * CHOOSE(CONTROL!$C$9, $D$9, 100%, $F$9) + CHOOSE(CONTROL!$C$27, 0.0021, 0)</f>
        <v>164.44480000000001</v>
      </c>
      <c r="G1009" s="14">
        <f>164.7141 * CHOOSE(CONTROL!$C$9, $D$9, 100%, $F$9) + CHOOSE(CONTROL!$C$27, 0.0021, 0)</f>
        <v>164.71620000000001</v>
      </c>
      <c r="H1009" s="14">
        <f>164.5794 * CHOOSE(CONTROL!$C$9, $D$9, 100%, $F$9) + CHOOSE(CONTROL!$C$27, 0.0021, 0)</f>
        <v>164.58150000000001</v>
      </c>
      <c r="I1009" s="14">
        <f>164.5794 * CHOOSE(CONTROL!$C$9, $D$9, 100%, $F$9) + CHOOSE(CONTROL!$C$27, 0.0021, 0)</f>
        <v>164.58150000000001</v>
      </c>
      <c r="J1009" s="14">
        <f>164.5794 * CHOOSE(CONTROL!$C$9, $D$9, 100%, $F$9) + CHOOSE(CONTROL!$C$27, 0.0021, 0)</f>
        <v>164.58150000000001</v>
      </c>
      <c r="K1009" s="14">
        <f>164.5794 * CHOOSE(CONTROL!$C$9, $D$9, 100%, $F$9) + CHOOSE(CONTROL!$C$27, 0.0021, 0)</f>
        <v>164.58150000000001</v>
      </c>
      <c r="L1009" s="14"/>
    </row>
    <row r="1010" spans="1:12" ht="15.75" x14ac:dyDescent="0.25">
      <c r="A1010" s="32">
        <v>71680</v>
      </c>
      <c r="B1010" s="14">
        <f>173.5879 * CHOOSE(CONTROL!$C$9, $D$9, 100%, $F$9) + CHOOSE(CONTROL!$C$27, 0.0021, 0)</f>
        <v>173.59</v>
      </c>
      <c r="C1010" s="14">
        <f>173.1556 * CHOOSE(CONTROL!$C$9, $D$9, 100%, $F$9) + CHOOSE(CONTROL!$C$27, 0.0021, 0)</f>
        <v>173.15770000000001</v>
      </c>
      <c r="D1010" s="14">
        <f>173.1556 * CHOOSE(CONTROL!$C$9, $D$9, 100%, $F$9) + CHOOSE(CONTROL!$C$27, 0.0021, 0)</f>
        <v>173.15770000000001</v>
      </c>
      <c r="E1010" s="14">
        <f>173.0189 * CHOOSE(CONTROL!$C$9, $D$9, 100%, $F$9) + CHOOSE(CONTROL!$C$27, 0.0021, 0)</f>
        <v>173.02100000000002</v>
      </c>
      <c r="F1010" s="14">
        <f>173.0189 * CHOOSE(CONTROL!$C$9, $D$9, 100%, $F$9) + CHOOSE(CONTROL!$C$27, 0.0021, 0)</f>
        <v>173.02100000000002</v>
      </c>
      <c r="G1010" s="14">
        <f>173.2903 * CHOOSE(CONTROL!$C$9, $D$9, 100%, $F$9) + CHOOSE(CONTROL!$C$27, 0.0021, 0)</f>
        <v>173.29240000000001</v>
      </c>
      <c r="H1010" s="14">
        <f>173.1556 * CHOOSE(CONTROL!$C$9, $D$9, 100%, $F$9) + CHOOSE(CONTROL!$C$27, 0.0021, 0)</f>
        <v>173.15770000000001</v>
      </c>
      <c r="I1010" s="14">
        <f>173.1556 * CHOOSE(CONTROL!$C$9, $D$9, 100%, $F$9) + CHOOSE(CONTROL!$C$27, 0.0021, 0)</f>
        <v>173.15770000000001</v>
      </c>
      <c r="J1010" s="14">
        <f>173.1556 * CHOOSE(CONTROL!$C$9, $D$9, 100%, $F$9) + CHOOSE(CONTROL!$C$27, 0.0021, 0)</f>
        <v>173.15770000000001</v>
      </c>
      <c r="K1010" s="14">
        <f>173.1556 * CHOOSE(CONTROL!$C$9, $D$9, 100%, $F$9) + CHOOSE(CONTROL!$C$27, 0.0021, 0)</f>
        <v>173.15770000000001</v>
      </c>
      <c r="L1010" s="14"/>
    </row>
    <row r="1011" spans="1:12" ht="15.75" x14ac:dyDescent="0.25">
      <c r="A1011" s="32">
        <v>71710</v>
      </c>
      <c r="B1011" s="14">
        <f>184.7092 * CHOOSE(CONTROL!$C$9, $D$9, 100%, $F$9) + CHOOSE(CONTROL!$C$27, 0.0021, 0)</f>
        <v>184.71130000000002</v>
      </c>
      <c r="C1011" s="14">
        <f>184.2769 * CHOOSE(CONTROL!$C$9, $D$9, 100%, $F$9) + CHOOSE(CONTROL!$C$27, 0.0021, 0)</f>
        <v>184.27900000000002</v>
      </c>
      <c r="D1011" s="14">
        <f>184.2769 * CHOOSE(CONTROL!$C$9, $D$9, 100%, $F$9) + CHOOSE(CONTROL!$C$27, 0.0021, 0)</f>
        <v>184.27900000000002</v>
      </c>
      <c r="E1011" s="14">
        <f>184.1403 * CHOOSE(CONTROL!$C$9, $D$9, 100%, $F$9) + CHOOSE(CONTROL!$C$27, 0.0021, 0)</f>
        <v>184.14240000000001</v>
      </c>
      <c r="F1011" s="14">
        <f>184.1403 * CHOOSE(CONTROL!$C$9, $D$9, 100%, $F$9) + CHOOSE(CONTROL!$C$27, 0.0021, 0)</f>
        <v>184.14240000000001</v>
      </c>
      <c r="G1011" s="14">
        <f>184.4117 * CHOOSE(CONTROL!$C$9, $D$9, 100%, $F$9) + CHOOSE(CONTROL!$C$27, 0.0021, 0)</f>
        <v>184.41380000000001</v>
      </c>
      <c r="H1011" s="14">
        <f>184.2769 * CHOOSE(CONTROL!$C$9, $D$9, 100%, $F$9) + CHOOSE(CONTROL!$C$27, 0.0021, 0)</f>
        <v>184.27900000000002</v>
      </c>
      <c r="I1011" s="14">
        <f>184.2769 * CHOOSE(CONTROL!$C$9, $D$9, 100%, $F$9) + CHOOSE(CONTROL!$C$27, 0.0021, 0)</f>
        <v>184.27900000000002</v>
      </c>
      <c r="J1011" s="14">
        <f>184.2769 * CHOOSE(CONTROL!$C$9, $D$9, 100%, $F$9) + CHOOSE(CONTROL!$C$27, 0.0021, 0)</f>
        <v>184.27900000000002</v>
      </c>
      <c r="K1011" s="14">
        <f>184.2769 * CHOOSE(CONTROL!$C$9, $D$9, 100%, $F$9) + CHOOSE(CONTROL!$C$27, 0.0021, 0)</f>
        <v>184.27900000000002</v>
      </c>
      <c r="L1011" s="14"/>
    </row>
    <row r="1012" spans="1:12" ht="15.75" x14ac:dyDescent="0.25">
      <c r="A1012" s="32">
        <v>71741</v>
      </c>
      <c r="B1012" s="14">
        <f>190.8307 * CHOOSE(CONTROL!$C$9, $D$9, 100%, $F$9) + CHOOSE(CONTROL!$C$27, 0.0021, 0)</f>
        <v>190.83280000000002</v>
      </c>
      <c r="C1012" s="14">
        <f>190.3985 * CHOOSE(CONTROL!$C$9, $D$9, 100%, $F$9) + CHOOSE(CONTROL!$C$27, 0.0021, 0)</f>
        <v>190.40060000000003</v>
      </c>
      <c r="D1012" s="14">
        <f>190.3985 * CHOOSE(CONTROL!$C$9, $D$9, 100%, $F$9) + CHOOSE(CONTROL!$C$27, 0.0021, 0)</f>
        <v>190.40060000000003</v>
      </c>
      <c r="E1012" s="14">
        <f>190.2618 * CHOOSE(CONTROL!$C$9, $D$9, 100%, $F$9) + CHOOSE(CONTROL!$C$27, 0.0021, 0)</f>
        <v>190.26390000000001</v>
      </c>
      <c r="F1012" s="14">
        <f>190.2618 * CHOOSE(CONTROL!$C$9, $D$9, 100%, $F$9) + CHOOSE(CONTROL!$C$27, 0.0021, 0)</f>
        <v>190.26390000000001</v>
      </c>
      <c r="G1012" s="14">
        <f>190.5332 * CHOOSE(CONTROL!$C$9, $D$9, 100%, $F$9) + CHOOSE(CONTROL!$C$27, 0.0021, 0)</f>
        <v>190.53530000000001</v>
      </c>
      <c r="H1012" s="14">
        <f>190.3985 * CHOOSE(CONTROL!$C$9, $D$9, 100%, $F$9) + CHOOSE(CONTROL!$C$27, 0.0021, 0)</f>
        <v>190.40060000000003</v>
      </c>
      <c r="I1012" s="14">
        <f>190.3985 * CHOOSE(CONTROL!$C$9, $D$9, 100%, $F$9) + CHOOSE(CONTROL!$C$27, 0.0021, 0)</f>
        <v>190.40060000000003</v>
      </c>
      <c r="J1012" s="14">
        <f>190.3985 * CHOOSE(CONTROL!$C$9, $D$9, 100%, $F$9) + CHOOSE(CONTROL!$C$27, 0.0021, 0)</f>
        <v>190.40060000000003</v>
      </c>
      <c r="K1012" s="14">
        <f>190.3985 * CHOOSE(CONTROL!$C$9, $D$9, 100%, $F$9) + CHOOSE(CONTROL!$C$27, 0.0021, 0)</f>
        <v>190.40060000000003</v>
      </c>
      <c r="L1012" s="14"/>
    </row>
    <row r="1013" spans="1:12" ht="15.75" x14ac:dyDescent="0.25">
      <c r="A1013" s="32">
        <v>71771</v>
      </c>
      <c r="B1013" s="14">
        <f>193.5474 * CHOOSE(CONTROL!$C$9, $D$9, 100%, $F$9) + CHOOSE(CONTROL!$C$27, 0.0021, 0)</f>
        <v>193.54950000000002</v>
      </c>
      <c r="C1013" s="14">
        <f>193.1151 * CHOOSE(CONTROL!$C$9, $D$9, 100%, $F$9) + CHOOSE(CONTROL!$C$27, 0.0021, 0)</f>
        <v>193.11720000000003</v>
      </c>
      <c r="D1013" s="14">
        <f>193.1151 * CHOOSE(CONTROL!$C$9, $D$9, 100%, $F$9) + CHOOSE(CONTROL!$C$27, 0.0021, 0)</f>
        <v>193.11720000000003</v>
      </c>
      <c r="E1013" s="14">
        <f>192.9785 * CHOOSE(CONTROL!$C$9, $D$9, 100%, $F$9) + CHOOSE(CONTROL!$C$27, 0.0021, 0)</f>
        <v>192.98060000000001</v>
      </c>
      <c r="F1013" s="14">
        <f>192.9785 * CHOOSE(CONTROL!$C$9, $D$9, 100%, $F$9) + CHOOSE(CONTROL!$C$27, 0.0021, 0)</f>
        <v>192.98060000000001</v>
      </c>
      <c r="G1013" s="14">
        <f>193.2498 * CHOOSE(CONTROL!$C$9, $D$9, 100%, $F$9) + CHOOSE(CONTROL!$C$27, 0.0021, 0)</f>
        <v>193.25190000000001</v>
      </c>
      <c r="H1013" s="14">
        <f>193.1151 * CHOOSE(CONTROL!$C$9, $D$9, 100%, $F$9) + CHOOSE(CONTROL!$C$27, 0.0021, 0)</f>
        <v>193.11720000000003</v>
      </c>
      <c r="I1013" s="14">
        <f>193.1151 * CHOOSE(CONTROL!$C$9, $D$9, 100%, $F$9) + CHOOSE(CONTROL!$C$27, 0.0021, 0)</f>
        <v>193.11720000000003</v>
      </c>
      <c r="J1013" s="14">
        <f>193.1151 * CHOOSE(CONTROL!$C$9, $D$9, 100%, $F$9) + CHOOSE(CONTROL!$C$27, 0.0021, 0)</f>
        <v>193.11720000000003</v>
      </c>
      <c r="K1013" s="14">
        <f>193.1151 * CHOOSE(CONTROL!$C$9, $D$9, 100%, $F$9) + CHOOSE(CONTROL!$C$27, 0.0021, 0)</f>
        <v>193.11720000000003</v>
      </c>
      <c r="L1013" s="14"/>
    </row>
    <row r="1014" spans="1:12" ht="15.75" x14ac:dyDescent="0.25">
      <c r="A1014" s="32">
        <v>71802</v>
      </c>
      <c r="B1014" s="14">
        <f>192.6529 * CHOOSE(CONTROL!$C$9, $D$9, 100%, $F$9) + CHOOSE(CONTROL!$C$27, 0.0021, 0)</f>
        <v>192.655</v>
      </c>
      <c r="C1014" s="14">
        <f>192.2207 * CHOOSE(CONTROL!$C$9, $D$9, 100%, $F$9) + CHOOSE(CONTROL!$C$27, 0.0021, 0)</f>
        <v>192.22280000000001</v>
      </c>
      <c r="D1014" s="14">
        <f>192.2207 * CHOOSE(CONTROL!$C$9, $D$9, 100%, $F$9) + CHOOSE(CONTROL!$C$27, 0.0021, 0)</f>
        <v>192.22280000000001</v>
      </c>
      <c r="E1014" s="14">
        <f>192.084 * CHOOSE(CONTROL!$C$9, $D$9, 100%, $F$9) + CHOOSE(CONTROL!$C$27, 0.0021, 0)</f>
        <v>192.08610000000002</v>
      </c>
      <c r="F1014" s="14">
        <f>192.084 * CHOOSE(CONTROL!$C$9, $D$9, 100%, $F$9) + CHOOSE(CONTROL!$C$27, 0.0021, 0)</f>
        <v>192.08610000000002</v>
      </c>
      <c r="G1014" s="14">
        <f>192.3554 * CHOOSE(CONTROL!$C$9, $D$9, 100%, $F$9) + CHOOSE(CONTROL!$C$27, 0.0021, 0)</f>
        <v>192.35750000000002</v>
      </c>
      <c r="H1014" s="14">
        <f>192.2207 * CHOOSE(CONTROL!$C$9, $D$9, 100%, $F$9) + CHOOSE(CONTROL!$C$27, 0.0021, 0)</f>
        <v>192.22280000000001</v>
      </c>
      <c r="I1014" s="14">
        <f>192.2207 * CHOOSE(CONTROL!$C$9, $D$9, 100%, $F$9) + CHOOSE(CONTROL!$C$27, 0.0021, 0)</f>
        <v>192.22280000000001</v>
      </c>
      <c r="J1014" s="14">
        <f>192.2207 * CHOOSE(CONTROL!$C$9, $D$9, 100%, $F$9) + CHOOSE(CONTROL!$C$27, 0.0021, 0)</f>
        <v>192.22280000000001</v>
      </c>
      <c r="K1014" s="14">
        <f>192.2207 * CHOOSE(CONTROL!$C$9, $D$9, 100%, $F$9) + CHOOSE(CONTROL!$C$27, 0.0021, 0)</f>
        <v>192.22280000000001</v>
      </c>
      <c r="L1014" s="14"/>
    </row>
    <row r="1015" spans="1:12" ht="15.75" x14ac:dyDescent="0.25">
      <c r="A1015" s="32">
        <v>71833</v>
      </c>
      <c r="B1015" s="14">
        <f>188.2214 * CHOOSE(CONTROL!$C$9, $D$9, 100%, $F$9) + CHOOSE(CONTROL!$C$27, 0.0021, 0)</f>
        <v>188.2235</v>
      </c>
      <c r="C1015" s="14">
        <f>187.7892 * CHOOSE(CONTROL!$C$9, $D$9, 100%, $F$9) + CHOOSE(CONTROL!$C$27, 0.0021, 0)</f>
        <v>187.79130000000001</v>
      </c>
      <c r="D1015" s="14">
        <f>187.7892 * CHOOSE(CONTROL!$C$9, $D$9, 100%, $F$9) + CHOOSE(CONTROL!$C$27, 0.0021, 0)</f>
        <v>187.79130000000001</v>
      </c>
      <c r="E1015" s="14">
        <f>187.6525 * CHOOSE(CONTROL!$C$9, $D$9, 100%, $F$9) + CHOOSE(CONTROL!$C$27, 0.0021, 0)</f>
        <v>187.65460000000002</v>
      </c>
      <c r="F1015" s="14">
        <f>187.6525 * CHOOSE(CONTROL!$C$9, $D$9, 100%, $F$9) + CHOOSE(CONTROL!$C$27, 0.0021, 0)</f>
        <v>187.65460000000002</v>
      </c>
      <c r="G1015" s="14">
        <f>187.9239 * CHOOSE(CONTROL!$C$9, $D$9, 100%, $F$9) + CHOOSE(CONTROL!$C$27, 0.0021, 0)</f>
        <v>187.92600000000002</v>
      </c>
      <c r="H1015" s="14">
        <f>187.7892 * CHOOSE(CONTROL!$C$9, $D$9, 100%, $F$9) + CHOOSE(CONTROL!$C$27, 0.0021, 0)</f>
        <v>187.79130000000001</v>
      </c>
      <c r="I1015" s="14">
        <f>187.7892 * CHOOSE(CONTROL!$C$9, $D$9, 100%, $F$9) + CHOOSE(CONTROL!$C$27, 0.0021, 0)</f>
        <v>187.79130000000001</v>
      </c>
      <c r="J1015" s="14">
        <f>187.7892 * CHOOSE(CONTROL!$C$9, $D$9, 100%, $F$9) + CHOOSE(CONTROL!$C$27, 0.0021, 0)</f>
        <v>187.79130000000001</v>
      </c>
      <c r="K1015" s="14">
        <f>187.7892 * CHOOSE(CONTROL!$C$9, $D$9, 100%, $F$9) + CHOOSE(CONTROL!$C$27, 0.0021, 0)</f>
        <v>187.79130000000001</v>
      </c>
      <c r="L1015" s="14"/>
    </row>
    <row r="1016" spans="1:12" ht="15.75" x14ac:dyDescent="0.25">
      <c r="A1016" s="32">
        <v>71863</v>
      </c>
      <c r="B1016" s="14">
        <f>182.0415 * CHOOSE(CONTROL!$C$9, $D$9, 100%, $F$9) + CHOOSE(CONTROL!$C$27, 0.0021, 0)</f>
        <v>182.04360000000003</v>
      </c>
      <c r="C1016" s="14">
        <f>181.6092 * CHOOSE(CONTROL!$C$9, $D$9, 100%, $F$9) + CHOOSE(CONTROL!$C$27, 0.0021, 0)</f>
        <v>181.6113</v>
      </c>
      <c r="D1016" s="14">
        <f>181.6092 * CHOOSE(CONTROL!$C$9, $D$9, 100%, $F$9) + CHOOSE(CONTROL!$C$27, 0.0021, 0)</f>
        <v>181.6113</v>
      </c>
      <c r="E1016" s="14">
        <f>181.4725 * CHOOSE(CONTROL!$C$9, $D$9, 100%, $F$9) + CHOOSE(CONTROL!$C$27, 0.0021, 0)</f>
        <v>181.47460000000001</v>
      </c>
      <c r="F1016" s="14">
        <f>181.4725 * CHOOSE(CONTROL!$C$9, $D$9, 100%, $F$9) + CHOOSE(CONTROL!$C$27, 0.0021, 0)</f>
        <v>181.47460000000001</v>
      </c>
      <c r="G1016" s="14">
        <f>181.7439 * CHOOSE(CONTROL!$C$9, $D$9, 100%, $F$9) + CHOOSE(CONTROL!$C$27, 0.0021, 0)</f>
        <v>181.74600000000001</v>
      </c>
      <c r="H1016" s="14">
        <f>181.6092 * CHOOSE(CONTROL!$C$9, $D$9, 100%, $F$9) + CHOOSE(CONTROL!$C$27, 0.0021, 0)</f>
        <v>181.6113</v>
      </c>
      <c r="I1016" s="14">
        <f>181.6092 * CHOOSE(CONTROL!$C$9, $D$9, 100%, $F$9) + CHOOSE(CONTROL!$C$27, 0.0021, 0)</f>
        <v>181.6113</v>
      </c>
      <c r="J1016" s="14">
        <f>181.6092 * CHOOSE(CONTROL!$C$9, $D$9, 100%, $F$9) + CHOOSE(CONTROL!$C$27, 0.0021, 0)</f>
        <v>181.6113</v>
      </c>
      <c r="K1016" s="14">
        <f>181.6092 * CHOOSE(CONTROL!$C$9, $D$9, 100%, $F$9) + CHOOSE(CONTROL!$C$27, 0.0021, 0)</f>
        <v>181.6113</v>
      </c>
      <c r="L1016" s="14"/>
    </row>
    <row r="1017" spans="1:12" ht="15.75" x14ac:dyDescent="0.25">
      <c r="A1017" s="32">
        <v>71894</v>
      </c>
      <c r="B1017" s="14">
        <f>175.8255 * CHOOSE(CONTROL!$C$9, $D$9, 100%, $F$9) + CHOOSE(CONTROL!$C$27, 0.0021, 0)</f>
        <v>175.82760000000002</v>
      </c>
      <c r="C1017" s="14">
        <f>175.3933 * CHOOSE(CONTROL!$C$9, $D$9, 100%, $F$9) + CHOOSE(CONTROL!$C$27, 0.0021, 0)</f>
        <v>175.39540000000002</v>
      </c>
      <c r="D1017" s="14">
        <f>175.3933 * CHOOSE(CONTROL!$C$9, $D$9, 100%, $F$9) + CHOOSE(CONTROL!$C$27, 0.0021, 0)</f>
        <v>175.39540000000002</v>
      </c>
      <c r="E1017" s="14">
        <f>175.2566 * CHOOSE(CONTROL!$C$9, $D$9, 100%, $F$9) + CHOOSE(CONTROL!$C$27, 0.0021, 0)</f>
        <v>175.2587</v>
      </c>
      <c r="F1017" s="14">
        <f>175.2566 * CHOOSE(CONTROL!$C$9, $D$9, 100%, $F$9) + CHOOSE(CONTROL!$C$27, 0.0021, 0)</f>
        <v>175.2587</v>
      </c>
      <c r="G1017" s="14">
        <f>175.528 * CHOOSE(CONTROL!$C$9, $D$9, 100%, $F$9) + CHOOSE(CONTROL!$C$27, 0.0021, 0)</f>
        <v>175.5301</v>
      </c>
      <c r="H1017" s="14">
        <f>175.3933 * CHOOSE(CONTROL!$C$9, $D$9, 100%, $F$9) + CHOOSE(CONTROL!$C$27, 0.0021, 0)</f>
        <v>175.39540000000002</v>
      </c>
      <c r="I1017" s="14">
        <f>175.3933 * CHOOSE(CONTROL!$C$9, $D$9, 100%, $F$9) + CHOOSE(CONTROL!$C$27, 0.0021, 0)</f>
        <v>175.39540000000002</v>
      </c>
      <c r="J1017" s="14">
        <f>175.3933 * CHOOSE(CONTROL!$C$9, $D$9, 100%, $F$9) + CHOOSE(CONTROL!$C$27, 0.0021, 0)</f>
        <v>175.39540000000002</v>
      </c>
      <c r="K1017" s="14">
        <f>175.3933 * CHOOSE(CONTROL!$C$9, $D$9, 100%, $F$9) + CHOOSE(CONTROL!$C$27, 0.0021, 0)</f>
        <v>175.39540000000002</v>
      </c>
      <c r="L1017" s="14"/>
    </row>
    <row r="1018" spans="1:12" ht="15.75" x14ac:dyDescent="0.25">
      <c r="A1018" s="32">
        <v>71924</v>
      </c>
      <c r="B1018" s="14">
        <f>174.5891 * CHOOSE(CONTROL!$C$9, $D$9, 100%, $F$9) + CHOOSE(CONTROL!$C$27, 0.0021, 0)</f>
        <v>174.59120000000001</v>
      </c>
      <c r="C1018" s="14">
        <f>174.1568 * CHOOSE(CONTROL!$C$9, $D$9, 100%, $F$9) + CHOOSE(CONTROL!$C$27, 0.0021, 0)</f>
        <v>174.15890000000002</v>
      </c>
      <c r="D1018" s="14">
        <f>174.1568 * CHOOSE(CONTROL!$C$9, $D$9, 100%, $F$9) + CHOOSE(CONTROL!$C$27, 0.0021, 0)</f>
        <v>174.15890000000002</v>
      </c>
      <c r="E1018" s="14">
        <f>174.0202 * CHOOSE(CONTROL!$C$9, $D$9, 100%, $F$9) + CHOOSE(CONTROL!$C$27, 0.0021, 0)</f>
        <v>174.0223</v>
      </c>
      <c r="F1018" s="14">
        <f>174.0202 * CHOOSE(CONTROL!$C$9, $D$9, 100%, $F$9) + CHOOSE(CONTROL!$C$27, 0.0021, 0)</f>
        <v>174.0223</v>
      </c>
      <c r="G1018" s="14">
        <f>174.2915 * CHOOSE(CONTROL!$C$9, $D$9, 100%, $F$9) + CHOOSE(CONTROL!$C$27, 0.0021, 0)</f>
        <v>174.29360000000003</v>
      </c>
      <c r="H1018" s="14">
        <f>174.1568 * CHOOSE(CONTROL!$C$9, $D$9, 100%, $F$9) + CHOOSE(CONTROL!$C$27, 0.0021, 0)</f>
        <v>174.15890000000002</v>
      </c>
      <c r="I1018" s="14">
        <f>174.1568 * CHOOSE(CONTROL!$C$9, $D$9, 100%, $F$9) + CHOOSE(CONTROL!$C$27, 0.0021, 0)</f>
        <v>174.15890000000002</v>
      </c>
      <c r="J1018" s="14">
        <f>174.1568 * CHOOSE(CONTROL!$C$9, $D$9, 100%, $F$9) + CHOOSE(CONTROL!$C$27, 0.0021, 0)</f>
        <v>174.15890000000002</v>
      </c>
      <c r="K1018" s="14">
        <f>174.1568 * CHOOSE(CONTROL!$C$9, $D$9, 100%, $F$9) + CHOOSE(CONTROL!$C$27, 0.0021, 0)</f>
        <v>174.15890000000002</v>
      </c>
      <c r="L1018" s="14"/>
    </row>
    <row r="1019" spans="1:12" ht="15.75" x14ac:dyDescent="0.25">
      <c r="A1019" s="32">
        <v>71955</v>
      </c>
      <c r="B1019" s="14">
        <f>169.4762 * CHOOSE(CONTROL!$C$9, $D$9, 100%, $F$9) + CHOOSE(CONTROL!$C$27, 0.0021, 0)</f>
        <v>169.47830000000002</v>
      </c>
      <c r="C1019" s="14">
        <f>169.0439 * CHOOSE(CONTROL!$C$9, $D$9, 100%, $F$9) + CHOOSE(CONTROL!$C$27, 0.0021, 0)</f>
        <v>169.04600000000002</v>
      </c>
      <c r="D1019" s="14">
        <f>169.0439 * CHOOSE(CONTROL!$C$9, $D$9, 100%, $F$9) + CHOOSE(CONTROL!$C$27, 0.0021, 0)</f>
        <v>169.04600000000002</v>
      </c>
      <c r="E1019" s="14">
        <f>168.9073 * CHOOSE(CONTROL!$C$9, $D$9, 100%, $F$9) + CHOOSE(CONTROL!$C$27, 0.0021, 0)</f>
        <v>168.90940000000001</v>
      </c>
      <c r="F1019" s="14">
        <f>168.9073 * CHOOSE(CONTROL!$C$9, $D$9, 100%, $F$9) + CHOOSE(CONTROL!$C$27, 0.0021, 0)</f>
        <v>168.90940000000001</v>
      </c>
      <c r="G1019" s="14">
        <f>169.1786 * CHOOSE(CONTROL!$C$9, $D$9, 100%, $F$9) + CHOOSE(CONTROL!$C$27, 0.0021, 0)</f>
        <v>169.1807</v>
      </c>
      <c r="H1019" s="14">
        <f>169.0439 * CHOOSE(CONTROL!$C$9, $D$9, 100%, $F$9) + CHOOSE(CONTROL!$C$27, 0.0021, 0)</f>
        <v>169.04600000000002</v>
      </c>
      <c r="I1019" s="14">
        <f>169.0439 * CHOOSE(CONTROL!$C$9, $D$9, 100%, $F$9) + CHOOSE(CONTROL!$C$27, 0.0021, 0)</f>
        <v>169.04600000000002</v>
      </c>
      <c r="J1019" s="14">
        <f>169.0439 * CHOOSE(CONTROL!$C$9, $D$9, 100%, $F$9) + CHOOSE(CONTROL!$C$27, 0.0021, 0)</f>
        <v>169.04600000000002</v>
      </c>
      <c r="K1019" s="14">
        <f>169.0439 * CHOOSE(CONTROL!$C$9, $D$9, 100%, $F$9) + CHOOSE(CONTROL!$C$27, 0.0021, 0)</f>
        <v>169.04600000000002</v>
      </c>
      <c r="L1019" s="14"/>
    </row>
    <row r="1020" spans="1:12" ht="15.75" x14ac:dyDescent="0.25">
      <c r="A1020" s="32">
        <v>71986</v>
      </c>
      <c r="B1020" s="14">
        <f>168.4807 * CHOOSE(CONTROL!$C$9, $D$9, 100%, $F$9) + CHOOSE(CONTROL!$C$27, 0.0021, 0)</f>
        <v>168.48280000000003</v>
      </c>
      <c r="C1020" s="14">
        <f>168.0485 * CHOOSE(CONTROL!$C$9, $D$9, 100%, $F$9) + CHOOSE(CONTROL!$C$27, 0.0021, 0)</f>
        <v>168.0506</v>
      </c>
      <c r="D1020" s="14">
        <f>168.0485 * CHOOSE(CONTROL!$C$9, $D$9, 100%, $F$9) + CHOOSE(CONTROL!$C$27, 0.0021, 0)</f>
        <v>168.0506</v>
      </c>
      <c r="E1020" s="14">
        <f>167.9118 * CHOOSE(CONTROL!$C$9, $D$9, 100%, $F$9) + CHOOSE(CONTROL!$C$27, 0.0021, 0)</f>
        <v>167.91390000000001</v>
      </c>
      <c r="F1020" s="14">
        <f>167.9118 * CHOOSE(CONTROL!$C$9, $D$9, 100%, $F$9) + CHOOSE(CONTROL!$C$27, 0.0021, 0)</f>
        <v>167.91390000000001</v>
      </c>
      <c r="G1020" s="14">
        <f>168.1832 * CHOOSE(CONTROL!$C$9, $D$9, 100%, $F$9) + CHOOSE(CONTROL!$C$27, 0.0021, 0)</f>
        <v>168.18530000000001</v>
      </c>
      <c r="H1020" s="14">
        <f>168.0485 * CHOOSE(CONTROL!$C$9, $D$9, 100%, $F$9) + CHOOSE(CONTROL!$C$27, 0.0021, 0)</f>
        <v>168.0506</v>
      </c>
      <c r="I1020" s="14">
        <f>168.0485 * CHOOSE(CONTROL!$C$9, $D$9, 100%, $F$9) + CHOOSE(CONTROL!$C$27, 0.0021, 0)</f>
        <v>168.0506</v>
      </c>
      <c r="J1020" s="14">
        <f>168.0485 * CHOOSE(CONTROL!$C$9, $D$9, 100%, $F$9) + CHOOSE(CONTROL!$C$27, 0.0021, 0)</f>
        <v>168.0506</v>
      </c>
      <c r="K1020" s="14">
        <f>168.0485 * CHOOSE(CONTROL!$C$9, $D$9, 100%, $F$9) + CHOOSE(CONTROL!$C$27, 0.0021, 0)</f>
        <v>168.0506</v>
      </c>
      <c r="L1020" s="14"/>
    </row>
    <row r="1021" spans="1:12" ht="15.75" x14ac:dyDescent="0.25">
      <c r="A1021" s="32">
        <v>72014</v>
      </c>
      <c r="B1021" s="14">
        <f>168.0188 * CHOOSE(CONTROL!$C$9, $D$9, 100%, $F$9) + CHOOSE(CONTROL!$C$27, 0.0021, 0)</f>
        <v>168.02090000000001</v>
      </c>
      <c r="C1021" s="14">
        <f>167.5865 * CHOOSE(CONTROL!$C$9, $D$9, 100%, $F$9) + CHOOSE(CONTROL!$C$27, 0.0021, 0)</f>
        <v>167.58860000000001</v>
      </c>
      <c r="D1021" s="14">
        <f>167.5865 * CHOOSE(CONTROL!$C$9, $D$9, 100%, $F$9) + CHOOSE(CONTROL!$C$27, 0.0021, 0)</f>
        <v>167.58860000000001</v>
      </c>
      <c r="E1021" s="14">
        <f>167.4499 * CHOOSE(CONTROL!$C$9, $D$9, 100%, $F$9) + CHOOSE(CONTROL!$C$27, 0.0021, 0)</f>
        <v>167.45200000000003</v>
      </c>
      <c r="F1021" s="14">
        <f>167.4499 * CHOOSE(CONTROL!$C$9, $D$9, 100%, $F$9) + CHOOSE(CONTROL!$C$27, 0.0021, 0)</f>
        <v>167.45200000000003</v>
      </c>
      <c r="G1021" s="14">
        <f>167.7212 * CHOOSE(CONTROL!$C$9, $D$9, 100%, $F$9) + CHOOSE(CONTROL!$C$27, 0.0021, 0)</f>
        <v>167.72330000000002</v>
      </c>
      <c r="H1021" s="14">
        <f>167.5865 * CHOOSE(CONTROL!$C$9, $D$9, 100%, $F$9) + CHOOSE(CONTROL!$C$27, 0.0021, 0)</f>
        <v>167.58860000000001</v>
      </c>
      <c r="I1021" s="14">
        <f>167.5865 * CHOOSE(CONTROL!$C$9, $D$9, 100%, $F$9) + CHOOSE(CONTROL!$C$27, 0.0021, 0)</f>
        <v>167.58860000000001</v>
      </c>
      <c r="J1021" s="14">
        <f>167.5865 * CHOOSE(CONTROL!$C$9, $D$9, 100%, $F$9) + CHOOSE(CONTROL!$C$27, 0.0021, 0)</f>
        <v>167.58860000000001</v>
      </c>
      <c r="K1021" s="14">
        <f>167.5865 * CHOOSE(CONTROL!$C$9, $D$9, 100%, $F$9) + CHOOSE(CONTROL!$C$27, 0.0021, 0)</f>
        <v>167.58860000000001</v>
      </c>
      <c r="L1021" s="14"/>
    </row>
    <row r="1022" spans="1:12" ht="15.75" x14ac:dyDescent="0.25">
      <c r="A1022" s="32">
        <v>72045</v>
      </c>
      <c r="B1022" s="14">
        <f>176.7535 * CHOOSE(CONTROL!$C$9, $D$9, 100%, $F$9) + CHOOSE(CONTROL!$C$27, 0.0021, 0)</f>
        <v>176.75560000000002</v>
      </c>
      <c r="C1022" s="14">
        <f>176.3213 * CHOOSE(CONTROL!$C$9, $D$9, 100%, $F$9) + CHOOSE(CONTROL!$C$27, 0.0021, 0)</f>
        <v>176.32340000000002</v>
      </c>
      <c r="D1022" s="14">
        <f>176.3213 * CHOOSE(CONTROL!$C$9, $D$9, 100%, $F$9) + CHOOSE(CONTROL!$C$27, 0.0021, 0)</f>
        <v>176.32340000000002</v>
      </c>
      <c r="E1022" s="14">
        <f>176.1846 * CHOOSE(CONTROL!$C$9, $D$9, 100%, $F$9) + CHOOSE(CONTROL!$C$27, 0.0021, 0)</f>
        <v>176.1867</v>
      </c>
      <c r="F1022" s="14">
        <f>176.1846 * CHOOSE(CONTROL!$C$9, $D$9, 100%, $F$9) + CHOOSE(CONTROL!$C$27, 0.0021, 0)</f>
        <v>176.1867</v>
      </c>
      <c r="G1022" s="14">
        <f>176.456 * CHOOSE(CONTROL!$C$9, $D$9, 100%, $F$9) + CHOOSE(CONTROL!$C$27, 0.0021, 0)</f>
        <v>176.4581</v>
      </c>
      <c r="H1022" s="14">
        <f>176.3213 * CHOOSE(CONTROL!$C$9, $D$9, 100%, $F$9) + CHOOSE(CONTROL!$C$27, 0.0021, 0)</f>
        <v>176.32340000000002</v>
      </c>
      <c r="I1022" s="14">
        <f>176.3213 * CHOOSE(CONTROL!$C$9, $D$9, 100%, $F$9) + CHOOSE(CONTROL!$C$27, 0.0021, 0)</f>
        <v>176.32340000000002</v>
      </c>
      <c r="J1022" s="14">
        <f>176.3213 * CHOOSE(CONTROL!$C$9, $D$9, 100%, $F$9) + CHOOSE(CONTROL!$C$27, 0.0021, 0)</f>
        <v>176.32340000000002</v>
      </c>
      <c r="K1022" s="14">
        <f>176.3213 * CHOOSE(CONTROL!$C$9, $D$9, 100%, $F$9) + CHOOSE(CONTROL!$C$27, 0.0021, 0)</f>
        <v>176.32340000000002</v>
      </c>
      <c r="L1022" s="14"/>
    </row>
    <row r="1023" spans="1:12" ht="15.75" x14ac:dyDescent="0.25">
      <c r="A1023" s="32">
        <v>72075</v>
      </c>
      <c r="B1023" s="14">
        <f>188.0804 * CHOOSE(CONTROL!$C$9, $D$9, 100%, $F$9) + CHOOSE(CONTROL!$C$27, 0.0021, 0)</f>
        <v>188.08250000000001</v>
      </c>
      <c r="C1023" s="14">
        <f>187.6481 * CHOOSE(CONTROL!$C$9, $D$9, 100%, $F$9) + CHOOSE(CONTROL!$C$27, 0.0021, 0)</f>
        <v>187.65020000000001</v>
      </c>
      <c r="D1023" s="14">
        <f>187.6481 * CHOOSE(CONTROL!$C$9, $D$9, 100%, $F$9) + CHOOSE(CONTROL!$C$27, 0.0021, 0)</f>
        <v>187.65020000000001</v>
      </c>
      <c r="E1023" s="14">
        <f>187.5115 * CHOOSE(CONTROL!$C$9, $D$9, 100%, $F$9) + CHOOSE(CONTROL!$C$27, 0.0021, 0)</f>
        <v>187.51360000000003</v>
      </c>
      <c r="F1023" s="14">
        <f>187.5115 * CHOOSE(CONTROL!$C$9, $D$9, 100%, $F$9) + CHOOSE(CONTROL!$C$27, 0.0021, 0)</f>
        <v>187.51360000000003</v>
      </c>
      <c r="G1023" s="14">
        <f>187.7829 * CHOOSE(CONTROL!$C$9, $D$9, 100%, $F$9) + CHOOSE(CONTROL!$C$27, 0.0021, 0)</f>
        <v>187.78500000000003</v>
      </c>
      <c r="H1023" s="14">
        <f>187.6481 * CHOOSE(CONTROL!$C$9, $D$9, 100%, $F$9) + CHOOSE(CONTROL!$C$27, 0.0021, 0)</f>
        <v>187.65020000000001</v>
      </c>
      <c r="I1023" s="14">
        <f>187.6481 * CHOOSE(CONTROL!$C$9, $D$9, 100%, $F$9) + CHOOSE(CONTROL!$C$27, 0.0021, 0)</f>
        <v>187.65020000000001</v>
      </c>
      <c r="J1023" s="14">
        <f>187.6481 * CHOOSE(CONTROL!$C$9, $D$9, 100%, $F$9) + CHOOSE(CONTROL!$C$27, 0.0021, 0)</f>
        <v>187.65020000000001</v>
      </c>
      <c r="K1023" s="14">
        <f>187.6481 * CHOOSE(CONTROL!$C$9, $D$9, 100%, $F$9) + CHOOSE(CONTROL!$C$27, 0.0021, 0)</f>
        <v>187.65020000000001</v>
      </c>
      <c r="L1023" s="14"/>
    </row>
    <row r="1024" spans="1:12" ht="15.75" x14ac:dyDescent="0.25">
      <c r="A1024" s="32">
        <v>72106</v>
      </c>
      <c r="B1024" s="14">
        <f>194.3151 * CHOOSE(CONTROL!$C$9, $D$9, 100%, $F$9) + CHOOSE(CONTROL!$C$27, 0.0021, 0)</f>
        <v>194.31720000000001</v>
      </c>
      <c r="C1024" s="14">
        <f>193.8828 * CHOOSE(CONTROL!$C$9, $D$9, 100%, $F$9) + CHOOSE(CONTROL!$C$27, 0.0021, 0)</f>
        <v>193.88490000000002</v>
      </c>
      <c r="D1024" s="14">
        <f>193.8828 * CHOOSE(CONTROL!$C$9, $D$9, 100%, $F$9) + CHOOSE(CONTROL!$C$27, 0.0021, 0)</f>
        <v>193.88490000000002</v>
      </c>
      <c r="E1024" s="14">
        <f>193.7462 * CHOOSE(CONTROL!$C$9, $D$9, 100%, $F$9) + CHOOSE(CONTROL!$C$27, 0.0021, 0)</f>
        <v>193.7483</v>
      </c>
      <c r="F1024" s="14">
        <f>193.7462 * CHOOSE(CONTROL!$C$9, $D$9, 100%, $F$9) + CHOOSE(CONTROL!$C$27, 0.0021, 0)</f>
        <v>193.7483</v>
      </c>
      <c r="G1024" s="14">
        <f>194.0175 * CHOOSE(CONTROL!$C$9, $D$9, 100%, $F$9) + CHOOSE(CONTROL!$C$27, 0.0021, 0)</f>
        <v>194.01960000000003</v>
      </c>
      <c r="H1024" s="14">
        <f>193.8828 * CHOOSE(CONTROL!$C$9, $D$9, 100%, $F$9) + CHOOSE(CONTROL!$C$27, 0.0021, 0)</f>
        <v>193.88490000000002</v>
      </c>
      <c r="I1024" s="14">
        <f>193.8828 * CHOOSE(CONTROL!$C$9, $D$9, 100%, $F$9) + CHOOSE(CONTROL!$C$27, 0.0021, 0)</f>
        <v>193.88490000000002</v>
      </c>
      <c r="J1024" s="14">
        <f>193.8828 * CHOOSE(CONTROL!$C$9, $D$9, 100%, $F$9) + CHOOSE(CONTROL!$C$27, 0.0021, 0)</f>
        <v>193.88490000000002</v>
      </c>
      <c r="K1024" s="14">
        <f>193.8828 * CHOOSE(CONTROL!$C$9, $D$9, 100%, $F$9) + CHOOSE(CONTROL!$C$27, 0.0021, 0)</f>
        <v>193.88490000000002</v>
      </c>
      <c r="L1024" s="14"/>
    </row>
    <row r="1025" spans="1:12" ht="15.75" x14ac:dyDescent="0.25">
      <c r="A1025" s="32">
        <v>72136</v>
      </c>
      <c r="B1025" s="14">
        <f>197.0819 * CHOOSE(CONTROL!$C$9, $D$9, 100%, $F$9) + CHOOSE(CONTROL!$C$27, 0.0021, 0)</f>
        <v>197.084</v>
      </c>
      <c r="C1025" s="14">
        <f>196.6497 * CHOOSE(CONTROL!$C$9, $D$9, 100%, $F$9) + CHOOSE(CONTROL!$C$27, 0.0021, 0)</f>
        <v>196.65180000000001</v>
      </c>
      <c r="D1025" s="14">
        <f>196.6497 * CHOOSE(CONTROL!$C$9, $D$9, 100%, $F$9) + CHOOSE(CONTROL!$C$27, 0.0021, 0)</f>
        <v>196.65180000000001</v>
      </c>
      <c r="E1025" s="14">
        <f>196.513 * CHOOSE(CONTROL!$C$9, $D$9, 100%, $F$9) + CHOOSE(CONTROL!$C$27, 0.0021, 0)</f>
        <v>196.51510000000002</v>
      </c>
      <c r="F1025" s="14">
        <f>196.513 * CHOOSE(CONTROL!$C$9, $D$9, 100%, $F$9) + CHOOSE(CONTROL!$C$27, 0.0021, 0)</f>
        <v>196.51510000000002</v>
      </c>
      <c r="G1025" s="14">
        <f>196.7844 * CHOOSE(CONTROL!$C$9, $D$9, 100%, $F$9) + CHOOSE(CONTROL!$C$27, 0.0021, 0)</f>
        <v>196.78650000000002</v>
      </c>
      <c r="H1025" s="14">
        <f>196.6497 * CHOOSE(CONTROL!$C$9, $D$9, 100%, $F$9) + CHOOSE(CONTROL!$C$27, 0.0021, 0)</f>
        <v>196.65180000000001</v>
      </c>
      <c r="I1025" s="14">
        <f>196.6497 * CHOOSE(CONTROL!$C$9, $D$9, 100%, $F$9) + CHOOSE(CONTROL!$C$27, 0.0021, 0)</f>
        <v>196.65180000000001</v>
      </c>
      <c r="J1025" s="14">
        <f>196.6497 * CHOOSE(CONTROL!$C$9, $D$9, 100%, $F$9) + CHOOSE(CONTROL!$C$27, 0.0021, 0)</f>
        <v>196.65180000000001</v>
      </c>
      <c r="K1025" s="14">
        <f>196.6497 * CHOOSE(CONTROL!$C$9, $D$9, 100%, $F$9) + CHOOSE(CONTROL!$C$27, 0.0021, 0)</f>
        <v>196.65180000000001</v>
      </c>
      <c r="L1025" s="14"/>
    </row>
    <row r="1026" spans="1:12" ht="15.75" x14ac:dyDescent="0.25">
      <c r="A1026" s="32">
        <v>72167</v>
      </c>
      <c r="B1026" s="14">
        <f>196.1709 * CHOOSE(CONTROL!$C$9, $D$9, 100%, $F$9) + CHOOSE(CONTROL!$C$27, 0.0021, 0)</f>
        <v>196.173</v>
      </c>
      <c r="C1026" s="14">
        <f>195.7387 * CHOOSE(CONTROL!$C$9, $D$9, 100%, $F$9) + CHOOSE(CONTROL!$C$27, 0.0021, 0)</f>
        <v>195.74080000000001</v>
      </c>
      <c r="D1026" s="14">
        <f>195.7387 * CHOOSE(CONTROL!$C$9, $D$9, 100%, $F$9) + CHOOSE(CONTROL!$C$27, 0.0021, 0)</f>
        <v>195.74080000000001</v>
      </c>
      <c r="E1026" s="14">
        <f>195.602 * CHOOSE(CONTROL!$C$9, $D$9, 100%, $F$9) + CHOOSE(CONTROL!$C$27, 0.0021, 0)</f>
        <v>195.60410000000002</v>
      </c>
      <c r="F1026" s="14">
        <f>195.602 * CHOOSE(CONTROL!$C$9, $D$9, 100%, $F$9) + CHOOSE(CONTROL!$C$27, 0.0021, 0)</f>
        <v>195.60410000000002</v>
      </c>
      <c r="G1026" s="14">
        <f>195.8734 * CHOOSE(CONTROL!$C$9, $D$9, 100%, $F$9) + CHOOSE(CONTROL!$C$27, 0.0021, 0)</f>
        <v>195.87550000000002</v>
      </c>
      <c r="H1026" s="14">
        <f>195.7387 * CHOOSE(CONTROL!$C$9, $D$9, 100%, $F$9) + CHOOSE(CONTROL!$C$27, 0.0021, 0)</f>
        <v>195.74080000000001</v>
      </c>
      <c r="I1026" s="14">
        <f>195.7387 * CHOOSE(CONTROL!$C$9, $D$9, 100%, $F$9) + CHOOSE(CONTROL!$C$27, 0.0021, 0)</f>
        <v>195.74080000000001</v>
      </c>
      <c r="J1026" s="14">
        <f>195.7387 * CHOOSE(CONTROL!$C$9, $D$9, 100%, $F$9) + CHOOSE(CONTROL!$C$27, 0.0021, 0)</f>
        <v>195.74080000000001</v>
      </c>
      <c r="K1026" s="14">
        <f>195.7387 * CHOOSE(CONTROL!$C$9, $D$9, 100%, $F$9) + CHOOSE(CONTROL!$C$27, 0.0021, 0)</f>
        <v>195.74080000000001</v>
      </c>
      <c r="L1026" s="14"/>
    </row>
    <row r="1027" spans="1:12" ht="15.75" x14ac:dyDescent="0.25">
      <c r="A1027" s="32">
        <v>72198</v>
      </c>
      <c r="B1027" s="14">
        <f>191.6575 * CHOOSE(CONTROL!$C$9, $D$9, 100%, $F$9) + CHOOSE(CONTROL!$C$27, 0.0021, 0)</f>
        <v>191.65960000000001</v>
      </c>
      <c r="C1027" s="14">
        <f>191.2253 * CHOOSE(CONTROL!$C$9, $D$9, 100%, $F$9) + CHOOSE(CONTROL!$C$27, 0.0021, 0)</f>
        <v>191.22740000000002</v>
      </c>
      <c r="D1027" s="14">
        <f>191.2253 * CHOOSE(CONTROL!$C$9, $D$9, 100%, $F$9) + CHOOSE(CONTROL!$C$27, 0.0021, 0)</f>
        <v>191.22740000000002</v>
      </c>
      <c r="E1027" s="14">
        <f>191.0886 * CHOOSE(CONTROL!$C$9, $D$9, 100%, $F$9) + CHOOSE(CONTROL!$C$27, 0.0021, 0)</f>
        <v>191.09070000000003</v>
      </c>
      <c r="F1027" s="14">
        <f>191.0886 * CHOOSE(CONTROL!$C$9, $D$9, 100%, $F$9) + CHOOSE(CONTROL!$C$27, 0.0021, 0)</f>
        <v>191.09070000000003</v>
      </c>
      <c r="G1027" s="14">
        <f>191.36 * CHOOSE(CONTROL!$C$9, $D$9, 100%, $F$9) + CHOOSE(CONTROL!$C$27, 0.0021, 0)</f>
        <v>191.36210000000003</v>
      </c>
      <c r="H1027" s="14">
        <f>191.2253 * CHOOSE(CONTROL!$C$9, $D$9, 100%, $F$9) + CHOOSE(CONTROL!$C$27, 0.0021, 0)</f>
        <v>191.22740000000002</v>
      </c>
      <c r="I1027" s="14">
        <f>191.2253 * CHOOSE(CONTROL!$C$9, $D$9, 100%, $F$9) + CHOOSE(CONTROL!$C$27, 0.0021, 0)</f>
        <v>191.22740000000002</v>
      </c>
      <c r="J1027" s="14">
        <f>191.2253 * CHOOSE(CONTROL!$C$9, $D$9, 100%, $F$9) + CHOOSE(CONTROL!$C$27, 0.0021, 0)</f>
        <v>191.22740000000002</v>
      </c>
      <c r="K1027" s="14">
        <f>191.2253 * CHOOSE(CONTROL!$C$9, $D$9, 100%, $F$9) + CHOOSE(CONTROL!$C$27, 0.0021, 0)</f>
        <v>191.22740000000002</v>
      </c>
      <c r="L1027" s="14"/>
    </row>
    <row r="1028" spans="1:12" ht="15.75" x14ac:dyDescent="0.25">
      <c r="A1028" s="32">
        <v>72228</v>
      </c>
      <c r="B1028" s="14">
        <f>185.3634 * CHOOSE(CONTROL!$C$9, $D$9, 100%, $F$9) + CHOOSE(CONTROL!$C$27, 0.0021, 0)</f>
        <v>185.36550000000003</v>
      </c>
      <c r="C1028" s="14">
        <f>184.9311 * CHOOSE(CONTROL!$C$9, $D$9, 100%, $F$9) + CHOOSE(CONTROL!$C$27, 0.0021, 0)</f>
        <v>184.9332</v>
      </c>
      <c r="D1028" s="14">
        <f>184.9311 * CHOOSE(CONTROL!$C$9, $D$9, 100%, $F$9) + CHOOSE(CONTROL!$C$27, 0.0021, 0)</f>
        <v>184.9332</v>
      </c>
      <c r="E1028" s="14">
        <f>184.7944 * CHOOSE(CONTROL!$C$9, $D$9, 100%, $F$9) + CHOOSE(CONTROL!$C$27, 0.0021, 0)</f>
        <v>184.79650000000001</v>
      </c>
      <c r="F1028" s="14">
        <f>184.7944 * CHOOSE(CONTROL!$C$9, $D$9, 100%, $F$9) + CHOOSE(CONTROL!$C$27, 0.0021, 0)</f>
        <v>184.79650000000001</v>
      </c>
      <c r="G1028" s="14">
        <f>185.0658 * CHOOSE(CONTROL!$C$9, $D$9, 100%, $F$9) + CHOOSE(CONTROL!$C$27, 0.0021, 0)</f>
        <v>185.06790000000001</v>
      </c>
      <c r="H1028" s="14">
        <f>184.9311 * CHOOSE(CONTROL!$C$9, $D$9, 100%, $F$9) + CHOOSE(CONTROL!$C$27, 0.0021, 0)</f>
        <v>184.9332</v>
      </c>
      <c r="I1028" s="14">
        <f>184.9311 * CHOOSE(CONTROL!$C$9, $D$9, 100%, $F$9) + CHOOSE(CONTROL!$C$27, 0.0021, 0)</f>
        <v>184.9332</v>
      </c>
      <c r="J1028" s="14">
        <f>184.9311 * CHOOSE(CONTROL!$C$9, $D$9, 100%, $F$9) + CHOOSE(CONTROL!$C$27, 0.0021, 0)</f>
        <v>184.9332</v>
      </c>
      <c r="K1028" s="14">
        <f>184.9311 * CHOOSE(CONTROL!$C$9, $D$9, 100%, $F$9) + CHOOSE(CONTROL!$C$27, 0.0021, 0)</f>
        <v>184.9332</v>
      </c>
      <c r="L1028" s="14"/>
    </row>
    <row r="1029" spans="1:12" ht="15.75" x14ac:dyDescent="0.25">
      <c r="A1029" s="32">
        <v>72259</v>
      </c>
      <c r="B1029" s="14">
        <f>179.0326 * CHOOSE(CONTROL!$C$9, $D$9, 100%, $F$9) + CHOOSE(CONTROL!$C$27, 0.0021, 0)</f>
        <v>179.03470000000002</v>
      </c>
      <c r="C1029" s="14">
        <f>178.6003 * CHOOSE(CONTROL!$C$9, $D$9, 100%, $F$9) + CHOOSE(CONTROL!$C$27, 0.0021, 0)</f>
        <v>178.60240000000002</v>
      </c>
      <c r="D1029" s="14">
        <f>178.6003 * CHOOSE(CONTROL!$C$9, $D$9, 100%, $F$9) + CHOOSE(CONTROL!$C$27, 0.0021, 0)</f>
        <v>178.60240000000002</v>
      </c>
      <c r="E1029" s="14">
        <f>178.4637 * CHOOSE(CONTROL!$C$9, $D$9, 100%, $F$9) + CHOOSE(CONTROL!$C$27, 0.0021, 0)</f>
        <v>178.4658</v>
      </c>
      <c r="F1029" s="14">
        <f>178.4637 * CHOOSE(CONTROL!$C$9, $D$9, 100%, $F$9) + CHOOSE(CONTROL!$C$27, 0.0021, 0)</f>
        <v>178.4658</v>
      </c>
      <c r="G1029" s="14">
        <f>178.735 * CHOOSE(CONTROL!$C$9, $D$9, 100%, $F$9) + CHOOSE(CONTROL!$C$27, 0.0021, 0)</f>
        <v>178.73710000000003</v>
      </c>
      <c r="H1029" s="14">
        <f>178.6003 * CHOOSE(CONTROL!$C$9, $D$9, 100%, $F$9) + CHOOSE(CONTROL!$C$27, 0.0021, 0)</f>
        <v>178.60240000000002</v>
      </c>
      <c r="I1029" s="14">
        <f>178.6003 * CHOOSE(CONTROL!$C$9, $D$9, 100%, $F$9) + CHOOSE(CONTROL!$C$27, 0.0021, 0)</f>
        <v>178.60240000000002</v>
      </c>
      <c r="J1029" s="14">
        <f>178.6003 * CHOOSE(CONTROL!$C$9, $D$9, 100%, $F$9) + CHOOSE(CONTROL!$C$27, 0.0021, 0)</f>
        <v>178.60240000000002</v>
      </c>
      <c r="K1029" s="14">
        <f>178.6003 * CHOOSE(CONTROL!$C$9, $D$9, 100%, $F$9) + CHOOSE(CONTROL!$C$27, 0.0021, 0)</f>
        <v>178.60240000000002</v>
      </c>
      <c r="L1029" s="14"/>
    </row>
    <row r="1030" spans="1:12" ht="15.75" x14ac:dyDescent="0.25">
      <c r="A1030" s="32">
        <v>72289</v>
      </c>
      <c r="B1030" s="14">
        <f>177.7733 * CHOOSE(CONTROL!$C$9, $D$9, 100%, $F$9) + CHOOSE(CONTROL!$C$27, 0.0021, 0)</f>
        <v>177.77540000000002</v>
      </c>
      <c r="C1030" s="14">
        <f>177.341 * CHOOSE(CONTROL!$C$9, $D$9, 100%, $F$9) + CHOOSE(CONTROL!$C$27, 0.0021, 0)</f>
        <v>177.34310000000002</v>
      </c>
      <c r="D1030" s="14">
        <f>177.341 * CHOOSE(CONTROL!$C$9, $D$9, 100%, $F$9) + CHOOSE(CONTROL!$C$27, 0.0021, 0)</f>
        <v>177.34310000000002</v>
      </c>
      <c r="E1030" s="14">
        <f>177.2043 * CHOOSE(CONTROL!$C$9, $D$9, 100%, $F$9) + CHOOSE(CONTROL!$C$27, 0.0021, 0)</f>
        <v>177.2064</v>
      </c>
      <c r="F1030" s="14">
        <f>177.2043 * CHOOSE(CONTROL!$C$9, $D$9, 100%, $F$9) + CHOOSE(CONTROL!$C$27, 0.0021, 0)</f>
        <v>177.2064</v>
      </c>
      <c r="G1030" s="14">
        <f>177.4757 * CHOOSE(CONTROL!$C$9, $D$9, 100%, $F$9) + CHOOSE(CONTROL!$C$27, 0.0021, 0)</f>
        <v>177.4778</v>
      </c>
      <c r="H1030" s="14">
        <f>177.341 * CHOOSE(CONTROL!$C$9, $D$9, 100%, $F$9) + CHOOSE(CONTROL!$C$27, 0.0021, 0)</f>
        <v>177.34310000000002</v>
      </c>
      <c r="I1030" s="14">
        <f>177.341 * CHOOSE(CONTROL!$C$9, $D$9, 100%, $F$9) + CHOOSE(CONTROL!$C$27, 0.0021, 0)</f>
        <v>177.34310000000002</v>
      </c>
      <c r="J1030" s="14">
        <f>177.341 * CHOOSE(CONTROL!$C$9, $D$9, 100%, $F$9) + CHOOSE(CONTROL!$C$27, 0.0021, 0)</f>
        <v>177.34310000000002</v>
      </c>
      <c r="K1030" s="14">
        <f>177.341 * CHOOSE(CONTROL!$C$9, $D$9, 100%, $F$9) + CHOOSE(CONTROL!$C$27, 0.0021, 0)</f>
        <v>177.34310000000002</v>
      </c>
      <c r="L1030" s="14"/>
    </row>
    <row r="1031" spans="1:12" ht="15.75" x14ac:dyDescent="0.25">
      <c r="A1031" s="32">
        <v>72320</v>
      </c>
      <c r="B1031" s="14">
        <f>172.5658 * CHOOSE(CONTROL!$C$9, $D$9, 100%, $F$9) + CHOOSE(CONTROL!$C$27, 0.0021, 0)</f>
        <v>172.56790000000001</v>
      </c>
      <c r="C1031" s="14">
        <f>172.1336 * CHOOSE(CONTROL!$C$9, $D$9, 100%, $F$9) + CHOOSE(CONTROL!$C$27, 0.0021, 0)</f>
        <v>172.13570000000001</v>
      </c>
      <c r="D1031" s="14">
        <f>172.1336 * CHOOSE(CONTROL!$C$9, $D$9, 100%, $F$9) + CHOOSE(CONTROL!$C$27, 0.0021, 0)</f>
        <v>172.13570000000001</v>
      </c>
      <c r="E1031" s="14">
        <f>171.9969 * CHOOSE(CONTROL!$C$9, $D$9, 100%, $F$9) + CHOOSE(CONTROL!$C$27, 0.0021, 0)</f>
        <v>171.99900000000002</v>
      </c>
      <c r="F1031" s="14">
        <f>171.9969 * CHOOSE(CONTROL!$C$9, $D$9, 100%, $F$9) + CHOOSE(CONTROL!$C$27, 0.0021, 0)</f>
        <v>171.99900000000002</v>
      </c>
      <c r="G1031" s="14">
        <f>172.2683 * CHOOSE(CONTROL!$C$9, $D$9, 100%, $F$9) + CHOOSE(CONTROL!$C$27, 0.0021, 0)</f>
        <v>172.27040000000002</v>
      </c>
      <c r="H1031" s="14">
        <f>172.1336 * CHOOSE(CONTROL!$C$9, $D$9, 100%, $F$9) + CHOOSE(CONTROL!$C$27, 0.0021, 0)</f>
        <v>172.13570000000001</v>
      </c>
      <c r="I1031" s="14">
        <f>172.1336 * CHOOSE(CONTROL!$C$9, $D$9, 100%, $F$9) + CHOOSE(CONTROL!$C$27, 0.0021, 0)</f>
        <v>172.13570000000001</v>
      </c>
      <c r="J1031" s="14">
        <f>172.1336 * CHOOSE(CONTROL!$C$9, $D$9, 100%, $F$9) + CHOOSE(CONTROL!$C$27, 0.0021, 0)</f>
        <v>172.13570000000001</v>
      </c>
      <c r="K1031" s="14">
        <f>172.1336 * CHOOSE(CONTROL!$C$9, $D$9, 100%, $F$9) + CHOOSE(CONTROL!$C$27, 0.0021, 0)</f>
        <v>172.13570000000001</v>
      </c>
      <c r="L1031" s="14"/>
    </row>
    <row r="1032" spans="1:12" ht="15.75" x14ac:dyDescent="0.25">
      <c r="A1032" s="32">
        <v>72351</v>
      </c>
      <c r="B1032" s="14">
        <f>171.552 * CHOOSE(CONTROL!$C$9, $D$9, 100%, $F$9) + CHOOSE(CONTROL!$C$27, 0.0021, 0)</f>
        <v>171.55410000000001</v>
      </c>
      <c r="C1032" s="14">
        <f>171.1198 * CHOOSE(CONTROL!$C$9, $D$9, 100%, $F$9) + CHOOSE(CONTROL!$C$27, 0.0021, 0)</f>
        <v>171.12190000000001</v>
      </c>
      <c r="D1032" s="14">
        <f>171.1198 * CHOOSE(CONTROL!$C$9, $D$9, 100%, $F$9) + CHOOSE(CONTROL!$C$27, 0.0021, 0)</f>
        <v>171.12190000000001</v>
      </c>
      <c r="E1032" s="14">
        <f>170.9831 * CHOOSE(CONTROL!$C$9, $D$9, 100%, $F$9) + CHOOSE(CONTROL!$C$27, 0.0021, 0)</f>
        <v>170.98520000000002</v>
      </c>
      <c r="F1032" s="14">
        <f>170.9831 * CHOOSE(CONTROL!$C$9, $D$9, 100%, $F$9) + CHOOSE(CONTROL!$C$27, 0.0021, 0)</f>
        <v>170.98520000000002</v>
      </c>
      <c r="G1032" s="14">
        <f>171.2545 * CHOOSE(CONTROL!$C$9, $D$9, 100%, $F$9) + CHOOSE(CONTROL!$C$27, 0.0021, 0)</f>
        <v>171.25660000000002</v>
      </c>
      <c r="H1032" s="14">
        <f>171.1198 * CHOOSE(CONTROL!$C$9, $D$9, 100%, $F$9) + CHOOSE(CONTROL!$C$27, 0.0021, 0)</f>
        <v>171.12190000000001</v>
      </c>
      <c r="I1032" s="14">
        <f>171.1198 * CHOOSE(CONTROL!$C$9, $D$9, 100%, $F$9) + CHOOSE(CONTROL!$C$27, 0.0021, 0)</f>
        <v>171.12190000000001</v>
      </c>
      <c r="J1032" s="14">
        <f>171.1198 * CHOOSE(CONTROL!$C$9, $D$9, 100%, $F$9) + CHOOSE(CONTROL!$C$27, 0.0021, 0)</f>
        <v>171.12190000000001</v>
      </c>
      <c r="K1032" s="14">
        <f>171.1198 * CHOOSE(CONTROL!$C$9, $D$9, 100%, $F$9) + CHOOSE(CONTROL!$C$27, 0.0021, 0)</f>
        <v>171.12190000000001</v>
      </c>
      <c r="L1032" s="14"/>
    </row>
    <row r="1033" spans="1:12" ht="15.75" x14ac:dyDescent="0.25">
      <c r="A1033" s="32">
        <v>72379</v>
      </c>
      <c r="B1033" s="14">
        <f>171.0815 * CHOOSE(CONTROL!$C$9, $D$9, 100%, $F$9) + CHOOSE(CONTROL!$C$27, 0.0021, 0)</f>
        <v>171.08360000000002</v>
      </c>
      <c r="C1033" s="14">
        <f>170.6493 * CHOOSE(CONTROL!$C$9, $D$9, 100%, $F$9) + CHOOSE(CONTROL!$C$27, 0.0021, 0)</f>
        <v>170.65140000000002</v>
      </c>
      <c r="D1033" s="14">
        <f>170.6493 * CHOOSE(CONTROL!$C$9, $D$9, 100%, $F$9) + CHOOSE(CONTROL!$C$27, 0.0021, 0)</f>
        <v>170.65140000000002</v>
      </c>
      <c r="E1033" s="14">
        <f>170.5126 * CHOOSE(CONTROL!$C$9, $D$9, 100%, $F$9) + CHOOSE(CONTROL!$C$27, 0.0021, 0)</f>
        <v>170.5147</v>
      </c>
      <c r="F1033" s="14">
        <f>170.5126 * CHOOSE(CONTROL!$C$9, $D$9, 100%, $F$9) + CHOOSE(CONTROL!$C$27, 0.0021, 0)</f>
        <v>170.5147</v>
      </c>
      <c r="G1033" s="14">
        <f>170.784 * CHOOSE(CONTROL!$C$9, $D$9, 100%, $F$9) + CHOOSE(CONTROL!$C$27, 0.0021, 0)</f>
        <v>170.7861</v>
      </c>
      <c r="H1033" s="14">
        <f>170.6493 * CHOOSE(CONTROL!$C$9, $D$9, 100%, $F$9) + CHOOSE(CONTROL!$C$27, 0.0021, 0)</f>
        <v>170.65140000000002</v>
      </c>
      <c r="I1033" s="14">
        <f>170.6493 * CHOOSE(CONTROL!$C$9, $D$9, 100%, $F$9) + CHOOSE(CONTROL!$C$27, 0.0021, 0)</f>
        <v>170.65140000000002</v>
      </c>
      <c r="J1033" s="14">
        <f>170.6493 * CHOOSE(CONTROL!$C$9, $D$9, 100%, $F$9) + CHOOSE(CONTROL!$C$27, 0.0021, 0)</f>
        <v>170.65140000000002</v>
      </c>
      <c r="K1033" s="14">
        <f>170.6493 * CHOOSE(CONTROL!$C$9, $D$9, 100%, $F$9) + CHOOSE(CONTROL!$C$27, 0.0021, 0)</f>
        <v>170.65140000000002</v>
      </c>
      <c r="L1033" s="14"/>
    </row>
    <row r="1034" spans="1:12" ht="15.75" x14ac:dyDescent="0.25">
      <c r="A1034" s="32">
        <v>72410</v>
      </c>
      <c r="B1034" s="14">
        <f>179.9777 * CHOOSE(CONTROL!$C$9, $D$9, 100%, $F$9) + CHOOSE(CONTROL!$C$27, 0.0021, 0)</f>
        <v>179.97980000000001</v>
      </c>
      <c r="C1034" s="14">
        <f>179.5454 * CHOOSE(CONTROL!$C$9, $D$9, 100%, $F$9) + CHOOSE(CONTROL!$C$27, 0.0021, 0)</f>
        <v>179.54750000000001</v>
      </c>
      <c r="D1034" s="14">
        <f>179.5454 * CHOOSE(CONTROL!$C$9, $D$9, 100%, $F$9) + CHOOSE(CONTROL!$C$27, 0.0021, 0)</f>
        <v>179.54750000000001</v>
      </c>
      <c r="E1034" s="14">
        <f>179.4088 * CHOOSE(CONTROL!$C$9, $D$9, 100%, $F$9) + CHOOSE(CONTROL!$C$27, 0.0021, 0)</f>
        <v>179.41090000000003</v>
      </c>
      <c r="F1034" s="14">
        <f>179.4088 * CHOOSE(CONTROL!$C$9, $D$9, 100%, $F$9) + CHOOSE(CONTROL!$C$27, 0.0021, 0)</f>
        <v>179.41090000000003</v>
      </c>
      <c r="G1034" s="14">
        <f>179.6802 * CHOOSE(CONTROL!$C$9, $D$9, 100%, $F$9) + CHOOSE(CONTROL!$C$27, 0.0021, 0)</f>
        <v>179.68230000000003</v>
      </c>
      <c r="H1034" s="14">
        <f>179.5454 * CHOOSE(CONTROL!$C$9, $D$9, 100%, $F$9) + CHOOSE(CONTROL!$C$27, 0.0021, 0)</f>
        <v>179.54750000000001</v>
      </c>
      <c r="I1034" s="14">
        <f>179.5454 * CHOOSE(CONTROL!$C$9, $D$9, 100%, $F$9) + CHOOSE(CONTROL!$C$27, 0.0021, 0)</f>
        <v>179.54750000000001</v>
      </c>
      <c r="J1034" s="14">
        <f>179.5454 * CHOOSE(CONTROL!$C$9, $D$9, 100%, $F$9) + CHOOSE(CONTROL!$C$27, 0.0021, 0)</f>
        <v>179.54750000000001</v>
      </c>
      <c r="K1034" s="14">
        <f>179.5454 * CHOOSE(CONTROL!$C$9, $D$9, 100%, $F$9) + CHOOSE(CONTROL!$C$27, 0.0021, 0)</f>
        <v>179.54750000000001</v>
      </c>
      <c r="L1034" s="14"/>
    </row>
    <row r="1035" spans="1:12" ht="15.75" x14ac:dyDescent="0.25">
      <c r="A1035" s="32">
        <v>72440</v>
      </c>
      <c r="B1035" s="14">
        <f>191.5139 * CHOOSE(CONTROL!$C$9, $D$9, 100%, $F$9) + CHOOSE(CONTROL!$C$27, 0.0021, 0)</f>
        <v>191.51600000000002</v>
      </c>
      <c r="C1035" s="14">
        <f>191.0816 * CHOOSE(CONTROL!$C$9, $D$9, 100%, $F$9) + CHOOSE(CONTROL!$C$27, 0.0021, 0)</f>
        <v>191.08370000000002</v>
      </c>
      <c r="D1035" s="14">
        <f>191.0816 * CHOOSE(CONTROL!$C$9, $D$9, 100%, $F$9) + CHOOSE(CONTROL!$C$27, 0.0021, 0)</f>
        <v>191.08370000000002</v>
      </c>
      <c r="E1035" s="14">
        <f>190.945 * CHOOSE(CONTROL!$C$9, $D$9, 100%, $F$9) + CHOOSE(CONTROL!$C$27, 0.0021, 0)</f>
        <v>190.94710000000001</v>
      </c>
      <c r="F1035" s="14">
        <f>190.945 * CHOOSE(CONTROL!$C$9, $D$9, 100%, $F$9) + CHOOSE(CONTROL!$C$27, 0.0021, 0)</f>
        <v>190.94710000000001</v>
      </c>
      <c r="G1035" s="14">
        <f>191.2164 * CHOOSE(CONTROL!$C$9, $D$9, 100%, $F$9) + CHOOSE(CONTROL!$C$27, 0.0021, 0)</f>
        <v>191.21850000000001</v>
      </c>
      <c r="H1035" s="14">
        <f>191.0816 * CHOOSE(CONTROL!$C$9, $D$9, 100%, $F$9) + CHOOSE(CONTROL!$C$27, 0.0021, 0)</f>
        <v>191.08370000000002</v>
      </c>
      <c r="I1035" s="14">
        <f>191.0816 * CHOOSE(CONTROL!$C$9, $D$9, 100%, $F$9) + CHOOSE(CONTROL!$C$27, 0.0021, 0)</f>
        <v>191.08370000000002</v>
      </c>
      <c r="J1035" s="14">
        <f>191.0816 * CHOOSE(CONTROL!$C$9, $D$9, 100%, $F$9) + CHOOSE(CONTROL!$C$27, 0.0021, 0)</f>
        <v>191.08370000000002</v>
      </c>
      <c r="K1035" s="14">
        <f>191.0816 * CHOOSE(CONTROL!$C$9, $D$9, 100%, $F$9) + CHOOSE(CONTROL!$C$27, 0.0021, 0)</f>
        <v>191.08370000000002</v>
      </c>
      <c r="L1035" s="14"/>
    </row>
    <row r="1036" spans="1:12" ht="15.75" x14ac:dyDescent="0.25">
      <c r="A1036" s="32">
        <v>72471</v>
      </c>
      <c r="B1036" s="14">
        <f>197.8638 * CHOOSE(CONTROL!$C$9, $D$9, 100%, $F$9) + CHOOSE(CONTROL!$C$27, 0.0021, 0)</f>
        <v>197.86590000000001</v>
      </c>
      <c r="C1036" s="14">
        <f>197.4315 * CHOOSE(CONTROL!$C$9, $D$9, 100%, $F$9) + CHOOSE(CONTROL!$C$27, 0.0021, 0)</f>
        <v>197.43360000000001</v>
      </c>
      <c r="D1036" s="14">
        <f>197.4315 * CHOOSE(CONTROL!$C$9, $D$9, 100%, $F$9) + CHOOSE(CONTROL!$C$27, 0.0021, 0)</f>
        <v>197.43360000000001</v>
      </c>
      <c r="E1036" s="14">
        <f>197.2949 * CHOOSE(CONTROL!$C$9, $D$9, 100%, $F$9) + CHOOSE(CONTROL!$C$27, 0.0021, 0)</f>
        <v>197.29700000000003</v>
      </c>
      <c r="F1036" s="14">
        <f>197.2949 * CHOOSE(CONTROL!$C$9, $D$9, 100%, $F$9) + CHOOSE(CONTROL!$C$27, 0.0021, 0)</f>
        <v>197.29700000000003</v>
      </c>
      <c r="G1036" s="14">
        <f>197.5663 * CHOOSE(CONTROL!$C$9, $D$9, 100%, $F$9) + CHOOSE(CONTROL!$C$27, 0.0021, 0)</f>
        <v>197.56840000000003</v>
      </c>
      <c r="H1036" s="14">
        <f>197.4315 * CHOOSE(CONTROL!$C$9, $D$9, 100%, $F$9) + CHOOSE(CONTROL!$C$27, 0.0021, 0)</f>
        <v>197.43360000000001</v>
      </c>
      <c r="I1036" s="14">
        <f>197.4315 * CHOOSE(CONTROL!$C$9, $D$9, 100%, $F$9) + CHOOSE(CONTROL!$C$27, 0.0021, 0)</f>
        <v>197.43360000000001</v>
      </c>
      <c r="J1036" s="14">
        <f>197.4315 * CHOOSE(CONTROL!$C$9, $D$9, 100%, $F$9) + CHOOSE(CONTROL!$C$27, 0.0021, 0)</f>
        <v>197.43360000000001</v>
      </c>
      <c r="K1036" s="14">
        <f>197.4315 * CHOOSE(CONTROL!$C$9, $D$9, 100%, $F$9) + CHOOSE(CONTROL!$C$27, 0.0021, 0)</f>
        <v>197.43360000000001</v>
      </c>
      <c r="L1036" s="14"/>
    </row>
    <row r="1037" spans="1:12" ht="15.75" x14ac:dyDescent="0.25">
      <c r="A1037" s="32">
        <v>72501</v>
      </c>
      <c r="B1037" s="14">
        <f>200.6818 * CHOOSE(CONTROL!$C$9, $D$9, 100%, $F$9) + CHOOSE(CONTROL!$C$27, 0.0021, 0)</f>
        <v>200.68390000000002</v>
      </c>
      <c r="C1037" s="14">
        <f>200.2495 * CHOOSE(CONTROL!$C$9, $D$9, 100%, $F$9) + CHOOSE(CONTROL!$C$27, 0.0021, 0)</f>
        <v>200.25160000000002</v>
      </c>
      <c r="D1037" s="14">
        <f>200.2495 * CHOOSE(CONTROL!$C$9, $D$9, 100%, $F$9) + CHOOSE(CONTROL!$C$27, 0.0021, 0)</f>
        <v>200.25160000000002</v>
      </c>
      <c r="E1037" s="14">
        <f>200.1129 * CHOOSE(CONTROL!$C$9, $D$9, 100%, $F$9) + CHOOSE(CONTROL!$C$27, 0.0021, 0)</f>
        <v>200.11500000000001</v>
      </c>
      <c r="F1037" s="14">
        <f>200.1129 * CHOOSE(CONTROL!$C$9, $D$9, 100%, $F$9) + CHOOSE(CONTROL!$C$27, 0.0021, 0)</f>
        <v>200.11500000000001</v>
      </c>
      <c r="G1037" s="14">
        <f>200.3842 * CHOOSE(CONTROL!$C$9, $D$9, 100%, $F$9) + CHOOSE(CONTROL!$C$27, 0.0021, 0)</f>
        <v>200.38630000000001</v>
      </c>
      <c r="H1037" s="14">
        <f>200.2495 * CHOOSE(CONTROL!$C$9, $D$9, 100%, $F$9) + CHOOSE(CONTROL!$C$27, 0.0021, 0)</f>
        <v>200.25160000000002</v>
      </c>
      <c r="I1037" s="14">
        <f>200.2495 * CHOOSE(CONTROL!$C$9, $D$9, 100%, $F$9) + CHOOSE(CONTROL!$C$27, 0.0021, 0)</f>
        <v>200.25160000000002</v>
      </c>
      <c r="J1037" s="14">
        <f>200.2495 * CHOOSE(CONTROL!$C$9, $D$9, 100%, $F$9) + CHOOSE(CONTROL!$C$27, 0.0021, 0)</f>
        <v>200.25160000000002</v>
      </c>
      <c r="K1037" s="14">
        <f>200.2495 * CHOOSE(CONTROL!$C$9, $D$9, 100%, $F$9) + CHOOSE(CONTROL!$C$27, 0.0021, 0)</f>
        <v>200.25160000000002</v>
      </c>
      <c r="L1037" s="14"/>
    </row>
    <row r="1038" spans="1:12" ht="15.75" x14ac:dyDescent="0.25">
      <c r="A1038" s="32">
        <v>72532</v>
      </c>
      <c r="B1038" s="14">
        <f>199.754 * CHOOSE(CONTROL!$C$9, $D$9, 100%, $F$9) + CHOOSE(CONTROL!$C$27, 0.0021, 0)</f>
        <v>199.7561</v>
      </c>
      <c r="C1038" s="14">
        <f>199.3217 * CHOOSE(CONTROL!$C$9, $D$9, 100%, $F$9) + CHOOSE(CONTROL!$C$27, 0.0021, 0)</f>
        <v>199.32380000000001</v>
      </c>
      <c r="D1038" s="14">
        <f>199.3217 * CHOOSE(CONTROL!$C$9, $D$9, 100%, $F$9) + CHOOSE(CONTROL!$C$27, 0.0021, 0)</f>
        <v>199.32380000000001</v>
      </c>
      <c r="E1038" s="14">
        <f>199.1851 * CHOOSE(CONTROL!$C$9, $D$9, 100%, $F$9) + CHOOSE(CONTROL!$C$27, 0.0021, 0)</f>
        <v>199.18720000000002</v>
      </c>
      <c r="F1038" s="14">
        <f>199.1851 * CHOOSE(CONTROL!$C$9, $D$9, 100%, $F$9) + CHOOSE(CONTROL!$C$27, 0.0021, 0)</f>
        <v>199.18720000000002</v>
      </c>
      <c r="G1038" s="14">
        <f>199.4564 * CHOOSE(CONTROL!$C$9, $D$9, 100%, $F$9) + CHOOSE(CONTROL!$C$27, 0.0021, 0)</f>
        <v>199.45850000000002</v>
      </c>
      <c r="H1038" s="14">
        <f>199.3217 * CHOOSE(CONTROL!$C$9, $D$9, 100%, $F$9) + CHOOSE(CONTROL!$C$27, 0.0021, 0)</f>
        <v>199.32380000000001</v>
      </c>
      <c r="I1038" s="14">
        <f>199.3217 * CHOOSE(CONTROL!$C$9, $D$9, 100%, $F$9) + CHOOSE(CONTROL!$C$27, 0.0021, 0)</f>
        <v>199.32380000000001</v>
      </c>
      <c r="J1038" s="14">
        <f>199.3217 * CHOOSE(CONTROL!$C$9, $D$9, 100%, $F$9) + CHOOSE(CONTROL!$C$27, 0.0021, 0)</f>
        <v>199.32380000000001</v>
      </c>
      <c r="K1038" s="14">
        <f>199.3217 * CHOOSE(CONTROL!$C$9, $D$9, 100%, $F$9) + CHOOSE(CONTROL!$C$27, 0.0021, 0)</f>
        <v>199.32380000000001</v>
      </c>
      <c r="L1038" s="14"/>
    </row>
    <row r="1039" spans="1:12" ht="15.75" x14ac:dyDescent="0.25">
      <c r="A1039" s="32">
        <v>72563</v>
      </c>
      <c r="B1039" s="14">
        <f>195.1571 * CHOOSE(CONTROL!$C$9, $D$9, 100%, $F$9) + CHOOSE(CONTROL!$C$27, 0.0021, 0)</f>
        <v>195.15920000000003</v>
      </c>
      <c r="C1039" s="14">
        <f>194.7249 * CHOOSE(CONTROL!$C$9, $D$9, 100%, $F$9) + CHOOSE(CONTROL!$C$27, 0.0021, 0)</f>
        <v>194.727</v>
      </c>
      <c r="D1039" s="14">
        <f>194.7249 * CHOOSE(CONTROL!$C$9, $D$9, 100%, $F$9) + CHOOSE(CONTROL!$C$27, 0.0021, 0)</f>
        <v>194.727</v>
      </c>
      <c r="E1039" s="14">
        <f>194.5882 * CHOOSE(CONTROL!$C$9, $D$9, 100%, $F$9) + CHOOSE(CONTROL!$C$27, 0.0021, 0)</f>
        <v>194.59030000000001</v>
      </c>
      <c r="F1039" s="14">
        <f>194.5882 * CHOOSE(CONTROL!$C$9, $D$9, 100%, $F$9) + CHOOSE(CONTROL!$C$27, 0.0021, 0)</f>
        <v>194.59030000000001</v>
      </c>
      <c r="G1039" s="14">
        <f>194.8596 * CHOOSE(CONTROL!$C$9, $D$9, 100%, $F$9) + CHOOSE(CONTROL!$C$27, 0.0021, 0)</f>
        <v>194.86170000000001</v>
      </c>
      <c r="H1039" s="14">
        <f>194.7249 * CHOOSE(CONTROL!$C$9, $D$9, 100%, $F$9) + CHOOSE(CONTROL!$C$27, 0.0021, 0)</f>
        <v>194.727</v>
      </c>
      <c r="I1039" s="14">
        <f>194.7249 * CHOOSE(CONTROL!$C$9, $D$9, 100%, $F$9) + CHOOSE(CONTROL!$C$27, 0.0021, 0)</f>
        <v>194.727</v>
      </c>
      <c r="J1039" s="14">
        <f>194.7249 * CHOOSE(CONTROL!$C$9, $D$9, 100%, $F$9) + CHOOSE(CONTROL!$C$27, 0.0021, 0)</f>
        <v>194.727</v>
      </c>
      <c r="K1039" s="14">
        <f>194.7249 * CHOOSE(CONTROL!$C$9, $D$9, 100%, $F$9) + CHOOSE(CONTROL!$C$27, 0.0021, 0)</f>
        <v>194.727</v>
      </c>
      <c r="L1039" s="14"/>
    </row>
    <row r="1040" spans="1:12" ht="15.75" x14ac:dyDescent="0.25">
      <c r="A1040" s="32">
        <v>72593</v>
      </c>
      <c r="B1040" s="14">
        <f>188.7466 * CHOOSE(CONTROL!$C$9, $D$9, 100%, $F$9) + CHOOSE(CONTROL!$C$27, 0.0021, 0)</f>
        <v>188.74870000000001</v>
      </c>
      <c r="C1040" s="14">
        <f>188.3144 * CHOOSE(CONTROL!$C$9, $D$9, 100%, $F$9) + CHOOSE(CONTROL!$C$27, 0.0021, 0)</f>
        <v>188.31650000000002</v>
      </c>
      <c r="D1040" s="14">
        <f>188.3144 * CHOOSE(CONTROL!$C$9, $D$9, 100%, $F$9) + CHOOSE(CONTROL!$C$27, 0.0021, 0)</f>
        <v>188.31650000000002</v>
      </c>
      <c r="E1040" s="14">
        <f>188.1777 * CHOOSE(CONTROL!$C$9, $D$9, 100%, $F$9) + CHOOSE(CONTROL!$C$27, 0.0021, 0)</f>
        <v>188.1798</v>
      </c>
      <c r="F1040" s="14">
        <f>188.1777 * CHOOSE(CONTROL!$C$9, $D$9, 100%, $F$9) + CHOOSE(CONTROL!$C$27, 0.0021, 0)</f>
        <v>188.1798</v>
      </c>
      <c r="G1040" s="14">
        <f>188.4491 * CHOOSE(CONTROL!$C$9, $D$9, 100%, $F$9) + CHOOSE(CONTROL!$C$27, 0.0021, 0)</f>
        <v>188.4512</v>
      </c>
      <c r="H1040" s="14">
        <f>188.3144 * CHOOSE(CONTROL!$C$9, $D$9, 100%, $F$9) + CHOOSE(CONTROL!$C$27, 0.0021, 0)</f>
        <v>188.31650000000002</v>
      </c>
      <c r="I1040" s="14">
        <f>188.3144 * CHOOSE(CONTROL!$C$9, $D$9, 100%, $F$9) + CHOOSE(CONTROL!$C$27, 0.0021, 0)</f>
        <v>188.31650000000002</v>
      </c>
      <c r="J1040" s="14">
        <f>188.3144 * CHOOSE(CONTROL!$C$9, $D$9, 100%, $F$9) + CHOOSE(CONTROL!$C$27, 0.0021, 0)</f>
        <v>188.31650000000002</v>
      </c>
      <c r="K1040" s="14">
        <f>188.3144 * CHOOSE(CONTROL!$C$9, $D$9, 100%, $F$9) + CHOOSE(CONTROL!$C$27, 0.0021, 0)</f>
        <v>188.31650000000002</v>
      </c>
      <c r="L1040" s="14"/>
    </row>
    <row r="1041" spans="1:12" ht="15.75" x14ac:dyDescent="0.25">
      <c r="A1041" s="32">
        <v>72624</v>
      </c>
      <c r="B1041" s="14">
        <f>182.2989 * CHOOSE(CONTROL!$C$9, $D$9, 100%, $F$9) + CHOOSE(CONTROL!$C$27, 0.0021, 0)</f>
        <v>182.30100000000002</v>
      </c>
      <c r="C1041" s="14">
        <f>181.8666 * CHOOSE(CONTROL!$C$9, $D$9, 100%, $F$9) + CHOOSE(CONTROL!$C$27, 0.0021, 0)</f>
        <v>181.86870000000002</v>
      </c>
      <c r="D1041" s="14">
        <f>181.8666 * CHOOSE(CONTROL!$C$9, $D$9, 100%, $F$9) + CHOOSE(CONTROL!$C$27, 0.0021, 0)</f>
        <v>181.86870000000002</v>
      </c>
      <c r="E1041" s="14">
        <f>181.73 * CHOOSE(CONTROL!$C$9, $D$9, 100%, $F$9) + CHOOSE(CONTROL!$C$27, 0.0021, 0)</f>
        <v>181.7321</v>
      </c>
      <c r="F1041" s="14">
        <f>181.73 * CHOOSE(CONTROL!$C$9, $D$9, 100%, $F$9) + CHOOSE(CONTROL!$C$27, 0.0021, 0)</f>
        <v>181.7321</v>
      </c>
      <c r="G1041" s="14">
        <f>182.0013 * CHOOSE(CONTROL!$C$9, $D$9, 100%, $F$9) + CHOOSE(CONTROL!$C$27, 0.0021, 0)</f>
        <v>182.0034</v>
      </c>
      <c r="H1041" s="14">
        <f>181.8666 * CHOOSE(CONTROL!$C$9, $D$9, 100%, $F$9) + CHOOSE(CONTROL!$C$27, 0.0021, 0)</f>
        <v>181.86870000000002</v>
      </c>
      <c r="I1041" s="14">
        <f>181.8666 * CHOOSE(CONTROL!$C$9, $D$9, 100%, $F$9) + CHOOSE(CONTROL!$C$27, 0.0021, 0)</f>
        <v>181.86870000000002</v>
      </c>
      <c r="J1041" s="14">
        <f>181.8666 * CHOOSE(CONTROL!$C$9, $D$9, 100%, $F$9) + CHOOSE(CONTROL!$C$27, 0.0021, 0)</f>
        <v>181.86870000000002</v>
      </c>
      <c r="K1041" s="14">
        <f>181.8666 * CHOOSE(CONTROL!$C$9, $D$9, 100%, $F$9) + CHOOSE(CONTROL!$C$27, 0.0021, 0)</f>
        <v>181.86870000000002</v>
      </c>
      <c r="L1041" s="14"/>
    </row>
    <row r="1042" spans="1:12" ht="15.75" x14ac:dyDescent="0.25">
      <c r="A1042" s="32">
        <v>72654</v>
      </c>
      <c r="B1042" s="14">
        <f>181.0163 * CHOOSE(CONTROL!$C$9, $D$9, 100%, $F$9) + CHOOSE(CONTROL!$C$27, 0.0021, 0)</f>
        <v>181.01840000000001</v>
      </c>
      <c r="C1042" s="14">
        <f>180.584 * CHOOSE(CONTROL!$C$9, $D$9, 100%, $F$9) + CHOOSE(CONTROL!$C$27, 0.0021, 0)</f>
        <v>180.58610000000002</v>
      </c>
      <c r="D1042" s="14">
        <f>180.584 * CHOOSE(CONTROL!$C$9, $D$9, 100%, $F$9) + CHOOSE(CONTROL!$C$27, 0.0021, 0)</f>
        <v>180.58610000000002</v>
      </c>
      <c r="E1042" s="14">
        <f>180.4474 * CHOOSE(CONTROL!$C$9, $D$9, 100%, $F$9) + CHOOSE(CONTROL!$C$27, 0.0021, 0)</f>
        <v>180.4495</v>
      </c>
      <c r="F1042" s="14">
        <f>180.4474 * CHOOSE(CONTROL!$C$9, $D$9, 100%, $F$9) + CHOOSE(CONTROL!$C$27, 0.0021, 0)</f>
        <v>180.4495</v>
      </c>
      <c r="G1042" s="14">
        <f>180.7187 * CHOOSE(CONTROL!$C$9, $D$9, 100%, $F$9) + CHOOSE(CONTROL!$C$27, 0.0021, 0)</f>
        <v>180.72080000000003</v>
      </c>
      <c r="H1042" s="14">
        <f>180.584 * CHOOSE(CONTROL!$C$9, $D$9, 100%, $F$9) + CHOOSE(CONTROL!$C$27, 0.0021, 0)</f>
        <v>180.58610000000002</v>
      </c>
      <c r="I1042" s="14">
        <f>180.584 * CHOOSE(CONTROL!$C$9, $D$9, 100%, $F$9) + CHOOSE(CONTROL!$C$27, 0.0021, 0)</f>
        <v>180.58610000000002</v>
      </c>
      <c r="J1042" s="14">
        <f>180.584 * CHOOSE(CONTROL!$C$9, $D$9, 100%, $F$9) + CHOOSE(CONTROL!$C$27, 0.0021, 0)</f>
        <v>180.58610000000002</v>
      </c>
      <c r="K1042" s="14">
        <f>180.584 * CHOOSE(CONTROL!$C$9, $D$9, 100%, $F$9) + CHOOSE(CONTROL!$C$27, 0.0021, 0)</f>
        <v>180.58610000000002</v>
      </c>
      <c r="L1042" s="14"/>
    </row>
    <row r="1043" spans="1:12" ht="15.75" x14ac:dyDescent="0.25">
      <c r="A1043" s="32">
        <v>72685</v>
      </c>
      <c r="B1043" s="14">
        <f>175.7126 * CHOOSE(CONTROL!$C$9, $D$9, 100%, $F$9) + CHOOSE(CONTROL!$C$27, 0.0021, 0)</f>
        <v>175.71470000000002</v>
      </c>
      <c r="C1043" s="14">
        <f>175.2804 * CHOOSE(CONTROL!$C$9, $D$9, 100%, $F$9) + CHOOSE(CONTROL!$C$27, 0.0021, 0)</f>
        <v>175.2825</v>
      </c>
      <c r="D1043" s="14">
        <f>175.2804 * CHOOSE(CONTROL!$C$9, $D$9, 100%, $F$9) + CHOOSE(CONTROL!$C$27, 0.0021, 0)</f>
        <v>175.2825</v>
      </c>
      <c r="E1043" s="14">
        <f>175.1437 * CHOOSE(CONTROL!$C$9, $D$9, 100%, $F$9) + CHOOSE(CONTROL!$C$27, 0.0021, 0)</f>
        <v>175.14580000000001</v>
      </c>
      <c r="F1043" s="14">
        <f>175.1437 * CHOOSE(CONTROL!$C$9, $D$9, 100%, $F$9) + CHOOSE(CONTROL!$C$27, 0.0021, 0)</f>
        <v>175.14580000000001</v>
      </c>
      <c r="G1043" s="14">
        <f>175.4151 * CHOOSE(CONTROL!$C$9, $D$9, 100%, $F$9) + CHOOSE(CONTROL!$C$27, 0.0021, 0)</f>
        <v>175.41720000000001</v>
      </c>
      <c r="H1043" s="14">
        <f>175.2804 * CHOOSE(CONTROL!$C$9, $D$9, 100%, $F$9) + CHOOSE(CONTROL!$C$27, 0.0021, 0)</f>
        <v>175.2825</v>
      </c>
      <c r="I1043" s="14">
        <f>175.2804 * CHOOSE(CONTROL!$C$9, $D$9, 100%, $F$9) + CHOOSE(CONTROL!$C$27, 0.0021, 0)</f>
        <v>175.2825</v>
      </c>
      <c r="J1043" s="14">
        <f>175.2804 * CHOOSE(CONTROL!$C$9, $D$9, 100%, $F$9) + CHOOSE(CONTROL!$C$27, 0.0021, 0)</f>
        <v>175.2825</v>
      </c>
      <c r="K1043" s="14">
        <f>175.2804 * CHOOSE(CONTROL!$C$9, $D$9, 100%, $F$9) + CHOOSE(CONTROL!$C$27, 0.0021, 0)</f>
        <v>175.2825</v>
      </c>
      <c r="L1043" s="14"/>
    </row>
    <row r="1044" spans="1:12" ht="15.75" x14ac:dyDescent="0.25">
      <c r="A1044" s="32">
        <v>72716</v>
      </c>
      <c r="B1044" s="14">
        <f>174.6801 * CHOOSE(CONTROL!$C$9, $D$9, 100%, $F$9) + CHOOSE(CONTROL!$C$27, 0.0021, 0)</f>
        <v>174.68220000000002</v>
      </c>
      <c r="C1044" s="14">
        <f>174.2478 * CHOOSE(CONTROL!$C$9, $D$9, 100%, $F$9) + CHOOSE(CONTROL!$C$27, 0.0021, 0)</f>
        <v>174.24990000000003</v>
      </c>
      <c r="D1044" s="14">
        <f>174.2478 * CHOOSE(CONTROL!$C$9, $D$9, 100%, $F$9) + CHOOSE(CONTROL!$C$27, 0.0021, 0)</f>
        <v>174.24990000000003</v>
      </c>
      <c r="E1044" s="14">
        <f>174.1112 * CHOOSE(CONTROL!$C$9, $D$9, 100%, $F$9) + CHOOSE(CONTROL!$C$27, 0.0021, 0)</f>
        <v>174.11330000000001</v>
      </c>
      <c r="F1044" s="14">
        <f>174.1112 * CHOOSE(CONTROL!$C$9, $D$9, 100%, $F$9) + CHOOSE(CONTROL!$C$27, 0.0021, 0)</f>
        <v>174.11330000000001</v>
      </c>
      <c r="G1044" s="14">
        <f>174.3825 * CHOOSE(CONTROL!$C$9, $D$9, 100%, $F$9) + CHOOSE(CONTROL!$C$27, 0.0021, 0)</f>
        <v>174.38460000000001</v>
      </c>
      <c r="H1044" s="14">
        <f>174.2478 * CHOOSE(CONTROL!$C$9, $D$9, 100%, $F$9) + CHOOSE(CONTROL!$C$27, 0.0021, 0)</f>
        <v>174.24990000000003</v>
      </c>
      <c r="I1044" s="14">
        <f>174.2478 * CHOOSE(CONTROL!$C$9, $D$9, 100%, $F$9) + CHOOSE(CONTROL!$C$27, 0.0021, 0)</f>
        <v>174.24990000000003</v>
      </c>
      <c r="J1044" s="14">
        <f>174.2478 * CHOOSE(CONTROL!$C$9, $D$9, 100%, $F$9) + CHOOSE(CONTROL!$C$27, 0.0021, 0)</f>
        <v>174.24990000000003</v>
      </c>
      <c r="K1044" s="14">
        <f>174.2478 * CHOOSE(CONTROL!$C$9, $D$9, 100%, $F$9) + CHOOSE(CONTROL!$C$27, 0.0021, 0)</f>
        <v>174.24990000000003</v>
      </c>
      <c r="L1044" s="14"/>
    </row>
    <row r="1045" spans="1:12" ht="15.75" x14ac:dyDescent="0.25">
      <c r="A1045" s="32">
        <v>72744</v>
      </c>
      <c r="B1045" s="14">
        <f>174.2009 * CHOOSE(CONTROL!$C$9, $D$9, 100%, $F$9) + CHOOSE(CONTROL!$C$27, 0.0021, 0)</f>
        <v>174.203</v>
      </c>
      <c r="C1045" s="14">
        <f>173.7686 * CHOOSE(CONTROL!$C$9, $D$9, 100%, $F$9) + CHOOSE(CONTROL!$C$27, 0.0021, 0)</f>
        <v>173.77070000000001</v>
      </c>
      <c r="D1045" s="14">
        <f>173.7686 * CHOOSE(CONTROL!$C$9, $D$9, 100%, $F$9) + CHOOSE(CONTROL!$C$27, 0.0021, 0)</f>
        <v>173.77070000000001</v>
      </c>
      <c r="E1045" s="14">
        <f>173.632 * CHOOSE(CONTROL!$C$9, $D$9, 100%, $F$9) + CHOOSE(CONTROL!$C$27, 0.0021, 0)</f>
        <v>173.63410000000002</v>
      </c>
      <c r="F1045" s="14">
        <f>173.632 * CHOOSE(CONTROL!$C$9, $D$9, 100%, $F$9) + CHOOSE(CONTROL!$C$27, 0.0021, 0)</f>
        <v>173.63410000000002</v>
      </c>
      <c r="G1045" s="14">
        <f>173.9033 * CHOOSE(CONTROL!$C$9, $D$9, 100%, $F$9) + CHOOSE(CONTROL!$C$27, 0.0021, 0)</f>
        <v>173.90540000000001</v>
      </c>
      <c r="H1045" s="14">
        <f>173.7686 * CHOOSE(CONTROL!$C$9, $D$9, 100%, $F$9) + CHOOSE(CONTROL!$C$27, 0.0021, 0)</f>
        <v>173.77070000000001</v>
      </c>
      <c r="I1045" s="14">
        <f>173.7686 * CHOOSE(CONTROL!$C$9, $D$9, 100%, $F$9) + CHOOSE(CONTROL!$C$27, 0.0021, 0)</f>
        <v>173.77070000000001</v>
      </c>
      <c r="J1045" s="14">
        <f>173.7686 * CHOOSE(CONTROL!$C$9, $D$9, 100%, $F$9) + CHOOSE(CONTROL!$C$27, 0.0021, 0)</f>
        <v>173.77070000000001</v>
      </c>
      <c r="K1045" s="14">
        <f>173.7686 * CHOOSE(CONTROL!$C$9, $D$9, 100%, $F$9) + CHOOSE(CONTROL!$C$27, 0.0021, 0)</f>
        <v>173.77070000000001</v>
      </c>
      <c r="L1045" s="14"/>
    </row>
    <row r="1046" spans="1:12" ht="15.75" x14ac:dyDescent="0.25">
      <c r="A1046" s="32">
        <v>72775</v>
      </c>
      <c r="B1046" s="14">
        <f>183.2615 * CHOOSE(CONTROL!$C$9, $D$9, 100%, $F$9) + CHOOSE(CONTROL!$C$27, 0.0021, 0)</f>
        <v>183.26360000000003</v>
      </c>
      <c r="C1046" s="14">
        <f>182.8292 * CHOOSE(CONTROL!$C$9, $D$9, 100%, $F$9) + CHOOSE(CONTROL!$C$27, 0.0021, 0)</f>
        <v>182.8313</v>
      </c>
      <c r="D1046" s="14">
        <f>182.8292 * CHOOSE(CONTROL!$C$9, $D$9, 100%, $F$9) + CHOOSE(CONTROL!$C$27, 0.0021, 0)</f>
        <v>182.8313</v>
      </c>
      <c r="E1046" s="14">
        <f>182.6925 * CHOOSE(CONTROL!$C$9, $D$9, 100%, $F$9) + CHOOSE(CONTROL!$C$27, 0.0021, 0)</f>
        <v>182.69460000000001</v>
      </c>
      <c r="F1046" s="14">
        <f>182.6925 * CHOOSE(CONTROL!$C$9, $D$9, 100%, $F$9) + CHOOSE(CONTROL!$C$27, 0.0021, 0)</f>
        <v>182.69460000000001</v>
      </c>
      <c r="G1046" s="14">
        <f>182.9639 * CHOOSE(CONTROL!$C$9, $D$9, 100%, $F$9) + CHOOSE(CONTROL!$C$27, 0.0021, 0)</f>
        <v>182.96600000000001</v>
      </c>
      <c r="H1046" s="14">
        <f>182.8292 * CHOOSE(CONTROL!$C$9, $D$9, 100%, $F$9) + CHOOSE(CONTROL!$C$27, 0.0021, 0)</f>
        <v>182.8313</v>
      </c>
      <c r="I1046" s="14">
        <f>182.8292 * CHOOSE(CONTROL!$C$9, $D$9, 100%, $F$9) + CHOOSE(CONTROL!$C$27, 0.0021, 0)</f>
        <v>182.8313</v>
      </c>
      <c r="J1046" s="14">
        <f>182.8292 * CHOOSE(CONTROL!$C$9, $D$9, 100%, $F$9) + CHOOSE(CONTROL!$C$27, 0.0021, 0)</f>
        <v>182.8313</v>
      </c>
      <c r="K1046" s="14">
        <f>182.8292 * CHOOSE(CONTROL!$C$9, $D$9, 100%, $F$9) + CHOOSE(CONTROL!$C$27, 0.0021, 0)</f>
        <v>182.8313</v>
      </c>
      <c r="L1046" s="14"/>
    </row>
    <row r="1047" spans="1:12" ht="15.75" x14ac:dyDescent="0.25">
      <c r="A1047" s="32">
        <v>72805</v>
      </c>
      <c r="B1047" s="14">
        <f>195.0108 * CHOOSE(CONTROL!$C$9, $D$9, 100%, $F$9) + CHOOSE(CONTROL!$C$27, 0.0021, 0)</f>
        <v>195.0129</v>
      </c>
      <c r="C1047" s="14">
        <f>194.5786 * CHOOSE(CONTROL!$C$9, $D$9, 100%, $F$9) + CHOOSE(CONTROL!$C$27, 0.0021, 0)</f>
        <v>194.58070000000001</v>
      </c>
      <c r="D1047" s="14">
        <f>194.5786 * CHOOSE(CONTROL!$C$9, $D$9, 100%, $F$9) + CHOOSE(CONTROL!$C$27, 0.0021, 0)</f>
        <v>194.58070000000001</v>
      </c>
      <c r="E1047" s="14">
        <f>194.4419 * CHOOSE(CONTROL!$C$9, $D$9, 100%, $F$9) + CHOOSE(CONTROL!$C$27, 0.0021, 0)</f>
        <v>194.44400000000002</v>
      </c>
      <c r="F1047" s="14">
        <f>194.4419 * CHOOSE(CONTROL!$C$9, $D$9, 100%, $F$9) + CHOOSE(CONTROL!$C$27, 0.0021, 0)</f>
        <v>194.44400000000002</v>
      </c>
      <c r="G1047" s="14">
        <f>194.7133 * CHOOSE(CONTROL!$C$9, $D$9, 100%, $F$9) + CHOOSE(CONTROL!$C$27, 0.0021, 0)</f>
        <v>194.71540000000002</v>
      </c>
      <c r="H1047" s="14">
        <f>194.5786 * CHOOSE(CONTROL!$C$9, $D$9, 100%, $F$9) + CHOOSE(CONTROL!$C$27, 0.0021, 0)</f>
        <v>194.58070000000001</v>
      </c>
      <c r="I1047" s="14">
        <f>194.5786 * CHOOSE(CONTROL!$C$9, $D$9, 100%, $F$9) + CHOOSE(CONTROL!$C$27, 0.0021, 0)</f>
        <v>194.58070000000001</v>
      </c>
      <c r="J1047" s="14">
        <f>194.5786 * CHOOSE(CONTROL!$C$9, $D$9, 100%, $F$9) + CHOOSE(CONTROL!$C$27, 0.0021, 0)</f>
        <v>194.58070000000001</v>
      </c>
      <c r="K1047" s="14">
        <f>194.5786 * CHOOSE(CONTROL!$C$9, $D$9, 100%, $F$9) + CHOOSE(CONTROL!$C$27, 0.0021, 0)</f>
        <v>194.58070000000001</v>
      </c>
      <c r="L1047" s="14"/>
    </row>
    <row r="1048" spans="1:12" ht="15.75" x14ac:dyDescent="0.25">
      <c r="A1048" s="32">
        <v>72836</v>
      </c>
      <c r="B1048" s="14">
        <f>201.4781 * CHOOSE(CONTROL!$C$9, $D$9, 100%, $F$9) + CHOOSE(CONTROL!$C$27, 0.0021, 0)</f>
        <v>201.48020000000002</v>
      </c>
      <c r="C1048" s="14">
        <f>201.0459 * CHOOSE(CONTROL!$C$9, $D$9, 100%, $F$9) + CHOOSE(CONTROL!$C$27, 0.0021, 0)</f>
        <v>201.048</v>
      </c>
      <c r="D1048" s="14">
        <f>201.0459 * CHOOSE(CONTROL!$C$9, $D$9, 100%, $F$9) + CHOOSE(CONTROL!$C$27, 0.0021, 0)</f>
        <v>201.048</v>
      </c>
      <c r="E1048" s="14">
        <f>200.9092 * CHOOSE(CONTROL!$C$9, $D$9, 100%, $F$9) + CHOOSE(CONTROL!$C$27, 0.0021, 0)</f>
        <v>200.91130000000001</v>
      </c>
      <c r="F1048" s="14">
        <f>200.9092 * CHOOSE(CONTROL!$C$9, $D$9, 100%, $F$9) + CHOOSE(CONTROL!$C$27, 0.0021, 0)</f>
        <v>200.91130000000001</v>
      </c>
      <c r="G1048" s="14">
        <f>201.1806 * CHOOSE(CONTROL!$C$9, $D$9, 100%, $F$9) + CHOOSE(CONTROL!$C$27, 0.0021, 0)</f>
        <v>201.18270000000001</v>
      </c>
      <c r="H1048" s="14">
        <f>201.0459 * CHOOSE(CONTROL!$C$9, $D$9, 100%, $F$9) + CHOOSE(CONTROL!$C$27, 0.0021, 0)</f>
        <v>201.048</v>
      </c>
      <c r="I1048" s="14">
        <f>201.0459 * CHOOSE(CONTROL!$C$9, $D$9, 100%, $F$9) + CHOOSE(CONTROL!$C$27, 0.0021, 0)</f>
        <v>201.048</v>
      </c>
      <c r="J1048" s="14">
        <f>201.0459 * CHOOSE(CONTROL!$C$9, $D$9, 100%, $F$9) + CHOOSE(CONTROL!$C$27, 0.0021, 0)</f>
        <v>201.048</v>
      </c>
      <c r="K1048" s="14">
        <f>201.0459 * CHOOSE(CONTROL!$C$9, $D$9, 100%, $F$9) + CHOOSE(CONTROL!$C$27, 0.0021, 0)</f>
        <v>201.048</v>
      </c>
      <c r="L1048" s="14"/>
    </row>
    <row r="1049" spans="1:12" ht="15.75" x14ac:dyDescent="0.25">
      <c r="A1049" s="32">
        <v>72866</v>
      </c>
      <c r="B1049" s="14">
        <f>204.3482 * CHOOSE(CONTROL!$C$9, $D$9, 100%, $F$9) + CHOOSE(CONTROL!$C$27, 0.0021, 0)</f>
        <v>204.3503</v>
      </c>
      <c r="C1049" s="14">
        <f>203.9159 * CHOOSE(CONTROL!$C$9, $D$9, 100%, $F$9) + CHOOSE(CONTROL!$C$27, 0.0021, 0)</f>
        <v>203.91800000000001</v>
      </c>
      <c r="D1049" s="14">
        <f>203.9159 * CHOOSE(CONTROL!$C$9, $D$9, 100%, $F$9) + CHOOSE(CONTROL!$C$27, 0.0021, 0)</f>
        <v>203.91800000000001</v>
      </c>
      <c r="E1049" s="14">
        <f>203.7792 * CHOOSE(CONTROL!$C$9, $D$9, 100%, $F$9) + CHOOSE(CONTROL!$C$27, 0.0021, 0)</f>
        <v>203.78130000000002</v>
      </c>
      <c r="F1049" s="14">
        <f>203.7792 * CHOOSE(CONTROL!$C$9, $D$9, 100%, $F$9) + CHOOSE(CONTROL!$C$27, 0.0021, 0)</f>
        <v>203.78130000000002</v>
      </c>
      <c r="G1049" s="14">
        <f>204.0506 * CHOOSE(CONTROL!$C$9, $D$9, 100%, $F$9) + CHOOSE(CONTROL!$C$27, 0.0021, 0)</f>
        <v>204.05270000000002</v>
      </c>
      <c r="H1049" s="14">
        <f>203.9159 * CHOOSE(CONTROL!$C$9, $D$9, 100%, $F$9) + CHOOSE(CONTROL!$C$27, 0.0021, 0)</f>
        <v>203.91800000000001</v>
      </c>
      <c r="I1049" s="14">
        <f>203.9159 * CHOOSE(CONTROL!$C$9, $D$9, 100%, $F$9) + CHOOSE(CONTROL!$C$27, 0.0021, 0)</f>
        <v>203.91800000000001</v>
      </c>
      <c r="J1049" s="14">
        <f>203.9159 * CHOOSE(CONTROL!$C$9, $D$9, 100%, $F$9) + CHOOSE(CONTROL!$C$27, 0.0021, 0)</f>
        <v>203.91800000000001</v>
      </c>
      <c r="K1049" s="14">
        <f>203.9159 * CHOOSE(CONTROL!$C$9, $D$9, 100%, $F$9) + CHOOSE(CONTROL!$C$27, 0.0021, 0)</f>
        <v>203.91800000000001</v>
      </c>
      <c r="L1049" s="14"/>
    </row>
    <row r="1050" spans="1:12" ht="15.75" x14ac:dyDescent="0.25">
      <c r="A1050" s="32">
        <v>72897</v>
      </c>
      <c r="B1050" s="14">
        <f>203.4032 * CHOOSE(CONTROL!$C$9, $D$9, 100%, $F$9) + CHOOSE(CONTROL!$C$27, 0.0021, 0)</f>
        <v>203.40530000000001</v>
      </c>
      <c r="C1050" s="14">
        <f>202.971 * CHOOSE(CONTROL!$C$9, $D$9, 100%, $F$9) + CHOOSE(CONTROL!$C$27, 0.0021, 0)</f>
        <v>202.97310000000002</v>
      </c>
      <c r="D1050" s="14">
        <f>202.971 * CHOOSE(CONTROL!$C$9, $D$9, 100%, $F$9) + CHOOSE(CONTROL!$C$27, 0.0021, 0)</f>
        <v>202.97310000000002</v>
      </c>
      <c r="E1050" s="14">
        <f>202.8343 * CHOOSE(CONTROL!$C$9, $D$9, 100%, $F$9) + CHOOSE(CONTROL!$C$27, 0.0021, 0)</f>
        <v>202.83640000000003</v>
      </c>
      <c r="F1050" s="14">
        <f>202.8343 * CHOOSE(CONTROL!$C$9, $D$9, 100%, $F$9) + CHOOSE(CONTROL!$C$27, 0.0021, 0)</f>
        <v>202.83640000000003</v>
      </c>
      <c r="G1050" s="14">
        <f>203.1057 * CHOOSE(CONTROL!$C$9, $D$9, 100%, $F$9) + CHOOSE(CONTROL!$C$27, 0.0021, 0)</f>
        <v>203.10780000000003</v>
      </c>
      <c r="H1050" s="14">
        <f>202.971 * CHOOSE(CONTROL!$C$9, $D$9, 100%, $F$9) + CHOOSE(CONTROL!$C$27, 0.0021, 0)</f>
        <v>202.97310000000002</v>
      </c>
      <c r="I1050" s="14">
        <f>202.971 * CHOOSE(CONTROL!$C$9, $D$9, 100%, $F$9) + CHOOSE(CONTROL!$C$27, 0.0021, 0)</f>
        <v>202.97310000000002</v>
      </c>
      <c r="J1050" s="14">
        <f>202.971 * CHOOSE(CONTROL!$C$9, $D$9, 100%, $F$9) + CHOOSE(CONTROL!$C$27, 0.0021, 0)</f>
        <v>202.97310000000002</v>
      </c>
      <c r="K1050" s="14">
        <f>202.971 * CHOOSE(CONTROL!$C$9, $D$9, 100%, $F$9) + CHOOSE(CONTROL!$C$27, 0.0021, 0)</f>
        <v>202.97310000000002</v>
      </c>
      <c r="L1050" s="14"/>
    </row>
    <row r="1051" spans="1:12" ht="15.75" x14ac:dyDescent="0.25">
      <c r="A1051" s="32">
        <v>72928</v>
      </c>
      <c r="B1051" s="14">
        <f>198.7214 * CHOOSE(CONTROL!$C$9, $D$9, 100%, $F$9) + CHOOSE(CONTROL!$C$27, 0.0021, 0)</f>
        <v>198.7235</v>
      </c>
      <c r="C1051" s="14">
        <f>198.2892 * CHOOSE(CONTROL!$C$9, $D$9, 100%, $F$9) + CHOOSE(CONTROL!$C$27, 0.0021, 0)</f>
        <v>198.29130000000001</v>
      </c>
      <c r="D1051" s="14">
        <f>198.2892 * CHOOSE(CONTROL!$C$9, $D$9, 100%, $F$9) + CHOOSE(CONTROL!$C$27, 0.0021, 0)</f>
        <v>198.29130000000001</v>
      </c>
      <c r="E1051" s="14">
        <f>198.1525 * CHOOSE(CONTROL!$C$9, $D$9, 100%, $F$9) + CHOOSE(CONTROL!$C$27, 0.0021, 0)</f>
        <v>198.15460000000002</v>
      </c>
      <c r="F1051" s="14">
        <f>198.1525 * CHOOSE(CONTROL!$C$9, $D$9, 100%, $F$9) + CHOOSE(CONTROL!$C$27, 0.0021, 0)</f>
        <v>198.15460000000002</v>
      </c>
      <c r="G1051" s="14">
        <f>198.4239 * CHOOSE(CONTROL!$C$9, $D$9, 100%, $F$9) + CHOOSE(CONTROL!$C$27, 0.0021, 0)</f>
        <v>198.42600000000002</v>
      </c>
      <c r="H1051" s="14">
        <f>198.2892 * CHOOSE(CONTROL!$C$9, $D$9, 100%, $F$9) + CHOOSE(CONTROL!$C$27, 0.0021, 0)</f>
        <v>198.29130000000001</v>
      </c>
      <c r="I1051" s="14">
        <f>198.2892 * CHOOSE(CONTROL!$C$9, $D$9, 100%, $F$9) + CHOOSE(CONTROL!$C$27, 0.0021, 0)</f>
        <v>198.29130000000001</v>
      </c>
      <c r="J1051" s="14">
        <f>198.2892 * CHOOSE(CONTROL!$C$9, $D$9, 100%, $F$9) + CHOOSE(CONTROL!$C$27, 0.0021, 0)</f>
        <v>198.29130000000001</v>
      </c>
      <c r="K1051" s="14">
        <f>198.2892 * CHOOSE(CONTROL!$C$9, $D$9, 100%, $F$9) + CHOOSE(CONTROL!$C$27, 0.0021, 0)</f>
        <v>198.29130000000001</v>
      </c>
      <c r="L1051" s="14"/>
    </row>
    <row r="1052" spans="1:12" ht="15.75" x14ac:dyDescent="0.25">
      <c r="A1052" s="32">
        <v>72958</v>
      </c>
      <c r="B1052" s="14">
        <f>192.1925 * CHOOSE(CONTROL!$C$9, $D$9, 100%, $F$9) + CHOOSE(CONTROL!$C$27, 0.0021, 0)</f>
        <v>192.19460000000001</v>
      </c>
      <c r="C1052" s="14">
        <f>191.7602 * CHOOSE(CONTROL!$C$9, $D$9, 100%, $F$9) + CHOOSE(CONTROL!$C$27, 0.0021, 0)</f>
        <v>191.76230000000001</v>
      </c>
      <c r="D1052" s="14">
        <f>191.7602 * CHOOSE(CONTROL!$C$9, $D$9, 100%, $F$9) + CHOOSE(CONTROL!$C$27, 0.0021, 0)</f>
        <v>191.76230000000001</v>
      </c>
      <c r="E1052" s="14">
        <f>191.6236 * CHOOSE(CONTROL!$C$9, $D$9, 100%, $F$9) + CHOOSE(CONTROL!$C$27, 0.0021, 0)</f>
        <v>191.62570000000002</v>
      </c>
      <c r="F1052" s="14">
        <f>191.6236 * CHOOSE(CONTROL!$C$9, $D$9, 100%, $F$9) + CHOOSE(CONTROL!$C$27, 0.0021, 0)</f>
        <v>191.62570000000002</v>
      </c>
      <c r="G1052" s="14">
        <f>191.8949 * CHOOSE(CONTROL!$C$9, $D$9, 100%, $F$9) + CHOOSE(CONTROL!$C$27, 0.0021, 0)</f>
        <v>191.89700000000002</v>
      </c>
      <c r="H1052" s="14">
        <f>191.7602 * CHOOSE(CONTROL!$C$9, $D$9, 100%, $F$9) + CHOOSE(CONTROL!$C$27, 0.0021, 0)</f>
        <v>191.76230000000001</v>
      </c>
      <c r="I1052" s="14">
        <f>191.7602 * CHOOSE(CONTROL!$C$9, $D$9, 100%, $F$9) + CHOOSE(CONTROL!$C$27, 0.0021, 0)</f>
        <v>191.76230000000001</v>
      </c>
      <c r="J1052" s="14">
        <f>191.7602 * CHOOSE(CONTROL!$C$9, $D$9, 100%, $F$9) + CHOOSE(CONTROL!$C$27, 0.0021, 0)</f>
        <v>191.76230000000001</v>
      </c>
      <c r="K1052" s="14">
        <f>191.7602 * CHOOSE(CONTROL!$C$9, $D$9, 100%, $F$9) + CHOOSE(CONTROL!$C$27, 0.0021, 0)</f>
        <v>191.76230000000001</v>
      </c>
      <c r="L1052" s="14"/>
    </row>
    <row r="1053" spans="1:12" ht="15.75" x14ac:dyDescent="0.25">
      <c r="A1053" s="32">
        <v>72989</v>
      </c>
      <c r="B1053" s="14">
        <f>185.6255 * CHOOSE(CONTROL!$C$9, $D$9, 100%, $F$9) + CHOOSE(CONTROL!$C$27, 0.0021, 0)</f>
        <v>185.6276</v>
      </c>
      <c r="C1053" s="14">
        <f>185.1933 * CHOOSE(CONTROL!$C$9, $D$9, 100%, $F$9) + CHOOSE(CONTROL!$C$27, 0.0021, 0)</f>
        <v>185.19540000000001</v>
      </c>
      <c r="D1053" s="14">
        <f>185.1933 * CHOOSE(CONTROL!$C$9, $D$9, 100%, $F$9) + CHOOSE(CONTROL!$C$27, 0.0021, 0)</f>
        <v>185.19540000000001</v>
      </c>
      <c r="E1053" s="14">
        <f>185.0566 * CHOOSE(CONTROL!$C$9, $D$9, 100%, $F$9) + CHOOSE(CONTROL!$C$27, 0.0021, 0)</f>
        <v>185.05870000000002</v>
      </c>
      <c r="F1053" s="14">
        <f>185.0566 * CHOOSE(CONTROL!$C$9, $D$9, 100%, $F$9) + CHOOSE(CONTROL!$C$27, 0.0021, 0)</f>
        <v>185.05870000000002</v>
      </c>
      <c r="G1053" s="14">
        <f>185.328 * CHOOSE(CONTROL!$C$9, $D$9, 100%, $F$9) + CHOOSE(CONTROL!$C$27, 0.0021, 0)</f>
        <v>185.33010000000002</v>
      </c>
      <c r="H1053" s="14">
        <f>185.1933 * CHOOSE(CONTROL!$C$9, $D$9, 100%, $F$9) + CHOOSE(CONTROL!$C$27, 0.0021, 0)</f>
        <v>185.19540000000001</v>
      </c>
      <c r="I1053" s="14">
        <f>185.1933 * CHOOSE(CONTROL!$C$9, $D$9, 100%, $F$9) + CHOOSE(CONTROL!$C$27, 0.0021, 0)</f>
        <v>185.19540000000001</v>
      </c>
      <c r="J1053" s="14">
        <f>185.1933 * CHOOSE(CONTROL!$C$9, $D$9, 100%, $F$9) + CHOOSE(CONTROL!$C$27, 0.0021, 0)</f>
        <v>185.19540000000001</v>
      </c>
      <c r="K1053" s="14">
        <f>185.1933 * CHOOSE(CONTROL!$C$9, $D$9, 100%, $F$9) + CHOOSE(CONTROL!$C$27, 0.0021, 0)</f>
        <v>185.19540000000001</v>
      </c>
      <c r="L1053" s="14"/>
    </row>
    <row r="1054" spans="1:12" ht="15.75" x14ac:dyDescent="0.25">
      <c r="A1054" s="32">
        <v>73019</v>
      </c>
      <c r="B1054" s="14">
        <f>184.3192 * CHOOSE(CONTROL!$C$9, $D$9, 100%, $F$9) + CHOOSE(CONTROL!$C$27, 0.0021, 0)</f>
        <v>184.32130000000001</v>
      </c>
      <c r="C1054" s="14">
        <f>183.887 * CHOOSE(CONTROL!$C$9, $D$9, 100%, $F$9) + CHOOSE(CONTROL!$C$27, 0.0021, 0)</f>
        <v>183.88910000000001</v>
      </c>
      <c r="D1054" s="14">
        <f>183.887 * CHOOSE(CONTROL!$C$9, $D$9, 100%, $F$9) + CHOOSE(CONTROL!$C$27, 0.0021, 0)</f>
        <v>183.88910000000001</v>
      </c>
      <c r="E1054" s="14">
        <f>183.7503 * CHOOSE(CONTROL!$C$9, $D$9, 100%, $F$9) + CHOOSE(CONTROL!$C$27, 0.0021, 0)</f>
        <v>183.75240000000002</v>
      </c>
      <c r="F1054" s="14">
        <f>183.7503 * CHOOSE(CONTROL!$C$9, $D$9, 100%, $F$9) + CHOOSE(CONTROL!$C$27, 0.0021, 0)</f>
        <v>183.75240000000002</v>
      </c>
      <c r="G1054" s="14">
        <f>184.0217 * CHOOSE(CONTROL!$C$9, $D$9, 100%, $F$9) + CHOOSE(CONTROL!$C$27, 0.0021, 0)</f>
        <v>184.02380000000002</v>
      </c>
      <c r="H1054" s="14">
        <f>183.887 * CHOOSE(CONTROL!$C$9, $D$9, 100%, $F$9) + CHOOSE(CONTROL!$C$27, 0.0021, 0)</f>
        <v>183.88910000000001</v>
      </c>
      <c r="I1054" s="14">
        <f>183.887 * CHOOSE(CONTROL!$C$9, $D$9, 100%, $F$9) + CHOOSE(CONTROL!$C$27, 0.0021, 0)</f>
        <v>183.88910000000001</v>
      </c>
      <c r="J1054" s="14">
        <f>183.887 * CHOOSE(CONTROL!$C$9, $D$9, 100%, $F$9) + CHOOSE(CONTROL!$C$27, 0.0021, 0)</f>
        <v>183.88910000000001</v>
      </c>
      <c r="K1054" s="14">
        <f>183.887 * CHOOSE(CONTROL!$C$9, $D$9, 100%, $F$9) + CHOOSE(CONTROL!$C$27, 0.0021, 0)</f>
        <v>183.88910000000001</v>
      </c>
      <c r="L1054" s="14"/>
    </row>
    <row r="1055" spans="1:12" ht="15.75" x14ac:dyDescent="0.25">
      <c r="A1055" s="32">
        <v>73050</v>
      </c>
      <c r="B1055" s="14">
        <f>178.9176 * CHOOSE(CONTROL!$C$9, $D$9, 100%, $F$9) + CHOOSE(CONTROL!$C$27, 0.0021, 0)</f>
        <v>178.91970000000001</v>
      </c>
      <c r="C1055" s="14">
        <f>178.4853 * CHOOSE(CONTROL!$C$9, $D$9, 100%, $F$9) + CHOOSE(CONTROL!$C$27, 0.0021, 0)</f>
        <v>178.48740000000001</v>
      </c>
      <c r="D1055" s="14">
        <f>178.4853 * CHOOSE(CONTROL!$C$9, $D$9, 100%, $F$9) + CHOOSE(CONTROL!$C$27, 0.0021, 0)</f>
        <v>178.48740000000001</v>
      </c>
      <c r="E1055" s="14">
        <f>178.3487 * CHOOSE(CONTROL!$C$9, $D$9, 100%, $F$9) + CHOOSE(CONTROL!$C$27, 0.0021, 0)</f>
        <v>178.35080000000002</v>
      </c>
      <c r="F1055" s="14">
        <f>178.3487 * CHOOSE(CONTROL!$C$9, $D$9, 100%, $F$9) + CHOOSE(CONTROL!$C$27, 0.0021, 0)</f>
        <v>178.35080000000002</v>
      </c>
      <c r="G1055" s="14">
        <f>178.62 * CHOOSE(CONTROL!$C$9, $D$9, 100%, $F$9) + CHOOSE(CONTROL!$C$27, 0.0021, 0)</f>
        <v>178.62210000000002</v>
      </c>
      <c r="H1055" s="14">
        <f>178.4853 * CHOOSE(CONTROL!$C$9, $D$9, 100%, $F$9) + CHOOSE(CONTROL!$C$27, 0.0021, 0)</f>
        <v>178.48740000000001</v>
      </c>
      <c r="I1055" s="14">
        <f>178.4853 * CHOOSE(CONTROL!$C$9, $D$9, 100%, $F$9) + CHOOSE(CONTROL!$C$27, 0.0021, 0)</f>
        <v>178.48740000000001</v>
      </c>
      <c r="J1055" s="14">
        <f>178.4853 * CHOOSE(CONTROL!$C$9, $D$9, 100%, $F$9) + CHOOSE(CONTROL!$C$27, 0.0021, 0)</f>
        <v>178.48740000000001</v>
      </c>
      <c r="K1055" s="14">
        <f>178.4853 * CHOOSE(CONTROL!$C$9, $D$9, 100%, $F$9) + CHOOSE(CONTROL!$C$27, 0.0021, 0)</f>
        <v>178.48740000000001</v>
      </c>
      <c r="L1055" s="14"/>
    </row>
    <row r="1056" spans="1:12" ht="15.75" x14ac:dyDescent="0.25">
      <c r="A1056" s="32">
        <v>73081</v>
      </c>
      <c r="B1056" s="14">
        <f>177.8659 * CHOOSE(CONTROL!$C$9, $D$9, 100%, $F$9) + CHOOSE(CONTROL!$C$27, 0.0021, 0)</f>
        <v>177.86800000000002</v>
      </c>
      <c r="C1056" s="14">
        <f>177.4337 * CHOOSE(CONTROL!$C$9, $D$9, 100%, $F$9) + CHOOSE(CONTROL!$C$27, 0.0021, 0)</f>
        <v>177.4358</v>
      </c>
      <c r="D1056" s="14">
        <f>177.4337 * CHOOSE(CONTROL!$C$9, $D$9, 100%, $F$9) + CHOOSE(CONTROL!$C$27, 0.0021, 0)</f>
        <v>177.4358</v>
      </c>
      <c r="E1056" s="14">
        <f>177.297 * CHOOSE(CONTROL!$C$9, $D$9, 100%, $F$9) + CHOOSE(CONTROL!$C$27, 0.0021, 0)</f>
        <v>177.29910000000001</v>
      </c>
      <c r="F1056" s="14">
        <f>177.297 * CHOOSE(CONTROL!$C$9, $D$9, 100%, $F$9) + CHOOSE(CONTROL!$C$27, 0.0021, 0)</f>
        <v>177.29910000000001</v>
      </c>
      <c r="G1056" s="14">
        <f>177.5684 * CHOOSE(CONTROL!$C$9, $D$9, 100%, $F$9) + CHOOSE(CONTROL!$C$27, 0.0021, 0)</f>
        <v>177.57050000000001</v>
      </c>
      <c r="H1056" s="14">
        <f>177.4337 * CHOOSE(CONTROL!$C$9, $D$9, 100%, $F$9) + CHOOSE(CONTROL!$C$27, 0.0021, 0)</f>
        <v>177.4358</v>
      </c>
      <c r="I1056" s="14">
        <f>177.4337 * CHOOSE(CONTROL!$C$9, $D$9, 100%, $F$9) + CHOOSE(CONTROL!$C$27, 0.0021, 0)</f>
        <v>177.4358</v>
      </c>
      <c r="J1056" s="14">
        <f>177.4337 * CHOOSE(CONTROL!$C$9, $D$9, 100%, $F$9) + CHOOSE(CONTROL!$C$27, 0.0021, 0)</f>
        <v>177.4358</v>
      </c>
      <c r="K1056" s="14">
        <f>177.4337 * CHOOSE(CONTROL!$C$9, $D$9, 100%, $F$9) + CHOOSE(CONTROL!$C$27, 0.0021, 0)</f>
        <v>177.4358</v>
      </c>
      <c r="L1056" s="14"/>
    </row>
    <row r="1057" spans="1:12" ht="15.75" x14ac:dyDescent="0.25">
      <c r="A1057" s="32">
        <v>73109</v>
      </c>
      <c r="B1057" s="14">
        <f>177.3779 * CHOOSE(CONTROL!$C$9, $D$9, 100%, $F$9) + CHOOSE(CONTROL!$C$27, 0.0021, 0)</f>
        <v>177.38000000000002</v>
      </c>
      <c r="C1057" s="14">
        <f>176.9456 * CHOOSE(CONTROL!$C$9, $D$9, 100%, $F$9) + CHOOSE(CONTROL!$C$27, 0.0021, 0)</f>
        <v>176.94770000000003</v>
      </c>
      <c r="D1057" s="14">
        <f>176.9456 * CHOOSE(CONTROL!$C$9, $D$9, 100%, $F$9) + CHOOSE(CONTROL!$C$27, 0.0021, 0)</f>
        <v>176.94770000000003</v>
      </c>
      <c r="E1057" s="14">
        <f>176.809 * CHOOSE(CONTROL!$C$9, $D$9, 100%, $F$9) + CHOOSE(CONTROL!$C$27, 0.0021, 0)</f>
        <v>176.81110000000001</v>
      </c>
      <c r="F1057" s="14">
        <f>176.809 * CHOOSE(CONTROL!$C$9, $D$9, 100%, $F$9) + CHOOSE(CONTROL!$C$27, 0.0021, 0)</f>
        <v>176.81110000000001</v>
      </c>
      <c r="G1057" s="14">
        <f>177.0803 * CHOOSE(CONTROL!$C$9, $D$9, 100%, $F$9) + CHOOSE(CONTROL!$C$27, 0.0021, 0)</f>
        <v>177.08240000000001</v>
      </c>
      <c r="H1057" s="14">
        <f>176.9456 * CHOOSE(CONTROL!$C$9, $D$9, 100%, $F$9) + CHOOSE(CONTROL!$C$27, 0.0021, 0)</f>
        <v>176.94770000000003</v>
      </c>
      <c r="I1057" s="14">
        <f>176.9456 * CHOOSE(CONTROL!$C$9, $D$9, 100%, $F$9) + CHOOSE(CONTROL!$C$27, 0.0021, 0)</f>
        <v>176.94770000000003</v>
      </c>
      <c r="J1057" s="14">
        <f>176.9456 * CHOOSE(CONTROL!$C$9, $D$9, 100%, $F$9) + CHOOSE(CONTROL!$C$27, 0.0021, 0)</f>
        <v>176.94770000000003</v>
      </c>
      <c r="K1057" s="14">
        <f>176.9456 * CHOOSE(CONTROL!$C$9, $D$9, 100%, $F$9) + CHOOSE(CONTROL!$C$27, 0.0021, 0)</f>
        <v>176.94770000000003</v>
      </c>
      <c r="L1057" s="14"/>
    </row>
    <row r="1058" spans="1:12" ht="15.75" x14ac:dyDescent="0.25">
      <c r="A1058" s="32">
        <v>73140</v>
      </c>
      <c r="B1058" s="14">
        <f>186.6059 * CHOOSE(CONTROL!$C$9, $D$9, 100%, $F$9) + CHOOSE(CONTROL!$C$27, 0.0021, 0)</f>
        <v>186.608</v>
      </c>
      <c r="C1058" s="14">
        <f>186.1736 * CHOOSE(CONTROL!$C$9, $D$9, 100%, $F$9) + CHOOSE(CONTROL!$C$27, 0.0021, 0)</f>
        <v>186.17570000000001</v>
      </c>
      <c r="D1058" s="14">
        <f>186.1736 * CHOOSE(CONTROL!$C$9, $D$9, 100%, $F$9) + CHOOSE(CONTROL!$C$27, 0.0021, 0)</f>
        <v>186.17570000000001</v>
      </c>
      <c r="E1058" s="14">
        <f>186.037 * CHOOSE(CONTROL!$C$9, $D$9, 100%, $F$9) + CHOOSE(CONTROL!$C$27, 0.0021, 0)</f>
        <v>186.03910000000002</v>
      </c>
      <c r="F1058" s="14">
        <f>186.037 * CHOOSE(CONTROL!$C$9, $D$9, 100%, $F$9) + CHOOSE(CONTROL!$C$27, 0.0021, 0)</f>
        <v>186.03910000000002</v>
      </c>
      <c r="G1058" s="14">
        <f>186.3084 * CHOOSE(CONTROL!$C$9, $D$9, 100%, $F$9) + CHOOSE(CONTROL!$C$27, 0.0021, 0)</f>
        <v>186.31050000000002</v>
      </c>
      <c r="H1058" s="14">
        <f>186.1736 * CHOOSE(CONTROL!$C$9, $D$9, 100%, $F$9) + CHOOSE(CONTROL!$C$27, 0.0021, 0)</f>
        <v>186.17570000000001</v>
      </c>
      <c r="I1058" s="14">
        <f>186.1736 * CHOOSE(CONTROL!$C$9, $D$9, 100%, $F$9) + CHOOSE(CONTROL!$C$27, 0.0021, 0)</f>
        <v>186.17570000000001</v>
      </c>
      <c r="J1058" s="14">
        <f>186.1736 * CHOOSE(CONTROL!$C$9, $D$9, 100%, $F$9) + CHOOSE(CONTROL!$C$27, 0.0021, 0)</f>
        <v>186.17570000000001</v>
      </c>
      <c r="K1058" s="14">
        <f>186.1736 * CHOOSE(CONTROL!$C$9, $D$9, 100%, $F$9) + CHOOSE(CONTROL!$C$27, 0.0021, 0)</f>
        <v>186.17570000000001</v>
      </c>
      <c r="L1058" s="14"/>
    </row>
    <row r="1059" spans="1:12" ht="15.75" x14ac:dyDescent="0.25">
      <c r="A1059" s="32">
        <v>73170</v>
      </c>
      <c r="B1059" s="14">
        <f>198.5724 * CHOOSE(CONTROL!$C$9, $D$9, 100%, $F$9) + CHOOSE(CONTROL!$C$27, 0.0021, 0)</f>
        <v>198.5745</v>
      </c>
      <c r="C1059" s="14">
        <f>198.1402 * CHOOSE(CONTROL!$C$9, $D$9, 100%, $F$9) + CHOOSE(CONTROL!$C$27, 0.0021, 0)</f>
        <v>198.14230000000001</v>
      </c>
      <c r="D1059" s="14">
        <f>198.1402 * CHOOSE(CONTROL!$C$9, $D$9, 100%, $F$9) + CHOOSE(CONTROL!$C$27, 0.0021, 0)</f>
        <v>198.14230000000001</v>
      </c>
      <c r="E1059" s="14">
        <f>198.0035 * CHOOSE(CONTROL!$C$9, $D$9, 100%, $F$9) + CHOOSE(CONTROL!$C$27, 0.0021, 0)</f>
        <v>198.00560000000002</v>
      </c>
      <c r="F1059" s="14">
        <f>198.0035 * CHOOSE(CONTROL!$C$9, $D$9, 100%, $F$9) + CHOOSE(CONTROL!$C$27, 0.0021, 0)</f>
        <v>198.00560000000002</v>
      </c>
      <c r="G1059" s="14">
        <f>198.2749 * CHOOSE(CONTROL!$C$9, $D$9, 100%, $F$9) + CHOOSE(CONTROL!$C$27, 0.0021, 0)</f>
        <v>198.27700000000002</v>
      </c>
      <c r="H1059" s="14">
        <f>198.1402 * CHOOSE(CONTROL!$C$9, $D$9, 100%, $F$9) + CHOOSE(CONTROL!$C$27, 0.0021, 0)</f>
        <v>198.14230000000001</v>
      </c>
      <c r="I1059" s="14">
        <f>198.1402 * CHOOSE(CONTROL!$C$9, $D$9, 100%, $F$9) + CHOOSE(CONTROL!$C$27, 0.0021, 0)</f>
        <v>198.14230000000001</v>
      </c>
      <c r="J1059" s="14">
        <f>198.1402 * CHOOSE(CONTROL!$C$9, $D$9, 100%, $F$9) + CHOOSE(CONTROL!$C$27, 0.0021, 0)</f>
        <v>198.14230000000001</v>
      </c>
      <c r="K1059" s="14">
        <f>198.1402 * CHOOSE(CONTROL!$C$9, $D$9, 100%, $F$9) + CHOOSE(CONTROL!$C$27, 0.0021, 0)</f>
        <v>198.14230000000001</v>
      </c>
      <c r="L1059" s="14"/>
    </row>
    <row r="1060" spans="1:12" ht="15.75" x14ac:dyDescent="0.25">
      <c r="A1060" s="32">
        <v>73201</v>
      </c>
      <c r="B1060" s="14">
        <f>205.1592 * CHOOSE(CONTROL!$C$9, $D$9, 100%, $F$9) + CHOOSE(CONTROL!$C$27, 0.0021, 0)</f>
        <v>205.16130000000001</v>
      </c>
      <c r="C1060" s="14">
        <f>204.727 * CHOOSE(CONTROL!$C$9, $D$9, 100%, $F$9) + CHOOSE(CONTROL!$C$27, 0.0021, 0)</f>
        <v>204.72910000000002</v>
      </c>
      <c r="D1060" s="14">
        <f>204.727 * CHOOSE(CONTROL!$C$9, $D$9, 100%, $F$9) + CHOOSE(CONTROL!$C$27, 0.0021, 0)</f>
        <v>204.72910000000002</v>
      </c>
      <c r="E1060" s="14">
        <f>204.5903 * CHOOSE(CONTROL!$C$9, $D$9, 100%, $F$9) + CHOOSE(CONTROL!$C$27, 0.0021, 0)</f>
        <v>204.59240000000003</v>
      </c>
      <c r="F1060" s="14">
        <f>204.5903 * CHOOSE(CONTROL!$C$9, $D$9, 100%, $F$9) + CHOOSE(CONTROL!$C$27, 0.0021, 0)</f>
        <v>204.59240000000003</v>
      </c>
      <c r="G1060" s="14">
        <f>204.8617 * CHOOSE(CONTROL!$C$9, $D$9, 100%, $F$9) + CHOOSE(CONTROL!$C$27, 0.0021, 0)</f>
        <v>204.86380000000003</v>
      </c>
      <c r="H1060" s="14">
        <f>204.727 * CHOOSE(CONTROL!$C$9, $D$9, 100%, $F$9) + CHOOSE(CONTROL!$C$27, 0.0021, 0)</f>
        <v>204.72910000000002</v>
      </c>
      <c r="I1060" s="14">
        <f>204.727 * CHOOSE(CONTROL!$C$9, $D$9, 100%, $F$9) + CHOOSE(CONTROL!$C$27, 0.0021, 0)</f>
        <v>204.72910000000002</v>
      </c>
      <c r="J1060" s="14">
        <f>204.727 * CHOOSE(CONTROL!$C$9, $D$9, 100%, $F$9) + CHOOSE(CONTROL!$C$27, 0.0021, 0)</f>
        <v>204.72910000000002</v>
      </c>
      <c r="K1060" s="14">
        <f>204.727 * CHOOSE(CONTROL!$C$9, $D$9, 100%, $F$9) + CHOOSE(CONTROL!$C$27, 0.0021, 0)</f>
        <v>204.72910000000002</v>
      </c>
      <c r="L1060" s="14"/>
    </row>
    <row r="1061" spans="1:12" ht="15.75" x14ac:dyDescent="0.25">
      <c r="A1061" s="32">
        <v>73231</v>
      </c>
      <c r="B1061" s="14">
        <f>208.0823 * CHOOSE(CONTROL!$C$9, $D$9, 100%, $F$9) + CHOOSE(CONTROL!$C$27, 0.0021, 0)</f>
        <v>208.08440000000002</v>
      </c>
      <c r="C1061" s="14">
        <f>207.65 * CHOOSE(CONTROL!$C$9, $D$9, 100%, $F$9) + CHOOSE(CONTROL!$C$27, 0.0021, 0)</f>
        <v>207.65210000000002</v>
      </c>
      <c r="D1061" s="14">
        <f>207.65 * CHOOSE(CONTROL!$C$9, $D$9, 100%, $F$9) + CHOOSE(CONTROL!$C$27, 0.0021, 0)</f>
        <v>207.65210000000002</v>
      </c>
      <c r="E1061" s="14">
        <f>207.5134 * CHOOSE(CONTROL!$C$9, $D$9, 100%, $F$9) + CHOOSE(CONTROL!$C$27, 0.0021, 0)</f>
        <v>207.5155</v>
      </c>
      <c r="F1061" s="14">
        <f>207.5134 * CHOOSE(CONTROL!$C$9, $D$9, 100%, $F$9) + CHOOSE(CONTROL!$C$27, 0.0021, 0)</f>
        <v>207.5155</v>
      </c>
      <c r="G1061" s="14">
        <f>207.7848 * CHOOSE(CONTROL!$C$9, $D$9, 100%, $F$9) + CHOOSE(CONTROL!$C$27, 0.0021, 0)</f>
        <v>207.7869</v>
      </c>
      <c r="H1061" s="14">
        <f>207.65 * CHOOSE(CONTROL!$C$9, $D$9, 100%, $F$9) + CHOOSE(CONTROL!$C$27, 0.0021, 0)</f>
        <v>207.65210000000002</v>
      </c>
      <c r="I1061" s="14">
        <f>207.65 * CHOOSE(CONTROL!$C$9, $D$9, 100%, $F$9) + CHOOSE(CONTROL!$C$27, 0.0021, 0)</f>
        <v>207.65210000000002</v>
      </c>
      <c r="J1061" s="14">
        <f>207.65 * CHOOSE(CONTROL!$C$9, $D$9, 100%, $F$9) + CHOOSE(CONTROL!$C$27, 0.0021, 0)</f>
        <v>207.65210000000002</v>
      </c>
      <c r="K1061" s="14">
        <f>207.65 * CHOOSE(CONTROL!$C$9, $D$9, 100%, $F$9) + CHOOSE(CONTROL!$C$27, 0.0021, 0)</f>
        <v>207.65210000000002</v>
      </c>
      <c r="L1061" s="14"/>
    </row>
    <row r="1062" spans="1:12" ht="15.75" x14ac:dyDescent="0.25">
      <c r="A1062" s="32">
        <v>73262</v>
      </c>
      <c r="B1062" s="14">
        <f>207.1199 * CHOOSE(CONTROL!$C$9, $D$9, 100%, $F$9) + CHOOSE(CONTROL!$C$27, 0.0021, 0)</f>
        <v>207.12200000000001</v>
      </c>
      <c r="C1062" s="14">
        <f>206.6876 * CHOOSE(CONTROL!$C$9, $D$9, 100%, $F$9) + CHOOSE(CONTROL!$C$27, 0.0021, 0)</f>
        <v>206.68970000000002</v>
      </c>
      <c r="D1062" s="14">
        <f>206.6876 * CHOOSE(CONTROL!$C$9, $D$9, 100%, $F$9) + CHOOSE(CONTROL!$C$27, 0.0021, 0)</f>
        <v>206.68970000000002</v>
      </c>
      <c r="E1062" s="14">
        <f>206.551 * CHOOSE(CONTROL!$C$9, $D$9, 100%, $F$9) + CHOOSE(CONTROL!$C$27, 0.0021, 0)</f>
        <v>206.5531</v>
      </c>
      <c r="F1062" s="14">
        <f>206.551 * CHOOSE(CONTROL!$C$9, $D$9, 100%, $F$9) + CHOOSE(CONTROL!$C$27, 0.0021, 0)</f>
        <v>206.5531</v>
      </c>
      <c r="G1062" s="14">
        <f>206.8223 * CHOOSE(CONTROL!$C$9, $D$9, 100%, $F$9) + CHOOSE(CONTROL!$C$27, 0.0021, 0)</f>
        <v>206.82440000000003</v>
      </c>
      <c r="H1062" s="14">
        <f>206.6876 * CHOOSE(CONTROL!$C$9, $D$9, 100%, $F$9) + CHOOSE(CONTROL!$C$27, 0.0021, 0)</f>
        <v>206.68970000000002</v>
      </c>
      <c r="I1062" s="14">
        <f>206.6876 * CHOOSE(CONTROL!$C$9, $D$9, 100%, $F$9) + CHOOSE(CONTROL!$C$27, 0.0021, 0)</f>
        <v>206.68970000000002</v>
      </c>
      <c r="J1062" s="14">
        <f>206.6876 * CHOOSE(CONTROL!$C$9, $D$9, 100%, $F$9) + CHOOSE(CONTROL!$C$27, 0.0021, 0)</f>
        <v>206.68970000000002</v>
      </c>
      <c r="K1062" s="14">
        <f>206.6876 * CHOOSE(CONTROL!$C$9, $D$9, 100%, $F$9) + CHOOSE(CONTROL!$C$27, 0.0021, 0)</f>
        <v>206.68970000000002</v>
      </c>
      <c r="L1062" s="14"/>
    </row>
    <row r="1063" spans="1:12" ht="15.75" x14ac:dyDescent="0.25">
      <c r="A1063" s="32">
        <v>73293</v>
      </c>
      <c r="B1063" s="14">
        <f>202.3516 * CHOOSE(CONTROL!$C$9, $D$9, 100%, $F$9) + CHOOSE(CONTROL!$C$27, 0.0021, 0)</f>
        <v>202.3537</v>
      </c>
      <c r="C1063" s="14">
        <f>201.9193 * CHOOSE(CONTROL!$C$9, $D$9, 100%, $F$9) + CHOOSE(CONTROL!$C$27, 0.0021, 0)</f>
        <v>201.92140000000001</v>
      </c>
      <c r="D1063" s="14">
        <f>201.9193 * CHOOSE(CONTROL!$C$9, $D$9, 100%, $F$9) + CHOOSE(CONTROL!$C$27, 0.0021, 0)</f>
        <v>201.92140000000001</v>
      </c>
      <c r="E1063" s="14">
        <f>201.7827 * CHOOSE(CONTROL!$C$9, $D$9, 100%, $F$9) + CHOOSE(CONTROL!$C$27, 0.0021, 0)</f>
        <v>201.78480000000002</v>
      </c>
      <c r="F1063" s="14">
        <f>201.7827 * CHOOSE(CONTROL!$C$9, $D$9, 100%, $F$9) + CHOOSE(CONTROL!$C$27, 0.0021, 0)</f>
        <v>201.78480000000002</v>
      </c>
      <c r="G1063" s="14">
        <f>202.054 * CHOOSE(CONTROL!$C$9, $D$9, 100%, $F$9) + CHOOSE(CONTROL!$C$27, 0.0021, 0)</f>
        <v>202.05610000000001</v>
      </c>
      <c r="H1063" s="14">
        <f>201.9193 * CHOOSE(CONTROL!$C$9, $D$9, 100%, $F$9) + CHOOSE(CONTROL!$C$27, 0.0021, 0)</f>
        <v>201.92140000000001</v>
      </c>
      <c r="I1063" s="14">
        <f>201.9193 * CHOOSE(CONTROL!$C$9, $D$9, 100%, $F$9) + CHOOSE(CONTROL!$C$27, 0.0021, 0)</f>
        <v>201.92140000000001</v>
      </c>
      <c r="J1063" s="14">
        <f>201.9193 * CHOOSE(CONTROL!$C$9, $D$9, 100%, $F$9) + CHOOSE(CONTROL!$C$27, 0.0021, 0)</f>
        <v>201.92140000000001</v>
      </c>
      <c r="K1063" s="14">
        <f>201.9193 * CHOOSE(CONTROL!$C$9, $D$9, 100%, $F$9) + CHOOSE(CONTROL!$C$27, 0.0021, 0)</f>
        <v>201.92140000000001</v>
      </c>
      <c r="L1063" s="14"/>
    </row>
    <row r="1064" spans="1:12" ht="15.75" x14ac:dyDescent="0.25">
      <c r="A1064" s="32">
        <v>73323</v>
      </c>
      <c r="B1064" s="14">
        <f>195.702 * CHOOSE(CONTROL!$C$9, $D$9, 100%, $F$9) + CHOOSE(CONTROL!$C$27, 0.0021, 0)</f>
        <v>195.70410000000001</v>
      </c>
      <c r="C1064" s="14">
        <f>195.2697 * CHOOSE(CONTROL!$C$9, $D$9, 100%, $F$9) + CHOOSE(CONTROL!$C$27, 0.0021, 0)</f>
        <v>195.27180000000001</v>
      </c>
      <c r="D1064" s="14">
        <f>195.2697 * CHOOSE(CONTROL!$C$9, $D$9, 100%, $F$9) + CHOOSE(CONTROL!$C$27, 0.0021, 0)</f>
        <v>195.27180000000001</v>
      </c>
      <c r="E1064" s="14">
        <f>195.133 * CHOOSE(CONTROL!$C$9, $D$9, 100%, $F$9) + CHOOSE(CONTROL!$C$27, 0.0021, 0)</f>
        <v>195.13510000000002</v>
      </c>
      <c r="F1064" s="14">
        <f>195.133 * CHOOSE(CONTROL!$C$9, $D$9, 100%, $F$9) + CHOOSE(CONTROL!$C$27, 0.0021, 0)</f>
        <v>195.13510000000002</v>
      </c>
      <c r="G1064" s="14">
        <f>195.4044 * CHOOSE(CONTROL!$C$9, $D$9, 100%, $F$9) + CHOOSE(CONTROL!$C$27, 0.0021, 0)</f>
        <v>195.40650000000002</v>
      </c>
      <c r="H1064" s="14">
        <f>195.2697 * CHOOSE(CONTROL!$C$9, $D$9, 100%, $F$9) + CHOOSE(CONTROL!$C$27, 0.0021, 0)</f>
        <v>195.27180000000001</v>
      </c>
      <c r="I1064" s="14">
        <f>195.2697 * CHOOSE(CONTROL!$C$9, $D$9, 100%, $F$9) + CHOOSE(CONTROL!$C$27, 0.0021, 0)</f>
        <v>195.27180000000001</v>
      </c>
      <c r="J1064" s="14">
        <f>195.2697 * CHOOSE(CONTROL!$C$9, $D$9, 100%, $F$9) + CHOOSE(CONTROL!$C$27, 0.0021, 0)</f>
        <v>195.27180000000001</v>
      </c>
      <c r="K1064" s="14">
        <f>195.2697 * CHOOSE(CONTROL!$C$9, $D$9, 100%, $F$9) + CHOOSE(CONTROL!$C$27, 0.0021, 0)</f>
        <v>195.27180000000001</v>
      </c>
      <c r="L1064" s="14"/>
    </row>
    <row r="1065" spans="1:12" ht="15.75" x14ac:dyDescent="0.25">
      <c r="A1065" s="32">
        <v>73354</v>
      </c>
      <c r="B1065" s="14">
        <f>189.0137 * CHOOSE(CONTROL!$C$9, $D$9, 100%, $F$9) + CHOOSE(CONTROL!$C$27, 0.0021, 0)</f>
        <v>189.01580000000001</v>
      </c>
      <c r="C1065" s="14">
        <f>188.5814 * CHOOSE(CONTROL!$C$9, $D$9, 100%, $F$9) + CHOOSE(CONTROL!$C$27, 0.0021, 0)</f>
        <v>188.58350000000002</v>
      </c>
      <c r="D1065" s="14">
        <f>188.5814 * CHOOSE(CONTROL!$C$9, $D$9, 100%, $F$9) + CHOOSE(CONTROL!$C$27, 0.0021, 0)</f>
        <v>188.58350000000002</v>
      </c>
      <c r="E1065" s="14">
        <f>188.4447 * CHOOSE(CONTROL!$C$9, $D$9, 100%, $F$9) + CHOOSE(CONTROL!$C$27, 0.0021, 0)</f>
        <v>188.44680000000002</v>
      </c>
      <c r="F1065" s="14">
        <f>188.4447 * CHOOSE(CONTROL!$C$9, $D$9, 100%, $F$9) + CHOOSE(CONTROL!$C$27, 0.0021, 0)</f>
        <v>188.44680000000002</v>
      </c>
      <c r="G1065" s="14">
        <f>188.7161 * CHOOSE(CONTROL!$C$9, $D$9, 100%, $F$9) + CHOOSE(CONTROL!$C$27, 0.0021, 0)</f>
        <v>188.71820000000002</v>
      </c>
      <c r="H1065" s="14">
        <f>188.5814 * CHOOSE(CONTROL!$C$9, $D$9, 100%, $F$9) + CHOOSE(CONTROL!$C$27, 0.0021, 0)</f>
        <v>188.58350000000002</v>
      </c>
      <c r="I1065" s="14">
        <f>188.5814 * CHOOSE(CONTROL!$C$9, $D$9, 100%, $F$9) + CHOOSE(CONTROL!$C$27, 0.0021, 0)</f>
        <v>188.58350000000002</v>
      </c>
      <c r="J1065" s="14">
        <f>188.5814 * CHOOSE(CONTROL!$C$9, $D$9, 100%, $F$9) + CHOOSE(CONTROL!$C$27, 0.0021, 0)</f>
        <v>188.58350000000002</v>
      </c>
      <c r="K1065" s="14">
        <f>188.5814 * CHOOSE(CONTROL!$C$9, $D$9, 100%, $F$9) + CHOOSE(CONTROL!$C$27, 0.0021, 0)</f>
        <v>188.58350000000002</v>
      </c>
      <c r="L1065" s="14"/>
    </row>
    <row r="1066" spans="1:12" ht="15.75" x14ac:dyDescent="0.25">
      <c r="A1066" s="32">
        <v>73384</v>
      </c>
      <c r="B1066" s="14">
        <f>187.6832 * CHOOSE(CONTROL!$C$9, $D$9, 100%, $F$9) + CHOOSE(CONTROL!$C$27, 0.0021, 0)</f>
        <v>187.68530000000001</v>
      </c>
      <c r="C1066" s="14">
        <f>187.251 * CHOOSE(CONTROL!$C$9, $D$9, 100%, $F$9) + CHOOSE(CONTROL!$C$27, 0.0021, 0)</f>
        <v>187.25310000000002</v>
      </c>
      <c r="D1066" s="14">
        <f>187.251 * CHOOSE(CONTROL!$C$9, $D$9, 100%, $F$9) + CHOOSE(CONTROL!$C$27, 0.0021, 0)</f>
        <v>187.25310000000002</v>
      </c>
      <c r="E1066" s="14">
        <f>187.1143 * CHOOSE(CONTROL!$C$9, $D$9, 100%, $F$9) + CHOOSE(CONTROL!$C$27, 0.0021, 0)</f>
        <v>187.1164</v>
      </c>
      <c r="F1066" s="14">
        <f>187.1143 * CHOOSE(CONTROL!$C$9, $D$9, 100%, $F$9) + CHOOSE(CONTROL!$C$27, 0.0021, 0)</f>
        <v>187.1164</v>
      </c>
      <c r="G1066" s="14">
        <f>187.3857 * CHOOSE(CONTROL!$C$9, $D$9, 100%, $F$9) + CHOOSE(CONTROL!$C$27, 0.0021, 0)</f>
        <v>187.38780000000003</v>
      </c>
      <c r="H1066" s="14">
        <f>187.251 * CHOOSE(CONTROL!$C$9, $D$9, 100%, $F$9) + CHOOSE(CONTROL!$C$27, 0.0021, 0)</f>
        <v>187.25310000000002</v>
      </c>
      <c r="I1066" s="14">
        <f>187.251 * CHOOSE(CONTROL!$C$9, $D$9, 100%, $F$9) + CHOOSE(CONTROL!$C$27, 0.0021, 0)</f>
        <v>187.25310000000002</v>
      </c>
      <c r="J1066" s="14">
        <f>187.251 * CHOOSE(CONTROL!$C$9, $D$9, 100%, $F$9) + CHOOSE(CONTROL!$C$27, 0.0021, 0)</f>
        <v>187.25310000000002</v>
      </c>
      <c r="K1066" s="14">
        <f>187.251 * CHOOSE(CONTROL!$C$9, $D$9, 100%, $F$9) + CHOOSE(CONTROL!$C$27, 0.0021, 0)</f>
        <v>187.25310000000002</v>
      </c>
      <c r="L1066" s="14"/>
    </row>
    <row r="1067" spans="1:12" ht="15.75" x14ac:dyDescent="0.25">
      <c r="A1067" s="32">
        <v>73415</v>
      </c>
      <c r="B1067" s="14">
        <f>182.1817 * CHOOSE(CONTROL!$C$9, $D$9, 100%, $F$9) + CHOOSE(CONTROL!$C$27, 0.0021, 0)</f>
        <v>182.18380000000002</v>
      </c>
      <c r="C1067" s="14">
        <f>181.7495 * CHOOSE(CONTROL!$C$9, $D$9, 100%, $F$9) + CHOOSE(CONTROL!$C$27, 0.0021, 0)</f>
        <v>181.75160000000002</v>
      </c>
      <c r="D1067" s="14">
        <f>181.7495 * CHOOSE(CONTROL!$C$9, $D$9, 100%, $F$9) + CHOOSE(CONTROL!$C$27, 0.0021, 0)</f>
        <v>181.75160000000002</v>
      </c>
      <c r="E1067" s="14">
        <f>181.6128 * CHOOSE(CONTROL!$C$9, $D$9, 100%, $F$9) + CHOOSE(CONTROL!$C$27, 0.0021, 0)</f>
        <v>181.61490000000001</v>
      </c>
      <c r="F1067" s="14">
        <f>181.6128 * CHOOSE(CONTROL!$C$9, $D$9, 100%, $F$9) + CHOOSE(CONTROL!$C$27, 0.0021, 0)</f>
        <v>181.61490000000001</v>
      </c>
      <c r="G1067" s="14">
        <f>181.8842 * CHOOSE(CONTROL!$C$9, $D$9, 100%, $F$9) + CHOOSE(CONTROL!$C$27, 0.0021, 0)</f>
        <v>181.88630000000001</v>
      </c>
      <c r="H1067" s="14">
        <f>181.7495 * CHOOSE(CONTROL!$C$9, $D$9, 100%, $F$9) + CHOOSE(CONTROL!$C$27, 0.0021, 0)</f>
        <v>181.75160000000002</v>
      </c>
      <c r="I1067" s="14">
        <f>181.7495 * CHOOSE(CONTROL!$C$9, $D$9, 100%, $F$9) + CHOOSE(CONTROL!$C$27, 0.0021, 0)</f>
        <v>181.75160000000002</v>
      </c>
      <c r="J1067" s="14">
        <f>181.7495 * CHOOSE(CONTROL!$C$9, $D$9, 100%, $F$9) + CHOOSE(CONTROL!$C$27, 0.0021, 0)</f>
        <v>181.75160000000002</v>
      </c>
      <c r="K1067" s="14">
        <f>181.7495 * CHOOSE(CONTROL!$C$9, $D$9, 100%, $F$9) + CHOOSE(CONTROL!$C$27, 0.0021, 0)</f>
        <v>181.75160000000002</v>
      </c>
      <c r="L1067" s="14"/>
    </row>
    <row r="1068" spans="1:12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  <c r="L1068" s="14"/>
    </row>
    <row r="1069" spans="1:12" ht="15" x14ac:dyDescent="0.2">
      <c r="A1069" s="10">
        <v>2013</v>
      </c>
      <c r="B1069" s="14">
        <f>AVERAGE(B12:B23)</f>
        <v>24.202228463269346</v>
      </c>
      <c r="C1069" s="14">
        <f>AVERAGE(C12:C23)</f>
        <v>23.769968214555771</v>
      </c>
      <c r="D1069" s="14"/>
      <c r="E1069" s="14">
        <f t="shared" ref="E1069:K1069" si="0">AVERAGE(E12:E23)</f>
        <v>23.633324346631255</v>
      </c>
      <c r="F1069" s="14">
        <f t="shared" si="0"/>
        <v>23.633324346631255</v>
      </c>
      <c r="G1069" s="14">
        <f t="shared" si="0"/>
        <v>23.904689283738168</v>
      </c>
      <c r="H1069" s="14">
        <f t="shared" si="0"/>
        <v>23.769968214555771</v>
      </c>
      <c r="I1069" s="14">
        <f t="shared" si="0"/>
        <v>23.769968214555771</v>
      </c>
      <c r="J1069" s="14">
        <f t="shared" si="0"/>
        <v>23.409763840627829</v>
      </c>
      <c r="K1069" s="14">
        <f t="shared" si="0"/>
        <v>23.769968214555771</v>
      </c>
      <c r="L1069" s="14"/>
    </row>
    <row r="1070" spans="1:12" ht="15" x14ac:dyDescent="0.2">
      <c r="A1070" s="10">
        <v>2014</v>
      </c>
      <c r="B1070" s="14">
        <f>AVERAGE(B24:B35)</f>
        <v>24.140874999999998</v>
      </c>
      <c r="C1070" s="14">
        <f>AVERAGE(C24:C35)</f>
        <v>23.708633333333328</v>
      </c>
      <c r="D1070" s="14"/>
      <c r="E1070" s="14">
        <f t="shared" ref="E1070:K1070" si="1">AVERAGE(E24:E35)</f>
        <v>23.571966666666668</v>
      </c>
      <c r="F1070" s="14">
        <f t="shared" si="1"/>
        <v>23.571966666666668</v>
      </c>
      <c r="G1070" s="14">
        <f t="shared" si="1"/>
        <v>23.843349999999997</v>
      </c>
      <c r="H1070" s="14">
        <f t="shared" si="1"/>
        <v>23.708633333333328</v>
      </c>
      <c r="I1070" s="14">
        <f t="shared" si="1"/>
        <v>23.708633333333328</v>
      </c>
      <c r="J1070" s="14">
        <f t="shared" si="1"/>
        <v>23.348425000000002</v>
      </c>
      <c r="K1070" s="14">
        <f t="shared" si="1"/>
        <v>23.708633333333328</v>
      </c>
      <c r="L1070" s="14"/>
    </row>
    <row r="1071" spans="1:12" ht="15" x14ac:dyDescent="0.2">
      <c r="A1071" s="10">
        <v>2015</v>
      </c>
      <c r="B1071" s="14">
        <f>AVERAGE(B36:B47)</f>
        <v>22.916416666666663</v>
      </c>
      <c r="C1071" s="14">
        <f>AVERAGE(C36:C47)</f>
        <v>22.484175000000004</v>
      </c>
      <c r="D1071" s="14"/>
      <c r="E1071" s="14">
        <f t="shared" ref="E1071:K1071" si="2">AVERAGE(E36:E47)</f>
        <v>22.347508333333334</v>
      </c>
      <c r="F1071" s="14">
        <f t="shared" si="2"/>
        <v>22.347508333333334</v>
      </c>
      <c r="G1071" s="14">
        <f t="shared" si="2"/>
        <v>22.618891666666666</v>
      </c>
      <c r="H1071" s="14">
        <f t="shared" si="2"/>
        <v>22.484175000000004</v>
      </c>
      <c r="I1071" s="14">
        <f t="shared" si="2"/>
        <v>22.484175000000004</v>
      </c>
      <c r="J1071" s="14">
        <f t="shared" si="2"/>
        <v>22.484175000000004</v>
      </c>
      <c r="K1071" s="14">
        <f t="shared" si="2"/>
        <v>22.484175000000004</v>
      </c>
      <c r="L1071" s="14"/>
    </row>
    <row r="1072" spans="1:12" ht="15" x14ac:dyDescent="0.2">
      <c r="A1072" s="10">
        <v>2016</v>
      </c>
      <c r="B1072" s="14">
        <f>AVERAGE(B48:B59)</f>
        <v>24.717741666666665</v>
      </c>
      <c r="C1072" s="14">
        <f>AVERAGE(C48:C59)</f>
        <v>24.285491666666662</v>
      </c>
      <c r="D1072" s="14"/>
      <c r="E1072" s="14">
        <f t="shared" ref="E1072:K1072" si="3">AVERAGE(E48:E59)</f>
        <v>24.148841666666669</v>
      </c>
      <c r="F1072" s="14">
        <f t="shared" si="3"/>
        <v>24.148841666666669</v>
      </c>
      <c r="G1072" s="14">
        <f t="shared" si="3"/>
        <v>24.420200000000005</v>
      </c>
      <c r="H1072" s="14">
        <f t="shared" si="3"/>
        <v>24.285491666666662</v>
      </c>
      <c r="I1072" s="14">
        <f t="shared" si="3"/>
        <v>24.285491666666662</v>
      </c>
      <c r="J1072" s="14">
        <f t="shared" si="3"/>
        <v>24.285491666666662</v>
      </c>
      <c r="K1072" s="14">
        <f t="shared" si="3"/>
        <v>24.285491666666662</v>
      </c>
      <c r="L1072" s="14"/>
    </row>
    <row r="1073" spans="1:12" ht="15" x14ac:dyDescent="0.2">
      <c r="A1073" s="10">
        <v>2017</v>
      </c>
      <c r="B1073" s="14">
        <f>AVERAGE(B60:B71)</f>
        <v>25.499341666666666</v>
      </c>
      <c r="C1073" s="14">
        <f>AVERAGE(C60:C71)</f>
        <v>25.067099999999996</v>
      </c>
      <c r="D1073" s="14"/>
      <c r="E1073" s="14">
        <f t="shared" ref="E1073:K1073" si="4">AVERAGE(E60:E71)</f>
        <v>24.930433333333337</v>
      </c>
      <c r="F1073" s="14">
        <f t="shared" si="4"/>
        <v>24.930433333333337</v>
      </c>
      <c r="G1073" s="14">
        <f t="shared" si="4"/>
        <v>25.201824999999999</v>
      </c>
      <c r="H1073" s="14">
        <f t="shared" si="4"/>
        <v>25.067099999999996</v>
      </c>
      <c r="I1073" s="14">
        <f t="shared" si="4"/>
        <v>25.067099999999996</v>
      </c>
      <c r="J1073" s="14">
        <f t="shared" si="4"/>
        <v>25.067099999999996</v>
      </c>
      <c r="K1073" s="14">
        <f t="shared" si="4"/>
        <v>25.067099999999996</v>
      </c>
      <c r="L1073" s="14"/>
    </row>
    <row r="1074" spans="1:12" ht="15" x14ac:dyDescent="0.2">
      <c r="A1074" s="10">
        <v>2018</v>
      </c>
      <c r="B1074" s="14">
        <f>AVERAGE(B72:B83)</f>
        <v>29.348116666666666</v>
      </c>
      <c r="C1074" s="14">
        <f>AVERAGE(C72:C83)</f>
        <v>28.915849999999995</v>
      </c>
      <c r="D1074" s="14"/>
      <c r="E1074" s="14">
        <f t="shared" ref="E1074:K1074" si="5">AVERAGE(E72:E83)</f>
        <v>28.77921666666666</v>
      </c>
      <c r="F1074" s="14">
        <f t="shared" si="5"/>
        <v>28.77921666666666</v>
      </c>
      <c r="G1074" s="14">
        <f t="shared" si="5"/>
        <v>29.050583333333336</v>
      </c>
      <c r="H1074" s="14">
        <f t="shared" si="5"/>
        <v>28.915849999999995</v>
      </c>
      <c r="I1074" s="14">
        <f t="shared" si="5"/>
        <v>28.915849999999995</v>
      </c>
      <c r="J1074" s="14">
        <f t="shared" si="5"/>
        <v>28.915849999999995</v>
      </c>
      <c r="K1074" s="14">
        <f t="shared" si="5"/>
        <v>28.915849999999995</v>
      </c>
      <c r="L1074" s="14"/>
    </row>
    <row r="1075" spans="1:12" ht="15" x14ac:dyDescent="0.2">
      <c r="A1075" s="10">
        <v>2019</v>
      </c>
      <c r="B1075" s="14">
        <f>AVERAGE(B84:B95)</f>
        <v>30.664341666666669</v>
      </c>
      <c r="C1075" s="14">
        <f>AVERAGE(C84:C95)</f>
        <v>30.232108333333329</v>
      </c>
      <c r="D1075" s="14"/>
      <c r="E1075" s="14">
        <f t="shared" ref="E1075:K1075" si="6">AVERAGE(E84:E95)</f>
        <v>30.09544166666667</v>
      </c>
      <c r="F1075" s="14">
        <f t="shared" si="6"/>
        <v>30.09544166666667</v>
      </c>
      <c r="G1075" s="14">
        <f t="shared" si="6"/>
        <v>30.366833333333329</v>
      </c>
      <c r="H1075" s="14">
        <f t="shared" si="6"/>
        <v>30.232108333333329</v>
      </c>
      <c r="I1075" s="14">
        <f t="shared" si="6"/>
        <v>30.232108333333329</v>
      </c>
      <c r="J1075" s="14">
        <f t="shared" si="6"/>
        <v>30.232108333333329</v>
      </c>
      <c r="K1075" s="14">
        <f t="shared" si="6"/>
        <v>30.232108333333329</v>
      </c>
      <c r="L1075" s="14"/>
    </row>
    <row r="1076" spans="1:12" ht="15" x14ac:dyDescent="0.2">
      <c r="A1076" s="10">
        <v>2020</v>
      </c>
      <c r="B1076" s="14">
        <f>AVERAGE(B96:B107)</f>
        <v>32.245424999999997</v>
      </c>
      <c r="C1076" s="14">
        <f>AVERAGE(C96:C107)</f>
        <v>31.813183333333338</v>
      </c>
      <c r="D1076" s="14"/>
      <c r="E1076" s="14">
        <f t="shared" ref="E1076:K1076" si="7">AVERAGE(E96:E107)</f>
        <v>31.676524999999998</v>
      </c>
      <c r="F1076" s="14">
        <f t="shared" si="7"/>
        <v>31.676524999999998</v>
      </c>
      <c r="G1076" s="14">
        <f t="shared" si="7"/>
        <v>31.947883333333337</v>
      </c>
      <c r="H1076" s="14">
        <f t="shared" si="7"/>
        <v>31.813183333333338</v>
      </c>
      <c r="I1076" s="14">
        <f t="shared" si="7"/>
        <v>31.813183333333338</v>
      </c>
      <c r="J1076" s="14">
        <f t="shared" si="7"/>
        <v>31.813183333333338</v>
      </c>
      <c r="K1076" s="14">
        <f t="shared" si="7"/>
        <v>31.813183333333338</v>
      </c>
      <c r="L1076" s="14"/>
    </row>
    <row r="1077" spans="1:12" ht="15" x14ac:dyDescent="0.2">
      <c r="A1077" s="10">
        <v>2021</v>
      </c>
      <c r="B1077" s="14">
        <f>AVERAGE(B108:B119)</f>
        <v>34.550824999999996</v>
      </c>
      <c r="C1077" s="14">
        <f>AVERAGE(C108:C119)</f>
        <v>34.118575</v>
      </c>
      <c r="D1077" s="14"/>
      <c r="E1077" s="14">
        <f t="shared" ref="E1077:K1077" si="8">AVERAGE(E108:E119)</f>
        <v>33.981924999999997</v>
      </c>
      <c r="F1077" s="14">
        <f t="shared" si="8"/>
        <v>33.981924999999997</v>
      </c>
      <c r="G1077" s="14">
        <f t="shared" si="8"/>
        <v>34.253283333333336</v>
      </c>
      <c r="H1077" s="14">
        <f t="shared" si="8"/>
        <v>34.118575</v>
      </c>
      <c r="I1077" s="14">
        <f t="shared" si="8"/>
        <v>34.118575</v>
      </c>
      <c r="J1077" s="14">
        <f t="shared" si="8"/>
        <v>34.118575</v>
      </c>
      <c r="K1077" s="14">
        <f t="shared" si="8"/>
        <v>34.118575</v>
      </c>
      <c r="L1077" s="14"/>
    </row>
    <row r="1078" spans="1:12" ht="15" x14ac:dyDescent="0.2">
      <c r="A1078" s="10">
        <v>2022</v>
      </c>
      <c r="B1078" s="14">
        <f>AVERAGE(B120:B131)</f>
        <v>37.052883333333334</v>
      </c>
      <c r="C1078" s="14">
        <f>AVERAGE(C120:C131)</f>
        <v>36.62063333333333</v>
      </c>
      <c r="D1078" s="14"/>
      <c r="E1078" s="14">
        <f t="shared" ref="E1078:K1078" si="9">AVERAGE(E120:E131)</f>
        <v>36.483975000000008</v>
      </c>
      <c r="F1078" s="14">
        <f t="shared" si="9"/>
        <v>36.483975000000008</v>
      </c>
      <c r="G1078" s="14">
        <f t="shared" si="9"/>
        <v>36.755341666666659</v>
      </c>
      <c r="H1078" s="14">
        <f t="shared" si="9"/>
        <v>36.62063333333333</v>
      </c>
      <c r="I1078" s="14">
        <f t="shared" si="9"/>
        <v>36.62063333333333</v>
      </c>
      <c r="J1078" s="14">
        <f t="shared" si="9"/>
        <v>36.62063333333333</v>
      </c>
      <c r="K1078" s="14">
        <f t="shared" si="9"/>
        <v>36.62063333333333</v>
      </c>
      <c r="L1078" s="14"/>
    </row>
    <row r="1079" spans="1:12" ht="15" x14ac:dyDescent="0.2">
      <c r="A1079" s="10">
        <v>2023</v>
      </c>
      <c r="B1079" s="14">
        <f>AVERAGE(B132:B143)</f>
        <v>39.601025</v>
      </c>
      <c r="C1079" s="14">
        <f>AVERAGE(C132:C143)</f>
        <v>39.168791666666664</v>
      </c>
      <c r="D1079" s="14"/>
      <c r="E1079" s="14">
        <f t="shared" ref="E1079:K1079" si="10">AVERAGE(E132:E143)</f>
        <v>39.032116666666667</v>
      </c>
      <c r="F1079" s="14">
        <f t="shared" si="10"/>
        <v>39.032116666666667</v>
      </c>
      <c r="G1079" s="14">
        <f t="shared" si="10"/>
        <v>39.303516666666667</v>
      </c>
      <c r="H1079" s="14">
        <f t="shared" si="10"/>
        <v>39.168791666666664</v>
      </c>
      <c r="I1079" s="14">
        <f t="shared" si="10"/>
        <v>39.168791666666664</v>
      </c>
      <c r="J1079" s="14">
        <f t="shared" si="10"/>
        <v>39.168791666666664</v>
      </c>
      <c r="K1079" s="14">
        <f t="shared" si="10"/>
        <v>39.168791666666664</v>
      </c>
      <c r="L1079" s="14"/>
    </row>
    <row r="1080" spans="1:12" ht="15" x14ac:dyDescent="0.2">
      <c r="A1080" s="10">
        <v>2024</v>
      </c>
      <c r="B1080" s="14">
        <f>AVERAGE(B144:B155)</f>
        <v>42.197108333333333</v>
      </c>
      <c r="C1080" s="14">
        <f>AVERAGE(C144:C155)</f>
        <v>41.764883333333323</v>
      </c>
      <c r="D1080" s="14"/>
      <c r="E1080" s="14">
        <f t="shared" ref="E1080:K1080" si="11">AVERAGE(E144:E155)</f>
        <v>41.628208333333333</v>
      </c>
      <c r="F1080" s="14">
        <f t="shared" si="11"/>
        <v>41.628208333333333</v>
      </c>
      <c r="G1080" s="14">
        <f t="shared" si="11"/>
        <v>41.899583333333332</v>
      </c>
      <c r="H1080" s="14">
        <f t="shared" si="11"/>
        <v>41.764883333333323</v>
      </c>
      <c r="I1080" s="14">
        <f t="shared" si="11"/>
        <v>41.764883333333323</v>
      </c>
      <c r="J1080" s="14">
        <f t="shared" si="11"/>
        <v>41.764883333333323</v>
      </c>
      <c r="K1080" s="14">
        <f t="shared" si="11"/>
        <v>41.764883333333323</v>
      </c>
      <c r="L1080" s="14"/>
    </row>
    <row r="1081" spans="1:12" ht="15" x14ac:dyDescent="0.2">
      <c r="A1081" s="10">
        <v>2025</v>
      </c>
      <c r="B1081" s="14">
        <f>AVERAGE(B156:B167)</f>
        <v>44.843224999999997</v>
      </c>
      <c r="C1081" s="14">
        <f>AVERAGE(C156:C167)</f>
        <v>44.410975000000001</v>
      </c>
      <c r="D1081" s="14"/>
      <c r="E1081" s="14">
        <f t="shared" ref="E1081:K1081" si="12">AVERAGE(E156:E167)</f>
        <v>44.274316666666664</v>
      </c>
      <c r="F1081" s="14">
        <f t="shared" si="12"/>
        <v>44.274316666666664</v>
      </c>
      <c r="G1081" s="14">
        <f t="shared" si="12"/>
        <v>44.545700000000004</v>
      </c>
      <c r="H1081" s="14">
        <f t="shared" si="12"/>
        <v>44.410975000000001</v>
      </c>
      <c r="I1081" s="14">
        <f t="shared" si="12"/>
        <v>44.410975000000001</v>
      </c>
      <c r="J1081" s="14">
        <f t="shared" si="12"/>
        <v>44.410975000000001</v>
      </c>
      <c r="K1081" s="14">
        <f t="shared" si="12"/>
        <v>44.410975000000001</v>
      </c>
      <c r="L1081" s="14"/>
    </row>
    <row r="1082" spans="1:12" ht="15" x14ac:dyDescent="0.2">
      <c r="A1082" s="10">
        <v>2026</v>
      </c>
      <c r="B1082" s="14">
        <f>AVERAGE(B168:B179)</f>
        <v>46.830333333333336</v>
      </c>
      <c r="C1082" s="14">
        <f>AVERAGE(C168:C179)</f>
        <v>46.398066666666665</v>
      </c>
      <c r="D1082" s="14"/>
      <c r="E1082" s="14">
        <f t="shared" ref="E1082:K1082" si="13">AVERAGE(E168:E179)</f>
        <v>46.261416666666669</v>
      </c>
      <c r="F1082" s="14">
        <f t="shared" si="13"/>
        <v>46.261416666666669</v>
      </c>
      <c r="G1082" s="14">
        <f t="shared" si="13"/>
        <v>46.532791666666668</v>
      </c>
      <c r="H1082" s="14">
        <f t="shared" si="13"/>
        <v>46.398066666666665</v>
      </c>
      <c r="I1082" s="14">
        <f t="shared" si="13"/>
        <v>46.398066666666665</v>
      </c>
      <c r="J1082" s="14">
        <f t="shared" si="13"/>
        <v>46.398066666666665</v>
      </c>
      <c r="K1082" s="14">
        <f t="shared" si="13"/>
        <v>46.398066666666665</v>
      </c>
      <c r="L1082" s="14"/>
    </row>
    <row r="1083" spans="1:12" ht="15" x14ac:dyDescent="0.2">
      <c r="A1083" s="10">
        <v>2027</v>
      </c>
      <c r="B1083" s="14">
        <f>AVERAGE(B180:B191)</f>
        <v>48.854424999999999</v>
      </c>
      <c r="C1083" s="14">
        <f>AVERAGE(C180:C191)</f>
        <v>48.422175000000003</v>
      </c>
      <c r="D1083" s="14"/>
      <c r="E1083" s="14">
        <f t="shared" ref="E1083:K1083" si="14">AVERAGE(E180:E191)</f>
        <v>48.285525</v>
      </c>
      <c r="F1083" s="14">
        <f t="shared" si="14"/>
        <v>48.285525</v>
      </c>
      <c r="G1083" s="14">
        <f t="shared" si="14"/>
        <v>48.556891666666665</v>
      </c>
      <c r="H1083" s="14">
        <f t="shared" si="14"/>
        <v>48.422175000000003</v>
      </c>
      <c r="I1083" s="14">
        <f t="shared" si="14"/>
        <v>48.422175000000003</v>
      </c>
      <c r="J1083" s="14">
        <f t="shared" si="14"/>
        <v>48.422175000000003</v>
      </c>
      <c r="K1083" s="14">
        <f t="shared" si="14"/>
        <v>48.422175000000003</v>
      </c>
      <c r="L1083" s="14"/>
    </row>
    <row r="1084" spans="1:12" ht="15" x14ac:dyDescent="0.2">
      <c r="A1084" s="10">
        <v>2028</v>
      </c>
      <c r="B1084" s="14">
        <f>AVERAGE(B192:B203)</f>
        <v>50.876433333333331</v>
      </c>
      <c r="C1084" s="14">
        <f>AVERAGE(C192:C203)</f>
        <v>50.444158333333327</v>
      </c>
      <c r="D1084" s="14"/>
      <c r="E1084" s="14">
        <f t="shared" ref="E1084:K1084" si="15">AVERAGE(E192:E203)</f>
        <v>50.30747499999999</v>
      </c>
      <c r="F1084" s="14">
        <f t="shared" si="15"/>
        <v>50.30747499999999</v>
      </c>
      <c r="G1084" s="14">
        <f t="shared" si="15"/>
        <v>50.57886666666667</v>
      </c>
      <c r="H1084" s="14">
        <f t="shared" si="15"/>
        <v>50.444158333333327</v>
      </c>
      <c r="I1084" s="14">
        <f t="shared" si="15"/>
        <v>50.444158333333327</v>
      </c>
      <c r="J1084" s="14">
        <f t="shared" si="15"/>
        <v>50.444158333333327</v>
      </c>
      <c r="K1084" s="14">
        <f t="shared" si="15"/>
        <v>50.444158333333327</v>
      </c>
      <c r="L1084" s="14"/>
    </row>
    <row r="1085" spans="1:12" ht="15" x14ac:dyDescent="0.2">
      <c r="A1085" s="10">
        <v>2029</v>
      </c>
      <c r="B1085" s="14">
        <f>AVERAGE(B204:B215)</f>
        <v>53.013650000000005</v>
      </c>
      <c r="C1085" s="14">
        <f>AVERAGE(C204:C215)</f>
        <v>52.581408333333322</v>
      </c>
      <c r="D1085" s="14"/>
      <c r="E1085" s="14">
        <f t="shared" ref="E1085:K1085" si="16">AVERAGE(E204:E215)</f>
        <v>52.444733333333325</v>
      </c>
      <c r="F1085" s="14">
        <f t="shared" si="16"/>
        <v>52.444733333333325</v>
      </c>
      <c r="G1085" s="14">
        <f t="shared" si="16"/>
        <v>52.716116666666672</v>
      </c>
      <c r="H1085" s="14">
        <f t="shared" si="16"/>
        <v>52.581408333333322</v>
      </c>
      <c r="I1085" s="14">
        <f t="shared" si="16"/>
        <v>52.581408333333322</v>
      </c>
      <c r="J1085" s="14">
        <f t="shared" si="16"/>
        <v>52.581408333333322</v>
      </c>
      <c r="K1085" s="14">
        <f t="shared" si="16"/>
        <v>52.581408333333322</v>
      </c>
      <c r="L1085" s="14"/>
    </row>
    <row r="1086" spans="1:12" ht="15" x14ac:dyDescent="0.2">
      <c r="A1086" s="10">
        <v>2030</v>
      </c>
      <c r="B1086" s="14">
        <f>AVERAGE(B216:B227)</f>
        <v>55.075083333333332</v>
      </c>
      <c r="C1086" s="14">
        <f>AVERAGE(C216:C227)</f>
        <v>54.642866666666663</v>
      </c>
      <c r="D1086" s="14"/>
      <c r="E1086" s="14">
        <f t="shared" ref="E1086:K1086" si="17">AVERAGE(E216:E227)</f>
        <v>54.506183333333333</v>
      </c>
      <c r="F1086" s="14">
        <f t="shared" si="17"/>
        <v>54.506183333333333</v>
      </c>
      <c r="G1086" s="14">
        <f t="shared" si="17"/>
        <v>54.777575000000006</v>
      </c>
      <c r="H1086" s="14">
        <f t="shared" si="17"/>
        <v>54.642866666666663</v>
      </c>
      <c r="I1086" s="14">
        <f t="shared" si="17"/>
        <v>54.642866666666663</v>
      </c>
      <c r="J1086" s="14">
        <f t="shared" si="17"/>
        <v>54.642866666666663</v>
      </c>
      <c r="K1086" s="14">
        <f t="shared" si="17"/>
        <v>54.642866666666663</v>
      </c>
      <c r="L1086" s="14"/>
    </row>
    <row r="1087" spans="1:12" ht="15" x14ac:dyDescent="0.2">
      <c r="A1087" s="10">
        <v>2031</v>
      </c>
      <c r="B1087" s="14">
        <f>AVERAGE(B228:B239)</f>
        <v>56.239133333333321</v>
      </c>
      <c r="C1087" s="14">
        <f>AVERAGE(C228:C239)</f>
        <v>55.806883333333325</v>
      </c>
      <c r="D1087" s="14"/>
      <c r="E1087" s="14">
        <f t="shared" ref="E1087:K1087" si="18">AVERAGE(E228:E239)</f>
        <v>55.670233333333336</v>
      </c>
      <c r="F1087" s="14">
        <f t="shared" si="18"/>
        <v>55.670233333333336</v>
      </c>
      <c r="G1087" s="14">
        <f t="shared" si="18"/>
        <v>55.941608333333328</v>
      </c>
      <c r="H1087" s="14">
        <f t="shared" si="18"/>
        <v>55.806883333333325</v>
      </c>
      <c r="I1087" s="14">
        <f t="shared" si="18"/>
        <v>55.806883333333325</v>
      </c>
      <c r="J1087" s="14">
        <f t="shared" si="18"/>
        <v>55.806883333333325</v>
      </c>
      <c r="K1087" s="14">
        <f t="shared" si="18"/>
        <v>55.806883333333325</v>
      </c>
      <c r="L1087" s="14"/>
    </row>
    <row r="1088" spans="1:12" ht="15" x14ac:dyDescent="0.2">
      <c r="A1088" s="10">
        <v>2032</v>
      </c>
      <c r="B1088" s="14">
        <f>AVERAGE(B240:B251)</f>
        <v>57.236066666666659</v>
      </c>
      <c r="C1088" s="14">
        <f>AVERAGE(C240:C251)</f>
        <v>56.803833333333337</v>
      </c>
      <c r="D1088" s="14"/>
      <c r="E1088" s="14">
        <f t="shared" ref="E1088:K1088" si="19">AVERAGE(E240:E251)</f>
        <v>56.667158333333333</v>
      </c>
      <c r="F1088" s="14">
        <f t="shared" si="19"/>
        <v>56.667158333333333</v>
      </c>
      <c r="G1088" s="14">
        <f t="shared" si="19"/>
        <v>56.938541666666659</v>
      </c>
      <c r="H1088" s="14">
        <f t="shared" si="19"/>
        <v>56.803833333333337</v>
      </c>
      <c r="I1088" s="14">
        <f t="shared" si="19"/>
        <v>56.803833333333337</v>
      </c>
      <c r="J1088" s="14">
        <f t="shared" si="19"/>
        <v>56.803833333333337</v>
      </c>
      <c r="K1088" s="14">
        <f t="shared" si="19"/>
        <v>56.803833333333337</v>
      </c>
      <c r="L1088" s="14"/>
    </row>
    <row r="1089" spans="1:12" ht="15" x14ac:dyDescent="0.2">
      <c r="A1089" s="10">
        <v>2033</v>
      </c>
      <c r="B1089" s="14">
        <f>AVERAGE(B252:B263)</f>
        <v>58.251441666666665</v>
      </c>
      <c r="C1089" s="14">
        <f>AVERAGE(C252:C263)</f>
        <v>57.819183333333335</v>
      </c>
      <c r="D1089" s="14"/>
      <c r="E1089" s="14">
        <f t="shared" ref="E1089:K1089" si="20">AVERAGE(E252:E263)</f>
        <v>57.682525000000005</v>
      </c>
      <c r="F1089" s="14">
        <f t="shared" si="20"/>
        <v>57.682525000000005</v>
      </c>
      <c r="G1089" s="14">
        <f t="shared" si="20"/>
        <v>57.953899999999997</v>
      </c>
      <c r="H1089" s="14">
        <f t="shared" si="20"/>
        <v>57.819183333333335</v>
      </c>
      <c r="I1089" s="14">
        <f t="shared" si="20"/>
        <v>57.819183333333335</v>
      </c>
      <c r="J1089" s="14">
        <f t="shared" si="20"/>
        <v>57.819183333333335</v>
      </c>
      <c r="K1089" s="14">
        <f t="shared" si="20"/>
        <v>57.819183333333335</v>
      </c>
      <c r="L1089" s="14"/>
    </row>
    <row r="1090" spans="1:12" ht="15" x14ac:dyDescent="0.2">
      <c r="A1090" s="10">
        <v>2034</v>
      </c>
      <c r="B1090" s="14">
        <f>AVERAGE(B264:B275)</f>
        <v>59.285566666666661</v>
      </c>
      <c r="C1090" s="14">
        <f>AVERAGE(C264:C275)</f>
        <v>58.853299999999997</v>
      </c>
      <c r="D1090" s="14"/>
      <c r="E1090" s="14">
        <f t="shared" ref="E1090:K1090" si="21">AVERAGE(E264:E275)</f>
        <v>58.716658333333328</v>
      </c>
      <c r="F1090" s="14">
        <f t="shared" si="21"/>
        <v>58.716658333333328</v>
      </c>
      <c r="G1090" s="14">
        <f t="shared" si="21"/>
        <v>58.988041666666675</v>
      </c>
      <c r="H1090" s="14">
        <f t="shared" si="21"/>
        <v>58.853299999999997</v>
      </c>
      <c r="I1090" s="14">
        <f t="shared" si="21"/>
        <v>58.853299999999997</v>
      </c>
      <c r="J1090" s="14">
        <f t="shared" si="21"/>
        <v>58.853299999999997</v>
      </c>
      <c r="K1090" s="14">
        <f t="shared" si="21"/>
        <v>58.853299999999997</v>
      </c>
      <c r="L1090" s="14"/>
    </row>
    <row r="1091" spans="1:12" ht="15" x14ac:dyDescent="0.2">
      <c r="A1091" s="10">
        <v>2035</v>
      </c>
      <c r="B1091" s="14">
        <f>AVERAGE(B276:B287)</f>
        <v>60.338808333333326</v>
      </c>
      <c r="C1091" s="14">
        <f>AVERAGE(C276:C287)</f>
        <v>59.906558333333344</v>
      </c>
      <c r="D1091" s="14"/>
      <c r="E1091" s="14">
        <f t="shared" ref="E1091:K1091" si="22">AVERAGE(E276:E287)</f>
        <v>59.7699</v>
      </c>
      <c r="F1091" s="14">
        <f t="shared" si="22"/>
        <v>59.7699</v>
      </c>
      <c r="G1091" s="14">
        <f t="shared" si="22"/>
        <v>60.041274999999992</v>
      </c>
      <c r="H1091" s="14">
        <f t="shared" si="22"/>
        <v>59.906558333333344</v>
      </c>
      <c r="I1091" s="14">
        <f t="shared" si="22"/>
        <v>59.906558333333344</v>
      </c>
      <c r="J1091" s="14">
        <f t="shared" si="22"/>
        <v>59.906558333333344</v>
      </c>
      <c r="K1091" s="14">
        <f t="shared" si="22"/>
        <v>59.906558333333344</v>
      </c>
      <c r="L1091" s="14"/>
    </row>
    <row r="1092" spans="1:12" ht="15" x14ac:dyDescent="0.2">
      <c r="A1092" s="10">
        <v>2036</v>
      </c>
      <c r="B1092" s="14">
        <f>AVERAGE(B288:B299)</f>
        <v>61.41149999999999</v>
      </c>
      <c r="C1092" s="14">
        <f>AVERAGE(C288:C299)</f>
        <v>60.979258333333327</v>
      </c>
      <c r="D1092" s="14"/>
      <c r="E1092" s="14">
        <f t="shared" ref="E1092:K1092" si="23">AVERAGE(E288:E299)</f>
        <v>60.842599999999997</v>
      </c>
      <c r="F1092" s="14">
        <f t="shared" si="23"/>
        <v>60.842599999999997</v>
      </c>
      <c r="G1092" s="14">
        <f t="shared" si="23"/>
        <v>61.113975000000003</v>
      </c>
      <c r="H1092" s="14">
        <f t="shared" si="23"/>
        <v>60.979258333333327</v>
      </c>
      <c r="I1092" s="14">
        <f t="shared" si="23"/>
        <v>60.979258333333327</v>
      </c>
      <c r="J1092" s="14">
        <f t="shared" si="23"/>
        <v>60.979258333333327</v>
      </c>
      <c r="K1092" s="14">
        <f t="shared" si="23"/>
        <v>60.979258333333327</v>
      </c>
      <c r="L1092" s="14"/>
    </row>
    <row r="1093" spans="1:12" ht="15" x14ac:dyDescent="0.2">
      <c r="A1093" s="10">
        <v>2037</v>
      </c>
      <c r="B1093" s="14">
        <f>AVERAGE(B300:B311)</f>
        <v>62.504033333333332</v>
      </c>
      <c r="C1093" s="14">
        <f>AVERAGE(C300:C311)</f>
        <v>62.071783333333336</v>
      </c>
      <c r="D1093" s="14"/>
      <c r="E1093" s="14">
        <f t="shared" ref="E1093:K1093" si="24">AVERAGE(E300:E311)</f>
        <v>61.935133333333333</v>
      </c>
      <c r="F1093" s="14">
        <f t="shared" si="24"/>
        <v>61.935133333333333</v>
      </c>
      <c r="G1093" s="14">
        <f t="shared" si="24"/>
        <v>62.206491666666665</v>
      </c>
      <c r="H1093" s="14">
        <f t="shared" si="24"/>
        <v>62.071783333333336</v>
      </c>
      <c r="I1093" s="14">
        <f t="shared" si="24"/>
        <v>62.071783333333336</v>
      </c>
      <c r="J1093" s="14">
        <f t="shared" si="24"/>
        <v>62.071783333333336</v>
      </c>
      <c r="K1093" s="14">
        <f t="shared" si="24"/>
        <v>62.071783333333336</v>
      </c>
      <c r="L1093" s="14"/>
    </row>
    <row r="1094" spans="1:12" ht="15" x14ac:dyDescent="0.2">
      <c r="A1094" s="10">
        <f t="shared" ref="A1094:A1125" si="25">A1093+1</f>
        <v>2038</v>
      </c>
      <c r="B1094" s="14">
        <f>AVERAGE(B312:B323)</f>
        <v>63.616749999999989</v>
      </c>
      <c r="C1094" s="14">
        <f>AVERAGE(C312:C323)</f>
        <v>63.184500000000007</v>
      </c>
      <c r="D1094" s="14"/>
      <c r="E1094" s="14">
        <f t="shared" ref="E1094:K1094" si="26">AVERAGE(E312:E323)</f>
        <v>63.047841666666663</v>
      </c>
      <c r="F1094" s="14">
        <f t="shared" si="26"/>
        <v>63.047841666666663</v>
      </c>
      <c r="G1094" s="14">
        <f t="shared" si="26"/>
        <v>63.319216666666669</v>
      </c>
      <c r="H1094" s="14">
        <f t="shared" si="26"/>
        <v>63.184500000000007</v>
      </c>
      <c r="I1094" s="14">
        <f t="shared" si="26"/>
        <v>63.184500000000007</v>
      </c>
      <c r="J1094" s="14">
        <f t="shared" si="26"/>
        <v>63.184500000000007</v>
      </c>
      <c r="K1094" s="14">
        <f t="shared" si="26"/>
        <v>63.184500000000007</v>
      </c>
      <c r="L1094" s="14"/>
    </row>
    <row r="1095" spans="1:12" ht="15" x14ac:dyDescent="0.2">
      <c r="A1095" s="10">
        <f t="shared" si="25"/>
        <v>2039</v>
      </c>
      <c r="B1095" s="14">
        <f>AVERAGE(B324:B335)</f>
        <v>64.750016666666667</v>
      </c>
      <c r="C1095" s="14">
        <f>AVERAGE(C324:C335)</f>
        <v>64.317783333333324</v>
      </c>
      <c r="D1095" s="14"/>
      <c r="E1095" s="14">
        <f t="shared" ref="E1095:K1095" si="27">AVERAGE(E324:E335)</f>
        <v>64.181116666666654</v>
      </c>
      <c r="F1095" s="14">
        <f t="shared" si="27"/>
        <v>64.181116666666654</v>
      </c>
      <c r="G1095" s="14">
        <f t="shared" si="27"/>
        <v>64.452516666666668</v>
      </c>
      <c r="H1095" s="14">
        <f t="shared" si="27"/>
        <v>64.317783333333324</v>
      </c>
      <c r="I1095" s="14">
        <f t="shared" si="27"/>
        <v>64.317783333333324</v>
      </c>
      <c r="J1095" s="14">
        <f t="shared" si="27"/>
        <v>64.317783333333324</v>
      </c>
      <c r="K1095" s="14">
        <f t="shared" si="27"/>
        <v>64.317783333333324</v>
      </c>
      <c r="L1095" s="14"/>
    </row>
    <row r="1096" spans="1:12" ht="15" x14ac:dyDescent="0.2">
      <c r="A1096" s="10">
        <f t="shared" si="25"/>
        <v>2040</v>
      </c>
      <c r="B1096" s="14">
        <f>AVERAGE(B336:B347)</f>
        <v>65.904266666666658</v>
      </c>
      <c r="C1096" s="14">
        <f>AVERAGE(C336:C347)</f>
        <v>65.471991666666682</v>
      </c>
      <c r="D1096" s="14"/>
      <c r="E1096" s="14">
        <f t="shared" ref="E1096:K1096" si="28">AVERAGE(E336:E347)</f>
        <v>65.335366666666658</v>
      </c>
      <c r="F1096" s="14">
        <f t="shared" si="28"/>
        <v>65.335366666666658</v>
      </c>
      <c r="G1096" s="14">
        <f t="shared" si="28"/>
        <v>65.606724999999997</v>
      </c>
      <c r="H1096" s="14">
        <f t="shared" si="28"/>
        <v>65.471991666666682</v>
      </c>
      <c r="I1096" s="14">
        <f t="shared" si="28"/>
        <v>65.471991666666682</v>
      </c>
      <c r="J1096" s="14">
        <f t="shared" si="28"/>
        <v>65.471991666666682</v>
      </c>
      <c r="K1096" s="14">
        <f t="shared" si="28"/>
        <v>65.471991666666682</v>
      </c>
      <c r="L1096" s="14"/>
    </row>
    <row r="1097" spans="1:12" ht="15" x14ac:dyDescent="0.2">
      <c r="A1097" s="10">
        <f t="shared" si="25"/>
        <v>2041</v>
      </c>
      <c r="B1097" s="14">
        <f>AVERAGE(B348:B359)</f>
        <v>67.079816666666659</v>
      </c>
      <c r="C1097" s="14">
        <f>AVERAGE(C348:C359)</f>
        <v>66.647575000000003</v>
      </c>
      <c r="D1097" s="14"/>
      <c r="E1097" s="14">
        <f t="shared" ref="E1097:K1097" si="29">AVERAGE(E348:E359)</f>
        <v>66.510900000000007</v>
      </c>
      <c r="F1097" s="14">
        <f t="shared" si="29"/>
        <v>66.510900000000007</v>
      </c>
      <c r="G1097" s="14">
        <f t="shared" si="29"/>
        <v>66.782274999999998</v>
      </c>
      <c r="H1097" s="14">
        <f t="shared" si="29"/>
        <v>66.647575000000003</v>
      </c>
      <c r="I1097" s="14">
        <f t="shared" si="29"/>
        <v>66.647575000000003</v>
      </c>
      <c r="J1097" s="14">
        <f t="shared" si="29"/>
        <v>66.647575000000003</v>
      </c>
      <c r="K1097" s="14">
        <f t="shared" si="29"/>
        <v>66.647575000000003</v>
      </c>
      <c r="L1097" s="14"/>
    </row>
    <row r="1098" spans="1:12" ht="15" x14ac:dyDescent="0.2">
      <c r="A1098" s="10">
        <f t="shared" si="25"/>
        <v>2042</v>
      </c>
      <c r="B1098" s="14">
        <f>AVERAGE(B360:B371)</f>
        <v>68.277108333333345</v>
      </c>
      <c r="C1098" s="14">
        <f>AVERAGE(C360:C371)</f>
        <v>67.844841666666682</v>
      </c>
      <c r="D1098" s="14"/>
      <c r="E1098" s="14">
        <f t="shared" ref="E1098:K1098" si="30">AVERAGE(E360:E371)</f>
        <v>67.708191666666679</v>
      </c>
      <c r="F1098" s="14">
        <f t="shared" si="30"/>
        <v>67.708191666666679</v>
      </c>
      <c r="G1098" s="14">
        <f t="shared" si="30"/>
        <v>67.97956666666667</v>
      </c>
      <c r="H1098" s="14">
        <f t="shared" si="30"/>
        <v>67.844841666666682</v>
      </c>
      <c r="I1098" s="14">
        <f t="shared" si="30"/>
        <v>67.844841666666682</v>
      </c>
      <c r="J1098" s="14">
        <f t="shared" si="30"/>
        <v>67.844841666666682</v>
      </c>
      <c r="K1098" s="14">
        <f t="shared" si="30"/>
        <v>67.844841666666682</v>
      </c>
      <c r="L1098" s="14"/>
    </row>
    <row r="1099" spans="1:12" ht="15" x14ac:dyDescent="0.2">
      <c r="A1099" s="10">
        <f t="shared" si="25"/>
        <v>2043</v>
      </c>
      <c r="B1099" s="14">
        <f>AVERAGE(B372:B383)</f>
        <v>69.496500000000012</v>
      </c>
      <c r="C1099" s="14">
        <f>AVERAGE(C372:C383)</f>
        <v>69.064266666666668</v>
      </c>
      <c r="D1099" s="14"/>
      <c r="E1099" s="14">
        <f t="shared" ref="E1099:K1099" si="31">AVERAGE(E372:E383)</f>
        <v>68.927599999999998</v>
      </c>
      <c r="F1099" s="14">
        <f t="shared" si="31"/>
        <v>68.927599999999998</v>
      </c>
      <c r="G1099" s="14">
        <f t="shared" si="31"/>
        <v>69.198975000000004</v>
      </c>
      <c r="H1099" s="14">
        <f t="shared" si="31"/>
        <v>69.064266666666668</v>
      </c>
      <c r="I1099" s="14">
        <f t="shared" si="31"/>
        <v>69.064266666666668</v>
      </c>
      <c r="J1099" s="14">
        <f t="shared" si="31"/>
        <v>69.064266666666668</v>
      </c>
      <c r="K1099" s="14">
        <f t="shared" si="31"/>
        <v>69.064266666666668</v>
      </c>
      <c r="L1099" s="14"/>
    </row>
    <row r="1100" spans="1:12" ht="15" x14ac:dyDescent="0.2">
      <c r="A1100" s="10">
        <f t="shared" si="25"/>
        <v>2044</v>
      </c>
      <c r="B1100" s="14">
        <f>AVERAGE(B384:B395)</f>
        <v>70.738458333333355</v>
      </c>
      <c r="C1100" s="14">
        <f>AVERAGE(C384:C395)</f>
        <v>70.30619999999999</v>
      </c>
      <c r="D1100" s="14"/>
      <c r="E1100" s="14">
        <f t="shared" ref="E1100:K1100" si="32">AVERAGE(E384:E395)</f>
        <v>70.16953333333332</v>
      </c>
      <c r="F1100" s="14">
        <f t="shared" si="32"/>
        <v>70.16953333333332</v>
      </c>
      <c r="G1100" s="14">
        <f t="shared" si="32"/>
        <v>70.44090833333334</v>
      </c>
      <c r="H1100" s="14">
        <f t="shared" si="32"/>
        <v>70.30619999999999</v>
      </c>
      <c r="I1100" s="14">
        <f t="shared" si="32"/>
        <v>70.30619999999999</v>
      </c>
      <c r="J1100" s="14">
        <f t="shared" si="32"/>
        <v>70.30619999999999</v>
      </c>
      <c r="K1100" s="14">
        <f t="shared" si="32"/>
        <v>70.30619999999999</v>
      </c>
      <c r="L1100" s="14"/>
    </row>
    <row r="1101" spans="1:12" ht="15" x14ac:dyDescent="0.2">
      <c r="A1101" s="10">
        <f t="shared" si="25"/>
        <v>2045</v>
      </c>
      <c r="B1101" s="14">
        <f>AVERAGE(B396:B407)</f>
        <v>72.003349999999998</v>
      </c>
      <c r="C1101" s="14">
        <f>AVERAGE(C396:C407)</f>
        <v>71.571083333333334</v>
      </c>
      <c r="D1101" s="14"/>
      <c r="E1101" s="14">
        <f t="shared" ref="E1101:K1101" si="33">AVERAGE(E396:E407)</f>
        <v>71.434441666666658</v>
      </c>
      <c r="F1101" s="14">
        <f t="shared" si="33"/>
        <v>71.434441666666658</v>
      </c>
      <c r="G1101" s="14">
        <f t="shared" si="33"/>
        <v>71.705808333333323</v>
      </c>
      <c r="H1101" s="14">
        <f t="shared" si="33"/>
        <v>71.571083333333334</v>
      </c>
      <c r="I1101" s="14">
        <f t="shared" si="33"/>
        <v>71.571083333333334</v>
      </c>
      <c r="J1101" s="14">
        <f t="shared" si="33"/>
        <v>71.571083333333334</v>
      </c>
      <c r="K1101" s="14">
        <f t="shared" si="33"/>
        <v>71.571083333333334</v>
      </c>
      <c r="L1101" s="14"/>
    </row>
    <row r="1102" spans="1:12" ht="15" x14ac:dyDescent="0.2">
      <c r="A1102" s="10">
        <f t="shared" si="25"/>
        <v>2046</v>
      </c>
      <c r="B1102" s="14">
        <f>AVERAGE(B408:B419)</f>
        <v>73.291624999999996</v>
      </c>
      <c r="C1102" s="14">
        <f>AVERAGE(C408:C419)</f>
        <v>72.859358333333333</v>
      </c>
      <c r="D1102" s="14"/>
      <c r="E1102" s="14">
        <f t="shared" ref="E1102:K1102" si="34">AVERAGE(E408:E419)</f>
        <v>72.722716666666656</v>
      </c>
      <c r="F1102" s="14">
        <f t="shared" si="34"/>
        <v>72.722716666666656</v>
      </c>
      <c r="G1102" s="14">
        <f t="shared" si="34"/>
        <v>72.994099999999989</v>
      </c>
      <c r="H1102" s="14">
        <f t="shared" si="34"/>
        <v>72.859358333333333</v>
      </c>
      <c r="I1102" s="14">
        <f t="shared" si="34"/>
        <v>72.859358333333333</v>
      </c>
      <c r="J1102" s="14">
        <f t="shared" si="34"/>
        <v>72.859358333333333</v>
      </c>
      <c r="K1102" s="14">
        <f t="shared" si="34"/>
        <v>72.859358333333333</v>
      </c>
      <c r="L1102" s="14"/>
    </row>
    <row r="1103" spans="1:12" ht="15" x14ac:dyDescent="0.2">
      <c r="A1103" s="10">
        <f t="shared" si="25"/>
        <v>2047</v>
      </c>
      <c r="B1103" s="14">
        <f>AVERAGE(B420:B431)</f>
        <v>74.60370833333333</v>
      </c>
      <c r="C1103" s="14">
        <f>AVERAGE(C420:C431)</f>
        <v>74.171433333333326</v>
      </c>
      <c r="D1103" s="14"/>
      <c r="E1103" s="14">
        <f t="shared" ref="E1103:K1103" si="35">AVERAGE(E420:E431)</f>
        <v>74.034791666666663</v>
      </c>
      <c r="F1103" s="14">
        <f t="shared" si="35"/>
        <v>74.034791666666663</v>
      </c>
      <c r="G1103" s="14">
        <f t="shared" si="35"/>
        <v>74.306158333333329</v>
      </c>
      <c r="H1103" s="14">
        <f t="shared" si="35"/>
        <v>74.171433333333326</v>
      </c>
      <c r="I1103" s="14">
        <f t="shared" si="35"/>
        <v>74.171433333333326</v>
      </c>
      <c r="J1103" s="14">
        <f t="shared" si="35"/>
        <v>74.171433333333326</v>
      </c>
      <c r="K1103" s="14">
        <f t="shared" si="35"/>
        <v>74.171433333333326</v>
      </c>
      <c r="L1103" s="14"/>
    </row>
    <row r="1104" spans="1:12" ht="15" x14ac:dyDescent="0.2">
      <c r="A1104" s="10">
        <f t="shared" si="25"/>
        <v>2048</v>
      </c>
      <c r="B1104" s="14">
        <f>AVERAGE(B432:B443)</f>
        <v>75.940016666666679</v>
      </c>
      <c r="C1104" s="14">
        <f>AVERAGE(C432:C443)</f>
        <v>75.507791666666677</v>
      </c>
      <c r="D1104" s="14"/>
      <c r="E1104" s="14">
        <f t="shared" ref="E1104:K1104" si="36">AVERAGE(E432:E443)</f>
        <v>75.371108333333339</v>
      </c>
      <c r="F1104" s="14">
        <f t="shared" si="36"/>
        <v>75.371108333333339</v>
      </c>
      <c r="G1104" s="14">
        <f t="shared" si="36"/>
        <v>75.642499999999998</v>
      </c>
      <c r="H1104" s="14">
        <f t="shared" si="36"/>
        <v>75.507791666666677</v>
      </c>
      <c r="I1104" s="14">
        <f t="shared" si="36"/>
        <v>75.507791666666677</v>
      </c>
      <c r="J1104" s="14">
        <f t="shared" si="36"/>
        <v>75.507791666666677</v>
      </c>
      <c r="K1104" s="14">
        <f t="shared" si="36"/>
        <v>75.507791666666677</v>
      </c>
      <c r="L1104" s="14"/>
    </row>
    <row r="1105" spans="1:12" ht="15" x14ac:dyDescent="0.2">
      <c r="A1105" s="10">
        <f t="shared" si="25"/>
        <v>2049</v>
      </c>
      <c r="B1105" s="14">
        <f>AVERAGE(B444:B455)</f>
        <v>77.301041666666677</v>
      </c>
      <c r="C1105" s="14">
        <f>AVERAGE(C444:C455)</f>
        <v>76.86880833333332</v>
      </c>
      <c r="D1105" s="14"/>
      <c r="E1105" s="14">
        <f t="shared" ref="E1105:K1105" si="37">AVERAGE(E444:E455)</f>
        <v>76.732141666666664</v>
      </c>
      <c r="F1105" s="14">
        <f t="shared" si="37"/>
        <v>76.732141666666664</v>
      </c>
      <c r="G1105" s="14">
        <f t="shared" si="37"/>
        <v>77.003533333333351</v>
      </c>
      <c r="H1105" s="14">
        <f t="shared" si="37"/>
        <v>76.86880833333332</v>
      </c>
      <c r="I1105" s="14">
        <f t="shared" si="37"/>
        <v>76.86880833333332</v>
      </c>
      <c r="J1105" s="14">
        <f t="shared" si="37"/>
        <v>76.86880833333332</v>
      </c>
      <c r="K1105" s="14">
        <f t="shared" si="37"/>
        <v>76.86880833333332</v>
      </c>
      <c r="L1105" s="14"/>
    </row>
    <row r="1106" spans="1:12" ht="15" x14ac:dyDescent="0.2">
      <c r="A1106" s="10">
        <f t="shared" si="25"/>
        <v>2050</v>
      </c>
      <c r="B1106" s="14">
        <f>AVERAGE(B456:B467)</f>
        <v>78.687233333333339</v>
      </c>
      <c r="C1106" s="14">
        <f>AVERAGE(C456:C467)</f>
        <v>78.254991666666669</v>
      </c>
      <c r="D1106" s="14"/>
      <c r="E1106" s="14">
        <f t="shared" ref="E1106:K1106" si="38">AVERAGE(E456:E467)</f>
        <v>78.118316666666672</v>
      </c>
      <c r="F1106" s="14">
        <f t="shared" si="38"/>
        <v>78.118316666666672</v>
      </c>
      <c r="G1106" s="14">
        <f t="shared" si="38"/>
        <v>78.389699999999991</v>
      </c>
      <c r="H1106" s="14">
        <f t="shared" si="38"/>
        <v>78.254991666666669</v>
      </c>
      <c r="I1106" s="14">
        <f t="shared" si="38"/>
        <v>78.254991666666669</v>
      </c>
      <c r="J1106" s="14">
        <f t="shared" si="38"/>
        <v>78.254991666666669</v>
      </c>
      <c r="K1106" s="14">
        <f t="shared" si="38"/>
        <v>78.254991666666669</v>
      </c>
      <c r="L1106" s="14"/>
    </row>
    <row r="1107" spans="1:12" ht="15" x14ac:dyDescent="0.2">
      <c r="A1107" s="10">
        <f t="shared" si="25"/>
        <v>2051</v>
      </c>
      <c r="B1107" s="14">
        <f>AVERAGE(B468:B479)</f>
        <v>80.099024999999997</v>
      </c>
      <c r="C1107" s="14">
        <f>AVERAGE(C468:C479)</f>
        <v>79.666791666666668</v>
      </c>
      <c r="D1107" s="14"/>
      <c r="E1107" s="14">
        <f t="shared" ref="E1107:K1107" si="39">AVERAGE(E468:E479)</f>
        <v>79.530125000000012</v>
      </c>
      <c r="F1107" s="14">
        <f t="shared" si="39"/>
        <v>79.530125000000012</v>
      </c>
      <c r="G1107" s="14">
        <f t="shared" si="39"/>
        <v>79.801500000000004</v>
      </c>
      <c r="H1107" s="14">
        <f t="shared" si="39"/>
        <v>79.666791666666668</v>
      </c>
      <c r="I1107" s="14">
        <f t="shared" si="39"/>
        <v>79.666791666666668</v>
      </c>
      <c r="J1107" s="14">
        <f t="shared" si="39"/>
        <v>79.666791666666668</v>
      </c>
      <c r="K1107" s="14">
        <f t="shared" si="39"/>
        <v>79.666791666666668</v>
      </c>
      <c r="L1107" s="14"/>
    </row>
    <row r="1108" spans="1:12" ht="15" x14ac:dyDescent="0.2">
      <c r="A1108" s="10">
        <f t="shared" si="25"/>
        <v>2052</v>
      </c>
      <c r="B1108" s="14">
        <f>AVERAGE(B480:B491)</f>
        <v>81.536908333333329</v>
      </c>
      <c r="C1108" s="14">
        <f>AVERAGE(C480:C491)</f>
        <v>81.104666666666674</v>
      </c>
      <c r="D1108" s="14"/>
      <c r="E1108" s="14">
        <f t="shared" ref="E1108:K1108" si="40">AVERAGE(E480:E491)</f>
        <v>80.968000000000004</v>
      </c>
      <c r="F1108" s="14">
        <f t="shared" si="40"/>
        <v>80.968000000000004</v>
      </c>
      <c r="G1108" s="14">
        <f t="shared" si="40"/>
        <v>81.239383333333322</v>
      </c>
      <c r="H1108" s="14">
        <f t="shared" si="40"/>
        <v>81.104666666666674</v>
      </c>
      <c r="I1108" s="14">
        <f t="shared" si="40"/>
        <v>81.104666666666674</v>
      </c>
      <c r="J1108" s="14">
        <f t="shared" si="40"/>
        <v>81.104666666666674</v>
      </c>
      <c r="K1108" s="14">
        <f t="shared" si="40"/>
        <v>81.104666666666674</v>
      </c>
      <c r="L1108" s="14"/>
    </row>
    <row r="1109" spans="1:12" ht="15" x14ac:dyDescent="0.2">
      <c r="A1109" s="10">
        <f t="shared" si="25"/>
        <v>2053</v>
      </c>
      <c r="B1109" s="14">
        <f>AVERAGE(B492:B503)</f>
        <v>83.001366666666655</v>
      </c>
      <c r="C1109" s="14">
        <f>AVERAGE(C492:C503)</f>
        <v>82.56913333333334</v>
      </c>
      <c r="D1109" s="14"/>
      <c r="E1109" s="14">
        <f t="shared" ref="E1109:K1109" si="41">AVERAGE(E492:E503)</f>
        <v>82.43246666666667</v>
      </c>
      <c r="F1109" s="14">
        <f t="shared" si="41"/>
        <v>82.43246666666667</v>
      </c>
      <c r="G1109" s="14">
        <f t="shared" si="41"/>
        <v>82.703841666666662</v>
      </c>
      <c r="H1109" s="14">
        <f t="shared" si="41"/>
        <v>82.56913333333334</v>
      </c>
      <c r="I1109" s="14">
        <f t="shared" si="41"/>
        <v>82.56913333333334</v>
      </c>
      <c r="J1109" s="14">
        <f t="shared" si="41"/>
        <v>82.56913333333334</v>
      </c>
      <c r="K1109" s="14">
        <f t="shared" si="41"/>
        <v>82.56913333333334</v>
      </c>
      <c r="L1109" s="14"/>
    </row>
    <row r="1110" spans="1:12" ht="15" x14ac:dyDescent="0.2">
      <c r="A1110" s="10">
        <f t="shared" si="25"/>
        <v>2054</v>
      </c>
      <c r="B1110" s="14">
        <f>AVERAGE(B504:B515)</f>
        <v>84.492891666666665</v>
      </c>
      <c r="C1110" s="14">
        <f>AVERAGE(C504:C515)</f>
        <v>84.060658333333336</v>
      </c>
      <c r="D1110" s="14"/>
      <c r="E1110" s="14">
        <f t="shared" ref="E1110:K1110" si="42">AVERAGE(E504:E515)</f>
        <v>83.923983333333339</v>
      </c>
      <c r="F1110" s="14">
        <f t="shared" si="42"/>
        <v>83.923983333333339</v>
      </c>
      <c r="G1110" s="14">
        <f t="shared" si="42"/>
        <v>84.195366666666658</v>
      </c>
      <c r="H1110" s="14">
        <f t="shared" si="42"/>
        <v>84.060658333333336</v>
      </c>
      <c r="I1110" s="14">
        <f t="shared" si="42"/>
        <v>84.060658333333336</v>
      </c>
      <c r="J1110" s="14">
        <f t="shared" si="42"/>
        <v>84.060658333333336</v>
      </c>
      <c r="K1110" s="14">
        <f t="shared" si="42"/>
        <v>84.060658333333336</v>
      </c>
      <c r="L1110" s="14"/>
    </row>
    <row r="1111" spans="1:12" ht="15" x14ac:dyDescent="0.2">
      <c r="A1111" s="10">
        <f t="shared" si="25"/>
        <v>2055</v>
      </c>
      <c r="B1111" s="14">
        <f>AVERAGE(B516:B527)</f>
        <v>86.011983333333333</v>
      </c>
      <c r="C1111" s="14">
        <f>AVERAGE(C516:C527)</f>
        <v>85.57974999999999</v>
      </c>
      <c r="D1111" s="14"/>
      <c r="E1111" s="14">
        <f t="shared" ref="E1111:K1111" si="43">AVERAGE(E516:E527)</f>
        <v>85.443075000000007</v>
      </c>
      <c r="F1111" s="14">
        <f t="shared" si="43"/>
        <v>85.443075000000007</v>
      </c>
      <c r="G1111" s="14">
        <f t="shared" si="43"/>
        <v>85.714449999999999</v>
      </c>
      <c r="H1111" s="14">
        <f t="shared" si="43"/>
        <v>85.57974999999999</v>
      </c>
      <c r="I1111" s="14">
        <f t="shared" si="43"/>
        <v>85.57974999999999</v>
      </c>
      <c r="J1111" s="14">
        <f t="shared" si="43"/>
        <v>85.57974999999999</v>
      </c>
      <c r="K1111" s="14">
        <f t="shared" si="43"/>
        <v>85.57974999999999</v>
      </c>
      <c r="L1111" s="14"/>
    </row>
    <row r="1112" spans="1:12" ht="15" x14ac:dyDescent="0.2">
      <c r="A1112" s="10">
        <f t="shared" si="25"/>
        <v>2056</v>
      </c>
      <c r="B1112" s="14">
        <f>AVERAGE(B528:B539)</f>
        <v>87.559150000000002</v>
      </c>
      <c r="C1112" s="14">
        <f>AVERAGE(C528:C539)</f>
        <v>87.126908333333333</v>
      </c>
      <c r="D1112" s="14"/>
      <c r="E1112" s="14">
        <f t="shared" ref="E1112:K1112" si="44">AVERAGE(E528:E539)</f>
        <v>86.990250000000003</v>
      </c>
      <c r="F1112" s="14">
        <f t="shared" si="44"/>
        <v>86.990250000000003</v>
      </c>
      <c r="G1112" s="14">
        <f t="shared" si="44"/>
        <v>87.261633333333336</v>
      </c>
      <c r="H1112" s="14">
        <f t="shared" si="44"/>
        <v>87.126908333333333</v>
      </c>
      <c r="I1112" s="14">
        <f t="shared" si="44"/>
        <v>87.126908333333333</v>
      </c>
      <c r="J1112" s="14">
        <f t="shared" si="44"/>
        <v>87.126908333333333</v>
      </c>
      <c r="K1112" s="14">
        <f t="shared" si="44"/>
        <v>87.126908333333333</v>
      </c>
      <c r="L1112" s="14"/>
    </row>
    <row r="1113" spans="1:12" ht="15" x14ac:dyDescent="0.2">
      <c r="A1113" s="10">
        <f t="shared" si="25"/>
        <v>2057</v>
      </c>
      <c r="B1113" s="14">
        <f>AVERAGE(B540:B551)</f>
        <v>89.134916666666655</v>
      </c>
      <c r="C1113" s="14">
        <f>AVERAGE(C540:C551)</f>
        <v>88.702650000000006</v>
      </c>
      <c r="D1113" s="14"/>
      <c r="E1113" s="14">
        <f t="shared" ref="E1113:K1113" si="45">AVERAGE(E540:E551)</f>
        <v>88.566008333333343</v>
      </c>
      <c r="F1113" s="14">
        <f t="shared" si="45"/>
        <v>88.566008333333343</v>
      </c>
      <c r="G1113" s="14">
        <f t="shared" si="45"/>
        <v>88.837391666666676</v>
      </c>
      <c r="H1113" s="14">
        <f t="shared" si="45"/>
        <v>88.702650000000006</v>
      </c>
      <c r="I1113" s="14">
        <f t="shared" si="45"/>
        <v>88.702650000000006</v>
      </c>
      <c r="J1113" s="14">
        <f t="shared" si="45"/>
        <v>88.702650000000006</v>
      </c>
      <c r="K1113" s="14">
        <f t="shared" si="45"/>
        <v>88.702650000000006</v>
      </c>
      <c r="L1113" s="14"/>
    </row>
    <row r="1114" spans="1:12" ht="15" x14ac:dyDescent="0.2">
      <c r="A1114" s="10">
        <f t="shared" si="25"/>
        <v>2058</v>
      </c>
      <c r="B1114" s="14">
        <f>AVERAGE(B552:B563)</f>
        <v>90.739791666666648</v>
      </c>
      <c r="C1114" s="14">
        <f>AVERAGE(C552:C563)</f>
        <v>90.307541666666665</v>
      </c>
      <c r="D1114" s="14"/>
      <c r="E1114" s="14">
        <f t="shared" ref="E1114:K1114" si="46">AVERAGE(E552:E563)</f>
        <v>90.170874999999981</v>
      </c>
      <c r="F1114" s="14">
        <f t="shared" si="46"/>
        <v>90.170874999999981</v>
      </c>
      <c r="G1114" s="14">
        <f t="shared" si="46"/>
        <v>90.442266666666683</v>
      </c>
      <c r="H1114" s="14">
        <f t="shared" si="46"/>
        <v>90.307541666666665</v>
      </c>
      <c r="I1114" s="14">
        <f t="shared" si="46"/>
        <v>90.307541666666665</v>
      </c>
      <c r="J1114" s="14">
        <f t="shared" si="46"/>
        <v>90.307541666666665</v>
      </c>
      <c r="K1114" s="14">
        <f t="shared" si="46"/>
        <v>90.307541666666665</v>
      </c>
      <c r="L1114" s="14"/>
    </row>
    <row r="1115" spans="1:12" ht="15" x14ac:dyDescent="0.2">
      <c r="A1115" s="10">
        <f t="shared" si="25"/>
        <v>2059</v>
      </c>
      <c r="B1115" s="14">
        <f>AVERAGE(B564:B575)</f>
        <v>92.374324999999999</v>
      </c>
      <c r="C1115" s="14">
        <f>AVERAGE(C564:C575)</f>
        <v>91.942066666666676</v>
      </c>
      <c r="D1115" s="14"/>
      <c r="E1115" s="14">
        <f t="shared" ref="E1115:K1115" si="47">AVERAGE(E564:E575)</f>
        <v>91.805416666666659</v>
      </c>
      <c r="F1115" s="14">
        <f t="shared" si="47"/>
        <v>91.805416666666659</v>
      </c>
      <c r="G1115" s="14">
        <f t="shared" si="47"/>
        <v>92.076783333333324</v>
      </c>
      <c r="H1115" s="14">
        <f t="shared" si="47"/>
        <v>91.942066666666676</v>
      </c>
      <c r="I1115" s="14">
        <f t="shared" si="47"/>
        <v>91.942066666666676</v>
      </c>
      <c r="J1115" s="14">
        <f t="shared" si="47"/>
        <v>91.942066666666676</v>
      </c>
      <c r="K1115" s="14">
        <f t="shared" si="47"/>
        <v>91.942066666666676</v>
      </c>
      <c r="L1115" s="14"/>
    </row>
    <row r="1116" spans="1:12" ht="15" x14ac:dyDescent="0.2">
      <c r="A1116" s="10">
        <f t="shared" si="25"/>
        <v>2060</v>
      </c>
      <c r="B1116" s="14">
        <f>AVERAGE(B576:B587)</f>
        <v>94.039083333333338</v>
      </c>
      <c r="C1116" s="14">
        <f>AVERAGE(C576:C587)</f>
        <v>93.606808333333333</v>
      </c>
      <c r="D1116" s="14"/>
      <c r="E1116" s="14">
        <f t="shared" ref="E1116:K1116" si="48">AVERAGE(E576:E587)</f>
        <v>93.470158333333316</v>
      </c>
      <c r="F1116" s="14">
        <f t="shared" si="48"/>
        <v>93.470158333333316</v>
      </c>
      <c r="G1116" s="14">
        <f t="shared" si="48"/>
        <v>93.741524999999982</v>
      </c>
      <c r="H1116" s="14">
        <f t="shared" si="48"/>
        <v>93.606808333333333</v>
      </c>
      <c r="I1116" s="14">
        <f t="shared" si="48"/>
        <v>93.606808333333333</v>
      </c>
      <c r="J1116" s="14">
        <f t="shared" si="48"/>
        <v>93.606808333333333</v>
      </c>
      <c r="K1116" s="14">
        <f t="shared" si="48"/>
        <v>93.606808333333333</v>
      </c>
      <c r="L1116" s="14"/>
    </row>
    <row r="1117" spans="1:12" ht="15" x14ac:dyDescent="0.2">
      <c r="A1117" s="10">
        <f t="shared" si="25"/>
        <v>2061</v>
      </c>
      <c r="B1117" s="14">
        <f>AVERAGE(B588:B599)</f>
        <v>95.734583333333333</v>
      </c>
      <c r="C1117" s="14">
        <f>AVERAGE(C588:C599)</f>
        <v>95.302324999999996</v>
      </c>
      <c r="D1117" s="14"/>
      <c r="E1117" s="14">
        <f t="shared" ref="E1117:K1117" si="49">AVERAGE(E588:E599)</f>
        <v>95.165675000000007</v>
      </c>
      <c r="F1117" s="14">
        <f t="shared" si="49"/>
        <v>95.165675000000007</v>
      </c>
      <c r="G1117" s="14">
        <f t="shared" si="49"/>
        <v>95.437041666666673</v>
      </c>
      <c r="H1117" s="14">
        <f t="shared" si="49"/>
        <v>95.302324999999996</v>
      </c>
      <c r="I1117" s="14">
        <f t="shared" si="49"/>
        <v>95.302324999999996</v>
      </c>
      <c r="J1117" s="14">
        <f t="shared" si="49"/>
        <v>95.302324999999996</v>
      </c>
      <c r="K1117" s="14">
        <f t="shared" si="49"/>
        <v>95.302324999999996</v>
      </c>
      <c r="L1117" s="14"/>
    </row>
    <row r="1118" spans="1:12" ht="15" x14ac:dyDescent="0.2">
      <c r="A1118" s="10">
        <f t="shared" si="25"/>
        <v>2062</v>
      </c>
      <c r="B1118" s="14">
        <f t="shared" ref="B1118:C1137" ca="1" si="50">AVERAGE(OFFSET(B$600,($A1118-$A$1118)*12,0,12,1))</f>
        <v>97.461416666666665</v>
      </c>
      <c r="C1118" s="14">
        <f t="shared" ca="1" si="50"/>
        <v>97.029175000000009</v>
      </c>
      <c r="D1118" s="14"/>
      <c r="E1118" s="14">
        <f t="shared" ref="E1118:K1127" ca="1" si="51">AVERAGE(OFFSET(E$600,($A1118-$A$1118)*12,0,12,1))</f>
        <v>96.892499999999984</v>
      </c>
      <c r="F1118" s="14">
        <f t="shared" ca="1" si="51"/>
        <v>96.892499999999984</v>
      </c>
      <c r="G1118" s="14">
        <f t="shared" ca="1" si="51"/>
        <v>97.163875000000004</v>
      </c>
      <c r="H1118" s="14">
        <f t="shared" ca="1" si="51"/>
        <v>97.029175000000009</v>
      </c>
      <c r="I1118" s="14">
        <f t="shared" ca="1" si="51"/>
        <v>97.029175000000009</v>
      </c>
      <c r="J1118" s="14">
        <f t="shared" ca="1" si="51"/>
        <v>97.029175000000009</v>
      </c>
      <c r="K1118" s="14">
        <f t="shared" ca="1" si="51"/>
        <v>97.029175000000009</v>
      </c>
    </row>
    <row r="1119" spans="1:12" ht="15" x14ac:dyDescent="0.2">
      <c r="A1119" s="10">
        <f t="shared" si="25"/>
        <v>2063</v>
      </c>
      <c r="B1119" s="14">
        <f t="shared" ca="1" si="50"/>
        <v>99.22018333333331</v>
      </c>
      <c r="C1119" s="14">
        <f t="shared" ca="1" si="50"/>
        <v>98.787908333333334</v>
      </c>
      <c r="D1119" s="14"/>
      <c r="E1119" s="14">
        <f t="shared" ca="1" si="51"/>
        <v>98.651274999999998</v>
      </c>
      <c r="F1119" s="14">
        <f t="shared" ca="1" si="51"/>
        <v>98.651274999999998</v>
      </c>
      <c r="G1119" s="14">
        <f t="shared" ca="1" si="51"/>
        <v>98.922641666666664</v>
      </c>
      <c r="H1119" s="14">
        <f t="shared" ca="1" si="51"/>
        <v>98.787908333333334</v>
      </c>
      <c r="I1119" s="14">
        <f t="shared" ca="1" si="51"/>
        <v>98.787908333333334</v>
      </c>
      <c r="J1119" s="14">
        <f t="shared" ca="1" si="51"/>
        <v>98.787908333333334</v>
      </c>
      <c r="K1119" s="14">
        <f t="shared" ca="1" si="51"/>
        <v>98.787908333333334</v>
      </c>
    </row>
    <row r="1120" spans="1:12" ht="15" x14ac:dyDescent="0.2">
      <c r="A1120" s="10">
        <f t="shared" si="25"/>
        <v>2064</v>
      </c>
      <c r="B1120" s="14">
        <f t="shared" ca="1" si="50"/>
        <v>101.01144999999998</v>
      </c>
      <c r="C1120" s="14">
        <f t="shared" ca="1" si="50"/>
        <v>100.57918333333333</v>
      </c>
      <c r="D1120" s="14"/>
      <c r="E1120" s="14">
        <f t="shared" ca="1" si="51"/>
        <v>100.44253333333332</v>
      </c>
      <c r="F1120" s="14">
        <f t="shared" ca="1" si="51"/>
        <v>100.44253333333332</v>
      </c>
      <c r="G1120" s="14">
        <f t="shared" ca="1" si="51"/>
        <v>100.71389166666665</v>
      </c>
      <c r="H1120" s="14">
        <f t="shared" ca="1" si="51"/>
        <v>100.57918333333333</v>
      </c>
      <c r="I1120" s="14">
        <f t="shared" ca="1" si="51"/>
        <v>100.57918333333333</v>
      </c>
      <c r="J1120" s="14">
        <f t="shared" ca="1" si="51"/>
        <v>100.57918333333333</v>
      </c>
      <c r="K1120" s="14">
        <f t="shared" ca="1" si="51"/>
        <v>100.57918333333333</v>
      </c>
    </row>
    <row r="1121" spans="1:11" ht="15" x14ac:dyDescent="0.2">
      <c r="A1121" s="10">
        <f t="shared" si="25"/>
        <v>2065</v>
      </c>
      <c r="B1121" s="14">
        <f t="shared" ca="1" si="50"/>
        <v>102.83578333333332</v>
      </c>
      <c r="C1121" s="14">
        <f t="shared" ca="1" si="50"/>
        <v>102.40355</v>
      </c>
      <c r="D1121" s="14"/>
      <c r="E1121" s="14">
        <f t="shared" ca="1" si="51"/>
        <v>102.26687500000001</v>
      </c>
      <c r="F1121" s="14">
        <f t="shared" ca="1" si="51"/>
        <v>102.26687500000001</v>
      </c>
      <c r="G1121" s="14">
        <f t="shared" ca="1" si="51"/>
        <v>102.53825833333333</v>
      </c>
      <c r="H1121" s="14">
        <f t="shared" ca="1" si="51"/>
        <v>102.40355</v>
      </c>
      <c r="I1121" s="14">
        <f t="shared" ca="1" si="51"/>
        <v>102.40355</v>
      </c>
      <c r="J1121" s="14">
        <f t="shared" ca="1" si="51"/>
        <v>102.40355</v>
      </c>
      <c r="K1121" s="14">
        <f t="shared" ca="1" si="51"/>
        <v>102.40355</v>
      </c>
    </row>
    <row r="1122" spans="1:11" ht="15" x14ac:dyDescent="0.2">
      <c r="A1122" s="10">
        <f t="shared" si="25"/>
        <v>2066</v>
      </c>
      <c r="B1122" s="14">
        <f t="shared" ca="1" si="50"/>
        <v>104.69388333333332</v>
      </c>
      <c r="C1122" s="14">
        <f t="shared" ca="1" si="50"/>
        <v>104.26161666666667</v>
      </c>
      <c r="D1122" s="14"/>
      <c r="E1122" s="14">
        <f t="shared" ca="1" si="51"/>
        <v>104.12498333333332</v>
      </c>
      <c r="F1122" s="14">
        <f t="shared" ca="1" si="51"/>
        <v>104.12498333333332</v>
      </c>
      <c r="G1122" s="14">
        <f t="shared" ca="1" si="51"/>
        <v>104.39635833333334</v>
      </c>
      <c r="H1122" s="14">
        <f t="shared" ca="1" si="51"/>
        <v>104.26161666666667</v>
      </c>
      <c r="I1122" s="14">
        <f t="shared" ca="1" si="51"/>
        <v>104.26161666666667</v>
      </c>
      <c r="J1122" s="14">
        <f t="shared" ca="1" si="51"/>
        <v>104.26161666666667</v>
      </c>
      <c r="K1122" s="14">
        <f t="shared" ca="1" si="51"/>
        <v>104.26161666666667</v>
      </c>
    </row>
    <row r="1123" spans="1:11" ht="15" x14ac:dyDescent="0.2">
      <c r="A1123" s="10">
        <f t="shared" si="25"/>
        <v>2067</v>
      </c>
      <c r="B1123" s="14">
        <f t="shared" ca="1" si="50"/>
        <v>106.58629999999998</v>
      </c>
      <c r="C1123" s="14">
        <f t="shared" ca="1" si="50"/>
        <v>106.15404166666666</v>
      </c>
      <c r="D1123" s="14"/>
      <c r="E1123" s="14">
        <f t="shared" ca="1" si="51"/>
        <v>106.01739999999999</v>
      </c>
      <c r="F1123" s="14">
        <f t="shared" ca="1" si="51"/>
        <v>106.01739999999999</v>
      </c>
      <c r="G1123" s="14">
        <f t="shared" ca="1" si="51"/>
        <v>106.28875833333332</v>
      </c>
      <c r="H1123" s="14">
        <f t="shared" ca="1" si="51"/>
        <v>106.15404166666666</v>
      </c>
      <c r="I1123" s="14">
        <f t="shared" ca="1" si="51"/>
        <v>106.15404166666666</v>
      </c>
      <c r="J1123" s="14">
        <f t="shared" ca="1" si="51"/>
        <v>106.15404166666666</v>
      </c>
      <c r="K1123" s="14">
        <f t="shared" ca="1" si="51"/>
        <v>106.15404166666666</v>
      </c>
    </row>
    <row r="1124" spans="1:11" ht="15" x14ac:dyDescent="0.2">
      <c r="A1124" s="10">
        <f t="shared" si="25"/>
        <v>2068</v>
      </c>
      <c r="B1124" s="14">
        <f t="shared" ca="1" si="50"/>
        <v>108.51367499999998</v>
      </c>
      <c r="C1124" s="14">
        <f t="shared" ca="1" si="50"/>
        <v>108.08145</v>
      </c>
      <c r="D1124" s="14"/>
      <c r="E1124" s="14">
        <f t="shared" ca="1" si="51"/>
        <v>107.94477499999999</v>
      </c>
      <c r="F1124" s="14">
        <f t="shared" ca="1" si="51"/>
        <v>107.94477499999999</v>
      </c>
      <c r="G1124" s="14">
        <f t="shared" ca="1" si="51"/>
        <v>108.21616666666667</v>
      </c>
      <c r="H1124" s="14">
        <f t="shared" ca="1" si="51"/>
        <v>108.08145</v>
      </c>
      <c r="I1124" s="14">
        <f t="shared" ca="1" si="51"/>
        <v>108.08145</v>
      </c>
      <c r="J1124" s="14">
        <f t="shared" ca="1" si="51"/>
        <v>108.08145</v>
      </c>
      <c r="K1124" s="14">
        <f t="shared" ca="1" si="51"/>
        <v>108.08145</v>
      </c>
    </row>
    <row r="1125" spans="1:11" ht="15" x14ac:dyDescent="0.2">
      <c r="A1125" s="10">
        <f t="shared" si="25"/>
        <v>2069</v>
      </c>
      <c r="B1125" s="14">
        <f t="shared" ca="1" si="50"/>
        <v>110.47668333333336</v>
      </c>
      <c r="C1125" s="14">
        <f t="shared" ca="1" si="50"/>
        <v>110.04446666666668</v>
      </c>
      <c r="D1125" s="14"/>
      <c r="E1125" s="14">
        <f t="shared" ca="1" si="51"/>
        <v>109.90778333333334</v>
      </c>
      <c r="F1125" s="14">
        <f t="shared" ca="1" si="51"/>
        <v>109.90778333333334</v>
      </c>
      <c r="G1125" s="14">
        <f t="shared" ca="1" si="51"/>
        <v>110.17916666666666</v>
      </c>
      <c r="H1125" s="14">
        <f t="shared" ca="1" si="51"/>
        <v>110.04446666666668</v>
      </c>
      <c r="I1125" s="14">
        <f t="shared" ca="1" si="51"/>
        <v>110.04446666666668</v>
      </c>
      <c r="J1125" s="14">
        <f t="shared" ca="1" si="51"/>
        <v>110.04446666666668</v>
      </c>
      <c r="K1125" s="14">
        <f t="shared" ca="1" si="51"/>
        <v>110.04446666666668</v>
      </c>
    </row>
    <row r="1126" spans="1:11" ht="15" x14ac:dyDescent="0.2">
      <c r="A1126" s="10">
        <f t="shared" ref="A1126:A1156" si="52">A1125+1</f>
        <v>2070</v>
      </c>
      <c r="B1126" s="14">
        <f t="shared" ca="1" si="50"/>
        <v>112.47599166666667</v>
      </c>
      <c r="C1126" s="14">
        <f t="shared" ca="1" si="50"/>
        <v>112.04374166666666</v>
      </c>
      <c r="D1126" s="14"/>
      <c r="E1126" s="14">
        <f t="shared" ca="1" si="51"/>
        <v>111.90709166666669</v>
      </c>
      <c r="F1126" s="14">
        <f t="shared" ca="1" si="51"/>
        <v>111.90709166666669</v>
      </c>
      <c r="G1126" s="14">
        <f t="shared" ca="1" si="51"/>
        <v>112.17845</v>
      </c>
      <c r="H1126" s="14">
        <f t="shared" ca="1" si="51"/>
        <v>112.04374166666666</v>
      </c>
      <c r="I1126" s="14">
        <f t="shared" ca="1" si="51"/>
        <v>112.04374166666666</v>
      </c>
      <c r="J1126" s="14">
        <f t="shared" ca="1" si="51"/>
        <v>112.04374166666666</v>
      </c>
      <c r="K1126" s="14">
        <f t="shared" ca="1" si="51"/>
        <v>112.04374166666666</v>
      </c>
    </row>
    <row r="1127" spans="1:11" ht="15" x14ac:dyDescent="0.2">
      <c r="A1127" s="10">
        <f t="shared" si="52"/>
        <v>2071</v>
      </c>
      <c r="B1127" s="14">
        <f t="shared" ca="1" si="50"/>
        <v>114.51222499999999</v>
      </c>
      <c r="C1127" s="14">
        <f t="shared" ca="1" si="50"/>
        <v>114.07997499999999</v>
      </c>
      <c r="D1127" s="14"/>
      <c r="E1127" s="14">
        <f t="shared" ca="1" si="51"/>
        <v>113.943325</v>
      </c>
      <c r="F1127" s="14">
        <f t="shared" ca="1" si="51"/>
        <v>113.943325</v>
      </c>
      <c r="G1127" s="14">
        <f t="shared" ca="1" si="51"/>
        <v>114.21468333333335</v>
      </c>
      <c r="H1127" s="14">
        <f t="shared" ca="1" si="51"/>
        <v>114.07997499999999</v>
      </c>
      <c r="I1127" s="14">
        <f t="shared" ca="1" si="51"/>
        <v>114.07997499999999</v>
      </c>
      <c r="J1127" s="14">
        <f t="shared" ca="1" si="51"/>
        <v>114.07997499999999</v>
      </c>
      <c r="K1127" s="14">
        <f t="shared" ca="1" si="51"/>
        <v>114.07997499999999</v>
      </c>
    </row>
    <row r="1128" spans="1:11" ht="15" x14ac:dyDescent="0.2">
      <c r="A1128" s="10">
        <f t="shared" si="52"/>
        <v>2072</v>
      </c>
      <c r="B1128" s="14">
        <f t="shared" ca="1" si="50"/>
        <v>116.58609166666663</v>
      </c>
      <c r="C1128" s="14">
        <f t="shared" ca="1" si="50"/>
        <v>116.15385833333333</v>
      </c>
      <c r="D1128" s="14"/>
      <c r="E1128" s="14">
        <f t="shared" ref="E1128:K1137" ca="1" si="53">AVERAGE(OFFSET(E$600,($A1128-$A$1118)*12,0,12,1))</f>
        <v>116.01718333333332</v>
      </c>
      <c r="F1128" s="14">
        <f t="shared" ca="1" si="53"/>
        <v>116.01718333333332</v>
      </c>
      <c r="G1128" s="14">
        <f t="shared" ca="1" si="53"/>
        <v>116.28855833333331</v>
      </c>
      <c r="H1128" s="14">
        <f t="shared" ca="1" si="53"/>
        <v>116.15385833333333</v>
      </c>
      <c r="I1128" s="14">
        <f t="shared" ca="1" si="53"/>
        <v>116.15385833333333</v>
      </c>
      <c r="J1128" s="14">
        <f t="shared" ca="1" si="53"/>
        <v>116.15385833333333</v>
      </c>
      <c r="K1128" s="14">
        <f t="shared" ca="1" si="53"/>
        <v>116.15385833333333</v>
      </c>
    </row>
    <row r="1129" spans="1:11" ht="15" x14ac:dyDescent="0.2">
      <c r="A1129" s="10">
        <f t="shared" si="52"/>
        <v>2073</v>
      </c>
      <c r="B1129" s="14">
        <f t="shared" ca="1" si="50"/>
        <v>118.69828333333334</v>
      </c>
      <c r="C1129" s="14">
        <f t="shared" ca="1" si="50"/>
        <v>118.26604166666665</v>
      </c>
      <c r="D1129" s="14"/>
      <c r="E1129" s="14">
        <f t="shared" ca="1" si="53"/>
        <v>118.12938333333334</v>
      </c>
      <c r="F1129" s="14">
        <f t="shared" ca="1" si="53"/>
        <v>118.12938333333334</v>
      </c>
      <c r="G1129" s="14">
        <f t="shared" ca="1" si="53"/>
        <v>118.40076666666668</v>
      </c>
      <c r="H1129" s="14">
        <f t="shared" ca="1" si="53"/>
        <v>118.26604166666665</v>
      </c>
      <c r="I1129" s="14">
        <f t="shared" ca="1" si="53"/>
        <v>118.26604166666665</v>
      </c>
      <c r="J1129" s="14">
        <f t="shared" ca="1" si="53"/>
        <v>118.26604166666665</v>
      </c>
      <c r="K1129" s="14">
        <f t="shared" ca="1" si="53"/>
        <v>118.26604166666665</v>
      </c>
    </row>
    <row r="1130" spans="1:11" ht="15" x14ac:dyDescent="0.2">
      <c r="A1130" s="10">
        <f t="shared" si="52"/>
        <v>2074</v>
      </c>
      <c r="B1130" s="14">
        <f t="shared" ca="1" si="50"/>
        <v>120.84951666666667</v>
      </c>
      <c r="C1130" s="14">
        <f t="shared" ca="1" si="50"/>
        <v>120.417275</v>
      </c>
      <c r="D1130" s="14"/>
      <c r="E1130" s="14">
        <f t="shared" ca="1" si="53"/>
        <v>120.28060833333336</v>
      </c>
      <c r="F1130" s="14">
        <f t="shared" ca="1" si="53"/>
        <v>120.28060833333336</v>
      </c>
      <c r="G1130" s="14">
        <f t="shared" ca="1" si="53"/>
        <v>120.55197500000001</v>
      </c>
      <c r="H1130" s="14">
        <f t="shared" ca="1" si="53"/>
        <v>120.417275</v>
      </c>
      <c r="I1130" s="14">
        <f t="shared" ca="1" si="53"/>
        <v>120.417275</v>
      </c>
      <c r="J1130" s="14">
        <f t="shared" ca="1" si="53"/>
        <v>120.417275</v>
      </c>
      <c r="K1130" s="14">
        <f t="shared" ca="1" si="53"/>
        <v>120.417275</v>
      </c>
    </row>
    <row r="1131" spans="1:11" ht="15" x14ac:dyDescent="0.2">
      <c r="A1131" s="10">
        <f t="shared" si="52"/>
        <v>2075</v>
      </c>
      <c r="B1131" s="14">
        <f t="shared" ca="1" si="50"/>
        <v>123.04050833333336</v>
      </c>
      <c r="C1131" s="14">
        <f t="shared" ca="1" si="50"/>
        <v>122.60825833333331</v>
      </c>
      <c r="D1131" s="14"/>
      <c r="E1131" s="14">
        <f t="shared" ca="1" si="53"/>
        <v>122.47159166666665</v>
      </c>
      <c r="F1131" s="14">
        <f t="shared" ca="1" si="53"/>
        <v>122.47159166666665</v>
      </c>
      <c r="G1131" s="14">
        <f t="shared" ca="1" si="53"/>
        <v>122.74296666666667</v>
      </c>
      <c r="H1131" s="14">
        <f t="shared" ca="1" si="53"/>
        <v>122.60825833333331</v>
      </c>
      <c r="I1131" s="14">
        <f t="shared" ca="1" si="53"/>
        <v>122.60825833333331</v>
      </c>
      <c r="J1131" s="14">
        <f t="shared" ca="1" si="53"/>
        <v>122.60825833333331</v>
      </c>
      <c r="K1131" s="14">
        <f t="shared" ca="1" si="53"/>
        <v>122.60825833333331</v>
      </c>
    </row>
    <row r="1132" spans="1:11" ht="15" x14ac:dyDescent="0.2">
      <c r="A1132" s="10">
        <f t="shared" si="52"/>
        <v>2076</v>
      </c>
      <c r="B1132" s="14">
        <f t="shared" ca="1" si="50"/>
        <v>125.27197500000001</v>
      </c>
      <c r="C1132" s="14">
        <f t="shared" ca="1" si="50"/>
        <v>124.83974166666667</v>
      </c>
      <c r="D1132" s="14"/>
      <c r="E1132" s="14">
        <f t="shared" ca="1" si="53"/>
        <v>124.70307500000001</v>
      </c>
      <c r="F1132" s="14">
        <f t="shared" ca="1" si="53"/>
        <v>124.70307500000001</v>
      </c>
      <c r="G1132" s="14">
        <f t="shared" ca="1" si="53"/>
        <v>124.97445833333335</v>
      </c>
      <c r="H1132" s="14">
        <f t="shared" ca="1" si="53"/>
        <v>124.83974166666667</v>
      </c>
      <c r="I1132" s="14">
        <f t="shared" ca="1" si="53"/>
        <v>124.83974166666667</v>
      </c>
      <c r="J1132" s="14">
        <f t="shared" ca="1" si="53"/>
        <v>124.83974166666667</v>
      </c>
      <c r="K1132" s="14">
        <f t="shared" ca="1" si="53"/>
        <v>124.83974166666667</v>
      </c>
    </row>
    <row r="1133" spans="1:11" ht="15" x14ac:dyDescent="0.2">
      <c r="A1133" s="10">
        <f t="shared" si="52"/>
        <v>2077</v>
      </c>
      <c r="B1133" s="14">
        <f t="shared" ca="1" si="50"/>
        <v>127.54470000000002</v>
      </c>
      <c r="C1133" s="14">
        <f t="shared" ca="1" si="50"/>
        <v>127.11244166666664</v>
      </c>
      <c r="D1133" s="14"/>
      <c r="E1133" s="14">
        <f t="shared" ca="1" si="53"/>
        <v>126.97580000000001</v>
      </c>
      <c r="F1133" s="14">
        <f t="shared" ca="1" si="53"/>
        <v>126.97580000000001</v>
      </c>
      <c r="G1133" s="14">
        <f t="shared" ca="1" si="53"/>
        <v>127.24717499999998</v>
      </c>
      <c r="H1133" s="14">
        <f t="shared" ca="1" si="53"/>
        <v>127.11244166666664</v>
      </c>
      <c r="I1133" s="14">
        <f t="shared" ca="1" si="53"/>
        <v>127.11244166666664</v>
      </c>
      <c r="J1133" s="14">
        <f t="shared" ca="1" si="53"/>
        <v>127.11244166666664</v>
      </c>
      <c r="K1133" s="14">
        <f t="shared" ca="1" si="53"/>
        <v>127.11244166666664</v>
      </c>
    </row>
    <row r="1134" spans="1:11" ht="15" x14ac:dyDescent="0.2">
      <c r="A1134" s="10">
        <f t="shared" si="52"/>
        <v>2078</v>
      </c>
      <c r="B1134" s="14">
        <f t="shared" ca="1" si="50"/>
        <v>129.85941666666668</v>
      </c>
      <c r="C1134" s="14">
        <f t="shared" ca="1" si="50"/>
        <v>129.42716666666669</v>
      </c>
      <c r="D1134" s="14"/>
      <c r="E1134" s="14">
        <f t="shared" ca="1" si="53"/>
        <v>129.29051666666666</v>
      </c>
      <c r="F1134" s="14">
        <f t="shared" ca="1" si="53"/>
        <v>129.29051666666666</v>
      </c>
      <c r="G1134" s="14">
        <f t="shared" ca="1" si="53"/>
        <v>129.56190000000001</v>
      </c>
      <c r="H1134" s="14">
        <f t="shared" ca="1" si="53"/>
        <v>129.42716666666669</v>
      </c>
      <c r="I1134" s="14">
        <f t="shared" ca="1" si="53"/>
        <v>129.42716666666669</v>
      </c>
      <c r="J1134" s="14">
        <f t="shared" ca="1" si="53"/>
        <v>129.42716666666669</v>
      </c>
      <c r="K1134" s="14">
        <f t="shared" ca="1" si="53"/>
        <v>129.42716666666669</v>
      </c>
    </row>
    <row r="1135" spans="1:11" ht="15" x14ac:dyDescent="0.2">
      <c r="A1135" s="10">
        <f t="shared" si="52"/>
        <v>2079</v>
      </c>
      <c r="B1135" s="14">
        <f t="shared" ca="1" si="50"/>
        <v>132.21692499999997</v>
      </c>
      <c r="C1135" s="14">
        <f t="shared" ca="1" si="50"/>
        <v>131.78465833333334</v>
      </c>
      <c r="D1135" s="14"/>
      <c r="E1135" s="14">
        <f t="shared" ca="1" si="53"/>
        <v>131.64800833333334</v>
      </c>
      <c r="F1135" s="14">
        <f t="shared" ca="1" si="53"/>
        <v>131.64800833333334</v>
      </c>
      <c r="G1135" s="14">
        <f t="shared" ca="1" si="53"/>
        <v>131.91937500000003</v>
      </c>
      <c r="H1135" s="14">
        <f t="shared" ca="1" si="53"/>
        <v>131.78465833333334</v>
      </c>
      <c r="I1135" s="14">
        <f t="shared" ca="1" si="53"/>
        <v>131.78465833333334</v>
      </c>
      <c r="J1135" s="14">
        <f t="shared" ca="1" si="53"/>
        <v>131.78465833333334</v>
      </c>
      <c r="K1135" s="14">
        <f t="shared" ca="1" si="53"/>
        <v>131.78465833333334</v>
      </c>
    </row>
    <row r="1136" spans="1:11" ht="15" x14ac:dyDescent="0.2">
      <c r="A1136" s="10">
        <f t="shared" si="52"/>
        <v>2080</v>
      </c>
      <c r="B1136" s="14">
        <f t="shared" ca="1" si="50"/>
        <v>134.61798333333334</v>
      </c>
      <c r="C1136" s="14">
        <f t="shared" ca="1" si="50"/>
        <v>134.18572500000002</v>
      </c>
      <c r="D1136" s="14"/>
      <c r="E1136" s="14">
        <f t="shared" ca="1" si="53"/>
        <v>134.04907500000002</v>
      </c>
      <c r="F1136" s="14">
        <f t="shared" ca="1" si="53"/>
        <v>134.04907500000002</v>
      </c>
      <c r="G1136" s="14">
        <f t="shared" ca="1" si="53"/>
        <v>134.32043333333334</v>
      </c>
      <c r="H1136" s="14">
        <f t="shared" ca="1" si="53"/>
        <v>134.18572500000002</v>
      </c>
      <c r="I1136" s="14">
        <f t="shared" ca="1" si="53"/>
        <v>134.18572500000002</v>
      </c>
      <c r="J1136" s="14">
        <f t="shared" ca="1" si="53"/>
        <v>134.18572500000002</v>
      </c>
      <c r="K1136" s="14">
        <f t="shared" ca="1" si="53"/>
        <v>134.18572500000002</v>
      </c>
    </row>
    <row r="1137" spans="1:11" ht="15" x14ac:dyDescent="0.2">
      <c r="A1137" s="10">
        <f t="shared" si="52"/>
        <v>2081</v>
      </c>
      <c r="B1137" s="14">
        <f t="shared" ca="1" si="50"/>
        <v>137.06340833333334</v>
      </c>
      <c r="C1137" s="14">
        <f t="shared" ca="1" si="50"/>
        <v>136.63117500000001</v>
      </c>
      <c r="D1137" s="14"/>
      <c r="E1137" s="14">
        <f t="shared" ca="1" si="53"/>
        <v>136.49450833333336</v>
      </c>
      <c r="F1137" s="14">
        <f t="shared" ca="1" si="53"/>
        <v>136.49450833333336</v>
      </c>
      <c r="G1137" s="14">
        <f t="shared" ca="1" si="53"/>
        <v>136.76588333333333</v>
      </c>
      <c r="H1137" s="14">
        <f t="shared" ca="1" si="53"/>
        <v>136.63117500000001</v>
      </c>
      <c r="I1137" s="14">
        <f t="shared" ca="1" si="53"/>
        <v>136.63117500000001</v>
      </c>
      <c r="J1137" s="14">
        <f t="shared" ca="1" si="53"/>
        <v>136.63117500000001</v>
      </c>
      <c r="K1137" s="14">
        <f t="shared" ca="1" si="53"/>
        <v>136.63117500000001</v>
      </c>
    </row>
    <row r="1138" spans="1:11" ht="15" x14ac:dyDescent="0.2">
      <c r="A1138" s="10">
        <f t="shared" si="52"/>
        <v>2082</v>
      </c>
      <c r="B1138" s="14">
        <f t="shared" ref="B1138:C1156" ca="1" si="54">AVERAGE(OFFSET(B$600,($A1138-$A$1118)*12,0,12,1))</f>
        <v>139.55404166666668</v>
      </c>
      <c r="C1138" s="14">
        <f t="shared" ca="1" si="54"/>
        <v>139.12181666666666</v>
      </c>
      <c r="D1138" s="14"/>
      <c r="E1138" s="14">
        <f t="shared" ref="E1138:K1147" ca="1" si="55">AVERAGE(OFFSET(E$600,($A1138-$A$1118)*12,0,12,1))</f>
        <v>138.98514166666666</v>
      </c>
      <c r="F1138" s="14">
        <f t="shared" ca="1" si="55"/>
        <v>138.98514166666666</v>
      </c>
      <c r="G1138" s="14">
        <f t="shared" ca="1" si="55"/>
        <v>139.25652500000001</v>
      </c>
      <c r="H1138" s="14">
        <f t="shared" ca="1" si="55"/>
        <v>139.12181666666666</v>
      </c>
      <c r="I1138" s="14">
        <f t="shared" ca="1" si="55"/>
        <v>139.12181666666666</v>
      </c>
      <c r="J1138" s="14">
        <f t="shared" ca="1" si="55"/>
        <v>139.12181666666666</v>
      </c>
      <c r="K1138" s="14">
        <f t="shared" ca="1" si="55"/>
        <v>139.12181666666666</v>
      </c>
    </row>
    <row r="1139" spans="1:11" ht="15" x14ac:dyDescent="0.2">
      <c r="A1139" s="10">
        <f t="shared" si="52"/>
        <v>2083</v>
      </c>
      <c r="B1139" s="14">
        <f t="shared" ca="1" si="54"/>
        <v>142.0907</v>
      </c>
      <c r="C1139" s="14">
        <f t="shared" ca="1" si="54"/>
        <v>141.65846666666667</v>
      </c>
      <c r="D1139" s="14"/>
      <c r="E1139" s="14">
        <f t="shared" ca="1" si="55"/>
        <v>141.52180000000001</v>
      </c>
      <c r="F1139" s="14">
        <f t="shared" ca="1" si="55"/>
        <v>141.52180000000001</v>
      </c>
      <c r="G1139" s="14">
        <f t="shared" ca="1" si="55"/>
        <v>141.79318333333336</v>
      </c>
      <c r="H1139" s="14">
        <f t="shared" ca="1" si="55"/>
        <v>141.65846666666667</v>
      </c>
      <c r="I1139" s="14">
        <f t="shared" ca="1" si="55"/>
        <v>141.65846666666667</v>
      </c>
      <c r="J1139" s="14">
        <f t="shared" ca="1" si="55"/>
        <v>141.65846666666667</v>
      </c>
      <c r="K1139" s="14">
        <f t="shared" ca="1" si="55"/>
        <v>141.65846666666667</v>
      </c>
    </row>
    <row r="1140" spans="1:11" ht="15" x14ac:dyDescent="0.2">
      <c r="A1140" s="10">
        <f t="shared" si="52"/>
        <v>2084</v>
      </c>
      <c r="B1140" s="14">
        <f t="shared" ca="1" si="54"/>
        <v>144.67425</v>
      </c>
      <c r="C1140" s="14">
        <f t="shared" ca="1" si="54"/>
        <v>144.24200000000002</v>
      </c>
      <c r="D1140" s="14"/>
      <c r="E1140" s="14">
        <f t="shared" ca="1" si="55"/>
        <v>144.10535000000002</v>
      </c>
      <c r="F1140" s="14">
        <f t="shared" ca="1" si="55"/>
        <v>144.10535000000002</v>
      </c>
      <c r="G1140" s="14">
        <f t="shared" ca="1" si="55"/>
        <v>144.37671666666668</v>
      </c>
      <c r="H1140" s="14">
        <f t="shared" ca="1" si="55"/>
        <v>144.24200000000002</v>
      </c>
      <c r="I1140" s="14">
        <f t="shared" ca="1" si="55"/>
        <v>144.24200000000002</v>
      </c>
      <c r="J1140" s="14">
        <f t="shared" ca="1" si="55"/>
        <v>144.24200000000002</v>
      </c>
      <c r="K1140" s="14">
        <f t="shared" ca="1" si="55"/>
        <v>144.24200000000002</v>
      </c>
    </row>
    <row r="1141" spans="1:11" ht="15" x14ac:dyDescent="0.2">
      <c r="A1141" s="10">
        <f t="shared" si="52"/>
        <v>2085</v>
      </c>
      <c r="B1141" s="14">
        <f t="shared" ca="1" si="54"/>
        <v>147.30553333333336</v>
      </c>
      <c r="C1141" s="14">
        <f t="shared" ca="1" si="54"/>
        <v>146.87328333333335</v>
      </c>
      <c r="D1141" s="14"/>
      <c r="E1141" s="14">
        <f t="shared" ca="1" si="55"/>
        <v>146.73662500000003</v>
      </c>
      <c r="F1141" s="14">
        <f t="shared" ca="1" si="55"/>
        <v>146.73662500000003</v>
      </c>
      <c r="G1141" s="14">
        <f t="shared" ca="1" si="55"/>
        <v>147.00800833333335</v>
      </c>
      <c r="H1141" s="14">
        <f t="shared" ca="1" si="55"/>
        <v>146.87328333333335</v>
      </c>
      <c r="I1141" s="14">
        <f t="shared" ca="1" si="55"/>
        <v>146.87328333333335</v>
      </c>
      <c r="J1141" s="14">
        <f t="shared" ca="1" si="55"/>
        <v>146.87328333333335</v>
      </c>
      <c r="K1141" s="14">
        <f t="shared" ca="1" si="55"/>
        <v>146.87328333333335</v>
      </c>
    </row>
    <row r="1142" spans="1:11" ht="15" x14ac:dyDescent="0.2">
      <c r="A1142" s="10">
        <f t="shared" si="52"/>
        <v>2086</v>
      </c>
      <c r="B1142" s="14">
        <f t="shared" ca="1" si="54"/>
        <v>149.98544166666665</v>
      </c>
      <c r="C1142" s="14">
        <f t="shared" ca="1" si="54"/>
        <v>149.55318333333335</v>
      </c>
      <c r="D1142" s="14"/>
      <c r="E1142" s="14">
        <f t="shared" ca="1" si="55"/>
        <v>149.41654166666669</v>
      </c>
      <c r="F1142" s="14">
        <f t="shared" ca="1" si="55"/>
        <v>149.41654166666669</v>
      </c>
      <c r="G1142" s="14">
        <f t="shared" ca="1" si="55"/>
        <v>149.68792500000004</v>
      </c>
      <c r="H1142" s="14">
        <f t="shared" ca="1" si="55"/>
        <v>149.55318333333335</v>
      </c>
      <c r="I1142" s="14">
        <f t="shared" ca="1" si="55"/>
        <v>149.55318333333335</v>
      </c>
      <c r="J1142" s="14">
        <f t="shared" ca="1" si="55"/>
        <v>149.55318333333335</v>
      </c>
      <c r="K1142" s="14">
        <f t="shared" ca="1" si="55"/>
        <v>149.55318333333335</v>
      </c>
    </row>
    <row r="1143" spans="1:11" ht="15" x14ac:dyDescent="0.2">
      <c r="A1143" s="10">
        <f t="shared" si="52"/>
        <v>2087</v>
      </c>
      <c r="B1143" s="14">
        <f t="shared" ca="1" si="54"/>
        <v>152.71488333333335</v>
      </c>
      <c r="C1143" s="14">
        <f t="shared" ca="1" si="54"/>
        <v>152.28264166666668</v>
      </c>
      <c r="D1143" s="14"/>
      <c r="E1143" s="14">
        <f t="shared" ca="1" si="55"/>
        <v>152.14597500000002</v>
      </c>
      <c r="F1143" s="14">
        <f t="shared" ca="1" si="55"/>
        <v>152.14597500000002</v>
      </c>
      <c r="G1143" s="14">
        <f t="shared" ca="1" si="55"/>
        <v>152.41735000000003</v>
      </c>
      <c r="H1143" s="14">
        <f t="shared" ca="1" si="55"/>
        <v>152.28264166666668</v>
      </c>
      <c r="I1143" s="14">
        <f t="shared" ca="1" si="55"/>
        <v>152.28264166666668</v>
      </c>
      <c r="J1143" s="14">
        <f t="shared" ca="1" si="55"/>
        <v>152.28264166666668</v>
      </c>
      <c r="K1143" s="14">
        <f t="shared" ca="1" si="55"/>
        <v>152.28264166666668</v>
      </c>
    </row>
    <row r="1144" spans="1:11" ht="15" x14ac:dyDescent="0.2">
      <c r="A1144" s="10">
        <f t="shared" si="52"/>
        <v>2088</v>
      </c>
      <c r="B1144" s="14">
        <f t="shared" ca="1" si="54"/>
        <v>155.49476666666666</v>
      </c>
      <c r="C1144" s="14">
        <f t="shared" ca="1" si="54"/>
        <v>155.06252500000002</v>
      </c>
      <c r="D1144" s="14"/>
      <c r="E1144" s="14">
        <f t="shared" ca="1" si="55"/>
        <v>154.92586666666668</v>
      </c>
      <c r="F1144" s="14">
        <f t="shared" ca="1" si="55"/>
        <v>154.92586666666668</v>
      </c>
      <c r="G1144" s="14">
        <f t="shared" ca="1" si="55"/>
        <v>155.19724166666666</v>
      </c>
      <c r="H1144" s="14">
        <f t="shared" ca="1" si="55"/>
        <v>155.06252500000002</v>
      </c>
      <c r="I1144" s="14">
        <f t="shared" ca="1" si="55"/>
        <v>155.06252500000002</v>
      </c>
      <c r="J1144" s="14">
        <f t="shared" ca="1" si="55"/>
        <v>155.06252500000002</v>
      </c>
      <c r="K1144" s="14">
        <f t="shared" ca="1" si="55"/>
        <v>155.06252500000002</v>
      </c>
    </row>
    <row r="1145" spans="1:11" ht="15" x14ac:dyDescent="0.2">
      <c r="A1145" s="10">
        <f t="shared" si="52"/>
        <v>2089</v>
      </c>
      <c r="B1145" s="14">
        <f t="shared" ca="1" si="54"/>
        <v>158.32602500000004</v>
      </c>
      <c r="C1145" s="14">
        <f t="shared" ca="1" si="54"/>
        <v>157.89378333333335</v>
      </c>
      <c r="D1145" s="14"/>
      <c r="E1145" s="14">
        <f t="shared" ca="1" si="55"/>
        <v>157.757125</v>
      </c>
      <c r="F1145" s="14">
        <f t="shared" ca="1" si="55"/>
        <v>157.757125</v>
      </c>
      <c r="G1145" s="14">
        <f t="shared" ca="1" si="55"/>
        <v>158.02849166666667</v>
      </c>
      <c r="H1145" s="14">
        <f t="shared" ca="1" si="55"/>
        <v>157.89378333333335</v>
      </c>
      <c r="I1145" s="14">
        <f t="shared" ca="1" si="55"/>
        <v>157.89378333333335</v>
      </c>
      <c r="J1145" s="14">
        <f t="shared" ca="1" si="55"/>
        <v>157.89378333333335</v>
      </c>
      <c r="K1145" s="14">
        <f t="shared" ca="1" si="55"/>
        <v>157.89378333333335</v>
      </c>
    </row>
    <row r="1146" spans="1:11" ht="15" x14ac:dyDescent="0.2">
      <c r="A1146" s="10">
        <f t="shared" si="52"/>
        <v>2090</v>
      </c>
      <c r="B1146" s="14">
        <f t="shared" ca="1" si="54"/>
        <v>161.20959166666668</v>
      </c>
      <c r="C1146" s="14">
        <f t="shared" ca="1" si="54"/>
        <v>160.77736666666669</v>
      </c>
      <c r="D1146" s="14"/>
      <c r="E1146" s="14">
        <f t="shared" ca="1" si="55"/>
        <v>160.64069166666664</v>
      </c>
      <c r="F1146" s="14">
        <f t="shared" ca="1" si="55"/>
        <v>160.64069166666664</v>
      </c>
      <c r="G1146" s="14">
        <f t="shared" ca="1" si="55"/>
        <v>160.91208333333336</v>
      </c>
      <c r="H1146" s="14">
        <f t="shared" ca="1" si="55"/>
        <v>160.77736666666669</v>
      </c>
      <c r="I1146" s="14">
        <f t="shared" ca="1" si="55"/>
        <v>160.77736666666669</v>
      </c>
      <c r="J1146" s="14">
        <f t="shared" ca="1" si="55"/>
        <v>160.77736666666669</v>
      </c>
      <c r="K1146" s="14">
        <f t="shared" ca="1" si="55"/>
        <v>160.77736666666669</v>
      </c>
    </row>
    <row r="1147" spans="1:11" ht="15" x14ac:dyDescent="0.2">
      <c r="A1147" s="10">
        <f t="shared" si="52"/>
        <v>2091</v>
      </c>
      <c r="B1147" s="14">
        <f t="shared" ca="1" si="54"/>
        <v>164.14648333333335</v>
      </c>
      <c r="C1147" s="14">
        <f t="shared" ca="1" si="54"/>
        <v>163.71421666666666</v>
      </c>
      <c r="D1147" s="14"/>
      <c r="E1147" s="14">
        <f t="shared" ca="1" si="55"/>
        <v>163.57758333333334</v>
      </c>
      <c r="F1147" s="14">
        <f t="shared" ca="1" si="55"/>
        <v>163.57758333333334</v>
      </c>
      <c r="G1147" s="14">
        <f t="shared" ca="1" si="55"/>
        <v>163.84895</v>
      </c>
      <c r="H1147" s="14">
        <f t="shared" ca="1" si="55"/>
        <v>163.71421666666666</v>
      </c>
      <c r="I1147" s="14">
        <f t="shared" ca="1" si="55"/>
        <v>163.71421666666666</v>
      </c>
      <c r="J1147" s="14">
        <f t="shared" ca="1" si="55"/>
        <v>163.71421666666666</v>
      </c>
      <c r="K1147" s="14">
        <f t="shared" ca="1" si="55"/>
        <v>163.71421666666666</v>
      </c>
    </row>
    <row r="1148" spans="1:11" ht="15" x14ac:dyDescent="0.2">
      <c r="A1148" s="10">
        <f t="shared" si="52"/>
        <v>2092</v>
      </c>
      <c r="B1148" s="14">
        <f t="shared" ca="1" si="54"/>
        <v>167.13764166666667</v>
      </c>
      <c r="C1148" s="14">
        <f t="shared" ca="1" si="54"/>
        <v>166.70535833333335</v>
      </c>
      <c r="D1148" s="14"/>
      <c r="E1148" s="14">
        <f t="shared" ref="E1148:K1156" ca="1" si="56">AVERAGE(OFFSET(E$600,($A1148-$A$1118)*12,0,12,1))</f>
        <v>166.56873333333334</v>
      </c>
      <c r="F1148" s="14">
        <f t="shared" ca="1" si="56"/>
        <v>166.56873333333334</v>
      </c>
      <c r="G1148" s="14">
        <f t="shared" ca="1" si="56"/>
        <v>166.84009999999998</v>
      </c>
      <c r="H1148" s="14">
        <f t="shared" ca="1" si="56"/>
        <v>166.70535833333335</v>
      </c>
      <c r="I1148" s="14">
        <f t="shared" ca="1" si="56"/>
        <v>166.70535833333335</v>
      </c>
      <c r="J1148" s="14">
        <f t="shared" ca="1" si="56"/>
        <v>166.70535833333335</v>
      </c>
      <c r="K1148" s="14">
        <f t="shared" ca="1" si="56"/>
        <v>166.70535833333335</v>
      </c>
    </row>
    <row r="1149" spans="1:11" ht="15" x14ac:dyDescent="0.2">
      <c r="A1149" s="10">
        <f t="shared" si="52"/>
        <v>2093</v>
      </c>
      <c r="B1149" s="14">
        <f t="shared" ca="1" si="54"/>
        <v>170.18404166666667</v>
      </c>
      <c r="C1149" s="14">
        <f t="shared" ca="1" si="54"/>
        <v>169.75180833333334</v>
      </c>
      <c r="D1149" s="14"/>
      <c r="E1149" s="14">
        <f t="shared" ca="1" si="56"/>
        <v>169.61513333333335</v>
      </c>
      <c r="F1149" s="14">
        <f t="shared" ca="1" si="56"/>
        <v>169.61513333333335</v>
      </c>
      <c r="G1149" s="14">
        <f t="shared" ca="1" si="56"/>
        <v>169.88651666666667</v>
      </c>
      <c r="H1149" s="14">
        <f t="shared" ca="1" si="56"/>
        <v>169.75180833333334</v>
      </c>
      <c r="I1149" s="14">
        <f t="shared" ca="1" si="56"/>
        <v>169.75180833333334</v>
      </c>
      <c r="J1149" s="14">
        <f t="shared" ca="1" si="56"/>
        <v>169.75180833333334</v>
      </c>
      <c r="K1149" s="14">
        <f t="shared" ca="1" si="56"/>
        <v>169.75180833333334</v>
      </c>
    </row>
    <row r="1150" spans="1:11" ht="15" x14ac:dyDescent="0.2">
      <c r="A1150" s="10">
        <f t="shared" si="52"/>
        <v>2094</v>
      </c>
      <c r="B1150" s="14">
        <f t="shared" ca="1" si="54"/>
        <v>173.28677500000001</v>
      </c>
      <c r="C1150" s="14">
        <f t="shared" ca="1" si="54"/>
        <v>172.854525</v>
      </c>
      <c r="D1150" s="14"/>
      <c r="E1150" s="14">
        <f t="shared" ca="1" si="56"/>
        <v>172.71787500000002</v>
      </c>
      <c r="F1150" s="14">
        <f t="shared" ca="1" si="56"/>
        <v>172.71787500000002</v>
      </c>
      <c r="G1150" s="14">
        <f t="shared" ca="1" si="56"/>
        <v>172.98925</v>
      </c>
      <c r="H1150" s="14">
        <f t="shared" ca="1" si="56"/>
        <v>172.854525</v>
      </c>
      <c r="I1150" s="14">
        <f t="shared" ca="1" si="56"/>
        <v>172.854525</v>
      </c>
      <c r="J1150" s="14">
        <f t="shared" ca="1" si="56"/>
        <v>172.854525</v>
      </c>
      <c r="K1150" s="14">
        <f t="shared" ca="1" si="56"/>
        <v>172.854525</v>
      </c>
    </row>
    <row r="1151" spans="1:11" ht="15" x14ac:dyDescent="0.2">
      <c r="A1151" s="10">
        <f t="shared" si="52"/>
        <v>2095</v>
      </c>
      <c r="B1151" s="14">
        <f t="shared" ca="1" si="54"/>
        <v>176.44684166666664</v>
      </c>
      <c r="C1151" s="14">
        <f t="shared" ca="1" si="54"/>
        <v>176.01459166666669</v>
      </c>
      <c r="D1151" s="14"/>
      <c r="E1151" s="14">
        <f t="shared" ca="1" si="56"/>
        <v>175.87794166666666</v>
      </c>
      <c r="F1151" s="14">
        <f t="shared" ca="1" si="56"/>
        <v>175.87794166666666</v>
      </c>
      <c r="G1151" s="14">
        <f t="shared" ca="1" si="56"/>
        <v>176.14930833333335</v>
      </c>
      <c r="H1151" s="14">
        <f t="shared" ca="1" si="56"/>
        <v>176.01459166666669</v>
      </c>
      <c r="I1151" s="14">
        <f t="shared" ca="1" si="56"/>
        <v>176.01459166666669</v>
      </c>
      <c r="J1151" s="14">
        <f t="shared" ca="1" si="56"/>
        <v>176.01459166666669</v>
      </c>
      <c r="K1151" s="14">
        <f t="shared" ca="1" si="56"/>
        <v>176.01459166666669</v>
      </c>
    </row>
    <row r="1152" spans="1:11" ht="15" x14ac:dyDescent="0.2">
      <c r="A1152" s="10">
        <f t="shared" si="52"/>
        <v>2096</v>
      </c>
      <c r="B1152" s="14">
        <f t="shared" ca="1" si="54"/>
        <v>179.66531666666671</v>
      </c>
      <c r="C1152" s="14">
        <f t="shared" ca="1" si="54"/>
        <v>179.23305833333336</v>
      </c>
      <c r="D1152" s="14"/>
      <c r="E1152" s="14">
        <f t="shared" ca="1" si="56"/>
        <v>179.09640000000005</v>
      </c>
      <c r="F1152" s="14">
        <f t="shared" ca="1" si="56"/>
        <v>179.09640000000005</v>
      </c>
      <c r="G1152" s="14">
        <f t="shared" ca="1" si="56"/>
        <v>179.36776666666665</v>
      </c>
      <c r="H1152" s="14">
        <f t="shared" ca="1" si="56"/>
        <v>179.23305833333336</v>
      </c>
      <c r="I1152" s="14">
        <f t="shared" ca="1" si="56"/>
        <v>179.23305833333336</v>
      </c>
      <c r="J1152" s="14">
        <f t="shared" ca="1" si="56"/>
        <v>179.23305833333336</v>
      </c>
      <c r="K1152" s="14">
        <f t="shared" ca="1" si="56"/>
        <v>179.23305833333336</v>
      </c>
    </row>
    <row r="1153" spans="1:11" ht="15" x14ac:dyDescent="0.2">
      <c r="A1153" s="10">
        <f t="shared" si="52"/>
        <v>2097</v>
      </c>
      <c r="B1153" s="14">
        <f t="shared" ca="1" si="54"/>
        <v>182.94325833333335</v>
      </c>
      <c r="C1153" s="14">
        <f t="shared" ca="1" si="54"/>
        <v>182.51100833333336</v>
      </c>
      <c r="D1153" s="14"/>
      <c r="E1153" s="14">
        <f t="shared" ca="1" si="56"/>
        <v>182.37434166666665</v>
      </c>
      <c r="F1153" s="14">
        <f t="shared" ca="1" si="56"/>
        <v>182.37434166666665</v>
      </c>
      <c r="G1153" s="14">
        <f t="shared" ca="1" si="56"/>
        <v>182.64571666666669</v>
      </c>
      <c r="H1153" s="14">
        <f t="shared" ca="1" si="56"/>
        <v>182.51100833333336</v>
      </c>
      <c r="I1153" s="14">
        <f t="shared" ca="1" si="56"/>
        <v>182.51100833333336</v>
      </c>
      <c r="J1153" s="14">
        <f t="shared" ca="1" si="56"/>
        <v>182.51100833333336</v>
      </c>
      <c r="K1153" s="14">
        <f t="shared" ca="1" si="56"/>
        <v>182.51100833333336</v>
      </c>
    </row>
    <row r="1154" spans="1:11" ht="15" x14ac:dyDescent="0.2">
      <c r="A1154" s="10">
        <f t="shared" si="52"/>
        <v>2098</v>
      </c>
      <c r="B1154" s="14">
        <f t="shared" ca="1" si="54"/>
        <v>186.28178333333335</v>
      </c>
      <c r="C1154" s="14">
        <f t="shared" ca="1" si="54"/>
        <v>185.849525</v>
      </c>
      <c r="D1154" s="14"/>
      <c r="E1154" s="14">
        <f t="shared" ca="1" si="56"/>
        <v>185.71288333333337</v>
      </c>
      <c r="F1154" s="14">
        <f t="shared" ca="1" si="56"/>
        <v>185.71288333333337</v>
      </c>
      <c r="G1154" s="14">
        <f t="shared" ca="1" si="56"/>
        <v>185.98424999999997</v>
      </c>
      <c r="H1154" s="14">
        <f t="shared" ca="1" si="56"/>
        <v>185.849525</v>
      </c>
      <c r="I1154" s="14">
        <f t="shared" ca="1" si="56"/>
        <v>185.849525</v>
      </c>
      <c r="J1154" s="14">
        <f t="shared" ca="1" si="56"/>
        <v>185.849525</v>
      </c>
      <c r="K1154" s="14">
        <f t="shared" ca="1" si="56"/>
        <v>185.849525</v>
      </c>
    </row>
    <row r="1155" spans="1:11" ht="15" x14ac:dyDescent="0.2">
      <c r="A1155" s="10">
        <f t="shared" si="52"/>
        <v>2099</v>
      </c>
      <c r="B1155" s="14">
        <f t="shared" ca="1" si="54"/>
        <v>189.68201666666667</v>
      </c>
      <c r="C1155" s="14">
        <f t="shared" ca="1" si="54"/>
        <v>189.24976666666669</v>
      </c>
      <c r="D1155" s="14"/>
      <c r="E1155" s="14">
        <f t="shared" ca="1" si="56"/>
        <v>189.11310000000003</v>
      </c>
      <c r="F1155" s="14">
        <f t="shared" ca="1" si="56"/>
        <v>189.11310000000003</v>
      </c>
      <c r="G1155" s="14">
        <f t="shared" ca="1" si="56"/>
        <v>189.38446666666667</v>
      </c>
      <c r="H1155" s="14">
        <f t="shared" ca="1" si="56"/>
        <v>189.24976666666669</v>
      </c>
      <c r="I1155" s="14">
        <f t="shared" ca="1" si="56"/>
        <v>189.24976666666669</v>
      </c>
      <c r="J1155" s="14">
        <f t="shared" ca="1" si="56"/>
        <v>189.24976666666669</v>
      </c>
      <c r="K1155" s="14">
        <f t="shared" ca="1" si="56"/>
        <v>189.24976666666669</v>
      </c>
    </row>
    <row r="1156" spans="1:11" ht="15" x14ac:dyDescent="0.2">
      <c r="A1156" s="10">
        <f t="shared" si="52"/>
        <v>2100</v>
      </c>
      <c r="B1156" s="14">
        <f t="shared" ca="1" si="54"/>
        <v>193.14507499999999</v>
      </c>
      <c r="C1156" s="14">
        <f t="shared" ca="1" si="54"/>
        <v>192.71281666666664</v>
      </c>
      <c r="D1156" s="14"/>
      <c r="E1156" s="14">
        <f t="shared" ca="1" si="56"/>
        <v>192.57615833333332</v>
      </c>
      <c r="F1156" s="14">
        <f t="shared" ca="1" si="56"/>
        <v>192.57615833333332</v>
      </c>
      <c r="G1156" s="14">
        <f t="shared" ca="1" si="56"/>
        <v>192.84753333333336</v>
      </c>
      <c r="H1156" s="14">
        <f t="shared" ca="1" si="56"/>
        <v>192.71281666666664</v>
      </c>
      <c r="I1156" s="14">
        <f t="shared" ca="1" si="56"/>
        <v>192.71281666666664</v>
      </c>
      <c r="J1156" s="14">
        <f t="shared" ca="1" si="56"/>
        <v>192.71281666666664</v>
      </c>
      <c r="K1156" s="14">
        <f t="shared" ca="1" si="56"/>
        <v>192.71281666666664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119" orientation="landscape" horizontalDpi="1200" verticalDpi="1200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0" zoomScaleNormal="70" workbookViewId="0">
      <pane xSplit="1" ySplit="11" topLeftCell="B12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12" sqref="B12"/>
    </sheetView>
  </sheetViews>
  <sheetFormatPr defaultColWidth="7.109375" defaultRowHeight="12.75" x14ac:dyDescent="0.2"/>
  <cols>
    <col min="1" max="1" width="18.44140625" style="31" customWidth="1"/>
    <col min="2" max="3" width="14.5546875" style="31" customWidth="1"/>
    <col min="4" max="4" width="16.88671875" style="31" customWidth="1"/>
    <col min="5" max="5" width="14.5546875" style="31" customWidth="1"/>
    <col min="6" max="6" width="16.77734375" style="31" customWidth="1"/>
    <col min="7" max="9" width="14.5546875" style="31" customWidth="1"/>
    <col min="10" max="10" width="12.21875" style="8" customWidth="1"/>
    <col min="11" max="11" width="9.6640625" style="8" customWidth="1"/>
    <col min="12" max="16384" width="7.109375" style="8"/>
  </cols>
  <sheetData>
    <row r="1" spans="1:10" s="22" customFormat="1" ht="15.75" x14ac:dyDescent="0.25">
      <c r="A1" s="108" t="s">
        <v>91</v>
      </c>
      <c r="B1" s="48"/>
      <c r="C1" s="48"/>
      <c r="D1" s="48"/>
      <c r="E1" s="48"/>
      <c r="F1" s="48"/>
      <c r="G1" s="48"/>
      <c r="H1" s="48"/>
      <c r="I1" s="48"/>
    </row>
    <row r="2" spans="1:10" s="22" customFormat="1" ht="15.75" x14ac:dyDescent="0.25">
      <c r="A2" s="109" t="s">
        <v>92</v>
      </c>
      <c r="B2" s="48"/>
      <c r="C2" s="48"/>
      <c r="D2" s="48"/>
      <c r="E2" s="48"/>
      <c r="F2" s="48"/>
      <c r="G2" s="48"/>
      <c r="H2" s="48"/>
      <c r="I2" s="48"/>
    </row>
    <row r="3" spans="1:10" s="22" customFormat="1" ht="15.75" x14ac:dyDescent="0.25">
      <c r="A3" s="109" t="s">
        <v>93</v>
      </c>
      <c r="B3" s="48"/>
      <c r="C3" s="48"/>
      <c r="D3" s="48"/>
      <c r="E3" s="48"/>
      <c r="F3" s="48"/>
      <c r="G3" s="48"/>
      <c r="H3" s="48"/>
      <c r="I3" s="48"/>
    </row>
    <row r="4" spans="1:10" s="22" customFormat="1" ht="15.75" x14ac:dyDescent="0.25">
      <c r="A4" s="109" t="s">
        <v>94</v>
      </c>
      <c r="B4" s="48"/>
      <c r="C4" s="48"/>
      <c r="D4" s="48"/>
      <c r="E4" s="48"/>
      <c r="F4" s="48"/>
      <c r="G4" s="48"/>
      <c r="H4" s="48"/>
      <c r="I4" s="48"/>
    </row>
    <row r="5" spans="1:10" s="22" customFormat="1" ht="15.75" x14ac:dyDescent="0.25">
      <c r="A5" s="108" t="s">
        <v>95</v>
      </c>
      <c r="B5" s="48"/>
      <c r="C5" s="48"/>
      <c r="D5" s="48"/>
      <c r="E5" s="48"/>
      <c r="F5" s="48"/>
      <c r="G5" s="48"/>
      <c r="H5" s="48"/>
      <c r="I5" s="48"/>
    </row>
    <row r="6" spans="1:10" s="22" customFormat="1" ht="15.75" x14ac:dyDescent="0.25">
      <c r="A6" s="108" t="s">
        <v>99</v>
      </c>
      <c r="B6" s="48"/>
      <c r="C6" s="48"/>
      <c r="D6" s="48"/>
      <c r="E6" s="48"/>
      <c r="F6" s="48"/>
      <c r="G6" s="48"/>
      <c r="H6" s="48"/>
      <c r="I6" s="48"/>
    </row>
    <row r="8" spans="1:10" ht="15.75" x14ac:dyDescent="0.25">
      <c r="A8" s="47" t="s">
        <v>27</v>
      </c>
      <c r="B8" s="48"/>
      <c r="C8" s="42"/>
    </row>
    <row r="9" spans="1:10" ht="15.75" x14ac:dyDescent="0.25">
      <c r="A9" s="47"/>
      <c r="B9" s="42"/>
      <c r="C9" s="42"/>
      <c r="D9" s="41" t="s">
        <v>25</v>
      </c>
      <c r="E9" s="40">
        <f>1-0.273</f>
        <v>0.72699999999999998</v>
      </c>
      <c r="F9" s="41" t="s">
        <v>24</v>
      </c>
      <c r="G9" s="40">
        <f>1+0.273</f>
        <v>1.2730000000000001</v>
      </c>
    </row>
    <row r="10" spans="1:10" s="36" customFormat="1" ht="34.9" customHeight="1" x14ac:dyDescent="0.25">
      <c r="B10" s="39" t="s">
        <v>47</v>
      </c>
      <c r="C10" s="37" t="s">
        <v>46</v>
      </c>
      <c r="D10" s="39" t="s">
        <v>45</v>
      </c>
      <c r="E10" s="39" t="s">
        <v>44</v>
      </c>
      <c r="F10" s="39" t="s">
        <v>43</v>
      </c>
      <c r="G10" s="37" t="s">
        <v>42</v>
      </c>
      <c r="H10" s="37" t="s">
        <v>41</v>
      </c>
      <c r="I10" s="39" t="s">
        <v>40</v>
      </c>
      <c r="J10" s="37" t="s">
        <v>39</v>
      </c>
    </row>
    <row r="11" spans="1:10" s="36" customFormat="1" ht="21" customHeight="1" x14ac:dyDescent="0.25">
      <c r="A11" s="38" t="s">
        <v>15</v>
      </c>
      <c r="B11" s="38" t="s">
        <v>14</v>
      </c>
      <c r="C11" s="38" t="s">
        <v>14</v>
      </c>
      <c r="D11" s="38" t="s">
        <v>14</v>
      </c>
      <c r="E11" s="38" t="s">
        <v>14</v>
      </c>
      <c r="F11" s="38" t="s">
        <v>14</v>
      </c>
      <c r="G11" s="38" t="s">
        <v>14</v>
      </c>
      <c r="H11" s="38" t="s">
        <v>14</v>
      </c>
      <c r="I11" s="38" t="s">
        <v>14</v>
      </c>
      <c r="J11" s="38" t="s">
        <v>38</v>
      </c>
    </row>
    <row r="12" spans="1:10" ht="15" x14ac:dyDescent="0.2">
      <c r="A12" s="13">
        <v>41275</v>
      </c>
      <c r="B12" s="14">
        <v>17.5608163872467</v>
      </c>
      <c r="C12" s="14">
        <v>16.672788775099502</v>
      </c>
      <c r="D12" s="14">
        <v>16.664976275099502</v>
      </c>
      <c r="E12" s="14">
        <v>16.664976275099502</v>
      </c>
      <c r="F12" s="14">
        <v>16.6118512750995</v>
      </c>
      <c r="G12" s="14">
        <v>16.6712262750995</v>
      </c>
      <c r="H12" s="14">
        <v>16.6712262750995</v>
      </c>
      <c r="I12" s="14">
        <v>16.672788775099502</v>
      </c>
      <c r="J12" s="44">
        <f>89.51</f>
        <v>89.51</v>
      </c>
    </row>
    <row r="13" spans="1:10" ht="15" x14ac:dyDescent="0.2">
      <c r="A13" s="13">
        <v>41306</v>
      </c>
      <c r="B13" s="14">
        <v>18.139507285282502</v>
      </c>
      <c r="C13" s="14">
        <v>17.084489196554799</v>
      </c>
      <c r="D13" s="14">
        <v>17.076676696554799</v>
      </c>
      <c r="E13" s="14">
        <v>17.076676696554799</v>
      </c>
      <c r="F13" s="14">
        <v>17.023551696554801</v>
      </c>
      <c r="G13" s="14">
        <v>17.0829266965548</v>
      </c>
      <c r="H13" s="14">
        <v>17.0829266965548</v>
      </c>
      <c r="I13" s="14">
        <v>17.084489196554799</v>
      </c>
      <c r="J13" s="44">
        <f>96.24</f>
        <v>96.24</v>
      </c>
    </row>
    <row r="14" spans="1:10" ht="15" x14ac:dyDescent="0.2">
      <c r="A14" s="13">
        <v>41334</v>
      </c>
      <c r="B14" s="14">
        <v>16.456719986895401</v>
      </c>
      <c r="C14" s="14">
        <v>15.771603971900401</v>
      </c>
      <c r="D14" s="14">
        <v>15.763791471900401</v>
      </c>
      <c r="E14" s="14">
        <v>15.763791471900401</v>
      </c>
      <c r="F14" s="14">
        <v>16.456719986895401</v>
      </c>
      <c r="G14" s="14">
        <v>15.770041471900401</v>
      </c>
      <c r="H14" s="14">
        <v>15.770041471900401</v>
      </c>
      <c r="I14" s="14">
        <v>15.771603971900401</v>
      </c>
      <c r="J14" s="44">
        <f>94.46</f>
        <v>94.46</v>
      </c>
    </row>
    <row r="15" spans="1:10" ht="15" x14ac:dyDescent="0.2">
      <c r="A15" s="13">
        <v>41365</v>
      </c>
      <c r="B15" s="14">
        <v>16.071251267255601</v>
      </c>
      <c r="C15" s="14">
        <v>15.4136066904326</v>
      </c>
      <c r="D15" s="14">
        <v>15.4057941904326</v>
      </c>
      <c r="E15" s="14">
        <v>15.4057941904326</v>
      </c>
      <c r="F15" s="45">
        <v>15.915001267255599</v>
      </c>
      <c r="G15" s="14">
        <v>15.412044190432599</v>
      </c>
      <c r="H15" s="14">
        <v>15.412044190432599</v>
      </c>
      <c r="I15" s="14">
        <v>15.4136066904326</v>
      </c>
      <c r="J15" s="44">
        <f>92.96</f>
        <v>92.96</v>
      </c>
    </row>
    <row r="16" spans="1:10" ht="15" x14ac:dyDescent="0.2">
      <c r="A16" s="13">
        <v>41395</v>
      </c>
      <c r="B16" s="14">
        <v>16.0652180011265</v>
      </c>
      <c r="C16" s="14">
        <v>15.407153397421901</v>
      </c>
      <c r="D16" s="14">
        <v>15.399340897421901</v>
      </c>
      <c r="E16" s="14">
        <v>15.399340897421901</v>
      </c>
      <c r="F16" s="45">
        <v>15.9089680011265</v>
      </c>
      <c r="G16" s="14">
        <v>15.4055908974219</v>
      </c>
      <c r="H16" s="14">
        <v>15.4055908974219</v>
      </c>
      <c r="I16" s="14">
        <v>15.407153397421901</v>
      </c>
      <c r="J16" s="44">
        <f>88.76</f>
        <v>88.76</v>
      </c>
    </row>
    <row r="17" spans="1:10" ht="15" x14ac:dyDescent="0.2">
      <c r="A17" s="13">
        <v>41426</v>
      </c>
      <c r="B17" s="14">
        <v>15.8182825172556</v>
      </c>
      <c r="C17" s="14">
        <v>15.2292316904326</v>
      </c>
      <c r="D17" s="14">
        <v>15.2214191904326</v>
      </c>
      <c r="E17" s="14">
        <v>15.2214191904326</v>
      </c>
      <c r="F17" s="45">
        <v>15.6620325172556</v>
      </c>
      <c r="G17" s="14">
        <v>15.2276691904326</v>
      </c>
      <c r="H17" s="14">
        <v>15.2276691904326</v>
      </c>
      <c r="I17" s="14">
        <v>15.2292316904326</v>
      </c>
      <c r="J17" s="44">
        <f>96.16</f>
        <v>96.16</v>
      </c>
    </row>
    <row r="18" spans="1:10" ht="15" x14ac:dyDescent="0.2">
      <c r="A18" s="13">
        <v>41456</v>
      </c>
      <c r="B18" s="14">
        <v>15.5105978738396</v>
      </c>
      <c r="C18" s="14">
        <v>15.084690528199401</v>
      </c>
      <c r="D18" s="14">
        <v>15.076878028199401</v>
      </c>
      <c r="E18" s="14">
        <v>15.076878028199401</v>
      </c>
      <c r="F18" s="45">
        <v>15.3543478738396</v>
      </c>
      <c r="G18" s="14">
        <v>15.0831280281994</v>
      </c>
      <c r="H18" s="14">
        <v>15.0831280281994</v>
      </c>
      <c r="I18" s="14">
        <v>15.084690528199401</v>
      </c>
      <c r="J18" s="44">
        <f>95.4</f>
        <v>95.4</v>
      </c>
    </row>
    <row r="19" spans="1:10" ht="15" x14ac:dyDescent="0.2">
      <c r="A19" s="13">
        <v>41487</v>
      </c>
      <c r="B19" s="14">
        <v>16.016999083517</v>
      </c>
      <c r="C19" s="14">
        <v>15.4416965765865</v>
      </c>
      <c r="D19" s="14">
        <v>15.4338840765865</v>
      </c>
      <c r="E19" s="14">
        <v>15.4338840765865</v>
      </c>
      <c r="F19" s="45">
        <v>15.860749083517</v>
      </c>
      <c r="G19" s="14">
        <v>15.440134076586499</v>
      </c>
      <c r="H19" s="14">
        <v>15.440134076586499</v>
      </c>
      <c r="I19" s="14">
        <v>15.4416965765865</v>
      </c>
      <c r="J19" s="44">
        <f>106.91</f>
        <v>106.91</v>
      </c>
    </row>
    <row r="20" spans="1:10" ht="15" x14ac:dyDescent="0.2">
      <c r="A20" s="13">
        <v>41518</v>
      </c>
      <c r="B20" s="14">
        <v>16.310538211405099</v>
      </c>
      <c r="C20" s="14">
        <v>15.767476967915499</v>
      </c>
      <c r="D20" s="14">
        <v>15.759664467915499</v>
      </c>
      <c r="E20" s="14">
        <v>15.759664467915499</v>
      </c>
      <c r="F20" s="45">
        <v>16.154288211405099</v>
      </c>
      <c r="G20" s="14">
        <v>15.765914467915501</v>
      </c>
      <c r="H20" s="14">
        <v>15.765914467915501</v>
      </c>
      <c r="I20" s="14">
        <v>15.767476967915499</v>
      </c>
      <c r="J20" s="44">
        <f>104.96</f>
        <v>104.96</v>
      </c>
    </row>
    <row r="21" spans="1:10" ht="15" x14ac:dyDescent="0.2">
      <c r="A21" s="13">
        <v>41548</v>
      </c>
      <c r="B21" s="14">
        <f>16.3203 * CHOOSE(CONTROL!$C$15, $E$9, 100%, $G$9) + CHOOSE(CONTROL!$C$38, 0.0256, 0)</f>
        <v>16.3459</v>
      </c>
      <c r="C21" s="14">
        <f>15.7734 * CHOOSE(CONTROL!$C$15, $E$9, 100%, $G$9) + CHOOSE(CONTROL!$C$38, 0.0347, 0)</f>
        <v>15.808100000000001</v>
      </c>
      <c r="D21" s="14">
        <f>15.7656 * CHOOSE(CONTROL!$C$15, $E$9, 100%, $G$9) + CHOOSE(CONTROL!$C$38, 0.0347, 0)</f>
        <v>15.8003</v>
      </c>
      <c r="E21" s="14">
        <f>15.7656 * CHOOSE(CONTROL!$C$15, $E$9, 100%, $G$9) + CHOOSE(CONTROL!$C$38, 0.0347, 0)</f>
        <v>15.8003</v>
      </c>
      <c r="F21" s="45">
        <f>16.1641 * CHOOSE(CONTROL!$C$15, $E$9, 100%, $G$9) + CHOOSE(CONTROL!$C$38, 0.0256, 0)</f>
        <v>16.189700000000002</v>
      </c>
      <c r="G21" s="14">
        <f>15.7719 * CHOOSE(CONTROL!$C$15, $E$9, 100%, $G$9) + CHOOSE(CONTROL!$C$38, 0.0347, 0)</f>
        <v>15.806600000000001</v>
      </c>
      <c r="H21" s="14">
        <f>15.7719 * CHOOSE(CONTROL!$C$15, $E$9, 100%, $G$9) + CHOOSE(CONTROL!$C$38, 0.0347, 0)</f>
        <v>15.806600000000001</v>
      </c>
      <c r="I21" s="14">
        <f>15.7734 * CHOOSE(CONTROL!$C$15, $E$9, 100%, $G$9) + CHOOSE(CONTROL!$C$38, 0.0347, 0)</f>
        <v>15.808100000000001</v>
      </c>
      <c r="J21" s="44">
        <f>108.54</f>
        <v>108.54</v>
      </c>
    </row>
    <row r="22" spans="1:10" ht="15" x14ac:dyDescent="0.2">
      <c r="A22" s="13">
        <v>41579</v>
      </c>
      <c r="B22" s="14">
        <f>16.3672 * CHOOSE(CONTROL!$C$15, $E$9, 100%, $G$9) + CHOOSE(CONTROL!$C$38, 0.0256, 0)</f>
        <v>16.392800000000001</v>
      </c>
      <c r="C22" s="14">
        <f>15.7422 * CHOOSE(CONTROL!$C$15, $E$9, 100%, $G$9) + CHOOSE(CONTROL!$C$38, 0.0347, 0)</f>
        <v>15.776900000000001</v>
      </c>
      <c r="D22" s="14">
        <f>15.7344 * CHOOSE(CONTROL!$C$15, $E$9, 100%, $G$9) + CHOOSE(CONTROL!$C$38, 0.0347, 0)</f>
        <v>15.769100000000002</v>
      </c>
      <c r="E22" s="14">
        <f>15.7344 * CHOOSE(CONTROL!$C$15, $E$9, 100%, $G$9) + CHOOSE(CONTROL!$C$38, 0.0347, 0)</f>
        <v>15.769100000000002</v>
      </c>
      <c r="F22" s="45">
        <f>16.2109 * CHOOSE(CONTROL!$C$15, $E$9, 100%, $G$9) + CHOOSE(CONTROL!$C$38, 0.0256, 0)</f>
        <v>16.236499999999999</v>
      </c>
      <c r="G22" s="14">
        <f>15.7406 * CHOOSE(CONTROL!$C$15, $E$9, 100%, $G$9) + CHOOSE(CONTROL!$C$38, 0.0347, 0)</f>
        <v>15.775300000000001</v>
      </c>
      <c r="H22" s="14">
        <f>15.7406 * CHOOSE(CONTROL!$C$15, $E$9, 100%, $G$9) + CHOOSE(CONTROL!$C$38, 0.0347, 0)</f>
        <v>15.775300000000001</v>
      </c>
      <c r="I22" s="14">
        <f>15.7422 * CHOOSE(CONTROL!$C$15, $E$9, 100%, $G$9) + CHOOSE(CONTROL!$C$38, 0.0347, 0)</f>
        <v>15.776900000000001</v>
      </c>
      <c r="J22" s="44">
        <f>107.85</f>
        <v>107.85</v>
      </c>
    </row>
    <row r="23" spans="1:10" ht="15" x14ac:dyDescent="0.2">
      <c r="A23" s="13">
        <v>41609</v>
      </c>
      <c r="B23" s="14">
        <f>16.3359 * CHOOSE(CONTROL!$C$15, $E$9, 100%, $G$9) + CHOOSE(CONTROL!$C$38, 0.0256, 0)</f>
        <v>16.361499999999999</v>
      </c>
      <c r="C23" s="14">
        <f>15.7109 * CHOOSE(CONTROL!$C$15, $E$9, 100%, $G$9) + CHOOSE(CONTROL!$C$38, 0.0347, 0)</f>
        <v>15.745600000000001</v>
      </c>
      <c r="D23" s="14">
        <f>15.7031 * CHOOSE(CONTROL!$C$15, $E$9, 100%, $G$9) + CHOOSE(CONTROL!$C$38, 0.0347, 0)</f>
        <v>15.7378</v>
      </c>
      <c r="E23" s="14">
        <f>15.7031 * CHOOSE(CONTROL!$C$15, $E$9, 100%, $G$9) + CHOOSE(CONTROL!$C$38, 0.0347, 0)</f>
        <v>15.7378</v>
      </c>
      <c r="F23" s="45">
        <f>16.1797 * CHOOSE(CONTROL!$C$15, $E$9, 100%, $G$9) + CHOOSE(CONTROL!$C$38, 0.0256, 0)</f>
        <v>16.205300000000001</v>
      </c>
      <c r="G23" s="14">
        <f>15.7094 * CHOOSE(CONTROL!$C$15, $E$9, 100%, $G$9) + CHOOSE(CONTROL!$C$38, 0.0347, 0)</f>
        <v>15.744100000000001</v>
      </c>
      <c r="H23" s="14">
        <f>15.7094 * CHOOSE(CONTROL!$C$15, $E$9, 100%, $G$9) + CHOOSE(CONTROL!$C$38, 0.0347, 0)</f>
        <v>15.744100000000001</v>
      </c>
      <c r="I23" s="14">
        <f>15.7109 * CHOOSE(CONTROL!$C$15, $E$9, 100%, $G$9) + CHOOSE(CONTROL!$C$38, 0.0347, 0)</f>
        <v>15.745600000000001</v>
      </c>
      <c r="J23" s="44">
        <f>106.42</f>
        <v>106.42</v>
      </c>
    </row>
    <row r="24" spans="1:10" ht="15" x14ac:dyDescent="0.2">
      <c r="A24" s="13">
        <v>41640</v>
      </c>
      <c r="B24" s="14">
        <f>16.5016 * CHOOSE(CONTROL!$C$15, $E$9, 100%, $G$9) + CHOOSE(CONTROL!$C$38, 0.0256, 0)</f>
        <v>16.527200000000001</v>
      </c>
      <c r="C24" s="14">
        <f>15.7203 * CHOOSE(CONTROL!$C$15, $E$9, 100%, $G$9) + CHOOSE(CONTROL!$C$38, 0.0347, 0)</f>
        <v>15.755000000000001</v>
      </c>
      <c r="D24" s="14">
        <f>15.7125 * CHOOSE(CONTROL!$C$15, $E$9, 100%, $G$9) + CHOOSE(CONTROL!$C$38, 0.0347, 0)</f>
        <v>15.747200000000001</v>
      </c>
      <c r="E24" s="46">
        <f>16.3453 * CHOOSE(CONTROL!$C$15, $E$9, 100%, $G$9) + CHOOSE(CONTROL!$C$38, 0.0347, 0)</f>
        <v>16.380000000000003</v>
      </c>
      <c r="F24" s="45">
        <f>16.3453 * CHOOSE(CONTROL!$C$15, $E$9, 100%, $G$9) + CHOOSE(CONTROL!$C$38, 0.0256, 0)</f>
        <v>16.370900000000002</v>
      </c>
      <c r="G24" s="14">
        <f>15.7187 * CHOOSE(CONTROL!$C$15, $E$9, 100%, $G$9) + CHOOSE(CONTROL!$C$38, 0.0347, 0)</f>
        <v>15.753400000000001</v>
      </c>
      <c r="H24" s="14">
        <f>15.7187 * CHOOSE(CONTROL!$C$15, $E$9, 100%, $G$9) + CHOOSE(CONTROL!$C$38, 0.0347, 0)</f>
        <v>15.753400000000001</v>
      </c>
      <c r="I24" s="14">
        <f>15.7203 * CHOOSE(CONTROL!$C$15, $E$9, 100%, $G$9) + CHOOSE(CONTROL!$C$38, 0.0347, 0)</f>
        <v>15.755000000000001</v>
      </c>
      <c r="J24" s="44">
        <f>104.83</f>
        <v>104.83</v>
      </c>
    </row>
    <row r="25" spans="1:10" ht="15" x14ac:dyDescent="0.2">
      <c r="A25" s="13">
        <v>41671</v>
      </c>
      <c r="B25" s="14">
        <f>16.5016 * CHOOSE(CONTROL!$C$15, $E$9, 100%, $G$9) + CHOOSE(CONTROL!$C$38, 0.0256, 0)</f>
        <v>16.527200000000001</v>
      </c>
      <c r="C25" s="14">
        <f>15.7203 * CHOOSE(CONTROL!$C$15, $E$9, 100%, $G$9) + CHOOSE(CONTROL!$C$38, 0.0347, 0)</f>
        <v>15.755000000000001</v>
      </c>
      <c r="D25" s="14">
        <f>15.7125 * CHOOSE(CONTROL!$C$15, $E$9, 100%, $G$9) + CHOOSE(CONTROL!$C$38, 0.0347, 0)</f>
        <v>15.747200000000001</v>
      </c>
      <c r="E25" s="46">
        <f>16.3453 * CHOOSE(CONTROL!$C$15, $E$9, 100%, $G$9) + CHOOSE(CONTROL!$C$38, 0.0347, 0)</f>
        <v>16.380000000000003</v>
      </c>
      <c r="F25" s="45">
        <f>16.3453 * CHOOSE(CONTROL!$C$15, $E$9, 100%, $G$9) + CHOOSE(CONTROL!$C$38, 0.0256, 0)</f>
        <v>16.370900000000002</v>
      </c>
      <c r="G25" s="14">
        <f>15.7187 * CHOOSE(CONTROL!$C$15, $E$9, 100%, $G$9) + CHOOSE(CONTROL!$C$38, 0.0347, 0)</f>
        <v>15.753400000000001</v>
      </c>
      <c r="H25" s="14">
        <f>15.7187 * CHOOSE(CONTROL!$C$15, $E$9, 100%, $G$9) + CHOOSE(CONTROL!$C$38, 0.0347, 0)</f>
        <v>15.753400000000001</v>
      </c>
      <c r="I25" s="14">
        <f>15.7203 * CHOOSE(CONTROL!$C$15, $E$9, 100%, $G$9) + CHOOSE(CONTROL!$C$38, 0.0347, 0)</f>
        <v>15.755000000000001</v>
      </c>
      <c r="J25" s="44">
        <f>103.32</f>
        <v>103.32</v>
      </c>
    </row>
    <row r="26" spans="1:10" ht="15" x14ac:dyDescent="0.2">
      <c r="A26" s="13">
        <v>41699</v>
      </c>
      <c r="B26" s="14">
        <f>16.5016 * CHOOSE(CONTROL!$C$15, $E$9, 100%, $G$9) + CHOOSE(CONTROL!$C$38, 0.0256, 0)</f>
        <v>16.527200000000001</v>
      </c>
      <c r="C26" s="14">
        <f>15.7203 * CHOOSE(CONTROL!$C$15, $E$9, 100%, $G$9) + CHOOSE(CONTROL!$C$38, 0.0347, 0)</f>
        <v>15.755000000000001</v>
      </c>
      <c r="D26" s="14">
        <f>15.7125 * CHOOSE(CONTROL!$C$15, $E$9, 100%, $G$9) + CHOOSE(CONTROL!$C$38, 0.0347, 0)</f>
        <v>15.747200000000001</v>
      </c>
      <c r="E26" s="46">
        <f>16.3453 * CHOOSE(CONTROL!$C$15, $E$9, 100%, $G$9) + CHOOSE(CONTROL!$C$38, 0.0347, 0)</f>
        <v>16.380000000000003</v>
      </c>
      <c r="F26" s="45">
        <f>16.3453 * CHOOSE(CONTROL!$C$15, $E$9, 100%, $G$9) + CHOOSE(CONTROL!$C$38, 0.0256, 0)</f>
        <v>16.370900000000002</v>
      </c>
      <c r="G26" s="14">
        <f>15.7187 * CHOOSE(CONTROL!$C$15, $E$9, 100%, $G$9) + CHOOSE(CONTROL!$C$38, 0.0347, 0)</f>
        <v>15.753400000000001</v>
      </c>
      <c r="H26" s="14">
        <f>15.7187 * CHOOSE(CONTROL!$C$15, $E$9, 100%, $G$9) + CHOOSE(CONTROL!$C$38, 0.0347, 0)</f>
        <v>15.753400000000001</v>
      </c>
      <c r="I26" s="14">
        <f>15.7203 * CHOOSE(CONTROL!$C$15, $E$9, 100%, $G$9) + CHOOSE(CONTROL!$C$38, 0.0347, 0)</f>
        <v>15.755000000000001</v>
      </c>
      <c r="J26" s="44">
        <f>101.91</f>
        <v>101.91</v>
      </c>
    </row>
    <row r="27" spans="1:10" ht="15" x14ac:dyDescent="0.2">
      <c r="A27" s="13">
        <v>41730</v>
      </c>
      <c r="B27" s="14">
        <f>16.3875 * CHOOSE(CONTROL!$C$15, $E$9, 100%, $G$9) + CHOOSE(CONTROL!$C$38, 0.0256, 0)</f>
        <v>16.4131</v>
      </c>
      <c r="C27" s="14">
        <f>15.6063 * CHOOSE(CONTROL!$C$15, $E$9, 100%, $G$9) + CHOOSE(CONTROL!$C$38, 0.0347, 0)</f>
        <v>15.641</v>
      </c>
      <c r="D27" s="14">
        <f>15.5984 * CHOOSE(CONTROL!$C$15, $E$9, 100%, $G$9) + CHOOSE(CONTROL!$C$38, 0.0347, 0)</f>
        <v>15.633100000000001</v>
      </c>
      <c r="E27" s="46">
        <f>16.2313 * CHOOSE(CONTROL!$C$15, $E$9, 100%, $G$9) + CHOOSE(CONTROL!$C$38, 0.0347, 0)</f>
        <v>16.266000000000002</v>
      </c>
      <c r="F27" s="45">
        <f>16.2313 * CHOOSE(CONTROL!$C$15, $E$9, 100%, $G$9) + CHOOSE(CONTROL!$C$38, 0.0256, 0)</f>
        <v>16.256900000000002</v>
      </c>
      <c r="G27" s="14">
        <f>15.6047 * CHOOSE(CONTROL!$C$15, $E$9, 100%, $G$9) + CHOOSE(CONTROL!$C$38, 0.0347, 0)</f>
        <v>15.6394</v>
      </c>
      <c r="H27" s="14">
        <f>15.6047 * CHOOSE(CONTROL!$C$15, $E$9, 100%, $G$9) + CHOOSE(CONTROL!$C$38, 0.0347, 0)</f>
        <v>15.6394</v>
      </c>
      <c r="I27" s="14">
        <f>15.6063 * CHOOSE(CONTROL!$C$15, $E$9, 100%, $G$9) + CHOOSE(CONTROL!$C$38, 0.0347, 0)</f>
        <v>15.641</v>
      </c>
      <c r="J27" s="44">
        <f>100.6</f>
        <v>100.6</v>
      </c>
    </row>
    <row r="28" spans="1:10" ht="15" x14ac:dyDescent="0.2">
      <c r="A28" s="13">
        <v>41760</v>
      </c>
      <c r="B28" s="14">
        <f>16.3875 * CHOOSE(CONTROL!$C$15, $E$9, 100%, $G$9) + CHOOSE(CONTROL!$C$38, 0.0278, 0)</f>
        <v>16.415299999999998</v>
      </c>
      <c r="C28" s="14">
        <f>15.6063 * CHOOSE(CONTROL!$C$15, $E$9, 100%, $G$9) + CHOOSE(CONTROL!$C$38, 0.0369, 0)</f>
        <v>15.643199999999998</v>
      </c>
      <c r="D28" s="14">
        <f>15.5984 * CHOOSE(CONTROL!$C$15, $E$9, 100%, $G$9) + CHOOSE(CONTROL!$C$38, 0.0369, 0)</f>
        <v>15.635299999999999</v>
      </c>
      <c r="E28" s="46">
        <f>16.2313 * CHOOSE(CONTROL!$C$15, $E$9, 100%, $G$9) + CHOOSE(CONTROL!$C$38, 0.0369, 0)</f>
        <v>16.2682</v>
      </c>
      <c r="F28" s="45">
        <f>16.2313 * CHOOSE(CONTROL!$C$15, $E$9, 100%, $G$9) + CHOOSE(CONTROL!$C$38, 0.0278, 0)</f>
        <v>16.2591</v>
      </c>
      <c r="G28" s="14">
        <f>15.6047 * CHOOSE(CONTROL!$C$15, $E$9, 100%, $G$9) + CHOOSE(CONTROL!$C$38, 0.0369, 0)</f>
        <v>15.641599999999999</v>
      </c>
      <c r="H28" s="14">
        <f>15.6047 * CHOOSE(CONTROL!$C$15, $E$9, 100%, $G$9) + CHOOSE(CONTROL!$C$38, 0.0369, 0)</f>
        <v>15.641599999999999</v>
      </c>
      <c r="I28" s="14">
        <f>15.6063 * CHOOSE(CONTROL!$C$15, $E$9, 100%, $G$9) + CHOOSE(CONTROL!$C$38, 0.0369, 0)</f>
        <v>15.643199999999998</v>
      </c>
      <c r="J28" s="44">
        <f>99.49</f>
        <v>99.49</v>
      </c>
    </row>
    <row r="29" spans="1:10" ht="15" x14ac:dyDescent="0.2">
      <c r="A29" s="13">
        <v>41791</v>
      </c>
      <c r="B29" s="14">
        <f>16.3875 * CHOOSE(CONTROL!$C$15, $E$9, 100%, $G$9) + CHOOSE(CONTROL!$C$38, 0.0278, 0)</f>
        <v>16.415299999999998</v>
      </c>
      <c r="C29" s="14">
        <f>15.6063 * CHOOSE(CONTROL!$C$15, $E$9, 100%, $G$9) + CHOOSE(CONTROL!$C$38, 0.0369, 0)</f>
        <v>15.643199999999998</v>
      </c>
      <c r="D29" s="14">
        <f>15.5984 * CHOOSE(CONTROL!$C$15, $E$9, 100%, $G$9) + CHOOSE(CONTROL!$C$38, 0.0369, 0)</f>
        <v>15.635299999999999</v>
      </c>
      <c r="E29" s="46">
        <f>16.2313 * CHOOSE(CONTROL!$C$15, $E$9, 100%, $G$9) + CHOOSE(CONTROL!$C$38, 0.0369, 0)</f>
        <v>16.2682</v>
      </c>
      <c r="F29" s="45">
        <f>16.2313 * CHOOSE(CONTROL!$C$15, $E$9, 100%, $G$9) + CHOOSE(CONTROL!$C$38, 0.0278, 0)</f>
        <v>16.2591</v>
      </c>
      <c r="G29" s="14">
        <f>15.6047 * CHOOSE(CONTROL!$C$15, $E$9, 100%, $G$9) + CHOOSE(CONTROL!$C$38, 0.0369, 0)</f>
        <v>15.641599999999999</v>
      </c>
      <c r="H29" s="14">
        <f>15.6047 * CHOOSE(CONTROL!$C$15, $E$9, 100%, $G$9) + CHOOSE(CONTROL!$C$38, 0.0369, 0)</f>
        <v>15.641599999999999</v>
      </c>
      <c r="I29" s="14">
        <f>15.6063 * CHOOSE(CONTROL!$C$15, $E$9, 100%, $G$9) + CHOOSE(CONTROL!$C$38, 0.0369, 0)</f>
        <v>15.643199999999998</v>
      </c>
      <c r="J29" s="44">
        <f>98.5</f>
        <v>98.5</v>
      </c>
    </row>
    <row r="30" spans="1:10" ht="15" x14ac:dyDescent="0.2">
      <c r="A30" s="13">
        <v>41821</v>
      </c>
      <c r="B30" s="14">
        <f>16.1898 * CHOOSE(CONTROL!$C$15, $E$9, 100%, $G$9) + CHOOSE(CONTROL!$C$38, 0.0278, 0)</f>
        <v>16.217600000000001</v>
      </c>
      <c r="C30" s="14">
        <f>15.4891 * CHOOSE(CONTROL!$C$15, $E$9, 100%, $G$9) + CHOOSE(CONTROL!$C$38, 0.0369, 0)</f>
        <v>15.526</v>
      </c>
      <c r="D30" s="14">
        <f>15.4813 * CHOOSE(CONTROL!$C$15, $E$9, 100%, $G$9) + CHOOSE(CONTROL!$C$38, 0.0369, 0)</f>
        <v>15.518199999999998</v>
      </c>
      <c r="E30" s="46">
        <f>16.0336 * CHOOSE(CONTROL!$C$15, $E$9, 100%, $G$9) + CHOOSE(CONTROL!$C$38, 0.0369, 0)</f>
        <v>16.070499999999999</v>
      </c>
      <c r="F30" s="45">
        <f>16.0336 * CHOOSE(CONTROL!$C$15, $E$9, 100%, $G$9) + CHOOSE(CONTROL!$C$38, 0.0278, 0)</f>
        <v>16.061399999999999</v>
      </c>
      <c r="G30" s="14">
        <f>15.4875 * CHOOSE(CONTROL!$C$15, $E$9, 100%, $G$9) + CHOOSE(CONTROL!$C$38, 0.0369, 0)</f>
        <v>15.5244</v>
      </c>
      <c r="H30" s="14">
        <f>15.4875 * CHOOSE(CONTROL!$C$15, $E$9, 100%, $G$9) + CHOOSE(CONTROL!$C$38, 0.0369, 0)</f>
        <v>15.5244</v>
      </c>
      <c r="I30" s="14">
        <f>15.4891 * CHOOSE(CONTROL!$C$15, $E$9, 100%, $G$9) + CHOOSE(CONTROL!$C$38, 0.0369, 0)</f>
        <v>15.526</v>
      </c>
      <c r="J30" s="44">
        <f>97.5</f>
        <v>97.5</v>
      </c>
    </row>
    <row r="31" spans="1:10" ht="15" x14ac:dyDescent="0.2">
      <c r="A31" s="13">
        <v>41852</v>
      </c>
      <c r="B31" s="14">
        <f>16.1898 * CHOOSE(CONTROL!$C$15, $E$9, 100%, $G$9) + CHOOSE(CONTROL!$C$38, 0.0278, 0)</f>
        <v>16.217600000000001</v>
      </c>
      <c r="C31" s="14">
        <f>15.4891 * CHOOSE(CONTROL!$C$15, $E$9, 100%, $G$9) + CHOOSE(CONTROL!$C$38, 0.0369, 0)</f>
        <v>15.526</v>
      </c>
      <c r="D31" s="14">
        <f>15.4813 * CHOOSE(CONTROL!$C$15, $E$9, 100%, $G$9) + CHOOSE(CONTROL!$C$38, 0.0369, 0)</f>
        <v>15.518199999999998</v>
      </c>
      <c r="E31" s="46">
        <f>16.0336 * CHOOSE(CONTROL!$C$15, $E$9, 100%, $G$9) + CHOOSE(CONTROL!$C$38, 0.0369, 0)</f>
        <v>16.070499999999999</v>
      </c>
      <c r="F31" s="45">
        <f>16.0336 * CHOOSE(CONTROL!$C$15, $E$9, 100%, $G$9) + CHOOSE(CONTROL!$C$38, 0.0278, 0)</f>
        <v>16.061399999999999</v>
      </c>
      <c r="G31" s="14">
        <f>15.4875 * CHOOSE(CONTROL!$C$15, $E$9, 100%, $G$9) + CHOOSE(CONTROL!$C$38, 0.0369, 0)</f>
        <v>15.5244</v>
      </c>
      <c r="H31" s="14">
        <f>15.4875 * CHOOSE(CONTROL!$C$15, $E$9, 100%, $G$9) + CHOOSE(CONTROL!$C$38, 0.0369, 0)</f>
        <v>15.5244</v>
      </c>
      <c r="I31" s="14">
        <f>15.4891 * CHOOSE(CONTROL!$C$15, $E$9, 100%, $G$9) + CHOOSE(CONTROL!$C$38, 0.0369, 0)</f>
        <v>15.526</v>
      </c>
      <c r="J31" s="44">
        <f>96.62</f>
        <v>96.62</v>
      </c>
    </row>
    <row r="32" spans="1:10" ht="15" x14ac:dyDescent="0.2">
      <c r="A32" s="13">
        <v>41883</v>
      </c>
      <c r="B32" s="14">
        <f>16.1898 * CHOOSE(CONTROL!$C$15, $E$9, 100%, $G$9) + CHOOSE(CONTROL!$C$38, 0.0278, 0)</f>
        <v>16.217600000000001</v>
      </c>
      <c r="C32" s="14">
        <f>15.4891 * CHOOSE(CONTROL!$C$15, $E$9, 100%, $G$9) + CHOOSE(CONTROL!$C$38, 0.0369, 0)</f>
        <v>15.526</v>
      </c>
      <c r="D32" s="14">
        <f>15.4813 * CHOOSE(CONTROL!$C$15, $E$9, 100%, $G$9) + CHOOSE(CONTROL!$C$38, 0.0369, 0)</f>
        <v>15.518199999999998</v>
      </c>
      <c r="E32" s="46">
        <f>16.0336 * CHOOSE(CONTROL!$C$15, $E$9, 100%, $G$9) + CHOOSE(CONTROL!$C$38, 0.0369, 0)</f>
        <v>16.070499999999999</v>
      </c>
      <c r="F32" s="45">
        <f>16.0336 * CHOOSE(CONTROL!$C$15, $E$9, 100%, $G$9) + CHOOSE(CONTROL!$C$38, 0.0278, 0)</f>
        <v>16.061399999999999</v>
      </c>
      <c r="G32" s="14">
        <f>15.4875 * CHOOSE(CONTROL!$C$15, $E$9, 100%, $G$9) + CHOOSE(CONTROL!$C$38, 0.0369, 0)</f>
        <v>15.5244</v>
      </c>
      <c r="H32" s="14">
        <f>15.4875 * CHOOSE(CONTROL!$C$15, $E$9, 100%, $G$9) + CHOOSE(CONTROL!$C$38, 0.0369, 0)</f>
        <v>15.5244</v>
      </c>
      <c r="I32" s="14">
        <f>15.4891 * CHOOSE(CONTROL!$C$15, $E$9, 100%, $G$9) + CHOOSE(CONTROL!$C$38, 0.0369, 0)</f>
        <v>15.526</v>
      </c>
      <c r="J32" s="44">
        <f>95.86</f>
        <v>95.86</v>
      </c>
    </row>
    <row r="33" spans="1:10" ht="15" x14ac:dyDescent="0.2">
      <c r="A33" s="13">
        <v>41913</v>
      </c>
      <c r="B33" s="14">
        <f>16.1898 * CHOOSE(CONTROL!$C$15, $E$9, 100%, $G$9) + CHOOSE(CONTROL!$C$38, 0.0256, 0)</f>
        <v>16.215400000000002</v>
      </c>
      <c r="C33" s="14">
        <f>15.3281 * CHOOSE(CONTROL!$C$15, $E$9, 100%, $G$9) + CHOOSE(CONTROL!$C$38, 0.0347, 0)</f>
        <v>15.3628</v>
      </c>
      <c r="D33" s="14">
        <f>15.3203 * CHOOSE(CONTROL!$C$15, $E$9, 100%, $G$9) + CHOOSE(CONTROL!$C$38, 0.0347, 0)</f>
        <v>15.355</v>
      </c>
      <c r="E33" s="46">
        <f>16.0336 * CHOOSE(CONTROL!$C$15, $E$9, 100%, $G$9) + CHOOSE(CONTROL!$C$38, 0.0347, 0)</f>
        <v>16.068300000000001</v>
      </c>
      <c r="F33" s="45">
        <f>16.0336 * CHOOSE(CONTROL!$C$15, $E$9, 100%, $G$9) + CHOOSE(CONTROL!$C$38, 0.0256, 0)</f>
        <v>16.059200000000001</v>
      </c>
      <c r="G33" s="14">
        <f>15.3266 * CHOOSE(CONTROL!$C$15, $E$9, 100%, $G$9) + CHOOSE(CONTROL!$C$38, 0.0347, 0)</f>
        <v>15.3613</v>
      </c>
      <c r="H33" s="14">
        <f>15.3266 * CHOOSE(CONTROL!$C$15, $E$9, 100%, $G$9) + CHOOSE(CONTROL!$C$38, 0.0347, 0)</f>
        <v>15.3613</v>
      </c>
      <c r="I33" s="14">
        <f>15.3281 * CHOOSE(CONTROL!$C$15, $E$9, 100%, $G$9) + CHOOSE(CONTROL!$C$38, 0.0347, 0)</f>
        <v>15.3628</v>
      </c>
      <c r="J33" s="44">
        <f>95.15</f>
        <v>95.15</v>
      </c>
    </row>
    <row r="34" spans="1:10" ht="15" x14ac:dyDescent="0.2">
      <c r="A34" s="13">
        <v>41944</v>
      </c>
      <c r="B34" s="14">
        <f>16.1898 * CHOOSE(CONTROL!$C$15, $E$9, 100%, $G$9) + CHOOSE(CONTROL!$C$38, 0.0256, 0)</f>
        <v>16.215400000000002</v>
      </c>
      <c r="C34" s="14">
        <f>15.3281 * CHOOSE(CONTROL!$C$15, $E$9, 100%, $G$9) + CHOOSE(CONTROL!$C$38, 0.0347, 0)</f>
        <v>15.3628</v>
      </c>
      <c r="D34" s="14">
        <f>15.3203 * CHOOSE(CONTROL!$C$15, $E$9, 100%, $G$9) + CHOOSE(CONTROL!$C$38, 0.0347, 0)</f>
        <v>15.355</v>
      </c>
      <c r="E34" s="46">
        <f>16.0336 * CHOOSE(CONTROL!$C$15, $E$9, 100%, $G$9) + CHOOSE(CONTROL!$C$38, 0.0347, 0)</f>
        <v>16.068300000000001</v>
      </c>
      <c r="F34" s="45">
        <f>16.0336 * CHOOSE(CONTROL!$C$15, $E$9, 100%, $G$9) + CHOOSE(CONTROL!$C$38, 0.0256, 0)</f>
        <v>16.059200000000001</v>
      </c>
      <c r="G34" s="14">
        <f>15.3266 * CHOOSE(CONTROL!$C$15, $E$9, 100%, $G$9) + CHOOSE(CONTROL!$C$38, 0.0347, 0)</f>
        <v>15.3613</v>
      </c>
      <c r="H34" s="14">
        <f>15.3266 * CHOOSE(CONTROL!$C$15, $E$9, 100%, $G$9) + CHOOSE(CONTROL!$C$38, 0.0347, 0)</f>
        <v>15.3613</v>
      </c>
      <c r="I34" s="14">
        <f>15.3281 * CHOOSE(CONTROL!$C$15, $E$9, 100%, $G$9) + CHOOSE(CONTROL!$C$38, 0.0347, 0)</f>
        <v>15.3628</v>
      </c>
      <c r="J34" s="44">
        <f>94.47</f>
        <v>94.47</v>
      </c>
    </row>
    <row r="35" spans="1:10" ht="15" x14ac:dyDescent="0.2">
      <c r="A35" s="13">
        <v>41974</v>
      </c>
      <c r="B35" s="14">
        <f>16.1898 * CHOOSE(CONTROL!$C$15, $E$9, 100%, $G$9) + CHOOSE(CONTROL!$C$38, 0.0256, 0)</f>
        <v>16.215400000000002</v>
      </c>
      <c r="C35" s="14">
        <f>15.3281 * CHOOSE(CONTROL!$C$15, $E$9, 100%, $G$9) + CHOOSE(CONTROL!$C$38, 0.0347, 0)</f>
        <v>15.3628</v>
      </c>
      <c r="D35" s="14">
        <f>15.3203 * CHOOSE(CONTROL!$C$15, $E$9, 100%, $G$9) + CHOOSE(CONTROL!$C$38, 0.0347, 0)</f>
        <v>15.355</v>
      </c>
      <c r="E35" s="46">
        <f>16.0336 * CHOOSE(CONTROL!$C$15, $E$9, 100%, $G$9) + CHOOSE(CONTROL!$C$38, 0.0347, 0)</f>
        <v>16.068300000000001</v>
      </c>
      <c r="F35" s="45">
        <f>16.0336 * CHOOSE(CONTROL!$C$15, $E$9, 100%, $G$9) + CHOOSE(CONTROL!$C$38, 0.0256, 0)</f>
        <v>16.059200000000001</v>
      </c>
      <c r="G35" s="14">
        <f>15.3266 * CHOOSE(CONTROL!$C$15, $E$9, 100%, $G$9) + CHOOSE(CONTROL!$C$38, 0.0347, 0)</f>
        <v>15.3613</v>
      </c>
      <c r="H35" s="14">
        <f>15.3266 * CHOOSE(CONTROL!$C$15, $E$9, 100%, $G$9) + CHOOSE(CONTROL!$C$38, 0.0347, 0)</f>
        <v>15.3613</v>
      </c>
      <c r="I35" s="14">
        <f>15.3281 * CHOOSE(CONTROL!$C$15, $E$9, 100%, $G$9) + CHOOSE(CONTROL!$C$38, 0.0347, 0)</f>
        <v>15.3628</v>
      </c>
      <c r="J35" s="44">
        <f>93.83</f>
        <v>93.83</v>
      </c>
    </row>
    <row r="36" spans="1:10" ht="15" x14ac:dyDescent="0.2">
      <c r="A36" s="13">
        <v>42005</v>
      </c>
      <c r="B36" s="14">
        <f>14.9388 * CHOOSE(CONTROL!$C$15, $E$9, 100%, $G$9) + CHOOSE(CONTROL!$C$38, 0.0256, 0)</f>
        <v>14.964400000000001</v>
      </c>
      <c r="C36" s="14">
        <f>14.9625 * CHOOSE(CONTROL!$C$15, $E$9, 100%, $G$9) + CHOOSE(CONTROL!$C$38, 0.0347, 0)</f>
        <v>14.997200000000001</v>
      </c>
      <c r="D36" s="14">
        <f>14.9547 * CHOOSE(CONTROL!$C$15, $E$9, 100%, $G$9) + CHOOSE(CONTROL!$C$38, 0.0347, 0)</f>
        <v>14.989400000000002</v>
      </c>
      <c r="E36" s="46">
        <f>14.7826 * CHOOSE(CONTROL!$C$15, $E$9, 100%, $G$9) + CHOOSE(CONTROL!$C$38, 0.0347, 0)</f>
        <v>14.817300000000001</v>
      </c>
      <c r="F36" s="45">
        <f>14.7826 * CHOOSE(CONTROL!$C$15, $E$9, 100%, $G$9) + CHOOSE(CONTROL!$C$38, 0.0256, 0)</f>
        <v>14.808200000000001</v>
      </c>
      <c r="G36" s="14">
        <f>14.9609 * CHOOSE(CONTROL!$C$15, $E$9, 100%, $G$9) + CHOOSE(CONTROL!$C$38, 0.0347, 0)</f>
        <v>14.995600000000001</v>
      </c>
      <c r="H36" s="14">
        <f>14.9609 * CHOOSE(CONTROL!$C$15, $E$9, 100%, $G$9) + CHOOSE(CONTROL!$C$38, 0.0347, 0)</f>
        <v>14.995600000000001</v>
      </c>
      <c r="I36" s="14">
        <f>14.9625 * CHOOSE(CONTROL!$C$15, $E$9, 100%, $G$9) + CHOOSE(CONTROL!$C$38, 0.0347, 0)</f>
        <v>14.997200000000001</v>
      </c>
      <c r="J36" s="44">
        <f>93.07</f>
        <v>93.07</v>
      </c>
    </row>
    <row r="37" spans="1:10" ht="15" x14ac:dyDescent="0.2">
      <c r="A37" s="13">
        <v>42036</v>
      </c>
      <c r="B37" s="14">
        <f>14.9388 * CHOOSE(CONTROL!$C$15, $E$9, 100%, $G$9) + CHOOSE(CONTROL!$C$38, 0.0256, 0)</f>
        <v>14.964400000000001</v>
      </c>
      <c r="C37" s="14">
        <f>14.9625 * CHOOSE(CONTROL!$C$15, $E$9, 100%, $G$9) + CHOOSE(CONTROL!$C$38, 0.0347, 0)</f>
        <v>14.997200000000001</v>
      </c>
      <c r="D37" s="14">
        <f>14.9547 * CHOOSE(CONTROL!$C$15, $E$9, 100%, $G$9) + CHOOSE(CONTROL!$C$38, 0.0347, 0)</f>
        <v>14.989400000000002</v>
      </c>
      <c r="E37" s="46">
        <f>14.7826 * CHOOSE(CONTROL!$C$15, $E$9, 100%, $G$9) + CHOOSE(CONTROL!$C$38, 0.0347, 0)</f>
        <v>14.817300000000001</v>
      </c>
      <c r="F37" s="45">
        <f>14.7826 * CHOOSE(CONTROL!$C$15, $E$9, 100%, $G$9) + CHOOSE(CONTROL!$C$38, 0.0256, 0)</f>
        <v>14.808200000000001</v>
      </c>
      <c r="G37" s="14">
        <f>14.9609 * CHOOSE(CONTROL!$C$15, $E$9, 100%, $G$9) + CHOOSE(CONTROL!$C$38, 0.0347, 0)</f>
        <v>14.995600000000001</v>
      </c>
      <c r="H37" s="14">
        <f>14.9609 * CHOOSE(CONTROL!$C$15, $E$9, 100%, $G$9) + CHOOSE(CONTROL!$C$38, 0.0347, 0)</f>
        <v>14.995600000000001</v>
      </c>
      <c r="I37" s="14">
        <f>14.9625 * CHOOSE(CONTROL!$C$15, $E$9, 100%, $G$9) + CHOOSE(CONTROL!$C$38, 0.0347, 0)</f>
        <v>14.997200000000001</v>
      </c>
      <c r="J37" s="44">
        <f>92.34</f>
        <v>92.34</v>
      </c>
    </row>
    <row r="38" spans="1:10" ht="15" x14ac:dyDescent="0.2">
      <c r="A38" s="13">
        <v>42064</v>
      </c>
      <c r="B38" s="14">
        <f>14.9388 * CHOOSE(CONTROL!$C$15, $E$9, 100%, $G$9) + CHOOSE(CONTROL!$C$38, 0.0256, 0)</f>
        <v>14.964400000000001</v>
      </c>
      <c r="C38" s="14">
        <f>14.9625 * CHOOSE(CONTROL!$C$15, $E$9, 100%, $G$9) + CHOOSE(CONTROL!$C$38, 0.0347, 0)</f>
        <v>14.997200000000001</v>
      </c>
      <c r="D38" s="14">
        <f>14.9547 * CHOOSE(CONTROL!$C$15, $E$9, 100%, $G$9) + CHOOSE(CONTROL!$C$38, 0.0347, 0)</f>
        <v>14.989400000000002</v>
      </c>
      <c r="E38" s="46">
        <f>14.7826 * CHOOSE(CONTROL!$C$15, $E$9, 100%, $G$9) + CHOOSE(CONTROL!$C$38, 0.0347, 0)</f>
        <v>14.817300000000001</v>
      </c>
      <c r="F38" s="45">
        <f>14.7826 * CHOOSE(CONTROL!$C$15, $E$9, 100%, $G$9) + CHOOSE(CONTROL!$C$38, 0.0256, 0)</f>
        <v>14.808200000000001</v>
      </c>
      <c r="G38" s="14">
        <f>14.9609 * CHOOSE(CONTROL!$C$15, $E$9, 100%, $G$9) + CHOOSE(CONTROL!$C$38, 0.0347, 0)</f>
        <v>14.995600000000001</v>
      </c>
      <c r="H38" s="14">
        <f>14.9609 * CHOOSE(CONTROL!$C$15, $E$9, 100%, $G$9) + CHOOSE(CONTROL!$C$38, 0.0347, 0)</f>
        <v>14.995600000000001</v>
      </c>
      <c r="I38" s="14">
        <f>14.9625 * CHOOSE(CONTROL!$C$15, $E$9, 100%, $G$9) + CHOOSE(CONTROL!$C$38, 0.0347, 0)</f>
        <v>14.997200000000001</v>
      </c>
      <c r="J38" s="44">
        <f>91.62</f>
        <v>91.62</v>
      </c>
    </row>
    <row r="39" spans="1:10" ht="15" x14ac:dyDescent="0.2">
      <c r="A39" s="13">
        <v>42095</v>
      </c>
      <c r="B39" s="14">
        <f>14.9388 * CHOOSE(CONTROL!$C$15, $E$9, 100%, $G$9) + CHOOSE(CONTROL!$C$38, 0.0256, 0)</f>
        <v>14.964400000000001</v>
      </c>
      <c r="C39" s="14">
        <f>14.9625 * CHOOSE(CONTROL!$C$15, $E$9, 100%, $G$9) + CHOOSE(CONTROL!$C$38, 0.0347, 0)</f>
        <v>14.997200000000001</v>
      </c>
      <c r="D39" s="14">
        <f>14.9547 * CHOOSE(CONTROL!$C$15, $E$9, 100%, $G$9) + CHOOSE(CONTROL!$C$38, 0.0347, 0)</f>
        <v>14.989400000000002</v>
      </c>
      <c r="E39" s="46">
        <f>14.7826 * CHOOSE(CONTROL!$C$15, $E$9, 100%, $G$9) + CHOOSE(CONTROL!$C$38, 0.0347, 0)</f>
        <v>14.817300000000001</v>
      </c>
      <c r="F39" s="45">
        <f>14.7826 * CHOOSE(CONTROL!$C$15, $E$9, 100%, $G$9) + CHOOSE(CONTROL!$C$38, 0.0256, 0)</f>
        <v>14.808200000000001</v>
      </c>
      <c r="G39" s="14">
        <f>14.9609 * CHOOSE(CONTROL!$C$15, $E$9, 100%, $G$9) + CHOOSE(CONTROL!$C$38, 0.0347, 0)</f>
        <v>14.995600000000001</v>
      </c>
      <c r="H39" s="14">
        <f>14.9609 * CHOOSE(CONTROL!$C$15, $E$9, 100%, $G$9) + CHOOSE(CONTROL!$C$38, 0.0347, 0)</f>
        <v>14.995600000000001</v>
      </c>
      <c r="I39" s="14">
        <f>14.9625 * CHOOSE(CONTROL!$C$15, $E$9, 100%, $G$9) + CHOOSE(CONTROL!$C$38, 0.0347, 0)</f>
        <v>14.997200000000001</v>
      </c>
      <c r="J39" s="44">
        <f>90.9</f>
        <v>90.9</v>
      </c>
    </row>
    <row r="40" spans="1:10" ht="15" x14ac:dyDescent="0.2">
      <c r="A40" s="13">
        <v>42125</v>
      </c>
      <c r="B40" s="14">
        <f>14.9388 * CHOOSE(CONTROL!$C$15, $E$9, 100%, $G$9) + CHOOSE(CONTROL!$C$38, 0.0278, 0)</f>
        <v>14.9666</v>
      </c>
      <c r="C40" s="14">
        <f>14.9625 * CHOOSE(CONTROL!$C$15, $E$9, 100%, $G$9) + CHOOSE(CONTROL!$C$38, 0.0369, 0)</f>
        <v>14.9994</v>
      </c>
      <c r="D40" s="14">
        <f>14.9547 * CHOOSE(CONTROL!$C$15, $E$9, 100%, $G$9) + CHOOSE(CONTROL!$C$38, 0.0369, 0)</f>
        <v>14.9916</v>
      </c>
      <c r="E40" s="46">
        <f>14.7826 * CHOOSE(CONTROL!$C$15, $E$9, 100%, $G$9) + CHOOSE(CONTROL!$C$38, 0.0369, 0)</f>
        <v>14.8195</v>
      </c>
      <c r="F40" s="45">
        <f>14.7826 * CHOOSE(CONTROL!$C$15, $E$9, 100%, $G$9) + CHOOSE(CONTROL!$C$38, 0.0278, 0)</f>
        <v>14.8104</v>
      </c>
      <c r="G40" s="14">
        <f>14.9609 * CHOOSE(CONTROL!$C$15, $E$9, 100%, $G$9) + CHOOSE(CONTROL!$C$38, 0.0369, 0)</f>
        <v>14.9978</v>
      </c>
      <c r="H40" s="14">
        <f>14.9609 * CHOOSE(CONTROL!$C$15, $E$9, 100%, $G$9) + CHOOSE(CONTROL!$C$38, 0.0369, 0)</f>
        <v>14.9978</v>
      </c>
      <c r="I40" s="14">
        <f>14.9625 * CHOOSE(CONTROL!$C$15, $E$9, 100%, $G$9) + CHOOSE(CONTROL!$C$38, 0.0369, 0)</f>
        <v>14.9994</v>
      </c>
      <c r="J40" s="44">
        <f>90.27</f>
        <v>90.27</v>
      </c>
    </row>
    <row r="41" spans="1:10" ht="15" x14ac:dyDescent="0.2">
      <c r="A41" s="13">
        <v>42156</v>
      </c>
      <c r="B41" s="14">
        <f>14.9388 * CHOOSE(CONTROL!$C$15, $E$9, 100%, $G$9) + CHOOSE(CONTROL!$C$38, 0.0278, 0)</f>
        <v>14.9666</v>
      </c>
      <c r="C41" s="14">
        <f>14.9625 * CHOOSE(CONTROL!$C$15, $E$9, 100%, $G$9) + CHOOSE(CONTROL!$C$38, 0.0369, 0)</f>
        <v>14.9994</v>
      </c>
      <c r="D41" s="14">
        <f>14.9547 * CHOOSE(CONTROL!$C$15, $E$9, 100%, $G$9) + CHOOSE(CONTROL!$C$38, 0.0369, 0)</f>
        <v>14.9916</v>
      </c>
      <c r="E41" s="46">
        <f>14.7826 * CHOOSE(CONTROL!$C$15, $E$9, 100%, $G$9) + CHOOSE(CONTROL!$C$38, 0.0369, 0)</f>
        <v>14.8195</v>
      </c>
      <c r="F41" s="45">
        <f>14.7826 * CHOOSE(CONTROL!$C$15, $E$9, 100%, $G$9) + CHOOSE(CONTROL!$C$38, 0.0278, 0)</f>
        <v>14.8104</v>
      </c>
      <c r="G41" s="14">
        <f>14.9609 * CHOOSE(CONTROL!$C$15, $E$9, 100%, $G$9) + CHOOSE(CONTROL!$C$38, 0.0369, 0)</f>
        <v>14.9978</v>
      </c>
      <c r="H41" s="14">
        <f>14.9609 * CHOOSE(CONTROL!$C$15, $E$9, 100%, $G$9) + CHOOSE(CONTROL!$C$38, 0.0369, 0)</f>
        <v>14.9978</v>
      </c>
      <c r="I41" s="14">
        <f>14.9625 * CHOOSE(CONTROL!$C$15, $E$9, 100%, $G$9) + CHOOSE(CONTROL!$C$38, 0.0369, 0)</f>
        <v>14.9994</v>
      </c>
      <c r="J41" s="44">
        <f>89.73</f>
        <v>89.73</v>
      </c>
    </row>
    <row r="42" spans="1:10" ht="15" x14ac:dyDescent="0.2">
      <c r="A42" s="13">
        <v>42186</v>
      </c>
      <c r="B42" s="14">
        <f>14.9388 * CHOOSE(CONTROL!$C$15, $E$9, 100%, $G$9) + CHOOSE(CONTROL!$C$38, 0.0278, 0)</f>
        <v>14.9666</v>
      </c>
      <c r="C42" s="14">
        <f>14.9625 * CHOOSE(CONTROL!$C$15, $E$9, 100%, $G$9) + CHOOSE(CONTROL!$C$38, 0.0369, 0)</f>
        <v>14.9994</v>
      </c>
      <c r="D42" s="14">
        <f>14.9547 * CHOOSE(CONTROL!$C$15, $E$9, 100%, $G$9) + CHOOSE(CONTROL!$C$38, 0.0369, 0)</f>
        <v>14.9916</v>
      </c>
      <c r="E42" s="46">
        <f>14.7826 * CHOOSE(CONTROL!$C$15, $E$9, 100%, $G$9) + CHOOSE(CONTROL!$C$38, 0.0369, 0)</f>
        <v>14.8195</v>
      </c>
      <c r="F42" s="45">
        <f>14.7826 * CHOOSE(CONTROL!$C$15, $E$9, 100%, $G$9) + CHOOSE(CONTROL!$C$38, 0.0278, 0)</f>
        <v>14.8104</v>
      </c>
      <c r="G42" s="14">
        <f>14.9609 * CHOOSE(CONTROL!$C$15, $E$9, 100%, $G$9) + CHOOSE(CONTROL!$C$38, 0.0369, 0)</f>
        <v>14.9978</v>
      </c>
      <c r="H42" s="14">
        <f>14.9609 * CHOOSE(CONTROL!$C$15, $E$9, 100%, $G$9) + CHOOSE(CONTROL!$C$38, 0.0369, 0)</f>
        <v>14.9978</v>
      </c>
      <c r="I42" s="14">
        <f>14.9625 * CHOOSE(CONTROL!$C$15, $E$9, 100%, $G$9) + CHOOSE(CONTROL!$C$38, 0.0369, 0)</f>
        <v>14.9994</v>
      </c>
      <c r="J42" s="44">
        <f>89.1</f>
        <v>89.1</v>
      </c>
    </row>
    <row r="43" spans="1:10" ht="15" x14ac:dyDescent="0.2">
      <c r="A43" s="13">
        <v>42217</v>
      </c>
      <c r="B43" s="14">
        <f>14.9388 * CHOOSE(CONTROL!$C$15, $E$9, 100%, $G$9) + CHOOSE(CONTROL!$C$38, 0.0278, 0)</f>
        <v>14.9666</v>
      </c>
      <c r="C43" s="14">
        <f>14.9625 * CHOOSE(CONTROL!$C$15, $E$9, 100%, $G$9) + CHOOSE(CONTROL!$C$38, 0.0369, 0)</f>
        <v>14.9994</v>
      </c>
      <c r="D43" s="14">
        <f>14.9547 * CHOOSE(CONTROL!$C$15, $E$9, 100%, $G$9) + CHOOSE(CONTROL!$C$38, 0.0369, 0)</f>
        <v>14.9916</v>
      </c>
      <c r="E43" s="46">
        <f>14.7826 * CHOOSE(CONTROL!$C$15, $E$9, 100%, $G$9) + CHOOSE(CONTROL!$C$38, 0.0369, 0)</f>
        <v>14.8195</v>
      </c>
      <c r="F43" s="45">
        <f>14.7826 * CHOOSE(CONTROL!$C$15, $E$9, 100%, $G$9) + CHOOSE(CONTROL!$C$38, 0.0278, 0)</f>
        <v>14.8104</v>
      </c>
      <c r="G43" s="14">
        <f>14.9609 * CHOOSE(CONTROL!$C$15, $E$9, 100%, $G$9) + CHOOSE(CONTROL!$C$38, 0.0369, 0)</f>
        <v>14.9978</v>
      </c>
      <c r="H43" s="14">
        <f>14.9609 * CHOOSE(CONTROL!$C$15, $E$9, 100%, $G$9) + CHOOSE(CONTROL!$C$38, 0.0369, 0)</f>
        <v>14.9978</v>
      </c>
      <c r="I43" s="14">
        <f>14.9625 * CHOOSE(CONTROL!$C$15, $E$9, 100%, $G$9) + CHOOSE(CONTROL!$C$38, 0.0369, 0)</f>
        <v>14.9994</v>
      </c>
      <c r="J43" s="44">
        <f>88.6</f>
        <v>88.6</v>
      </c>
    </row>
    <row r="44" spans="1:10" ht="15" x14ac:dyDescent="0.2">
      <c r="A44" s="13">
        <v>42248</v>
      </c>
      <c r="B44" s="14">
        <f>14.9388 * CHOOSE(CONTROL!$C$15, $E$9, 100%, $G$9) + CHOOSE(CONTROL!$C$38, 0.0278, 0)</f>
        <v>14.9666</v>
      </c>
      <c r="C44" s="14">
        <f>14.9625 * CHOOSE(CONTROL!$C$15, $E$9, 100%, $G$9) + CHOOSE(CONTROL!$C$38, 0.0369, 0)</f>
        <v>14.9994</v>
      </c>
      <c r="D44" s="14">
        <f>14.9547 * CHOOSE(CONTROL!$C$15, $E$9, 100%, $G$9) + CHOOSE(CONTROL!$C$38, 0.0369, 0)</f>
        <v>14.9916</v>
      </c>
      <c r="E44" s="46">
        <f>14.7826 * CHOOSE(CONTROL!$C$15, $E$9, 100%, $G$9) + CHOOSE(CONTROL!$C$38, 0.0369, 0)</f>
        <v>14.8195</v>
      </c>
      <c r="F44" s="45">
        <f>14.7826 * CHOOSE(CONTROL!$C$15, $E$9, 100%, $G$9) + CHOOSE(CONTROL!$C$38, 0.0278, 0)</f>
        <v>14.8104</v>
      </c>
      <c r="G44" s="14">
        <f>14.9609 * CHOOSE(CONTROL!$C$15, $E$9, 100%, $G$9) + CHOOSE(CONTROL!$C$38, 0.0369, 0)</f>
        <v>14.9978</v>
      </c>
      <c r="H44" s="14">
        <f>14.9609 * CHOOSE(CONTROL!$C$15, $E$9, 100%, $G$9) + CHOOSE(CONTROL!$C$38, 0.0369, 0)</f>
        <v>14.9978</v>
      </c>
      <c r="I44" s="14">
        <f>14.9625 * CHOOSE(CONTROL!$C$15, $E$9, 100%, $G$9) + CHOOSE(CONTROL!$C$38, 0.0369, 0)</f>
        <v>14.9994</v>
      </c>
      <c r="J44" s="44">
        <f>88.16</f>
        <v>88.16</v>
      </c>
    </row>
    <row r="45" spans="1:10" ht="15" x14ac:dyDescent="0.2">
      <c r="A45" s="13">
        <v>42278</v>
      </c>
      <c r="B45" s="14">
        <f>14.9388 * CHOOSE(CONTROL!$C$15, $E$9, 100%, $G$9) + CHOOSE(CONTROL!$C$38, 0.0256, 0)</f>
        <v>14.964400000000001</v>
      </c>
      <c r="C45" s="14">
        <f>14.9625 * CHOOSE(CONTROL!$C$15, $E$9, 100%, $G$9) + CHOOSE(CONTROL!$C$38, 0.0347, 0)</f>
        <v>14.997200000000001</v>
      </c>
      <c r="D45" s="14">
        <f>14.9547 * CHOOSE(CONTROL!$C$15, $E$9, 100%, $G$9) + CHOOSE(CONTROL!$C$38, 0.0347, 0)</f>
        <v>14.989400000000002</v>
      </c>
      <c r="E45" s="46">
        <f>14.7826 * CHOOSE(CONTROL!$C$15, $E$9, 100%, $G$9) + CHOOSE(CONTROL!$C$38, 0.0347, 0)</f>
        <v>14.817300000000001</v>
      </c>
      <c r="F45" s="45">
        <f>14.7826 * CHOOSE(CONTROL!$C$15, $E$9, 100%, $G$9) + CHOOSE(CONTROL!$C$38, 0.0256, 0)</f>
        <v>14.808200000000001</v>
      </c>
      <c r="G45" s="14">
        <f>14.9609 * CHOOSE(CONTROL!$C$15, $E$9, 100%, $G$9) + CHOOSE(CONTROL!$C$38, 0.0347, 0)</f>
        <v>14.995600000000001</v>
      </c>
      <c r="H45" s="14">
        <f>14.9609 * CHOOSE(CONTROL!$C$15, $E$9, 100%, $G$9) + CHOOSE(CONTROL!$C$38, 0.0347, 0)</f>
        <v>14.995600000000001</v>
      </c>
      <c r="I45" s="14">
        <f>14.9625 * CHOOSE(CONTROL!$C$15, $E$9, 100%, $G$9) + CHOOSE(CONTROL!$C$38, 0.0347, 0)</f>
        <v>14.997200000000001</v>
      </c>
      <c r="J45" s="44">
        <f>87.76</f>
        <v>87.76</v>
      </c>
    </row>
    <row r="46" spans="1:10" ht="15" x14ac:dyDescent="0.2">
      <c r="A46" s="13">
        <v>42309</v>
      </c>
      <c r="B46" s="14">
        <f>14.9388 * CHOOSE(CONTROL!$C$15, $E$9, 100%, $G$9) + CHOOSE(CONTROL!$C$38, 0.0256, 0)</f>
        <v>14.964400000000001</v>
      </c>
      <c r="C46" s="14">
        <f>14.9625 * CHOOSE(CONTROL!$C$15, $E$9, 100%, $G$9) + CHOOSE(CONTROL!$C$38, 0.0347, 0)</f>
        <v>14.997200000000001</v>
      </c>
      <c r="D46" s="14">
        <f>14.9547 * CHOOSE(CONTROL!$C$15, $E$9, 100%, $G$9) + CHOOSE(CONTROL!$C$38, 0.0347, 0)</f>
        <v>14.989400000000002</v>
      </c>
      <c r="E46" s="46">
        <f>14.7826 * CHOOSE(CONTROL!$C$15, $E$9, 100%, $G$9) + CHOOSE(CONTROL!$C$38, 0.0347, 0)</f>
        <v>14.817300000000001</v>
      </c>
      <c r="F46" s="45">
        <f>14.7826 * CHOOSE(CONTROL!$C$15, $E$9, 100%, $G$9) + CHOOSE(CONTROL!$C$38, 0.0256, 0)</f>
        <v>14.808200000000001</v>
      </c>
      <c r="G46" s="14">
        <f>14.9609 * CHOOSE(CONTROL!$C$15, $E$9, 100%, $G$9) + CHOOSE(CONTROL!$C$38, 0.0347, 0)</f>
        <v>14.995600000000001</v>
      </c>
      <c r="H46" s="14">
        <f>14.9609 * CHOOSE(CONTROL!$C$15, $E$9, 100%, $G$9) + CHOOSE(CONTROL!$C$38, 0.0347, 0)</f>
        <v>14.995600000000001</v>
      </c>
      <c r="I46" s="14">
        <f>14.9625 * CHOOSE(CONTROL!$C$15, $E$9, 100%, $G$9) + CHOOSE(CONTROL!$C$38, 0.0347, 0)</f>
        <v>14.997200000000001</v>
      </c>
      <c r="J46" s="44">
        <f>87.45</f>
        <v>87.45</v>
      </c>
    </row>
    <row r="47" spans="1:10" ht="15" x14ac:dyDescent="0.2">
      <c r="A47" s="13">
        <v>42339</v>
      </c>
      <c r="B47" s="14">
        <f>14.9388 * CHOOSE(CONTROL!$C$15, $E$9, 100%, $G$9) + CHOOSE(CONTROL!$C$38, 0.0256, 0)</f>
        <v>14.964400000000001</v>
      </c>
      <c r="C47" s="14">
        <f>14.9625 * CHOOSE(CONTROL!$C$15, $E$9, 100%, $G$9) + CHOOSE(CONTROL!$C$38, 0.0347, 0)</f>
        <v>14.997200000000001</v>
      </c>
      <c r="D47" s="14">
        <f>14.9547 * CHOOSE(CONTROL!$C$15, $E$9, 100%, $G$9) + CHOOSE(CONTROL!$C$38, 0.0347, 0)</f>
        <v>14.989400000000002</v>
      </c>
      <c r="E47" s="46">
        <f>14.7826 * CHOOSE(CONTROL!$C$15, $E$9, 100%, $G$9) + CHOOSE(CONTROL!$C$38, 0.0347, 0)</f>
        <v>14.817300000000001</v>
      </c>
      <c r="F47" s="45">
        <f>14.7826 * CHOOSE(CONTROL!$C$15, $E$9, 100%, $G$9) + CHOOSE(CONTROL!$C$38, 0.0256, 0)</f>
        <v>14.808200000000001</v>
      </c>
      <c r="G47" s="14">
        <f>14.9609 * CHOOSE(CONTROL!$C$15, $E$9, 100%, $G$9) + CHOOSE(CONTROL!$C$38, 0.0347, 0)</f>
        <v>14.995600000000001</v>
      </c>
      <c r="H47" s="14">
        <f>14.9609 * CHOOSE(CONTROL!$C$15, $E$9, 100%, $G$9) + CHOOSE(CONTROL!$C$38, 0.0347, 0)</f>
        <v>14.995600000000001</v>
      </c>
      <c r="I47" s="14">
        <f>14.9625 * CHOOSE(CONTROL!$C$15, $E$9, 100%, $G$9) + CHOOSE(CONTROL!$C$38, 0.0347, 0)</f>
        <v>14.997200000000001</v>
      </c>
      <c r="J47" s="44">
        <f>87.22</f>
        <v>87.22</v>
      </c>
    </row>
    <row r="48" spans="1:10" ht="15" x14ac:dyDescent="0.2">
      <c r="A48" s="13">
        <v>42370</v>
      </c>
      <c r="B48" s="14">
        <f>16.2561 * CHOOSE(CONTROL!$C$15, $E$9, 100%, $G$9) + CHOOSE(CONTROL!$C$38, 0.0256, 0)</f>
        <v>16.281700000000001</v>
      </c>
      <c r="C48" s="14">
        <f>16.0316 * CHOOSE(CONTROL!$C$15, $E$9, 100%, $G$9) + CHOOSE(CONTROL!$C$38, 0.0347, 0)</f>
        <v>16.066300000000002</v>
      </c>
      <c r="D48" s="14">
        <f>16.0237 * CHOOSE(CONTROL!$C$15, $E$9, 100%, $G$9) + CHOOSE(CONTROL!$C$38, 0.0347, 0)</f>
        <v>16.058400000000002</v>
      </c>
      <c r="E48" s="46">
        <f>16.0998 * CHOOSE(CONTROL!$C$15, $E$9, 100%, $G$9) + CHOOSE(CONTROL!$C$38, 0.0347, 0)</f>
        <v>16.134499999999999</v>
      </c>
      <c r="F48" s="45">
        <f>16.0998 * CHOOSE(CONTROL!$C$15, $E$9, 100%, $G$9) + CHOOSE(CONTROL!$C$38, 0.0256, 0)</f>
        <v>16.125399999999999</v>
      </c>
      <c r="G48" s="14">
        <f>16.03 * CHOOSE(CONTROL!$C$15, $E$9, 100%, $G$9) + CHOOSE(CONTROL!$C$38, 0.0347, 0)</f>
        <v>16.064700000000002</v>
      </c>
      <c r="H48" s="14">
        <f>16.03 * CHOOSE(CONTROL!$C$15, $E$9, 100%, $G$9) + CHOOSE(CONTROL!$C$38, 0.0347, 0)</f>
        <v>16.064700000000002</v>
      </c>
      <c r="I48" s="14">
        <f>16.0316 * CHOOSE(CONTROL!$C$15, $E$9, 100%, $G$9) + CHOOSE(CONTROL!$C$38, 0.0347, 0)</f>
        <v>16.066300000000002</v>
      </c>
      <c r="J48" s="44">
        <f>86.8386</f>
        <v>86.8386</v>
      </c>
    </row>
    <row r="49" spans="1:10" ht="15" x14ac:dyDescent="0.2">
      <c r="A49" s="13">
        <v>42401</v>
      </c>
      <c r="B49" s="14">
        <f>16.5295 * CHOOSE(CONTROL!$C$15, $E$9, 100%, $G$9) + CHOOSE(CONTROL!$C$38, 0.0256, 0)</f>
        <v>16.555099999999999</v>
      </c>
      <c r="C49" s="14">
        <f>16.3048 * CHOOSE(CONTROL!$C$15, $E$9, 100%, $G$9) + CHOOSE(CONTROL!$C$38, 0.0347, 0)</f>
        <v>16.339500000000001</v>
      </c>
      <c r="D49" s="14">
        <f>16.297 * CHOOSE(CONTROL!$C$15, $E$9, 100%, $G$9) + CHOOSE(CONTROL!$C$38, 0.0347, 0)</f>
        <v>16.331700000000001</v>
      </c>
      <c r="E49" s="46">
        <f>16.3732 * CHOOSE(CONTROL!$C$15, $E$9, 100%, $G$9) + CHOOSE(CONTROL!$C$38, 0.0347, 0)</f>
        <v>16.407900000000001</v>
      </c>
      <c r="F49" s="45">
        <f>16.3732 * CHOOSE(CONTROL!$C$15, $E$9, 100%, $G$9) + CHOOSE(CONTROL!$C$38, 0.0256, 0)</f>
        <v>16.398800000000001</v>
      </c>
      <c r="G49" s="14">
        <f>16.3032 * CHOOSE(CONTROL!$C$15, $E$9, 100%, $G$9) + CHOOSE(CONTROL!$C$38, 0.0347, 0)</f>
        <v>16.337900000000001</v>
      </c>
      <c r="H49" s="14">
        <f>16.3032 * CHOOSE(CONTROL!$C$15, $E$9, 100%, $G$9) + CHOOSE(CONTROL!$C$38, 0.0347, 0)</f>
        <v>16.337900000000001</v>
      </c>
      <c r="I49" s="14">
        <f>16.3048 * CHOOSE(CONTROL!$C$15, $E$9, 100%, $G$9) + CHOOSE(CONTROL!$C$38, 0.0347, 0)</f>
        <v>16.339500000000001</v>
      </c>
      <c r="J49" s="44">
        <f>86.7756</f>
        <v>86.775599999999997</v>
      </c>
    </row>
    <row r="50" spans="1:10" ht="15" x14ac:dyDescent="0.2">
      <c r="A50" s="13">
        <v>42430</v>
      </c>
      <c r="B50" s="14">
        <f>16.0028 * CHOOSE(CONTROL!$C$15, $E$9, 100%, $G$9) + CHOOSE(CONTROL!$C$38, 0.0256, 0)</f>
        <v>16.028400000000001</v>
      </c>
      <c r="C50" s="14">
        <f>15.778 * CHOOSE(CONTROL!$C$15, $E$9, 100%, $G$9) + CHOOSE(CONTROL!$C$38, 0.0347, 0)</f>
        <v>15.812700000000001</v>
      </c>
      <c r="D50" s="14">
        <f>15.7702 * CHOOSE(CONTROL!$C$15, $E$9, 100%, $G$9) + CHOOSE(CONTROL!$C$38, 0.0347, 0)</f>
        <v>15.804900000000002</v>
      </c>
      <c r="E50" s="46">
        <f>15.8465 * CHOOSE(CONTROL!$C$15, $E$9, 100%, $G$9) + CHOOSE(CONTROL!$C$38, 0.0347, 0)</f>
        <v>15.881200000000002</v>
      </c>
      <c r="F50" s="45">
        <f>15.8465 * CHOOSE(CONTROL!$C$15, $E$9, 100%, $G$9) + CHOOSE(CONTROL!$C$38, 0.0256, 0)</f>
        <v>15.872100000000001</v>
      </c>
      <c r="G50" s="14">
        <f>15.7764 * CHOOSE(CONTROL!$C$15, $E$9, 100%, $G$9) + CHOOSE(CONTROL!$C$38, 0.0347, 0)</f>
        <v>15.811100000000001</v>
      </c>
      <c r="H50" s="14">
        <f>15.7764 * CHOOSE(CONTROL!$C$15, $E$9, 100%, $G$9) + CHOOSE(CONTROL!$C$38, 0.0347, 0)</f>
        <v>15.811100000000001</v>
      </c>
      <c r="I50" s="14">
        <f>15.778 * CHOOSE(CONTROL!$C$15, $E$9, 100%, $G$9) + CHOOSE(CONTROL!$C$38, 0.0347, 0)</f>
        <v>15.812700000000001</v>
      </c>
      <c r="J50" s="44">
        <f>91.5374</f>
        <v>91.537400000000005</v>
      </c>
    </row>
    <row r="51" spans="1:10" ht="15" x14ac:dyDescent="0.2">
      <c r="A51" s="13">
        <v>42461</v>
      </c>
      <c r="B51" s="14">
        <f>15.4912 * CHOOSE(CONTROL!$C$15, $E$9, 100%, $G$9) + CHOOSE(CONTROL!$C$38, 0.0256, 0)</f>
        <v>15.5168</v>
      </c>
      <c r="C51" s="14">
        <f>15.2663 * CHOOSE(CONTROL!$C$15, $E$9, 100%, $G$9) + CHOOSE(CONTROL!$C$38, 0.0347, 0)</f>
        <v>15.301</v>
      </c>
      <c r="D51" s="14">
        <f>15.2585 * CHOOSE(CONTROL!$C$15, $E$9, 100%, $G$9) + CHOOSE(CONTROL!$C$38, 0.0347, 0)</f>
        <v>15.293200000000001</v>
      </c>
      <c r="E51" s="46">
        <f>15.335 * CHOOSE(CONTROL!$C$15, $E$9, 100%, $G$9) + CHOOSE(CONTROL!$C$38, 0.0347, 0)</f>
        <v>15.369700000000002</v>
      </c>
      <c r="F51" s="45">
        <f>15.335 * CHOOSE(CONTROL!$C$15, $E$9, 100%, $G$9) + CHOOSE(CONTROL!$C$38, 0.0256, 0)</f>
        <v>15.360600000000002</v>
      </c>
      <c r="G51" s="14">
        <f>15.2648 * CHOOSE(CONTROL!$C$15, $E$9, 100%, $G$9) + CHOOSE(CONTROL!$C$38, 0.0347, 0)</f>
        <v>15.2995</v>
      </c>
      <c r="H51" s="14">
        <f>15.2648 * CHOOSE(CONTROL!$C$15, $E$9, 100%, $G$9) + CHOOSE(CONTROL!$C$38, 0.0347, 0)</f>
        <v>15.2995</v>
      </c>
      <c r="I51" s="14">
        <f>15.2663 * CHOOSE(CONTROL!$C$15, $E$9, 100%, $G$9) + CHOOSE(CONTROL!$C$38, 0.0347, 0)</f>
        <v>15.301</v>
      </c>
      <c r="J51" s="44">
        <f>97.6812</f>
        <v>97.681200000000004</v>
      </c>
    </row>
    <row r="52" spans="1:10" ht="15" x14ac:dyDescent="0.2">
      <c r="A52" s="13">
        <v>42491</v>
      </c>
      <c r="B52" s="14">
        <f>14.9545 * CHOOSE(CONTROL!$C$15, $E$9, 100%, $G$9) + CHOOSE(CONTROL!$C$38, 0.0278, 0)</f>
        <v>14.982299999999999</v>
      </c>
      <c r="C52" s="14">
        <f>14.7295 * CHOOSE(CONTROL!$C$15, $E$9, 100%, $G$9) + CHOOSE(CONTROL!$C$38, 0.0369, 0)</f>
        <v>14.766399999999999</v>
      </c>
      <c r="D52" s="14">
        <f>14.7216 * CHOOSE(CONTROL!$C$15, $E$9, 100%, $G$9) + CHOOSE(CONTROL!$C$38, 0.0369, 0)</f>
        <v>14.7585</v>
      </c>
      <c r="E52" s="46">
        <f>14.7983 * CHOOSE(CONTROL!$C$15, $E$9, 100%, $G$9) + CHOOSE(CONTROL!$C$38, 0.0369, 0)</f>
        <v>14.835199999999999</v>
      </c>
      <c r="F52" s="45">
        <f>14.7983 * CHOOSE(CONTROL!$C$15, $E$9, 100%, $G$9) + CHOOSE(CONTROL!$C$38, 0.0278, 0)</f>
        <v>14.826099999999999</v>
      </c>
      <c r="G52" s="14">
        <f>14.7279 * CHOOSE(CONTROL!$C$15, $E$9, 100%, $G$9) + CHOOSE(CONTROL!$C$38, 0.0369, 0)</f>
        <v>14.764799999999999</v>
      </c>
      <c r="H52" s="14">
        <f>14.7279 * CHOOSE(CONTROL!$C$15, $E$9, 100%, $G$9) + CHOOSE(CONTROL!$C$38, 0.0369, 0)</f>
        <v>14.764799999999999</v>
      </c>
      <c r="I52" s="14">
        <f>14.7295 * CHOOSE(CONTROL!$C$15, $E$9, 100%, $G$9) + CHOOSE(CONTROL!$C$38, 0.0369, 0)</f>
        <v>14.766399999999999</v>
      </c>
      <c r="J52" s="44">
        <f>101.1672</f>
        <v>101.16719999999999</v>
      </c>
    </row>
    <row r="53" spans="1:10" ht="15" x14ac:dyDescent="0.2">
      <c r="A53" s="13">
        <v>42522</v>
      </c>
      <c r="B53" s="14">
        <f>14.5855 * CHOOSE(CONTROL!$C$15, $E$9, 100%, $G$9) + CHOOSE(CONTROL!$C$38, 0.0278, 0)</f>
        <v>14.613299999999999</v>
      </c>
      <c r="C53" s="14">
        <f>14.3603 * CHOOSE(CONTROL!$C$15, $E$9, 100%, $G$9) + CHOOSE(CONTROL!$C$38, 0.0369, 0)</f>
        <v>14.3972</v>
      </c>
      <c r="D53" s="14">
        <f>14.3525 * CHOOSE(CONTROL!$C$15, $E$9, 100%, $G$9) + CHOOSE(CONTROL!$C$38, 0.0369, 0)</f>
        <v>14.389399999999998</v>
      </c>
      <c r="E53" s="46">
        <f>14.4292 * CHOOSE(CONTROL!$C$15, $E$9, 100%, $G$9) + CHOOSE(CONTROL!$C$38, 0.0369, 0)</f>
        <v>14.466099999999999</v>
      </c>
      <c r="F53" s="45">
        <f>14.4292 * CHOOSE(CONTROL!$C$15, $E$9, 100%, $G$9) + CHOOSE(CONTROL!$C$38, 0.0278, 0)</f>
        <v>14.456999999999999</v>
      </c>
      <c r="G53" s="14">
        <f>14.3587 * CHOOSE(CONTROL!$C$15, $E$9, 100%, $G$9) + CHOOSE(CONTROL!$C$38, 0.0369, 0)</f>
        <v>14.3956</v>
      </c>
      <c r="H53" s="14">
        <f>14.3587 * CHOOSE(CONTROL!$C$15, $E$9, 100%, $G$9) + CHOOSE(CONTROL!$C$38, 0.0369, 0)</f>
        <v>14.3956</v>
      </c>
      <c r="I53" s="14">
        <f>14.3603 * CHOOSE(CONTROL!$C$15, $E$9, 100%, $G$9) + CHOOSE(CONTROL!$C$38, 0.0369, 0)</f>
        <v>14.3972</v>
      </c>
      <c r="J53" s="44">
        <f>102.8363</f>
        <v>102.83629999999999</v>
      </c>
    </row>
    <row r="54" spans="1:10" ht="15" x14ac:dyDescent="0.2">
      <c r="A54" s="13">
        <v>42552</v>
      </c>
      <c r="B54" s="14">
        <f>14.3863 * CHOOSE(CONTROL!$C$15, $E$9, 100%, $G$9) + CHOOSE(CONTROL!$C$38, 0.0278, 0)</f>
        <v>14.414099999999999</v>
      </c>
      <c r="C54" s="14">
        <f>14.161 * CHOOSE(CONTROL!$C$15, $E$9, 100%, $G$9) + CHOOSE(CONTROL!$C$38, 0.0369, 0)</f>
        <v>14.197899999999999</v>
      </c>
      <c r="D54" s="14">
        <f>14.1532 * CHOOSE(CONTROL!$C$15, $E$9, 100%, $G$9) + CHOOSE(CONTROL!$C$38, 0.0369, 0)</f>
        <v>14.190099999999999</v>
      </c>
      <c r="E54" s="46">
        <f>14.2301 * CHOOSE(CONTROL!$C$15, $E$9, 100%, $G$9) + CHOOSE(CONTROL!$C$38, 0.0369, 0)</f>
        <v>14.266999999999999</v>
      </c>
      <c r="F54" s="45">
        <f>14.2301 * CHOOSE(CONTROL!$C$15, $E$9, 100%, $G$9) + CHOOSE(CONTROL!$C$38, 0.0278, 0)</f>
        <v>14.257899999999999</v>
      </c>
      <c r="G54" s="14">
        <f>14.1594 * CHOOSE(CONTROL!$C$15, $E$9, 100%, $G$9) + CHOOSE(CONTROL!$C$38, 0.0369, 0)</f>
        <v>14.196299999999999</v>
      </c>
      <c r="H54" s="14">
        <f>14.1594 * CHOOSE(CONTROL!$C$15, $E$9, 100%, $G$9) + CHOOSE(CONTROL!$C$38, 0.0369, 0)</f>
        <v>14.196299999999999</v>
      </c>
      <c r="I54" s="14">
        <f>14.161 * CHOOSE(CONTROL!$C$15, $E$9, 100%, $G$9) + CHOOSE(CONTROL!$C$38, 0.0369, 0)</f>
        <v>14.197899999999999</v>
      </c>
      <c r="J54" s="44">
        <f>102.5662</f>
        <v>102.56619999999999</v>
      </c>
    </row>
    <row r="55" spans="1:10" ht="15" x14ac:dyDescent="0.2">
      <c r="A55" s="13">
        <v>42583</v>
      </c>
      <c r="B55" s="14">
        <f>14.5274 * CHOOSE(CONTROL!$C$15, $E$9, 100%, $G$9) + CHOOSE(CONTROL!$C$38, 0.0278, 0)</f>
        <v>14.555199999999999</v>
      </c>
      <c r="C55" s="14">
        <f>14.3019 * CHOOSE(CONTROL!$C$15, $E$9, 100%, $G$9) + CHOOSE(CONTROL!$C$38, 0.0369, 0)</f>
        <v>14.338799999999999</v>
      </c>
      <c r="D55" s="14">
        <f>14.2941 * CHOOSE(CONTROL!$C$15, $E$9, 100%, $G$9) + CHOOSE(CONTROL!$C$38, 0.0369, 0)</f>
        <v>14.331</v>
      </c>
      <c r="E55" s="46">
        <f>14.3712 * CHOOSE(CONTROL!$C$15, $E$9, 100%, $G$9) + CHOOSE(CONTROL!$C$38, 0.0369, 0)</f>
        <v>14.408099999999999</v>
      </c>
      <c r="F55" s="45">
        <f>14.3712 * CHOOSE(CONTROL!$C$15, $E$9, 100%, $G$9) + CHOOSE(CONTROL!$C$38, 0.0278, 0)</f>
        <v>14.398999999999999</v>
      </c>
      <c r="G55" s="14">
        <f>14.3004 * CHOOSE(CONTROL!$C$15, $E$9, 100%, $G$9) + CHOOSE(CONTROL!$C$38, 0.0369, 0)</f>
        <v>14.337299999999999</v>
      </c>
      <c r="H55" s="14">
        <f>14.3004 * CHOOSE(CONTROL!$C$15, $E$9, 100%, $G$9) + CHOOSE(CONTROL!$C$38, 0.0369, 0)</f>
        <v>14.337299999999999</v>
      </c>
      <c r="I55" s="14">
        <f>14.3019 * CHOOSE(CONTROL!$C$15, $E$9, 100%, $G$9) + CHOOSE(CONTROL!$C$38, 0.0369, 0)</f>
        <v>14.338799999999999</v>
      </c>
      <c r="J55" s="44">
        <f>100.3848</f>
        <v>100.3848</v>
      </c>
    </row>
    <row r="56" spans="1:10" ht="15" x14ac:dyDescent="0.2">
      <c r="A56" s="13">
        <v>42614</v>
      </c>
      <c r="B56" s="14">
        <f>14.8629 * CHOOSE(CONTROL!$C$15, $E$9, 100%, $G$9) + CHOOSE(CONTROL!$C$38, 0.0278, 0)</f>
        <v>14.890699999999999</v>
      </c>
      <c r="C56" s="14">
        <f>14.6372 * CHOOSE(CONTROL!$C$15, $E$9, 100%, $G$9) + CHOOSE(CONTROL!$C$38, 0.0369, 0)</f>
        <v>14.674099999999999</v>
      </c>
      <c r="D56" s="14">
        <f>14.6294 * CHOOSE(CONTROL!$C$15, $E$9, 100%, $G$9) + CHOOSE(CONTROL!$C$38, 0.0369, 0)</f>
        <v>14.6663</v>
      </c>
      <c r="E56" s="46">
        <f>14.7066 * CHOOSE(CONTROL!$C$15, $E$9, 100%, $G$9) + CHOOSE(CONTROL!$C$38, 0.0369, 0)</f>
        <v>14.743499999999999</v>
      </c>
      <c r="F56" s="45">
        <f>14.7066 * CHOOSE(CONTROL!$C$15, $E$9, 100%, $G$9) + CHOOSE(CONTROL!$C$38, 0.0278, 0)</f>
        <v>14.734399999999999</v>
      </c>
      <c r="G56" s="14">
        <f>14.6357 * CHOOSE(CONTROL!$C$15, $E$9, 100%, $G$9) + CHOOSE(CONTROL!$C$38, 0.0369, 0)</f>
        <v>14.672599999999999</v>
      </c>
      <c r="H56" s="14">
        <f>14.6357 * CHOOSE(CONTROL!$C$15, $E$9, 100%, $G$9) + CHOOSE(CONTROL!$C$38, 0.0369, 0)</f>
        <v>14.672599999999999</v>
      </c>
      <c r="I56" s="14">
        <f>14.6372 * CHOOSE(CONTROL!$C$15, $E$9, 100%, $G$9) + CHOOSE(CONTROL!$C$38, 0.0369, 0)</f>
        <v>14.674099999999999</v>
      </c>
      <c r="J56" s="44">
        <f>97.2481</f>
        <v>97.248099999999994</v>
      </c>
    </row>
    <row r="57" spans="1:10" ht="15" x14ac:dyDescent="0.2">
      <c r="A57" s="13">
        <v>42644</v>
      </c>
      <c r="B57" s="14">
        <f>15.1497 * CHOOSE(CONTROL!$C$15, $E$9, 100%, $G$9) + CHOOSE(CONTROL!$C$38, 0.0256, 0)</f>
        <v>15.1753</v>
      </c>
      <c r="C57" s="14">
        <f>14.9239 * CHOOSE(CONTROL!$C$15, $E$9, 100%, $G$9) + CHOOSE(CONTROL!$C$38, 0.0347, 0)</f>
        <v>14.958600000000001</v>
      </c>
      <c r="D57" s="14">
        <f>14.9161 * CHOOSE(CONTROL!$C$15, $E$9, 100%, $G$9) + CHOOSE(CONTROL!$C$38, 0.0347, 0)</f>
        <v>14.950800000000001</v>
      </c>
      <c r="E57" s="46">
        <f>14.9934 * CHOOSE(CONTROL!$C$15, $E$9, 100%, $G$9) + CHOOSE(CONTROL!$C$38, 0.0347, 0)</f>
        <v>15.0281</v>
      </c>
      <c r="F57" s="45">
        <f>14.9934 * CHOOSE(CONTROL!$C$15, $E$9, 100%, $G$9) + CHOOSE(CONTROL!$C$38, 0.0256, 0)</f>
        <v>15.019</v>
      </c>
      <c r="G57" s="14">
        <f>14.9223 * CHOOSE(CONTROL!$C$15, $E$9, 100%, $G$9) + CHOOSE(CONTROL!$C$38, 0.0347, 0)</f>
        <v>14.957000000000001</v>
      </c>
      <c r="H57" s="14">
        <f>14.9223 * CHOOSE(CONTROL!$C$15, $E$9, 100%, $G$9) + CHOOSE(CONTROL!$C$38, 0.0347, 0)</f>
        <v>14.957000000000001</v>
      </c>
      <c r="I57" s="14">
        <f>14.9239 * CHOOSE(CONTROL!$C$15, $E$9, 100%, $G$9) + CHOOSE(CONTROL!$C$38, 0.0347, 0)</f>
        <v>14.958600000000001</v>
      </c>
      <c r="J57" s="44">
        <f>94.0786</f>
        <v>94.078599999999994</v>
      </c>
    </row>
    <row r="58" spans="1:10" ht="15" x14ac:dyDescent="0.2">
      <c r="A58" s="13">
        <v>42675</v>
      </c>
      <c r="B58" s="14">
        <f>15.3949 * CHOOSE(CONTROL!$C$15, $E$9, 100%, $G$9) + CHOOSE(CONTROL!$C$38, 0.0256, 0)</f>
        <v>15.420500000000001</v>
      </c>
      <c r="C58" s="14">
        <f>15.169 * CHOOSE(CONTROL!$C$15, $E$9, 100%, $G$9) + CHOOSE(CONTROL!$C$38, 0.0347, 0)</f>
        <v>15.203700000000001</v>
      </c>
      <c r="D58" s="14">
        <f>15.1612 * CHOOSE(CONTROL!$C$15, $E$9, 100%, $G$9) + CHOOSE(CONTROL!$C$38, 0.0347, 0)</f>
        <v>15.1959</v>
      </c>
      <c r="E58" s="46">
        <f>15.2386 * CHOOSE(CONTROL!$C$15, $E$9, 100%, $G$9) + CHOOSE(CONTROL!$C$38, 0.0347, 0)</f>
        <v>15.273300000000001</v>
      </c>
      <c r="F58" s="45">
        <f>15.2386 * CHOOSE(CONTROL!$C$15, $E$9, 100%, $G$9) + CHOOSE(CONTROL!$C$38, 0.0256, 0)</f>
        <v>15.264200000000001</v>
      </c>
      <c r="G58" s="14">
        <f>15.1674 * CHOOSE(CONTROL!$C$15, $E$9, 100%, $G$9) + CHOOSE(CONTROL!$C$38, 0.0347, 0)</f>
        <v>15.202100000000002</v>
      </c>
      <c r="H58" s="14">
        <f>15.1674 * CHOOSE(CONTROL!$C$15, $E$9, 100%, $G$9) + CHOOSE(CONTROL!$C$38, 0.0347, 0)</f>
        <v>15.202100000000002</v>
      </c>
      <c r="I58" s="14">
        <f>15.169 * CHOOSE(CONTROL!$C$15, $E$9, 100%, $G$9) + CHOOSE(CONTROL!$C$38, 0.0347, 0)</f>
        <v>15.203700000000001</v>
      </c>
      <c r="J58" s="44">
        <f>93.6006</f>
        <v>93.6006</v>
      </c>
    </row>
    <row r="59" spans="1:10" ht="15" x14ac:dyDescent="0.2">
      <c r="A59" s="13">
        <v>42705</v>
      </c>
      <c r="B59" s="14">
        <f>16.0901 * CHOOSE(CONTROL!$C$15, $E$9, 100%, $G$9) + CHOOSE(CONTROL!$C$38, 0.0256, 0)</f>
        <v>16.1157</v>
      </c>
      <c r="C59" s="14">
        <f>15.864 * CHOOSE(CONTROL!$C$15, $E$9, 100%, $G$9) + CHOOSE(CONTROL!$C$38, 0.0347, 0)</f>
        <v>15.898700000000002</v>
      </c>
      <c r="D59" s="14">
        <f>15.8562 * CHOOSE(CONTROL!$C$15, $E$9, 100%, $G$9) + CHOOSE(CONTROL!$C$38, 0.0347, 0)</f>
        <v>15.8909</v>
      </c>
      <c r="E59" s="46">
        <f>15.9338 * CHOOSE(CONTROL!$C$15, $E$9, 100%, $G$9) + CHOOSE(CONTROL!$C$38, 0.0347, 0)</f>
        <v>15.968500000000001</v>
      </c>
      <c r="F59" s="45">
        <f>15.9338 * CHOOSE(CONTROL!$C$15, $E$9, 100%, $G$9) + CHOOSE(CONTROL!$C$38, 0.0256, 0)</f>
        <v>15.9594</v>
      </c>
      <c r="G59" s="14">
        <f>15.8625 * CHOOSE(CONTROL!$C$15, $E$9, 100%, $G$9) + CHOOSE(CONTROL!$C$38, 0.0347, 0)</f>
        <v>15.897200000000002</v>
      </c>
      <c r="H59" s="14">
        <f>15.8625 * CHOOSE(CONTROL!$C$15, $E$9, 100%, $G$9) + CHOOSE(CONTROL!$C$38, 0.0347, 0)</f>
        <v>15.897200000000002</v>
      </c>
      <c r="I59" s="14">
        <f>15.864 * CHOOSE(CONTROL!$C$15, $E$9, 100%, $G$9) + CHOOSE(CONTROL!$C$38, 0.0347, 0)</f>
        <v>15.898700000000002</v>
      </c>
      <c r="J59" s="44">
        <f>91.0101</f>
        <v>91.010099999999994</v>
      </c>
    </row>
    <row r="60" spans="1:10" ht="15" x14ac:dyDescent="0.2">
      <c r="A60" s="13">
        <v>42736</v>
      </c>
      <c r="B60" s="14">
        <f>16.282 * CHOOSE(CONTROL!$C$15, $E$9, 100%, $G$9) + CHOOSE(CONTROL!$C$38, 0.0256, 0)</f>
        <v>16.307600000000001</v>
      </c>
      <c r="C60" s="14">
        <f>16.0571 * CHOOSE(CONTROL!$C$15, $E$9, 100%, $G$9) + CHOOSE(CONTROL!$C$38, 0.0347, 0)</f>
        <v>16.091799999999999</v>
      </c>
      <c r="D60" s="14">
        <f>16.0493 * CHOOSE(CONTROL!$C$15, $E$9, 100%, $G$9) + CHOOSE(CONTROL!$C$38, 0.0347, 0)</f>
        <v>16.084</v>
      </c>
      <c r="E60" s="46">
        <f>16.1257 * CHOOSE(CONTROL!$C$15, $E$9, 100%, $G$9) + CHOOSE(CONTROL!$C$38, 0.0347, 0)</f>
        <v>16.160399999999999</v>
      </c>
      <c r="F60" s="45">
        <f>16.1257 * CHOOSE(CONTROL!$C$15, $E$9, 100%, $G$9) + CHOOSE(CONTROL!$C$38, 0.0256, 0)</f>
        <v>16.151299999999999</v>
      </c>
      <c r="G60" s="14">
        <f>16.0555 * CHOOSE(CONTROL!$C$15, $E$9, 100%, $G$9) + CHOOSE(CONTROL!$C$38, 0.0347, 0)</f>
        <v>16.090199999999999</v>
      </c>
      <c r="H60" s="14">
        <f>16.0555 * CHOOSE(CONTROL!$C$15, $E$9, 100%, $G$9) + CHOOSE(CONTROL!$C$38, 0.0347, 0)</f>
        <v>16.090199999999999</v>
      </c>
      <c r="I60" s="14">
        <f>16.0571 * CHOOSE(CONTROL!$C$15, $E$9, 100%, $G$9) + CHOOSE(CONTROL!$C$38, 0.0347, 0)</f>
        <v>16.091799999999999</v>
      </c>
      <c r="J60" s="44">
        <f>87.04</f>
        <v>87.04</v>
      </c>
    </row>
    <row r="61" spans="1:10" ht="15" x14ac:dyDescent="0.2">
      <c r="A61" s="13">
        <v>42767</v>
      </c>
      <c r="B61" s="14">
        <f>16.5615 * CHOOSE(CONTROL!$C$15, $E$9, 100%, $G$9) + CHOOSE(CONTROL!$C$38, 0.0256, 0)</f>
        <v>16.5871</v>
      </c>
      <c r="C61" s="14">
        <f>16.3364 * CHOOSE(CONTROL!$C$15, $E$9, 100%, $G$9) + CHOOSE(CONTROL!$C$38, 0.0347, 0)</f>
        <v>16.371100000000002</v>
      </c>
      <c r="D61" s="14">
        <f>16.3286 * CHOOSE(CONTROL!$C$15, $E$9, 100%, $G$9) + CHOOSE(CONTROL!$C$38, 0.0347, 0)</f>
        <v>16.363300000000002</v>
      </c>
      <c r="E61" s="46">
        <f>16.4052 * CHOOSE(CONTROL!$C$15, $E$9, 100%, $G$9) + CHOOSE(CONTROL!$C$38, 0.0347, 0)</f>
        <v>16.439900000000002</v>
      </c>
      <c r="F61" s="45">
        <f>16.4052 * CHOOSE(CONTROL!$C$15, $E$9, 100%, $G$9) + CHOOSE(CONTROL!$C$38, 0.0256, 0)</f>
        <v>16.430800000000001</v>
      </c>
      <c r="G61" s="14">
        <f>16.3349 * CHOOSE(CONTROL!$C$15, $E$9, 100%, $G$9) + CHOOSE(CONTROL!$C$38, 0.0347, 0)</f>
        <v>16.369600000000002</v>
      </c>
      <c r="H61" s="14">
        <f>16.3349 * CHOOSE(CONTROL!$C$15, $E$9, 100%, $G$9) + CHOOSE(CONTROL!$C$38, 0.0347, 0)</f>
        <v>16.369600000000002</v>
      </c>
      <c r="I61" s="14">
        <f>16.3364 * CHOOSE(CONTROL!$C$15, $E$9, 100%, $G$9) + CHOOSE(CONTROL!$C$38, 0.0347, 0)</f>
        <v>16.371100000000002</v>
      </c>
      <c r="J61" s="44">
        <f>86.9768</f>
        <v>86.976799999999997</v>
      </c>
    </row>
    <row r="62" spans="1:10" ht="15" x14ac:dyDescent="0.2">
      <c r="A62" s="13">
        <v>42795</v>
      </c>
      <c r="B62" s="14">
        <f>16.0209 * CHOOSE(CONTROL!$C$15, $E$9, 100%, $G$9) + CHOOSE(CONTROL!$C$38, 0.0256, 0)</f>
        <v>16.046500000000002</v>
      </c>
      <c r="C62" s="14">
        <f>15.7957 * CHOOSE(CONTROL!$C$15, $E$9, 100%, $G$9) + CHOOSE(CONTROL!$C$38, 0.0347, 0)</f>
        <v>15.830400000000001</v>
      </c>
      <c r="D62" s="14">
        <f>15.7879 * CHOOSE(CONTROL!$C$15, $E$9, 100%, $G$9) + CHOOSE(CONTROL!$C$38, 0.0347, 0)</f>
        <v>15.822600000000001</v>
      </c>
      <c r="E62" s="46">
        <f>15.8646 * CHOOSE(CONTROL!$C$15, $E$9, 100%, $G$9) + CHOOSE(CONTROL!$C$38, 0.0347, 0)</f>
        <v>15.8993</v>
      </c>
      <c r="F62" s="45">
        <f>15.8646 * CHOOSE(CONTROL!$C$15, $E$9, 100%, $G$9) + CHOOSE(CONTROL!$C$38, 0.0256, 0)</f>
        <v>15.8902</v>
      </c>
      <c r="G62" s="14">
        <f>15.7941 * CHOOSE(CONTROL!$C$15, $E$9, 100%, $G$9) + CHOOSE(CONTROL!$C$38, 0.0347, 0)</f>
        <v>15.828800000000001</v>
      </c>
      <c r="H62" s="14">
        <f>15.7941 * CHOOSE(CONTROL!$C$15, $E$9, 100%, $G$9) + CHOOSE(CONTROL!$C$38, 0.0347, 0)</f>
        <v>15.828800000000001</v>
      </c>
      <c r="I62" s="14">
        <f>15.7957 * CHOOSE(CONTROL!$C$15, $E$9, 100%, $G$9) + CHOOSE(CONTROL!$C$38, 0.0347, 0)</f>
        <v>15.830400000000001</v>
      </c>
      <c r="J62" s="44">
        <f>91.7496</f>
        <v>91.749600000000001</v>
      </c>
    </row>
    <row r="63" spans="1:10" ht="15" x14ac:dyDescent="0.2">
      <c r="A63" s="13">
        <v>42826</v>
      </c>
      <c r="B63" s="14">
        <f>15.4958 * CHOOSE(CONTROL!$C$15, $E$9, 100%, $G$9) + CHOOSE(CONTROL!$C$38, 0.0256, 0)</f>
        <v>15.5214</v>
      </c>
      <c r="C63" s="14">
        <f>15.2705 * CHOOSE(CONTROL!$C$15, $E$9, 100%, $G$9) + CHOOSE(CONTROL!$C$38, 0.0347, 0)</f>
        <v>15.305200000000001</v>
      </c>
      <c r="D63" s="14">
        <f>15.2627 * CHOOSE(CONTROL!$C$15, $E$9, 100%, $G$9) + CHOOSE(CONTROL!$C$38, 0.0347, 0)</f>
        <v>15.297400000000001</v>
      </c>
      <c r="E63" s="46">
        <f>15.3395 * CHOOSE(CONTROL!$C$15, $E$9, 100%, $G$9) + CHOOSE(CONTROL!$C$38, 0.0347, 0)</f>
        <v>15.3742</v>
      </c>
      <c r="F63" s="45">
        <f>15.3395 * CHOOSE(CONTROL!$C$15, $E$9, 100%, $G$9) + CHOOSE(CONTROL!$C$38, 0.0256, 0)</f>
        <v>15.3651</v>
      </c>
      <c r="G63" s="14">
        <f>15.2689 * CHOOSE(CONTROL!$C$15, $E$9, 100%, $G$9) + CHOOSE(CONTROL!$C$38, 0.0347, 0)</f>
        <v>15.303600000000001</v>
      </c>
      <c r="H63" s="14">
        <f>15.2689 * CHOOSE(CONTROL!$C$15, $E$9, 100%, $G$9) + CHOOSE(CONTROL!$C$38, 0.0347, 0)</f>
        <v>15.303600000000001</v>
      </c>
      <c r="I63" s="14">
        <f>15.2705 * CHOOSE(CONTROL!$C$15, $E$9, 100%, $G$9) + CHOOSE(CONTROL!$C$38, 0.0347, 0)</f>
        <v>15.305200000000001</v>
      </c>
      <c r="J63" s="44">
        <f>97.9077</f>
        <v>97.907700000000006</v>
      </c>
    </row>
    <row r="64" spans="1:10" ht="15" x14ac:dyDescent="0.2">
      <c r="A64" s="13">
        <v>42856</v>
      </c>
      <c r="B64" s="14">
        <f>14.9449 * CHOOSE(CONTROL!$C$15, $E$9, 100%, $G$9) + CHOOSE(CONTROL!$C$38, 0.0278, 0)</f>
        <v>14.9727</v>
      </c>
      <c r="C64" s="14">
        <f>14.7195 * CHOOSE(CONTROL!$C$15, $E$9, 100%, $G$9) + CHOOSE(CONTROL!$C$38, 0.0369, 0)</f>
        <v>14.756399999999999</v>
      </c>
      <c r="D64" s="14">
        <f>14.7116 * CHOOSE(CONTROL!$C$15, $E$9, 100%, $G$9) + CHOOSE(CONTROL!$C$38, 0.0369, 0)</f>
        <v>14.7485</v>
      </c>
      <c r="E64" s="46">
        <f>14.7887 * CHOOSE(CONTROL!$C$15, $E$9, 100%, $G$9) + CHOOSE(CONTROL!$C$38, 0.0369, 0)</f>
        <v>14.8256</v>
      </c>
      <c r="F64" s="45">
        <f>14.7887 * CHOOSE(CONTROL!$C$15, $E$9, 100%, $G$9) + CHOOSE(CONTROL!$C$38, 0.0278, 0)</f>
        <v>14.8165</v>
      </c>
      <c r="G64" s="14">
        <f>14.7179 * CHOOSE(CONTROL!$C$15, $E$9, 100%, $G$9) + CHOOSE(CONTROL!$C$38, 0.0369, 0)</f>
        <v>14.754799999999999</v>
      </c>
      <c r="H64" s="14">
        <f>14.7179 * CHOOSE(CONTROL!$C$15, $E$9, 100%, $G$9) + CHOOSE(CONTROL!$C$38, 0.0369, 0)</f>
        <v>14.754799999999999</v>
      </c>
      <c r="I64" s="14">
        <f>14.7195 * CHOOSE(CONTROL!$C$15, $E$9, 100%, $G$9) + CHOOSE(CONTROL!$C$38, 0.0369, 0)</f>
        <v>14.756399999999999</v>
      </c>
      <c r="J64" s="44">
        <f>101.4017</f>
        <v>101.40170000000001</v>
      </c>
    </row>
    <row r="65" spans="1:10" ht="15" x14ac:dyDescent="0.2">
      <c r="A65" s="13">
        <v>42887</v>
      </c>
      <c r="B65" s="14">
        <f>14.5659 * CHOOSE(CONTROL!$C$15, $E$9, 100%, $G$9) + CHOOSE(CONTROL!$C$38, 0.0278, 0)</f>
        <v>14.593699999999998</v>
      </c>
      <c r="C65" s="14">
        <f>14.3403 * CHOOSE(CONTROL!$C$15, $E$9, 100%, $G$9) + CHOOSE(CONTROL!$C$38, 0.0369, 0)</f>
        <v>14.377199999999998</v>
      </c>
      <c r="D65" s="14">
        <f>14.3325 * CHOOSE(CONTROL!$C$15, $E$9, 100%, $G$9) + CHOOSE(CONTROL!$C$38, 0.0369, 0)</f>
        <v>14.369399999999999</v>
      </c>
      <c r="E65" s="46">
        <f>14.4096 * CHOOSE(CONTROL!$C$15, $E$9, 100%, $G$9) + CHOOSE(CONTROL!$C$38, 0.0369, 0)</f>
        <v>14.446499999999999</v>
      </c>
      <c r="F65" s="45">
        <f>14.4096 * CHOOSE(CONTROL!$C$15, $E$9, 100%, $G$9) + CHOOSE(CONTROL!$C$38, 0.0278, 0)</f>
        <v>14.437399999999998</v>
      </c>
      <c r="G65" s="14">
        <f>14.3387 * CHOOSE(CONTROL!$C$15, $E$9, 100%, $G$9) + CHOOSE(CONTROL!$C$38, 0.0369, 0)</f>
        <v>14.375599999999999</v>
      </c>
      <c r="H65" s="14">
        <f>14.3387 * CHOOSE(CONTROL!$C$15, $E$9, 100%, $G$9) + CHOOSE(CONTROL!$C$38, 0.0369, 0)</f>
        <v>14.375599999999999</v>
      </c>
      <c r="I65" s="14">
        <f>14.3403 * CHOOSE(CONTROL!$C$15, $E$9, 100%, $G$9) + CHOOSE(CONTROL!$C$38, 0.0369, 0)</f>
        <v>14.377199999999998</v>
      </c>
      <c r="J65" s="44">
        <f>103.0747</f>
        <v>103.07470000000001</v>
      </c>
    </row>
    <row r="66" spans="1:10" ht="15" x14ac:dyDescent="0.2">
      <c r="A66" s="13">
        <v>42917</v>
      </c>
      <c r="B66" s="14">
        <f>14.361 * CHOOSE(CONTROL!$C$15, $E$9, 100%, $G$9) + CHOOSE(CONTROL!$C$38, 0.0278, 0)</f>
        <v>14.3888</v>
      </c>
      <c r="C66" s="14">
        <f>14.1353 * CHOOSE(CONTROL!$C$15, $E$9, 100%, $G$9) + CHOOSE(CONTROL!$C$38, 0.0369, 0)</f>
        <v>14.1722</v>
      </c>
      <c r="D66" s="14">
        <f>14.1274 * CHOOSE(CONTROL!$C$15, $E$9, 100%, $G$9) + CHOOSE(CONTROL!$C$38, 0.0369, 0)</f>
        <v>14.164299999999999</v>
      </c>
      <c r="E66" s="46">
        <f>14.2047 * CHOOSE(CONTROL!$C$15, $E$9, 100%, $G$9) + CHOOSE(CONTROL!$C$38, 0.0369, 0)</f>
        <v>14.2416</v>
      </c>
      <c r="F66" s="45">
        <f>14.2047 * CHOOSE(CONTROL!$C$15, $E$9, 100%, $G$9) + CHOOSE(CONTROL!$C$38, 0.0278, 0)</f>
        <v>14.2325</v>
      </c>
      <c r="G66" s="14">
        <f>14.1337 * CHOOSE(CONTROL!$C$15, $E$9, 100%, $G$9) + CHOOSE(CONTROL!$C$38, 0.0369, 0)</f>
        <v>14.170599999999999</v>
      </c>
      <c r="H66" s="14">
        <f>14.1337 * CHOOSE(CONTROL!$C$15, $E$9, 100%, $G$9) + CHOOSE(CONTROL!$C$38, 0.0369, 0)</f>
        <v>14.170599999999999</v>
      </c>
      <c r="I66" s="14">
        <f>14.1353 * CHOOSE(CONTROL!$C$15, $E$9, 100%, $G$9) + CHOOSE(CONTROL!$C$38, 0.0369, 0)</f>
        <v>14.1722</v>
      </c>
      <c r="J66" s="44">
        <f>102.804</f>
        <v>102.804</v>
      </c>
    </row>
    <row r="67" spans="1:10" ht="15" x14ac:dyDescent="0.2">
      <c r="A67" s="13">
        <v>42948</v>
      </c>
      <c r="B67" s="14">
        <f>14.5048 * CHOOSE(CONTROL!$C$15, $E$9, 100%, $G$9) + CHOOSE(CONTROL!$C$38, 0.0278, 0)</f>
        <v>14.532599999999999</v>
      </c>
      <c r="C67" s="14">
        <f>14.279 * CHOOSE(CONTROL!$C$15, $E$9, 100%, $G$9) + CHOOSE(CONTROL!$C$38, 0.0369, 0)</f>
        <v>14.315899999999999</v>
      </c>
      <c r="D67" s="14">
        <f>14.2711 * CHOOSE(CONTROL!$C$15, $E$9, 100%, $G$9) + CHOOSE(CONTROL!$C$38, 0.0369, 0)</f>
        <v>14.308</v>
      </c>
      <c r="E67" s="46">
        <f>14.3486 * CHOOSE(CONTROL!$C$15, $E$9, 100%, $G$9) + CHOOSE(CONTROL!$C$38, 0.0369, 0)</f>
        <v>14.385499999999999</v>
      </c>
      <c r="F67" s="45">
        <f>14.3486 * CHOOSE(CONTROL!$C$15, $E$9, 100%, $G$9) + CHOOSE(CONTROL!$C$38, 0.0278, 0)</f>
        <v>14.376399999999999</v>
      </c>
      <c r="G67" s="14">
        <f>14.2774 * CHOOSE(CONTROL!$C$15, $E$9, 100%, $G$9) + CHOOSE(CONTROL!$C$38, 0.0369, 0)</f>
        <v>14.314299999999999</v>
      </c>
      <c r="H67" s="14">
        <f>14.2774 * CHOOSE(CONTROL!$C$15, $E$9, 100%, $G$9) + CHOOSE(CONTROL!$C$38, 0.0369, 0)</f>
        <v>14.314299999999999</v>
      </c>
      <c r="I67" s="14">
        <f>14.279 * CHOOSE(CONTROL!$C$15, $E$9, 100%, $G$9) + CHOOSE(CONTROL!$C$38, 0.0369, 0)</f>
        <v>14.315899999999999</v>
      </c>
      <c r="J67" s="44">
        <f>100.6175</f>
        <v>100.61750000000001</v>
      </c>
    </row>
    <row r="68" spans="1:10" ht="15" x14ac:dyDescent="0.2">
      <c r="A68" s="13">
        <v>42979</v>
      </c>
      <c r="B68" s="14">
        <f>14.8479 * CHOOSE(CONTROL!$C$15, $E$9, 100%, $G$9) + CHOOSE(CONTROL!$C$38, 0.0278, 0)</f>
        <v>14.875699999999998</v>
      </c>
      <c r="C68" s="14">
        <f>14.6219 * CHOOSE(CONTROL!$C$15, $E$9, 100%, $G$9) + CHOOSE(CONTROL!$C$38, 0.0369, 0)</f>
        <v>14.658799999999999</v>
      </c>
      <c r="D68" s="14">
        <f>14.6141 * CHOOSE(CONTROL!$C$15, $E$9, 100%, $G$9) + CHOOSE(CONTROL!$C$38, 0.0369, 0)</f>
        <v>14.651</v>
      </c>
      <c r="E68" s="46">
        <f>14.6917 * CHOOSE(CONTROL!$C$15, $E$9, 100%, $G$9) + CHOOSE(CONTROL!$C$38, 0.0369, 0)</f>
        <v>14.7286</v>
      </c>
      <c r="F68" s="45">
        <f>14.6917 * CHOOSE(CONTROL!$C$15, $E$9, 100%, $G$9) + CHOOSE(CONTROL!$C$38, 0.0278, 0)</f>
        <v>14.7195</v>
      </c>
      <c r="G68" s="14">
        <f>14.6203 * CHOOSE(CONTROL!$C$15, $E$9, 100%, $G$9) + CHOOSE(CONTROL!$C$38, 0.0369, 0)</f>
        <v>14.6572</v>
      </c>
      <c r="H68" s="14">
        <f>14.6203 * CHOOSE(CONTROL!$C$15, $E$9, 100%, $G$9) + CHOOSE(CONTROL!$C$38, 0.0369, 0)</f>
        <v>14.6572</v>
      </c>
      <c r="I68" s="14">
        <f>14.6219 * CHOOSE(CONTROL!$C$15, $E$9, 100%, $G$9) + CHOOSE(CONTROL!$C$38, 0.0369, 0)</f>
        <v>14.658799999999999</v>
      </c>
      <c r="J68" s="44">
        <f>97.4736</f>
        <v>97.473600000000005</v>
      </c>
    </row>
    <row r="69" spans="1:10" ht="15" x14ac:dyDescent="0.2">
      <c r="A69" s="13">
        <v>43009</v>
      </c>
      <c r="B69" s="14">
        <f>15.1411 * CHOOSE(CONTROL!$C$15, $E$9, 100%, $G$9) + CHOOSE(CONTROL!$C$38, 0.0256, 0)</f>
        <v>15.166700000000001</v>
      </c>
      <c r="C69" s="14">
        <f>14.915 * CHOOSE(CONTROL!$C$15, $E$9, 100%, $G$9) + CHOOSE(CONTROL!$C$38, 0.0347, 0)</f>
        <v>14.9497</v>
      </c>
      <c r="D69" s="14">
        <f>14.9071 * CHOOSE(CONTROL!$C$15, $E$9, 100%, $G$9) + CHOOSE(CONTROL!$C$38, 0.0347, 0)</f>
        <v>14.941800000000001</v>
      </c>
      <c r="E69" s="46">
        <f>14.9849 * CHOOSE(CONTROL!$C$15, $E$9, 100%, $G$9) + CHOOSE(CONTROL!$C$38, 0.0347, 0)</f>
        <v>15.019600000000001</v>
      </c>
      <c r="F69" s="45">
        <f>14.9849 * CHOOSE(CONTROL!$C$15, $E$9, 100%, $G$9) + CHOOSE(CONTROL!$C$38, 0.0256, 0)</f>
        <v>15.0105</v>
      </c>
      <c r="G69" s="14">
        <f>14.9134 * CHOOSE(CONTROL!$C$15, $E$9, 100%, $G$9) + CHOOSE(CONTROL!$C$38, 0.0347, 0)</f>
        <v>14.9481</v>
      </c>
      <c r="H69" s="14">
        <f>14.9134 * CHOOSE(CONTROL!$C$15, $E$9, 100%, $G$9) + CHOOSE(CONTROL!$C$38, 0.0347, 0)</f>
        <v>14.9481</v>
      </c>
      <c r="I69" s="14">
        <f>14.915 * CHOOSE(CONTROL!$C$15, $E$9, 100%, $G$9) + CHOOSE(CONTROL!$C$38, 0.0347, 0)</f>
        <v>14.9497</v>
      </c>
      <c r="J69" s="44">
        <f>94.2967</f>
        <v>94.296700000000001</v>
      </c>
    </row>
    <row r="70" spans="1:10" ht="15" x14ac:dyDescent="0.2">
      <c r="A70" s="13">
        <v>43040</v>
      </c>
      <c r="B70" s="14">
        <f>15.3917 * CHOOSE(CONTROL!$C$15, $E$9, 100%, $G$9) + CHOOSE(CONTROL!$C$38, 0.0256, 0)</f>
        <v>15.417300000000001</v>
      </c>
      <c r="C70" s="14">
        <f>15.1654 * CHOOSE(CONTROL!$C$15, $E$9, 100%, $G$9) + CHOOSE(CONTROL!$C$38, 0.0347, 0)</f>
        <v>15.200100000000001</v>
      </c>
      <c r="D70" s="14">
        <f>15.1576 * CHOOSE(CONTROL!$C$15, $E$9, 100%, $G$9) + CHOOSE(CONTROL!$C$38, 0.0347, 0)</f>
        <v>15.192300000000001</v>
      </c>
      <c r="E70" s="46">
        <f>15.2355 * CHOOSE(CONTROL!$C$15, $E$9, 100%, $G$9) + CHOOSE(CONTROL!$C$38, 0.0347, 0)</f>
        <v>15.270200000000001</v>
      </c>
      <c r="F70" s="45">
        <f>15.2355 * CHOOSE(CONTROL!$C$15, $E$9, 100%, $G$9) + CHOOSE(CONTROL!$C$38, 0.0256, 0)</f>
        <v>15.261100000000001</v>
      </c>
      <c r="G70" s="14">
        <f>15.1638 * CHOOSE(CONTROL!$C$15, $E$9, 100%, $G$9) + CHOOSE(CONTROL!$C$38, 0.0347, 0)</f>
        <v>15.198500000000001</v>
      </c>
      <c r="H70" s="14">
        <f>15.1638 * CHOOSE(CONTROL!$C$15, $E$9, 100%, $G$9) + CHOOSE(CONTROL!$C$38, 0.0347, 0)</f>
        <v>15.198500000000001</v>
      </c>
      <c r="I70" s="14">
        <f>15.1654 * CHOOSE(CONTROL!$C$15, $E$9, 100%, $G$9) + CHOOSE(CONTROL!$C$38, 0.0347, 0)</f>
        <v>15.200100000000001</v>
      </c>
      <c r="J70" s="44">
        <f>93.8176</f>
        <v>93.817599999999999</v>
      </c>
    </row>
    <row r="71" spans="1:10" ht="15" x14ac:dyDescent="0.2">
      <c r="A71" s="13">
        <v>43070</v>
      </c>
      <c r="B71" s="14">
        <f>16.1035 * CHOOSE(CONTROL!$C$15, $E$9, 100%, $G$9) + CHOOSE(CONTROL!$C$38, 0.0256, 0)</f>
        <v>16.129100000000001</v>
      </c>
      <c r="C71" s="14">
        <f>15.8771 * CHOOSE(CONTROL!$C$15, $E$9, 100%, $G$9) + CHOOSE(CONTROL!$C$38, 0.0347, 0)</f>
        <v>15.911800000000001</v>
      </c>
      <c r="D71" s="14">
        <f>15.8693 * CHOOSE(CONTROL!$C$15, $E$9, 100%, $G$9) + CHOOSE(CONTROL!$C$38, 0.0347, 0)</f>
        <v>15.904000000000002</v>
      </c>
      <c r="E71" s="46">
        <f>15.9473 * CHOOSE(CONTROL!$C$15, $E$9, 100%, $G$9) + CHOOSE(CONTROL!$C$38, 0.0347, 0)</f>
        <v>15.982000000000001</v>
      </c>
      <c r="F71" s="45">
        <f>15.9473 * CHOOSE(CONTROL!$C$15, $E$9, 100%, $G$9) + CHOOSE(CONTROL!$C$38, 0.0256, 0)</f>
        <v>15.972900000000001</v>
      </c>
      <c r="G71" s="14">
        <f>15.8755 * CHOOSE(CONTROL!$C$15, $E$9, 100%, $G$9) + CHOOSE(CONTROL!$C$38, 0.0347, 0)</f>
        <v>15.910200000000001</v>
      </c>
      <c r="H71" s="14">
        <f>15.8755 * CHOOSE(CONTROL!$C$15, $E$9, 100%, $G$9) + CHOOSE(CONTROL!$C$38, 0.0347, 0)</f>
        <v>15.910200000000001</v>
      </c>
      <c r="I71" s="14">
        <f>15.8771 * CHOOSE(CONTROL!$C$15, $E$9, 100%, $G$9) + CHOOSE(CONTROL!$C$38, 0.0347, 0)</f>
        <v>15.911800000000001</v>
      </c>
      <c r="J71" s="44">
        <f>91.2211</f>
        <v>91.221100000000007</v>
      </c>
    </row>
    <row r="72" spans="1:10" ht="15" x14ac:dyDescent="0.2">
      <c r="A72" s="13">
        <v>43101</v>
      </c>
      <c r="B72" s="14">
        <f>18.1182 * CHOOSE(CONTROL!$C$15, $E$9, 100%, $G$9) + CHOOSE(CONTROL!$C$38, 0.0256, 0)</f>
        <v>18.143800000000002</v>
      </c>
      <c r="C72" s="14">
        <f>17.6462 * CHOOSE(CONTROL!$C$15, $E$9, 100%, $G$9) + CHOOSE(CONTROL!$C$38, 0.0347, 0)</f>
        <v>17.680900000000001</v>
      </c>
      <c r="D72" s="14">
        <f>17.6384 * CHOOSE(CONTROL!$C$15, $E$9, 100%, $G$9) + CHOOSE(CONTROL!$C$38, 0.0347, 0)</f>
        <v>17.673100000000002</v>
      </c>
      <c r="E72" s="46">
        <f>17.9619 * CHOOSE(CONTROL!$C$15, $E$9, 100%, $G$9) + CHOOSE(CONTROL!$C$38, 0.0347, 0)</f>
        <v>17.996600000000001</v>
      </c>
      <c r="F72" s="45">
        <f>17.9619 * CHOOSE(CONTROL!$C$15, $E$9, 100%, $G$9) + CHOOSE(CONTROL!$C$38, 0.0256, 0)</f>
        <v>17.987500000000001</v>
      </c>
      <c r="G72" s="14">
        <f>17.6446 * CHOOSE(CONTROL!$C$15, $E$9, 100%, $G$9) + CHOOSE(CONTROL!$C$38, 0.0347, 0)</f>
        <v>17.679300000000001</v>
      </c>
      <c r="H72" s="14">
        <f>17.6446 * CHOOSE(CONTROL!$C$15, $E$9, 100%, $G$9) + CHOOSE(CONTROL!$C$38, 0.0347, 0)</f>
        <v>17.679300000000001</v>
      </c>
      <c r="I72" s="14">
        <f>17.6462 * CHOOSE(CONTROL!$C$15, $E$9, 100%, $G$9) + CHOOSE(CONTROL!$C$38, 0.0347, 0)</f>
        <v>17.680900000000001</v>
      </c>
      <c r="J72" s="44">
        <f>100.9401</f>
        <v>100.9401</v>
      </c>
    </row>
    <row r="73" spans="1:10" ht="15" x14ac:dyDescent="0.2">
      <c r="A73" s="13">
        <v>43132</v>
      </c>
      <c r="B73" s="14">
        <f>18.4076 * CHOOSE(CONTROL!$C$15, $E$9, 100%, $G$9) + CHOOSE(CONTROL!$C$38, 0.0256, 0)</f>
        <v>18.433199999999999</v>
      </c>
      <c r="C73" s="14">
        <f>17.935 * CHOOSE(CONTROL!$C$15, $E$9, 100%, $G$9) + CHOOSE(CONTROL!$C$38, 0.0347, 0)</f>
        <v>17.9697</v>
      </c>
      <c r="D73" s="14">
        <f>17.9272 * CHOOSE(CONTROL!$C$15, $E$9, 100%, $G$9) + CHOOSE(CONTROL!$C$38, 0.0347, 0)</f>
        <v>17.9619</v>
      </c>
      <c r="E73" s="46">
        <f>18.2514 * CHOOSE(CONTROL!$C$15, $E$9, 100%, $G$9) + CHOOSE(CONTROL!$C$38, 0.0347, 0)</f>
        <v>18.286100000000001</v>
      </c>
      <c r="F73" s="45">
        <f>18.2514 * CHOOSE(CONTROL!$C$15, $E$9, 100%, $G$9) + CHOOSE(CONTROL!$C$38, 0.0256, 0)</f>
        <v>18.277000000000001</v>
      </c>
      <c r="G73" s="14">
        <f>17.9334 * CHOOSE(CONTROL!$C$15, $E$9, 100%, $G$9) + CHOOSE(CONTROL!$C$38, 0.0347, 0)</f>
        <v>17.9681</v>
      </c>
      <c r="H73" s="14">
        <f>17.9334 * CHOOSE(CONTROL!$C$15, $E$9, 100%, $G$9) + CHOOSE(CONTROL!$C$38, 0.0347, 0)</f>
        <v>17.9681</v>
      </c>
      <c r="I73" s="14">
        <f>17.935 * CHOOSE(CONTROL!$C$15, $E$9, 100%, $G$9) + CHOOSE(CONTROL!$C$38, 0.0347, 0)</f>
        <v>17.9697</v>
      </c>
      <c r="J73" s="44">
        <f>100.8669</f>
        <v>100.8669</v>
      </c>
    </row>
    <row r="74" spans="1:10" ht="15" x14ac:dyDescent="0.2">
      <c r="A74" s="13">
        <v>43160</v>
      </c>
      <c r="B74" s="14">
        <f>17.8565 * CHOOSE(CONTROL!$C$15, $E$9, 100%, $G$9) + CHOOSE(CONTROL!$C$38, 0.0256, 0)</f>
        <v>17.882100000000001</v>
      </c>
      <c r="C74" s="14">
        <f>17.3832 * CHOOSE(CONTROL!$C$15, $E$9, 100%, $G$9) + CHOOSE(CONTROL!$C$38, 0.0347, 0)</f>
        <v>17.417899999999999</v>
      </c>
      <c r="D74" s="14">
        <f>17.3754 * CHOOSE(CONTROL!$C$15, $E$9, 100%, $G$9) + CHOOSE(CONTROL!$C$38, 0.0347, 0)</f>
        <v>17.4101</v>
      </c>
      <c r="E74" s="46">
        <f>17.7003 * CHOOSE(CONTROL!$C$15, $E$9, 100%, $G$9) + CHOOSE(CONTROL!$C$38, 0.0347, 0)</f>
        <v>17.734999999999999</v>
      </c>
      <c r="F74" s="45">
        <f>17.7003 * CHOOSE(CONTROL!$C$15, $E$9, 100%, $G$9) + CHOOSE(CONTROL!$C$38, 0.0256, 0)</f>
        <v>17.725899999999999</v>
      </c>
      <c r="G74" s="14">
        <f>17.3816 * CHOOSE(CONTROL!$C$15, $E$9, 100%, $G$9) + CHOOSE(CONTROL!$C$38, 0.0347, 0)</f>
        <v>17.4163</v>
      </c>
      <c r="H74" s="14">
        <f>17.3816 * CHOOSE(CONTROL!$C$15, $E$9, 100%, $G$9) + CHOOSE(CONTROL!$C$38, 0.0347, 0)</f>
        <v>17.4163</v>
      </c>
      <c r="I74" s="14">
        <f>17.3832 * CHOOSE(CONTROL!$C$15, $E$9, 100%, $G$9) + CHOOSE(CONTROL!$C$38, 0.0347, 0)</f>
        <v>17.417899999999999</v>
      </c>
      <c r="J74" s="44">
        <f>106.4019</f>
        <v>106.4019</v>
      </c>
    </row>
    <row r="75" spans="1:10" ht="15" x14ac:dyDescent="0.2">
      <c r="A75" s="13">
        <v>43191</v>
      </c>
      <c r="B75" s="14">
        <f>17.3213 * CHOOSE(CONTROL!$C$15, $E$9, 100%, $G$9) + CHOOSE(CONTROL!$C$38, 0.0256, 0)</f>
        <v>17.346900000000002</v>
      </c>
      <c r="C75" s="14">
        <f>16.8473 * CHOOSE(CONTROL!$C$15, $E$9, 100%, $G$9) + CHOOSE(CONTROL!$C$38, 0.0347, 0)</f>
        <v>16.882000000000001</v>
      </c>
      <c r="D75" s="14">
        <f>16.8395 * CHOOSE(CONTROL!$C$15, $E$9, 100%, $G$9) + CHOOSE(CONTROL!$C$38, 0.0347, 0)</f>
        <v>16.874200000000002</v>
      </c>
      <c r="E75" s="46">
        <f>17.165 * CHOOSE(CONTROL!$C$15, $E$9, 100%, $G$9) + CHOOSE(CONTROL!$C$38, 0.0347, 0)</f>
        <v>17.1997</v>
      </c>
      <c r="F75" s="45">
        <f>17.165 * CHOOSE(CONTROL!$C$15, $E$9, 100%, $G$9) + CHOOSE(CONTROL!$C$38, 0.0256, 0)</f>
        <v>17.1906</v>
      </c>
      <c r="G75" s="14">
        <f>16.8457 * CHOOSE(CONTROL!$C$15, $E$9, 100%, $G$9) + CHOOSE(CONTROL!$C$38, 0.0347, 0)</f>
        <v>16.880400000000002</v>
      </c>
      <c r="H75" s="14">
        <f>16.8457 * CHOOSE(CONTROL!$C$15, $E$9, 100%, $G$9) + CHOOSE(CONTROL!$C$38, 0.0347, 0)</f>
        <v>16.880400000000002</v>
      </c>
      <c r="I75" s="14">
        <f>16.8473 * CHOOSE(CONTROL!$C$15, $E$9, 100%, $G$9) + CHOOSE(CONTROL!$C$38, 0.0347, 0)</f>
        <v>16.882000000000001</v>
      </c>
      <c r="J75" s="44">
        <f>113.5434</f>
        <v>113.54340000000001</v>
      </c>
    </row>
    <row r="76" spans="1:10" ht="15" x14ac:dyDescent="0.2">
      <c r="A76" s="13">
        <v>43221</v>
      </c>
      <c r="B76" s="14">
        <f>16.7596 * CHOOSE(CONTROL!$C$15, $E$9, 100%, $G$9) + CHOOSE(CONTROL!$C$38, 0.0278, 0)</f>
        <v>16.787399999999998</v>
      </c>
      <c r="C76" s="14">
        <f>16.285 * CHOOSE(CONTROL!$C$15, $E$9, 100%, $G$9) + CHOOSE(CONTROL!$C$38, 0.0369, 0)</f>
        <v>16.321899999999999</v>
      </c>
      <c r="D76" s="14">
        <f>16.2772 * CHOOSE(CONTROL!$C$15, $E$9, 100%, $G$9) + CHOOSE(CONTROL!$C$38, 0.0369, 0)</f>
        <v>16.3141</v>
      </c>
      <c r="E76" s="46">
        <f>16.6034 * CHOOSE(CONTROL!$C$15, $E$9, 100%, $G$9) + CHOOSE(CONTROL!$C$38, 0.0369, 0)</f>
        <v>16.6403</v>
      </c>
      <c r="F76" s="45">
        <f>16.6034 * CHOOSE(CONTROL!$C$15, $E$9, 100%, $G$9) + CHOOSE(CONTROL!$C$38, 0.0278, 0)</f>
        <v>16.6312</v>
      </c>
      <c r="G76" s="14">
        <f>16.2834 * CHOOSE(CONTROL!$C$15, $E$9, 100%, $G$9) + CHOOSE(CONTROL!$C$38, 0.0369, 0)</f>
        <v>16.3203</v>
      </c>
      <c r="H76" s="14">
        <f>16.2834 * CHOOSE(CONTROL!$C$15, $E$9, 100%, $G$9) + CHOOSE(CONTROL!$C$38, 0.0369, 0)</f>
        <v>16.3203</v>
      </c>
      <c r="I76" s="14">
        <f>16.285 * CHOOSE(CONTROL!$C$15, $E$9, 100%, $G$9) + CHOOSE(CONTROL!$C$38, 0.0369, 0)</f>
        <v>16.321899999999999</v>
      </c>
      <c r="J76" s="44">
        <f>117.5955</f>
        <v>117.5955</v>
      </c>
    </row>
    <row r="77" spans="1:10" ht="15" x14ac:dyDescent="0.2">
      <c r="A77" s="13">
        <v>43252</v>
      </c>
      <c r="B77" s="14">
        <f>16.3741 * CHOOSE(CONTROL!$C$15, $E$9, 100%, $G$9) + CHOOSE(CONTROL!$C$38, 0.0278, 0)</f>
        <v>16.401899999999998</v>
      </c>
      <c r="C77" s="14">
        <f>15.8988 * CHOOSE(CONTROL!$C$15, $E$9, 100%, $G$9) + CHOOSE(CONTROL!$C$38, 0.0369, 0)</f>
        <v>15.935699999999999</v>
      </c>
      <c r="D77" s="14">
        <f>15.891 * CHOOSE(CONTROL!$C$15, $E$9, 100%, $G$9) + CHOOSE(CONTROL!$C$38, 0.0369, 0)</f>
        <v>15.927899999999999</v>
      </c>
      <c r="E77" s="46">
        <f>16.2179 * CHOOSE(CONTROL!$C$15, $E$9, 100%, $G$9) + CHOOSE(CONTROL!$C$38, 0.0369, 0)</f>
        <v>16.254799999999999</v>
      </c>
      <c r="F77" s="45">
        <f>16.2179 * CHOOSE(CONTROL!$C$15, $E$9, 100%, $G$9) + CHOOSE(CONTROL!$C$38, 0.0278, 0)</f>
        <v>16.245699999999999</v>
      </c>
      <c r="G77" s="14">
        <f>15.8973 * CHOOSE(CONTROL!$C$15, $E$9, 100%, $G$9) + CHOOSE(CONTROL!$C$38, 0.0369, 0)</f>
        <v>15.934199999999999</v>
      </c>
      <c r="H77" s="14">
        <f>15.8973 * CHOOSE(CONTROL!$C$15, $E$9, 100%, $G$9) + CHOOSE(CONTROL!$C$38, 0.0369, 0)</f>
        <v>15.934199999999999</v>
      </c>
      <c r="I77" s="14">
        <f>15.8988 * CHOOSE(CONTROL!$C$15, $E$9, 100%, $G$9) + CHOOSE(CONTROL!$C$38, 0.0369, 0)</f>
        <v>15.935699999999999</v>
      </c>
      <c r="J77" s="44">
        <f>119.5356</f>
        <v>119.5356</v>
      </c>
    </row>
    <row r="78" spans="1:10" ht="15" x14ac:dyDescent="0.2">
      <c r="A78" s="13">
        <v>43282</v>
      </c>
      <c r="B78" s="14">
        <f>16.1671 * CHOOSE(CONTROL!$C$15, $E$9, 100%, $G$9) + CHOOSE(CONTROL!$C$38, 0.0278, 0)</f>
        <v>16.194900000000001</v>
      </c>
      <c r="C78" s="14">
        <f>15.6912 * CHOOSE(CONTROL!$C$15, $E$9, 100%, $G$9) + CHOOSE(CONTROL!$C$38, 0.0369, 0)</f>
        <v>15.7281</v>
      </c>
      <c r="D78" s="14">
        <f>15.6834 * CHOOSE(CONTROL!$C$15, $E$9, 100%, $G$9) + CHOOSE(CONTROL!$C$38, 0.0369, 0)</f>
        <v>15.7203</v>
      </c>
      <c r="E78" s="46">
        <f>16.0109 * CHOOSE(CONTROL!$C$15, $E$9, 100%, $G$9) + CHOOSE(CONTROL!$C$38, 0.0369, 0)</f>
        <v>16.047799999999999</v>
      </c>
      <c r="F78" s="45">
        <f>16.0109 * CHOOSE(CONTROL!$C$15, $E$9, 100%, $G$9) + CHOOSE(CONTROL!$C$38, 0.0278, 0)</f>
        <v>16.038699999999999</v>
      </c>
      <c r="G78" s="14">
        <f>15.6896 * CHOOSE(CONTROL!$C$15, $E$9, 100%, $G$9) + CHOOSE(CONTROL!$C$38, 0.0369, 0)</f>
        <v>15.7265</v>
      </c>
      <c r="H78" s="14">
        <f>15.6896 * CHOOSE(CONTROL!$C$15, $E$9, 100%, $G$9) + CHOOSE(CONTROL!$C$38, 0.0369, 0)</f>
        <v>15.7265</v>
      </c>
      <c r="I78" s="14">
        <f>15.6912 * CHOOSE(CONTROL!$C$15, $E$9, 100%, $G$9) + CHOOSE(CONTROL!$C$38, 0.0369, 0)</f>
        <v>15.7281</v>
      </c>
      <c r="J78" s="44">
        <f>119.2216</f>
        <v>119.2216</v>
      </c>
    </row>
    <row r="79" spans="1:10" ht="15" x14ac:dyDescent="0.2">
      <c r="A79" s="13">
        <v>43313</v>
      </c>
      <c r="B79" s="14">
        <f>16.3176 * CHOOSE(CONTROL!$C$15, $E$9, 100%, $G$9) + CHOOSE(CONTROL!$C$38, 0.0278, 0)</f>
        <v>16.345399999999998</v>
      </c>
      <c r="C79" s="14">
        <f>15.841 * CHOOSE(CONTROL!$C$15, $E$9, 100%, $G$9) + CHOOSE(CONTROL!$C$38, 0.0369, 0)</f>
        <v>15.877899999999999</v>
      </c>
      <c r="D79" s="14">
        <f>15.8332 * CHOOSE(CONTROL!$C$15, $E$9, 100%, $G$9) + CHOOSE(CONTROL!$C$38, 0.0369, 0)</f>
        <v>15.870099999999999</v>
      </c>
      <c r="E79" s="46">
        <f>16.1613 * CHOOSE(CONTROL!$C$15, $E$9, 100%, $G$9) + CHOOSE(CONTROL!$C$38, 0.0369, 0)</f>
        <v>16.1982</v>
      </c>
      <c r="F79" s="45">
        <f>16.1613 * CHOOSE(CONTROL!$C$15, $E$9, 100%, $G$9) + CHOOSE(CONTROL!$C$38, 0.0278, 0)</f>
        <v>16.1891</v>
      </c>
      <c r="G79" s="14">
        <f>15.8394 * CHOOSE(CONTROL!$C$15, $E$9, 100%, $G$9) + CHOOSE(CONTROL!$C$38, 0.0369, 0)</f>
        <v>15.876299999999999</v>
      </c>
      <c r="H79" s="14">
        <f>15.8394 * CHOOSE(CONTROL!$C$15, $E$9, 100%, $G$9) + CHOOSE(CONTROL!$C$38, 0.0369, 0)</f>
        <v>15.876299999999999</v>
      </c>
      <c r="I79" s="14">
        <f>15.841 * CHOOSE(CONTROL!$C$15, $E$9, 100%, $G$9) + CHOOSE(CONTROL!$C$38, 0.0369, 0)</f>
        <v>15.877899999999999</v>
      </c>
      <c r="J79" s="44">
        <f>116.6861</f>
        <v>116.6861</v>
      </c>
    </row>
    <row r="80" spans="1:10" ht="15" x14ac:dyDescent="0.2">
      <c r="A80" s="13">
        <v>43344</v>
      </c>
      <c r="B80" s="14">
        <f>16.6722 * CHOOSE(CONTROL!$C$15, $E$9, 100%, $G$9) + CHOOSE(CONTROL!$C$38, 0.0278, 0)</f>
        <v>16.7</v>
      </c>
      <c r="C80" s="14">
        <f>16.195 * CHOOSE(CONTROL!$C$15, $E$9, 100%, $G$9) + CHOOSE(CONTROL!$C$38, 0.0369, 0)</f>
        <v>16.2319</v>
      </c>
      <c r="D80" s="14">
        <f>16.1872 * CHOOSE(CONTROL!$C$15, $E$9, 100%, $G$9) + CHOOSE(CONTROL!$C$38, 0.0369, 0)</f>
        <v>16.2241</v>
      </c>
      <c r="E80" s="46">
        <f>16.516 * CHOOSE(CONTROL!$C$15, $E$9, 100%, $G$9) + CHOOSE(CONTROL!$C$38, 0.0369, 0)</f>
        <v>16.552899999999998</v>
      </c>
      <c r="F80" s="45">
        <f>16.516 * CHOOSE(CONTROL!$C$15, $E$9, 100%, $G$9) + CHOOSE(CONTROL!$C$38, 0.0278, 0)</f>
        <v>16.543799999999997</v>
      </c>
      <c r="G80" s="14">
        <f>16.1934 * CHOOSE(CONTROL!$C$15, $E$9, 100%, $G$9) + CHOOSE(CONTROL!$C$38, 0.0369, 0)</f>
        <v>16.2303</v>
      </c>
      <c r="H80" s="14">
        <f>16.1934 * CHOOSE(CONTROL!$C$15, $E$9, 100%, $G$9) + CHOOSE(CONTROL!$C$38, 0.0369, 0)</f>
        <v>16.2303</v>
      </c>
      <c r="I80" s="14">
        <f>16.195 * CHOOSE(CONTROL!$C$15, $E$9, 100%, $G$9) + CHOOSE(CONTROL!$C$38, 0.0369, 0)</f>
        <v>16.2319</v>
      </c>
      <c r="J80" s="44">
        <f>113.04</f>
        <v>113.04</v>
      </c>
    </row>
    <row r="81" spans="1:10" ht="15" x14ac:dyDescent="0.2">
      <c r="A81" s="13">
        <v>43374</v>
      </c>
      <c r="B81" s="14">
        <f>16.9758 * CHOOSE(CONTROL!$C$15, $E$9, 100%, $G$9) + CHOOSE(CONTROL!$C$38, 0.0256, 0)</f>
        <v>17.0014</v>
      </c>
      <c r="C81" s="14">
        <f>16.4979 * CHOOSE(CONTROL!$C$15, $E$9, 100%, $G$9) + CHOOSE(CONTROL!$C$38, 0.0347, 0)</f>
        <v>16.532600000000002</v>
      </c>
      <c r="D81" s="14">
        <f>16.4901 * CHOOSE(CONTROL!$C$15, $E$9, 100%, $G$9) + CHOOSE(CONTROL!$C$38, 0.0347, 0)</f>
        <v>16.524800000000003</v>
      </c>
      <c r="E81" s="46">
        <f>16.8196 * CHOOSE(CONTROL!$C$15, $E$9, 100%, $G$9) + CHOOSE(CONTROL!$C$38, 0.0347, 0)</f>
        <v>16.854300000000002</v>
      </c>
      <c r="F81" s="45">
        <f>16.8196 * CHOOSE(CONTROL!$C$15, $E$9, 100%, $G$9) + CHOOSE(CONTROL!$C$38, 0.0256, 0)</f>
        <v>16.845200000000002</v>
      </c>
      <c r="G81" s="14">
        <f>16.4963 * CHOOSE(CONTROL!$C$15, $E$9, 100%, $G$9) + CHOOSE(CONTROL!$C$38, 0.0347, 0)</f>
        <v>16.531000000000002</v>
      </c>
      <c r="H81" s="14">
        <f>16.4963 * CHOOSE(CONTROL!$C$15, $E$9, 100%, $G$9) + CHOOSE(CONTROL!$C$38, 0.0347, 0)</f>
        <v>16.531000000000002</v>
      </c>
      <c r="I81" s="14">
        <f>16.4979 * CHOOSE(CONTROL!$C$15, $E$9, 100%, $G$9) + CHOOSE(CONTROL!$C$38, 0.0347, 0)</f>
        <v>16.532600000000002</v>
      </c>
      <c r="J81" s="44">
        <f>109.3557</f>
        <v>109.3557</v>
      </c>
    </row>
    <row r="82" spans="1:10" ht="15" x14ac:dyDescent="0.2">
      <c r="A82" s="13">
        <v>43405</v>
      </c>
      <c r="B82" s="14">
        <f>17.2357 * CHOOSE(CONTROL!$C$15, $E$9, 100%, $G$9) + CHOOSE(CONTROL!$C$38, 0.0256, 0)</f>
        <v>17.261300000000002</v>
      </c>
      <c r="C82" s="14">
        <f>16.7571 * CHOOSE(CONTROL!$C$15, $E$9, 100%, $G$9) + CHOOSE(CONTROL!$C$38, 0.0347, 0)</f>
        <v>16.791800000000002</v>
      </c>
      <c r="D82" s="14">
        <f>16.7493 * CHOOSE(CONTROL!$C$15, $E$9, 100%, $G$9) + CHOOSE(CONTROL!$C$38, 0.0347, 0)</f>
        <v>16.784000000000002</v>
      </c>
      <c r="E82" s="46">
        <f>17.0794 * CHOOSE(CONTROL!$C$15, $E$9, 100%, $G$9) + CHOOSE(CONTROL!$C$38, 0.0347, 0)</f>
        <v>17.114100000000001</v>
      </c>
      <c r="F82" s="45">
        <f>17.0794 * CHOOSE(CONTROL!$C$15, $E$9, 100%, $G$9) + CHOOSE(CONTROL!$C$38, 0.0256, 0)</f>
        <v>17.105</v>
      </c>
      <c r="G82" s="14">
        <f>16.7555 * CHOOSE(CONTROL!$C$15, $E$9, 100%, $G$9) + CHOOSE(CONTROL!$C$38, 0.0347, 0)</f>
        <v>16.790200000000002</v>
      </c>
      <c r="H82" s="14">
        <f>16.7555 * CHOOSE(CONTROL!$C$15, $E$9, 100%, $G$9) + CHOOSE(CONTROL!$C$38, 0.0347, 0)</f>
        <v>16.790200000000002</v>
      </c>
      <c r="I82" s="14">
        <f>16.7571 * CHOOSE(CONTROL!$C$15, $E$9, 100%, $G$9) + CHOOSE(CONTROL!$C$38, 0.0347, 0)</f>
        <v>16.791800000000002</v>
      </c>
      <c r="J82" s="44">
        <f>108.8002</f>
        <v>108.8002</v>
      </c>
    </row>
    <row r="83" spans="1:10" ht="15" x14ac:dyDescent="0.2">
      <c r="A83" s="13">
        <v>43435</v>
      </c>
      <c r="B83" s="14">
        <f>17.9683 * CHOOSE(CONTROL!$C$15, $E$9, 100%, $G$9) + CHOOSE(CONTROL!$C$38, 0.0256, 0)</f>
        <v>17.9939</v>
      </c>
      <c r="C83" s="14">
        <f>17.4891 * CHOOSE(CONTROL!$C$15, $E$9, 100%, $G$9) + CHOOSE(CONTROL!$C$38, 0.0347, 0)</f>
        <v>17.523800000000001</v>
      </c>
      <c r="D83" s="14">
        <f>17.4813 * CHOOSE(CONTROL!$C$15, $E$9, 100%, $G$9) + CHOOSE(CONTROL!$C$38, 0.0347, 0)</f>
        <v>17.516000000000002</v>
      </c>
      <c r="E83" s="46">
        <f>17.8121 * CHOOSE(CONTROL!$C$15, $E$9, 100%, $G$9) + CHOOSE(CONTROL!$C$38, 0.0347, 0)</f>
        <v>17.846800000000002</v>
      </c>
      <c r="F83" s="45">
        <f>17.8121 * CHOOSE(CONTROL!$C$15, $E$9, 100%, $G$9) + CHOOSE(CONTROL!$C$38, 0.0256, 0)</f>
        <v>17.837700000000002</v>
      </c>
      <c r="G83" s="14">
        <f>17.4875 * CHOOSE(CONTROL!$C$15, $E$9, 100%, $G$9) + CHOOSE(CONTROL!$C$38, 0.0347, 0)</f>
        <v>17.522200000000002</v>
      </c>
      <c r="H83" s="14">
        <f>17.4875 * CHOOSE(CONTROL!$C$15, $E$9, 100%, $G$9) + CHOOSE(CONTROL!$C$38, 0.0347, 0)</f>
        <v>17.522200000000002</v>
      </c>
      <c r="I83" s="14">
        <f>17.4891 * CHOOSE(CONTROL!$C$15, $E$9, 100%, $G$9) + CHOOSE(CONTROL!$C$38, 0.0347, 0)</f>
        <v>17.523800000000001</v>
      </c>
      <c r="J83" s="44">
        <f>105.789</f>
        <v>105.789</v>
      </c>
    </row>
    <row r="84" spans="1:10" ht="15" x14ac:dyDescent="0.2">
      <c r="A84" s="13">
        <v>43466</v>
      </c>
      <c r="B84" s="14">
        <f>18.5985 * CHOOSE(CONTROL!$C$15, $E$9, 100%, $G$9) + CHOOSE(CONTROL!$C$38, 0.0256, 0)</f>
        <v>18.624100000000002</v>
      </c>
      <c r="C84" s="14">
        <f>18.094 * CHOOSE(CONTROL!$C$15, $E$9, 100%, $G$9) + CHOOSE(CONTROL!$C$38, 0.0347, 0)</f>
        <v>18.128700000000002</v>
      </c>
      <c r="D84" s="14">
        <f>18.0862 * CHOOSE(CONTROL!$C$15, $E$9, 100%, $G$9) + CHOOSE(CONTROL!$C$38, 0.0347, 0)</f>
        <v>18.120900000000002</v>
      </c>
      <c r="E84" s="46">
        <f>18.4422 * CHOOSE(CONTROL!$C$15, $E$9, 100%, $G$9) + CHOOSE(CONTROL!$C$38, 0.0347, 0)</f>
        <v>18.476900000000001</v>
      </c>
      <c r="F84" s="45">
        <f>18.4422 * CHOOSE(CONTROL!$C$15, $E$9, 100%, $G$9) + CHOOSE(CONTROL!$C$38, 0.0256, 0)</f>
        <v>18.4678</v>
      </c>
      <c r="G84" s="14">
        <f>18.0925 * CHOOSE(CONTROL!$C$15, $E$9, 100%, $G$9) + CHOOSE(CONTROL!$C$38, 0.0347, 0)</f>
        <v>18.127200000000002</v>
      </c>
      <c r="H84" s="14">
        <f>18.0925 * CHOOSE(CONTROL!$C$15, $E$9, 100%, $G$9) + CHOOSE(CONTROL!$C$38, 0.0347, 0)</f>
        <v>18.127200000000002</v>
      </c>
      <c r="I84" s="14">
        <f>18.094 * CHOOSE(CONTROL!$C$15, $E$9, 100%, $G$9) + CHOOSE(CONTROL!$C$38, 0.0347, 0)</f>
        <v>18.128700000000002</v>
      </c>
      <c r="J84" s="44">
        <f>103.269</f>
        <v>103.26900000000001</v>
      </c>
    </row>
    <row r="85" spans="1:10" ht="15" x14ac:dyDescent="0.2">
      <c r="A85" s="13">
        <v>43497</v>
      </c>
      <c r="B85" s="14">
        <f>18.8952 * CHOOSE(CONTROL!$C$15, $E$9, 100%, $G$9) + CHOOSE(CONTROL!$C$38, 0.0256, 0)</f>
        <v>18.9208</v>
      </c>
      <c r="C85" s="14">
        <f>18.3901 * CHOOSE(CONTROL!$C$15, $E$9, 100%, $G$9) + CHOOSE(CONTROL!$C$38, 0.0347, 0)</f>
        <v>18.424800000000001</v>
      </c>
      <c r="D85" s="14">
        <f>18.3823 * CHOOSE(CONTROL!$C$15, $E$9, 100%, $G$9) + CHOOSE(CONTROL!$C$38, 0.0347, 0)</f>
        <v>18.417000000000002</v>
      </c>
      <c r="E85" s="46">
        <f>18.739 * CHOOSE(CONTROL!$C$15, $E$9, 100%, $G$9) + CHOOSE(CONTROL!$C$38, 0.0347, 0)</f>
        <v>18.773700000000002</v>
      </c>
      <c r="F85" s="45">
        <f>18.739 * CHOOSE(CONTROL!$C$15, $E$9, 100%, $G$9) + CHOOSE(CONTROL!$C$38, 0.0256, 0)</f>
        <v>18.764600000000002</v>
      </c>
      <c r="G85" s="14">
        <f>18.3885 * CHOOSE(CONTROL!$C$15, $E$9, 100%, $G$9) + CHOOSE(CONTROL!$C$38, 0.0347, 0)</f>
        <v>18.423200000000001</v>
      </c>
      <c r="H85" s="14">
        <f>18.3885 * CHOOSE(CONTROL!$C$15, $E$9, 100%, $G$9) + CHOOSE(CONTROL!$C$38, 0.0347, 0)</f>
        <v>18.423200000000001</v>
      </c>
      <c r="I85" s="14">
        <f>18.3901 * CHOOSE(CONTROL!$C$15, $E$9, 100%, $G$9) + CHOOSE(CONTROL!$C$38, 0.0347, 0)</f>
        <v>18.424800000000001</v>
      </c>
      <c r="J85" s="44">
        <f>103.194</f>
        <v>103.194</v>
      </c>
    </row>
    <row r="86" spans="1:10" ht="15" x14ac:dyDescent="0.2">
      <c r="A86" s="13">
        <v>43525</v>
      </c>
      <c r="B86" s="14">
        <f>18.3304 * CHOOSE(CONTROL!$C$15, $E$9, 100%, $G$9) + CHOOSE(CONTROL!$C$38, 0.0256, 0)</f>
        <v>18.356000000000002</v>
      </c>
      <c r="C86" s="14">
        <f>17.8245 * CHOOSE(CONTROL!$C$15, $E$9, 100%, $G$9) + CHOOSE(CONTROL!$C$38, 0.0347, 0)</f>
        <v>17.859200000000001</v>
      </c>
      <c r="D86" s="14">
        <f>17.8167 * CHOOSE(CONTROL!$C$15, $E$9, 100%, $G$9) + CHOOSE(CONTROL!$C$38, 0.0347, 0)</f>
        <v>17.851400000000002</v>
      </c>
      <c r="E86" s="46">
        <f>18.1742 * CHOOSE(CONTROL!$C$15, $E$9, 100%, $G$9) + CHOOSE(CONTROL!$C$38, 0.0347, 0)</f>
        <v>18.2089</v>
      </c>
      <c r="F86" s="45">
        <f>18.1742 * CHOOSE(CONTROL!$C$15, $E$9, 100%, $G$9) + CHOOSE(CONTROL!$C$38, 0.0256, 0)</f>
        <v>18.1998</v>
      </c>
      <c r="G86" s="14">
        <f>17.823 * CHOOSE(CONTROL!$C$15, $E$9, 100%, $G$9) + CHOOSE(CONTROL!$C$38, 0.0347, 0)</f>
        <v>17.857700000000001</v>
      </c>
      <c r="H86" s="14">
        <f>17.823 * CHOOSE(CONTROL!$C$15, $E$9, 100%, $G$9) + CHOOSE(CONTROL!$C$38, 0.0347, 0)</f>
        <v>17.857700000000001</v>
      </c>
      <c r="I86" s="14">
        <f>17.8245 * CHOOSE(CONTROL!$C$15, $E$9, 100%, $G$9) + CHOOSE(CONTROL!$C$38, 0.0347, 0)</f>
        <v>17.859200000000001</v>
      </c>
      <c r="J86" s="44">
        <f>108.8567</f>
        <v>108.8567</v>
      </c>
    </row>
    <row r="87" spans="1:10" ht="15" x14ac:dyDescent="0.2">
      <c r="A87" s="13">
        <v>43556</v>
      </c>
      <c r="B87" s="14">
        <f>17.7819 * CHOOSE(CONTROL!$C$15, $E$9, 100%, $G$9) + CHOOSE(CONTROL!$C$38, 0.0256, 0)</f>
        <v>17.807500000000001</v>
      </c>
      <c r="C87" s="14">
        <f>17.2753 * CHOOSE(CONTROL!$C$15, $E$9, 100%, $G$9) + CHOOSE(CONTROL!$C$38, 0.0347, 0)</f>
        <v>17.310000000000002</v>
      </c>
      <c r="D87" s="14">
        <f>17.2675 * CHOOSE(CONTROL!$C$15, $E$9, 100%, $G$9) + CHOOSE(CONTROL!$C$38, 0.0347, 0)</f>
        <v>17.302199999999999</v>
      </c>
      <c r="E87" s="46">
        <f>17.6257 * CHOOSE(CONTROL!$C$15, $E$9, 100%, $G$9) + CHOOSE(CONTROL!$C$38, 0.0347, 0)</f>
        <v>17.660399999999999</v>
      </c>
      <c r="F87" s="45">
        <f>17.6257 * CHOOSE(CONTROL!$C$15, $E$9, 100%, $G$9) + CHOOSE(CONTROL!$C$38, 0.0256, 0)</f>
        <v>17.651299999999999</v>
      </c>
      <c r="G87" s="14">
        <f>17.2737 * CHOOSE(CONTROL!$C$15, $E$9, 100%, $G$9) + CHOOSE(CONTROL!$C$38, 0.0347, 0)</f>
        <v>17.308400000000002</v>
      </c>
      <c r="H87" s="14">
        <f>17.2737 * CHOOSE(CONTROL!$C$15, $E$9, 100%, $G$9) + CHOOSE(CONTROL!$C$38, 0.0347, 0)</f>
        <v>17.308400000000002</v>
      </c>
      <c r="I87" s="14">
        <f>17.2753 * CHOOSE(CONTROL!$C$15, $E$9, 100%, $G$9) + CHOOSE(CONTROL!$C$38, 0.0347, 0)</f>
        <v>17.310000000000002</v>
      </c>
      <c r="J87" s="44">
        <f>116.163</f>
        <v>116.163</v>
      </c>
    </row>
    <row r="88" spans="1:10" ht="15" x14ac:dyDescent="0.2">
      <c r="A88" s="13">
        <v>43586</v>
      </c>
      <c r="B88" s="14">
        <f>17.2063 * CHOOSE(CONTROL!$C$15, $E$9, 100%, $G$9) + CHOOSE(CONTROL!$C$38, 0.0278, 0)</f>
        <v>17.234099999999998</v>
      </c>
      <c r="C88" s="14">
        <f>16.699 * CHOOSE(CONTROL!$C$15, $E$9, 100%, $G$9) + CHOOSE(CONTROL!$C$38, 0.0369, 0)</f>
        <v>16.735900000000001</v>
      </c>
      <c r="D88" s="14">
        <f>16.6911 * CHOOSE(CONTROL!$C$15, $E$9, 100%, $G$9) + CHOOSE(CONTROL!$C$38, 0.0369, 0)</f>
        <v>16.727999999999998</v>
      </c>
      <c r="E88" s="46">
        <f>17.05 * CHOOSE(CONTROL!$C$15, $E$9, 100%, $G$9) + CHOOSE(CONTROL!$C$38, 0.0369, 0)</f>
        <v>17.0869</v>
      </c>
      <c r="F88" s="45">
        <f>17.05 * CHOOSE(CONTROL!$C$15, $E$9, 100%, $G$9) + CHOOSE(CONTROL!$C$38, 0.0278, 0)</f>
        <v>17.0778</v>
      </c>
      <c r="G88" s="14">
        <f>16.6974 * CHOOSE(CONTROL!$C$15, $E$9, 100%, $G$9) + CHOOSE(CONTROL!$C$38, 0.0369, 0)</f>
        <v>16.734299999999998</v>
      </c>
      <c r="H88" s="14">
        <f>16.6974 * CHOOSE(CONTROL!$C$15, $E$9, 100%, $G$9) + CHOOSE(CONTROL!$C$38, 0.0369, 0)</f>
        <v>16.734299999999998</v>
      </c>
      <c r="I88" s="14">
        <f>16.699 * CHOOSE(CONTROL!$C$15, $E$9, 100%, $G$9) + CHOOSE(CONTROL!$C$38, 0.0369, 0)</f>
        <v>16.735900000000001</v>
      </c>
      <c r="J88" s="44">
        <f>120.3085</f>
        <v>120.3085</v>
      </c>
    </row>
    <row r="89" spans="1:10" ht="15" x14ac:dyDescent="0.2">
      <c r="A89" s="13">
        <v>43617</v>
      </c>
      <c r="B89" s="14">
        <f>16.8112 * CHOOSE(CONTROL!$C$15, $E$9, 100%, $G$9) + CHOOSE(CONTROL!$C$38, 0.0278, 0)</f>
        <v>16.838999999999999</v>
      </c>
      <c r="C89" s="14">
        <f>16.3032 * CHOOSE(CONTROL!$C$15, $E$9, 100%, $G$9) + CHOOSE(CONTROL!$C$38, 0.0369, 0)</f>
        <v>16.3401</v>
      </c>
      <c r="D89" s="14">
        <f>16.2954 * CHOOSE(CONTROL!$C$15, $E$9, 100%, $G$9) + CHOOSE(CONTROL!$C$38, 0.0369, 0)</f>
        <v>16.3323</v>
      </c>
      <c r="E89" s="46">
        <f>16.655 * CHOOSE(CONTROL!$C$15, $E$9, 100%, $G$9) + CHOOSE(CONTROL!$C$38, 0.0369, 0)</f>
        <v>16.6919</v>
      </c>
      <c r="F89" s="45">
        <f>16.655 * CHOOSE(CONTROL!$C$15, $E$9, 100%, $G$9) + CHOOSE(CONTROL!$C$38, 0.0278, 0)</f>
        <v>16.6828</v>
      </c>
      <c r="G89" s="14">
        <f>16.3016 * CHOOSE(CONTROL!$C$15, $E$9, 100%, $G$9) + CHOOSE(CONTROL!$C$38, 0.0369, 0)</f>
        <v>16.3385</v>
      </c>
      <c r="H89" s="14">
        <f>16.3016 * CHOOSE(CONTROL!$C$15, $E$9, 100%, $G$9) + CHOOSE(CONTROL!$C$38, 0.0369, 0)</f>
        <v>16.3385</v>
      </c>
      <c r="I89" s="14">
        <f>16.3032 * CHOOSE(CONTROL!$C$15, $E$9, 100%, $G$9) + CHOOSE(CONTROL!$C$38, 0.0369, 0)</f>
        <v>16.3401</v>
      </c>
      <c r="J89" s="44">
        <f>122.2934</f>
        <v>122.29340000000001</v>
      </c>
    </row>
    <row r="90" spans="1:10" ht="15" x14ac:dyDescent="0.2">
      <c r="A90" s="13">
        <v>43647</v>
      </c>
      <c r="B90" s="14">
        <f>16.5991 * CHOOSE(CONTROL!$C$15, $E$9, 100%, $G$9) + CHOOSE(CONTROL!$C$38, 0.0278, 0)</f>
        <v>16.626899999999999</v>
      </c>
      <c r="C90" s="14">
        <f>16.0904 * CHOOSE(CONTROL!$C$15, $E$9, 100%, $G$9) + CHOOSE(CONTROL!$C$38, 0.0369, 0)</f>
        <v>16.127299999999998</v>
      </c>
      <c r="D90" s="14">
        <f>16.0826 * CHOOSE(CONTROL!$C$15, $E$9, 100%, $G$9) + CHOOSE(CONTROL!$C$38, 0.0369, 0)</f>
        <v>16.119499999999999</v>
      </c>
      <c r="E90" s="46">
        <f>16.4429 * CHOOSE(CONTROL!$C$15, $E$9, 100%, $G$9) + CHOOSE(CONTROL!$C$38, 0.0369, 0)</f>
        <v>16.479800000000001</v>
      </c>
      <c r="F90" s="45">
        <f>16.4429 * CHOOSE(CONTROL!$C$15, $E$9, 100%, $G$9) + CHOOSE(CONTROL!$C$38, 0.0278, 0)</f>
        <v>16.470700000000001</v>
      </c>
      <c r="G90" s="14">
        <f>16.0888 * CHOOSE(CONTROL!$C$15, $E$9, 100%, $G$9) + CHOOSE(CONTROL!$C$38, 0.0369, 0)</f>
        <v>16.125699999999998</v>
      </c>
      <c r="H90" s="14">
        <f>16.0888 * CHOOSE(CONTROL!$C$15, $E$9, 100%, $G$9) + CHOOSE(CONTROL!$C$38, 0.0369, 0)</f>
        <v>16.125699999999998</v>
      </c>
      <c r="I90" s="14">
        <f>16.0904 * CHOOSE(CONTROL!$C$15, $E$9, 100%, $G$9) + CHOOSE(CONTROL!$C$38, 0.0369, 0)</f>
        <v>16.127299999999998</v>
      </c>
      <c r="J90" s="44">
        <f>121.9722</f>
        <v>121.9722</v>
      </c>
    </row>
    <row r="91" spans="1:10" ht="15" x14ac:dyDescent="0.2">
      <c r="A91" s="13">
        <v>43678</v>
      </c>
      <c r="B91" s="14">
        <f>16.7535 * CHOOSE(CONTROL!$C$15, $E$9, 100%, $G$9) + CHOOSE(CONTROL!$C$38, 0.0278, 0)</f>
        <v>16.781299999999998</v>
      </c>
      <c r="C91" s="14">
        <f>16.2439 * CHOOSE(CONTROL!$C$15, $E$9, 100%, $G$9) + CHOOSE(CONTROL!$C$38, 0.0369, 0)</f>
        <v>16.280799999999999</v>
      </c>
      <c r="D91" s="14">
        <f>16.2361 * CHOOSE(CONTROL!$C$15, $E$9, 100%, $G$9) + CHOOSE(CONTROL!$C$38, 0.0369, 0)</f>
        <v>16.273</v>
      </c>
      <c r="E91" s="46">
        <f>16.5972 * CHOOSE(CONTROL!$C$15, $E$9, 100%, $G$9) + CHOOSE(CONTROL!$C$38, 0.0369, 0)</f>
        <v>16.6341</v>
      </c>
      <c r="F91" s="45">
        <f>16.5972 * CHOOSE(CONTROL!$C$15, $E$9, 100%, $G$9) + CHOOSE(CONTROL!$C$38, 0.0278, 0)</f>
        <v>16.625</v>
      </c>
      <c r="G91" s="14">
        <f>16.2424 * CHOOSE(CONTROL!$C$15, $E$9, 100%, $G$9) + CHOOSE(CONTROL!$C$38, 0.0369, 0)</f>
        <v>16.279299999999999</v>
      </c>
      <c r="H91" s="14">
        <f>16.2424 * CHOOSE(CONTROL!$C$15, $E$9, 100%, $G$9) + CHOOSE(CONTROL!$C$38, 0.0369, 0)</f>
        <v>16.279299999999999</v>
      </c>
      <c r="I91" s="14">
        <f>16.2439 * CHOOSE(CONTROL!$C$15, $E$9, 100%, $G$9) + CHOOSE(CONTROL!$C$38, 0.0369, 0)</f>
        <v>16.280799999999999</v>
      </c>
      <c r="J91" s="44">
        <f>119.3781</f>
        <v>119.3781</v>
      </c>
    </row>
    <row r="92" spans="1:10" ht="15" x14ac:dyDescent="0.2">
      <c r="A92" s="13">
        <v>43709</v>
      </c>
      <c r="B92" s="14">
        <f>17.1171 * CHOOSE(CONTROL!$C$15, $E$9, 100%, $G$9) + CHOOSE(CONTROL!$C$38, 0.0278, 0)</f>
        <v>17.1449</v>
      </c>
      <c r="C92" s="14">
        <f>16.6068 * CHOOSE(CONTROL!$C$15, $E$9, 100%, $G$9) + CHOOSE(CONTROL!$C$38, 0.0369, 0)</f>
        <v>16.643699999999999</v>
      </c>
      <c r="D92" s="14">
        <f>16.599 * CHOOSE(CONTROL!$C$15, $E$9, 100%, $G$9) + CHOOSE(CONTROL!$C$38, 0.0369, 0)</f>
        <v>16.635899999999999</v>
      </c>
      <c r="E92" s="46">
        <f>16.9608 * CHOOSE(CONTROL!$C$15, $E$9, 100%, $G$9) + CHOOSE(CONTROL!$C$38, 0.0369, 0)</f>
        <v>16.997699999999998</v>
      </c>
      <c r="F92" s="45">
        <f>16.9608 * CHOOSE(CONTROL!$C$15, $E$9, 100%, $G$9) + CHOOSE(CONTROL!$C$38, 0.0278, 0)</f>
        <v>16.988599999999998</v>
      </c>
      <c r="G92" s="14">
        <f>16.6053 * CHOOSE(CONTROL!$C$15, $E$9, 100%, $G$9) + CHOOSE(CONTROL!$C$38, 0.0369, 0)</f>
        <v>16.642199999999999</v>
      </c>
      <c r="H92" s="14">
        <f>16.6053 * CHOOSE(CONTROL!$C$15, $E$9, 100%, $G$9) + CHOOSE(CONTROL!$C$38, 0.0369, 0)</f>
        <v>16.642199999999999</v>
      </c>
      <c r="I92" s="14">
        <f>16.6068 * CHOOSE(CONTROL!$C$15, $E$9, 100%, $G$9) + CHOOSE(CONTROL!$C$38, 0.0369, 0)</f>
        <v>16.643699999999999</v>
      </c>
      <c r="J92" s="44">
        <f>115.648</f>
        <v>115.648</v>
      </c>
    </row>
    <row r="93" spans="1:10" ht="15" x14ac:dyDescent="0.2">
      <c r="A93" s="13">
        <v>43739</v>
      </c>
      <c r="B93" s="14">
        <f>17.4283 * CHOOSE(CONTROL!$C$15, $E$9, 100%, $G$9) + CHOOSE(CONTROL!$C$38, 0.0256, 0)</f>
        <v>17.453900000000001</v>
      </c>
      <c r="C93" s="14">
        <f>16.9174 * CHOOSE(CONTROL!$C$15, $E$9, 100%, $G$9) + CHOOSE(CONTROL!$C$38, 0.0347, 0)</f>
        <v>16.952100000000002</v>
      </c>
      <c r="D93" s="14">
        <f>16.9096 * CHOOSE(CONTROL!$C$15, $E$9, 100%, $G$9) + CHOOSE(CONTROL!$C$38, 0.0347, 0)</f>
        <v>16.944300000000002</v>
      </c>
      <c r="E93" s="46">
        <f>17.2721 * CHOOSE(CONTROL!$C$15, $E$9, 100%, $G$9) + CHOOSE(CONTROL!$C$38, 0.0347, 0)</f>
        <v>17.306799999999999</v>
      </c>
      <c r="F93" s="45">
        <f>17.2721 * CHOOSE(CONTROL!$C$15, $E$9, 100%, $G$9) + CHOOSE(CONTROL!$C$38, 0.0256, 0)</f>
        <v>17.297699999999999</v>
      </c>
      <c r="G93" s="14">
        <f>16.9158 * CHOOSE(CONTROL!$C$15, $E$9, 100%, $G$9) + CHOOSE(CONTROL!$C$38, 0.0347, 0)</f>
        <v>16.950500000000002</v>
      </c>
      <c r="H93" s="14">
        <f>16.9158 * CHOOSE(CONTROL!$C$15, $E$9, 100%, $G$9) + CHOOSE(CONTROL!$C$38, 0.0347, 0)</f>
        <v>16.950500000000002</v>
      </c>
      <c r="I93" s="14">
        <f>16.9174 * CHOOSE(CONTROL!$C$15, $E$9, 100%, $G$9) + CHOOSE(CONTROL!$C$38, 0.0347, 0)</f>
        <v>16.952100000000002</v>
      </c>
      <c r="J93" s="44">
        <f>111.8787</f>
        <v>111.87869999999999</v>
      </c>
    </row>
    <row r="94" spans="1:10" ht="15" x14ac:dyDescent="0.2">
      <c r="A94" s="13">
        <v>43770</v>
      </c>
      <c r="B94" s="14">
        <f>17.6948 * CHOOSE(CONTROL!$C$15, $E$9, 100%, $G$9) + CHOOSE(CONTROL!$C$38, 0.0256, 0)</f>
        <v>17.720400000000001</v>
      </c>
      <c r="C94" s="14">
        <f>17.1831 * CHOOSE(CONTROL!$C$15, $E$9, 100%, $G$9) + CHOOSE(CONTROL!$C$38, 0.0347, 0)</f>
        <v>17.2178</v>
      </c>
      <c r="D94" s="14">
        <f>17.1753 * CHOOSE(CONTROL!$C$15, $E$9, 100%, $G$9) + CHOOSE(CONTROL!$C$38, 0.0347, 0)</f>
        <v>17.21</v>
      </c>
      <c r="E94" s="46">
        <f>17.5385 * CHOOSE(CONTROL!$C$15, $E$9, 100%, $G$9) + CHOOSE(CONTROL!$C$38, 0.0347, 0)</f>
        <v>17.5732</v>
      </c>
      <c r="F94" s="45">
        <f>17.5385 * CHOOSE(CONTROL!$C$15, $E$9, 100%, $G$9) + CHOOSE(CONTROL!$C$38, 0.0256, 0)</f>
        <v>17.5641</v>
      </c>
      <c r="G94" s="14">
        <f>17.1815 * CHOOSE(CONTROL!$C$15, $E$9, 100%, $G$9) + CHOOSE(CONTROL!$C$38, 0.0347, 0)</f>
        <v>17.216200000000001</v>
      </c>
      <c r="H94" s="14">
        <f>17.1815 * CHOOSE(CONTROL!$C$15, $E$9, 100%, $G$9) + CHOOSE(CONTROL!$C$38, 0.0347, 0)</f>
        <v>17.216200000000001</v>
      </c>
      <c r="I94" s="14">
        <f>17.1831 * CHOOSE(CONTROL!$C$15, $E$9, 100%, $G$9) + CHOOSE(CONTROL!$C$38, 0.0347, 0)</f>
        <v>17.2178</v>
      </c>
      <c r="J94" s="44">
        <f>111.3104</f>
        <v>111.3104</v>
      </c>
    </row>
    <row r="95" spans="1:10" ht="15" x14ac:dyDescent="0.2">
      <c r="A95" s="13">
        <v>43800</v>
      </c>
      <c r="B95" s="14">
        <f>18.4458 * CHOOSE(CONTROL!$C$15, $E$9, 100%, $G$9) + CHOOSE(CONTROL!$C$38, 0.0256, 0)</f>
        <v>18.471399999999999</v>
      </c>
      <c r="C95" s="14">
        <f>17.9334 * CHOOSE(CONTROL!$C$15, $E$9, 100%, $G$9) + CHOOSE(CONTROL!$C$38, 0.0347, 0)</f>
        <v>17.9681</v>
      </c>
      <c r="D95" s="14">
        <f>17.9256 * CHOOSE(CONTROL!$C$15, $E$9, 100%, $G$9) + CHOOSE(CONTROL!$C$38, 0.0347, 0)</f>
        <v>17.9603</v>
      </c>
      <c r="E95" s="46">
        <f>18.2896 * CHOOSE(CONTROL!$C$15, $E$9, 100%, $G$9) + CHOOSE(CONTROL!$C$38, 0.0347, 0)</f>
        <v>18.324300000000001</v>
      </c>
      <c r="F95" s="45">
        <f>18.2896 * CHOOSE(CONTROL!$C$15, $E$9, 100%, $G$9) + CHOOSE(CONTROL!$C$38, 0.0256, 0)</f>
        <v>18.315200000000001</v>
      </c>
      <c r="G95" s="14">
        <f>17.9319 * CHOOSE(CONTROL!$C$15, $E$9, 100%, $G$9) + CHOOSE(CONTROL!$C$38, 0.0347, 0)</f>
        <v>17.9666</v>
      </c>
      <c r="H95" s="14">
        <f>17.9319 * CHOOSE(CONTROL!$C$15, $E$9, 100%, $G$9) + CHOOSE(CONTROL!$C$38, 0.0347, 0)</f>
        <v>17.9666</v>
      </c>
      <c r="I95" s="14">
        <f>17.9334 * CHOOSE(CONTROL!$C$15, $E$9, 100%, $G$9) + CHOOSE(CONTROL!$C$38, 0.0347, 0)</f>
        <v>17.9681</v>
      </c>
      <c r="J95" s="44">
        <f>108.2297</f>
        <v>108.22969999999999</v>
      </c>
    </row>
    <row r="96" spans="1:10" ht="15" x14ac:dyDescent="0.2">
      <c r="A96" s="13">
        <v>43831</v>
      </c>
      <c r="B96" s="14">
        <f>19.1972 * CHOOSE(CONTROL!$C$15, $E$9, 100%, $G$9) + CHOOSE(CONTROL!$C$38, 0.0256, 0)</f>
        <v>19.222799999999999</v>
      </c>
      <c r="C96" s="14">
        <f>18.5412 * CHOOSE(CONTROL!$C$15, $E$9, 100%, $G$9) + CHOOSE(CONTROL!$C$38, 0.0347, 0)</f>
        <v>18.575900000000001</v>
      </c>
      <c r="D96" s="14">
        <f>18.5334 * CHOOSE(CONTROL!$C$15, $E$9, 100%, $G$9) + CHOOSE(CONTROL!$C$38, 0.0347, 0)</f>
        <v>18.568100000000001</v>
      </c>
      <c r="E96" s="46">
        <f>19.041 * CHOOSE(CONTROL!$C$15, $E$9, 100%, $G$9) + CHOOSE(CONTROL!$C$38, 0.0347, 0)</f>
        <v>19.075700000000001</v>
      </c>
      <c r="F96" s="45">
        <f>19.041 * CHOOSE(CONTROL!$C$15, $E$9, 100%, $G$9) + CHOOSE(CONTROL!$C$38, 0.0256, 0)</f>
        <v>19.066600000000001</v>
      </c>
      <c r="G96" s="14">
        <f>18.5396 * CHOOSE(CONTROL!$C$15, $E$9, 100%, $G$9) + CHOOSE(CONTROL!$C$38, 0.0347, 0)</f>
        <v>18.574300000000001</v>
      </c>
      <c r="H96" s="14">
        <f>18.5396 * CHOOSE(CONTROL!$C$15, $E$9, 100%, $G$9) + CHOOSE(CONTROL!$C$38, 0.0347, 0)</f>
        <v>18.574300000000001</v>
      </c>
      <c r="I96" s="14">
        <f>18.5412 * CHOOSE(CONTROL!$C$15, $E$9, 100%, $G$9) + CHOOSE(CONTROL!$C$38, 0.0347, 0)</f>
        <v>18.575900000000001</v>
      </c>
      <c r="J96" s="44">
        <f>105.7286</f>
        <v>105.7286</v>
      </c>
    </row>
    <row r="97" spans="1:10" ht="15" x14ac:dyDescent="0.2">
      <c r="A97" s="13">
        <v>43862</v>
      </c>
      <c r="B97" s="14">
        <f>19.5017 * CHOOSE(CONTROL!$C$15, $E$9, 100%, $G$9) + CHOOSE(CONTROL!$C$38, 0.0256, 0)</f>
        <v>19.5273</v>
      </c>
      <c r="C97" s="14">
        <f>18.8446 * CHOOSE(CONTROL!$C$15, $E$9, 100%, $G$9) + CHOOSE(CONTROL!$C$38, 0.0347, 0)</f>
        <v>18.879300000000001</v>
      </c>
      <c r="D97" s="14">
        <f>18.8368 * CHOOSE(CONTROL!$C$15, $E$9, 100%, $G$9) + CHOOSE(CONTROL!$C$38, 0.0347, 0)</f>
        <v>18.871500000000001</v>
      </c>
      <c r="E97" s="46">
        <f>19.3454 * CHOOSE(CONTROL!$C$15, $E$9, 100%, $G$9) + CHOOSE(CONTROL!$C$38, 0.0347, 0)</f>
        <v>19.380100000000002</v>
      </c>
      <c r="F97" s="45">
        <f>19.3454 * CHOOSE(CONTROL!$C$15, $E$9, 100%, $G$9) + CHOOSE(CONTROL!$C$38, 0.0256, 0)</f>
        <v>19.371000000000002</v>
      </c>
      <c r="G97" s="14">
        <f>18.8431 * CHOOSE(CONTROL!$C$15, $E$9, 100%, $G$9) + CHOOSE(CONTROL!$C$38, 0.0347, 0)</f>
        <v>18.877800000000001</v>
      </c>
      <c r="H97" s="14">
        <f>18.8431 * CHOOSE(CONTROL!$C$15, $E$9, 100%, $G$9) + CHOOSE(CONTROL!$C$38, 0.0347, 0)</f>
        <v>18.877800000000001</v>
      </c>
      <c r="I97" s="14">
        <f>18.8446 * CHOOSE(CONTROL!$C$15, $E$9, 100%, $G$9) + CHOOSE(CONTROL!$C$38, 0.0347, 0)</f>
        <v>18.879300000000001</v>
      </c>
      <c r="J97" s="44">
        <f>105.6518</f>
        <v>105.65179999999999</v>
      </c>
    </row>
    <row r="98" spans="1:10" ht="15" x14ac:dyDescent="0.2">
      <c r="A98" s="13">
        <v>43891</v>
      </c>
      <c r="B98" s="14">
        <f>18.9231 * CHOOSE(CONTROL!$C$15, $E$9, 100%, $G$9) + CHOOSE(CONTROL!$C$38, 0.0256, 0)</f>
        <v>18.948700000000002</v>
      </c>
      <c r="C98" s="14">
        <f>18.265 * CHOOSE(CONTROL!$C$15, $E$9, 100%, $G$9) + CHOOSE(CONTROL!$C$38, 0.0347, 0)</f>
        <v>18.299700000000001</v>
      </c>
      <c r="D98" s="14">
        <f>18.2572 * CHOOSE(CONTROL!$C$15, $E$9, 100%, $G$9) + CHOOSE(CONTROL!$C$38, 0.0347, 0)</f>
        <v>18.291900000000002</v>
      </c>
      <c r="E98" s="46">
        <f>18.7668 * CHOOSE(CONTROL!$C$15, $E$9, 100%, $G$9) + CHOOSE(CONTROL!$C$38, 0.0347, 0)</f>
        <v>18.801500000000001</v>
      </c>
      <c r="F98" s="45">
        <f>18.7668 * CHOOSE(CONTROL!$C$15, $E$9, 100%, $G$9) + CHOOSE(CONTROL!$C$38, 0.0256, 0)</f>
        <v>18.792400000000001</v>
      </c>
      <c r="G98" s="14">
        <f>18.2634 * CHOOSE(CONTROL!$C$15, $E$9, 100%, $G$9) + CHOOSE(CONTROL!$C$38, 0.0347, 0)</f>
        <v>18.298100000000002</v>
      </c>
      <c r="H98" s="14">
        <f>18.2634 * CHOOSE(CONTROL!$C$15, $E$9, 100%, $G$9) + CHOOSE(CONTROL!$C$38, 0.0347, 0)</f>
        <v>18.298100000000002</v>
      </c>
      <c r="I98" s="14">
        <f>18.265 * CHOOSE(CONTROL!$C$15, $E$9, 100%, $G$9) + CHOOSE(CONTROL!$C$38, 0.0347, 0)</f>
        <v>18.299700000000001</v>
      </c>
      <c r="J98" s="44">
        <f>111.4494</f>
        <v>111.4494</v>
      </c>
    </row>
    <row r="99" spans="1:10" ht="15" x14ac:dyDescent="0.2">
      <c r="A99" s="13">
        <v>43922</v>
      </c>
      <c r="B99" s="14">
        <f>18.3611 * CHOOSE(CONTROL!$C$15, $E$9, 100%, $G$9) + CHOOSE(CONTROL!$C$38, 0.0256, 0)</f>
        <v>18.386700000000001</v>
      </c>
      <c r="C99" s="14">
        <f>17.702 * CHOOSE(CONTROL!$C$15, $E$9, 100%, $G$9) + CHOOSE(CONTROL!$C$38, 0.0347, 0)</f>
        <v>17.736700000000003</v>
      </c>
      <c r="D99" s="14">
        <f>17.6942 * CHOOSE(CONTROL!$C$15, $E$9, 100%, $G$9) + CHOOSE(CONTROL!$C$38, 0.0347, 0)</f>
        <v>17.728899999999999</v>
      </c>
      <c r="E99" s="46">
        <f>18.2049 * CHOOSE(CONTROL!$C$15, $E$9, 100%, $G$9) + CHOOSE(CONTROL!$C$38, 0.0347, 0)</f>
        <v>18.239599999999999</v>
      </c>
      <c r="F99" s="45">
        <f>18.2049 * CHOOSE(CONTROL!$C$15, $E$9, 100%, $G$9) + CHOOSE(CONTROL!$C$38, 0.0256, 0)</f>
        <v>18.230499999999999</v>
      </c>
      <c r="G99" s="14">
        <f>17.7005 * CHOOSE(CONTROL!$C$15, $E$9, 100%, $G$9) + CHOOSE(CONTROL!$C$38, 0.0347, 0)</f>
        <v>17.735200000000003</v>
      </c>
      <c r="H99" s="14">
        <f>17.7005 * CHOOSE(CONTROL!$C$15, $E$9, 100%, $G$9) + CHOOSE(CONTROL!$C$38, 0.0347, 0)</f>
        <v>17.735200000000003</v>
      </c>
      <c r="I99" s="14">
        <f>17.702 * CHOOSE(CONTROL!$C$15, $E$9, 100%, $G$9) + CHOOSE(CONTROL!$C$38, 0.0347, 0)</f>
        <v>17.736700000000003</v>
      </c>
      <c r="J99" s="44">
        <f>118.9297</f>
        <v>118.9297</v>
      </c>
    </row>
    <row r="100" spans="1:10" ht="15" x14ac:dyDescent="0.2">
      <c r="A100" s="13">
        <v>43952</v>
      </c>
      <c r="B100" s="14">
        <f>17.7714 * CHOOSE(CONTROL!$C$15, $E$9, 100%, $G$9) + CHOOSE(CONTROL!$C$38, 0.0278, 0)</f>
        <v>17.799199999999999</v>
      </c>
      <c r="C100" s="14">
        <f>17.1113 * CHOOSE(CONTROL!$C$15, $E$9, 100%, $G$9) + CHOOSE(CONTROL!$C$38, 0.0369, 0)</f>
        <v>17.148199999999999</v>
      </c>
      <c r="D100" s="14">
        <f>17.1035 * CHOOSE(CONTROL!$C$15, $E$9, 100%, $G$9) + CHOOSE(CONTROL!$C$38, 0.0369, 0)</f>
        <v>17.1404</v>
      </c>
      <c r="E100" s="46">
        <f>17.6152 * CHOOSE(CONTROL!$C$15, $E$9, 100%, $G$9) + CHOOSE(CONTROL!$C$38, 0.0369, 0)</f>
        <v>17.652100000000001</v>
      </c>
      <c r="F100" s="45">
        <f>17.6152 * CHOOSE(CONTROL!$C$15, $E$9, 100%, $G$9) + CHOOSE(CONTROL!$C$38, 0.0278, 0)</f>
        <v>17.643000000000001</v>
      </c>
      <c r="G100" s="14">
        <f>17.1097 * CHOOSE(CONTROL!$C$15, $E$9, 100%, $G$9) + CHOOSE(CONTROL!$C$38, 0.0369, 0)</f>
        <v>17.146599999999999</v>
      </c>
      <c r="H100" s="14">
        <f>17.1097 * CHOOSE(CONTROL!$C$15, $E$9, 100%, $G$9) + CHOOSE(CONTROL!$C$38, 0.0369, 0)</f>
        <v>17.146599999999999</v>
      </c>
      <c r="I100" s="14">
        <f>17.1113 * CHOOSE(CONTROL!$C$15, $E$9, 100%, $G$9) + CHOOSE(CONTROL!$C$38, 0.0369, 0)</f>
        <v>17.148199999999999</v>
      </c>
      <c r="J100" s="44">
        <f>123.174</f>
        <v>123.17400000000001</v>
      </c>
    </row>
    <row r="101" spans="1:10" ht="15" x14ac:dyDescent="0.2">
      <c r="A101" s="13">
        <v>43983</v>
      </c>
      <c r="B101" s="14">
        <f>17.3668 * CHOOSE(CONTROL!$C$15, $E$9, 100%, $G$9) + CHOOSE(CONTROL!$C$38, 0.0278, 0)</f>
        <v>17.394600000000001</v>
      </c>
      <c r="C101" s="14">
        <f>16.7056 * CHOOSE(CONTROL!$C$15, $E$9, 100%, $G$9) + CHOOSE(CONTROL!$C$38, 0.0369, 0)</f>
        <v>16.7425</v>
      </c>
      <c r="D101" s="14">
        <f>16.6978 * CHOOSE(CONTROL!$C$15, $E$9, 100%, $G$9) + CHOOSE(CONTROL!$C$38, 0.0369, 0)</f>
        <v>16.7347</v>
      </c>
      <c r="E101" s="46">
        <f>17.2106 * CHOOSE(CONTROL!$C$15, $E$9, 100%, $G$9) + CHOOSE(CONTROL!$C$38, 0.0369, 0)</f>
        <v>17.247499999999999</v>
      </c>
      <c r="F101" s="45">
        <f>17.2106 * CHOOSE(CONTROL!$C$15, $E$9, 100%, $G$9) + CHOOSE(CONTROL!$C$38, 0.0278, 0)</f>
        <v>17.238399999999999</v>
      </c>
      <c r="G101" s="14">
        <f>16.7041 * CHOOSE(CONTROL!$C$15, $E$9, 100%, $G$9) + CHOOSE(CONTROL!$C$38, 0.0369, 0)</f>
        <v>16.741</v>
      </c>
      <c r="H101" s="14">
        <f>16.7041 * CHOOSE(CONTROL!$C$15, $E$9, 100%, $G$9) + CHOOSE(CONTROL!$C$38, 0.0369, 0)</f>
        <v>16.741</v>
      </c>
      <c r="I101" s="14">
        <f>16.7056 * CHOOSE(CONTROL!$C$15, $E$9, 100%, $G$9) + CHOOSE(CONTROL!$C$38, 0.0369, 0)</f>
        <v>16.7425</v>
      </c>
      <c r="J101" s="44">
        <f>125.2061</f>
        <v>125.20610000000001</v>
      </c>
    </row>
    <row r="102" spans="1:10" ht="15" x14ac:dyDescent="0.2">
      <c r="A102" s="13">
        <v>44013</v>
      </c>
      <c r="B102" s="14">
        <f>17.1497 * CHOOSE(CONTROL!$C$15, $E$9, 100%, $G$9) + CHOOSE(CONTROL!$C$38, 0.0278, 0)</f>
        <v>17.177499999999998</v>
      </c>
      <c r="C102" s="14">
        <f>16.4875 * CHOOSE(CONTROL!$C$15, $E$9, 100%, $G$9) + CHOOSE(CONTROL!$C$38, 0.0369, 0)</f>
        <v>16.5244</v>
      </c>
      <c r="D102" s="14">
        <f>16.4797 * CHOOSE(CONTROL!$C$15, $E$9, 100%, $G$9) + CHOOSE(CONTROL!$C$38, 0.0369, 0)</f>
        <v>16.5166</v>
      </c>
      <c r="E102" s="46">
        <f>16.9935 * CHOOSE(CONTROL!$C$15, $E$9, 100%, $G$9) + CHOOSE(CONTROL!$C$38, 0.0369, 0)</f>
        <v>17.0304</v>
      </c>
      <c r="F102" s="45">
        <f>16.9935 * CHOOSE(CONTROL!$C$15, $E$9, 100%, $G$9) + CHOOSE(CONTROL!$C$38, 0.0278, 0)</f>
        <v>17.0213</v>
      </c>
      <c r="G102" s="14">
        <f>16.4859 * CHOOSE(CONTROL!$C$15, $E$9, 100%, $G$9) + CHOOSE(CONTROL!$C$38, 0.0369, 0)</f>
        <v>16.5228</v>
      </c>
      <c r="H102" s="14">
        <f>16.4859 * CHOOSE(CONTROL!$C$15, $E$9, 100%, $G$9) + CHOOSE(CONTROL!$C$38, 0.0369, 0)</f>
        <v>16.5228</v>
      </c>
      <c r="I102" s="14">
        <f>16.4875 * CHOOSE(CONTROL!$C$15, $E$9, 100%, $G$9) + CHOOSE(CONTROL!$C$38, 0.0369, 0)</f>
        <v>16.5244</v>
      </c>
      <c r="J102" s="44">
        <f>124.8773</f>
        <v>124.87730000000001</v>
      </c>
    </row>
    <row r="103" spans="1:10" ht="15" x14ac:dyDescent="0.2">
      <c r="A103" s="13">
        <v>44044</v>
      </c>
      <c r="B103" s="14">
        <f>17.3082 * CHOOSE(CONTROL!$C$15, $E$9, 100%, $G$9) + CHOOSE(CONTROL!$C$38, 0.0278, 0)</f>
        <v>17.335999999999999</v>
      </c>
      <c r="C103" s="14">
        <f>16.6449 * CHOOSE(CONTROL!$C$15, $E$9, 100%, $G$9) + CHOOSE(CONTROL!$C$38, 0.0369, 0)</f>
        <v>16.681799999999999</v>
      </c>
      <c r="D103" s="14">
        <f>16.6371 * CHOOSE(CONTROL!$C$15, $E$9, 100%, $G$9) + CHOOSE(CONTROL!$C$38, 0.0369, 0)</f>
        <v>16.673999999999999</v>
      </c>
      <c r="E103" s="46">
        <f>17.152 * CHOOSE(CONTROL!$C$15, $E$9, 100%, $G$9) + CHOOSE(CONTROL!$C$38, 0.0369, 0)</f>
        <v>17.1889</v>
      </c>
      <c r="F103" s="45">
        <f>17.152 * CHOOSE(CONTROL!$C$15, $E$9, 100%, $G$9) + CHOOSE(CONTROL!$C$38, 0.0278, 0)</f>
        <v>17.1798</v>
      </c>
      <c r="G103" s="14">
        <f>16.6434 * CHOOSE(CONTROL!$C$15, $E$9, 100%, $G$9) + CHOOSE(CONTROL!$C$38, 0.0369, 0)</f>
        <v>16.680299999999999</v>
      </c>
      <c r="H103" s="14">
        <f>16.6434 * CHOOSE(CONTROL!$C$15, $E$9, 100%, $G$9) + CHOOSE(CONTROL!$C$38, 0.0369, 0)</f>
        <v>16.680299999999999</v>
      </c>
      <c r="I103" s="14">
        <f>16.6449 * CHOOSE(CONTROL!$C$15, $E$9, 100%, $G$9) + CHOOSE(CONTROL!$C$38, 0.0369, 0)</f>
        <v>16.681799999999999</v>
      </c>
      <c r="J103" s="44">
        <f>122.2214</f>
        <v>122.2214</v>
      </c>
    </row>
    <row r="104" spans="1:10" ht="15" x14ac:dyDescent="0.2">
      <c r="A104" s="13">
        <v>44075</v>
      </c>
      <c r="B104" s="14">
        <f>17.6812 * CHOOSE(CONTROL!$C$15, $E$9, 100%, $G$9) + CHOOSE(CONTROL!$C$38, 0.0278, 0)</f>
        <v>17.709</v>
      </c>
      <c r="C104" s="14">
        <f>17.0169 * CHOOSE(CONTROL!$C$15, $E$9, 100%, $G$9) + CHOOSE(CONTROL!$C$38, 0.0369, 0)</f>
        <v>17.053799999999999</v>
      </c>
      <c r="D104" s="14">
        <f>17.0091 * CHOOSE(CONTROL!$C$15, $E$9, 100%, $G$9) + CHOOSE(CONTROL!$C$38, 0.0369, 0)</f>
        <v>17.045999999999999</v>
      </c>
      <c r="E104" s="46">
        <f>17.525 * CHOOSE(CONTROL!$C$15, $E$9, 100%, $G$9) + CHOOSE(CONTROL!$C$38, 0.0369, 0)</f>
        <v>17.561899999999998</v>
      </c>
      <c r="F104" s="45">
        <f>17.525 * CHOOSE(CONTROL!$C$15, $E$9, 100%, $G$9) + CHOOSE(CONTROL!$C$38, 0.0278, 0)</f>
        <v>17.552799999999998</v>
      </c>
      <c r="G104" s="14">
        <f>17.0154 * CHOOSE(CONTROL!$C$15, $E$9, 100%, $G$9) + CHOOSE(CONTROL!$C$38, 0.0369, 0)</f>
        <v>17.052299999999999</v>
      </c>
      <c r="H104" s="14">
        <f>17.0154 * CHOOSE(CONTROL!$C$15, $E$9, 100%, $G$9) + CHOOSE(CONTROL!$C$38, 0.0369, 0)</f>
        <v>17.052299999999999</v>
      </c>
      <c r="I104" s="14">
        <f>17.0169 * CHOOSE(CONTROL!$C$15, $E$9, 100%, $G$9) + CHOOSE(CONTROL!$C$38, 0.0369, 0)</f>
        <v>17.053799999999999</v>
      </c>
      <c r="J104" s="44">
        <f>118.4024</f>
        <v>118.4024</v>
      </c>
    </row>
    <row r="105" spans="1:10" ht="15" x14ac:dyDescent="0.2">
      <c r="A105" s="13">
        <v>44105</v>
      </c>
      <c r="B105" s="14">
        <f>18.0006 * CHOOSE(CONTROL!$C$15, $E$9, 100%, $G$9) + CHOOSE(CONTROL!$C$38, 0.0256, 0)</f>
        <v>18.026199999999999</v>
      </c>
      <c r="C105" s="14">
        <f>17.3352 * CHOOSE(CONTROL!$C$15, $E$9, 100%, $G$9) + CHOOSE(CONTROL!$C$38, 0.0347, 0)</f>
        <v>17.369900000000001</v>
      </c>
      <c r="D105" s="14">
        <f>17.3274 * CHOOSE(CONTROL!$C$15, $E$9, 100%, $G$9) + CHOOSE(CONTROL!$C$38, 0.0347, 0)</f>
        <v>17.362100000000002</v>
      </c>
      <c r="E105" s="46">
        <f>17.8443 * CHOOSE(CONTROL!$C$15, $E$9, 100%, $G$9) + CHOOSE(CONTROL!$C$38, 0.0347, 0)</f>
        <v>17.879000000000001</v>
      </c>
      <c r="F105" s="45">
        <f>17.8443 * CHOOSE(CONTROL!$C$15, $E$9, 100%, $G$9) + CHOOSE(CONTROL!$C$38, 0.0256, 0)</f>
        <v>17.869900000000001</v>
      </c>
      <c r="G105" s="14">
        <f>17.3337 * CHOOSE(CONTROL!$C$15, $E$9, 100%, $G$9) + CHOOSE(CONTROL!$C$38, 0.0347, 0)</f>
        <v>17.368400000000001</v>
      </c>
      <c r="H105" s="14">
        <f>17.3337 * CHOOSE(CONTROL!$C$15, $E$9, 100%, $G$9) + CHOOSE(CONTROL!$C$38, 0.0347, 0)</f>
        <v>17.368400000000001</v>
      </c>
      <c r="I105" s="14">
        <f>17.3352 * CHOOSE(CONTROL!$C$15, $E$9, 100%, $G$9) + CHOOSE(CONTROL!$C$38, 0.0347, 0)</f>
        <v>17.369900000000001</v>
      </c>
      <c r="J105" s="44">
        <f>114.5434</f>
        <v>114.54340000000001</v>
      </c>
    </row>
    <row r="106" spans="1:10" ht="15" x14ac:dyDescent="0.2">
      <c r="A106" s="13">
        <v>44136</v>
      </c>
      <c r="B106" s="14">
        <f>18.274 * CHOOSE(CONTROL!$C$15, $E$9, 100%, $G$9) + CHOOSE(CONTROL!$C$38, 0.0256, 0)</f>
        <v>18.299600000000002</v>
      </c>
      <c r="C106" s="14">
        <f>17.6076 * CHOOSE(CONTROL!$C$15, $E$9, 100%, $G$9) + CHOOSE(CONTROL!$C$38, 0.0347, 0)</f>
        <v>17.642300000000002</v>
      </c>
      <c r="D106" s="14">
        <f>17.5998 * CHOOSE(CONTROL!$C$15, $E$9, 100%, $G$9) + CHOOSE(CONTROL!$C$38, 0.0347, 0)</f>
        <v>17.634499999999999</v>
      </c>
      <c r="E106" s="46">
        <f>18.1178 * CHOOSE(CONTROL!$C$15, $E$9, 100%, $G$9) + CHOOSE(CONTROL!$C$38, 0.0347, 0)</f>
        <v>18.1525</v>
      </c>
      <c r="F106" s="45">
        <f>18.1178 * CHOOSE(CONTROL!$C$15, $E$9, 100%, $G$9) + CHOOSE(CONTROL!$C$38, 0.0256, 0)</f>
        <v>18.1434</v>
      </c>
      <c r="G106" s="14">
        <f>17.6061 * CHOOSE(CONTROL!$C$15, $E$9, 100%, $G$9) + CHOOSE(CONTROL!$C$38, 0.0347, 0)</f>
        <v>17.640800000000002</v>
      </c>
      <c r="H106" s="14">
        <f>17.6061 * CHOOSE(CONTROL!$C$15, $E$9, 100%, $G$9) + CHOOSE(CONTROL!$C$38, 0.0347, 0)</f>
        <v>17.640800000000002</v>
      </c>
      <c r="I106" s="14">
        <f>17.6076 * CHOOSE(CONTROL!$C$15, $E$9, 100%, $G$9) + CHOOSE(CONTROL!$C$38, 0.0347, 0)</f>
        <v>17.642300000000002</v>
      </c>
      <c r="J106" s="44">
        <f>113.9615</f>
        <v>113.9615</v>
      </c>
    </row>
    <row r="107" spans="1:10" ht="15" x14ac:dyDescent="0.2">
      <c r="A107" s="13">
        <v>44166</v>
      </c>
      <c r="B107" s="14">
        <f>19.0442 * CHOOSE(CONTROL!$C$15, $E$9, 100%, $G$9) + CHOOSE(CONTROL!$C$38, 0.0256, 0)</f>
        <v>19.069800000000001</v>
      </c>
      <c r="C107" s="14">
        <f>18.3767 * CHOOSE(CONTROL!$C$15, $E$9, 100%, $G$9) + CHOOSE(CONTROL!$C$38, 0.0347, 0)</f>
        <v>18.4114</v>
      </c>
      <c r="D107" s="14">
        <f>18.3689 * CHOOSE(CONTROL!$C$15, $E$9, 100%, $G$9) + CHOOSE(CONTROL!$C$38, 0.0347, 0)</f>
        <v>18.403600000000001</v>
      </c>
      <c r="E107" s="46">
        <f>18.8879 * CHOOSE(CONTROL!$C$15, $E$9, 100%, $G$9) + CHOOSE(CONTROL!$C$38, 0.0347, 0)</f>
        <v>18.922599999999999</v>
      </c>
      <c r="F107" s="45">
        <f>18.8879 * CHOOSE(CONTROL!$C$15, $E$9, 100%, $G$9) + CHOOSE(CONTROL!$C$38, 0.0256, 0)</f>
        <v>18.913499999999999</v>
      </c>
      <c r="G107" s="14">
        <f>18.3751 * CHOOSE(CONTROL!$C$15, $E$9, 100%, $G$9) + CHOOSE(CONTROL!$C$38, 0.0347, 0)</f>
        <v>18.409800000000001</v>
      </c>
      <c r="H107" s="14">
        <f>18.3751 * CHOOSE(CONTROL!$C$15, $E$9, 100%, $G$9) + CHOOSE(CONTROL!$C$38, 0.0347, 0)</f>
        <v>18.409800000000001</v>
      </c>
      <c r="I107" s="14">
        <f>18.3767 * CHOOSE(CONTROL!$C$15, $E$9, 100%, $G$9) + CHOOSE(CONTROL!$C$38, 0.0347, 0)</f>
        <v>18.4114</v>
      </c>
      <c r="J107" s="44">
        <f>110.8074</f>
        <v>110.8074</v>
      </c>
    </row>
    <row r="108" spans="1:10" ht="15" x14ac:dyDescent="0.2">
      <c r="A108" s="13">
        <v>44197</v>
      </c>
      <c r="B108" s="14">
        <f>20.2028 * CHOOSE(CONTROL!$C$15, $E$9, 100%, $G$9) + CHOOSE(CONTROL!$C$38, 0.0256, 0)</f>
        <v>20.228400000000001</v>
      </c>
      <c r="C108" s="14">
        <f>19.3291 * CHOOSE(CONTROL!$C$15, $E$9, 100%, $G$9) + CHOOSE(CONTROL!$C$38, 0.0347, 0)</f>
        <v>19.363800000000001</v>
      </c>
      <c r="D108" s="14">
        <f>19.3213 * CHOOSE(CONTROL!$C$15, $E$9, 100%, $G$9) + CHOOSE(CONTROL!$C$38, 0.0347, 0)</f>
        <v>19.356000000000002</v>
      </c>
      <c r="E108" s="46">
        <f>20.0466 * CHOOSE(CONTROL!$C$15, $E$9, 100%, $G$9) + CHOOSE(CONTROL!$C$38, 0.0347, 0)</f>
        <v>20.081300000000002</v>
      </c>
      <c r="F108" s="45">
        <f>20.0466 * CHOOSE(CONTROL!$C$15, $E$9, 100%, $G$9) + CHOOSE(CONTROL!$C$38, 0.0256, 0)</f>
        <v>20.072200000000002</v>
      </c>
      <c r="G108" s="14">
        <f>19.3275 * CHOOSE(CONTROL!$C$15, $E$9, 100%, $G$9) + CHOOSE(CONTROL!$C$38, 0.0347, 0)</f>
        <v>19.362200000000001</v>
      </c>
      <c r="H108" s="14">
        <f>19.3275 * CHOOSE(CONTROL!$C$15, $E$9, 100%, $G$9) + CHOOSE(CONTROL!$C$38, 0.0347, 0)</f>
        <v>19.362200000000001</v>
      </c>
      <c r="I108" s="14">
        <f>19.3291 * CHOOSE(CONTROL!$C$15, $E$9, 100%, $G$9) + CHOOSE(CONTROL!$C$38, 0.0347, 0)</f>
        <v>19.363800000000001</v>
      </c>
      <c r="J108" s="44">
        <f>110.9959</f>
        <v>110.99590000000001</v>
      </c>
    </row>
    <row r="109" spans="1:10" ht="15" x14ac:dyDescent="0.2">
      <c r="A109" s="13">
        <v>44228</v>
      </c>
      <c r="B109" s="14">
        <f>20.516 * CHOOSE(CONTROL!$C$15, $E$9, 100%, $G$9) + CHOOSE(CONTROL!$C$38, 0.0256, 0)</f>
        <v>20.541599999999999</v>
      </c>
      <c r="C109" s="14">
        <f>19.6408 * CHOOSE(CONTROL!$C$15, $E$9, 100%, $G$9) + CHOOSE(CONTROL!$C$38, 0.0347, 0)</f>
        <v>19.6755</v>
      </c>
      <c r="D109" s="14">
        <f>19.633 * CHOOSE(CONTROL!$C$15, $E$9, 100%, $G$9) + CHOOSE(CONTROL!$C$38, 0.0347, 0)</f>
        <v>19.6677</v>
      </c>
      <c r="E109" s="46">
        <f>20.3598 * CHOOSE(CONTROL!$C$15, $E$9, 100%, $G$9) + CHOOSE(CONTROL!$C$38, 0.0347, 0)</f>
        <v>20.394500000000001</v>
      </c>
      <c r="F109" s="45">
        <f>20.3598 * CHOOSE(CONTROL!$C$15, $E$9, 100%, $G$9) + CHOOSE(CONTROL!$C$38, 0.0256, 0)</f>
        <v>20.385400000000001</v>
      </c>
      <c r="G109" s="14">
        <f>19.6393 * CHOOSE(CONTROL!$C$15, $E$9, 100%, $G$9) + CHOOSE(CONTROL!$C$38, 0.0347, 0)</f>
        <v>19.673999999999999</v>
      </c>
      <c r="H109" s="14">
        <f>19.6393 * CHOOSE(CONTROL!$C$15, $E$9, 100%, $G$9) + CHOOSE(CONTROL!$C$38, 0.0347, 0)</f>
        <v>19.673999999999999</v>
      </c>
      <c r="I109" s="14">
        <f>19.6408 * CHOOSE(CONTROL!$C$15, $E$9, 100%, $G$9) + CHOOSE(CONTROL!$C$38, 0.0347, 0)</f>
        <v>19.6755</v>
      </c>
      <c r="J109" s="44">
        <f>110.9153</f>
        <v>110.9153</v>
      </c>
    </row>
    <row r="110" spans="1:10" ht="15" x14ac:dyDescent="0.2">
      <c r="A110" s="13">
        <v>44256</v>
      </c>
      <c r="B110" s="14">
        <f>19.924 * CHOOSE(CONTROL!$C$15, $E$9, 100%, $G$9) + CHOOSE(CONTROL!$C$38, 0.0256, 0)</f>
        <v>19.9496</v>
      </c>
      <c r="C110" s="14">
        <f>19.0474 * CHOOSE(CONTROL!$C$15, $E$9, 100%, $G$9) + CHOOSE(CONTROL!$C$38, 0.0347, 0)</f>
        <v>19.082100000000001</v>
      </c>
      <c r="D110" s="14">
        <f>19.0395 * CHOOSE(CONTROL!$C$15, $E$9, 100%, $G$9) + CHOOSE(CONTROL!$C$38, 0.0347, 0)</f>
        <v>19.074200000000001</v>
      </c>
      <c r="E110" s="46">
        <f>19.7678 * CHOOSE(CONTROL!$C$15, $E$9, 100%, $G$9) + CHOOSE(CONTROL!$C$38, 0.0347, 0)</f>
        <v>19.802500000000002</v>
      </c>
      <c r="F110" s="45">
        <f>19.7678 * CHOOSE(CONTROL!$C$15, $E$9, 100%, $G$9) + CHOOSE(CONTROL!$C$38, 0.0256, 0)</f>
        <v>19.793400000000002</v>
      </c>
      <c r="G110" s="14">
        <f>19.0458 * CHOOSE(CONTROL!$C$15, $E$9, 100%, $G$9) + CHOOSE(CONTROL!$C$38, 0.0347, 0)</f>
        <v>19.080500000000001</v>
      </c>
      <c r="H110" s="14">
        <f>19.0458 * CHOOSE(CONTROL!$C$15, $E$9, 100%, $G$9) + CHOOSE(CONTROL!$C$38, 0.0347, 0)</f>
        <v>19.080500000000001</v>
      </c>
      <c r="I110" s="14">
        <f>19.0474 * CHOOSE(CONTROL!$C$15, $E$9, 100%, $G$9) + CHOOSE(CONTROL!$C$38, 0.0347, 0)</f>
        <v>19.082100000000001</v>
      </c>
      <c r="J110" s="44">
        <f>117.0017</f>
        <v>117.0017</v>
      </c>
    </row>
    <row r="111" spans="1:10" ht="15" x14ac:dyDescent="0.2">
      <c r="A111" s="13">
        <v>44287</v>
      </c>
      <c r="B111" s="14">
        <f>19.3492 * CHOOSE(CONTROL!$C$15, $E$9, 100%, $G$9) + CHOOSE(CONTROL!$C$38, 0.0256, 0)</f>
        <v>19.3748</v>
      </c>
      <c r="C111" s="14">
        <f>18.471 * CHOOSE(CONTROL!$C$15, $E$9, 100%, $G$9) + CHOOSE(CONTROL!$C$38, 0.0347, 0)</f>
        <v>18.505700000000001</v>
      </c>
      <c r="D111" s="14">
        <f>18.4632 * CHOOSE(CONTROL!$C$15, $E$9, 100%, $G$9) + CHOOSE(CONTROL!$C$38, 0.0347, 0)</f>
        <v>18.497900000000001</v>
      </c>
      <c r="E111" s="46">
        <f>19.193 * CHOOSE(CONTROL!$C$15, $E$9, 100%, $G$9) + CHOOSE(CONTROL!$C$38, 0.0347, 0)</f>
        <v>19.227700000000002</v>
      </c>
      <c r="F111" s="45">
        <f>19.193 * CHOOSE(CONTROL!$C$15, $E$9, 100%, $G$9) + CHOOSE(CONTROL!$C$38, 0.0256, 0)</f>
        <v>19.218600000000002</v>
      </c>
      <c r="G111" s="14">
        <f>18.4695 * CHOOSE(CONTROL!$C$15, $E$9, 100%, $G$9) + CHOOSE(CONTROL!$C$38, 0.0347, 0)</f>
        <v>18.504200000000001</v>
      </c>
      <c r="H111" s="14">
        <f>18.4695 * CHOOSE(CONTROL!$C$15, $E$9, 100%, $G$9) + CHOOSE(CONTROL!$C$38, 0.0347, 0)</f>
        <v>18.504200000000001</v>
      </c>
      <c r="I111" s="14">
        <f>18.471 * CHOOSE(CONTROL!$C$15, $E$9, 100%, $G$9) + CHOOSE(CONTROL!$C$38, 0.0347, 0)</f>
        <v>18.505700000000001</v>
      </c>
      <c r="J111" s="44">
        <f>124.8547</f>
        <v>124.85469999999999</v>
      </c>
    </row>
    <row r="112" spans="1:10" ht="15" x14ac:dyDescent="0.2">
      <c r="A112" s="13">
        <v>44317</v>
      </c>
      <c r="B112" s="14">
        <f>18.7459 * CHOOSE(CONTROL!$C$15, $E$9, 100%, $G$9) + CHOOSE(CONTROL!$C$38, 0.0278, 0)</f>
        <v>18.773699999999998</v>
      </c>
      <c r="C112" s="14">
        <f>17.8662 * CHOOSE(CONTROL!$C$15, $E$9, 100%, $G$9) + CHOOSE(CONTROL!$C$38, 0.0369, 0)</f>
        <v>17.903099999999998</v>
      </c>
      <c r="D112" s="14">
        <f>17.8584 * CHOOSE(CONTROL!$C$15, $E$9, 100%, $G$9) + CHOOSE(CONTROL!$C$38, 0.0369, 0)</f>
        <v>17.895299999999999</v>
      </c>
      <c r="E112" s="46">
        <f>18.5896 * CHOOSE(CONTROL!$C$15, $E$9, 100%, $G$9) + CHOOSE(CONTROL!$C$38, 0.0369, 0)</f>
        <v>18.6265</v>
      </c>
      <c r="F112" s="45">
        <f>18.5896 * CHOOSE(CONTROL!$C$15, $E$9, 100%, $G$9) + CHOOSE(CONTROL!$C$38, 0.0278, 0)</f>
        <v>18.6174</v>
      </c>
      <c r="G112" s="14">
        <f>17.8647 * CHOOSE(CONTROL!$C$15, $E$9, 100%, $G$9) + CHOOSE(CONTROL!$C$38, 0.0369, 0)</f>
        <v>17.901599999999998</v>
      </c>
      <c r="H112" s="14">
        <f>17.8647 * CHOOSE(CONTROL!$C$15, $E$9, 100%, $G$9) + CHOOSE(CONTROL!$C$38, 0.0369, 0)</f>
        <v>17.901599999999998</v>
      </c>
      <c r="I112" s="14">
        <f>17.8662 * CHOOSE(CONTROL!$C$15, $E$9, 100%, $G$9) + CHOOSE(CONTROL!$C$38, 0.0369, 0)</f>
        <v>17.903099999999998</v>
      </c>
      <c r="J112" s="44">
        <f>129.3104</f>
        <v>129.31039999999999</v>
      </c>
    </row>
    <row r="113" spans="1:10" ht="15" x14ac:dyDescent="0.2">
      <c r="A113" s="13">
        <v>44348</v>
      </c>
      <c r="B113" s="14">
        <f>18.3323 * CHOOSE(CONTROL!$C$15, $E$9, 100%, $G$9) + CHOOSE(CONTROL!$C$38, 0.0278, 0)</f>
        <v>18.360099999999999</v>
      </c>
      <c r="C113" s="14">
        <f>17.4511 * CHOOSE(CONTROL!$C$15, $E$9, 100%, $G$9) + CHOOSE(CONTROL!$C$38, 0.0369, 0)</f>
        <v>17.488</v>
      </c>
      <c r="D113" s="14">
        <f>17.4433 * CHOOSE(CONTROL!$C$15, $E$9, 100%, $G$9) + CHOOSE(CONTROL!$C$38, 0.0369, 0)</f>
        <v>17.4802</v>
      </c>
      <c r="E113" s="46">
        <f>18.176 * CHOOSE(CONTROL!$C$15, $E$9, 100%, $G$9) + CHOOSE(CONTROL!$C$38, 0.0369, 0)</f>
        <v>18.212899999999998</v>
      </c>
      <c r="F113" s="45">
        <f>18.176 * CHOOSE(CONTROL!$C$15, $E$9, 100%, $G$9) + CHOOSE(CONTROL!$C$38, 0.0278, 0)</f>
        <v>18.203799999999998</v>
      </c>
      <c r="G113" s="14">
        <f>17.4496 * CHOOSE(CONTROL!$C$15, $E$9, 100%, $G$9) + CHOOSE(CONTROL!$C$38, 0.0369, 0)</f>
        <v>17.486499999999999</v>
      </c>
      <c r="H113" s="14">
        <f>17.4496 * CHOOSE(CONTROL!$C$15, $E$9, 100%, $G$9) + CHOOSE(CONTROL!$C$38, 0.0369, 0)</f>
        <v>17.486499999999999</v>
      </c>
      <c r="I113" s="14">
        <f>17.4511 * CHOOSE(CONTROL!$C$15, $E$9, 100%, $G$9) + CHOOSE(CONTROL!$C$38, 0.0369, 0)</f>
        <v>17.488</v>
      </c>
      <c r="J113" s="44">
        <f>131.4438</f>
        <v>131.44380000000001</v>
      </c>
    </row>
    <row r="114" spans="1:10" ht="15" x14ac:dyDescent="0.2">
      <c r="A114" s="13">
        <v>44378</v>
      </c>
      <c r="B114" s="14">
        <f>18.1109 * CHOOSE(CONTROL!$C$15, $E$9, 100%, $G$9) + CHOOSE(CONTROL!$C$38, 0.0278, 0)</f>
        <v>18.1387</v>
      </c>
      <c r="C114" s="14">
        <f>17.2282 * CHOOSE(CONTROL!$C$15, $E$9, 100%, $G$9) + CHOOSE(CONTROL!$C$38, 0.0369, 0)</f>
        <v>17.2651</v>
      </c>
      <c r="D114" s="14">
        <f>17.2204 * CHOOSE(CONTROL!$C$15, $E$9, 100%, $G$9) + CHOOSE(CONTROL!$C$38, 0.0369, 0)</f>
        <v>17.257300000000001</v>
      </c>
      <c r="E114" s="46">
        <f>17.9546 * CHOOSE(CONTROL!$C$15, $E$9, 100%, $G$9) + CHOOSE(CONTROL!$C$38, 0.0369, 0)</f>
        <v>17.991499999999998</v>
      </c>
      <c r="F114" s="45">
        <f>17.9546 * CHOOSE(CONTROL!$C$15, $E$9, 100%, $G$9) + CHOOSE(CONTROL!$C$38, 0.0278, 0)</f>
        <v>17.982399999999998</v>
      </c>
      <c r="G114" s="14">
        <f>17.2267 * CHOOSE(CONTROL!$C$15, $E$9, 100%, $G$9) + CHOOSE(CONTROL!$C$38, 0.0369, 0)</f>
        <v>17.2636</v>
      </c>
      <c r="H114" s="14">
        <f>17.2267 * CHOOSE(CONTROL!$C$15, $E$9, 100%, $G$9) + CHOOSE(CONTROL!$C$38, 0.0369, 0)</f>
        <v>17.2636</v>
      </c>
      <c r="I114" s="14">
        <f>17.2282 * CHOOSE(CONTROL!$C$15, $E$9, 100%, $G$9) + CHOOSE(CONTROL!$C$38, 0.0369, 0)</f>
        <v>17.2651</v>
      </c>
      <c r="J114" s="44">
        <f>131.0985</f>
        <v>131.0985</v>
      </c>
    </row>
    <row r="115" spans="1:10" ht="15" x14ac:dyDescent="0.2">
      <c r="A115" s="13">
        <v>44409</v>
      </c>
      <c r="B115" s="14">
        <f>18.2744 * CHOOSE(CONTROL!$C$15, $E$9, 100%, $G$9) + CHOOSE(CONTROL!$C$38, 0.0278, 0)</f>
        <v>18.302199999999999</v>
      </c>
      <c r="C115" s="14">
        <f>17.3903 * CHOOSE(CONTROL!$C$15, $E$9, 100%, $G$9) + CHOOSE(CONTROL!$C$38, 0.0369, 0)</f>
        <v>17.427199999999999</v>
      </c>
      <c r="D115" s="14">
        <f>17.3825 * CHOOSE(CONTROL!$C$15, $E$9, 100%, $G$9) + CHOOSE(CONTROL!$C$38, 0.0369, 0)</f>
        <v>17.4194</v>
      </c>
      <c r="E115" s="46">
        <f>18.1182 * CHOOSE(CONTROL!$C$15, $E$9, 100%, $G$9) + CHOOSE(CONTROL!$C$38, 0.0369, 0)</f>
        <v>18.155100000000001</v>
      </c>
      <c r="F115" s="45">
        <f>18.1182 * CHOOSE(CONTROL!$C$15, $E$9, 100%, $G$9) + CHOOSE(CONTROL!$C$38, 0.0278, 0)</f>
        <v>18.146000000000001</v>
      </c>
      <c r="G115" s="14">
        <f>17.3888 * CHOOSE(CONTROL!$C$15, $E$9, 100%, $G$9) + CHOOSE(CONTROL!$C$38, 0.0369, 0)</f>
        <v>17.425699999999999</v>
      </c>
      <c r="H115" s="14">
        <f>17.3888 * CHOOSE(CONTROL!$C$15, $E$9, 100%, $G$9) + CHOOSE(CONTROL!$C$38, 0.0369, 0)</f>
        <v>17.425699999999999</v>
      </c>
      <c r="I115" s="14">
        <f>17.3903 * CHOOSE(CONTROL!$C$15, $E$9, 100%, $G$9) + CHOOSE(CONTROL!$C$38, 0.0369, 0)</f>
        <v>17.427199999999999</v>
      </c>
      <c r="J115" s="44">
        <f>128.3104</f>
        <v>128.31039999999999</v>
      </c>
    </row>
    <row r="116" spans="1:10" ht="15" x14ac:dyDescent="0.2">
      <c r="A116" s="13">
        <v>44440</v>
      </c>
      <c r="B116" s="14">
        <f>18.6579 * CHOOSE(CONTROL!$C$15, $E$9, 100%, $G$9) + CHOOSE(CONTROL!$C$38, 0.0278, 0)</f>
        <v>18.685700000000001</v>
      </c>
      <c r="C116" s="14">
        <f>17.7723 * CHOOSE(CONTROL!$C$15, $E$9, 100%, $G$9) + CHOOSE(CONTROL!$C$38, 0.0369, 0)</f>
        <v>17.809200000000001</v>
      </c>
      <c r="D116" s="14">
        <f>17.7645 * CHOOSE(CONTROL!$C$15, $E$9, 100%, $G$9) + CHOOSE(CONTROL!$C$38, 0.0369, 0)</f>
        <v>17.801400000000001</v>
      </c>
      <c r="E116" s="46">
        <f>18.5017 * CHOOSE(CONTROL!$C$15, $E$9, 100%, $G$9) + CHOOSE(CONTROL!$C$38, 0.0369, 0)</f>
        <v>18.538599999999999</v>
      </c>
      <c r="F116" s="45">
        <f>18.5017 * CHOOSE(CONTROL!$C$15, $E$9, 100%, $G$9) + CHOOSE(CONTROL!$C$38, 0.0278, 0)</f>
        <v>18.529499999999999</v>
      </c>
      <c r="G116" s="14">
        <f>17.7707 * CHOOSE(CONTROL!$C$15, $E$9, 100%, $G$9) + CHOOSE(CONTROL!$C$38, 0.0369, 0)</f>
        <v>17.807600000000001</v>
      </c>
      <c r="H116" s="14">
        <f>17.7707 * CHOOSE(CONTROL!$C$15, $E$9, 100%, $G$9) + CHOOSE(CONTROL!$C$38, 0.0369, 0)</f>
        <v>17.807600000000001</v>
      </c>
      <c r="I116" s="14">
        <f>17.7723 * CHOOSE(CONTROL!$C$15, $E$9, 100%, $G$9) + CHOOSE(CONTROL!$C$38, 0.0369, 0)</f>
        <v>17.809200000000001</v>
      </c>
      <c r="J116" s="44">
        <f>124.3011</f>
        <v>124.30110000000001</v>
      </c>
    </row>
    <row r="117" spans="1:10" ht="15" x14ac:dyDescent="0.2">
      <c r="A117" s="13">
        <v>44470</v>
      </c>
      <c r="B117" s="14">
        <f>18.9864 * CHOOSE(CONTROL!$C$15, $E$9, 100%, $G$9) + CHOOSE(CONTROL!$C$38, 0.0256, 0)</f>
        <v>19.012</v>
      </c>
      <c r="C117" s="14">
        <f>18.0993 * CHOOSE(CONTROL!$C$15, $E$9, 100%, $G$9) + CHOOSE(CONTROL!$C$38, 0.0347, 0)</f>
        <v>18.134</v>
      </c>
      <c r="D117" s="14">
        <f>18.0915 * CHOOSE(CONTROL!$C$15, $E$9, 100%, $G$9) + CHOOSE(CONTROL!$C$38, 0.0347, 0)</f>
        <v>18.126200000000001</v>
      </c>
      <c r="E117" s="46">
        <f>18.8301 * CHOOSE(CONTROL!$C$15, $E$9, 100%, $G$9) + CHOOSE(CONTROL!$C$38, 0.0347, 0)</f>
        <v>18.864800000000002</v>
      </c>
      <c r="F117" s="45">
        <f>18.8301 * CHOOSE(CONTROL!$C$15, $E$9, 100%, $G$9) + CHOOSE(CONTROL!$C$38, 0.0256, 0)</f>
        <v>18.855700000000002</v>
      </c>
      <c r="G117" s="14">
        <f>18.0977 * CHOOSE(CONTROL!$C$15, $E$9, 100%, $G$9) + CHOOSE(CONTROL!$C$38, 0.0347, 0)</f>
        <v>18.132400000000001</v>
      </c>
      <c r="H117" s="14">
        <f>18.0977 * CHOOSE(CONTROL!$C$15, $E$9, 100%, $G$9) + CHOOSE(CONTROL!$C$38, 0.0347, 0)</f>
        <v>18.132400000000001</v>
      </c>
      <c r="I117" s="14">
        <f>18.0993 * CHOOSE(CONTROL!$C$15, $E$9, 100%, $G$9) + CHOOSE(CONTROL!$C$38, 0.0347, 0)</f>
        <v>18.134</v>
      </c>
      <c r="J117" s="44">
        <f>120.2498</f>
        <v>120.24979999999999</v>
      </c>
    </row>
    <row r="118" spans="1:10" ht="15" x14ac:dyDescent="0.2">
      <c r="A118" s="13">
        <v>44501</v>
      </c>
      <c r="B118" s="14">
        <f>19.2678 * CHOOSE(CONTROL!$C$15, $E$9, 100%, $G$9) + CHOOSE(CONTROL!$C$38, 0.0256, 0)</f>
        <v>19.293400000000002</v>
      </c>
      <c r="C118" s="14">
        <f>18.3792 * CHOOSE(CONTROL!$C$15, $E$9, 100%, $G$9) + CHOOSE(CONTROL!$C$38, 0.0347, 0)</f>
        <v>18.413900000000002</v>
      </c>
      <c r="D118" s="14">
        <f>18.3714 * CHOOSE(CONTROL!$C$15, $E$9, 100%, $G$9) + CHOOSE(CONTROL!$C$38, 0.0347, 0)</f>
        <v>18.406100000000002</v>
      </c>
      <c r="E118" s="46">
        <f>19.1116 * CHOOSE(CONTROL!$C$15, $E$9, 100%, $G$9) + CHOOSE(CONTROL!$C$38, 0.0347, 0)</f>
        <v>19.1463</v>
      </c>
      <c r="F118" s="45">
        <f>19.1116 * CHOOSE(CONTROL!$C$15, $E$9, 100%, $G$9) + CHOOSE(CONTROL!$C$38, 0.0256, 0)</f>
        <v>19.1372</v>
      </c>
      <c r="G118" s="14">
        <f>18.3776 * CHOOSE(CONTROL!$C$15, $E$9, 100%, $G$9) + CHOOSE(CONTROL!$C$38, 0.0347, 0)</f>
        <v>18.412300000000002</v>
      </c>
      <c r="H118" s="14">
        <f>18.3776 * CHOOSE(CONTROL!$C$15, $E$9, 100%, $G$9) + CHOOSE(CONTROL!$C$38, 0.0347, 0)</f>
        <v>18.412300000000002</v>
      </c>
      <c r="I118" s="14">
        <f>18.3792 * CHOOSE(CONTROL!$C$15, $E$9, 100%, $G$9) + CHOOSE(CONTROL!$C$38, 0.0347, 0)</f>
        <v>18.413900000000002</v>
      </c>
      <c r="J118" s="44">
        <f>119.6389</f>
        <v>119.63890000000001</v>
      </c>
    </row>
    <row r="119" spans="1:10" ht="15" x14ac:dyDescent="0.2">
      <c r="A119" s="13">
        <v>44531</v>
      </c>
      <c r="B119" s="14">
        <f>20.0583 * CHOOSE(CONTROL!$C$15, $E$9, 100%, $G$9) + CHOOSE(CONTROL!$C$38, 0.0256, 0)</f>
        <v>20.0839</v>
      </c>
      <c r="C119" s="14">
        <f>19.1682 * CHOOSE(CONTROL!$C$15, $E$9, 100%, $G$9) + CHOOSE(CONTROL!$C$38, 0.0347, 0)</f>
        <v>19.2029</v>
      </c>
      <c r="D119" s="14">
        <f>19.1604 * CHOOSE(CONTROL!$C$15, $E$9, 100%, $G$9) + CHOOSE(CONTROL!$C$38, 0.0347, 0)</f>
        <v>19.1951</v>
      </c>
      <c r="E119" s="46">
        <f>19.9021 * CHOOSE(CONTROL!$C$15, $E$9, 100%, $G$9) + CHOOSE(CONTROL!$C$38, 0.0347, 0)</f>
        <v>19.936800000000002</v>
      </c>
      <c r="F119" s="45">
        <f>19.9021 * CHOOSE(CONTROL!$C$15, $E$9, 100%, $G$9) + CHOOSE(CONTROL!$C$38, 0.0256, 0)</f>
        <v>19.927700000000002</v>
      </c>
      <c r="G119" s="14">
        <f>19.1666 * CHOOSE(CONTROL!$C$15, $E$9, 100%, $G$9) + CHOOSE(CONTROL!$C$38, 0.0347, 0)</f>
        <v>19.2013</v>
      </c>
      <c r="H119" s="14">
        <f>19.1666 * CHOOSE(CONTROL!$C$15, $E$9, 100%, $G$9) + CHOOSE(CONTROL!$C$38, 0.0347, 0)</f>
        <v>19.2013</v>
      </c>
      <c r="I119" s="14">
        <f>19.1682 * CHOOSE(CONTROL!$C$15, $E$9, 100%, $G$9) + CHOOSE(CONTROL!$C$38, 0.0347, 0)</f>
        <v>19.2029</v>
      </c>
      <c r="J119" s="44">
        <f>116.3278</f>
        <v>116.3278</v>
      </c>
    </row>
    <row r="120" spans="1:10" ht="15" x14ac:dyDescent="0.2">
      <c r="A120" s="13">
        <v>44562</v>
      </c>
      <c r="B120" s="14">
        <f>21.138 * CHOOSE(CONTROL!$C$15, $E$9, 100%, $G$9) + CHOOSE(CONTROL!$C$38, 0.0256, 0)</f>
        <v>21.163600000000002</v>
      </c>
      <c r="C120" s="14">
        <f>20.1806 * CHOOSE(CONTROL!$C$15, $E$9, 100%, $G$9) + CHOOSE(CONTROL!$C$38, 0.0347, 0)</f>
        <v>20.215299999999999</v>
      </c>
      <c r="D120" s="14">
        <f>20.1728 * CHOOSE(CONTROL!$C$15, $E$9, 100%, $G$9) + CHOOSE(CONTROL!$C$38, 0.0347, 0)</f>
        <v>20.2075</v>
      </c>
      <c r="E120" s="46">
        <f>20.9817 * CHOOSE(CONTROL!$C$15, $E$9, 100%, $G$9) + CHOOSE(CONTROL!$C$38, 0.0347, 0)</f>
        <v>21.016400000000001</v>
      </c>
      <c r="F120" s="45">
        <f>20.9817 * CHOOSE(CONTROL!$C$15, $E$9, 100%, $G$9) + CHOOSE(CONTROL!$C$38, 0.0256, 0)</f>
        <v>21.007300000000001</v>
      </c>
      <c r="G120" s="14">
        <f>20.1791 * CHOOSE(CONTROL!$C$15, $E$9, 100%, $G$9) + CHOOSE(CONTROL!$C$38, 0.0347, 0)</f>
        <v>20.213799999999999</v>
      </c>
      <c r="H120" s="14">
        <f>20.1791 * CHOOSE(CONTROL!$C$15, $E$9, 100%, $G$9) + CHOOSE(CONTROL!$C$38, 0.0347, 0)</f>
        <v>20.213799999999999</v>
      </c>
      <c r="I120" s="14">
        <f>20.1806 * CHOOSE(CONTROL!$C$15, $E$9, 100%, $G$9) + CHOOSE(CONTROL!$C$38, 0.0347, 0)</f>
        <v>20.215299999999999</v>
      </c>
      <c r="J120" s="44">
        <f>116.6657</f>
        <v>116.6657</v>
      </c>
    </row>
    <row r="121" spans="1:10" ht="15" x14ac:dyDescent="0.2">
      <c r="A121" s="13">
        <v>44593</v>
      </c>
      <c r="B121" s="14">
        <f>21.46 * CHOOSE(CONTROL!$C$15, $E$9, 100%, $G$9) + CHOOSE(CONTROL!$C$38, 0.0256, 0)</f>
        <v>21.485600000000002</v>
      </c>
      <c r="C121" s="14">
        <f>20.501 * CHOOSE(CONTROL!$C$15, $E$9, 100%, $G$9) + CHOOSE(CONTROL!$C$38, 0.0347, 0)</f>
        <v>20.535700000000002</v>
      </c>
      <c r="D121" s="14">
        <f>20.4931 * CHOOSE(CONTROL!$C$15, $E$9, 100%, $G$9) + CHOOSE(CONTROL!$C$38, 0.0347, 0)</f>
        <v>20.527799999999999</v>
      </c>
      <c r="E121" s="46">
        <f>21.3037 * CHOOSE(CONTROL!$C$15, $E$9, 100%, $G$9) + CHOOSE(CONTROL!$C$38, 0.0347, 0)</f>
        <v>21.3384</v>
      </c>
      <c r="F121" s="45">
        <f>21.3037 * CHOOSE(CONTROL!$C$15, $E$9, 100%, $G$9) + CHOOSE(CONTROL!$C$38, 0.0256, 0)</f>
        <v>21.3293</v>
      </c>
      <c r="G121" s="14">
        <f>20.4994 * CHOOSE(CONTROL!$C$15, $E$9, 100%, $G$9) + CHOOSE(CONTROL!$C$38, 0.0347, 0)</f>
        <v>20.534100000000002</v>
      </c>
      <c r="H121" s="14">
        <f>20.4994 * CHOOSE(CONTROL!$C$15, $E$9, 100%, $G$9) + CHOOSE(CONTROL!$C$38, 0.0347, 0)</f>
        <v>20.534100000000002</v>
      </c>
      <c r="I121" s="14">
        <f>20.501 * CHOOSE(CONTROL!$C$15, $E$9, 100%, $G$9) + CHOOSE(CONTROL!$C$38, 0.0347, 0)</f>
        <v>20.535700000000002</v>
      </c>
      <c r="J121" s="44">
        <f>116.5811</f>
        <v>116.58110000000001</v>
      </c>
    </row>
    <row r="122" spans="1:10" ht="15" x14ac:dyDescent="0.2">
      <c r="A122" s="13">
        <v>44621</v>
      </c>
      <c r="B122" s="14">
        <f>20.8541 * CHOOSE(CONTROL!$C$15, $E$9, 100%, $G$9) + CHOOSE(CONTROL!$C$38, 0.0256, 0)</f>
        <v>20.8797</v>
      </c>
      <c r="C122" s="14">
        <f>19.8934 * CHOOSE(CONTROL!$C$15, $E$9, 100%, $G$9) + CHOOSE(CONTROL!$C$38, 0.0347, 0)</f>
        <v>19.928100000000001</v>
      </c>
      <c r="D122" s="14">
        <f>19.8856 * CHOOSE(CONTROL!$C$15, $E$9, 100%, $G$9) + CHOOSE(CONTROL!$C$38, 0.0347, 0)</f>
        <v>19.920300000000001</v>
      </c>
      <c r="E122" s="46">
        <f>20.6978 * CHOOSE(CONTROL!$C$15, $E$9, 100%, $G$9) + CHOOSE(CONTROL!$C$38, 0.0347, 0)</f>
        <v>20.732500000000002</v>
      </c>
      <c r="F122" s="45">
        <f>20.6978 * CHOOSE(CONTROL!$C$15, $E$9, 100%, $G$9) + CHOOSE(CONTROL!$C$38, 0.0256, 0)</f>
        <v>20.723400000000002</v>
      </c>
      <c r="G122" s="14">
        <f>19.8919 * CHOOSE(CONTROL!$C$15, $E$9, 100%, $G$9) + CHOOSE(CONTROL!$C$38, 0.0347, 0)</f>
        <v>19.926600000000001</v>
      </c>
      <c r="H122" s="14">
        <f>19.8919 * CHOOSE(CONTROL!$C$15, $E$9, 100%, $G$9) + CHOOSE(CONTROL!$C$38, 0.0347, 0)</f>
        <v>19.926600000000001</v>
      </c>
      <c r="I122" s="14">
        <f>19.8934 * CHOOSE(CONTROL!$C$15, $E$9, 100%, $G$9) + CHOOSE(CONTROL!$C$38, 0.0347, 0)</f>
        <v>19.928100000000001</v>
      </c>
      <c r="J122" s="44">
        <f>122.9784</f>
        <v>122.97839999999999</v>
      </c>
    </row>
    <row r="123" spans="1:10" ht="15" x14ac:dyDescent="0.2">
      <c r="A123" s="13">
        <v>44652</v>
      </c>
      <c r="B123" s="14">
        <f>20.2658 * CHOOSE(CONTROL!$C$15, $E$9, 100%, $G$9) + CHOOSE(CONTROL!$C$38, 0.0256, 0)</f>
        <v>20.291399999999999</v>
      </c>
      <c r="C123" s="14">
        <f>19.3035 * CHOOSE(CONTROL!$C$15, $E$9, 100%, $G$9) + CHOOSE(CONTROL!$C$38, 0.0347, 0)</f>
        <v>19.338200000000001</v>
      </c>
      <c r="D123" s="14">
        <f>19.2957 * CHOOSE(CONTROL!$C$15, $E$9, 100%, $G$9) + CHOOSE(CONTROL!$C$38, 0.0347, 0)</f>
        <v>19.330400000000001</v>
      </c>
      <c r="E123" s="46">
        <f>20.1096 * CHOOSE(CONTROL!$C$15, $E$9, 100%, $G$9) + CHOOSE(CONTROL!$C$38, 0.0347, 0)</f>
        <v>20.144300000000001</v>
      </c>
      <c r="F123" s="45">
        <f>20.1096 * CHOOSE(CONTROL!$C$15, $E$9, 100%, $G$9) + CHOOSE(CONTROL!$C$38, 0.0256, 0)</f>
        <v>20.135200000000001</v>
      </c>
      <c r="G123" s="14">
        <f>19.3019 * CHOOSE(CONTROL!$C$15, $E$9, 100%, $G$9) + CHOOSE(CONTROL!$C$38, 0.0347, 0)</f>
        <v>19.336600000000001</v>
      </c>
      <c r="H123" s="14">
        <f>19.3019 * CHOOSE(CONTROL!$C$15, $E$9, 100%, $G$9) + CHOOSE(CONTROL!$C$38, 0.0347, 0)</f>
        <v>19.336600000000001</v>
      </c>
      <c r="I123" s="14">
        <f>19.3035 * CHOOSE(CONTROL!$C$15, $E$9, 100%, $G$9) + CHOOSE(CONTROL!$C$38, 0.0347, 0)</f>
        <v>19.338200000000001</v>
      </c>
      <c r="J123" s="44">
        <f>131.2325</f>
        <v>131.23249999999999</v>
      </c>
    </row>
    <row r="124" spans="1:10" ht="15" x14ac:dyDescent="0.2">
      <c r="A124" s="13">
        <v>44682</v>
      </c>
      <c r="B124" s="14">
        <f>19.6483 * CHOOSE(CONTROL!$C$15, $E$9, 100%, $G$9) + CHOOSE(CONTROL!$C$38, 0.0278, 0)</f>
        <v>19.676099999999998</v>
      </c>
      <c r="C124" s="14">
        <f>18.6844 * CHOOSE(CONTROL!$C$15, $E$9, 100%, $G$9) + CHOOSE(CONTROL!$C$38, 0.0369, 0)</f>
        <v>18.721299999999999</v>
      </c>
      <c r="D124" s="14">
        <f>18.6765 * CHOOSE(CONTROL!$C$15, $E$9, 100%, $G$9) + CHOOSE(CONTROL!$C$38, 0.0369, 0)</f>
        <v>18.7134</v>
      </c>
      <c r="E124" s="46">
        <f>19.4921 * CHOOSE(CONTROL!$C$15, $E$9, 100%, $G$9) + CHOOSE(CONTROL!$C$38, 0.0369, 0)</f>
        <v>19.529</v>
      </c>
      <c r="F124" s="45">
        <f>19.4921 * CHOOSE(CONTROL!$C$15, $E$9, 100%, $G$9) + CHOOSE(CONTROL!$C$38, 0.0278, 0)</f>
        <v>19.5199</v>
      </c>
      <c r="G124" s="14">
        <f>18.6828 * CHOOSE(CONTROL!$C$15, $E$9, 100%, $G$9) + CHOOSE(CONTROL!$C$38, 0.0369, 0)</f>
        <v>18.7197</v>
      </c>
      <c r="H124" s="14">
        <f>18.6828 * CHOOSE(CONTROL!$C$15, $E$9, 100%, $G$9) + CHOOSE(CONTROL!$C$38, 0.0369, 0)</f>
        <v>18.7197</v>
      </c>
      <c r="I124" s="14">
        <f>18.6844 * CHOOSE(CONTROL!$C$15, $E$9, 100%, $G$9) + CHOOSE(CONTROL!$C$38, 0.0369, 0)</f>
        <v>18.721299999999999</v>
      </c>
      <c r="J124" s="44">
        <f>135.9158</f>
        <v>135.91579999999999</v>
      </c>
    </row>
    <row r="125" spans="1:10" ht="15" x14ac:dyDescent="0.2">
      <c r="A125" s="13">
        <v>44713</v>
      </c>
      <c r="B125" s="14">
        <f>19.2253 * CHOOSE(CONTROL!$C$15, $E$9, 100%, $G$9) + CHOOSE(CONTROL!$C$38, 0.0278, 0)</f>
        <v>19.2531</v>
      </c>
      <c r="C125" s="14">
        <f>18.2597 * CHOOSE(CONTROL!$C$15, $E$9, 100%, $G$9) + CHOOSE(CONTROL!$C$38, 0.0369, 0)</f>
        <v>18.296599999999998</v>
      </c>
      <c r="D125" s="14">
        <f>18.2518 * CHOOSE(CONTROL!$C$15, $E$9, 100%, $G$9) + CHOOSE(CONTROL!$C$38, 0.0369, 0)</f>
        <v>18.288699999999999</v>
      </c>
      <c r="E125" s="46">
        <f>19.069 * CHOOSE(CONTROL!$C$15, $E$9, 100%, $G$9) + CHOOSE(CONTROL!$C$38, 0.0369, 0)</f>
        <v>19.105899999999998</v>
      </c>
      <c r="F125" s="45">
        <f>19.069 * CHOOSE(CONTROL!$C$15, $E$9, 100%, $G$9) + CHOOSE(CONTROL!$C$38, 0.0278, 0)</f>
        <v>19.096799999999998</v>
      </c>
      <c r="G125" s="14">
        <f>18.2581 * CHOOSE(CONTROL!$C$15, $E$9, 100%, $G$9) + CHOOSE(CONTROL!$C$38, 0.0369, 0)</f>
        <v>18.294999999999998</v>
      </c>
      <c r="H125" s="14">
        <f>18.2581 * CHOOSE(CONTROL!$C$15, $E$9, 100%, $G$9) + CHOOSE(CONTROL!$C$38, 0.0369, 0)</f>
        <v>18.294999999999998</v>
      </c>
      <c r="I125" s="14">
        <f>18.2597 * CHOOSE(CONTROL!$C$15, $E$9, 100%, $G$9) + CHOOSE(CONTROL!$C$38, 0.0369, 0)</f>
        <v>18.296599999999998</v>
      </c>
      <c r="J125" s="44">
        <f>138.1582</f>
        <v>138.15819999999999</v>
      </c>
    </row>
    <row r="126" spans="1:10" ht="15" x14ac:dyDescent="0.2">
      <c r="A126" s="13">
        <v>44743</v>
      </c>
      <c r="B126" s="14">
        <f>18.9993 * CHOOSE(CONTROL!$C$15, $E$9, 100%, $G$9) + CHOOSE(CONTROL!$C$38, 0.0278, 0)</f>
        <v>19.027100000000001</v>
      </c>
      <c r="C126" s="14">
        <f>18.032 * CHOOSE(CONTROL!$C$15, $E$9, 100%, $G$9) + CHOOSE(CONTROL!$C$38, 0.0369, 0)</f>
        <v>18.068899999999999</v>
      </c>
      <c r="D126" s="14">
        <f>18.0242 * CHOOSE(CONTROL!$C$15, $E$9, 100%, $G$9) + CHOOSE(CONTROL!$C$38, 0.0369, 0)</f>
        <v>18.0611</v>
      </c>
      <c r="E126" s="46">
        <f>18.843 * CHOOSE(CONTROL!$C$15, $E$9, 100%, $G$9) + CHOOSE(CONTROL!$C$38, 0.0369, 0)</f>
        <v>18.879899999999999</v>
      </c>
      <c r="F126" s="45">
        <f>18.843 * CHOOSE(CONTROL!$C$15, $E$9, 100%, $G$9) + CHOOSE(CONTROL!$C$38, 0.0278, 0)</f>
        <v>18.870799999999999</v>
      </c>
      <c r="G126" s="14">
        <f>18.0304 * CHOOSE(CONTROL!$C$15, $E$9, 100%, $G$9) + CHOOSE(CONTROL!$C$38, 0.0369, 0)</f>
        <v>18.067299999999999</v>
      </c>
      <c r="H126" s="14">
        <f>18.0304 * CHOOSE(CONTROL!$C$15, $E$9, 100%, $G$9) + CHOOSE(CONTROL!$C$38, 0.0369, 0)</f>
        <v>18.067299999999999</v>
      </c>
      <c r="I126" s="14">
        <f>18.032 * CHOOSE(CONTROL!$C$15, $E$9, 100%, $G$9) + CHOOSE(CONTROL!$C$38, 0.0369, 0)</f>
        <v>18.068899999999999</v>
      </c>
      <c r="J126" s="44">
        <f>137.7953</f>
        <v>137.7953</v>
      </c>
    </row>
    <row r="127" spans="1:10" ht="15" x14ac:dyDescent="0.2">
      <c r="A127" s="13">
        <v>44774</v>
      </c>
      <c r="B127" s="14">
        <f>19.1679 * CHOOSE(CONTROL!$C$15, $E$9, 100%, $G$9) + CHOOSE(CONTROL!$C$38, 0.0278, 0)</f>
        <v>19.195699999999999</v>
      </c>
      <c r="C127" s="14">
        <f>18.1989 * CHOOSE(CONTROL!$C$15, $E$9, 100%, $G$9) + CHOOSE(CONTROL!$C$38, 0.0369, 0)</f>
        <v>18.235799999999998</v>
      </c>
      <c r="D127" s="14">
        <f>18.1911 * CHOOSE(CONTROL!$C$15, $E$9, 100%, $G$9) + CHOOSE(CONTROL!$C$38, 0.0369, 0)</f>
        <v>18.227999999999998</v>
      </c>
      <c r="E127" s="46">
        <f>19.0116 * CHOOSE(CONTROL!$C$15, $E$9, 100%, $G$9) + CHOOSE(CONTROL!$C$38, 0.0369, 0)</f>
        <v>19.048500000000001</v>
      </c>
      <c r="F127" s="45">
        <f>19.0116 * CHOOSE(CONTROL!$C$15, $E$9, 100%, $G$9) + CHOOSE(CONTROL!$C$38, 0.0278, 0)</f>
        <v>19.039400000000001</v>
      </c>
      <c r="G127" s="14">
        <f>18.1974 * CHOOSE(CONTROL!$C$15, $E$9, 100%, $G$9) + CHOOSE(CONTROL!$C$38, 0.0369, 0)</f>
        <v>18.234299999999998</v>
      </c>
      <c r="H127" s="14">
        <f>18.1974 * CHOOSE(CONTROL!$C$15, $E$9, 100%, $G$9) + CHOOSE(CONTROL!$C$38, 0.0369, 0)</f>
        <v>18.234299999999998</v>
      </c>
      <c r="I127" s="14">
        <f>18.1989 * CHOOSE(CONTROL!$C$15, $E$9, 100%, $G$9) + CHOOSE(CONTROL!$C$38, 0.0369, 0)</f>
        <v>18.235799999999998</v>
      </c>
      <c r="J127" s="44">
        <f>134.8647</f>
        <v>134.8647</v>
      </c>
    </row>
    <row r="128" spans="1:10" ht="15" x14ac:dyDescent="0.2">
      <c r="A128" s="13">
        <v>44805</v>
      </c>
      <c r="B128" s="14">
        <f>19.5619 * CHOOSE(CONTROL!$C$15, $E$9, 100%, $G$9) + CHOOSE(CONTROL!$C$38, 0.0278, 0)</f>
        <v>19.589700000000001</v>
      </c>
      <c r="C128" s="14">
        <f>18.5912 * CHOOSE(CONTROL!$C$15, $E$9, 100%, $G$9) + CHOOSE(CONTROL!$C$38, 0.0369, 0)</f>
        <v>18.6281</v>
      </c>
      <c r="D128" s="14">
        <f>18.5834 * CHOOSE(CONTROL!$C$15, $E$9, 100%, $G$9) + CHOOSE(CONTROL!$C$38, 0.0369, 0)</f>
        <v>18.6203</v>
      </c>
      <c r="E128" s="46">
        <f>19.4056 * CHOOSE(CONTROL!$C$15, $E$9, 100%, $G$9) + CHOOSE(CONTROL!$C$38, 0.0369, 0)</f>
        <v>19.442499999999999</v>
      </c>
      <c r="F128" s="45">
        <f>19.4056 * CHOOSE(CONTROL!$C$15, $E$9, 100%, $G$9) + CHOOSE(CONTROL!$C$38, 0.0278, 0)</f>
        <v>19.433399999999999</v>
      </c>
      <c r="G128" s="14">
        <f>18.5897 * CHOOSE(CONTROL!$C$15, $E$9, 100%, $G$9) + CHOOSE(CONTROL!$C$38, 0.0369, 0)</f>
        <v>18.6266</v>
      </c>
      <c r="H128" s="14">
        <f>18.5897 * CHOOSE(CONTROL!$C$15, $E$9, 100%, $G$9) + CHOOSE(CONTROL!$C$38, 0.0369, 0)</f>
        <v>18.6266</v>
      </c>
      <c r="I128" s="14">
        <f>18.5912 * CHOOSE(CONTROL!$C$15, $E$9, 100%, $G$9) + CHOOSE(CONTROL!$C$38, 0.0369, 0)</f>
        <v>18.6281</v>
      </c>
      <c r="J128" s="44">
        <f>130.6506</f>
        <v>130.6506</v>
      </c>
    </row>
    <row r="129" spans="1:10" ht="15" x14ac:dyDescent="0.2">
      <c r="A129" s="13">
        <v>44835</v>
      </c>
      <c r="B129" s="14">
        <f>19.8995 * CHOOSE(CONTROL!$C$15, $E$9, 100%, $G$9) + CHOOSE(CONTROL!$C$38, 0.0256, 0)</f>
        <v>19.9251</v>
      </c>
      <c r="C129" s="14">
        <f>18.9272 * CHOOSE(CONTROL!$C$15, $E$9, 100%, $G$9) + CHOOSE(CONTROL!$C$38, 0.0347, 0)</f>
        <v>18.9619</v>
      </c>
      <c r="D129" s="14">
        <f>18.9194 * CHOOSE(CONTROL!$C$15, $E$9, 100%, $G$9) + CHOOSE(CONTROL!$C$38, 0.0347, 0)</f>
        <v>18.9541</v>
      </c>
      <c r="E129" s="46">
        <f>19.7432 * CHOOSE(CONTROL!$C$15, $E$9, 100%, $G$9) + CHOOSE(CONTROL!$C$38, 0.0347, 0)</f>
        <v>19.777900000000002</v>
      </c>
      <c r="F129" s="45">
        <f>19.7432 * CHOOSE(CONTROL!$C$15, $E$9, 100%, $G$9) + CHOOSE(CONTROL!$C$38, 0.0256, 0)</f>
        <v>19.768800000000002</v>
      </c>
      <c r="G129" s="14">
        <f>18.9256 * CHOOSE(CONTROL!$C$15, $E$9, 100%, $G$9) + CHOOSE(CONTROL!$C$38, 0.0347, 0)</f>
        <v>18.9603</v>
      </c>
      <c r="H129" s="14">
        <f>18.9256 * CHOOSE(CONTROL!$C$15, $E$9, 100%, $G$9) + CHOOSE(CONTROL!$C$38, 0.0347, 0)</f>
        <v>18.9603</v>
      </c>
      <c r="I129" s="14">
        <f>18.9272 * CHOOSE(CONTROL!$C$15, $E$9, 100%, $G$9) + CHOOSE(CONTROL!$C$38, 0.0347, 0)</f>
        <v>18.9619</v>
      </c>
      <c r="J129" s="44">
        <f>126.3924</f>
        <v>126.39239999999999</v>
      </c>
    </row>
    <row r="130" spans="1:10" ht="15" x14ac:dyDescent="0.2">
      <c r="A130" s="13">
        <v>44866</v>
      </c>
      <c r="B130" s="14">
        <f>20.1889 * CHOOSE(CONTROL!$C$15, $E$9, 100%, $G$9) + CHOOSE(CONTROL!$C$38, 0.0256, 0)</f>
        <v>20.214500000000001</v>
      </c>
      <c r="C130" s="14">
        <f>19.2149 * CHOOSE(CONTROL!$C$15, $E$9, 100%, $G$9) + CHOOSE(CONTROL!$C$38, 0.0347, 0)</f>
        <v>19.249600000000001</v>
      </c>
      <c r="D130" s="14">
        <f>19.2071 * CHOOSE(CONTROL!$C$15, $E$9, 100%, $G$9) + CHOOSE(CONTROL!$C$38, 0.0347, 0)</f>
        <v>19.241800000000001</v>
      </c>
      <c r="E130" s="46">
        <f>20.0326 * CHOOSE(CONTROL!$C$15, $E$9, 100%, $G$9) + CHOOSE(CONTROL!$C$38, 0.0347, 0)</f>
        <v>20.067299999999999</v>
      </c>
      <c r="F130" s="45">
        <f>20.0326 * CHOOSE(CONTROL!$C$15, $E$9, 100%, $G$9) + CHOOSE(CONTROL!$C$38, 0.0256, 0)</f>
        <v>20.058199999999999</v>
      </c>
      <c r="G130" s="14">
        <f>19.2133 * CHOOSE(CONTROL!$C$15, $E$9, 100%, $G$9) + CHOOSE(CONTROL!$C$38, 0.0347, 0)</f>
        <v>19.248000000000001</v>
      </c>
      <c r="H130" s="14">
        <f>19.2133 * CHOOSE(CONTROL!$C$15, $E$9, 100%, $G$9) + CHOOSE(CONTROL!$C$38, 0.0347, 0)</f>
        <v>19.248000000000001</v>
      </c>
      <c r="I130" s="14">
        <f>19.2149 * CHOOSE(CONTROL!$C$15, $E$9, 100%, $G$9) + CHOOSE(CONTROL!$C$38, 0.0347, 0)</f>
        <v>19.249600000000001</v>
      </c>
      <c r="J130" s="44">
        <f>125.7503</f>
        <v>125.7503</v>
      </c>
    </row>
    <row r="131" spans="1:10" ht="15" x14ac:dyDescent="0.2">
      <c r="A131" s="13">
        <v>44896</v>
      </c>
      <c r="B131" s="14">
        <f>21.0001 * CHOOSE(CONTROL!$C$15, $E$9, 100%, $G$9) + CHOOSE(CONTROL!$C$38, 0.0256, 0)</f>
        <v>21.025700000000001</v>
      </c>
      <c r="C131" s="14">
        <f>20.0244 * CHOOSE(CONTROL!$C$15, $E$9, 100%, $G$9) + CHOOSE(CONTROL!$C$38, 0.0347, 0)</f>
        <v>20.059100000000001</v>
      </c>
      <c r="D131" s="14">
        <f>20.0166 * CHOOSE(CONTROL!$C$15, $E$9, 100%, $G$9) + CHOOSE(CONTROL!$C$38, 0.0347, 0)</f>
        <v>20.051300000000001</v>
      </c>
      <c r="E131" s="46">
        <f>20.8439 * CHOOSE(CONTROL!$C$15, $E$9, 100%, $G$9) + CHOOSE(CONTROL!$C$38, 0.0347, 0)</f>
        <v>20.878600000000002</v>
      </c>
      <c r="F131" s="45">
        <f>20.8439 * CHOOSE(CONTROL!$C$15, $E$9, 100%, $G$9) + CHOOSE(CONTROL!$C$38, 0.0256, 0)</f>
        <v>20.869500000000002</v>
      </c>
      <c r="G131" s="14">
        <f>20.0229 * CHOOSE(CONTROL!$C$15, $E$9, 100%, $G$9) + CHOOSE(CONTROL!$C$38, 0.0347, 0)</f>
        <v>20.057600000000001</v>
      </c>
      <c r="H131" s="14">
        <f>20.0229 * CHOOSE(CONTROL!$C$15, $E$9, 100%, $G$9) + CHOOSE(CONTROL!$C$38, 0.0347, 0)</f>
        <v>20.057600000000001</v>
      </c>
      <c r="I131" s="14">
        <f>20.0244 * CHOOSE(CONTROL!$C$15, $E$9, 100%, $G$9) + CHOOSE(CONTROL!$C$38, 0.0347, 0)</f>
        <v>20.059100000000001</v>
      </c>
      <c r="J131" s="44">
        <f>122.27</f>
        <v>122.27</v>
      </c>
    </row>
    <row r="132" spans="1:10" ht="15" x14ac:dyDescent="0.2">
      <c r="A132" s="13">
        <v>44927</v>
      </c>
      <c r="B132" s="14">
        <f>22.2512 * CHOOSE(CONTROL!$C$15, $E$9, 100%, $G$9) + CHOOSE(CONTROL!$C$38, 0.0256, 0)</f>
        <v>22.276800000000001</v>
      </c>
      <c r="C132" s="14">
        <f>21.1289 * CHOOSE(CONTROL!$C$15, $E$9, 100%, $G$9) + CHOOSE(CONTROL!$C$38, 0.0347, 0)</f>
        <v>21.163600000000002</v>
      </c>
      <c r="D132" s="14">
        <f>21.1211 * CHOOSE(CONTROL!$C$15, $E$9, 100%, $G$9) + CHOOSE(CONTROL!$C$38, 0.0347, 0)</f>
        <v>21.155799999999999</v>
      </c>
      <c r="E132" s="46">
        <f>22.0949 * CHOOSE(CONTROL!$C$15, $E$9, 100%, $G$9) + CHOOSE(CONTROL!$C$38, 0.0347, 0)</f>
        <v>22.1296</v>
      </c>
      <c r="F132" s="45">
        <f>22.0949 * CHOOSE(CONTROL!$C$15, $E$9, 100%, $G$9) + CHOOSE(CONTROL!$C$38, 0.0256, 0)</f>
        <v>22.1205</v>
      </c>
      <c r="G132" s="14">
        <f>21.1273 * CHOOSE(CONTROL!$C$15, $E$9, 100%, $G$9) + CHOOSE(CONTROL!$C$38, 0.0347, 0)</f>
        <v>21.162000000000003</v>
      </c>
      <c r="H132" s="14">
        <f>21.1273 * CHOOSE(CONTROL!$C$15, $E$9, 100%, $G$9) + CHOOSE(CONTROL!$C$38, 0.0347, 0)</f>
        <v>21.162000000000003</v>
      </c>
      <c r="I132" s="14">
        <f>21.1289 * CHOOSE(CONTROL!$C$15, $E$9, 100%, $G$9) + CHOOSE(CONTROL!$C$38, 0.0347, 0)</f>
        <v>21.163600000000002</v>
      </c>
      <c r="J132" s="44">
        <f>122.6189</f>
        <v>122.6189</v>
      </c>
    </row>
    <row r="133" spans="1:10" ht="15" x14ac:dyDescent="0.2">
      <c r="A133" s="13">
        <v>44958</v>
      </c>
      <c r="B133" s="14">
        <f>22.5824 * CHOOSE(CONTROL!$C$15, $E$9, 100%, $G$9) + CHOOSE(CONTROL!$C$38, 0.0256, 0)</f>
        <v>22.608000000000001</v>
      </c>
      <c r="C133" s="14">
        <f>21.4582 * CHOOSE(CONTROL!$C$15, $E$9, 100%, $G$9) + CHOOSE(CONTROL!$C$38, 0.0347, 0)</f>
        <v>21.492900000000002</v>
      </c>
      <c r="D133" s="14">
        <f>21.4504 * CHOOSE(CONTROL!$C$15, $E$9, 100%, $G$9) + CHOOSE(CONTROL!$C$38, 0.0347, 0)</f>
        <v>21.485099999999999</v>
      </c>
      <c r="E133" s="46">
        <f>22.4262 * CHOOSE(CONTROL!$C$15, $E$9, 100%, $G$9) + CHOOSE(CONTROL!$C$38, 0.0347, 0)</f>
        <v>22.460900000000002</v>
      </c>
      <c r="F133" s="45">
        <f>22.4262 * CHOOSE(CONTROL!$C$15, $E$9, 100%, $G$9) + CHOOSE(CONTROL!$C$38, 0.0256, 0)</f>
        <v>22.451800000000002</v>
      </c>
      <c r="G133" s="14">
        <f>21.4566 * CHOOSE(CONTROL!$C$15, $E$9, 100%, $G$9) + CHOOSE(CONTROL!$C$38, 0.0347, 0)</f>
        <v>21.491300000000003</v>
      </c>
      <c r="H133" s="14">
        <f>21.4566 * CHOOSE(CONTROL!$C$15, $E$9, 100%, $G$9) + CHOOSE(CONTROL!$C$38, 0.0347, 0)</f>
        <v>21.491300000000003</v>
      </c>
      <c r="I133" s="14">
        <f>21.4582 * CHOOSE(CONTROL!$C$15, $E$9, 100%, $G$9) + CHOOSE(CONTROL!$C$38, 0.0347, 0)</f>
        <v>21.492900000000002</v>
      </c>
      <c r="J133" s="44">
        <f>122.53</f>
        <v>122.53</v>
      </c>
    </row>
    <row r="134" spans="1:10" ht="15" x14ac:dyDescent="0.2">
      <c r="A134" s="13">
        <v>44986</v>
      </c>
      <c r="B134" s="14">
        <f>21.9627 * CHOOSE(CONTROL!$C$15, $E$9, 100%, $G$9) + CHOOSE(CONTROL!$C$38, 0.0256, 0)</f>
        <v>21.988300000000002</v>
      </c>
      <c r="C134" s="14">
        <f>20.8364 * CHOOSE(CONTROL!$C$15, $E$9, 100%, $G$9) + CHOOSE(CONTROL!$C$38, 0.0347, 0)</f>
        <v>20.871100000000002</v>
      </c>
      <c r="D134" s="14">
        <f>20.8286 * CHOOSE(CONTROL!$C$15, $E$9, 100%, $G$9) + CHOOSE(CONTROL!$C$38, 0.0347, 0)</f>
        <v>20.863300000000002</v>
      </c>
      <c r="E134" s="46">
        <f>21.8064 * CHOOSE(CONTROL!$C$15, $E$9, 100%, $G$9) + CHOOSE(CONTROL!$C$38, 0.0347, 0)</f>
        <v>21.841100000000001</v>
      </c>
      <c r="F134" s="45">
        <f>21.8064 * CHOOSE(CONTROL!$C$15, $E$9, 100%, $G$9) + CHOOSE(CONTROL!$C$38, 0.0256, 0)</f>
        <v>21.832000000000001</v>
      </c>
      <c r="G134" s="14">
        <f>20.8348 * CHOOSE(CONTROL!$C$15, $E$9, 100%, $G$9) + CHOOSE(CONTROL!$C$38, 0.0347, 0)</f>
        <v>20.869500000000002</v>
      </c>
      <c r="H134" s="14">
        <f>20.8348 * CHOOSE(CONTROL!$C$15, $E$9, 100%, $G$9) + CHOOSE(CONTROL!$C$38, 0.0347, 0)</f>
        <v>20.869500000000002</v>
      </c>
      <c r="I134" s="14">
        <f>20.8364 * CHOOSE(CONTROL!$C$15, $E$9, 100%, $G$9) + CHOOSE(CONTROL!$C$38, 0.0347, 0)</f>
        <v>20.871100000000002</v>
      </c>
      <c r="J134" s="44">
        <f>129.2537</f>
        <v>129.25370000000001</v>
      </c>
    </row>
    <row r="135" spans="1:10" ht="15" x14ac:dyDescent="0.2">
      <c r="A135" s="13">
        <v>45017</v>
      </c>
      <c r="B135" s="14">
        <f>21.3609 * CHOOSE(CONTROL!$C$15, $E$9, 100%, $G$9) + CHOOSE(CONTROL!$C$38, 0.0256, 0)</f>
        <v>21.386500000000002</v>
      </c>
      <c r="C135" s="14">
        <f>20.2327 * CHOOSE(CONTROL!$C$15, $E$9, 100%, $G$9) + CHOOSE(CONTROL!$C$38, 0.0347, 0)</f>
        <v>20.267400000000002</v>
      </c>
      <c r="D135" s="14">
        <f>20.2248 * CHOOSE(CONTROL!$C$15, $E$9, 100%, $G$9) + CHOOSE(CONTROL!$C$38, 0.0347, 0)</f>
        <v>20.259499999999999</v>
      </c>
      <c r="E135" s="46">
        <f>21.2047 * CHOOSE(CONTROL!$C$15, $E$9, 100%, $G$9) + CHOOSE(CONTROL!$C$38, 0.0347, 0)</f>
        <v>21.2394</v>
      </c>
      <c r="F135" s="45">
        <f>21.2047 * CHOOSE(CONTROL!$C$15, $E$9, 100%, $G$9) + CHOOSE(CONTROL!$C$38, 0.0256, 0)</f>
        <v>21.2303</v>
      </c>
      <c r="G135" s="14">
        <f>20.2311 * CHOOSE(CONTROL!$C$15, $E$9, 100%, $G$9) + CHOOSE(CONTROL!$C$38, 0.0347, 0)</f>
        <v>20.265800000000002</v>
      </c>
      <c r="H135" s="14">
        <f>20.2311 * CHOOSE(CONTROL!$C$15, $E$9, 100%, $G$9) + CHOOSE(CONTROL!$C$38, 0.0347, 0)</f>
        <v>20.265800000000002</v>
      </c>
      <c r="I135" s="14">
        <f>20.2327 * CHOOSE(CONTROL!$C$15, $E$9, 100%, $G$9) + CHOOSE(CONTROL!$C$38, 0.0347, 0)</f>
        <v>20.267400000000002</v>
      </c>
      <c r="J135" s="44">
        <f>137.929</f>
        <v>137.929</v>
      </c>
    </row>
    <row r="136" spans="1:10" ht="15" x14ac:dyDescent="0.2">
      <c r="A136" s="13">
        <v>45047</v>
      </c>
      <c r="B136" s="14">
        <f>20.7292 * CHOOSE(CONTROL!$C$15, $E$9, 100%, $G$9) + CHOOSE(CONTROL!$C$38, 0.0278, 0)</f>
        <v>20.756999999999998</v>
      </c>
      <c r="C136" s="14">
        <f>19.599 * CHOOSE(CONTROL!$C$15, $E$9, 100%, $G$9) + CHOOSE(CONTROL!$C$38, 0.0369, 0)</f>
        <v>19.635899999999999</v>
      </c>
      <c r="D136" s="14">
        <f>19.5912 * CHOOSE(CONTROL!$C$15, $E$9, 100%, $G$9) + CHOOSE(CONTROL!$C$38, 0.0369, 0)</f>
        <v>19.6281</v>
      </c>
      <c r="E136" s="46">
        <f>20.573 * CHOOSE(CONTROL!$C$15, $E$9, 100%, $G$9) + CHOOSE(CONTROL!$C$38, 0.0369, 0)</f>
        <v>20.6099</v>
      </c>
      <c r="F136" s="45">
        <f>20.573 * CHOOSE(CONTROL!$C$15, $E$9, 100%, $G$9) + CHOOSE(CONTROL!$C$38, 0.0278, 0)</f>
        <v>20.6008</v>
      </c>
      <c r="G136" s="14">
        <f>19.5974 * CHOOSE(CONTROL!$C$15, $E$9, 100%, $G$9) + CHOOSE(CONTROL!$C$38, 0.0369, 0)</f>
        <v>19.6343</v>
      </c>
      <c r="H136" s="14">
        <f>19.5974 * CHOOSE(CONTROL!$C$15, $E$9, 100%, $G$9) + CHOOSE(CONTROL!$C$38, 0.0369, 0)</f>
        <v>19.6343</v>
      </c>
      <c r="I136" s="14">
        <f>19.599 * CHOOSE(CONTROL!$C$15, $E$9, 100%, $G$9) + CHOOSE(CONTROL!$C$38, 0.0369, 0)</f>
        <v>19.635899999999999</v>
      </c>
      <c r="J136" s="44">
        <f>142.8513</f>
        <v>142.85130000000001</v>
      </c>
    </row>
    <row r="137" spans="1:10" ht="15" x14ac:dyDescent="0.2">
      <c r="A137" s="13">
        <v>45078</v>
      </c>
      <c r="B137" s="14">
        <f>20.2969 * CHOOSE(CONTROL!$C$15, $E$9, 100%, $G$9) + CHOOSE(CONTROL!$C$38, 0.0278, 0)</f>
        <v>20.3247</v>
      </c>
      <c r="C137" s="14">
        <f>19.1646 * CHOOSE(CONTROL!$C$15, $E$9, 100%, $G$9) + CHOOSE(CONTROL!$C$38, 0.0369, 0)</f>
        <v>19.201499999999999</v>
      </c>
      <c r="D137" s="14">
        <f>19.1568 * CHOOSE(CONTROL!$C$15, $E$9, 100%, $G$9) + CHOOSE(CONTROL!$C$38, 0.0369, 0)</f>
        <v>19.1937</v>
      </c>
      <c r="E137" s="46">
        <f>20.1406 * CHOOSE(CONTROL!$C$15, $E$9, 100%, $G$9) + CHOOSE(CONTROL!$C$38, 0.0369, 0)</f>
        <v>20.177499999999998</v>
      </c>
      <c r="F137" s="45">
        <f>20.1406 * CHOOSE(CONTROL!$C$15, $E$9, 100%, $G$9) + CHOOSE(CONTROL!$C$38, 0.0278, 0)</f>
        <v>20.168399999999998</v>
      </c>
      <c r="G137" s="14">
        <f>19.1631 * CHOOSE(CONTROL!$C$15, $E$9, 100%, $G$9) + CHOOSE(CONTROL!$C$38, 0.0369, 0)</f>
        <v>19.2</v>
      </c>
      <c r="H137" s="14">
        <f>19.1631 * CHOOSE(CONTROL!$C$15, $E$9, 100%, $G$9) + CHOOSE(CONTROL!$C$38, 0.0369, 0)</f>
        <v>19.2</v>
      </c>
      <c r="I137" s="14">
        <f>19.1646 * CHOOSE(CONTROL!$C$15, $E$9, 100%, $G$9) + CHOOSE(CONTROL!$C$38, 0.0369, 0)</f>
        <v>19.201499999999999</v>
      </c>
      <c r="J137" s="44">
        <f>145.2081</f>
        <v>145.2081</v>
      </c>
    </row>
    <row r="138" spans="1:10" ht="15" x14ac:dyDescent="0.2">
      <c r="A138" s="13">
        <v>45108</v>
      </c>
      <c r="B138" s="14">
        <f>20.0665 * CHOOSE(CONTROL!$C$15, $E$9, 100%, $G$9) + CHOOSE(CONTROL!$C$38, 0.0278, 0)</f>
        <v>20.0943</v>
      </c>
      <c r="C138" s="14">
        <f>18.9322 * CHOOSE(CONTROL!$C$15, $E$9, 100%, $G$9) + CHOOSE(CONTROL!$C$38, 0.0369, 0)</f>
        <v>18.969100000000001</v>
      </c>
      <c r="D138" s="14">
        <f>18.9244 * CHOOSE(CONTROL!$C$15, $E$9, 100%, $G$9) + CHOOSE(CONTROL!$C$38, 0.0369, 0)</f>
        <v>18.961299999999998</v>
      </c>
      <c r="E138" s="46">
        <f>19.9102 * CHOOSE(CONTROL!$C$15, $E$9, 100%, $G$9) + CHOOSE(CONTROL!$C$38, 0.0369, 0)</f>
        <v>19.947099999999999</v>
      </c>
      <c r="F138" s="45">
        <f>19.9102 * CHOOSE(CONTROL!$C$15, $E$9, 100%, $G$9) + CHOOSE(CONTROL!$C$38, 0.0278, 0)</f>
        <v>19.937999999999999</v>
      </c>
      <c r="G138" s="14">
        <f>18.9306 * CHOOSE(CONTROL!$C$15, $E$9, 100%, $G$9) + CHOOSE(CONTROL!$C$38, 0.0369, 0)</f>
        <v>18.967499999999998</v>
      </c>
      <c r="H138" s="14">
        <f>18.9306 * CHOOSE(CONTROL!$C$15, $E$9, 100%, $G$9) + CHOOSE(CONTROL!$C$38, 0.0369, 0)</f>
        <v>18.967499999999998</v>
      </c>
      <c r="I138" s="14">
        <f>18.9322 * CHOOSE(CONTROL!$C$15, $E$9, 100%, $G$9) + CHOOSE(CONTROL!$C$38, 0.0369, 0)</f>
        <v>18.969100000000001</v>
      </c>
      <c r="J138" s="44">
        <f>144.8267</f>
        <v>144.82669999999999</v>
      </c>
    </row>
    <row r="139" spans="1:10" ht="15" x14ac:dyDescent="0.2">
      <c r="A139" s="13">
        <v>45139</v>
      </c>
      <c r="B139" s="14">
        <f>20.2405 * CHOOSE(CONTROL!$C$15, $E$9, 100%, $G$9) + CHOOSE(CONTROL!$C$38, 0.0278, 0)</f>
        <v>20.2683</v>
      </c>
      <c r="C139" s="14">
        <f>19.1042 * CHOOSE(CONTROL!$C$15, $E$9, 100%, $G$9) + CHOOSE(CONTROL!$C$38, 0.0369, 0)</f>
        <v>19.141099999999998</v>
      </c>
      <c r="D139" s="14">
        <f>19.0964 * CHOOSE(CONTROL!$C$15, $E$9, 100%, $G$9) + CHOOSE(CONTROL!$C$38, 0.0369, 0)</f>
        <v>19.133299999999998</v>
      </c>
      <c r="E139" s="46">
        <f>20.0843 * CHOOSE(CONTROL!$C$15, $E$9, 100%, $G$9) + CHOOSE(CONTROL!$C$38, 0.0369, 0)</f>
        <v>20.121199999999998</v>
      </c>
      <c r="F139" s="45">
        <f>20.0843 * CHOOSE(CONTROL!$C$15, $E$9, 100%, $G$9) + CHOOSE(CONTROL!$C$38, 0.0278, 0)</f>
        <v>20.112099999999998</v>
      </c>
      <c r="G139" s="14">
        <f>19.1027 * CHOOSE(CONTROL!$C$15, $E$9, 100%, $G$9) + CHOOSE(CONTROL!$C$38, 0.0369, 0)</f>
        <v>19.139599999999998</v>
      </c>
      <c r="H139" s="14">
        <f>19.1027 * CHOOSE(CONTROL!$C$15, $E$9, 100%, $G$9) + CHOOSE(CONTROL!$C$38, 0.0369, 0)</f>
        <v>19.139599999999998</v>
      </c>
      <c r="I139" s="14">
        <f>19.1042 * CHOOSE(CONTROL!$C$15, $E$9, 100%, $G$9) + CHOOSE(CONTROL!$C$38, 0.0369, 0)</f>
        <v>19.141099999999998</v>
      </c>
      <c r="J139" s="44">
        <f>141.7466</f>
        <v>141.7466</v>
      </c>
    </row>
    <row r="140" spans="1:10" ht="15" x14ac:dyDescent="0.2">
      <c r="A140" s="13">
        <v>45170</v>
      </c>
      <c r="B140" s="14">
        <f>20.6456 * CHOOSE(CONTROL!$C$15, $E$9, 100%, $G$9) + CHOOSE(CONTROL!$C$38, 0.0278, 0)</f>
        <v>20.673400000000001</v>
      </c>
      <c r="C140" s="14">
        <f>19.5073 * CHOOSE(CONTROL!$C$15, $E$9, 100%, $G$9) + CHOOSE(CONTROL!$C$38, 0.0369, 0)</f>
        <v>19.5442</v>
      </c>
      <c r="D140" s="14">
        <f>19.4995 * CHOOSE(CONTROL!$C$15, $E$9, 100%, $G$9) + CHOOSE(CONTROL!$C$38, 0.0369, 0)</f>
        <v>19.5364</v>
      </c>
      <c r="E140" s="46">
        <f>20.4894 * CHOOSE(CONTROL!$C$15, $E$9, 100%, $G$9) + CHOOSE(CONTROL!$C$38, 0.0369, 0)</f>
        <v>20.526299999999999</v>
      </c>
      <c r="F140" s="45">
        <f>20.4894 * CHOOSE(CONTROL!$C$15, $E$9, 100%, $G$9) + CHOOSE(CONTROL!$C$38, 0.0278, 0)</f>
        <v>20.517199999999999</v>
      </c>
      <c r="G140" s="14">
        <f>19.5058 * CHOOSE(CONTROL!$C$15, $E$9, 100%, $G$9) + CHOOSE(CONTROL!$C$38, 0.0369, 0)</f>
        <v>19.5427</v>
      </c>
      <c r="H140" s="14">
        <f>19.5058 * CHOOSE(CONTROL!$C$15, $E$9, 100%, $G$9) + CHOOSE(CONTROL!$C$38, 0.0369, 0)</f>
        <v>19.5427</v>
      </c>
      <c r="I140" s="14">
        <f>19.5073 * CHOOSE(CONTROL!$C$15, $E$9, 100%, $G$9) + CHOOSE(CONTROL!$C$38, 0.0369, 0)</f>
        <v>19.5442</v>
      </c>
      <c r="J140" s="44">
        <f>137.3174</f>
        <v>137.31739999999999</v>
      </c>
    </row>
    <row r="141" spans="1:10" ht="15" x14ac:dyDescent="0.2">
      <c r="A141" s="13">
        <v>45200</v>
      </c>
      <c r="B141" s="14">
        <f>20.993 * CHOOSE(CONTROL!$C$15, $E$9, 100%, $G$9) + CHOOSE(CONTROL!$C$38, 0.0256, 0)</f>
        <v>21.018599999999999</v>
      </c>
      <c r="C141" s="14">
        <f>19.8526 * CHOOSE(CONTROL!$C$15, $E$9, 100%, $G$9) + CHOOSE(CONTROL!$C$38, 0.0347, 0)</f>
        <v>19.8873</v>
      </c>
      <c r="D141" s="14">
        <f>19.8448 * CHOOSE(CONTROL!$C$15, $E$9, 100%, $G$9) + CHOOSE(CONTROL!$C$38, 0.0347, 0)</f>
        <v>19.8795</v>
      </c>
      <c r="E141" s="46">
        <f>20.8367 * CHOOSE(CONTROL!$C$15, $E$9, 100%, $G$9) + CHOOSE(CONTROL!$C$38, 0.0347, 0)</f>
        <v>20.871400000000001</v>
      </c>
      <c r="F141" s="45">
        <f>20.8367 * CHOOSE(CONTROL!$C$15, $E$9, 100%, $G$9) + CHOOSE(CONTROL!$C$38, 0.0256, 0)</f>
        <v>20.862300000000001</v>
      </c>
      <c r="G141" s="14">
        <f>19.8511 * CHOOSE(CONTROL!$C$15, $E$9, 100%, $G$9) + CHOOSE(CONTROL!$C$38, 0.0347, 0)</f>
        <v>19.8858</v>
      </c>
      <c r="H141" s="14">
        <f>19.8511 * CHOOSE(CONTROL!$C$15, $E$9, 100%, $G$9) + CHOOSE(CONTROL!$C$38, 0.0347, 0)</f>
        <v>19.8858</v>
      </c>
      <c r="I141" s="14">
        <f>19.8526 * CHOOSE(CONTROL!$C$15, $E$9, 100%, $G$9) + CHOOSE(CONTROL!$C$38, 0.0347, 0)</f>
        <v>19.8873</v>
      </c>
      <c r="J141" s="44">
        <f>132.8419</f>
        <v>132.84190000000001</v>
      </c>
    </row>
    <row r="142" spans="1:10" ht="15" x14ac:dyDescent="0.2">
      <c r="A142" s="13">
        <v>45231</v>
      </c>
      <c r="B142" s="14">
        <f>21.2908 * CHOOSE(CONTROL!$C$15, $E$9, 100%, $G$9) + CHOOSE(CONTROL!$C$38, 0.0256, 0)</f>
        <v>21.316400000000002</v>
      </c>
      <c r="C142" s="14">
        <f>20.1485 * CHOOSE(CONTROL!$C$15, $E$9, 100%, $G$9) + CHOOSE(CONTROL!$C$38, 0.0347, 0)</f>
        <v>20.183199999999999</v>
      </c>
      <c r="D142" s="14">
        <f>20.1407 * CHOOSE(CONTROL!$C$15, $E$9, 100%, $G$9) + CHOOSE(CONTROL!$C$38, 0.0347, 0)</f>
        <v>20.1754</v>
      </c>
      <c r="E142" s="46">
        <f>21.1346 * CHOOSE(CONTROL!$C$15, $E$9, 100%, $G$9) + CHOOSE(CONTROL!$C$38, 0.0347, 0)</f>
        <v>21.1693</v>
      </c>
      <c r="F142" s="45">
        <f>21.1346 * CHOOSE(CONTROL!$C$15, $E$9, 100%, $G$9) + CHOOSE(CONTROL!$C$38, 0.0256, 0)</f>
        <v>21.1602</v>
      </c>
      <c r="G142" s="14">
        <f>20.1469 * CHOOSE(CONTROL!$C$15, $E$9, 100%, $G$9) + CHOOSE(CONTROL!$C$38, 0.0347, 0)</f>
        <v>20.1816</v>
      </c>
      <c r="H142" s="14">
        <f>20.1469 * CHOOSE(CONTROL!$C$15, $E$9, 100%, $G$9) + CHOOSE(CONTROL!$C$38, 0.0347, 0)</f>
        <v>20.1816</v>
      </c>
      <c r="I142" s="14">
        <f>20.1485 * CHOOSE(CONTROL!$C$15, $E$9, 100%, $G$9) + CHOOSE(CONTROL!$C$38, 0.0347, 0)</f>
        <v>20.183199999999999</v>
      </c>
      <c r="J142" s="44">
        <f>132.1671</f>
        <v>132.1671</v>
      </c>
    </row>
    <row r="143" spans="1:10" ht="15" x14ac:dyDescent="0.2">
      <c r="A143" s="13">
        <v>45261</v>
      </c>
      <c r="B143" s="14">
        <f>22.1236 * CHOOSE(CONTROL!$C$15, $E$9, 100%, $G$9) + CHOOSE(CONTROL!$C$38, 0.0256, 0)</f>
        <v>22.1492</v>
      </c>
      <c r="C143" s="14">
        <f>20.9792 * CHOOSE(CONTROL!$C$15, $E$9, 100%, $G$9) + CHOOSE(CONTROL!$C$38, 0.0347, 0)</f>
        <v>21.0139</v>
      </c>
      <c r="D143" s="14">
        <f>20.9714 * CHOOSE(CONTROL!$C$15, $E$9, 100%, $G$9) + CHOOSE(CONTROL!$C$38, 0.0347, 0)</f>
        <v>21.0061</v>
      </c>
      <c r="E143" s="46">
        <f>21.9673 * CHOOSE(CONTROL!$C$15, $E$9, 100%, $G$9) + CHOOSE(CONTROL!$C$38, 0.0347, 0)</f>
        <v>22.002000000000002</v>
      </c>
      <c r="F143" s="45">
        <f>21.9673 * CHOOSE(CONTROL!$C$15, $E$9, 100%, $G$9) + CHOOSE(CONTROL!$C$38, 0.0256, 0)</f>
        <v>21.992900000000002</v>
      </c>
      <c r="G143" s="14">
        <f>20.9776 * CHOOSE(CONTROL!$C$15, $E$9, 100%, $G$9) + CHOOSE(CONTROL!$C$38, 0.0347, 0)</f>
        <v>21.0123</v>
      </c>
      <c r="H143" s="14">
        <f>20.9776 * CHOOSE(CONTROL!$C$15, $E$9, 100%, $G$9) + CHOOSE(CONTROL!$C$38, 0.0347, 0)</f>
        <v>21.0123</v>
      </c>
      <c r="I143" s="14">
        <f>20.9792 * CHOOSE(CONTROL!$C$15, $E$9, 100%, $G$9) + CHOOSE(CONTROL!$C$38, 0.0347, 0)</f>
        <v>21.0139</v>
      </c>
      <c r="J143" s="44">
        <f>128.5092</f>
        <v>128.50919999999999</v>
      </c>
    </row>
    <row r="144" spans="1:10" ht="15" x14ac:dyDescent="0.2">
      <c r="A144" s="13">
        <v>45292</v>
      </c>
      <c r="B144" s="14">
        <f>23.4011 * CHOOSE(CONTROL!$C$15, $E$9, 100%, $G$9) + CHOOSE(CONTROL!$C$38, 0.0256, 0)</f>
        <v>23.4267</v>
      </c>
      <c r="C144" s="14">
        <f>22.1123 * CHOOSE(CONTROL!$C$15, $E$9, 100%, $G$9) + CHOOSE(CONTROL!$C$38, 0.0347, 0)</f>
        <v>22.147000000000002</v>
      </c>
      <c r="D144" s="14">
        <f>22.1045 * CHOOSE(CONTROL!$C$15, $E$9, 100%, $G$9) + CHOOSE(CONTROL!$C$38, 0.0347, 0)</f>
        <v>22.139200000000002</v>
      </c>
      <c r="E144" s="46">
        <f>23.2449 * CHOOSE(CONTROL!$C$15, $E$9, 100%, $G$9) + CHOOSE(CONTROL!$C$38, 0.0347, 0)</f>
        <v>23.279600000000002</v>
      </c>
      <c r="F144" s="45">
        <f>23.2449 * CHOOSE(CONTROL!$C$15, $E$9, 100%, $G$9) + CHOOSE(CONTROL!$C$38, 0.0256, 0)</f>
        <v>23.270500000000002</v>
      </c>
      <c r="G144" s="14">
        <f>22.1108 * CHOOSE(CONTROL!$C$15, $E$9, 100%, $G$9) + CHOOSE(CONTROL!$C$38, 0.0347, 0)</f>
        <v>22.145500000000002</v>
      </c>
      <c r="H144" s="14">
        <f>22.1108 * CHOOSE(CONTROL!$C$15, $E$9, 100%, $G$9) + CHOOSE(CONTROL!$C$38, 0.0347, 0)</f>
        <v>22.145500000000002</v>
      </c>
      <c r="I144" s="14">
        <f>22.1123 * CHOOSE(CONTROL!$C$15, $E$9, 100%, $G$9) + CHOOSE(CONTROL!$C$38, 0.0347, 0)</f>
        <v>22.147000000000002</v>
      </c>
      <c r="J144" s="44">
        <f>128.8694</f>
        <v>128.86940000000001</v>
      </c>
    </row>
    <row r="145" spans="1:10" ht="15" x14ac:dyDescent="0.2">
      <c r="A145" s="13">
        <v>45323</v>
      </c>
      <c r="B145" s="14">
        <f>23.7419 * CHOOSE(CONTROL!$C$15, $E$9, 100%, $G$9) + CHOOSE(CONTROL!$C$38, 0.0256, 0)</f>
        <v>23.767500000000002</v>
      </c>
      <c r="C145" s="14">
        <f>22.4508 * CHOOSE(CONTROL!$C$15, $E$9, 100%, $G$9) + CHOOSE(CONTROL!$C$38, 0.0347, 0)</f>
        <v>22.485500000000002</v>
      </c>
      <c r="D145" s="14">
        <f>22.443 * CHOOSE(CONTROL!$C$15, $E$9, 100%, $G$9) + CHOOSE(CONTROL!$C$38, 0.0347, 0)</f>
        <v>22.477700000000002</v>
      </c>
      <c r="E145" s="46">
        <f>23.5857 * CHOOSE(CONTROL!$C$15, $E$9, 100%, $G$9) + CHOOSE(CONTROL!$C$38, 0.0347, 0)</f>
        <v>23.6204</v>
      </c>
      <c r="F145" s="45">
        <f>23.5857 * CHOOSE(CONTROL!$C$15, $E$9, 100%, $G$9) + CHOOSE(CONTROL!$C$38, 0.0256, 0)</f>
        <v>23.6113</v>
      </c>
      <c r="G145" s="14">
        <f>22.4492 * CHOOSE(CONTROL!$C$15, $E$9, 100%, $G$9) + CHOOSE(CONTROL!$C$38, 0.0347, 0)</f>
        <v>22.483900000000002</v>
      </c>
      <c r="H145" s="14">
        <f>22.4492 * CHOOSE(CONTROL!$C$15, $E$9, 100%, $G$9) + CHOOSE(CONTROL!$C$38, 0.0347, 0)</f>
        <v>22.483900000000002</v>
      </c>
      <c r="I145" s="14">
        <f>22.4508 * CHOOSE(CONTROL!$C$15, $E$9, 100%, $G$9) + CHOOSE(CONTROL!$C$38, 0.0347, 0)</f>
        <v>22.485500000000002</v>
      </c>
      <c r="J145" s="44">
        <f>128.7759</f>
        <v>128.77590000000001</v>
      </c>
    </row>
    <row r="146" spans="1:10" ht="15" x14ac:dyDescent="0.2">
      <c r="A146" s="13">
        <v>45352</v>
      </c>
      <c r="B146" s="14">
        <f>23.1079 * CHOOSE(CONTROL!$C$15, $E$9, 100%, $G$9) + CHOOSE(CONTROL!$C$38, 0.0256, 0)</f>
        <v>23.133500000000002</v>
      </c>
      <c r="C146" s="14">
        <f>21.8144 * CHOOSE(CONTROL!$C$15, $E$9, 100%, $G$9) + CHOOSE(CONTROL!$C$38, 0.0347, 0)</f>
        <v>21.8491</v>
      </c>
      <c r="D146" s="14">
        <f>21.8066 * CHOOSE(CONTROL!$C$15, $E$9, 100%, $G$9) + CHOOSE(CONTROL!$C$38, 0.0347, 0)</f>
        <v>21.8413</v>
      </c>
      <c r="E146" s="46">
        <f>22.9517 * CHOOSE(CONTROL!$C$15, $E$9, 100%, $G$9) + CHOOSE(CONTROL!$C$38, 0.0347, 0)</f>
        <v>22.9864</v>
      </c>
      <c r="F146" s="45">
        <f>22.9517 * CHOOSE(CONTROL!$C$15, $E$9, 100%, $G$9) + CHOOSE(CONTROL!$C$38, 0.0256, 0)</f>
        <v>22.9773</v>
      </c>
      <c r="G146" s="14">
        <f>21.8129 * CHOOSE(CONTROL!$C$15, $E$9, 100%, $G$9) + CHOOSE(CONTROL!$C$38, 0.0347, 0)</f>
        <v>21.8476</v>
      </c>
      <c r="H146" s="14">
        <f>21.8129 * CHOOSE(CONTROL!$C$15, $E$9, 100%, $G$9) + CHOOSE(CONTROL!$C$38, 0.0347, 0)</f>
        <v>21.8476</v>
      </c>
      <c r="I146" s="14">
        <f>21.8144 * CHOOSE(CONTROL!$C$15, $E$9, 100%, $G$9) + CHOOSE(CONTROL!$C$38, 0.0347, 0)</f>
        <v>21.8491</v>
      </c>
      <c r="J146" s="44">
        <f>135.8424</f>
        <v>135.8424</v>
      </c>
    </row>
    <row r="147" spans="1:10" ht="15" x14ac:dyDescent="0.2">
      <c r="A147" s="13">
        <v>45383</v>
      </c>
      <c r="B147" s="14">
        <f>22.4924 * CHOOSE(CONTROL!$C$15, $E$9, 100%, $G$9) + CHOOSE(CONTROL!$C$38, 0.0256, 0)</f>
        <v>22.518000000000001</v>
      </c>
      <c r="C147" s="14">
        <f>21.1966 * CHOOSE(CONTROL!$C$15, $E$9, 100%, $G$9) + CHOOSE(CONTROL!$C$38, 0.0347, 0)</f>
        <v>21.231300000000001</v>
      </c>
      <c r="D147" s="14">
        <f>21.1888 * CHOOSE(CONTROL!$C$15, $E$9, 100%, $G$9) + CHOOSE(CONTROL!$C$38, 0.0347, 0)</f>
        <v>21.223500000000001</v>
      </c>
      <c r="E147" s="46">
        <f>22.3361 * CHOOSE(CONTROL!$C$15, $E$9, 100%, $G$9) + CHOOSE(CONTROL!$C$38, 0.0347, 0)</f>
        <v>22.370799999999999</v>
      </c>
      <c r="F147" s="45">
        <f>22.3361 * CHOOSE(CONTROL!$C$15, $E$9, 100%, $G$9) + CHOOSE(CONTROL!$C$38, 0.0256, 0)</f>
        <v>22.361699999999999</v>
      </c>
      <c r="G147" s="14">
        <f>21.195 * CHOOSE(CONTROL!$C$15, $E$9, 100%, $G$9) + CHOOSE(CONTROL!$C$38, 0.0347, 0)</f>
        <v>21.229700000000001</v>
      </c>
      <c r="H147" s="14">
        <f>21.195 * CHOOSE(CONTROL!$C$15, $E$9, 100%, $G$9) + CHOOSE(CONTROL!$C$38, 0.0347, 0)</f>
        <v>21.229700000000001</v>
      </c>
      <c r="I147" s="14">
        <f>21.1966 * CHOOSE(CONTROL!$C$15, $E$9, 100%, $G$9) + CHOOSE(CONTROL!$C$38, 0.0347, 0)</f>
        <v>21.231300000000001</v>
      </c>
      <c r="J147" s="44">
        <f>144.9599</f>
        <v>144.9599</v>
      </c>
    </row>
    <row r="148" spans="1:10" ht="15" x14ac:dyDescent="0.2">
      <c r="A148" s="13">
        <v>45413</v>
      </c>
      <c r="B148" s="14">
        <f>21.8462 * CHOOSE(CONTROL!$C$15, $E$9, 100%, $G$9) + CHOOSE(CONTROL!$C$38, 0.0278, 0)</f>
        <v>21.873999999999999</v>
      </c>
      <c r="C148" s="14">
        <f>20.548 * CHOOSE(CONTROL!$C$15, $E$9, 100%, $G$9) + CHOOSE(CONTROL!$C$38, 0.0369, 0)</f>
        <v>20.584899999999998</v>
      </c>
      <c r="D148" s="14">
        <f>20.5402 * CHOOSE(CONTROL!$C$15, $E$9, 100%, $G$9) + CHOOSE(CONTROL!$C$38, 0.0369, 0)</f>
        <v>20.577099999999998</v>
      </c>
      <c r="E148" s="46">
        <f>21.6899 * CHOOSE(CONTROL!$C$15, $E$9, 100%, $G$9) + CHOOSE(CONTROL!$C$38, 0.0369, 0)</f>
        <v>21.726800000000001</v>
      </c>
      <c r="F148" s="45">
        <f>21.6899 * CHOOSE(CONTROL!$C$15, $E$9, 100%, $G$9) + CHOOSE(CONTROL!$C$38, 0.0278, 0)</f>
        <v>21.717700000000001</v>
      </c>
      <c r="G148" s="14">
        <f>20.5465 * CHOOSE(CONTROL!$C$15, $E$9, 100%, $G$9) + CHOOSE(CONTROL!$C$38, 0.0369, 0)</f>
        <v>20.583400000000001</v>
      </c>
      <c r="H148" s="14">
        <f>20.5465 * CHOOSE(CONTROL!$C$15, $E$9, 100%, $G$9) + CHOOSE(CONTROL!$C$38, 0.0369, 0)</f>
        <v>20.583400000000001</v>
      </c>
      <c r="I148" s="14">
        <f>20.548 * CHOOSE(CONTROL!$C$15, $E$9, 100%, $G$9) + CHOOSE(CONTROL!$C$38, 0.0369, 0)</f>
        <v>20.584899999999998</v>
      </c>
      <c r="J148" s="44">
        <f>150.1331</f>
        <v>150.13310000000001</v>
      </c>
    </row>
    <row r="149" spans="1:10" ht="15" x14ac:dyDescent="0.2">
      <c r="A149" s="13">
        <v>45444</v>
      </c>
      <c r="B149" s="14">
        <f>21.4043 * CHOOSE(CONTROL!$C$15, $E$9, 100%, $G$9) + CHOOSE(CONTROL!$C$38, 0.0278, 0)</f>
        <v>21.432099999999998</v>
      </c>
      <c r="C149" s="14">
        <f>20.1038 * CHOOSE(CONTROL!$C$15, $E$9, 100%, $G$9) + CHOOSE(CONTROL!$C$38, 0.0369, 0)</f>
        <v>20.140699999999999</v>
      </c>
      <c r="D149" s="14">
        <f>20.096 * CHOOSE(CONTROL!$C$15, $E$9, 100%, $G$9) + CHOOSE(CONTROL!$C$38, 0.0369, 0)</f>
        <v>20.132899999999999</v>
      </c>
      <c r="E149" s="46">
        <f>21.248 * CHOOSE(CONTROL!$C$15, $E$9, 100%, $G$9) + CHOOSE(CONTROL!$C$38, 0.0369, 0)</f>
        <v>21.2849</v>
      </c>
      <c r="F149" s="45">
        <f>21.248 * CHOOSE(CONTROL!$C$15, $E$9, 100%, $G$9) + CHOOSE(CONTROL!$C$38, 0.0278, 0)</f>
        <v>21.2758</v>
      </c>
      <c r="G149" s="14">
        <f>20.1022 * CHOOSE(CONTROL!$C$15, $E$9, 100%, $G$9) + CHOOSE(CONTROL!$C$38, 0.0369, 0)</f>
        <v>20.139099999999999</v>
      </c>
      <c r="H149" s="14">
        <f>20.1022 * CHOOSE(CONTROL!$C$15, $E$9, 100%, $G$9) + CHOOSE(CONTROL!$C$38, 0.0369, 0)</f>
        <v>20.139099999999999</v>
      </c>
      <c r="I149" s="14">
        <f>20.1038 * CHOOSE(CONTROL!$C$15, $E$9, 100%, $G$9) + CHOOSE(CONTROL!$C$38, 0.0369, 0)</f>
        <v>20.140699999999999</v>
      </c>
      <c r="J149" s="44">
        <f>152.6101</f>
        <v>152.61009999999999</v>
      </c>
    </row>
    <row r="150" spans="1:10" ht="15" x14ac:dyDescent="0.2">
      <c r="A150" s="13">
        <v>45474</v>
      </c>
      <c r="B150" s="14">
        <f>21.1694 * CHOOSE(CONTROL!$C$15, $E$9, 100%, $G$9) + CHOOSE(CONTROL!$C$38, 0.0278, 0)</f>
        <v>21.197199999999999</v>
      </c>
      <c r="C150" s="14">
        <f>19.8665 * CHOOSE(CONTROL!$C$15, $E$9, 100%, $G$9) + CHOOSE(CONTROL!$C$38, 0.0369, 0)</f>
        <v>19.903399999999998</v>
      </c>
      <c r="D150" s="14">
        <f>19.8587 * CHOOSE(CONTROL!$C$15, $E$9, 100%, $G$9) + CHOOSE(CONTROL!$C$38, 0.0369, 0)</f>
        <v>19.895599999999998</v>
      </c>
      <c r="E150" s="46">
        <f>21.0131 * CHOOSE(CONTROL!$C$15, $E$9, 100%, $G$9) + CHOOSE(CONTROL!$C$38, 0.0369, 0)</f>
        <v>21.05</v>
      </c>
      <c r="F150" s="45">
        <f>21.0131 * CHOOSE(CONTROL!$C$15, $E$9, 100%, $G$9) + CHOOSE(CONTROL!$C$38, 0.0278, 0)</f>
        <v>21.040900000000001</v>
      </c>
      <c r="G150" s="14">
        <f>19.865 * CHOOSE(CONTROL!$C$15, $E$9, 100%, $G$9) + CHOOSE(CONTROL!$C$38, 0.0369, 0)</f>
        <v>19.901899999999998</v>
      </c>
      <c r="H150" s="14">
        <f>19.865 * CHOOSE(CONTROL!$C$15, $E$9, 100%, $G$9) + CHOOSE(CONTROL!$C$38, 0.0369, 0)</f>
        <v>19.901899999999998</v>
      </c>
      <c r="I150" s="14">
        <f>19.8665 * CHOOSE(CONTROL!$C$15, $E$9, 100%, $G$9) + CHOOSE(CONTROL!$C$38, 0.0369, 0)</f>
        <v>19.903399999999998</v>
      </c>
      <c r="J150" s="44">
        <f>152.2093</f>
        <v>152.20930000000001</v>
      </c>
    </row>
    <row r="151" spans="1:10" ht="15" x14ac:dyDescent="0.2">
      <c r="A151" s="13">
        <v>45505</v>
      </c>
      <c r="B151" s="14">
        <f>21.3491 * CHOOSE(CONTROL!$C$15, $E$9, 100%, $G$9) + CHOOSE(CONTROL!$C$38, 0.0278, 0)</f>
        <v>21.376899999999999</v>
      </c>
      <c r="C151" s="14">
        <f>20.0438 * CHOOSE(CONTROL!$C$15, $E$9, 100%, $G$9) + CHOOSE(CONTROL!$C$38, 0.0369, 0)</f>
        <v>20.0807</v>
      </c>
      <c r="D151" s="14">
        <f>20.036 * CHOOSE(CONTROL!$C$15, $E$9, 100%, $G$9) + CHOOSE(CONTROL!$C$38, 0.0369, 0)</f>
        <v>20.072900000000001</v>
      </c>
      <c r="E151" s="46">
        <f>21.1928 * CHOOSE(CONTROL!$C$15, $E$9, 100%, $G$9) + CHOOSE(CONTROL!$C$38, 0.0369, 0)</f>
        <v>21.229699999999998</v>
      </c>
      <c r="F151" s="45">
        <f>21.1928 * CHOOSE(CONTROL!$C$15, $E$9, 100%, $G$9) + CHOOSE(CONTROL!$C$38, 0.0278, 0)</f>
        <v>21.220599999999997</v>
      </c>
      <c r="G151" s="14">
        <f>20.0423 * CHOOSE(CONTROL!$C$15, $E$9, 100%, $G$9) + CHOOSE(CONTROL!$C$38, 0.0369, 0)</f>
        <v>20.0792</v>
      </c>
      <c r="H151" s="14">
        <f>20.0423 * CHOOSE(CONTROL!$C$15, $E$9, 100%, $G$9) + CHOOSE(CONTROL!$C$38, 0.0369, 0)</f>
        <v>20.0792</v>
      </c>
      <c r="I151" s="14">
        <f>20.0438 * CHOOSE(CONTROL!$C$15, $E$9, 100%, $G$9) + CHOOSE(CONTROL!$C$38, 0.0369, 0)</f>
        <v>20.0807</v>
      </c>
      <c r="J151" s="44">
        <f>148.9721</f>
        <v>148.97210000000001</v>
      </c>
    </row>
    <row r="152" spans="1:10" ht="15" x14ac:dyDescent="0.2">
      <c r="A152" s="13">
        <v>45536</v>
      </c>
      <c r="B152" s="14">
        <f>21.7656 * CHOOSE(CONTROL!$C$15, $E$9, 100%, $G$9) + CHOOSE(CONTROL!$C$38, 0.0278, 0)</f>
        <v>21.793399999999998</v>
      </c>
      <c r="C152" s="14">
        <f>20.458 * CHOOSE(CONTROL!$C$15, $E$9, 100%, $G$9) + CHOOSE(CONTROL!$C$38, 0.0369, 0)</f>
        <v>20.494899999999998</v>
      </c>
      <c r="D152" s="14">
        <f>20.4502 * CHOOSE(CONTROL!$C$15, $E$9, 100%, $G$9) + CHOOSE(CONTROL!$C$38, 0.0369, 0)</f>
        <v>20.487099999999998</v>
      </c>
      <c r="E152" s="46">
        <f>21.6093 * CHOOSE(CONTROL!$C$15, $E$9, 100%, $G$9) + CHOOSE(CONTROL!$C$38, 0.0369, 0)</f>
        <v>21.6462</v>
      </c>
      <c r="F152" s="45">
        <f>21.6093 * CHOOSE(CONTROL!$C$15, $E$9, 100%, $G$9) + CHOOSE(CONTROL!$C$38, 0.0278, 0)</f>
        <v>21.6371</v>
      </c>
      <c r="G152" s="14">
        <f>20.4564 * CHOOSE(CONTROL!$C$15, $E$9, 100%, $G$9) + CHOOSE(CONTROL!$C$38, 0.0369, 0)</f>
        <v>20.493299999999998</v>
      </c>
      <c r="H152" s="14">
        <f>20.4564 * CHOOSE(CONTROL!$C$15, $E$9, 100%, $G$9) + CHOOSE(CONTROL!$C$38, 0.0369, 0)</f>
        <v>20.493299999999998</v>
      </c>
      <c r="I152" s="14">
        <f>20.458 * CHOOSE(CONTROL!$C$15, $E$9, 100%, $G$9) + CHOOSE(CONTROL!$C$38, 0.0369, 0)</f>
        <v>20.494899999999998</v>
      </c>
      <c r="J152" s="44">
        <f>144.3172</f>
        <v>144.31720000000001</v>
      </c>
    </row>
    <row r="153" spans="1:10" ht="15" x14ac:dyDescent="0.2">
      <c r="A153" s="13">
        <v>45566</v>
      </c>
      <c r="B153" s="14">
        <f>22.1228 * CHOOSE(CONTROL!$C$15, $E$9, 100%, $G$9) + CHOOSE(CONTROL!$C$38, 0.0256, 0)</f>
        <v>22.148400000000002</v>
      </c>
      <c r="C153" s="14">
        <f>20.8129 * CHOOSE(CONTROL!$C$15, $E$9, 100%, $G$9) + CHOOSE(CONTROL!$C$38, 0.0347, 0)</f>
        <v>20.8476</v>
      </c>
      <c r="D153" s="14">
        <f>20.805 * CHOOSE(CONTROL!$C$15, $E$9, 100%, $G$9) + CHOOSE(CONTROL!$C$38, 0.0347, 0)</f>
        <v>20.839700000000001</v>
      </c>
      <c r="E153" s="46">
        <f>21.9666 * CHOOSE(CONTROL!$C$15, $E$9, 100%, $G$9) + CHOOSE(CONTROL!$C$38, 0.0347, 0)</f>
        <v>22.001300000000001</v>
      </c>
      <c r="F153" s="45">
        <f>21.9666 * CHOOSE(CONTROL!$C$15, $E$9, 100%, $G$9) + CHOOSE(CONTROL!$C$38, 0.0256, 0)</f>
        <v>21.9922</v>
      </c>
      <c r="G153" s="14">
        <f>20.8113 * CHOOSE(CONTROL!$C$15, $E$9, 100%, $G$9) + CHOOSE(CONTROL!$C$38, 0.0347, 0)</f>
        <v>20.846</v>
      </c>
      <c r="H153" s="14">
        <f>20.8113 * CHOOSE(CONTROL!$C$15, $E$9, 100%, $G$9) + CHOOSE(CONTROL!$C$38, 0.0347, 0)</f>
        <v>20.846</v>
      </c>
      <c r="I153" s="14">
        <f>20.8129 * CHOOSE(CONTROL!$C$15, $E$9, 100%, $G$9) + CHOOSE(CONTROL!$C$38, 0.0347, 0)</f>
        <v>20.8476</v>
      </c>
      <c r="J153" s="44">
        <f>139.6136</f>
        <v>139.61359999999999</v>
      </c>
    </row>
    <row r="154" spans="1:10" ht="15" x14ac:dyDescent="0.2">
      <c r="A154" s="13">
        <v>45597</v>
      </c>
      <c r="B154" s="14">
        <f>22.4294 * CHOOSE(CONTROL!$C$15, $E$9, 100%, $G$9) + CHOOSE(CONTROL!$C$38, 0.0256, 0)</f>
        <v>22.455000000000002</v>
      </c>
      <c r="C154" s="14">
        <f>21.1171 * CHOOSE(CONTROL!$C$15, $E$9, 100%, $G$9) + CHOOSE(CONTROL!$C$38, 0.0347, 0)</f>
        <v>21.151800000000001</v>
      </c>
      <c r="D154" s="14">
        <f>21.1093 * CHOOSE(CONTROL!$C$15, $E$9, 100%, $G$9) + CHOOSE(CONTROL!$C$38, 0.0347, 0)</f>
        <v>21.144000000000002</v>
      </c>
      <c r="E154" s="46">
        <f>22.2732 * CHOOSE(CONTROL!$C$15, $E$9, 100%, $G$9) + CHOOSE(CONTROL!$C$38, 0.0347, 0)</f>
        <v>22.3079</v>
      </c>
      <c r="F154" s="45">
        <f>22.2732 * CHOOSE(CONTROL!$C$15, $E$9, 100%, $G$9) + CHOOSE(CONTROL!$C$38, 0.0256, 0)</f>
        <v>22.2988</v>
      </c>
      <c r="G154" s="14">
        <f>21.1155 * CHOOSE(CONTROL!$C$15, $E$9, 100%, $G$9) + CHOOSE(CONTROL!$C$38, 0.0347, 0)</f>
        <v>21.150200000000002</v>
      </c>
      <c r="H154" s="14">
        <f>21.1155 * CHOOSE(CONTROL!$C$15, $E$9, 100%, $G$9) + CHOOSE(CONTROL!$C$38, 0.0347, 0)</f>
        <v>21.150200000000002</v>
      </c>
      <c r="I154" s="14">
        <f>21.1171 * CHOOSE(CONTROL!$C$15, $E$9, 100%, $G$9) + CHOOSE(CONTROL!$C$38, 0.0347, 0)</f>
        <v>21.151800000000001</v>
      </c>
      <c r="J154" s="44">
        <f>138.9043</f>
        <v>138.90430000000001</v>
      </c>
    </row>
    <row r="155" spans="1:10" ht="15" x14ac:dyDescent="0.2">
      <c r="A155" s="13">
        <v>45627</v>
      </c>
      <c r="B155" s="14">
        <f>23.2843 * CHOOSE(CONTROL!$C$15, $E$9, 100%, $G$9) + CHOOSE(CONTROL!$C$38, 0.0256, 0)</f>
        <v>23.309900000000003</v>
      </c>
      <c r="C155" s="14">
        <f>21.9696 * CHOOSE(CONTROL!$C$15, $E$9, 100%, $G$9) + CHOOSE(CONTROL!$C$38, 0.0347, 0)</f>
        <v>22.004300000000001</v>
      </c>
      <c r="D155" s="14">
        <f>21.9618 * CHOOSE(CONTROL!$C$15, $E$9, 100%, $G$9) + CHOOSE(CONTROL!$C$38, 0.0347, 0)</f>
        <v>21.996500000000001</v>
      </c>
      <c r="E155" s="46">
        <f>23.1281 * CHOOSE(CONTROL!$C$15, $E$9, 100%, $G$9) + CHOOSE(CONTROL!$C$38, 0.0347, 0)</f>
        <v>23.162800000000001</v>
      </c>
      <c r="F155" s="45">
        <f>23.1281 * CHOOSE(CONTROL!$C$15, $E$9, 100%, $G$9) + CHOOSE(CONTROL!$C$38, 0.0256, 0)</f>
        <v>23.153700000000001</v>
      </c>
      <c r="G155" s="14">
        <f>21.968 * CHOOSE(CONTROL!$C$15, $E$9, 100%, $G$9) + CHOOSE(CONTROL!$C$38, 0.0347, 0)</f>
        <v>22.002700000000001</v>
      </c>
      <c r="H155" s="14">
        <f>21.968 * CHOOSE(CONTROL!$C$15, $E$9, 100%, $G$9) + CHOOSE(CONTROL!$C$38, 0.0347, 0)</f>
        <v>22.002700000000001</v>
      </c>
      <c r="I155" s="14">
        <f>21.9696 * CHOOSE(CONTROL!$C$15, $E$9, 100%, $G$9) + CHOOSE(CONTROL!$C$38, 0.0347, 0)</f>
        <v>22.004300000000001</v>
      </c>
      <c r="J155" s="44">
        <f>135.0599</f>
        <v>135.0599</v>
      </c>
    </row>
    <row r="156" spans="1:10" ht="15" x14ac:dyDescent="0.2">
      <c r="A156" s="13">
        <v>45658</v>
      </c>
      <c r="B156" s="14">
        <f>24.5577 * CHOOSE(CONTROL!$C$15, $E$9, 100%, $G$9) + CHOOSE(CONTROL!$C$38, 0.0256, 0)</f>
        <v>24.583300000000001</v>
      </c>
      <c r="C156" s="14">
        <f>23.1008 * CHOOSE(CONTROL!$C$15, $E$9, 100%, $G$9) + CHOOSE(CONTROL!$C$38, 0.0347, 0)</f>
        <v>23.1355</v>
      </c>
      <c r="D156" s="14">
        <f>23.093 * CHOOSE(CONTROL!$C$15, $E$9, 100%, $G$9) + CHOOSE(CONTROL!$C$38, 0.0347, 0)</f>
        <v>23.127700000000001</v>
      </c>
      <c r="E156" s="46">
        <f>24.4015 * CHOOSE(CONTROL!$C$15, $E$9, 100%, $G$9) + CHOOSE(CONTROL!$C$38, 0.0347, 0)</f>
        <v>24.436199999999999</v>
      </c>
      <c r="F156" s="45">
        <f>24.4015 * CHOOSE(CONTROL!$C$15, $E$9, 100%, $G$9) + CHOOSE(CONTROL!$C$38, 0.0256, 0)</f>
        <v>24.427099999999999</v>
      </c>
      <c r="G156" s="14">
        <f>23.0992 * CHOOSE(CONTROL!$C$15, $E$9, 100%, $G$9) + CHOOSE(CONTROL!$C$38, 0.0347, 0)</f>
        <v>23.133900000000001</v>
      </c>
      <c r="H156" s="14">
        <f>23.0992 * CHOOSE(CONTROL!$C$15, $E$9, 100%, $G$9) + CHOOSE(CONTROL!$C$38, 0.0347, 0)</f>
        <v>23.133900000000001</v>
      </c>
      <c r="I156" s="14">
        <f>23.1008 * CHOOSE(CONTROL!$C$15, $E$9, 100%, $G$9) + CHOOSE(CONTROL!$C$38, 0.0347, 0)</f>
        <v>23.1355</v>
      </c>
      <c r="J156" s="44">
        <f>135.432</f>
        <v>135.43199999999999</v>
      </c>
    </row>
    <row r="157" spans="1:10" ht="15" x14ac:dyDescent="0.2">
      <c r="A157" s="13">
        <v>45689</v>
      </c>
      <c r="B157" s="14">
        <f>24.9082 * CHOOSE(CONTROL!$C$15, $E$9, 100%, $G$9) + CHOOSE(CONTROL!$C$38, 0.0256, 0)</f>
        <v>24.933800000000002</v>
      </c>
      <c r="C157" s="14">
        <f>23.4486 * CHOOSE(CONTROL!$C$15, $E$9, 100%, $G$9) + CHOOSE(CONTROL!$C$38, 0.0347, 0)</f>
        <v>23.4833</v>
      </c>
      <c r="D157" s="14">
        <f>23.4408 * CHOOSE(CONTROL!$C$15, $E$9, 100%, $G$9) + CHOOSE(CONTROL!$C$38, 0.0347, 0)</f>
        <v>23.4755</v>
      </c>
      <c r="E157" s="46">
        <f>24.752 * CHOOSE(CONTROL!$C$15, $E$9, 100%, $G$9) + CHOOSE(CONTROL!$C$38, 0.0347, 0)</f>
        <v>24.7867</v>
      </c>
      <c r="F157" s="45">
        <f>24.752 * CHOOSE(CONTROL!$C$15, $E$9, 100%, $G$9) + CHOOSE(CONTROL!$C$38, 0.0256, 0)</f>
        <v>24.7776</v>
      </c>
      <c r="G157" s="14">
        <f>23.447 * CHOOSE(CONTROL!$C$15, $E$9, 100%, $G$9) + CHOOSE(CONTROL!$C$38, 0.0347, 0)</f>
        <v>23.4817</v>
      </c>
      <c r="H157" s="14">
        <f>23.447 * CHOOSE(CONTROL!$C$15, $E$9, 100%, $G$9) + CHOOSE(CONTROL!$C$38, 0.0347, 0)</f>
        <v>23.4817</v>
      </c>
      <c r="I157" s="14">
        <f>23.4486 * CHOOSE(CONTROL!$C$15, $E$9, 100%, $G$9) + CHOOSE(CONTROL!$C$38, 0.0347, 0)</f>
        <v>23.4833</v>
      </c>
      <c r="J157" s="44">
        <f>135.3337</f>
        <v>135.33369999999999</v>
      </c>
    </row>
    <row r="158" spans="1:10" ht="15" x14ac:dyDescent="0.2">
      <c r="A158" s="13">
        <v>45717</v>
      </c>
      <c r="B158" s="14">
        <f>24.2596 * CHOOSE(CONTROL!$C$15, $E$9, 100%, $G$9) + CHOOSE(CONTROL!$C$38, 0.0256, 0)</f>
        <v>24.2852</v>
      </c>
      <c r="C158" s="14">
        <f>22.7973 * CHOOSE(CONTROL!$C$15, $E$9, 100%, $G$9) + CHOOSE(CONTROL!$C$38, 0.0347, 0)</f>
        <v>22.832000000000001</v>
      </c>
      <c r="D158" s="14">
        <f>22.7895 * CHOOSE(CONTROL!$C$15, $E$9, 100%, $G$9) + CHOOSE(CONTROL!$C$38, 0.0347, 0)</f>
        <v>22.824200000000001</v>
      </c>
      <c r="E158" s="46">
        <f>24.1033 * CHOOSE(CONTROL!$C$15, $E$9, 100%, $G$9) + CHOOSE(CONTROL!$C$38, 0.0347, 0)</f>
        <v>24.138000000000002</v>
      </c>
      <c r="F158" s="45">
        <f>24.1033 * CHOOSE(CONTROL!$C$15, $E$9, 100%, $G$9) + CHOOSE(CONTROL!$C$38, 0.0256, 0)</f>
        <v>24.128900000000002</v>
      </c>
      <c r="G158" s="14">
        <f>22.7957 * CHOOSE(CONTROL!$C$15, $E$9, 100%, $G$9) + CHOOSE(CONTROL!$C$38, 0.0347, 0)</f>
        <v>22.830400000000001</v>
      </c>
      <c r="H158" s="14">
        <f>22.7957 * CHOOSE(CONTROL!$C$15, $E$9, 100%, $G$9) + CHOOSE(CONTROL!$C$38, 0.0347, 0)</f>
        <v>22.830400000000001</v>
      </c>
      <c r="I158" s="14">
        <f>22.7973 * CHOOSE(CONTROL!$C$15, $E$9, 100%, $G$9) + CHOOSE(CONTROL!$C$38, 0.0347, 0)</f>
        <v>22.832000000000001</v>
      </c>
      <c r="J158" s="44">
        <f>142.7601</f>
        <v>142.76009999999999</v>
      </c>
    </row>
    <row r="159" spans="1:10" ht="15" x14ac:dyDescent="0.2">
      <c r="A159" s="13">
        <v>45748</v>
      </c>
      <c r="B159" s="14">
        <f>23.6299 * CHOOSE(CONTROL!$C$15, $E$9, 100%, $G$9) + CHOOSE(CONTROL!$C$38, 0.0256, 0)</f>
        <v>23.6555</v>
      </c>
      <c r="C159" s="14">
        <f>22.1649 * CHOOSE(CONTROL!$C$15, $E$9, 100%, $G$9) + CHOOSE(CONTROL!$C$38, 0.0347, 0)</f>
        <v>22.1996</v>
      </c>
      <c r="D159" s="14">
        <f>22.1571 * CHOOSE(CONTROL!$C$15, $E$9, 100%, $G$9) + CHOOSE(CONTROL!$C$38, 0.0347, 0)</f>
        <v>22.191800000000001</v>
      </c>
      <c r="E159" s="46">
        <f>23.4736 * CHOOSE(CONTROL!$C$15, $E$9, 100%, $G$9) + CHOOSE(CONTROL!$C$38, 0.0347, 0)</f>
        <v>23.508300000000002</v>
      </c>
      <c r="F159" s="45">
        <f>23.4736 * CHOOSE(CONTROL!$C$15, $E$9, 100%, $G$9) + CHOOSE(CONTROL!$C$38, 0.0256, 0)</f>
        <v>23.499200000000002</v>
      </c>
      <c r="G159" s="14">
        <f>22.1633 * CHOOSE(CONTROL!$C$15, $E$9, 100%, $G$9) + CHOOSE(CONTROL!$C$38, 0.0347, 0)</f>
        <v>22.198</v>
      </c>
      <c r="H159" s="14">
        <f>22.1633 * CHOOSE(CONTROL!$C$15, $E$9, 100%, $G$9) + CHOOSE(CONTROL!$C$38, 0.0347, 0)</f>
        <v>22.198</v>
      </c>
      <c r="I159" s="14">
        <f>22.1649 * CHOOSE(CONTROL!$C$15, $E$9, 100%, $G$9) + CHOOSE(CONTROL!$C$38, 0.0347, 0)</f>
        <v>22.1996</v>
      </c>
      <c r="J159" s="44">
        <f>152.3419</f>
        <v>152.34190000000001</v>
      </c>
    </row>
    <row r="160" spans="1:10" ht="15" x14ac:dyDescent="0.2">
      <c r="A160" s="13">
        <v>45778</v>
      </c>
      <c r="B160" s="14">
        <f>22.9687 * CHOOSE(CONTROL!$C$15, $E$9, 100%, $G$9) + CHOOSE(CONTROL!$C$38, 0.0278, 0)</f>
        <v>22.996499999999997</v>
      </c>
      <c r="C160" s="14">
        <f>21.501 * CHOOSE(CONTROL!$C$15, $E$9, 100%, $G$9) + CHOOSE(CONTROL!$C$38, 0.0369, 0)</f>
        <v>21.5379</v>
      </c>
      <c r="D160" s="14">
        <f>21.4932 * CHOOSE(CONTROL!$C$15, $E$9, 100%, $G$9) + CHOOSE(CONTROL!$C$38, 0.0369, 0)</f>
        <v>21.530100000000001</v>
      </c>
      <c r="E160" s="46">
        <f>22.8125 * CHOOSE(CONTROL!$C$15, $E$9, 100%, $G$9) + CHOOSE(CONTROL!$C$38, 0.0369, 0)</f>
        <v>22.849399999999999</v>
      </c>
      <c r="F160" s="45">
        <f>22.8125 * CHOOSE(CONTROL!$C$15, $E$9, 100%, $G$9) + CHOOSE(CONTROL!$C$38, 0.0278, 0)</f>
        <v>22.840299999999999</v>
      </c>
      <c r="G160" s="14">
        <f>21.4995 * CHOOSE(CONTROL!$C$15, $E$9, 100%, $G$9) + CHOOSE(CONTROL!$C$38, 0.0369, 0)</f>
        <v>21.5364</v>
      </c>
      <c r="H160" s="14">
        <f>21.4995 * CHOOSE(CONTROL!$C$15, $E$9, 100%, $G$9) + CHOOSE(CONTROL!$C$38, 0.0369, 0)</f>
        <v>21.5364</v>
      </c>
      <c r="I160" s="14">
        <f>21.501 * CHOOSE(CONTROL!$C$15, $E$9, 100%, $G$9) + CHOOSE(CONTROL!$C$38, 0.0369, 0)</f>
        <v>21.5379</v>
      </c>
      <c r="J160" s="44">
        <f>157.7785</f>
        <v>157.77850000000001</v>
      </c>
    </row>
    <row r="161" spans="1:10" ht="15" x14ac:dyDescent="0.2">
      <c r="A161" s="13">
        <v>45809</v>
      </c>
      <c r="B161" s="14">
        <f>22.517 * CHOOSE(CONTROL!$C$15, $E$9, 100%, $G$9) + CHOOSE(CONTROL!$C$38, 0.0278, 0)</f>
        <v>22.544799999999999</v>
      </c>
      <c r="C161" s="14">
        <f>21.0466 * CHOOSE(CONTROL!$C$15, $E$9, 100%, $G$9) + CHOOSE(CONTROL!$C$38, 0.0369, 0)</f>
        <v>21.083500000000001</v>
      </c>
      <c r="D161" s="14">
        <f>21.0388 * CHOOSE(CONTROL!$C$15, $E$9, 100%, $G$9) + CHOOSE(CONTROL!$C$38, 0.0369, 0)</f>
        <v>21.075699999999998</v>
      </c>
      <c r="E161" s="46">
        <f>22.3608 * CHOOSE(CONTROL!$C$15, $E$9, 100%, $G$9) + CHOOSE(CONTROL!$C$38, 0.0369, 0)</f>
        <v>22.3977</v>
      </c>
      <c r="F161" s="45">
        <f>22.3608 * CHOOSE(CONTROL!$C$15, $E$9, 100%, $G$9) + CHOOSE(CONTROL!$C$38, 0.0278, 0)</f>
        <v>22.3886</v>
      </c>
      <c r="G161" s="14">
        <f>21.045 * CHOOSE(CONTROL!$C$15, $E$9, 100%, $G$9) + CHOOSE(CONTROL!$C$38, 0.0369, 0)</f>
        <v>21.081900000000001</v>
      </c>
      <c r="H161" s="14">
        <f>21.045 * CHOOSE(CONTROL!$C$15, $E$9, 100%, $G$9) + CHOOSE(CONTROL!$C$38, 0.0369, 0)</f>
        <v>21.081900000000001</v>
      </c>
      <c r="I161" s="14">
        <f>21.0466 * CHOOSE(CONTROL!$C$15, $E$9, 100%, $G$9) + CHOOSE(CONTROL!$C$38, 0.0369, 0)</f>
        <v>21.083500000000001</v>
      </c>
      <c r="J161" s="44">
        <f>160.3816</f>
        <v>160.38159999999999</v>
      </c>
    </row>
    <row r="162" spans="1:10" ht="15" x14ac:dyDescent="0.2">
      <c r="A162" s="13">
        <v>45839</v>
      </c>
      <c r="B162" s="14">
        <f>22.2775 * CHOOSE(CONTROL!$C$15, $E$9, 100%, $G$9) + CHOOSE(CONTROL!$C$38, 0.0278, 0)</f>
        <v>22.305299999999999</v>
      </c>
      <c r="C162" s="14">
        <f>20.8044 * CHOOSE(CONTROL!$C$15, $E$9, 100%, $G$9) + CHOOSE(CONTROL!$C$38, 0.0369, 0)</f>
        <v>20.8413</v>
      </c>
      <c r="D162" s="14">
        <f>20.7965 * CHOOSE(CONTROL!$C$15, $E$9, 100%, $G$9) + CHOOSE(CONTROL!$C$38, 0.0369, 0)</f>
        <v>20.833400000000001</v>
      </c>
      <c r="E162" s="46">
        <f>22.1212 * CHOOSE(CONTROL!$C$15, $E$9, 100%, $G$9) + CHOOSE(CONTROL!$C$38, 0.0369, 0)</f>
        <v>22.158100000000001</v>
      </c>
      <c r="F162" s="45">
        <f>22.1212 * CHOOSE(CONTROL!$C$15, $E$9, 100%, $G$9) + CHOOSE(CONTROL!$C$38, 0.0278, 0)</f>
        <v>22.149000000000001</v>
      </c>
      <c r="G162" s="14">
        <f>20.8028 * CHOOSE(CONTROL!$C$15, $E$9, 100%, $G$9) + CHOOSE(CONTROL!$C$38, 0.0369, 0)</f>
        <v>20.839700000000001</v>
      </c>
      <c r="H162" s="14">
        <f>20.8028 * CHOOSE(CONTROL!$C$15, $E$9, 100%, $G$9) + CHOOSE(CONTROL!$C$38, 0.0369, 0)</f>
        <v>20.839700000000001</v>
      </c>
      <c r="I162" s="14">
        <f>20.8044 * CHOOSE(CONTROL!$C$15, $E$9, 100%, $G$9) + CHOOSE(CONTROL!$C$38, 0.0369, 0)</f>
        <v>20.8413</v>
      </c>
      <c r="J162" s="44">
        <f>159.9604</f>
        <v>159.96039999999999</v>
      </c>
    </row>
    <row r="163" spans="1:10" ht="15" x14ac:dyDescent="0.2">
      <c r="A163" s="13">
        <v>45870</v>
      </c>
      <c r="B163" s="14">
        <f>22.4629 * CHOOSE(CONTROL!$C$15, $E$9, 100%, $G$9) + CHOOSE(CONTROL!$C$38, 0.0278, 0)</f>
        <v>22.4907</v>
      </c>
      <c r="C163" s="14">
        <f>20.987 * CHOOSE(CONTROL!$C$15, $E$9, 100%, $G$9) + CHOOSE(CONTROL!$C$38, 0.0369, 0)</f>
        <v>21.023899999999998</v>
      </c>
      <c r="D163" s="14">
        <f>20.9792 * CHOOSE(CONTROL!$C$15, $E$9, 100%, $G$9) + CHOOSE(CONTROL!$C$38, 0.0369, 0)</f>
        <v>21.016099999999998</v>
      </c>
      <c r="E163" s="46">
        <f>22.3066 * CHOOSE(CONTROL!$C$15, $E$9, 100%, $G$9) + CHOOSE(CONTROL!$C$38, 0.0369, 0)</f>
        <v>22.343499999999999</v>
      </c>
      <c r="F163" s="45">
        <f>22.3066 * CHOOSE(CONTROL!$C$15, $E$9, 100%, $G$9) + CHOOSE(CONTROL!$C$38, 0.0278, 0)</f>
        <v>22.334399999999999</v>
      </c>
      <c r="G163" s="14">
        <f>20.9855 * CHOOSE(CONTROL!$C$15, $E$9, 100%, $G$9) + CHOOSE(CONTROL!$C$38, 0.0369, 0)</f>
        <v>21.022399999999998</v>
      </c>
      <c r="H163" s="14">
        <f>20.9855 * CHOOSE(CONTROL!$C$15, $E$9, 100%, $G$9) + CHOOSE(CONTROL!$C$38, 0.0369, 0)</f>
        <v>21.022399999999998</v>
      </c>
      <c r="I163" s="14">
        <f>20.987 * CHOOSE(CONTROL!$C$15, $E$9, 100%, $G$9) + CHOOSE(CONTROL!$C$38, 0.0369, 0)</f>
        <v>21.023899999999998</v>
      </c>
      <c r="J163" s="44">
        <f>156.5584</f>
        <v>156.55840000000001</v>
      </c>
    </row>
    <row r="164" spans="1:10" ht="15" x14ac:dyDescent="0.2">
      <c r="A164" s="13">
        <v>45901</v>
      </c>
      <c r="B164" s="14">
        <f>22.891 * CHOOSE(CONTROL!$C$15, $E$9, 100%, $G$9) + CHOOSE(CONTROL!$C$38, 0.0278, 0)</f>
        <v>22.918799999999997</v>
      </c>
      <c r="C164" s="14">
        <f>21.4125 * CHOOSE(CONTROL!$C$15, $E$9, 100%, $G$9) + CHOOSE(CONTROL!$C$38, 0.0369, 0)</f>
        <v>21.449400000000001</v>
      </c>
      <c r="D164" s="14">
        <f>21.4046 * CHOOSE(CONTROL!$C$15, $E$9, 100%, $G$9) + CHOOSE(CONTROL!$C$38, 0.0369, 0)</f>
        <v>21.441499999999998</v>
      </c>
      <c r="E164" s="46">
        <f>22.7347 * CHOOSE(CONTROL!$C$15, $E$9, 100%, $G$9) + CHOOSE(CONTROL!$C$38, 0.0369, 0)</f>
        <v>22.771599999999999</v>
      </c>
      <c r="F164" s="45">
        <f>22.7347 * CHOOSE(CONTROL!$C$15, $E$9, 100%, $G$9) + CHOOSE(CONTROL!$C$38, 0.0278, 0)</f>
        <v>22.762499999999999</v>
      </c>
      <c r="G164" s="14">
        <f>21.4109 * CHOOSE(CONTROL!$C$15, $E$9, 100%, $G$9) + CHOOSE(CONTROL!$C$38, 0.0369, 0)</f>
        <v>21.447800000000001</v>
      </c>
      <c r="H164" s="14">
        <f>21.4109 * CHOOSE(CONTROL!$C$15, $E$9, 100%, $G$9) + CHOOSE(CONTROL!$C$38, 0.0369, 0)</f>
        <v>21.447800000000001</v>
      </c>
      <c r="I164" s="14">
        <f>21.4125 * CHOOSE(CONTROL!$C$15, $E$9, 100%, $G$9) + CHOOSE(CONTROL!$C$38, 0.0369, 0)</f>
        <v>21.449400000000001</v>
      </c>
      <c r="J164" s="44">
        <f>151.6664</f>
        <v>151.66640000000001</v>
      </c>
    </row>
    <row r="165" spans="1:10" ht="15" x14ac:dyDescent="0.2">
      <c r="A165" s="13">
        <v>45931</v>
      </c>
      <c r="B165" s="14">
        <f>23.2584 * CHOOSE(CONTROL!$C$15, $E$9, 100%, $G$9) + CHOOSE(CONTROL!$C$38, 0.0256, 0)</f>
        <v>23.284000000000002</v>
      </c>
      <c r="C165" s="14">
        <f>21.7772 * CHOOSE(CONTROL!$C$15, $E$9, 100%, $G$9) + CHOOSE(CONTROL!$C$38, 0.0347, 0)</f>
        <v>21.811900000000001</v>
      </c>
      <c r="D165" s="14">
        <f>21.7693 * CHOOSE(CONTROL!$C$15, $E$9, 100%, $G$9) + CHOOSE(CONTROL!$C$38, 0.0347, 0)</f>
        <v>21.804000000000002</v>
      </c>
      <c r="E165" s="46">
        <f>23.1022 * CHOOSE(CONTROL!$C$15, $E$9, 100%, $G$9) + CHOOSE(CONTROL!$C$38, 0.0347, 0)</f>
        <v>23.136900000000001</v>
      </c>
      <c r="F165" s="45">
        <f>23.1022 * CHOOSE(CONTROL!$C$15, $E$9, 100%, $G$9) + CHOOSE(CONTROL!$C$38, 0.0256, 0)</f>
        <v>23.127800000000001</v>
      </c>
      <c r="G165" s="14">
        <f>21.7756 * CHOOSE(CONTROL!$C$15, $E$9, 100%, $G$9) + CHOOSE(CONTROL!$C$38, 0.0347, 0)</f>
        <v>21.810300000000002</v>
      </c>
      <c r="H165" s="14">
        <f>21.7756 * CHOOSE(CONTROL!$C$15, $E$9, 100%, $G$9) + CHOOSE(CONTROL!$C$38, 0.0347, 0)</f>
        <v>21.810300000000002</v>
      </c>
      <c r="I165" s="14">
        <f>21.7772 * CHOOSE(CONTROL!$C$15, $E$9, 100%, $G$9) + CHOOSE(CONTROL!$C$38, 0.0347, 0)</f>
        <v>21.811900000000001</v>
      </c>
      <c r="J165" s="44">
        <f>146.7233</f>
        <v>146.72329999999999</v>
      </c>
    </row>
    <row r="166" spans="1:10" ht="15" x14ac:dyDescent="0.2">
      <c r="A166" s="13">
        <v>45962</v>
      </c>
      <c r="B166" s="14">
        <f>23.5739 * CHOOSE(CONTROL!$C$15, $E$9, 100%, $G$9) + CHOOSE(CONTROL!$C$38, 0.0256, 0)</f>
        <v>23.599499999999999</v>
      </c>
      <c r="C166" s="14">
        <f>22.0899 * CHOOSE(CONTROL!$C$15, $E$9, 100%, $G$9) + CHOOSE(CONTROL!$C$38, 0.0347, 0)</f>
        <v>22.124600000000001</v>
      </c>
      <c r="D166" s="14">
        <f>22.0821 * CHOOSE(CONTROL!$C$15, $E$9, 100%, $G$9) + CHOOSE(CONTROL!$C$38, 0.0347, 0)</f>
        <v>22.116800000000001</v>
      </c>
      <c r="E166" s="46">
        <f>23.4177 * CHOOSE(CONTROL!$C$15, $E$9, 100%, $G$9) + CHOOSE(CONTROL!$C$38, 0.0347, 0)</f>
        <v>23.452400000000001</v>
      </c>
      <c r="F166" s="45">
        <f>23.4177 * CHOOSE(CONTROL!$C$15, $E$9, 100%, $G$9) + CHOOSE(CONTROL!$C$38, 0.0256, 0)</f>
        <v>23.443300000000001</v>
      </c>
      <c r="G166" s="14">
        <f>22.0884 * CHOOSE(CONTROL!$C$15, $E$9, 100%, $G$9) + CHOOSE(CONTROL!$C$38, 0.0347, 0)</f>
        <v>22.123100000000001</v>
      </c>
      <c r="H166" s="14">
        <f>22.0884 * CHOOSE(CONTROL!$C$15, $E$9, 100%, $G$9) + CHOOSE(CONTROL!$C$38, 0.0347, 0)</f>
        <v>22.123100000000001</v>
      </c>
      <c r="I166" s="14">
        <f>22.0899 * CHOOSE(CONTROL!$C$15, $E$9, 100%, $G$9) + CHOOSE(CONTROL!$C$38, 0.0347, 0)</f>
        <v>22.124600000000001</v>
      </c>
      <c r="J166" s="44">
        <f>145.9779</f>
        <v>145.97790000000001</v>
      </c>
    </row>
    <row r="167" spans="1:10" ht="15" x14ac:dyDescent="0.2">
      <c r="A167" s="13">
        <v>45992</v>
      </c>
      <c r="B167" s="14">
        <f>24.4514 * CHOOSE(CONTROL!$C$15, $E$9, 100%, $G$9) + CHOOSE(CONTROL!$C$38, 0.0256, 0)</f>
        <v>24.477</v>
      </c>
      <c r="C167" s="14">
        <f>22.9647 * CHOOSE(CONTROL!$C$15, $E$9, 100%, $G$9) + CHOOSE(CONTROL!$C$38, 0.0347, 0)</f>
        <v>22.999400000000001</v>
      </c>
      <c r="D167" s="14">
        <f>22.9569 * CHOOSE(CONTROL!$C$15, $E$9, 100%, $G$9) + CHOOSE(CONTROL!$C$38, 0.0347, 0)</f>
        <v>22.991600000000002</v>
      </c>
      <c r="E167" s="46">
        <f>24.2951 * CHOOSE(CONTROL!$C$15, $E$9, 100%, $G$9) + CHOOSE(CONTROL!$C$38, 0.0347, 0)</f>
        <v>24.329800000000002</v>
      </c>
      <c r="F167" s="45">
        <f>24.2951 * CHOOSE(CONTROL!$C$15, $E$9, 100%, $G$9) + CHOOSE(CONTROL!$C$38, 0.0256, 0)</f>
        <v>24.320700000000002</v>
      </c>
      <c r="G167" s="14">
        <f>22.9631 * CHOOSE(CONTROL!$C$15, $E$9, 100%, $G$9) + CHOOSE(CONTROL!$C$38, 0.0347, 0)</f>
        <v>22.997800000000002</v>
      </c>
      <c r="H167" s="14">
        <f>22.9631 * CHOOSE(CONTROL!$C$15, $E$9, 100%, $G$9) + CHOOSE(CONTROL!$C$38, 0.0347, 0)</f>
        <v>22.997800000000002</v>
      </c>
      <c r="I167" s="14">
        <f>22.9647 * CHOOSE(CONTROL!$C$15, $E$9, 100%, $G$9) + CHOOSE(CONTROL!$C$38, 0.0347, 0)</f>
        <v>22.999400000000001</v>
      </c>
      <c r="J167" s="44">
        <f>141.9377</f>
        <v>141.93770000000001</v>
      </c>
    </row>
    <row r="168" spans="1:10" ht="15" x14ac:dyDescent="0.2">
      <c r="A168" s="13">
        <v>46023</v>
      </c>
      <c r="B168" s="14">
        <f>25.1208 * CHOOSE(CONTROL!$C$15, $E$9, 100%, $G$9) + CHOOSE(CONTROL!$C$38, 0.0256, 0)</f>
        <v>25.1464</v>
      </c>
      <c r="C168" s="14">
        <f>23.6575 * CHOOSE(CONTROL!$C$15, $E$9, 100%, $G$9) + CHOOSE(CONTROL!$C$38, 0.0347, 0)</f>
        <v>23.6922</v>
      </c>
      <c r="D168" s="14">
        <f>23.6497 * CHOOSE(CONTROL!$C$15, $E$9, 100%, $G$9) + CHOOSE(CONTROL!$C$38, 0.0347, 0)</f>
        <v>23.6844</v>
      </c>
      <c r="E168" s="46">
        <f>24.9646 * CHOOSE(CONTROL!$C$15, $E$9, 100%, $G$9) + CHOOSE(CONTROL!$C$38, 0.0347, 0)</f>
        <v>24.999300000000002</v>
      </c>
      <c r="F168" s="45">
        <f>24.9646 * CHOOSE(CONTROL!$C$15, $E$9, 100%, $G$9) + CHOOSE(CONTROL!$C$38, 0.0256, 0)</f>
        <v>24.990200000000002</v>
      </c>
      <c r="G168" s="14">
        <f>23.656 * CHOOSE(CONTROL!$C$15, $E$9, 100%, $G$9) + CHOOSE(CONTROL!$C$38, 0.0347, 0)</f>
        <v>23.6907</v>
      </c>
      <c r="H168" s="14">
        <f>23.656 * CHOOSE(CONTROL!$C$15, $E$9, 100%, $G$9) + CHOOSE(CONTROL!$C$38, 0.0347, 0)</f>
        <v>23.6907</v>
      </c>
      <c r="I168" s="14">
        <f>23.6575 * CHOOSE(CONTROL!$C$15, $E$9, 100%, $G$9) + CHOOSE(CONTROL!$C$38, 0.0347, 0)</f>
        <v>23.6922</v>
      </c>
      <c r="J168" s="44">
        <f>138.8436</f>
        <v>138.84360000000001</v>
      </c>
    </row>
    <row r="169" spans="1:10" ht="15" x14ac:dyDescent="0.2">
      <c r="A169" s="13">
        <v>46054</v>
      </c>
      <c r="B169" s="14">
        <f>25.4801 * CHOOSE(CONTROL!$C$15, $E$9, 100%, $G$9) + CHOOSE(CONTROL!$C$38, 0.0256, 0)</f>
        <v>25.505700000000001</v>
      </c>
      <c r="C169" s="14">
        <f>24.014 * CHOOSE(CONTROL!$C$15, $E$9, 100%, $G$9) + CHOOSE(CONTROL!$C$38, 0.0347, 0)</f>
        <v>24.0487</v>
      </c>
      <c r="D169" s="14">
        <f>24.0062 * CHOOSE(CONTROL!$C$15, $E$9, 100%, $G$9) + CHOOSE(CONTROL!$C$38, 0.0347, 0)</f>
        <v>24.040900000000001</v>
      </c>
      <c r="E169" s="46">
        <f>25.3238 * CHOOSE(CONTROL!$C$15, $E$9, 100%, $G$9) + CHOOSE(CONTROL!$C$38, 0.0347, 0)</f>
        <v>25.358499999999999</v>
      </c>
      <c r="F169" s="45">
        <f>25.3238 * CHOOSE(CONTROL!$C$15, $E$9, 100%, $G$9) + CHOOSE(CONTROL!$C$38, 0.0256, 0)</f>
        <v>25.349399999999999</v>
      </c>
      <c r="G169" s="14">
        <f>24.0125 * CHOOSE(CONTROL!$C$15, $E$9, 100%, $G$9) + CHOOSE(CONTROL!$C$38, 0.0347, 0)</f>
        <v>24.0472</v>
      </c>
      <c r="H169" s="14">
        <f>24.0125 * CHOOSE(CONTROL!$C$15, $E$9, 100%, $G$9) + CHOOSE(CONTROL!$C$38, 0.0347, 0)</f>
        <v>24.0472</v>
      </c>
      <c r="I169" s="14">
        <f>24.014 * CHOOSE(CONTROL!$C$15, $E$9, 100%, $G$9) + CHOOSE(CONTROL!$C$38, 0.0347, 0)</f>
        <v>24.0487</v>
      </c>
      <c r="J169" s="44">
        <f>138.7429</f>
        <v>138.74289999999999</v>
      </c>
    </row>
    <row r="170" spans="1:10" ht="15" x14ac:dyDescent="0.2">
      <c r="A170" s="13">
        <v>46082</v>
      </c>
      <c r="B170" s="14">
        <f>24.8151 * CHOOSE(CONTROL!$C$15, $E$9, 100%, $G$9) + CHOOSE(CONTROL!$C$38, 0.0256, 0)</f>
        <v>24.840700000000002</v>
      </c>
      <c r="C170" s="14">
        <f>23.3464 * CHOOSE(CONTROL!$C$15, $E$9, 100%, $G$9) + CHOOSE(CONTROL!$C$38, 0.0347, 0)</f>
        <v>23.3811</v>
      </c>
      <c r="D170" s="14">
        <f>23.3386 * CHOOSE(CONTROL!$C$15, $E$9, 100%, $G$9) + CHOOSE(CONTROL!$C$38, 0.0347, 0)</f>
        <v>23.3733</v>
      </c>
      <c r="E170" s="46">
        <f>24.6589 * CHOOSE(CONTROL!$C$15, $E$9, 100%, $G$9) + CHOOSE(CONTROL!$C$38, 0.0347, 0)</f>
        <v>24.6936</v>
      </c>
      <c r="F170" s="45">
        <f>24.6589 * CHOOSE(CONTROL!$C$15, $E$9, 100%, $G$9) + CHOOSE(CONTROL!$C$38, 0.0256, 0)</f>
        <v>24.6845</v>
      </c>
      <c r="G170" s="14">
        <f>23.3448 * CHOOSE(CONTROL!$C$15, $E$9, 100%, $G$9) + CHOOSE(CONTROL!$C$38, 0.0347, 0)</f>
        <v>23.3795</v>
      </c>
      <c r="H170" s="14">
        <f>23.3448 * CHOOSE(CONTROL!$C$15, $E$9, 100%, $G$9) + CHOOSE(CONTROL!$C$38, 0.0347, 0)</f>
        <v>23.3795</v>
      </c>
      <c r="I170" s="14">
        <f>23.3464 * CHOOSE(CONTROL!$C$15, $E$9, 100%, $G$9) + CHOOSE(CONTROL!$C$38, 0.0347, 0)</f>
        <v>23.3811</v>
      </c>
      <c r="J170" s="44">
        <f>146.3563</f>
        <v>146.3563</v>
      </c>
    </row>
    <row r="171" spans="1:10" ht="15" x14ac:dyDescent="0.2">
      <c r="A171" s="13">
        <v>46113</v>
      </c>
      <c r="B171" s="14">
        <f>24.1696 * CHOOSE(CONTROL!$C$15, $E$9, 100%, $G$9) + CHOOSE(CONTROL!$C$38, 0.0256, 0)</f>
        <v>24.1952</v>
      </c>
      <c r="C171" s="14">
        <f>22.6982 * CHOOSE(CONTROL!$C$15, $E$9, 100%, $G$9) + CHOOSE(CONTROL!$C$38, 0.0347, 0)</f>
        <v>22.732900000000001</v>
      </c>
      <c r="D171" s="14">
        <f>22.6904 * CHOOSE(CONTROL!$C$15, $E$9, 100%, $G$9) + CHOOSE(CONTROL!$C$38, 0.0347, 0)</f>
        <v>22.725100000000001</v>
      </c>
      <c r="E171" s="46">
        <f>24.0133 * CHOOSE(CONTROL!$C$15, $E$9, 100%, $G$9) + CHOOSE(CONTROL!$C$38, 0.0347, 0)</f>
        <v>24.048000000000002</v>
      </c>
      <c r="F171" s="45">
        <f>24.0133 * CHOOSE(CONTROL!$C$15, $E$9, 100%, $G$9) + CHOOSE(CONTROL!$C$38, 0.0256, 0)</f>
        <v>24.038900000000002</v>
      </c>
      <c r="G171" s="14">
        <f>22.6966 * CHOOSE(CONTROL!$C$15, $E$9, 100%, $G$9) + CHOOSE(CONTROL!$C$38, 0.0347, 0)</f>
        <v>22.731300000000001</v>
      </c>
      <c r="H171" s="14">
        <f>22.6966 * CHOOSE(CONTROL!$C$15, $E$9, 100%, $G$9) + CHOOSE(CONTROL!$C$38, 0.0347, 0)</f>
        <v>22.731300000000001</v>
      </c>
      <c r="I171" s="14">
        <f>22.6982 * CHOOSE(CONTROL!$C$15, $E$9, 100%, $G$9) + CHOOSE(CONTROL!$C$38, 0.0347, 0)</f>
        <v>22.732900000000001</v>
      </c>
      <c r="J171" s="44">
        <f>156.1795</f>
        <v>156.17949999999999</v>
      </c>
    </row>
    <row r="172" spans="1:10" ht="15" x14ac:dyDescent="0.2">
      <c r="A172" s="13">
        <v>46143</v>
      </c>
      <c r="B172" s="14">
        <f>23.4918 * CHOOSE(CONTROL!$C$15, $E$9, 100%, $G$9) + CHOOSE(CONTROL!$C$38, 0.0278, 0)</f>
        <v>23.519600000000001</v>
      </c>
      <c r="C172" s="14">
        <f>22.0177 * CHOOSE(CONTROL!$C$15, $E$9, 100%, $G$9) + CHOOSE(CONTROL!$C$38, 0.0369, 0)</f>
        <v>22.054600000000001</v>
      </c>
      <c r="D172" s="14">
        <f>22.0099 * CHOOSE(CONTROL!$C$15, $E$9, 100%, $G$9) + CHOOSE(CONTROL!$C$38, 0.0369, 0)</f>
        <v>22.046799999999998</v>
      </c>
      <c r="E172" s="46">
        <f>23.3356 * CHOOSE(CONTROL!$C$15, $E$9, 100%, $G$9) + CHOOSE(CONTROL!$C$38, 0.0369, 0)</f>
        <v>23.372499999999999</v>
      </c>
      <c r="F172" s="45">
        <f>23.3356 * CHOOSE(CONTROL!$C$15, $E$9, 100%, $G$9) + CHOOSE(CONTROL!$C$38, 0.0278, 0)</f>
        <v>23.363399999999999</v>
      </c>
      <c r="G172" s="14">
        <f>22.0161 * CHOOSE(CONTROL!$C$15, $E$9, 100%, $G$9) + CHOOSE(CONTROL!$C$38, 0.0369, 0)</f>
        <v>22.053000000000001</v>
      </c>
      <c r="H172" s="14">
        <f>22.0161 * CHOOSE(CONTROL!$C$15, $E$9, 100%, $G$9) + CHOOSE(CONTROL!$C$38, 0.0369, 0)</f>
        <v>22.053000000000001</v>
      </c>
      <c r="I172" s="14">
        <f>22.0177 * CHOOSE(CONTROL!$C$15, $E$9, 100%, $G$9) + CHOOSE(CONTROL!$C$38, 0.0369, 0)</f>
        <v>22.054600000000001</v>
      </c>
      <c r="J172" s="44">
        <f>161.7531</f>
        <v>161.75309999999999</v>
      </c>
    </row>
    <row r="173" spans="1:10" ht="15" x14ac:dyDescent="0.2">
      <c r="A173" s="13">
        <v>46174</v>
      </c>
      <c r="B173" s="14">
        <f>23.0287 * CHOOSE(CONTROL!$C$15, $E$9, 100%, $G$9) + CHOOSE(CONTROL!$C$38, 0.0278, 0)</f>
        <v>23.0565</v>
      </c>
      <c r="C173" s="14">
        <f>21.5519 * CHOOSE(CONTROL!$C$15, $E$9, 100%, $G$9) + CHOOSE(CONTROL!$C$38, 0.0369, 0)</f>
        <v>21.588799999999999</v>
      </c>
      <c r="D173" s="14">
        <f>21.5441 * CHOOSE(CONTROL!$C$15, $E$9, 100%, $G$9) + CHOOSE(CONTROL!$C$38, 0.0369, 0)</f>
        <v>21.581</v>
      </c>
      <c r="E173" s="46">
        <f>22.8725 * CHOOSE(CONTROL!$C$15, $E$9, 100%, $G$9) + CHOOSE(CONTROL!$C$38, 0.0369, 0)</f>
        <v>22.909399999999998</v>
      </c>
      <c r="F173" s="45">
        <f>22.8725 * CHOOSE(CONTROL!$C$15, $E$9, 100%, $G$9) + CHOOSE(CONTROL!$C$38, 0.0278, 0)</f>
        <v>22.900299999999998</v>
      </c>
      <c r="G173" s="14">
        <f>21.5503 * CHOOSE(CONTROL!$C$15, $E$9, 100%, $G$9) + CHOOSE(CONTROL!$C$38, 0.0369, 0)</f>
        <v>21.587199999999999</v>
      </c>
      <c r="H173" s="14">
        <f>21.5503 * CHOOSE(CONTROL!$C$15, $E$9, 100%, $G$9) + CHOOSE(CONTROL!$C$38, 0.0369, 0)</f>
        <v>21.587199999999999</v>
      </c>
      <c r="I173" s="14">
        <f>21.5519 * CHOOSE(CONTROL!$C$15, $E$9, 100%, $G$9) + CHOOSE(CONTROL!$C$38, 0.0369, 0)</f>
        <v>21.588799999999999</v>
      </c>
      <c r="J173" s="44">
        <f>164.4217</f>
        <v>164.42169999999999</v>
      </c>
    </row>
    <row r="174" spans="1:10" ht="15" x14ac:dyDescent="0.2">
      <c r="A174" s="13">
        <v>46204</v>
      </c>
      <c r="B174" s="14">
        <f>22.7831 * CHOOSE(CONTROL!$C$15, $E$9, 100%, $G$9) + CHOOSE(CONTROL!$C$38, 0.0278, 0)</f>
        <v>22.8109</v>
      </c>
      <c r="C174" s="14">
        <f>21.3036 * CHOOSE(CONTROL!$C$15, $E$9, 100%, $G$9) + CHOOSE(CONTROL!$C$38, 0.0369, 0)</f>
        <v>21.340499999999999</v>
      </c>
      <c r="D174" s="14">
        <f>21.2958 * CHOOSE(CONTROL!$C$15, $E$9, 100%, $G$9) + CHOOSE(CONTROL!$C$38, 0.0369, 0)</f>
        <v>21.332699999999999</v>
      </c>
      <c r="E174" s="46">
        <f>22.6269 * CHOOSE(CONTROL!$C$15, $E$9, 100%, $G$9) + CHOOSE(CONTROL!$C$38, 0.0369, 0)</f>
        <v>22.663799999999998</v>
      </c>
      <c r="F174" s="45">
        <f>22.6269 * CHOOSE(CONTROL!$C$15, $E$9, 100%, $G$9) + CHOOSE(CONTROL!$C$38, 0.0278, 0)</f>
        <v>22.654699999999998</v>
      </c>
      <c r="G174" s="14">
        <f>21.302 * CHOOSE(CONTROL!$C$15, $E$9, 100%, $G$9) + CHOOSE(CONTROL!$C$38, 0.0369, 0)</f>
        <v>21.338899999999999</v>
      </c>
      <c r="H174" s="14">
        <f>21.302 * CHOOSE(CONTROL!$C$15, $E$9, 100%, $G$9) + CHOOSE(CONTROL!$C$38, 0.0369, 0)</f>
        <v>21.338899999999999</v>
      </c>
      <c r="I174" s="14">
        <f>21.3036 * CHOOSE(CONTROL!$C$15, $E$9, 100%, $G$9) + CHOOSE(CONTROL!$C$38, 0.0369, 0)</f>
        <v>21.340499999999999</v>
      </c>
      <c r="J174" s="44">
        <f>163.9899</f>
        <v>163.98990000000001</v>
      </c>
    </row>
    <row r="175" spans="1:10" ht="15" x14ac:dyDescent="0.2">
      <c r="A175" s="13">
        <v>46235</v>
      </c>
      <c r="B175" s="14">
        <f>22.9731 * CHOOSE(CONTROL!$C$15, $E$9, 100%, $G$9) + CHOOSE(CONTROL!$C$38, 0.0278, 0)</f>
        <v>23.000899999999998</v>
      </c>
      <c r="C175" s="14">
        <f>21.4908 * CHOOSE(CONTROL!$C$15, $E$9, 100%, $G$9) + CHOOSE(CONTROL!$C$38, 0.0369, 0)</f>
        <v>21.527699999999999</v>
      </c>
      <c r="D175" s="14">
        <f>21.483 * CHOOSE(CONTROL!$C$15, $E$9, 100%, $G$9) + CHOOSE(CONTROL!$C$38, 0.0369, 0)</f>
        <v>21.5199</v>
      </c>
      <c r="E175" s="46">
        <f>22.8168 * CHOOSE(CONTROL!$C$15, $E$9, 100%, $G$9) + CHOOSE(CONTROL!$C$38, 0.0369, 0)</f>
        <v>22.8537</v>
      </c>
      <c r="F175" s="45">
        <f>22.8168 * CHOOSE(CONTROL!$C$15, $E$9, 100%, $G$9) + CHOOSE(CONTROL!$C$38, 0.0278, 0)</f>
        <v>22.8446</v>
      </c>
      <c r="G175" s="14">
        <f>21.4892 * CHOOSE(CONTROL!$C$15, $E$9, 100%, $G$9) + CHOOSE(CONTROL!$C$38, 0.0369, 0)</f>
        <v>21.5261</v>
      </c>
      <c r="H175" s="14">
        <f>21.4892 * CHOOSE(CONTROL!$C$15, $E$9, 100%, $G$9) + CHOOSE(CONTROL!$C$38, 0.0369, 0)</f>
        <v>21.5261</v>
      </c>
      <c r="I175" s="14">
        <f>21.4908 * CHOOSE(CONTROL!$C$15, $E$9, 100%, $G$9) + CHOOSE(CONTROL!$C$38, 0.0369, 0)</f>
        <v>21.527699999999999</v>
      </c>
      <c r="J175" s="44">
        <f>160.5022</f>
        <v>160.50219999999999</v>
      </c>
    </row>
    <row r="176" spans="1:10" ht="15" x14ac:dyDescent="0.2">
      <c r="A176" s="13">
        <v>46266</v>
      </c>
      <c r="B176" s="14">
        <f>23.4119 * CHOOSE(CONTROL!$C$15, $E$9, 100%, $G$9) + CHOOSE(CONTROL!$C$38, 0.0278, 0)</f>
        <v>23.439699999999998</v>
      </c>
      <c r="C176" s="14">
        <f>21.9268 * CHOOSE(CONTROL!$C$15, $E$9, 100%, $G$9) + CHOOSE(CONTROL!$C$38, 0.0369, 0)</f>
        <v>21.963699999999999</v>
      </c>
      <c r="D176" s="14">
        <f>21.919 * CHOOSE(CONTROL!$C$15, $E$9, 100%, $G$9) + CHOOSE(CONTROL!$C$38, 0.0369, 0)</f>
        <v>21.9559</v>
      </c>
      <c r="E176" s="46">
        <f>23.2556 * CHOOSE(CONTROL!$C$15, $E$9, 100%, $G$9) + CHOOSE(CONTROL!$C$38, 0.0369, 0)</f>
        <v>23.2925</v>
      </c>
      <c r="F176" s="45">
        <f>23.2556 * CHOOSE(CONTROL!$C$15, $E$9, 100%, $G$9) + CHOOSE(CONTROL!$C$38, 0.0278, 0)</f>
        <v>23.2834</v>
      </c>
      <c r="G176" s="14">
        <f>21.9253 * CHOOSE(CONTROL!$C$15, $E$9, 100%, $G$9) + CHOOSE(CONTROL!$C$38, 0.0369, 0)</f>
        <v>21.962199999999999</v>
      </c>
      <c r="H176" s="14">
        <f>21.9253 * CHOOSE(CONTROL!$C$15, $E$9, 100%, $G$9) + CHOOSE(CONTROL!$C$38, 0.0369, 0)</f>
        <v>21.962199999999999</v>
      </c>
      <c r="I176" s="14">
        <f>21.9268 * CHOOSE(CONTROL!$C$15, $E$9, 100%, $G$9) + CHOOSE(CONTROL!$C$38, 0.0369, 0)</f>
        <v>21.963699999999999</v>
      </c>
      <c r="J176" s="44">
        <f>155.487</f>
        <v>155.48699999999999</v>
      </c>
    </row>
    <row r="177" spans="1:10" ht="15" x14ac:dyDescent="0.2">
      <c r="A177" s="13">
        <v>46296</v>
      </c>
      <c r="B177" s="14">
        <f>23.7884 * CHOOSE(CONTROL!$C$15, $E$9, 100%, $G$9) + CHOOSE(CONTROL!$C$38, 0.0256, 0)</f>
        <v>23.814</v>
      </c>
      <c r="C177" s="14">
        <f>22.3007 * CHOOSE(CONTROL!$C$15, $E$9, 100%, $G$9) + CHOOSE(CONTROL!$C$38, 0.0347, 0)</f>
        <v>22.3354</v>
      </c>
      <c r="D177" s="14">
        <f>22.2928 * CHOOSE(CONTROL!$C$15, $E$9, 100%, $G$9) + CHOOSE(CONTROL!$C$38, 0.0347, 0)</f>
        <v>22.327500000000001</v>
      </c>
      <c r="E177" s="46">
        <f>23.6322 * CHOOSE(CONTROL!$C$15, $E$9, 100%, $G$9) + CHOOSE(CONTROL!$C$38, 0.0347, 0)</f>
        <v>23.666900000000002</v>
      </c>
      <c r="F177" s="45">
        <f>23.6322 * CHOOSE(CONTROL!$C$15, $E$9, 100%, $G$9) + CHOOSE(CONTROL!$C$38, 0.0256, 0)</f>
        <v>23.657800000000002</v>
      </c>
      <c r="G177" s="14">
        <f>22.2991 * CHOOSE(CONTROL!$C$15, $E$9, 100%, $G$9) + CHOOSE(CONTROL!$C$38, 0.0347, 0)</f>
        <v>22.3338</v>
      </c>
      <c r="H177" s="14">
        <f>22.2991 * CHOOSE(CONTROL!$C$15, $E$9, 100%, $G$9) + CHOOSE(CONTROL!$C$38, 0.0347, 0)</f>
        <v>22.3338</v>
      </c>
      <c r="I177" s="14">
        <f>22.3007 * CHOOSE(CONTROL!$C$15, $E$9, 100%, $G$9) + CHOOSE(CONTROL!$C$38, 0.0347, 0)</f>
        <v>22.3354</v>
      </c>
      <c r="J177" s="44">
        <f>150.4193</f>
        <v>150.41929999999999</v>
      </c>
    </row>
    <row r="178" spans="1:10" ht="15" x14ac:dyDescent="0.2">
      <c r="A178" s="13">
        <v>46327</v>
      </c>
      <c r="B178" s="14">
        <f>24.1117 * CHOOSE(CONTROL!$C$15, $E$9, 100%, $G$9) + CHOOSE(CONTROL!$C$38, 0.0256, 0)</f>
        <v>24.1373</v>
      </c>
      <c r="C178" s="14">
        <f>22.6212 * CHOOSE(CONTROL!$C$15, $E$9, 100%, $G$9) + CHOOSE(CONTROL!$C$38, 0.0347, 0)</f>
        <v>22.655900000000003</v>
      </c>
      <c r="D178" s="14">
        <f>22.6134 * CHOOSE(CONTROL!$C$15, $E$9, 100%, $G$9) + CHOOSE(CONTROL!$C$38, 0.0347, 0)</f>
        <v>22.648099999999999</v>
      </c>
      <c r="E178" s="46">
        <f>23.9555 * CHOOSE(CONTROL!$C$15, $E$9, 100%, $G$9) + CHOOSE(CONTROL!$C$38, 0.0347, 0)</f>
        <v>23.990200000000002</v>
      </c>
      <c r="F178" s="45">
        <f>23.9555 * CHOOSE(CONTROL!$C$15, $E$9, 100%, $G$9) + CHOOSE(CONTROL!$C$38, 0.0256, 0)</f>
        <v>23.981100000000001</v>
      </c>
      <c r="G178" s="14">
        <f>22.6197 * CHOOSE(CONTROL!$C$15, $E$9, 100%, $G$9) + CHOOSE(CONTROL!$C$38, 0.0347, 0)</f>
        <v>22.654400000000003</v>
      </c>
      <c r="H178" s="14">
        <f>22.6197 * CHOOSE(CONTROL!$C$15, $E$9, 100%, $G$9) + CHOOSE(CONTROL!$C$38, 0.0347, 0)</f>
        <v>22.654400000000003</v>
      </c>
      <c r="I178" s="14">
        <f>22.6212 * CHOOSE(CONTROL!$C$15, $E$9, 100%, $G$9) + CHOOSE(CONTROL!$C$38, 0.0347, 0)</f>
        <v>22.655900000000003</v>
      </c>
      <c r="J178" s="44">
        <f>149.6551</f>
        <v>149.6551</v>
      </c>
    </row>
    <row r="179" spans="1:10" ht="15" x14ac:dyDescent="0.2">
      <c r="A179" s="13">
        <v>46357</v>
      </c>
      <c r="B179" s="14">
        <f>25.0111 * CHOOSE(CONTROL!$C$15, $E$9, 100%, $G$9) + CHOOSE(CONTROL!$C$38, 0.0256, 0)</f>
        <v>25.0367</v>
      </c>
      <c r="C179" s="14">
        <f>23.5178 * CHOOSE(CONTROL!$C$15, $E$9, 100%, $G$9) + CHOOSE(CONTROL!$C$38, 0.0347, 0)</f>
        <v>23.552500000000002</v>
      </c>
      <c r="D179" s="14">
        <f>23.51 * CHOOSE(CONTROL!$C$15, $E$9, 100%, $G$9) + CHOOSE(CONTROL!$C$38, 0.0347, 0)</f>
        <v>23.544700000000002</v>
      </c>
      <c r="E179" s="46">
        <f>24.8548 * CHOOSE(CONTROL!$C$15, $E$9, 100%, $G$9) + CHOOSE(CONTROL!$C$38, 0.0347, 0)</f>
        <v>24.889500000000002</v>
      </c>
      <c r="F179" s="45">
        <f>24.8548 * CHOOSE(CONTROL!$C$15, $E$9, 100%, $G$9) + CHOOSE(CONTROL!$C$38, 0.0256, 0)</f>
        <v>24.880400000000002</v>
      </c>
      <c r="G179" s="14">
        <f>23.5162 * CHOOSE(CONTROL!$C$15, $E$9, 100%, $G$9) + CHOOSE(CONTROL!$C$38, 0.0347, 0)</f>
        <v>23.550900000000002</v>
      </c>
      <c r="H179" s="14">
        <f>23.5162 * CHOOSE(CONTROL!$C$15, $E$9, 100%, $G$9) + CHOOSE(CONTROL!$C$38, 0.0347, 0)</f>
        <v>23.550900000000002</v>
      </c>
      <c r="I179" s="14">
        <f>23.5178 * CHOOSE(CONTROL!$C$15, $E$9, 100%, $G$9) + CHOOSE(CONTROL!$C$38, 0.0347, 0)</f>
        <v>23.552500000000002</v>
      </c>
      <c r="J179" s="44">
        <f>145.5132</f>
        <v>145.51320000000001</v>
      </c>
    </row>
    <row r="180" spans="1:10" ht="15" x14ac:dyDescent="0.2">
      <c r="A180" s="13">
        <v>46388</v>
      </c>
      <c r="B180" s="14">
        <f>25.7407 * CHOOSE(CONTROL!$C$15, $E$9, 100%, $G$9) + CHOOSE(CONTROL!$C$38, 0.0256, 0)</f>
        <v>25.766300000000001</v>
      </c>
      <c r="C180" s="14">
        <f>24.2709 * CHOOSE(CONTROL!$C$15, $E$9, 100%, $G$9) + CHOOSE(CONTROL!$C$38, 0.0347, 0)</f>
        <v>24.305600000000002</v>
      </c>
      <c r="D180" s="14">
        <f>24.2631 * CHOOSE(CONTROL!$C$15, $E$9, 100%, $G$9) + CHOOSE(CONTROL!$C$38, 0.0347, 0)</f>
        <v>24.297800000000002</v>
      </c>
      <c r="E180" s="46">
        <f>25.5844 * CHOOSE(CONTROL!$C$15, $E$9, 100%, $G$9) + CHOOSE(CONTROL!$C$38, 0.0347, 0)</f>
        <v>25.6191</v>
      </c>
      <c r="F180" s="45">
        <f>25.5844 * CHOOSE(CONTROL!$C$15, $E$9, 100%, $G$9) + CHOOSE(CONTROL!$C$38, 0.0256, 0)</f>
        <v>25.61</v>
      </c>
      <c r="G180" s="14">
        <f>24.2694 * CHOOSE(CONTROL!$C$15, $E$9, 100%, $G$9) + CHOOSE(CONTROL!$C$38, 0.0347, 0)</f>
        <v>24.304100000000002</v>
      </c>
      <c r="H180" s="14">
        <f>24.2694 * CHOOSE(CONTROL!$C$15, $E$9, 100%, $G$9) + CHOOSE(CONTROL!$C$38, 0.0347, 0)</f>
        <v>24.304100000000002</v>
      </c>
      <c r="I180" s="14">
        <f>24.2709 * CHOOSE(CONTROL!$C$15, $E$9, 100%, $G$9) + CHOOSE(CONTROL!$C$38, 0.0347, 0)</f>
        <v>24.305600000000002</v>
      </c>
      <c r="J180" s="44">
        <f>142.3411</f>
        <v>142.34110000000001</v>
      </c>
    </row>
    <row r="181" spans="1:10" ht="15" x14ac:dyDescent="0.2">
      <c r="A181" s="13">
        <v>46419</v>
      </c>
      <c r="B181" s="14">
        <f>26.1089 * CHOOSE(CONTROL!$C$15, $E$9, 100%, $G$9) + CHOOSE(CONTROL!$C$38, 0.0256, 0)</f>
        <v>26.134499999999999</v>
      </c>
      <c r="C181" s="14">
        <f>24.6365 * CHOOSE(CONTROL!$C$15, $E$9, 100%, $G$9) + CHOOSE(CONTROL!$C$38, 0.0347, 0)</f>
        <v>24.671200000000002</v>
      </c>
      <c r="D181" s="14">
        <f>24.6286 * CHOOSE(CONTROL!$C$15, $E$9, 100%, $G$9) + CHOOSE(CONTROL!$C$38, 0.0347, 0)</f>
        <v>24.6633</v>
      </c>
      <c r="E181" s="46">
        <f>25.9526 * CHOOSE(CONTROL!$C$15, $E$9, 100%, $G$9) + CHOOSE(CONTROL!$C$38, 0.0347, 0)</f>
        <v>25.987300000000001</v>
      </c>
      <c r="F181" s="45">
        <f>25.9526 * CHOOSE(CONTROL!$C$15, $E$9, 100%, $G$9) + CHOOSE(CONTROL!$C$38, 0.0256, 0)</f>
        <v>25.978200000000001</v>
      </c>
      <c r="G181" s="14">
        <f>24.6349 * CHOOSE(CONTROL!$C$15, $E$9, 100%, $G$9) + CHOOSE(CONTROL!$C$38, 0.0347, 0)</f>
        <v>24.669599999999999</v>
      </c>
      <c r="H181" s="14">
        <f>24.6349 * CHOOSE(CONTROL!$C$15, $E$9, 100%, $G$9) + CHOOSE(CONTROL!$C$38, 0.0347, 0)</f>
        <v>24.669599999999999</v>
      </c>
      <c r="I181" s="14">
        <f>24.6365 * CHOOSE(CONTROL!$C$15, $E$9, 100%, $G$9) + CHOOSE(CONTROL!$C$38, 0.0347, 0)</f>
        <v>24.671200000000002</v>
      </c>
      <c r="J181" s="44">
        <f>142.2378</f>
        <v>142.23779999999999</v>
      </c>
    </row>
    <row r="182" spans="1:10" ht="15" x14ac:dyDescent="0.2">
      <c r="A182" s="13">
        <v>46447</v>
      </c>
      <c r="B182" s="14">
        <f>25.4273 * CHOOSE(CONTROL!$C$15, $E$9, 100%, $G$9) + CHOOSE(CONTROL!$C$38, 0.0256, 0)</f>
        <v>25.4529</v>
      </c>
      <c r="C182" s="14">
        <f>23.9522 * CHOOSE(CONTROL!$C$15, $E$9, 100%, $G$9) + CHOOSE(CONTROL!$C$38, 0.0347, 0)</f>
        <v>23.986900000000002</v>
      </c>
      <c r="D182" s="14">
        <f>23.9444 * CHOOSE(CONTROL!$C$15, $E$9, 100%, $G$9) + CHOOSE(CONTROL!$C$38, 0.0347, 0)</f>
        <v>23.979100000000003</v>
      </c>
      <c r="E182" s="46">
        <f>25.2711 * CHOOSE(CONTROL!$C$15, $E$9, 100%, $G$9) + CHOOSE(CONTROL!$C$38, 0.0347, 0)</f>
        <v>25.305800000000001</v>
      </c>
      <c r="F182" s="45">
        <f>25.2711 * CHOOSE(CONTROL!$C$15, $E$9, 100%, $G$9) + CHOOSE(CONTROL!$C$38, 0.0256, 0)</f>
        <v>25.296700000000001</v>
      </c>
      <c r="G182" s="14">
        <f>23.9506 * CHOOSE(CONTROL!$C$15, $E$9, 100%, $G$9) + CHOOSE(CONTROL!$C$38, 0.0347, 0)</f>
        <v>23.985300000000002</v>
      </c>
      <c r="H182" s="14">
        <f>23.9506 * CHOOSE(CONTROL!$C$15, $E$9, 100%, $G$9) + CHOOSE(CONTROL!$C$38, 0.0347, 0)</f>
        <v>23.985300000000002</v>
      </c>
      <c r="I182" s="14">
        <f>23.9522 * CHOOSE(CONTROL!$C$15, $E$9, 100%, $G$9) + CHOOSE(CONTROL!$C$38, 0.0347, 0)</f>
        <v>23.986900000000002</v>
      </c>
      <c r="J182" s="44">
        <f>150.043</f>
        <v>150.04300000000001</v>
      </c>
    </row>
    <row r="183" spans="1:10" ht="15" x14ac:dyDescent="0.2">
      <c r="A183" s="13">
        <v>46478</v>
      </c>
      <c r="B183" s="14">
        <f>24.7657 * CHOOSE(CONTROL!$C$15, $E$9, 100%, $G$9) + CHOOSE(CONTROL!$C$38, 0.0256, 0)</f>
        <v>24.7913</v>
      </c>
      <c r="C183" s="14">
        <f>23.2878 * CHOOSE(CONTROL!$C$15, $E$9, 100%, $G$9) + CHOOSE(CONTROL!$C$38, 0.0347, 0)</f>
        <v>23.322500000000002</v>
      </c>
      <c r="D183" s="14">
        <f>23.28 * CHOOSE(CONTROL!$C$15, $E$9, 100%, $G$9) + CHOOSE(CONTROL!$C$38, 0.0347, 0)</f>
        <v>23.314700000000002</v>
      </c>
      <c r="E183" s="46">
        <f>24.6094 * CHOOSE(CONTROL!$C$15, $E$9, 100%, $G$9) + CHOOSE(CONTROL!$C$38, 0.0347, 0)</f>
        <v>24.644100000000002</v>
      </c>
      <c r="F183" s="45">
        <f>24.6094 * CHOOSE(CONTROL!$C$15, $E$9, 100%, $G$9) + CHOOSE(CONTROL!$C$38, 0.0256, 0)</f>
        <v>24.635000000000002</v>
      </c>
      <c r="G183" s="14">
        <f>23.2863 * CHOOSE(CONTROL!$C$15, $E$9, 100%, $G$9) + CHOOSE(CONTROL!$C$38, 0.0347, 0)</f>
        <v>23.321000000000002</v>
      </c>
      <c r="H183" s="14">
        <f>23.2863 * CHOOSE(CONTROL!$C$15, $E$9, 100%, $G$9) + CHOOSE(CONTROL!$C$38, 0.0347, 0)</f>
        <v>23.321000000000002</v>
      </c>
      <c r="I183" s="14">
        <f>23.2878 * CHOOSE(CONTROL!$C$15, $E$9, 100%, $G$9) + CHOOSE(CONTROL!$C$38, 0.0347, 0)</f>
        <v>23.322500000000002</v>
      </c>
      <c r="J183" s="44">
        <f>160.1136</f>
        <v>160.11359999999999</v>
      </c>
    </row>
    <row r="184" spans="1:10" ht="15" x14ac:dyDescent="0.2">
      <c r="A184" s="13">
        <v>46508</v>
      </c>
      <c r="B184" s="14">
        <f>24.071 * CHOOSE(CONTROL!$C$15, $E$9, 100%, $G$9) + CHOOSE(CONTROL!$C$38, 0.0278, 0)</f>
        <v>24.098800000000001</v>
      </c>
      <c r="C184" s="14">
        <f>22.5904 * CHOOSE(CONTROL!$C$15, $E$9, 100%, $G$9) + CHOOSE(CONTROL!$C$38, 0.0369, 0)</f>
        <v>22.627299999999998</v>
      </c>
      <c r="D184" s="14">
        <f>22.5826 * CHOOSE(CONTROL!$C$15, $E$9, 100%, $G$9) + CHOOSE(CONTROL!$C$38, 0.0369, 0)</f>
        <v>22.619499999999999</v>
      </c>
      <c r="E184" s="46">
        <f>23.9148 * CHOOSE(CONTROL!$C$15, $E$9, 100%, $G$9) + CHOOSE(CONTROL!$C$38, 0.0369, 0)</f>
        <v>23.951699999999999</v>
      </c>
      <c r="F184" s="45">
        <f>23.9148 * CHOOSE(CONTROL!$C$15, $E$9, 100%, $G$9) + CHOOSE(CONTROL!$C$38, 0.0278, 0)</f>
        <v>23.942599999999999</v>
      </c>
      <c r="G184" s="14">
        <f>22.5889 * CHOOSE(CONTROL!$C$15, $E$9, 100%, $G$9) + CHOOSE(CONTROL!$C$38, 0.0369, 0)</f>
        <v>22.625799999999998</v>
      </c>
      <c r="H184" s="14">
        <f>22.5889 * CHOOSE(CONTROL!$C$15, $E$9, 100%, $G$9) + CHOOSE(CONTROL!$C$38, 0.0369, 0)</f>
        <v>22.625799999999998</v>
      </c>
      <c r="I184" s="14">
        <f>22.5904 * CHOOSE(CONTROL!$C$15, $E$9, 100%, $G$9) + CHOOSE(CONTROL!$C$38, 0.0369, 0)</f>
        <v>22.627299999999998</v>
      </c>
      <c r="J184" s="44">
        <f>165.8276</f>
        <v>165.82759999999999</v>
      </c>
    </row>
    <row r="185" spans="1:10" ht="15" x14ac:dyDescent="0.2">
      <c r="A185" s="13">
        <v>46539</v>
      </c>
      <c r="B185" s="14">
        <f>23.5964 * CHOOSE(CONTROL!$C$15, $E$9, 100%, $G$9) + CHOOSE(CONTROL!$C$38, 0.0278, 0)</f>
        <v>23.624199999999998</v>
      </c>
      <c r="C185" s="14">
        <f>22.113 * CHOOSE(CONTROL!$C$15, $E$9, 100%, $G$9) + CHOOSE(CONTROL!$C$38, 0.0369, 0)</f>
        <v>22.149899999999999</v>
      </c>
      <c r="D185" s="14">
        <f>22.1052 * CHOOSE(CONTROL!$C$15, $E$9, 100%, $G$9) + CHOOSE(CONTROL!$C$38, 0.0369, 0)</f>
        <v>22.142099999999999</v>
      </c>
      <c r="E185" s="46">
        <f>23.4401 * CHOOSE(CONTROL!$C$15, $E$9, 100%, $G$9) + CHOOSE(CONTROL!$C$38, 0.0369, 0)</f>
        <v>23.477</v>
      </c>
      <c r="F185" s="45">
        <f>23.4401 * CHOOSE(CONTROL!$C$15, $E$9, 100%, $G$9) + CHOOSE(CONTROL!$C$38, 0.0278, 0)</f>
        <v>23.4679</v>
      </c>
      <c r="G185" s="14">
        <f>22.1115 * CHOOSE(CONTROL!$C$15, $E$9, 100%, $G$9) + CHOOSE(CONTROL!$C$38, 0.0369, 0)</f>
        <v>22.148399999999999</v>
      </c>
      <c r="H185" s="14">
        <f>22.1115 * CHOOSE(CONTROL!$C$15, $E$9, 100%, $G$9) + CHOOSE(CONTROL!$C$38, 0.0369, 0)</f>
        <v>22.148399999999999</v>
      </c>
      <c r="I185" s="14">
        <f>22.113 * CHOOSE(CONTROL!$C$15, $E$9, 100%, $G$9) + CHOOSE(CONTROL!$C$38, 0.0369, 0)</f>
        <v>22.149899999999999</v>
      </c>
      <c r="J185" s="44">
        <f>168.5635</f>
        <v>168.5635</v>
      </c>
    </row>
    <row r="186" spans="1:10" ht="15" x14ac:dyDescent="0.2">
      <c r="A186" s="13">
        <v>46569</v>
      </c>
      <c r="B186" s="14">
        <f>23.3446 * CHOOSE(CONTROL!$C$15, $E$9, 100%, $G$9) + CHOOSE(CONTROL!$C$38, 0.0278, 0)</f>
        <v>23.372399999999999</v>
      </c>
      <c r="C186" s="14">
        <f>21.8586 * CHOOSE(CONTROL!$C$15, $E$9, 100%, $G$9) + CHOOSE(CONTROL!$C$38, 0.0369, 0)</f>
        <v>21.895499999999998</v>
      </c>
      <c r="D186" s="14">
        <f>21.8508 * CHOOSE(CONTROL!$C$15, $E$9, 100%, $G$9) + CHOOSE(CONTROL!$C$38, 0.0369, 0)</f>
        <v>21.887699999999999</v>
      </c>
      <c r="E186" s="46">
        <f>23.1884 * CHOOSE(CONTROL!$C$15, $E$9, 100%, $G$9) + CHOOSE(CONTROL!$C$38, 0.0369, 0)</f>
        <v>23.225300000000001</v>
      </c>
      <c r="F186" s="45">
        <f>23.1884 * CHOOSE(CONTROL!$C$15, $E$9, 100%, $G$9) + CHOOSE(CONTROL!$C$38, 0.0278, 0)</f>
        <v>23.216200000000001</v>
      </c>
      <c r="G186" s="14">
        <f>21.857 * CHOOSE(CONTROL!$C$15, $E$9, 100%, $G$9) + CHOOSE(CONTROL!$C$38, 0.0369, 0)</f>
        <v>21.893899999999999</v>
      </c>
      <c r="H186" s="14">
        <f>21.857 * CHOOSE(CONTROL!$C$15, $E$9, 100%, $G$9) + CHOOSE(CONTROL!$C$38, 0.0369, 0)</f>
        <v>21.893899999999999</v>
      </c>
      <c r="I186" s="14">
        <f>21.8586 * CHOOSE(CONTROL!$C$15, $E$9, 100%, $G$9) + CHOOSE(CONTROL!$C$38, 0.0369, 0)</f>
        <v>21.895499999999998</v>
      </c>
      <c r="J186" s="44">
        <f>168.1208</f>
        <v>168.1208</v>
      </c>
    </row>
    <row r="187" spans="1:10" ht="15" x14ac:dyDescent="0.2">
      <c r="A187" s="13">
        <v>46600</v>
      </c>
      <c r="B187" s="14">
        <f>23.5393 * CHOOSE(CONTROL!$C$15, $E$9, 100%, $G$9) + CHOOSE(CONTROL!$C$38, 0.0278, 0)</f>
        <v>23.5671</v>
      </c>
      <c r="C187" s="14">
        <f>22.0506 * CHOOSE(CONTROL!$C$15, $E$9, 100%, $G$9) + CHOOSE(CONTROL!$C$38, 0.0369, 0)</f>
        <v>22.087499999999999</v>
      </c>
      <c r="D187" s="14">
        <f>22.0427 * CHOOSE(CONTROL!$C$15, $E$9, 100%, $G$9) + CHOOSE(CONTROL!$C$38, 0.0369, 0)</f>
        <v>22.079599999999999</v>
      </c>
      <c r="E187" s="46">
        <f>23.3831 * CHOOSE(CONTROL!$C$15, $E$9, 100%, $G$9) + CHOOSE(CONTROL!$C$38, 0.0369, 0)</f>
        <v>23.419999999999998</v>
      </c>
      <c r="F187" s="45">
        <f>23.3831 * CHOOSE(CONTROL!$C$15, $E$9, 100%, $G$9) + CHOOSE(CONTROL!$C$38, 0.0278, 0)</f>
        <v>23.410899999999998</v>
      </c>
      <c r="G187" s="14">
        <f>22.049 * CHOOSE(CONTROL!$C$15, $E$9, 100%, $G$9) + CHOOSE(CONTROL!$C$38, 0.0369, 0)</f>
        <v>22.085899999999999</v>
      </c>
      <c r="H187" s="14">
        <f>22.049 * CHOOSE(CONTROL!$C$15, $E$9, 100%, $G$9) + CHOOSE(CONTROL!$C$38, 0.0369, 0)</f>
        <v>22.085899999999999</v>
      </c>
      <c r="I187" s="14">
        <f>22.0506 * CHOOSE(CONTROL!$C$15, $E$9, 100%, $G$9) + CHOOSE(CONTROL!$C$38, 0.0369, 0)</f>
        <v>22.087499999999999</v>
      </c>
      <c r="J187" s="44">
        <f>164.5452</f>
        <v>164.54519999999999</v>
      </c>
    </row>
    <row r="188" spans="1:10" ht="15" x14ac:dyDescent="0.2">
      <c r="A188" s="13">
        <v>46631</v>
      </c>
      <c r="B188" s="14">
        <f>23.9891 * CHOOSE(CONTROL!$C$15, $E$9, 100%, $G$9) + CHOOSE(CONTROL!$C$38, 0.0278, 0)</f>
        <v>24.0169</v>
      </c>
      <c r="C188" s="14">
        <f>22.4976 * CHOOSE(CONTROL!$C$15, $E$9, 100%, $G$9) + CHOOSE(CONTROL!$C$38, 0.0369, 0)</f>
        <v>22.534499999999998</v>
      </c>
      <c r="D188" s="14">
        <f>22.4898 * CHOOSE(CONTROL!$C$15, $E$9, 100%, $G$9) + CHOOSE(CONTROL!$C$38, 0.0369, 0)</f>
        <v>22.526699999999998</v>
      </c>
      <c r="E188" s="46">
        <f>23.8329 * CHOOSE(CONTROL!$C$15, $E$9, 100%, $G$9) + CHOOSE(CONTROL!$C$38, 0.0369, 0)</f>
        <v>23.869799999999998</v>
      </c>
      <c r="F188" s="45">
        <f>23.8329 * CHOOSE(CONTROL!$C$15, $E$9, 100%, $G$9) + CHOOSE(CONTROL!$C$38, 0.0278, 0)</f>
        <v>23.860699999999998</v>
      </c>
      <c r="G188" s="14">
        <f>22.496 * CHOOSE(CONTROL!$C$15, $E$9, 100%, $G$9) + CHOOSE(CONTROL!$C$38, 0.0369, 0)</f>
        <v>22.532899999999998</v>
      </c>
      <c r="H188" s="14">
        <f>22.496 * CHOOSE(CONTROL!$C$15, $E$9, 100%, $G$9) + CHOOSE(CONTROL!$C$38, 0.0369, 0)</f>
        <v>22.532899999999998</v>
      </c>
      <c r="I188" s="14">
        <f>22.4976 * CHOOSE(CONTROL!$C$15, $E$9, 100%, $G$9) + CHOOSE(CONTROL!$C$38, 0.0369, 0)</f>
        <v>22.534499999999998</v>
      </c>
      <c r="J188" s="44">
        <f>159.4037</f>
        <v>159.40369999999999</v>
      </c>
    </row>
    <row r="189" spans="1:10" ht="15" x14ac:dyDescent="0.2">
      <c r="A189" s="13">
        <v>46661</v>
      </c>
      <c r="B189" s="14">
        <f>24.3751 * CHOOSE(CONTROL!$C$15, $E$9, 100%, $G$9) + CHOOSE(CONTROL!$C$38, 0.0256, 0)</f>
        <v>24.400700000000001</v>
      </c>
      <c r="C189" s="14">
        <f>22.8808 * CHOOSE(CONTROL!$C$15, $E$9, 100%, $G$9) + CHOOSE(CONTROL!$C$38, 0.0347, 0)</f>
        <v>22.915500000000002</v>
      </c>
      <c r="D189" s="14">
        <f>22.873 * CHOOSE(CONTROL!$C$15, $E$9, 100%, $G$9) + CHOOSE(CONTROL!$C$38, 0.0347, 0)</f>
        <v>22.907700000000002</v>
      </c>
      <c r="E189" s="46">
        <f>24.2188 * CHOOSE(CONTROL!$C$15, $E$9, 100%, $G$9) + CHOOSE(CONTROL!$C$38, 0.0347, 0)</f>
        <v>24.253500000000003</v>
      </c>
      <c r="F189" s="45">
        <f>24.2188 * CHOOSE(CONTROL!$C$15, $E$9, 100%, $G$9) + CHOOSE(CONTROL!$C$38, 0.0256, 0)</f>
        <v>24.244400000000002</v>
      </c>
      <c r="G189" s="14">
        <f>22.8792 * CHOOSE(CONTROL!$C$15, $E$9, 100%, $G$9) + CHOOSE(CONTROL!$C$38, 0.0347, 0)</f>
        <v>22.913900000000002</v>
      </c>
      <c r="H189" s="14">
        <f>22.8792 * CHOOSE(CONTROL!$C$15, $E$9, 100%, $G$9) + CHOOSE(CONTROL!$C$38, 0.0347, 0)</f>
        <v>22.913900000000002</v>
      </c>
      <c r="I189" s="14">
        <f>22.8808 * CHOOSE(CONTROL!$C$15, $E$9, 100%, $G$9) + CHOOSE(CONTROL!$C$38, 0.0347, 0)</f>
        <v>22.915500000000002</v>
      </c>
      <c r="J189" s="44">
        <f>154.2083</f>
        <v>154.20830000000001</v>
      </c>
    </row>
    <row r="190" spans="1:10" ht="15" x14ac:dyDescent="0.2">
      <c r="A190" s="13">
        <v>46692</v>
      </c>
      <c r="B190" s="14">
        <f>24.7065 * CHOOSE(CONTROL!$C$15, $E$9, 100%, $G$9) + CHOOSE(CONTROL!$C$38, 0.0256, 0)</f>
        <v>24.732099999999999</v>
      </c>
      <c r="C190" s="14">
        <f>23.2094 * CHOOSE(CONTROL!$C$15, $E$9, 100%, $G$9) + CHOOSE(CONTROL!$C$38, 0.0347, 0)</f>
        <v>23.2441</v>
      </c>
      <c r="D190" s="14">
        <f>23.2016 * CHOOSE(CONTROL!$C$15, $E$9, 100%, $G$9) + CHOOSE(CONTROL!$C$38, 0.0347, 0)</f>
        <v>23.2363</v>
      </c>
      <c r="E190" s="46">
        <f>24.5502 * CHOOSE(CONTROL!$C$15, $E$9, 100%, $G$9) + CHOOSE(CONTROL!$C$38, 0.0347, 0)</f>
        <v>24.584900000000001</v>
      </c>
      <c r="F190" s="45">
        <f>24.5502 * CHOOSE(CONTROL!$C$15, $E$9, 100%, $G$9) + CHOOSE(CONTROL!$C$38, 0.0256, 0)</f>
        <v>24.575800000000001</v>
      </c>
      <c r="G190" s="14">
        <f>23.2079 * CHOOSE(CONTROL!$C$15, $E$9, 100%, $G$9) + CHOOSE(CONTROL!$C$38, 0.0347, 0)</f>
        <v>23.242599999999999</v>
      </c>
      <c r="H190" s="14">
        <f>23.2079 * CHOOSE(CONTROL!$C$15, $E$9, 100%, $G$9) + CHOOSE(CONTROL!$C$38, 0.0347, 0)</f>
        <v>23.242599999999999</v>
      </c>
      <c r="I190" s="14">
        <f>23.2094 * CHOOSE(CONTROL!$C$15, $E$9, 100%, $G$9) + CHOOSE(CONTROL!$C$38, 0.0347, 0)</f>
        <v>23.2441</v>
      </c>
      <c r="J190" s="44">
        <f>153.4249</f>
        <v>153.42490000000001</v>
      </c>
    </row>
    <row r="191" spans="1:10" ht="15" x14ac:dyDescent="0.2">
      <c r="A191" s="13">
        <v>46722</v>
      </c>
      <c r="B191" s="14">
        <f>25.6283 * CHOOSE(CONTROL!$C$15, $E$9, 100%, $G$9) + CHOOSE(CONTROL!$C$38, 0.0256, 0)</f>
        <v>25.6539</v>
      </c>
      <c r="C191" s="14">
        <f>24.1285 * CHOOSE(CONTROL!$C$15, $E$9, 100%, $G$9) + CHOOSE(CONTROL!$C$38, 0.0347, 0)</f>
        <v>24.1632</v>
      </c>
      <c r="D191" s="14">
        <f>24.1207 * CHOOSE(CONTROL!$C$15, $E$9, 100%, $G$9) + CHOOSE(CONTROL!$C$38, 0.0347, 0)</f>
        <v>24.1554</v>
      </c>
      <c r="E191" s="46">
        <f>25.4721 * CHOOSE(CONTROL!$C$15, $E$9, 100%, $G$9) + CHOOSE(CONTROL!$C$38, 0.0347, 0)</f>
        <v>25.506800000000002</v>
      </c>
      <c r="F191" s="45">
        <f>25.4721 * CHOOSE(CONTROL!$C$15, $E$9, 100%, $G$9) + CHOOSE(CONTROL!$C$38, 0.0256, 0)</f>
        <v>25.497700000000002</v>
      </c>
      <c r="G191" s="14">
        <f>24.127 * CHOOSE(CONTROL!$C$15, $E$9, 100%, $G$9) + CHOOSE(CONTROL!$C$38, 0.0347, 0)</f>
        <v>24.1617</v>
      </c>
      <c r="H191" s="14">
        <f>24.127 * CHOOSE(CONTROL!$C$15, $E$9, 100%, $G$9) + CHOOSE(CONTROL!$C$38, 0.0347, 0)</f>
        <v>24.1617</v>
      </c>
      <c r="I191" s="14">
        <f>24.1285 * CHOOSE(CONTROL!$C$15, $E$9, 100%, $G$9) + CHOOSE(CONTROL!$C$38, 0.0347, 0)</f>
        <v>24.1632</v>
      </c>
      <c r="J191" s="44">
        <f>149.1787</f>
        <v>149.17869999999999</v>
      </c>
    </row>
    <row r="192" spans="1:10" ht="15" x14ac:dyDescent="0.2">
      <c r="A192" s="13">
        <v>46753</v>
      </c>
      <c r="B192" s="14">
        <f>26.311 * CHOOSE(CONTROL!$C$15, $E$9, 100%, $G$9) + CHOOSE(CONTROL!$C$38, 0.0256, 0)</f>
        <v>26.336600000000001</v>
      </c>
      <c r="C192" s="14">
        <f>24.8349 * CHOOSE(CONTROL!$C$15, $E$9, 100%, $G$9) + CHOOSE(CONTROL!$C$38, 0.0347, 0)</f>
        <v>24.869600000000002</v>
      </c>
      <c r="D192" s="14">
        <f>24.827 * CHOOSE(CONTROL!$C$15, $E$9, 100%, $G$9) + CHOOSE(CONTROL!$C$38, 0.0347, 0)</f>
        <v>24.861700000000003</v>
      </c>
      <c r="E192" s="46">
        <f>26.1548 * CHOOSE(CONTROL!$C$15, $E$9, 100%, $G$9) + CHOOSE(CONTROL!$C$38, 0.0347, 0)</f>
        <v>26.189500000000002</v>
      </c>
      <c r="F192" s="45">
        <f>26.1548 * CHOOSE(CONTROL!$C$15, $E$9, 100%, $G$9) + CHOOSE(CONTROL!$C$38, 0.0256, 0)</f>
        <v>26.180400000000002</v>
      </c>
      <c r="G192" s="14">
        <f>24.8333 * CHOOSE(CONTROL!$C$15, $E$9, 100%, $G$9) + CHOOSE(CONTROL!$C$38, 0.0347, 0)</f>
        <v>24.868000000000002</v>
      </c>
      <c r="H192" s="14">
        <f>24.8333 * CHOOSE(CONTROL!$C$15, $E$9, 100%, $G$9) + CHOOSE(CONTROL!$C$38, 0.0347, 0)</f>
        <v>24.868000000000002</v>
      </c>
      <c r="I192" s="14">
        <f>24.8349 * CHOOSE(CONTROL!$C$15, $E$9, 100%, $G$9) + CHOOSE(CONTROL!$C$38, 0.0347, 0)</f>
        <v>24.869600000000002</v>
      </c>
      <c r="J192" s="44">
        <f>145.9265</f>
        <v>145.9265</v>
      </c>
    </row>
    <row r="193" spans="1:10" ht="15" x14ac:dyDescent="0.2">
      <c r="A193" s="13">
        <v>46784</v>
      </c>
      <c r="B193" s="14">
        <f>26.6883 * CHOOSE(CONTROL!$C$15, $E$9, 100%, $G$9) + CHOOSE(CONTROL!$C$38, 0.0256, 0)</f>
        <v>26.713900000000002</v>
      </c>
      <c r="C193" s="14">
        <f>25.2094 * CHOOSE(CONTROL!$C$15, $E$9, 100%, $G$9) + CHOOSE(CONTROL!$C$38, 0.0347, 0)</f>
        <v>25.2441</v>
      </c>
      <c r="D193" s="14">
        <f>25.2016 * CHOOSE(CONTROL!$C$15, $E$9, 100%, $G$9) + CHOOSE(CONTROL!$C$38, 0.0347, 0)</f>
        <v>25.2363</v>
      </c>
      <c r="E193" s="46">
        <f>26.5321 * CHOOSE(CONTROL!$C$15, $E$9, 100%, $G$9) + CHOOSE(CONTROL!$C$38, 0.0347, 0)</f>
        <v>26.566800000000001</v>
      </c>
      <c r="F193" s="45">
        <f>26.5321 * CHOOSE(CONTROL!$C$15, $E$9, 100%, $G$9) + CHOOSE(CONTROL!$C$38, 0.0256, 0)</f>
        <v>26.557700000000001</v>
      </c>
      <c r="G193" s="14">
        <f>25.2079 * CHOOSE(CONTROL!$C$15, $E$9, 100%, $G$9) + CHOOSE(CONTROL!$C$38, 0.0347, 0)</f>
        <v>25.242599999999999</v>
      </c>
      <c r="H193" s="14">
        <f>25.2079 * CHOOSE(CONTROL!$C$15, $E$9, 100%, $G$9) + CHOOSE(CONTROL!$C$38, 0.0347, 0)</f>
        <v>25.242599999999999</v>
      </c>
      <c r="I193" s="14">
        <f>25.2094 * CHOOSE(CONTROL!$C$15, $E$9, 100%, $G$9) + CHOOSE(CONTROL!$C$38, 0.0347, 0)</f>
        <v>25.2441</v>
      </c>
      <c r="J193" s="44">
        <f>145.8207</f>
        <v>145.82069999999999</v>
      </c>
    </row>
    <row r="194" spans="1:10" ht="15" x14ac:dyDescent="0.2">
      <c r="A194" s="13">
        <v>46813</v>
      </c>
      <c r="B194" s="14">
        <f>25.9896 * CHOOSE(CONTROL!$C$15, $E$9, 100%, $G$9) + CHOOSE(CONTROL!$C$38, 0.0256, 0)</f>
        <v>26.0152</v>
      </c>
      <c r="C194" s="14">
        <f>24.508 * CHOOSE(CONTROL!$C$15, $E$9, 100%, $G$9) + CHOOSE(CONTROL!$C$38, 0.0347, 0)</f>
        <v>24.5427</v>
      </c>
      <c r="D194" s="14">
        <f>24.5002 * CHOOSE(CONTROL!$C$15, $E$9, 100%, $G$9) + CHOOSE(CONTROL!$C$38, 0.0347, 0)</f>
        <v>24.5349</v>
      </c>
      <c r="E194" s="46">
        <f>25.8334 * CHOOSE(CONTROL!$C$15, $E$9, 100%, $G$9) + CHOOSE(CONTROL!$C$38, 0.0347, 0)</f>
        <v>25.868100000000002</v>
      </c>
      <c r="F194" s="45">
        <f>25.8334 * CHOOSE(CONTROL!$C$15, $E$9, 100%, $G$9) + CHOOSE(CONTROL!$C$38, 0.0256, 0)</f>
        <v>25.859000000000002</v>
      </c>
      <c r="G194" s="14">
        <f>24.5064 * CHOOSE(CONTROL!$C$15, $E$9, 100%, $G$9) + CHOOSE(CONTROL!$C$38, 0.0347, 0)</f>
        <v>24.5411</v>
      </c>
      <c r="H194" s="14">
        <f>24.5064 * CHOOSE(CONTROL!$C$15, $E$9, 100%, $G$9) + CHOOSE(CONTROL!$C$38, 0.0347, 0)</f>
        <v>24.5411</v>
      </c>
      <c r="I194" s="14">
        <f>24.508 * CHOOSE(CONTROL!$C$15, $E$9, 100%, $G$9) + CHOOSE(CONTROL!$C$38, 0.0347, 0)</f>
        <v>24.5427</v>
      </c>
      <c r="J194" s="44">
        <f>153.8224</f>
        <v>153.82239999999999</v>
      </c>
    </row>
    <row r="195" spans="1:10" ht="15" x14ac:dyDescent="0.2">
      <c r="A195" s="13">
        <v>46844</v>
      </c>
      <c r="B195" s="14">
        <f>25.3113 * CHOOSE(CONTROL!$C$15, $E$9, 100%, $G$9) + CHOOSE(CONTROL!$C$38, 0.0256, 0)</f>
        <v>25.3369</v>
      </c>
      <c r="C195" s="14">
        <f>23.827 * CHOOSE(CONTROL!$C$15, $E$9, 100%, $G$9) + CHOOSE(CONTROL!$C$38, 0.0347, 0)</f>
        <v>23.861700000000003</v>
      </c>
      <c r="D195" s="14">
        <f>23.8191 * CHOOSE(CONTROL!$C$15, $E$9, 100%, $G$9) + CHOOSE(CONTROL!$C$38, 0.0347, 0)</f>
        <v>23.8538</v>
      </c>
      <c r="E195" s="46">
        <f>25.155 * CHOOSE(CONTROL!$C$15, $E$9, 100%, $G$9) + CHOOSE(CONTROL!$C$38, 0.0347, 0)</f>
        <v>25.189700000000002</v>
      </c>
      <c r="F195" s="45">
        <f>25.155 * CHOOSE(CONTROL!$C$15, $E$9, 100%, $G$9) + CHOOSE(CONTROL!$C$38, 0.0256, 0)</f>
        <v>25.180600000000002</v>
      </c>
      <c r="G195" s="14">
        <f>23.8254 * CHOOSE(CONTROL!$C$15, $E$9, 100%, $G$9) + CHOOSE(CONTROL!$C$38, 0.0347, 0)</f>
        <v>23.860099999999999</v>
      </c>
      <c r="H195" s="14">
        <f>23.8254 * CHOOSE(CONTROL!$C$15, $E$9, 100%, $G$9) + CHOOSE(CONTROL!$C$38, 0.0347, 0)</f>
        <v>23.860099999999999</v>
      </c>
      <c r="I195" s="14">
        <f>23.827 * CHOOSE(CONTROL!$C$15, $E$9, 100%, $G$9) + CHOOSE(CONTROL!$C$38, 0.0347, 0)</f>
        <v>23.861700000000003</v>
      </c>
      <c r="J195" s="44">
        <f>164.1468</f>
        <v>164.14680000000001</v>
      </c>
    </row>
    <row r="196" spans="1:10" ht="15" x14ac:dyDescent="0.2">
      <c r="A196" s="13">
        <v>46874</v>
      </c>
      <c r="B196" s="14">
        <f>24.5991 * CHOOSE(CONTROL!$C$15, $E$9, 100%, $G$9) + CHOOSE(CONTROL!$C$38, 0.0278, 0)</f>
        <v>24.626899999999999</v>
      </c>
      <c r="C196" s="14">
        <f>23.1121 * CHOOSE(CONTROL!$C$15, $E$9, 100%, $G$9) + CHOOSE(CONTROL!$C$38, 0.0369, 0)</f>
        <v>23.149000000000001</v>
      </c>
      <c r="D196" s="14">
        <f>23.1042 * CHOOSE(CONTROL!$C$15, $E$9, 100%, $G$9) + CHOOSE(CONTROL!$C$38, 0.0369, 0)</f>
        <v>23.141099999999998</v>
      </c>
      <c r="E196" s="46">
        <f>24.4429 * CHOOSE(CONTROL!$C$15, $E$9, 100%, $G$9) + CHOOSE(CONTROL!$C$38, 0.0369, 0)</f>
        <v>24.479800000000001</v>
      </c>
      <c r="F196" s="45">
        <f>24.4429 * CHOOSE(CONTROL!$C$15, $E$9, 100%, $G$9) + CHOOSE(CONTROL!$C$38, 0.0278, 0)</f>
        <v>24.470700000000001</v>
      </c>
      <c r="G196" s="14">
        <f>23.1105 * CHOOSE(CONTROL!$C$15, $E$9, 100%, $G$9) + CHOOSE(CONTROL!$C$38, 0.0369, 0)</f>
        <v>23.147399999999998</v>
      </c>
      <c r="H196" s="14">
        <f>23.1105 * CHOOSE(CONTROL!$C$15, $E$9, 100%, $G$9) + CHOOSE(CONTROL!$C$38, 0.0369, 0)</f>
        <v>23.147399999999998</v>
      </c>
      <c r="I196" s="14">
        <f>23.1121 * CHOOSE(CONTROL!$C$15, $E$9, 100%, $G$9) + CHOOSE(CONTROL!$C$38, 0.0369, 0)</f>
        <v>23.149000000000001</v>
      </c>
      <c r="J196" s="44">
        <f>170.0047</f>
        <v>170.00470000000001</v>
      </c>
    </row>
    <row r="197" spans="1:10" ht="15" x14ac:dyDescent="0.2">
      <c r="A197" s="13">
        <v>46905</v>
      </c>
      <c r="B197" s="14">
        <f>24.1125 * CHOOSE(CONTROL!$C$15, $E$9, 100%, $G$9) + CHOOSE(CONTROL!$C$38, 0.0278, 0)</f>
        <v>24.1403</v>
      </c>
      <c r="C197" s="14">
        <f>22.6227 * CHOOSE(CONTROL!$C$15, $E$9, 100%, $G$9) + CHOOSE(CONTROL!$C$38, 0.0369, 0)</f>
        <v>22.659599999999998</v>
      </c>
      <c r="D197" s="14">
        <f>22.6149 * CHOOSE(CONTROL!$C$15, $E$9, 100%, $G$9) + CHOOSE(CONTROL!$C$38, 0.0369, 0)</f>
        <v>22.651799999999998</v>
      </c>
      <c r="E197" s="46">
        <f>23.9562 * CHOOSE(CONTROL!$C$15, $E$9, 100%, $G$9) + CHOOSE(CONTROL!$C$38, 0.0369, 0)</f>
        <v>23.993099999999998</v>
      </c>
      <c r="F197" s="45">
        <f>23.9562 * CHOOSE(CONTROL!$C$15, $E$9, 100%, $G$9) + CHOOSE(CONTROL!$C$38, 0.0278, 0)</f>
        <v>23.983999999999998</v>
      </c>
      <c r="G197" s="14">
        <f>22.6211 * CHOOSE(CONTROL!$C$15, $E$9, 100%, $G$9) + CHOOSE(CONTROL!$C$38, 0.0369, 0)</f>
        <v>22.657999999999998</v>
      </c>
      <c r="H197" s="14">
        <f>22.6211 * CHOOSE(CONTROL!$C$15, $E$9, 100%, $G$9) + CHOOSE(CONTROL!$C$38, 0.0369, 0)</f>
        <v>22.657999999999998</v>
      </c>
      <c r="I197" s="14">
        <f>22.6227 * CHOOSE(CONTROL!$C$15, $E$9, 100%, $G$9) + CHOOSE(CONTROL!$C$38, 0.0369, 0)</f>
        <v>22.659599999999998</v>
      </c>
      <c r="J197" s="44">
        <f>172.8095</f>
        <v>172.80950000000001</v>
      </c>
    </row>
    <row r="198" spans="1:10" ht="15" x14ac:dyDescent="0.2">
      <c r="A198" s="13">
        <v>46935</v>
      </c>
      <c r="B198" s="14">
        <f>23.8544 * CHOOSE(CONTROL!$C$15, $E$9, 100%, $G$9) + CHOOSE(CONTROL!$C$38, 0.0278, 0)</f>
        <v>23.882199999999997</v>
      </c>
      <c r="C198" s="14">
        <f>22.3618 * CHOOSE(CONTROL!$C$15, $E$9, 100%, $G$9) + CHOOSE(CONTROL!$C$38, 0.0369, 0)</f>
        <v>22.398699999999998</v>
      </c>
      <c r="D198" s="14">
        <f>22.354 * CHOOSE(CONTROL!$C$15, $E$9, 100%, $G$9) + CHOOSE(CONTROL!$C$38, 0.0369, 0)</f>
        <v>22.390899999999998</v>
      </c>
      <c r="E198" s="46">
        <f>23.6981 * CHOOSE(CONTROL!$C$15, $E$9, 100%, $G$9) + CHOOSE(CONTROL!$C$38, 0.0369, 0)</f>
        <v>23.734999999999999</v>
      </c>
      <c r="F198" s="45">
        <f>23.6981 * CHOOSE(CONTROL!$C$15, $E$9, 100%, $G$9) + CHOOSE(CONTROL!$C$38, 0.0278, 0)</f>
        <v>23.725899999999999</v>
      </c>
      <c r="G198" s="14">
        <f>22.3602 * CHOOSE(CONTROL!$C$15, $E$9, 100%, $G$9) + CHOOSE(CONTROL!$C$38, 0.0369, 0)</f>
        <v>22.397099999999998</v>
      </c>
      <c r="H198" s="14">
        <f>22.3602 * CHOOSE(CONTROL!$C$15, $E$9, 100%, $G$9) + CHOOSE(CONTROL!$C$38, 0.0369, 0)</f>
        <v>22.397099999999998</v>
      </c>
      <c r="I198" s="14">
        <f>22.3618 * CHOOSE(CONTROL!$C$15, $E$9, 100%, $G$9) + CHOOSE(CONTROL!$C$38, 0.0369, 0)</f>
        <v>22.398699999999998</v>
      </c>
      <c r="J198" s="44">
        <f>172.3556</f>
        <v>172.35560000000001</v>
      </c>
    </row>
    <row r="199" spans="1:10" ht="15" x14ac:dyDescent="0.2">
      <c r="A199" s="13">
        <v>46966</v>
      </c>
      <c r="B199" s="14">
        <f>24.0538 * CHOOSE(CONTROL!$C$15, $E$9, 100%, $G$9) + CHOOSE(CONTROL!$C$38, 0.0278, 0)</f>
        <v>24.081599999999998</v>
      </c>
      <c r="C199" s="14">
        <f>22.5585 * CHOOSE(CONTROL!$C$15, $E$9, 100%, $G$9) + CHOOSE(CONTROL!$C$38, 0.0369, 0)</f>
        <v>22.595399999999998</v>
      </c>
      <c r="D199" s="14">
        <f>22.5507 * CHOOSE(CONTROL!$C$15, $E$9, 100%, $G$9) + CHOOSE(CONTROL!$C$38, 0.0369, 0)</f>
        <v>22.587599999999998</v>
      </c>
      <c r="E199" s="46">
        <f>23.8976 * CHOOSE(CONTROL!$C$15, $E$9, 100%, $G$9) + CHOOSE(CONTROL!$C$38, 0.0369, 0)</f>
        <v>23.9345</v>
      </c>
      <c r="F199" s="45">
        <f>23.8976 * CHOOSE(CONTROL!$C$15, $E$9, 100%, $G$9) + CHOOSE(CONTROL!$C$38, 0.0278, 0)</f>
        <v>23.9254</v>
      </c>
      <c r="G199" s="14">
        <f>22.5569 * CHOOSE(CONTROL!$C$15, $E$9, 100%, $G$9) + CHOOSE(CONTROL!$C$38, 0.0369, 0)</f>
        <v>22.593799999999998</v>
      </c>
      <c r="H199" s="14">
        <f>22.5569 * CHOOSE(CONTROL!$C$15, $E$9, 100%, $G$9) + CHOOSE(CONTROL!$C$38, 0.0369, 0)</f>
        <v>22.593799999999998</v>
      </c>
      <c r="I199" s="14">
        <f>22.5585 * CHOOSE(CONTROL!$C$15, $E$9, 100%, $G$9) + CHOOSE(CONTROL!$C$38, 0.0369, 0)</f>
        <v>22.595399999999998</v>
      </c>
      <c r="J199" s="44">
        <f>168.69</f>
        <v>168.69</v>
      </c>
    </row>
    <row r="200" spans="1:10" ht="15" x14ac:dyDescent="0.2">
      <c r="A200" s="13">
        <v>46997</v>
      </c>
      <c r="B200" s="14">
        <f>24.5147 * CHOOSE(CONTROL!$C$15, $E$9, 100%, $G$9) + CHOOSE(CONTROL!$C$38, 0.0278, 0)</f>
        <v>24.5425</v>
      </c>
      <c r="C200" s="14">
        <f>23.0166 * CHOOSE(CONTROL!$C$15, $E$9, 100%, $G$9) + CHOOSE(CONTROL!$C$38, 0.0369, 0)</f>
        <v>23.0535</v>
      </c>
      <c r="D200" s="14">
        <f>23.0088 * CHOOSE(CONTROL!$C$15, $E$9, 100%, $G$9) + CHOOSE(CONTROL!$C$38, 0.0369, 0)</f>
        <v>23.0457</v>
      </c>
      <c r="E200" s="46">
        <f>24.3584 * CHOOSE(CONTROL!$C$15, $E$9, 100%, $G$9) + CHOOSE(CONTROL!$C$38, 0.0369, 0)</f>
        <v>24.395299999999999</v>
      </c>
      <c r="F200" s="45">
        <f>24.3584 * CHOOSE(CONTROL!$C$15, $E$9, 100%, $G$9) + CHOOSE(CONTROL!$C$38, 0.0278, 0)</f>
        <v>24.386199999999999</v>
      </c>
      <c r="G200" s="14">
        <f>23.0151 * CHOOSE(CONTROL!$C$15, $E$9, 100%, $G$9) + CHOOSE(CONTROL!$C$38, 0.0369, 0)</f>
        <v>23.052</v>
      </c>
      <c r="H200" s="14">
        <f>23.0151 * CHOOSE(CONTROL!$C$15, $E$9, 100%, $G$9) + CHOOSE(CONTROL!$C$38, 0.0369, 0)</f>
        <v>23.052</v>
      </c>
      <c r="I200" s="14">
        <f>23.0166 * CHOOSE(CONTROL!$C$15, $E$9, 100%, $G$9) + CHOOSE(CONTROL!$C$38, 0.0369, 0)</f>
        <v>23.0535</v>
      </c>
      <c r="J200" s="44">
        <f>163.419</f>
        <v>163.41900000000001</v>
      </c>
    </row>
    <row r="201" spans="1:10" ht="15" x14ac:dyDescent="0.2">
      <c r="A201" s="13">
        <v>47027</v>
      </c>
      <c r="B201" s="14">
        <f>24.9102 * CHOOSE(CONTROL!$C$15, $E$9, 100%, $G$9) + CHOOSE(CONTROL!$C$38, 0.0256, 0)</f>
        <v>24.9358</v>
      </c>
      <c r="C201" s="14">
        <f>23.4094 * CHOOSE(CONTROL!$C$15, $E$9, 100%, $G$9) + CHOOSE(CONTROL!$C$38, 0.0347, 0)</f>
        <v>23.444100000000002</v>
      </c>
      <c r="D201" s="14">
        <f>23.4015 * CHOOSE(CONTROL!$C$15, $E$9, 100%, $G$9) + CHOOSE(CONTROL!$C$38, 0.0347, 0)</f>
        <v>23.436199999999999</v>
      </c>
      <c r="E201" s="46">
        <f>24.7539 * CHOOSE(CONTROL!$C$15, $E$9, 100%, $G$9) + CHOOSE(CONTROL!$C$38, 0.0347, 0)</f>
        <v>24.788600000000002</v>
      </c>
      <c r="F201" s="45">
        <f>24.7539 * CHOOSE(CONTROL!$C$15, $E$9, 100%, $G$9) + CHOOSE(CONTROL!$C$38, 0.0256, 0)</f>
        <v>24.779500000000002</v>
      </c>
      <c r="G201" s="14">
        <f>23.4078 * CHOOSE(CONTROL!$C$15, $E$9, 100%, $G$9) + CHOOSE(CONTROL!$C$38, 0.0347, 0)</f>
        <v>23.442500000000003</v>
      </c>
      <c r="H201" s="14">
        <f>23.4078 * CHOOSE(CONTROL!$C$15, $E$9, 100%, $G$9) + CHOOSE(CONTROL!$C$38, 0.0347, 0)</f>
        <v>23.442500000000003</v>
      </c>
      <c r="I201" s="14">
        <f>23.4094 * CHOOSE(CONTROL!$C$15, $E$9, 100%, $G$9) + CHOOSE(CONTROL!$C$38, 0.0347, 0)</f>
        <v>23.444100000000002</v>
      </c>
      <c r="J201" s="44">
        <f>158.0927</f>
        <v>158.09270000000001</v>
      </c>
    </row>
    <row r="202" spans="1:10" ht="15" x14ac:dyDescent="0.2">
      <c r="A202" s="13">
        <v>47058</v>
      </c>
      <c r="B202" s="14">
        <f>25.2498 * CHOOSE(CONTROL!$C$15, $E$9, 100%, $G$9) + CHOOSE(CONTROL!$C$38, 0.0256, 0)</f>
        <v>25.275400000000001</v>
      </c>
      <c r="C202" s="14">
        <f>23.7462 * CHOOSE(CONTROL!$C$15, $E$9, 100%, $G$9) + CHOOSE(CONTROL!$C$38, 0.0347, 0)</f>
        <v>23.780900000000003</v>
      </c>
      <c r="D202" s="14">
        <f>23.7383 * CHOOSE(CONTROL!$C$15, $E$9, 100%, $G$9) + CHOOSE(CONTROL!$C$38, 0.0347, 0)</f>
        <v>23.773</v>
      </c>
      <c r="E202" s="46">
        <f>25.0935 * CHOOSE(CONTROL!$C$15, $E$9, 100%, $G$9) + CHOOSE(CONTROL!$C$38, 0.0347, 0)</f>
        <v>25.1282</v>
      </c>
      <c r="F202" s="45">
        <f>25.0935 * CHOOSE(CONTROL!$C$15, $E$9, 100%, $G$9) + CHOOSE(CONTROL!$C$38, 0.0256, 0)</f>
        <v>25.1191</v>
      </c>
      <c r="G202" s="14">
        <f>23.7446 * CHOOSE(CONTROL!$C$15, $E$9, 100%, $G$9) + CHOOSE(CONTROL!$C$38, 0.0347, 0)</f>
        <v>23.779299999999999</v>
      </c>
      <c r="H202" s="14">
        <f>23.7446 * CHOOSE(CONTROL!$C$15, $E$9, 100%, $G$9) + CHOOSE(CONTROL!$C$38, 0.0347, 0)</f>
        <v>23.779299999999999</v>
      </c>
      <c r="I202" s="14">
        <f>23.7462 * CHOOSE(CONTROL!$C$15, $E$9, 100%, $G$9) + CHOOSE(CONTROL!$C$38, 0.0347, 0)</f>
        <v>23.780900000000003</v>
      </c>
      <c r="J202" s="44">
        <f>157.2896</f>
        <v>157.28960000000001</v>
      </c>
    </row>
    <row r="203" spans="1:10" ht="15" x14ac:dyDescent="0.2">
      <c r="A203" s="13">
        <v>47088</v>
      </c>
      <c r="B203" s="14">
        <f>26.1945 * CHOOSE(CONTROL!$C$15, $E$9, 100%, $G$9) + CHOOSE(CONTROL!$C$38, 0.0256, 0)</f>
        <v>26.220100000000002</v>
      </c>
      <c r="C203" s="14">
        <f>24.6881 * CHOOSE(CONTROL!$C$15, $E$9, 100%, $G$9) + CHOOSE(CONTROL!$C$38, 0.0347, 0)</f>
        <v>24.722799999999999</v>
      </c>
      <c r="D203" s="14">
        <f>24.6803 * CHOOSE(CONTROL!$C$15, $E$9, 100%, $G$9) + CHOOSE(CONTROL!$C$38, 0.0347, 0)</f>
        <v>24.715</v>
      </c>
      <c r="E203" s="46">
        <f>26.0383 * CHOOSE(CONTROL!$C$15, $E$9, 100%, $G$9) + CHOOSE(CONTROL!$C$38, 0.0347, 0)</f>
        <v>26.073</v>
      </c>
      <c r="F203" s="45">
        <f>26.0383 * CHOOSE(CONTROL!$C$15, $E$9, 100%, $G$9) + CHOOSE(CONTROL!$C$38, 0.0256, 0)</f>
        <v>26.0639</v>
      </c>
      <c r="G203" s="14">
        <f>24.6866 * CHOOSE(CONTROL!$C$15, $E$9, 100%, $G$9) + CHOOSE(CONTROL!$C$38, 0.0347, 0)</f>
        <v>24.721299999999999</v>
      </c>
      <c r="H203" s="14">
        <f>24.6866 * CHOOSE(CONTROL!$C$15, $E$9, 100%, $G$9) + CHOOSE(CONTROL!$C$38, 0.0347, 0)</f>
        <v>24.721299999999999</v>
      </c>
      <c r="I203" s="14">
        <f>24.6881 * CHOOSE(CONTROL!$C$15, $E$9, 100%, $G$9) + CHOOSE(CONTROL!$C$38, 0.0347, 0)</f>
        <v>24.722799999999999</v>
      </c>
      <c r="J203" s="44">
        <f>152.9364</f>
        <v>152.93639999999999</v>
      </c>
    </row>
    <row r="204" spans="1:10" ht="15" x14ac:dyDescent="0.2">
      <c r="A204" s="13">
        <v>47119</v>
      </c>
      <c r="B204" s="14">
        <f>26.964 * CHOOSE(CONTROL!$C$15, $E$9, 100%, $G$9) + CHOOSE(CONTROL!$C$38, 0.0256, 0)</f>
        <v>26.989599999999999</v>
      </c>
      <c r="C204" s="14">
        <f>25.4813 * CHOOSE(CONTROL!$C$15, $E$9, 100%, $G$9) + CHOOSE(CONTROL!$C$38, 0.0347, 0)</f>
        <v>25.516000000000002</v>
      </c>
      <c r="D204" s="14">
        <f>25.4735 * CHOOSE(CONTROL!$C$15, $E$9, 100%, $G$9) + CHOOSE(CONTROL!$C$38, 0.0347, 0)</f>
        <v>25.508200000000002</v>
      </c>
      <c r="E204" s="46">
        <f>26.8077 * CHOOSE(CONTROL!$C$15, $E$9, 100%, $G$9) + CHOOSE(CONTROL!$C$38, 0.0347, 0)</f>
        <v>26.842400000000001</v>
      </c>
      <c r="F204" s="45">
        <f>26.8077 * CHOOSE(CONTROL!$C$15, $E$9, 100%, $G$9) + CHOOSE(CONTROL!$C$38, 0.0256, 0)</f>
        <v>26.833300000000001</v>
      </c>
      <c r="G204" s="14">
        <f>25.4798 * CHOOSE(CONTROL!$C$15, $E$9, 100%, $G$9) + CHOOSE(CONTROL!$C$38, 0.0347, 0)</f>
        <v>25.514500000000002</v>
      </c>
      <c r="H204" s="14">
        <f>25.4798 * CHOOSE(CONTROL!$C$15, $E$9, 100%, $G$9) + CHOOSE(CONTROL!$C$38, 0.0347, 0)</f>
        <v>25.514500000000002</v>
      </c>
      <c r="I204" s="14">
        <f>25.4813 * CHOOSE(CONTROL!$C$15, $E$9, 100%, $G$9) + CHOOSE(CONTROL!$C$38, 0.0347, 0)</f>
        <v>25.516000000000002</v>
      </c>
      <c r="J204" s="44">
        <f>149.6023</f>
        <v>149.60230000000001</v>
      </c>
    </row>
    <row r="205" spans="1:10" ht="15" x14ac:dyDescent="0.2">
      <c r="A205" s="13">
        <v>47150</v>
      </c>
      <c r="B205" s="14">
        <f>27.3507 * CHOOSE(CONTROL!$C$15, $E$9, 100%, $G$9) + CHOOSE(CONTROL!$C$38, 0.0256, 0)</f>
        <v>27.376300000000001</v>
      </c>
      <c r="C205" s="14">
        <f>25.8653 * CHOOSE(CONTROL!$C$15, $E$9, 100%, $G$9) + CHOOSE(CONTROL!$C$38, 0.0347, 0)</f>
        <v>25.900000000000002</v>
      </c>
      <c r="D205" s="14">
        <f>25.8575 * CHOOSE(CONTROL!$C$15, $E$9, 100%, $G$9) + CHOOSE(CONTROL!$C$38, 0.0347, 0)</f>
        <v>25.892200000000003</v>
      </c>
      <c r="E205" s="46">
        <f>27.1945 * CHOOSE(CONTROL!$C$15, $E$9, 100%, $G$9) + CHOOSE(CONTROL!$C$38, 0.0347, 0)</f>
        <v>27.229200000000002</v>
      </c>
      <c r="F205" s="45">
        <f>27.1945 * CHOOSE(CONTROL!$C$15, $E$9, 100%, $G$9) + CHOOSE(CONTROL!$C$38, 0.0256, 0)</f>
        <v>27.220100000000002</v>
      </c>
      <c r="G205" s="14">
        <f>25.8638 * CHOOSE(CONTROL!$C$15, $E$9, 100%, $G$9) + CHOOSE(CONTROL!$C$38, 0.0347, 0)</f>
        <v>25.898500000000002</v>
      </c>
      <c r="H205" s="14">
        <f>25.8638 * CHOOSE(CONTROL!$C$15, $E$9, 100%, $G$9) + CHOOSE(CONTROL!$C$38, 0.0347, 0)</f>
        <v>25.898500000000002</v>
      </c>
      <c r="I205" s="14">
        <f>25.8653 * CHOOSE(CONTROL!$C$15, $E$9, 100%, $G$9) + CHOOSE(CONTROL!$C$38, 0.0347, 0)</f>
        <v>25.900000000000002</v>
      </c>
      <c r="J205" s="44">
        <f>149.4937</f>
        <v>149.49369999999999</v>
      </c>
    </row>
    <row r="206" spans="1:10" ht="15" x14ac:dyDescent="0.2">
      <c r="A206" s="13">
        <v>47178</v>
      </c>
      <c r="B206" s="14">
        <f>26.6346 * CHOOSE(CONTROL!$C$15, $E$9, 100%, $G$9) + CHOOSE(CONTROL!$C$38, 0.0256, 0)</f>
        <v>26.6602</v>
      </c>
      <c r="C206" s="14">
        <f>25.1465 * CHOOSE(CONTROL!$C$15, $E$9, 100%, $G$9) + CHOOSE(CONTROL!$C$38, 0.0347, 0)</f>
        <v>25.1812</v>
      </c>
      <c r="D206" s="14">
        <f>25.1386 * CHOOSE(CONTROL!$C$15, $E$9, 100%, $G$9) + CHOOSE(CONTROL!$C$38, 0.0347, 0)</f>
        <v>25.173300000000001</v>
      </c>
      <c r="E206" s="46">
        <f>26.4783 * CHOOSE(CONTROL!$C$15, $E$9, 100%, $G$9) + CHOOSE(CONTROL!$C$38, 0.0347, 0)</f>
        <v>26.513000000000002</v>
      </c>
      <c r="F206" s="45">
        <f>26.4783 * CHOOSE(CONTROL!$C$15, $E$9, 100%, $G$9) + CHOOSE(CONTROL!$C$38, 0.0256, 0)</f>
        <v>26.503900000000002</v>
      </c>
      <c r="G206" s="14">
        <f>25.1449 * CHOOSE(CONTROL!$C$15, $E$9, 100%, $G$9) + CHOOSE(CONTROL!$C$38, 0.0347, 0)</f>
        <v>25.179600000000001</v>
      </c>
      <c r="H206" s="14">
        <f>25.1449 * CHOOSE(CONTROL!$C$15, $E$9, 100%, $G$9) + CHOOSE(CONTROL!$C$38, 0.0347, 0)</f>
        <v>25.179600000000001</v>
      </c>
      <c r="I206" s="14">
        <f>25.1465 * CHOOSE(CONTROL!$C$15, $E$9, 100%, $G$9) + CHOOSE(CONTROL!$C$38, 0.0347, 0)</f>
        <v>25.1812</v>
      </c>
      <c r="J206" s="44">
        <f>157.6971</f>
        <v>157.69710000000001</v>
      </c>
    </row>
    <row r="207" spans="1:10" ht="15" x14ac:dyDescent="0.2">
      <c r="A207" s="13">
        <v>47209</v>
      </c>
      <c r="B207" s="14">
        <f>25.9393 * CHOOSE(CONTROL!$C$15, $E$9, 100%, $G$9) + CHOOSE(CONTROL!$C$38, 0.0256, 0)</f>
        <v>25.9649</v>
      </c>
      <c r="C207" s="14">
        <f>24.4485 * CHOOSE(CONTROL!$C$15, $E$9, 100%, $G$9) + CHOOSE(CONTROL!$C$38, 0.0347, 0)</f>
        <v>24.4832</v>
      </c>
      <c r="D207" s="14">
        <f>24.4407 * CHOOSE(CONTROL!$C$15, $E$9, 100%, $G$9) + CHOOSE(CONTROL!$C$38, 0.0347, 0)</f>
        <v>24.4754</v>
      </c>
      <c r="E207" s="46">
        <f>25.7831 * CHOOSE(CONTROL!$C$15, $E$9, 100%, $G$9) + CHOOSE(CONTROL!$C$38, 0.0347, 0)</f>
        <v>25.817800000000002</v>
      </c>
      <c r="F207" s="45">
        <f>25.7831 * CHOOSE(CONTROL!$C$15, $E$9, 100%, $G$9) + CHOOSE(CONTROL!$C$38, 0.0256, 0)</f>
        <v>25.808700000000002</v>
      </c>
      <c r="G207" s="14">
        <f>24.4469 * CHOOSE(CONTROL!$C$15, $E$9, 100%, $G$9) + CHOOSE(CONTROL!$C$38, 0.0347, 0)</f>
        <v>24.4816</v>
      </c>
      <c r="H207" s="14">
        <f>24.4469 * CHOOSE(CONTROL!$C$15, $E$9, 100%, $G$9) + CHOOSE(CONTROL!$C$38, 0.0347, 0)</f>
        <v>24.4816</v>
      </c>
      <c r="I207" s="14">
        <f>24.4485 * CHOOSE(CONTROL!$C$15, $E$9, 100%, $G$9) + CHOOSE(CONTROL!$C$38, 0.0347, 0)</f>
        <v>24.4832</v>
      </c>
      <c r="J207" s="44">
        <f>168.2814</f>
        <v>168.28139999999999</v>
      </c>
    </row>
    <row r="208" spans="1:10" ht="15" x14ac:dyDescent="0.2">
      <c r="A208" s="13">
        <v>47239</v>
      </c>
      <c r="B208" s="14">
        <f>25.2094 * CHOOSE(CONTROL!$C$15, $E$9, 100%, $G$9) + CHOOSE(CONTROL!$C$38, 0.0278, 0)</f>
        <v>25.237199999999998</v>
      </c>
      <c r="C208" s="14">
        <f>23.7158 * CHOOSE(CONTROL!$C$15, $E$9, 100%, $G$9) + CHOOSE(CONTROL!$C$38, 0.0369, 0)</f>
        <v>23.752700000000001</v>
      </c>
      <c r="D208" s="14">
        <f>23.708 * CHOOSE(CONTROL!$C$15, $E$9, 100%, $G$9) + CHOOSE(CONTROL!$C$38, 0.0369, 0)</f>
        <v>23.744899999999998</v>
      </c>
      <c r="E208" s="46">
        <f>25.0531 * CHOOSE(CONTROL!$C$15, $E$9, 100%, $G$9) + CHOOSE(CONTROL!$C$38, 0.0369, 0)</f>
        <v>25.09</v>
      </c>
      <c r="F208" s="45">
        <f>25.0531 * CHOOSE(CONTROL!$C$15, $E$9, 100%, $G$9) + CHOOSE(CONTROL!$C$38, 0.0278, 0)</f>
        <v>25.0809</v>
      </c>
      <c r="G208" s="14">
        <f>23.7142 * CHOOSE(CONTROL!$C$15, $E$9, 100%, $G$9) + CHOOSE(CONTROL!$C$38, 0.0369, 0)</f>
        <v>23.751100000000001</v>
      </c>
      <c r="H208" s="14">
        <f>23.7142 * CHOOSE(CONTROL!$C$15, $E$9, 100%, $G$9) + CHOOSE(CONTROL!$C$38, 0.0369, 0)</f>
        <v>23.751100000000001</v>
      </c>
      <c r="I208" s="14">
        <f>23.7158 * CHOOSE(CONTROL!$C$15, $E$9, 100%, $G$9) + CHOOSE(CONTROL!$C$38, 0.0369, 0)</f>
        <v>23.752700000000001</v>
      </c>
      <c r="J208" s="44">
        <f>174.2869</f>
        <v>174.2869</v>
      </c>
    </row>
    <row r="209" spans="1:10" ht="15" x14ac:dyDescent="0.2">
      <c r="A209" s="13">
        <v>47270</v>
      </c>
      <c r="B209" s="14">
        <f>24.7106 * CHOOSE(CONTROL!$C$15, $E$9, 100%, $G$9) + CHOOSE(CONTROL!$C$38, 0.0278, 0)</f>
        <v>24.738399999999999</v>
      </c>
      <c r="C209" s="14">
        <f>23.2142 * CHOOSE(CONTROL!$C$15, $E$9, 100%, $G$9) + CHOOSE(CONTROL!$C$38, 0.0369, 0)</f>
        <v>23.251100000000001</v>
      </c>
      <c r="D209" s="14">
        <f>23.2064 * CHOOSE(CONTROL!$C$15, $E$9, 100%, $G$9) + CHOOSE(CONTROL!$C$38, 0.0369, 0)</f>
        <v>23.243299999999998</v>
      </c>
      <c r="E209" s="46">
        <f>24.5543 * CHOOSE(CONTROL!$C$15, $E$9, 100%, $G$9) + CHOOSE(CONTROL!$C$38, 0.0369, 0)</f>
        <v>24.591200000000001</v>
      </c>
      <c r="F209" s="45">
        <f>24.5543 * CHOOSE(CONTROL!$C$15, $E$9, 100%, $G$9) + CHOOSE(CONTROL!$C$38, 0.0278, 0)</f>
        <v>24.582100000000001</v>
      </c>
      <c r="G209" s="14">
        <f>23.2127 * CHOOSE(CONTROL!$C$15, $E$9, 100%, $G$9) + CHOOSE(CONTROL!$C$38, 0.0369, 0)</f>
        <v>23.249600000000001</v>
      </c>
      <c r="H209" s="14">
        <f>23.2127 * CHOOSE(CONTROL!$C$15, $E$9, 100%, $G$9) + CHOOSE(CONTROL!$C$38, 0.0369, 0)</f>
        <v>23.249600000000001</v>
      </c>
      <c r="I209" s="14">
        <f>23.2142 * CHOOSE(CONTROL!$C$15, $E$9, 100%, $G$9) + CHOOSE(CONTROL!$C$38, 0.0369, 0)</f>
        <v>23.251100000000001</v>
      </c>
      <c r="J209" s="44">
        <f>177.1624</f>
        <v>177.16239999999999</v>
      </c>
    </row>
    <row r="210" spans="1:10" ht="15" x14ac:dyDescent="0.2">
      <c r="A210" s="13">
        <v>47300</v>
      </c>
      <c r="B210" s="14">
        <f>24.446 * CHOOSE(CONTROL!$C$15, $E$9, 100%, $G$9) + CHOOSE(CONTROL!$C$38, 0.0278, 0)</f>
        <v>24.473800000000001</v>
      </c>
      <c r="C210" s="14">
        <f>22.9469 * CHOOSE(CONTROL!$C$15, $E$9, 100%, $G$9) + CHOOSE(CONTROL!$C$38, 0.0369, 0)</f>
        <v>22.983799999999999</v>
      </c>
      <c r="D210" s="14">
        <f>22.9391 * CHOOSE(CONTROL!$C$15, $E$9, 100%, $G$9) + CHOOSE(CONTROL!$C$38, 0.0369, 0)</f>
        <v>22.975999999999999</v>
      </c>
      <c r="E210" s="46">
        <f>24.2898 * CHOOSE(CONTROL!$C$15, $E$9, 100%, $G$9) + CHOOSE(CONTROL!$C$38, 0.0369, 0)</f>
        <v>24.326699999999999</v>
      </c>
      <c r="F210" s="45">
        <f>24.2898 * CHOOSE(CONTROL!$C$15, $E$9, 100%, $G$9) + CHOOSE(CONTROL!$C$38, 0.0278, 0)</f>
        <v>24.317599999999999</v>
      </c>
      <c r="G210" s="14">
        <f>22.9453 * CHOOSE(CONTROL!$C$15, $E$9, 100%, $G$9) + CHOOSE(CONTROL!$C$38, 0.0369, 0)</f>
        <v>22.982199999999999</v>
      </c>
      <c r="H210" s="14">
        <f>22.9453 * CHOOSE(CONTROL!$C$15, $E$9, 100%, $G$9) + CHOOSE(CONTROL!$C$38, 0.0369, 0)</f>
        <v>22.982199999999999</v>
      </c>
      <c r="I210" s="14">
        <f>22.9469 * CHOOSE(CONTROL!$C$15, $E$9, 100%, $G$9) + CHOOSE(CONTROL!$C$38, 0.0369, 0)</f>
        <v>22.983799999999999</v>
      </c>
      <c r="J210" s="44">
        <f>176.697</f>
        <v>176.697</v>
      </c>
    </row>
    <row r="211" spans="1:10" ht="15" x14ac:dyDescent="0.2">
      <c r="A211" s="13">
        <v>47331</v>
      </c>
      <c r="B211" s="14">
        <f>24.6505 * CHOOSE(CONTROL!$C$15, $E$9, 100%, $G$9) + CHOOSE(CONTROL!$C$38, 0.0278, 0)</f>
        <v>24.6783</v>
      </c>
      <c r="C211" s="14">
        <f>23.1486 * CHOOSE(CONTROL!$C$15, $E$9, 100%, $G$9) + CHOOSE(CONTROL!$C$38, 0.0369, 0)</f>
        <v>23.185499999999998</v>
      </c>
      <c r="D211" s="14">
        <f>23.1408 * CHOOSE(CONTROL!$C$15, $E$9, 100%, $G$9) + CHOOSE(CONTROL!$C$38, 0.0369, 0)</f>
        <v>23.177699999999998</v>
      </c>
      <c r="E211" s="46">
        <f>24.4942 * CHOOSE(CONTROL!$C$15, $E$9, 100%, $G$9) + CHOOSE(CONTROL!$C$38, 0.0369, 0)</f>
        <v>24.531099999999999</v>
      </c>
      <c r="F211" s="45">
        <f>24.4942 * CHOOSE(CONTROL!$C$15, $E$9, 100%, $G$9) + CHOOSE(CONTROL!$C$38, 0.0278, 0)</f>
        <v>24.521999999999998</v>
      </c>
      <c r="G211" s="14">
        <f>23.147 * CHOOSE(CONTROL!$C$15, $E$9, 100%, $G$9) + CHOOSE(CONTROL!$C$38, 0.0369, 0)</f>
        <v>23.183899999999998</v>
      </c>
      <c r="H211" s="14">
        <f>23.147 * CHOOSE(CONTROL!$C$15, $E$9, 100%, $G$9) + CHOOSE(CONTROL!$C$38, 0.0369, 0)</f>
        <v>23.183899999999998</v>
      </c>
      <c r="I211" s="14">
        <f>23.1486 * CHOOSE(CONTROL!$C$15, $E$9, 100%, $G$9) + CHOOSE(CONTROL!$C$38, 0.0369, 0)</f>
        <v>23.185499999999998</v>
      </c>
      <c r="J211" s="44">
        <f>172.9391</f>
        <v>172.9391</v>
      </c>
    </row>
    <row r="212" spans="1:10" ht="15" x14ac:dyDescent="0.2">
      <c r="A212" s="13">
        <v>47362</v>
      </c>
      <c r="B212" s="14">
        <f>25.1229 * CHOOSE(CONTROL!$C$15, $E$9, 100%, $G$9) + CHOOSE(CONTROL!$C$38, 0.0278, 0)</f>
        <v>25.150700000000001</v>
      </c>
      <c r="C212" s="14">
        <f>23.6183 * CHOOSE(CONTROL!$C$15, $E$9, 100%, $G$9) + CHOOSE(CONTROL!$C$38, 0.0369, 0)</f>
        <v>23.655200000000001</v>
      </c>
      <c r="D212" s="14">
        <f>23.6104 * CHOOSE(CONTROL!$C$15, $E$9, 100%, $G$9) + CHOOSE(CONTROL!$C$38, 0.0369, 0)</f>
        <v>23.647299999999998</v>
      </c>
      <c r="E212" s="46">
        <f>24.9667 * CHOOSE(CONTROL!$C$15, $E$9, 100%, $G$9) + CHOOSE(CONTROL!$C$38, 0.0369, 0)</f>
        <v>25.003599999999999</v>
      </c>
      <c r="F212" s="45">
        <f>24.9667 * CHOOSE(CONTROL!$C$15, $E$9, 100%, $G$9) + CHOOSE(CONTROL!$C$38, 0.0278, 0)</f>
        <v>24.994499999999999</v>
      </c>
      <c r="G212" s="14">
        <f>23.6167 * CHOOSE(CONTROL!$C$15, $E$9, 100%, $G$9) + CHOOSE(CONTROL!$C$38, 0.0369, 0)</f>
        <v>23.653600000000001</v>
      </c>
      <c r="H212" s="14">
        <f>23.6167 * CHOOSE(CONTROL!$C$15, $E$9, 100%, $G$9) + CHOOSE(CONTROL!$C$38, 0.0369, 0)</f>
        <v>23.653600000000001</v>
      </c>
      <c r="I212" s="14">
        <f>23.6183 * CHOOSE(CONTROL!$C$15, $E$9, 100%, $G$9) + CHOOSE(CONTROL!$C$38, 0.0369, 0)</f>
        <v>23.655200000000001</v>
      </c>
      <c r="J212" s="44">
        <f>167.5353</f>
        <v>167.53530000000001</v>
      </c>
    </row>
    <row r="213" spans="1:10" ht="15" x14ac:dyDescent="0.2">
      <c r="A213" s="13">
        <v>47392</v>
      </c>
      <c r="B213" s="14">
        <f>25.5283 * CHOOSE(CONTROL!$C$15, $E$9, 100%, $G$9) + CHOOSE(CONTROL!$C$38, 0.0256, 0)</f>
        <v>25.553900000000002</v>
      </c>
      <c r="C213" s="14">
        <f>24.0209 * CHOOSE(CONTROL!$C$15, $E$9, 100%, $G$9) + CHOOSE(CONTROL!$C$38, 0.0347, 0)</f>
        <v>24.055600000000002</v>
      </c>
      <c r="D213" s="14">
        <f>24.0131 * CHOOSE(CONTROL!$C$15, $E$9, 100%, $G$9) + CHOOSE(CONTROL!$C$38, 0.0347, 0)</f>
        <v>24.047800000000002</v>
      </c>
      <c r="E213" s="46">
        <f>25.3721 * CHOOSE(CONTROL!$C$15, $E$9, 100%, $G$9) + CHOOSE(CONTROL!$C$38, 0.0347, 0)</f>
        <v>25.4068</v>
      </c>
      <c r="F213" s="45">
        <f>25.3721 * CHOOSE(CONTROL!$C$15, $E$9, 100%, $G$9) + CHOOSE(CONTROL!$C$38, 0.0256, 0)</f>
        <v>25.3977</v>
      </c>
      <c r="G213" s="14">
        <f>24.0193 * CHOOSE(CONTROL!$C$15, $E$9, 100%, $G$9) + CHOOSE(CONTROL!$C$38, 0.0347, 0)</f>
        <v>24.054000000000002</v>
      </c>
      <c r="H213" s="14">
        <f>24.0193 * CHOOSE(CONTROL!$C$15, $E$9, 100%, $G$9) + CHOOSE(CONTROL!$C$38, 0.0347, 0)</f>
        <v>24.054000000000002</v>
      </c>
      <c r="I213" s="14">
        <f>24.0209 * CHOOSE(CONTROL!$C$15, $E$9, 100%, $G$9) + CHOOSE(CONTROL!$C$38, 0.0347, 0)</f>
        <v>24.055600000000002</v>
      </c>
      <c r="J213" s="44">
        <f>162.0749</f>
        <v>162.07490000000001</v>
      </c>
    </row>
    <row r="214" spans="1:10" ht="15" x14ac:dyDescent="0.2">
      <c r="A214" s="13">
        <v>47423</v>
      </c>
      <c r="B214" s="14">
        <f>25.8764 * CHOOSE(CONTROL!$C$15, $E$9, 100%, $G$9) + CHOOSE(CONTROL!$C$38, 0.0256, 0)</f>
        <v>25.902000000000001</v>
      </c>
      <c r="C214" s="14">
        <f>24.3662 * CHOOSE(CONTROL!$C$15, $E$9, 100%, $G$9) + CHOOSE(CONTROL!$C$38, 0.0347, 0)</f>
        <v>24.4009</v>
      </c>
      <c r="D214" s="14">
        <f>24.3584 * CHOOSE(CONTROL!$C$15, $E$9, 100%, $G$9) + CHOOSE(CONTROL!$C$38, 0.0347, 0)</f>
        <v>24.3931</v>
      </c>
      <c r="E214" s="46">
        <f>25.7202 * CHOOSE(CONTROL!$C$15, $E$9, 100%, $G$9) + CHOOSE(CONTROL!$C$38, 0.0347, 0)</f>
        <v>25.754899999999999</v>
      </c>
      <c r="F214" s="45">
        <f>25.7202 * CHOOSE(CONTROL!$C$15, $E$9, 100%, $G$9) + CHOOSE(CONTROL!$C$38, 0.0256, 0)</f>
        <v>25.745799999999999</v>
      </c>
      <c r="G214" s="14">
        <f>24.3646 * CHOOSE(CONTROL!$C$15, $E$9, 100%, $G$9) + CHOOSE(CONTROL!$C$38, 0.0347, 0)</f>
        <v>24.3993</v>
      </c>
      <c r="H214" s="14">
        <f>24.3646 * CHOOSE(CONTROL!$C$15, $E$9, 100%, $G$9) + CHOOSE(CONTROL!$C$38, 0.0347, 0)</f>
        <v>24.3993</v>
      </c>
      <c r="I214" s="14">
        <f>24.3662 * CHOOSE(CONTROL!$C$15, $E$9, 100%, $G$9) + CHOOSE(CONTROL!$C$38, 0.0347, 0)</f>
        <v>24.4009</v>
      </c>
      <c r="J214" s="44">
        <f>161.2516</f>
        <v>161.2516</v>
      </c>
    </row>
    <row r="215" spans="1:10" ht="15" x14ac:dyDescent="0.2">
      <c r="A215" s="13">
        <v>47453</v>
      </c>
      <c r="B215" s="14">
        <f>26.8448 * CHOOSE(CONTROL!$C$15, $E$9, 100%, $G$9) + CHOOSE(CONTROL!$C$38, 0.0256, 0)</f>
        <v>26.8704</v>
      </c>
      <c r="C215" s="14">
        <f>25.3318 * CHOOSE(CONTROL!$C$15, $E$9, 100%, $G$9) + CHOOSE(CONTROL!$C$38, 0.0347, 0)</f>
        <v>25.366500000000002</v>
      </c>
      <c r="D215" s="14">
        <f>25.324 * CHOOSE(CONTROL!$C$15, $E$9, 100%, $G$9) + CHOOSE(CONTROL!$C$38, 0.0347, 0)</f>
        <v>25.358700000000002</v>
      </c>
      <c r="E215" s="46">
        <f>26.6886 * CHOOSE(CONTROL!$C$15, $E$9, 100%, $G$9) + CHOOSE(CONTROL!$C$38, 0.0347, 0)</f>
        <v>26.723300000000002</v>
      </c>
      <c r="F215" s="45">
        <f>26.6886 * CHOOSE(CONTROL!$C$15, $E$9, 100%, $G$9) + CHOOSE(CONTROL!$C$38, 0.0256, 0)</f>
        <v>26.714200000000002</v>
      </c>
      <c r="G215" s="14">
        <f>25.3302 * CHOOSE(CONTROL!$C$15, $E$9, 100%, $G$9) + CHOOSE(CONTROL!$C$38, 0.0347, 0)</f>
        <v>25.364900000000002</v>
      </c>
      <c r="H215" s="14">
        <f>25.3302 * CHOOSE(CONTROL!$C$15, $E$9, 100%, $G$9) + CHOOSE(CONTROL!$C$38, 0.0347, 0)</f>
        <v>25.364900000000002</v>
      </c>
      <c r="I215" s="14">
        <f>25.3318 * CHOOSE(CONTROL!$C$15, $E$9, 100%, $G$9) + CHOOSE(CONTROL!$C$38, 0.0347, 0)</f>
        <v>25.366500000000002</v>
      </c>
      <c r="J215" s="44">
        <f>156.7887</f>
        <v>156.78870000000001</v>
      </c>
    </row>
    <row r="216" spans="1:10" ht="15" x14ac:dyDescent="0.2">
      <c r="A216" s="13">
        <v>47484</v>
      </c>
      <c r="B216" s="14">
        <f>27.5843 * CHOOSE(CONTROL!$C$15, $E$9, 100%, $G$9) + CHOOSE(CONTROL!$C$38, 0.0256, 0)</f>
        <v>27.6099</v>
      </c>
      <c r="C216" s="14">
        <f>26.0952 * CHOOSE(CONTROL!$C$15, $E$9, 100%, $G$9) + CHOOSE(CONTROL!$C$38, 0.0347, 0)</f>
        <v>26.129899999999999</v>
      </c>
      <c r="D216" s="14">
        <f>26.0874 * CHOOSE(CONTROL!$C$15, $E$9, 100%, $G$9) + CHOOSE(CONTROL!$C$38, 0.0347, 0)</f>
        <v>26.1221</v>
      </c>
      <c r="E216" s="46">
        <f>27.4281 * CHOOSE(CONTROL!$C$15, $E$9, 100%, $G$9) + CHOOSE(CONTROL!$C$38, 0.0347, 0)</f>
        <v>27.462800000000001</v>
      </c>
      <c r="F216" s="45">
        <f>27.4281 * CHOOSE(CONTROL!$C$15, $E$9, 100%, $G$9) + CHOOSE(CONTROL!$C$38, 0.0256, 0)</f>
        <v>27.453700000000001</v>
      </c>
      <c r="G216" s="14">
        <f>26.0936 * CHOOSE(CONTROL!$C$15, $E$9, 100%, $G$9) + CHOOSE(CONTROL!$C$38, 0.0347, 0)</f>
        <v>26.128299999999999</v>
      </c>
      <c r="H216" s="14">
        <f>26.0936 * CHOOSE(CONTROL!$C$15, $E$9, 100%, $G$9) + CHOOSE(CONTROL!$C$38, 0.0347, 0)</f>
        <v>26.128299999999999</v>
      </c>
      <c r="I216" s="14">
        <f>26.0952 * CHOOSE(CONTROL!$C$15, $E$9, 100%, $G$9) + CHOOSE(CONTROL!$C$38, 0.0347, 0)</f>
        <v>26.129899999999999</v>
      </c>
      <c r="J216" s="44">
        <f>153.3705</f>
        <v>153.37049999999999</v>
      </c>
    </row>
    <row r="217" spans="1:10" ht="15" x14ac:dyDescent="0.2">
      <c r="A217" s="13">
        <v>47515</v>
      </c>
      <c r="B217" s="14">
        <f>27.9807 * CHOOSE(CONTROL!$C$15, $E$9, 100%, $G$9) + CHOOSE(CONTROL!$C$38, 0.0256, 0)</f>
        <v>28.0063</v>
      </c>
      <c r="C217" s="14">
        <f>26.4888 * CHOOSE(CONTROL!$C$15, $E$9, 100%, $G$9) + CHOOSE(CONTROL!$C$38, 0.0347, 0)</f>
        <v>26.523500000000002</v>
      </c>
      <c r="D217" s="14">
        <f>26.481 * CHOOSE(CONTROL!$C$15, $E$9, 100%, $G$9) + CHOOSE(CONTROL!$C$38, 0.0347, 0)</f>
        <v>26.515700000000002</v>
      </c>
      <c r="E217" s="46">
        <f>27.8244 * CHOOSE(CONTROL!$C$15, $E$9, 100%, $G$9) + CHOOSE(CONTROL!$C$38, 0.0347, 0)</f>
        <v>27.859100000000002</v>
      </c>
      <c r="F217" s="45">
        <f>27.8244 * CHOOSE(CONTROL!$C$15, $E$9, 100%, $G$9) + CHOOSE(CONTROL!$C$38, 0.0256, 0)</f>
        <v>27.85</v>
      </c>
      <c r="G217" s="14">
        <f>26.4872 * CHOOSE(CONTROL!$C$15, $E$9, 100%, $G$9) + CHOOSE(CONTROL!$C$38, 0.0347, 0)</f>
        <v>26.521900000000002</v>
      </c>
      <c r="H217" s="14">
        <f>26.4872 * CHOOSE(CONTROL!$C$15, $E$9, 100%, $G$9) + CHOOSE(CONTROL!$C$38, 0.0347, 0)</f>
        <v>26.521900000000002</v>
      </c>
      <c r="I217" s="14">
        <f>26.4888 * CHOOSE(CONTROL!$C$15, $E$9, 100%, $G$9) + CHOOSE(CONTROL!$C$38, 0.0347, 0)</f>
        <v>26.523500000000002</v>
      </c>
      <c r="J217" s="44">
        <f>153.2592</f>
        <v>153.25919999999999</v>
      </c>
    </row>
    <row r="218" spans="1:10" ht="15" x14ac:dyDescent="0.2">
      <c r="A218" s="13">
        <v>47543</v>
      </c>
      <c r="B218" s="14">
        <f>27.2465 * CHOOSE(CONTROL!$C$15, $E$9, 100%, $G$9) + CHOOSE(CONTROL!$C$38, 0.0256, 0)</f>
        <v>27.272100000000002</v>
      </c>
      <c r="C218" s="14">
        <f>25.7519 * CHOOSE(CONTROL!$C$15, $E$9, 100%, $G$9) + CHOOSE(CONTROL!$C$38, 0.0347, 0)</f>
        <v>25.7866</v>
      </c>
      <c r="D218" s="14">
        <f>25.7441 * CHOOSE(CONTROL!$C$15, $E$9, 100%, $G$9) + CHOOSE(CONTROL!$C$38, 0.0347, 0)</f>
        <v>25.7788</v>
      </c>
      <c r="E218" s="46">
        <f>27.0903 * CHOOSE(CONTROL!$C$15, $E$9, 100%, $G$9) + CHOOSE(CONTROL!$C$38, 0.0347, 0)</f>
        <v>27.125</v>
      </c>
      <c r="F218" s="45">
        <f>27.0903 * CHOOSE(CONTROL!$C$15, $E$9, 100%, $G$9) + CHOOSE(CONTROL!$C$38, 0.0256, 0)</f>
        <v>27.1159</v>
      </c>
      <c r="G218" s="14">
        <f>25.7503 * CHOOSE(CONTROL!$C$15, $E$9, 100%, $G$9) + CHOOSE(CONTROL!$C$38, 0.0347, 0)</f>
        <v>25.785</v>
      </c>
      <c r="H218" s="14">
        <f>25.7503 * CHOOSE(CONTROL!$C$15, $E$9, 100%, $G$9) + CHOOSE(CONTROL!$C$38, 0.0347, 0)</f>
        <v>25.785</v>
      </c>
      <c r="I218" s="14">
        <f>25.7519 * CHOOSE(CONTROL!$C$15, $E$9, 100%, $G$9) + CHOOSE(CONTROL!$C$38, 0.0347, 0)</f>
        <v>25.7866</v>
      </c>
      <c r="J218" s="44">
        <f>161.6692</f>
        <v>161.66919999999999</v>
      </c>
    </row>
    <row r="219" spans="1:10" ht="15" x14ac:dyDescent="0.2">
      <c r="A219" s="13">
        <v>47574</v>
      </c>
      <c r="B219" s="14">
        <f>26.5338 * CHOOSE(CONTROL!$C$15, $E$9, 100%, $G$9) + CHOOSE(CONTROL!$C$38, 0.0256, 0)</f>
        <v>26.5594</v>
      </c>
      <c r="C219" s="14">
        <f>25.0364 * CHOOSE(CONTROL!$C$15, $E$9, 100%, $G$9) + CHOOSE(CONTROL!$C$38, 0.0347, 0)</f>
        <v>25.071100000000001</v>
      </c>
      <c r="D219" s="14">
        <f>25.0286 * CHOOSE(CONTROL!$C$15, $E$9, 100%, $G$9) + CHOOSE(CONTROL!$C$38, 0.0347, 0)</f>
        <v>25.063300000000002</v>
      </c>
      <c r="E219" s="46">
        <f>26.3776 * CHOOSE(CONTROL!$C$15, $E$9, 100%, $G$9) + CHOOSE(CONTROL!$C$38, 0.0347, 0)</f>
        <v>26.412300000000002</v>
      </c>
      <c r="F219" s="45">
        <f>26.3776 * CHOOSE(CONTROL!$C$15, $E$9, 100%, $G$9) + CHOOSE(CONTROL!$C$38, 0.0256, 0)</f>
        <v>26.403200000000002</v>
      </c>
      <c r="G219" s="14">
        <f>25.0349 * CHOOSE(CONTROL!$C$15, $E$9, 100%, $G$9) + CHOOSE(CONTROL!$C$38, 0.0347, 0)</f>
        <v>25.069600000000001</v>
      </c>
      <c r="H219" s="14">
        <f>25.0349 * CHOOSE(CONTROL!$C$15, $E$9, 100%, $G$9) + CHOOSE(CONTROL!$C$38, 0.0347, 0)</f>
        <v>25.069600000000001</v>
      </c>
      <c r="I219" s="14">
        <f>25.0364 * CHOOSE(CONTROL!$C$15, $E$9, 100%, $G$9) + CHOOSE(CONTROL!$C$38, 0.0347, 0)</f>
        <v>25.071100000000001</v>
      </c>
      <c r="J219" s="44">
        <f>172.5201</f>
        <v>172.52010000000001</v>
      </c>
    </row>
    <row r="220" spans="1:10" ht="15" x14ac:dyDescent="0.2">
      <c r="A220" s="13">
        <v>47604</v>
      </c>
      <c r="B220" s="14">
        <f>25.7856 * CHOOSE(CONTROL!$C$15, $E$9, 100%, $G$9) + CHOOSE(CONTROL!$C$38, 0.0278, 0)</f>
        <v>25.813399999999998</v>
      </c>
      <c r="C220" s="14">
        <f>24.2854 * CHOOSE(CONTROL!$C$15, $E$9, 100%, $G$9) + CHOOSE(CONTROL!$C$38, 0.0369, 0)</f>
        <v>24.322299999999998</v>
      </c>
      <c r="D220" s="14">
        <f>24.2776 * CHOOSE(CONTROL!$C$15, $E$9, 100%, $G$9) + CHOOSE(CONTROL!$C$38, 0.0369, 0)</f>
        <v>24.314499999999999</v>
      </c>
      <c r="E220" s="46">
        <f>25.6293 * CHOOSE(CONTROL!$C$15, $E$9, 100%, $G$9) + CHOOSE(CONTROL!$C$38, 0.0369, 0)</f>
        <v>25.6662</v>
      </c>
      <c r="F220" s="45">
        <f>25.6293 * CHOOSE(CONTROL!$C$15, $E$9, 100%, $G$9) + CHOOSE(CONTROL!$C$38, 0.0278, 0)</f>
        <v>25.6571</v>
      </c>
      <c r="G220" s="14">
        <f>24.2838 * CHOOSE(CONTROL!$C$15, $E$9, 100%, $G$9) + CHOOSE(CONTROL!$C$38, 0.0369, 0)</f>
        <v>24.320699999999999</v>
      </c>
      <c r="H220" s="14">
        <f>24.2838 * CHOOSE(CONTROL!$C$15, $E$9, 100%, $G$9) + CHOOSE(CONTROL!$C$38, 0.0369, 0)</f>
        <v>24.320699999999999</v>
      </c>
      <c r="I220" s="14">
        <f>24.2854 * CHOOSE(CONTROL!$C$15, $E$9, 100%, $G$9) + CHOOSE(CONTROL!$C$38, 0.0369, 0)</f>
        <v>24.322299999999998</v>
      </c>
      <c r="J220" s="44">
        <f>178.6769</f>
        <v>178.67689999999999</v>
      </c>
    </row>
    <row r="221" spans="1:10" ht="15" x14ac:dyDescent="0.2">
      <c r="A221" s="13">
        <v>47635</v>
      </c>
      <c r="B221" s="14">
        <f>25.2742 * CHOOSE(CONTROL!$C$15, $E$9, 100%, $G$9) + CHOOSE(CONTROL!$C$38, 0.0278, 0)</f>
        <v>25.302</v>
      </c>
      <c r="C221" s="14">
        <f>23.7713 * CHOOSE(CONTROL!$C$15, $E$9, 100%, $G$9) + CHOOSE(CONTROL!$C$38, 0.0369, 0)</f>
        <v>23.808199999999999</v>
      </c>
      <c r="D221" s="14">
        <f>23.7635 * CHOOSE(CONTROL!$C$15, $E$9, 100%, $G$9) + CHOOSE(CONTROL!$C$38, 0.0369, 0)</f>
        <v>23.8004</v>
      </c>
      <c r="E221" s="46">
        <f>25.118 * CHOOSE(CONTROL!$C$15, $E$9, 100%, $G$9) + CHOOSE(CONTROL!$C$38, 0.0369, 0)</f>
        <v>25.154899999999998</v>
      </c>
      <c r="F221" s="45">
        <f>25.118 * CHOOSE(CONTROL!$C$15, $E$9, 100%, $G$9) + CHOOSE(CONTROL!$C$38, 0.0278, 0)</f>
        <v>25.145799999999998</v>
      </c>
      <c r="G221" s="14">
        <f>23.7697 * CHOOSE(CONTROL!$C$15, $E$9, 100%, $G$9) + CHOOSE(CONTROL!$C$38, 0.0369, 0)</f>
        <v>23.8066</v>
      </c>
      <c r="H221" s="14">
        <f>23.7697 * CHOOSE(CONTROL!$C$15, $E$9, 100%, $G$9) + CHOOSE(CONTROL!$C$38, 0.0369, 0)</f>
        <v>23.8066</v>
      </c>
      <c r="I221" s="14">
        <f>23.7713 * CHOOSE(CONTROL!$C$15, $E$9, 100%, $G$9) + CHOOSE(CONTROL!$C$38, 0.0369, 0)</f>
        <v>23.808199999999999</v>
      </c>
      <c r="J221" s="44">
        <f>181.6248</f>
        <v>181.62479999999999</v>
      </c>
    </row>
    <row r="222" spans="1:10" ht="15" x14ac:dyDescent="0.2">
      <c r="A222" s="13">
        <v>47665</v>
      </c>
      <c r="B222" s="14">
        <f>25.003 * CHOOSE(CONTROL!$C$15, $E$9, 100%, $G$9) + CHOOSE(CONTROL!$C$38, 0.0278, 0)</f>
        <v>25.030799999999999</v>
      </c>
      <c r="C222" s="14">
        <f>23.4973 * CHOOSE(CONTROL!$C$15, $E$9, 100%, $G$9) + CHOOSE(CONTROL!$C$38, 0.0369, 0)</f>
        <v>23.534199999999998</v>
      </c>
      <c r="D222" s="14">
        <f>23.4894 * CHOOSE(CONTROL!$C$15, $E$9, 100%, $G$9) + CHOOSE(CONTROL!$C$38, 0.0369, 0)</f>
        <v>23.526299999999999</v>
      </c>
      <c r="E222" s="46">
        <f>24.8467 * CHOOSE(CONTROL!$C$15, $E$9, 100%, $G$9) + CHOOSE(CONTROL!$C$38, 0.0369, 0)</f>
        <v>24.883599999999998</v>
      </c>
      <c r="F222" s="45">
        <f>24.8467 * CHOOSE(CONTROL!$C$15, $E$9, 100%, $G$9) + CHOOSE(CONTROL!$C$38, 0.0278, 0)</f>
        <v>24.874499999999998</v>
      </c>
      <c r="G222" s="14">
        <f>23.4957 * CHOOSE(CONTROL!$C$15, $E$9, 100%, $G$9) + CHOOSE(CONTROL!$C$38, 0.0369, 0)</f>
        <v>23.532599999999999</v>
      </c>
      <c r="H222" s="14">
        <f>23.4957 * CHOOSE(CONTROL!$C$15, $E$9, 100%, $G$9) + CHOOSE(CONTROL!$C$38, 0.0369, 0)</f>
        <v>23.532599999999999</v>
      </c>
      <c r="I222" s="14">
        <f>23.4973 * CHOOSE(CONTROL!$C$15, $E$9, 100%, $G$9) + CHOOSE(CONTROL!$C$38, 0.0369, 0)</f>
        <v>23.534199999999998</v>
      </c>
      <c r="J222" s="44">
        <f>181.1477</f>
        <v>181.14769999999999</v>
      </c>
    </row>
    <row r="223" spans="1:10" ht="15" x14ac:dyDescent="0.2">
      <c r="A223" s="13">
        <v>47696</v>
      </c>
      <c r="B223" s="14">
        <f>25.1619 * CHOOSE(CONTROL!$C$15, $E$9, 100%, $G$9) + CHOOSE(CONTROL!$C$38, 0.0278, 0)</f>
        <v>25.189699999999998</v>
      </c>
      <c r="C223" s="14">
        <f>23.6562 * CHOOSE(CONTROL!$C$15, $E$9, 100%, $G$9) + CHOOSE(CONTROL!$C$38, 0.0369, 0)</f>
        <v>23.693099999999998</v>
      </c>
      <c r="D223" s="14">
        <f>23.6484 * CHOOSE(CONTROL!$C$15, $E$9, 100%, $G$9) + CHOOSE(CONTROL!$C$38, 0.0369, 0)</f>
        <v>23.685299999999998</v>
      </c>
      <c r="E223" s="46">
        <f>25.0056 * CHOOSE(CONTROL!$C$15, $E$9, 100%, $G$9) + CHOOSE(CONTROL!$C$38, 0.0369, 0)</f>
        <v>25.0425</v>
      </c>
      <c r="F223" s="45">
        <f>25.0056 * CHOOSE(CONTROL!$C$15, $E$9, 100%, $G$9) + CHOOSE(CONTROL!$C$38, 0.0278, 0)</f>
        <v>25.0334</v>
      </c>
      <c r="G223" s="14">
        <f>23.6546 * CHOOSE(CONTROL!$C$15, $E$9, 100%, $G$9) + CHOOSE(CONTROL!$C$38, 0.0369, 0)</f>
        <v>23.691499999999998</v>
      </c>
      <c r="H223" s="14">
        <f>23.6546 * CHOOSE(CONTROL!$C$15, $E$9, 100%, $G$9) + CHOOSE(CONTROL!$C$38, 0.0369, 0)</f>
        <v>23.691499999999998</v>
      </c>
      <c r="I223" s="14">
        <f>23.6562 * CHOOSE(CONTROL!$C$15, $E$9, 100%, $G$9) + CHOOSE(CONTROL!$C$38, 0.0369, 0)</f>
        <v>23.693099999999998</v>
      </c>
      <c r="J223" s="44">
        <f>176.9307</f>
        <v>176.9307</v>
      </c>
    </row>
    <row r="224" spans="1:10" ht="15" x14ac:dyDescent="0.2">
      <c r="A224" s="13">
        <v>47727</v>
      </c>
      <c r="B224" s="14">
        <f>25.5936 * CHOOSE(CONTROL!$C$15, $E$9, 100%, $G$9) + CHOOSE(CONTROL!$C$38, 0.0278, 0)</f>
        <v>25.621399999999998</v>
      </c>
      <c r="C224" s="14">
        <f>24.0879 * CHOOSE(CONTROL!$C$15, $E$9, 100%, $G$9) + CHOOSE(CONTROL!$C$38, 0.0369, 0)</f>
        <v>24.1248</v>
      </c>
      <c r="D224" s="14">
        <f>24.0801 * CHOOSE(CONTROL!$C$15, $E$9, 100%, $G$9) + CHOOSE(CONTROL!$C$38, 0.0369, 0)</f>
        <v>24.117000000000001</v>
      </c>
      <c r="E224" s="46">
        <f>25.4374 * CHOOSE(CONTROL!$C$15, $E$9, 100%, $G$9) + CHOOSE(CONTROL!$C$38, 0.0369, 0)</f>
        <v>25.474299999999999</v>
      </c>
      <c r="F224" s="45">
        <f>25.4374 * CHOOSE(CONTROL!$C$15, $E$9, 100%, $G$9) + CHOOSE(CONTROL!$C$38, 0.0278, 0)</f>
        <v>25.465199999999999</v>
      </c>
      <c r="G224" s="14">
        <f>24.0863 * CHOOSE(CONTROL!$C$15, $E$9, 100%, $G$9) + CHOOSE(CONTROL!$C$38, 0.0369, 0)</f>
        <v>24.123200000000001</v>
      </c>
      <c r="H224" s="14">
        <f>24.0863 * CHOOSE(CONTROL!$C$15, $E$9, 100%, $G$9) + CHOOSE(CONTROL!$C$38, 0.0369, 0)</f>
        <v>24.123200000000001</v>
      </c>
      <c r="I224" s="14">
        <f>24.0879 * CHOOSE(CONTROL!$C$15, $E$9, 100%, $G$9) + CHOOSE(CONTROL!$C$38, 0.0369, 0)</f>
        <v>24.1248</v>
      </c>
      <c r="J224" s="44">
        <f>171.0498</f>
        <v>171.0498</v>
      </c>
    </row>
    <row r="225" spans="1:10" ht="15" x14ac:dyDescent="0.2">
      <c r="A225" s="13">
        <v>47757</v>
      </c>
      <c r="B225" s="14">
        <f>25.9552 * CHOOSE(CONTROL!$C$15, $E$9, 100%, $G$9) + CHOOSE(CONTROL!$C$38, 0.0256, 0)</f>
        <v>25.980800000000002</v>
      </c>
      <c r="C225" s="14">
        <f>24.4495 * CHOOSE(CONTROL!$C$15, $E$9, 100%, $G$9) + CHOOSE(CONTROL!$C$38, 0.0347, 0)</f>
        <v>24.484200000000001</v>
      </c>
      <c r="D225" s="14">
        <f>24.4417 * CHOOSE(CONTROL!$C$15, $E$9, 100%, $G$9) + CHOOSE(CONTROL!$C$38, 0.0347, 0)</f>
        <v>24.476400000000002</v>
      </c>
      <c r="E225" s="46">
        <f>25.7989 * CHOOSE(CONTROL!$C$15, $E$9, 100%, $G$9) + CHOOSE(CONTROL!$C$38, 0.0347, 0)</f>
        <v>25.833600000000001</v>
      </c>
      <c r="F225" s="45">
        <f>25.7989 * CHOOSE(CONTROL!$C$15, $E$9, 100%, $G$9) + CHOOSE(CONTROL!$C$38, 0.0256, 0)</f>
        <v>25.8245</v>
      </c>
      <c r="G225" s="14">
        <f>24.4479 * CHOOSE(CONTROL!$C$15, $E$9, 100%, $G$9) + CHOOSE(CONTROL!$C$38, 0.0347, 0)</f>
        <v>24.482600000000001</v>
      </c>
      <c r="H225" s="14">
        <f>24.4479 * CHOOSE(CONTROL!$C$15, $E$9, 100%, $G$9) + CHOOSE(CONTROL!$C$38, 0.0347, 0)</f>
        <v>24.482600000000001</v>
      </c>
      <c r="I225" s="14">
        <f>24.4495 * CHOOSE(CONTROL!$C$15, $E$9, 100%, $G$9) + CHOOSE(CONTROL!$C$38, 0.0347, 0)</f>
        <v>24.484200000000001</v>
      </c>
      <c r="J225" s="44">
        <f>165.1347</f>
        <v>165.13470000000001</v>
      </c>
    </row>
    <row r="226" spans="1:10" ht="15" x14ac:dyDescent="0.2">
      <c r="A226" s="13">
        <v>47788</v>
      </c>
      <c r="B226" s="14">
        <f>26.2569 * CHOOSE(CONTROL!$C$15, $E$9, 100%, $G$9) + CHOOSE(CONTROL!$C$38, 0.0256, 0)</f>
        <v>26.282500000000002</v>
      </c>
      <c r="C226" s="14">
        <f>24.7512 * CHOOSE(CONTROL!$C$15, $E$9, 100%, $G$9) + CHOOSE(CONTROL!$C$38, 0.0347, 0)</f>
        <v>24.785900000000002</v>
      </c>
      <c r="D226" s="14">
        <f>24.7434 * CHOOSE(CONTROL!$C$15, $E$9, 100%, $G$9) + CHOOSE(CONTROL!$C$38, 0.0347, 0)</f>
        <v>24.778100000000002</v>
      </c>
      <c r="E226" s="46">
        <f>26.1006 * CHOOSE(CONTROL!$C$15, $E$9, 100%, $G$9) + CHOOSE(CONTROL!$C$38, 0.0347, 0)</f>
        <v>26.135300000000001</v>
      </c>
      <c r="F226" s="45">
        <f>26.1006 * CHOOSE(CONTROL!$C$15, $E$9, 100%, $G$9) + CHOOSE(CONTROL!$C$38, 0.0256, 0)</f>
        <v>26.126200000000001</v>
      </c>
      <c r="G226" s="14">
        <f>24.7496 * CHOOSE(CONTROL!$C$15, $E$9, 100%, $G$9) + CHOOSE(CONTROL!$C$38, 0.0347, 0)</f>
        <v>24.784300000000002</v>
      </c>
      <c r="H226" s="14">
        <f>24.7496 * CHOOSE(CONTROL!$C$15, $E$9, 100%, $G$9) + CHOOSE(CONTROL!$C$38, 0.0347, 0)</f>
        <v>24.784300000000002</v>
      </c>
      <c r="I226" s="14">
        <f>24.7512 * CHOOSE(CONTROL!$C$15, $E$9, 100%, $G$9) + CHOOSE(CONTROL!$C$38, 0.0347, 0)</f>
        <v>24.785900000000002</v>
      </c>
      <c r="J226" s="44">
        <f>163.9581</f>
        <v>163.9581</v>
      </c>
    </row>
    <row r="227" spans="1:10" ht="15" x14ac:dyDescent="0.2">
      <c r="A227" s="13">
        <v>47818</v>
      </c>
      <c r="B227" s="14">
        <f>27.1865 * CHOOSE(CONTROL!$C$15, $E$9, 100%, $G$9) + CHOOSE(CONTROL!$C$38, 0.0256, 0)</f>
        <v>27.2121</v>
      </c>
      <c r="C227" s="14">
        <f>25.6808 * CHOOSE(CONTROL!$C$15, $E$9, 100%, $G$9) + CHOOSE(CONTROL!$C$38, 0.0347, 0)</f>
        <v>25.715500000000002</v>
      </c>
      <c r="D227" s="14">
        <f>25.673 * CHOOSE(CONTROL!$C$15, $E$9, 100%, $G$9) + CHOOSE(CONTROL!$C$38, 0.0347, 0)</f>
        <v>25.707699999999999</v>
      </c>
      <c r="E227" s="46">
        <f>27.0303 * CHOOSE(CONTROL!$C$15, $E$9, 100%, $G$9) + CHOOSE(CONTROL!$C$38, 0.0347, 0)</f>
        <v>27.065000000000001</v>
      </c>
      <c r="F227" s="45">
        <f>27.0303 * CHOOSE(CONTROL!$C$15, $E$9, 100%, $G$9) + CHOOSE(CONTROL!$C$38, 0.0256, 0)</f>
        <v>27.055900000000001</v>
      </c>
      <c r="G227" s="14">
        <f>25.6793 * CHOOSE(CONTROL!$C$15, $E$9, 100%, $G$9) + CHOOSE(CONTROL!$C$38, 0.0347, 0)</f>
        <v>25.714000000000002</v>
      </c>
      <c r="H227" s="14">
        <f>25.6793 * CHOOSE(CONTROL!$C$15, $E$9, 100%, $G$9) + CHOOSE(CONTROL!$C$38, 0.0347, 0)</f>
        <v>25.714000000000002</v>
      </c>
      <c r="I227" s="14">
        <f>25.6808 * CHOOSE(CONTROL!$C$15, $E$9, 100%, $G$9) + CHOOSE(CONTROL!$C$38, 0.0347, 0)</f>
        <v>25.715500000000002</v>
      </c>
      <c r="J227" s="44">
        <f>159.0926</f>
        <v>159.0926</v>
      </c>
    </row>
    <row r="228" spans="1:10" ht="15" x14ac:dyDescent="0.2">
      <c r="A228" s="13">
        <v>47849</v>
      </c>
      <c r="B228" s="14">
        <f>28.3524 * CHOOSE(CONTROL!$C$15, $E$9, 100%, $G$9) + CHOOSE(CONTROL!$C$38, 0.0256, 0)</f>
        <v>28.378</v>
      </c>
      <c r="C228" s="14">
        <f>26.824 * CHOOSE(CONTROL!$C$15, $E$9, 100%, $G$9) + CHOOSE(CONTROL!$C$38, 0.0347, 0)</f>
        <v>26.858700000000002</v>
      </c>
      <c r="D228" s="14">
        <f>26.8162 * CHOOSE(CONTROL!$C$15, $E$9, 100%, $G$9) + CHOOSE(CONTROL!$C$38, 0.0347, 0)</f>
        <v>26.850899999999999</v>
      </c>
      <c r="E228" s="46">
        <f>28.1961 * CHOOSE(CONTROL!$C$15, $E$9, 100%, $G$9) + CHOOSE(CONTROL!$C$38, 0.0347, 0)</f>
        <v>28.230800000000002</v>
      </c>
      <c r="F228" s="45">
        <f>28.1961 * CHOOSE(CONTROL!$C$15, $E$9, 100%, $G$9) + CHOOSE(CONTROL!$C$38, 0.0256, 0)</f>
        <v>28.221700000000002</v>
      </c>
      <c r="G228" s="14">
        <f>26.8224 * CHOOSE(CONTROL!$C$15, $E$9, 100%, $G$9) + CHOOSE(CONTROL!$C$38, 0.0347, 0)</f>
        <v>26.857099999999999</v>
      </c>
      <c r="H228" s="14">
        <f>26.8224 * CHOOSE(CONTROL!$C$15, $E$9, 100%, $G$9) + CHOOSE(CONTROL!$C$38, 0.0347, 0)</f>
        <v>26.857099999999999</v>
      </c>
      <c r="I228" s="14">
        <f>26.824 * CHOOSE(CONTROL!$C$15, $E$9, 100%, $G$9) + CHOOSE(CONTROL!$C$38, 0.0347, 0)</f>
        <v>26.858700000000002</v>
      </c>
      <c r="J228" s="44">
        <f>158.9778</f>
        <v>158.9778</v>
      </c>
    </row>
    <row r="229" spans="1:10" ht="15" x14ac:dyDescent="0.2">
      <c r="A229" s="13">
        <v>47880</v>
      </c>
      <c r="B229" s="14">
        <f>28.6967 * CHOOSE(CONTROL!$C$15, $E$9, 100%, $G$9) + CHOOSE(CONTROL!$C$38, 0.0256, 0)</f>
        <v>28.722300000000001</v>
      </c>
      <c r="C229" s="14">
        <f>27.1683 * CHOOSE(CONTROL!$C$15, $E$9, 100%, $G$9) + CHOOSE(CONTROL!$C$38, 0.0347, 0)</f>
        <v>27.202999999999999</v>
      </c>
      <c r="D229" s="14">
        <f>27.1605 * CHOOSE(CONTROL!$C$15, $E$9, 100%, $G$9) + CHOOSE(CONTROL!$C$38, 0.0347, 0)</f>
        <v>27.1952</v>
      </c>
      <c r="E229" s="46">
        <f>28.5404 * CHOOSE(CONTROL!$C$15, $E$9, 100%, $G$9) + CHOOSE(CONTROL!$C$38, 0.0347, 0)</f>
        <v>28.575100000000003</v>
      </c>
      <c r="F229" s="45">
        <f>28.5404 * CHOOSE(CONTROL!$C$15, $E$9, 100%, $G$9) + CHOOSE(CONTROL!$C$38, 0.0256, 0)</f>
        <v>28.566000000000003</v>
      </c>
      <c r="G229" s="14">
        <f>27.1667 * CHOOSE(CONTROL!$C$15, $E$9, 100%, $G$9) + CHOOSE(CONTROL!$C$38, 0.0347, 0)</f>
        <v>27.2014</v>
      </c>
      <c r="H229" s="14">
        <f>27.1667 * CHOOSE(CONTROL!$C$15, $E$9, 100%, $G$9) + CHOOSE(CONTROL!$C$38, 0.0347, 0)</f>
        <v>27.2014</v>
      </c>
      <c r="I229" s="14">
        <f>27.1683 * CHOOSE(CONTROL!$C$15, $E$9, 100%, $G$9) + CHOOSE(CONTROL!$C$38, 0.0347, 0)</f>
        <v>27.202999999999999</v>
      </c>
      <c r="J229" s="44">
        <f>158.5359</f>
        <v>158.5359</v>
      </c>
    </row>
    <row r="230" spans="1:10" ht="15" x14ac:dyDescent="0.2">
      <c r="A230" s="13">
        <v>47908</v>
      </c>
      <c r="B230" s="14">
        <f>27.8996 * CHOOSE(CONTROL!$C$15, $E$9, 100%, $G$9) + CHOOSE(CONTROL!$C$38, 0.0256, 0)</f>
        <v>27.9252</v>
      </c>
      <c r="C230" s="14">
        <f>26.3713 * CHOOSE(CONTROL!$C$15, $E$9, 100%, $G$9) + CHOOSE(CONTROL!$C$38, 0.0347, 0)</f>
        <v>26.406000000000002</v>
      </c>
      <c r="D230" s="14">
        <f>26.3635 * CHOOSE(CONTROL!$C$15, $E$9, 100%, $G$9) + CHOOSE(CONTROL!$C$38, 0.0347, 0)</f>
        <v>26.398199999999999</v>
      </c>
      <c r="E230" s="46">
        <f>27.7434 * CHOOSE(CONTROL!$C$15, $E$9, 100%, $G$9) + CHOOSE(CONTROL!$C$38, 0.0347, 0)</f>
        <v>27.778100000000002</v>
      </c>
      <c r="F230" s="45">
        <f>27.7434 * CHOOSE(CONTROL!$C$15, $E$9, 100%, $G$9) + CHOOSE(CONTROL!$C$38, 0.0256, 0)</f>
        <v>27.769000000000002</v>
      </c>
      <c r="G230" s="14">
        <f>26.3697 * CHOOSE(CONTROL!$C$15, $E$9, 100%, $G$9) + CHOOSE(CONTROL!$C$38, 0.0347, 0)</f>
        <v>26.404400000000003</v>
      </c>
      <c r="H230" s="14">
        <f>26.3697 * CHOOSE(CONTROL!$C$15, $E$9, 100%, $G$9) + CHOOSE(CONTROL!$C$38, 0.0347, 0)</f>
        <v>26.404400000000003</v>
      </c>
      <c r="I230" s="14">
        <f>26.3713 * CHOOSE(CONTROL!$C$15, $E$9, 100%, $G$9) + CHOOSE(CONTROL!$C$38, 0.0347, 0)</f>
        <v>26.406000000000002</v>
      </c>
      <c r="J230" s="44">
        <f>166.8916</f>
        <v>166.89160000000001</v>
      </c>
    </row>
    <row r="231" spans="1:10" ht="15" x14ac:dyDescent="0.2">
      <c r="A231" s="13">
        <v>47939</v>
      </c>
      <c r="B231" s="14">
        <f>27.1273 * CHOOSE(CONTROL!$C$15, $E$9, 100%, $G$9) + CHOOSE(CONTROL!$C$38, 0.0256, 0)</f>
        <v>27.152900000000002</v>
      </c>
      <c r="C231" s="14">
        <f>25.599 * CHOOSE(CONTROL!$C$15, $E$9, 100%, $G$9) + CHOOSE(CONTROL!$C$38, 0.0347, 0)</f>
        <v>25.633700000000001</v>
      </c>
      <c r="D231" s="14">
        <f>25.5911 * CHOOSE(CONTROL!$C$15, $E$9, 100%, $G$9) + CHOOSE(CONTROL!$C$38, 0.0347, 0)</f>
        <v>25.625800000000002</v>
      </c>
      <c r="E231" s="46">
        <f>26.9711 * CHOOSE(CONTROL!$C$15, $E$9, 100%, $G$9) + CHOOSE(CONTROL!$C$38, 0.0347, 0)</f>
        <v>27.005800000000001</v>
      </c>
      <c r="F231" s="45">
        <f>26.9711 * CHOOSE(CONTROL!$C$15, $E$9, 100%, $G$9) + CHOOSE(CONTROL!$C$38, 0.0256, 0)</f>
        <v>26.996700000000001</v>
      </c>
      <c r="G231" s="14">
        <f>25.5974 * CHOOSE(CONTROL!$C$15, $E$9, 100%, $G$9) + CHOOSE(CONTROL!$C$38, 0.0347, 0)</f>
        <v>25.632100000000001</v>
      </c>
      <c r="H231" s="14">
        <f>25.5974 * CHOOSE(CONTROL!$C$15, $E$9, 100%, $G$9) + CHOOSE(CONTROL!$C$38, 0.0347, 0)</f>
        <v>25.632100000000001</v>
      </c>
      <c r="I231" s="14">
        <f>25.599 * CHOOSE(CONTROL!$C$15, $E$9, 100%, $G$9) + CHOOSE(CONTROL!$C$38, 0.0347, 0)</f>
        <v>25.633700000000001</v>
      </c>
      <c r="J231" s="44">
        <f>177.727</f>
        <v>177.727</v>
      </c>
    </row>
    <row r="232" spans="1:10" ht="15" x14ac:dyDescent="0.2">
      <c r="A232" s="13">
        <v>47969</v>
      </c>
      <c r="B232" s="14">
        <f>26.3224 * CHOOSE(CONTROL!$C$15, $E$9, 100%, $G$9) + CHOOSE(CONTROL!$C$38, 0.0278, 0)</f>
        <v>26.350199999999997</v>
      </c>
      <c r="C232" s="14">
        <f>24.794 * CHOOSE(CONTROL!$C$15, $E$9, 100%, $G$9) + CHOOSE(CONTROL!$C$38, 0.0369, 0)</f>
        <v>24.8309</v>
      </c>
      <c r="D232" s="14">
        <f>24.7862 * CHOOSE(CONTROL!$C$15, $E$9, 100%, $G$9) + CHOOSE(CONTROL!$C$38, 0.0369, 0)</f>
        <v>24.8231</v>
      </c>
      <c r="E232" s="46">
        <f>26.1661 * CHOOSE(CONTROL!$C$15, $E$9, 100%, $G$9) + CHOOSE(CONTROL!$C$38, 0.0369, 0)</f>
        <v>26.202999999999999</v>
      </c>
      <c r="F232" s="45">
        <f>26.1661 * CHOOSE(CONTROL!$C$15, $E$9, 100%, $G$9) + CHOOSE(CONTROL!$C$38, 0.0278, 0)</f>
        <v>26.193899999999999</v>
      </c>
      <c r="G232" s="14">
        <f>24.7924 * CHOOSE(CONTROL!$C$15, $E$9, 100%, $G$9) + CHOOSE(CONTROL!$C$38, 0.0369, 0)</f>
        <v>24.8293</v>
      </c>
      <c r="H232" s="14">
        <f>24.7924 * CHOOSE(CONTROL!$C$15, $E$9, 100%, $G$9) + CHOOSE(CONTROL!$C$38, 0.0369, 0)</f>
        <v>24.8293</v>
      </c>
      <c r="I232" s="14">
        <f>24.794 * CHOOSE(CONTROL!$C$15, $E$9, 100%, $G$9) + CHOOSE(CONTROL!$C$38, 0.0369, 0)</f>
        <v>24.8309</v>
      </c>
      <c r="J232" s="44">
        <f>183.6912</f>
        <v>183.69120000000001</v>
      </c>
    </row>
    <row r="233" spans="1:10" ht="15" x14ac:dyDescent="0.2">
      <c r="A233" s="13">
        <v>48000</v>
      </c>
      <c r="B233" s="14">
        <f>25.758 * CHOOSE(CONTROL!$C$15, $E$9, 100%, $G$9) + CHOOSE(CONTROL!$C$38, 0.0278, 0)</f>
        <v>25.785799999999998</v>
      </c>
      <c r="C233" s="14">
        <f>24.2297 * CHOOSE(CONTROL!$C$15, $E$9, 100%, $G$9) + CHOOSE(CONTROL!$C$38, 0.0369, 0)</f>
        <v>24.2666</v>
      </c>
      <c r="D233" s="14">
        <f>24.2218 * CHOOSE(CONTROL!$C$15, $E$9, 100%, $G$9) + CHOOSE(CONTROL!$C$38, 0.0369, 0)</f>
        <v>24.258700000000001</v>
      </c>
      <c r="E233" s="46">
        <f>25.6018 * CHOOSE(CONTROL!$C$15, $E$9, 100%, $G$9) + CHOOSE(CONTROL!$C$38, 0.0369, 0)</f>
        <v>25.6387</v>
      </c>
      <c r="F233" s="45">
        <f>25.6018 * CHOOSE(CONTROL!$C$15, $E$9, 100%, $G$9) + CHOOSE(CONTROL!$C$38, 0.0278, 0)</f>
        <v>25.6296</v>
      </c>
      <c r="G233" s="14">
        <f>24.2281 * CHOOSE(CONTROL!$C$15, $E$9, 100%, $G$9) + CHOOSE(CONTROL!$C$38, 0.0369, 0)</f>
        <v>24.265000000000001</v>
      </c>
      <c r="H233" s="14">
        <f>24.2281 * CHOOSE(CONTROL!$C$15, $E$9, 100%, $G$9) + CHOOSE(CONTROL!$C$38, 0.0369, 0)</f>
        <v>24.265000000000001</v>
      </c>
      <c r="I233" s="14">
        <f>24.2297 * CHOOSE(CONTROL!$C$15, $E$9, 100%, $G$9) + CHOOSE(CONTROL!$C$38, 0.0369, 0)</f>
        <v>24.2666</v>
      </c>
      <c r="J233" s="44">
        <f>186.338</f>
        <v>186.33799999999999</v>
      </c>
    </row>
    <row r="234" spans="1:10" ht="15" x14ac:dyDescent="0.2">
      <c r="A234" s="13">
        <v>48030</v>
      </c>
      <c r="B234" s="14">
        <f>25.436 * CHOOSE(CONTROL!$C$15, $E$9, 100%, $G$9) + CHOOSE(CONTROL!$C$38, 0.0278, 0)</f>
        <v>25.463799999999999</v>
      </c>
      <c r="C234" s="14">
        <f>23.9076 * CHOOSE(CONTROL!$C$15, $E$9, 100%, $G$9) + CHOOSE(CONTROL!$C$38, 0.0369, 0)</f>
        <v>23.944499999999998</v>
      </c>
      <c r="D234" s="14">
        <f>23.8998 * CHOOSE(CONTROL!$C$15, $E$9, 100%, $G$9) + CHOOSE(CONTROL!$C$38, 0.0369, 0)</f>
        <v>23.936699999999998</v>
      </c>
      <c r="E234" s="46">
        <f>25.2797 * CHOOSE(CONTROL!$C$15, $E$9, 100%, $G$9) + CHOOSE(CONTROL!$C$38, 0.0369, 0)</f>
        <v>25.316599999999998</v>
      </c>
      <c r="F234" s="45">
        <f>25.2797 * CHOOSE(CONTROL!$C$15, $E$9, 100%, $G$9) + CHOOSE(CONTROL!$C$38, 0.0278, 0)</f>
        <v>25.307499999999997</v>
      </c>
      <c r="G234" s="14">
        <f>23.906 * CHOOSE(CONTROL!$C$15, $E$9, 100%, $G$9) + CHOOSE(CONTROL!$C$38, 0.0369, 0)</f>
        <v>23.942899999999998</v>
      </c>
      <c r="H234" s="14">
        <f>23.906 * CHOOSE(CONTROL!$C$15, $E$9, 100%, $G$9) + CHOOSE(CONTROL!$C$38, 0.0369, 0)</f>
        <v>23.942899999999998</v>
      </c>
      <c r="I234" s="14">
        <f>23.9076 * CHOOSE(CONTROL!$C$15, $E$9, 100%, $G$9) + CHOOSE(CONTROL!$C$38, 0.0369, 0)</f>
        <v>23.944499999999998</v>
      </c>
      <c r="J234" s="44">
        <f>185.4666</f>
        <v>185.4666</v>
      </c>
    </row>
    <row r="235" spans="1:10" ht="15" x14ac:dyDescent="0.2">
      <c r="A235" s="13">
        <v>48061</v>
      </c>
      <c r="B235" s="14">
        <f>25.5949 * CHOOSE(CONTROL!$C$15, $E$9, 100%, $G$9) + CHOOSE(CONTROL!$C$38, 0.0278, 0)</f>
        <v>25.622699999999998</v>
      </c>
      <c r="C235" s="14">
        <f>24.0666 * CHOOSE(CONTROL!$C$15, $E$9, 100%, $G$9) + CHOOSE(CONTROL!$C$38, 0.0369, 0)</f>
        <v>24.1035</v>
      </c>
      <c r="D235" s="14">
        <f>24.0587 * CHOOSE(CONTROL!$C$15, $E$9, 100%, $G$9) + CHOOSE(CONTROL!$C$38, 0.0369, 0)</f>
        <v>24.095600000000001</v>
      </c>
      <c r="E235" s="46">
        <f>25.4387 * CHOOSE(CONTROL!$C$15, $E$9, 100%, $G$9) + CHOOSE(CONTROL!$C$38, 0.0369, 0)</f>
        <v>25.4756</v>
      </c>
      <c r="F235" s="45">
        <f>25.4387 * CHOOSE(CONTROL!$C$15, $E$9, 100%, $G$9) + CHOOSE(CONTROL!$C$38, 0.0278, 0)</f>
        <v>25.4665</v>
      </c>
      <c r="G235" s="14">
        <f>24.065 * CHOOSE(CONTROL!$C$15, $E$9, 100%, $G$9) + CHOOSE(CONTROL!$C$38, 0.0369, 0)</f>
        <v>24.101900000000001</v>
      </c>
      <c r="H235" s="14">
        <f>24.065 * CHOOSE(CONTROL!$C$15, $E$9, 100%, $G$9) + CHOOSE(CONTROL!$C$38, 0.0369, 0)</f>
        <v>24.101900000000001</v>
      </c>
      <c r="I235" s="14">
        <f>24.0666 * CHOOSE(CONTROL!$C$15, $E$9, 100%, $G$9) + CHOOSE(CONTROL!$C$38, 0.0369, 0)</f>
        <v>24.1035</v>
      </c>
      <c r="J235" s="44">
        <f>181.149</f>
        <v>181.149</v>
      </c>
    </row>
    <row r="236" spans="1:10" ht="15" x14ac:dyDescent="0.2">
      <c r="A236" s="13">
        <v>48092</v>
      </c>
      <c r="B236" s="14">
        <f>26.0266 * CHOOSE(CONTROL!$C$15, $E$9, 100%, $G$9) + CHOOSE(CONTROL!$C$38, 0.0278, 0)</f>
        <v>26.054399999999998</v>
      </c>
      <c r="C236" s="14">
        <f>24.4983 * CHOOSE(CONTROL!$C$15, $E$9, 100%, $G$9) + CHOOSE(CONTROL!$C$38, 0.0369, 0)</f>
        <v>24.5352</v>
      </c>
      <c r="D236" s="14">
        <f>24.4904 * CHOOSE(CONTROL!$C$15, $E$9, 100%, $G$9) + CHOOSE(CONTROL!$C$38, 0.0369, 0)</f>
        <v>24.5273</v>
      </c>
      <c r="E236" s="46">
        <f>25.8704 * CHOOSE(CONTROL!$C$15, $E$9, 100%, $G$9) + CHOOSE(CONTROL!$C$38, 0.0369, 0)</f>
        <v>25.907299999999999</v>
      </c>
      <c r="F236" s="45">
        <f>25.8704 * CHOOSE(CONTROL!$C$15, $E$9, 100%, $G$9) + CHOOSE(CONTROL!$C$38, 0.0278, 0)</f>
        <v>25.898199999999999</v>
      </c>
      <c r="G236" s="14">
        <f>24.4967 * CHOOSE(CONTROL!$C$15, $E$9, 100%, $G$9) + CHOOSE(CONTROL!$C$38, 0.0369, 0)</f>
        <v>24.5336</v>
      </c>
      <c r="H236" s="14">
        <f>24.4967 * CHOOSE(CONTROL!$C$15, $E$9, 100%, $G$9) + CHOOSE(CONTROL!$C$38, 0.0369, 0)</f>
        <v>24.5336</v>
      </c>
      <c r="I236" s="14">
        <f>24.4983 * CHOOSE(CONTROL!$C$15, $E$9, 100%, $G$9) + CHOOSE(CONTROL!$C$38, 0.0369, 0)</f>
        <v>24.5352</v>
      </c>
      <c r="J236" s="44">
        <f>175.1279</f>
        <v>175.12790000000001</v>
      </c>
    </row>
    <row r="237" spans="1:10" ht="15" x14ac:dyDescent="0.2">
      <c r="A237" s="13">
        <v>48122</v>
      </c>
      <c r="B237" s="14">
        <f>26.3882 * CHOOSE(CONTROL!$C$15, $E$9, 100%, $G$9) + CHOOSE(CONTROL!$C$38, 0.0256, 0)</f>
        <v>26.413800000000002</v>
      </c>
      <c r="C237" s="14">
        <f>24.8598 * CHOOSE(CONTROL!$C$15, $E$9, 100%, $G$9) + CHOOSE(CONTROL!$C$38, 0.0347, 0)</f>
        <v>24.894500000000001</v>
      </c>
      <c r="D237" s="14">
        <f>24.852 * CHOOSE(CONTROL!$C$15, $E$9, 100%, $G$9) + CHOOSE(CONTROL!$C$38, 0.0347, 0)</f>
        <v>24.886700000000001</v>
      </c>
      <c r="E237" s="46">
        <f>26.2319 * CHOOSE(CONTROL!$C$15, $E$9, 100%, $G$9) + CHOOSE(CONTROL!$C$38, 0.0347, 0)</f>
        <v>26.2666</v>
      </c>
      <c r="F237" s="45">
        <f>26.2319 * CHOOSE(CONTROL!$C$15, $E$9, 100%, $G$9) + CHOOSE(CONTROL!$C$38, 0.0256, 0)</f>
        <v>26.2575</v>
      </c>
      <c r="G237" s="14">
        <f>24.8583 * CHOOSE(CONTROL!$C$15, $E$9, 100%, $G$9) + CHOOSE(CONTROL!$C$38, 0.0347, 0)</f>
        <v>24.893000000000001</v>
      </c>
      <c r="H237" s="14">
        <f>24.8583 * CHOOSE(CONTROL!$C$15, $E$9, 100%, $G$9) + CHOOSE(CONTROL!$C$38, 0.0347, 0)</f>
        <v>24.893000000000001</v>
      </c>
      <c r="I237" s="14">
        <f>24.8598 * CHOOSE(CONTROL!$C$15, $E$9, 100%, $G$9) + CHOOSE(CONTROL!$C$38, 0.0347, 0)</f>
        <v>24.894500000000001</v>
      </c>
      <c r="J237" s="44">
        <f>169.0718</f>
        <v>169.0718</v>
      </c>
    </row>
    <row r="238" spans="1:10" ht="15" x14ac:dyDescent="0.2">
      <c r="A238" s="13">
        <v>48153</v>
      </c>
      <c r="B238" s="14">
        <f>26.6899 * CHOOSE(CONTROL!$C$15, $E$9, 100%, $G$9) + CHOOSE(CONTROL!$C$38, 0.0256, 0)</f>
        <v>26.715500000000002</v>
      </c>
      <c r="C238" s="14">
        <f>25.1615 * CHOOSE(CONTROL!$C$15, $E$9, 100%, $G$9) + CHOOSE(CONTROL!$C$38, 0.0347, 0)</f>
        <v>25.196200000000001</v>
      </c>
      <c r="D238" s="14">
        <f>25.1537 * CHOOSE(CONTROL!$C$15, $E$9, 100%, $G$9) + CHOOSE(CONTROL!$C$38, 0.0347, 0)</f>
        <v>25.188400000000001</v>
      </c>
      <c r="E238" s="46">
        <f>26.5336 * CHOOSE(CONTROL!$C$15, $E$9, 100%, $G$9) + CHOOSE(CONTROL!$C$38, 0.0347, 0)</f>
        <v>26.568300000000001</v>
      </c>
      <c r="F238" s="45">
        <f>26.5336 * CHOOSE(CONTROL!$C$15, $E$9, 100%, $G$9) + CHOOSE(CONTROL!$C$38, 0.0256, 0)</f>
        <v>26.559200000000001</v>
      </c>
      <c r="G238" s="14">
        <f>25.16 * CHOOSE(CONTROL!$C$15, $E$9, 100%, $G$9) + CHOOSE(CONTROL!$C$38, 0.0347, 0)</f>
        <v>25.194700000000001</v>
      </c>
      <c r="H238" s="14">
        <f>25.16 * CHOOSE(CONTROL!$C$15, $E$9, 100%, $G$9) + CHOOSE(CONTROL!$C$38, 0.0347, 0)</f>
        <v>25.194700000000001</v>
      </c>
      <c r="I238" s="14">
        <f>25.1615 * CHOOSE(CONTROL!$C$15, $E$9, 100%, $G$9) + CHOOSE(CONTROL!$C$38, 0.0347, 0)</f>
        <v>25.196200000000001</v>
      </c>
      <c r="J238" s="44">
        <f>167.8671</f>
        <v>167.86709999999999</v>
      </c>
    </row>
    <row r="239" spans="1:10" ht="15" x14ac:dyDescent="0.2">
      <c r="A239" s="13">
        <v>48183</v>
      </c>
      <c r="B239" s="14">
        <f>27.6196 * CHOOSE(CONTROL!$C$15, $E$9, 100%, $G$9) + CHOOSE(CONTROL!$C$38, 0.0256, 0)</f>
        <v>27.645199999999999</v>
      </c>
      <c r="C239" s="14">
        <f>26.0912 * CHOOSE(CONTROL!$C$15, $E$9, 100%, $G$9) + CHOOSE(CONTROL!$C$38, 0.0347, 0)</f>
        <v>26.125900000000001</v>
      </c>
      <c r="D239" s="14">
        <f>26.0834 * CHOOSE(CONTROL!$C$15, $E$9, 100%, $G$9) + CHOOSE(CONTROL!$C$38, 0.0347, 0)</f>
        <v>26.118100000000002</v>
      </c>
      <c r="E239" s="46">
        <f>27.4633 * CHOOSE(CONTROL!$C$15, $E$9, 100%, $G$9) + CHOOSE(CONTROL!$C$38, 0.0347, 0)</f>
        <v>27.498000000000001</v>
      </c>
      <c r="F239" s="45">
        <f>27.4633 * CHOOSE(CONTROL!$C$15, $E$9, 100%, $G$9) + CHOOSE(CONTROL!$C$38, 0.0256, 0)</f>
        <v>27.488900000000001</v>
      </c>
      <c r="G239" s="14">
        <f>26.0896 * CHOOSE(CONTROL!$C$15, $E$9, 100%, $G$9) + CHOOSE(CONTROL!$C$38, 0.0347, 0)</f>
        <v>26.124300000000002</v>
      </c>
      <c r="H239" s="14">
        <f>26.0896 * CHOOSE(CONTROL!$C$15, $E$9, 100%, $G$9) + CHOOSE(CONTROL!$C$38, 0.0347, 0)</f>
        <v>26.124300000000002</v>
      </c>
      <c r="I239" s="14">
        <f>26.0912 * CHOOSE(CONTROL!$C$15, $E$9, 100%, $G$9) + CHOOSE(CONTROL!$C$38, 0.0347, 0)</f>
        <v>26.125900000000001</v>
      </c>
      <c r="J239" s="44">
        <f>162.8856</f>
        <v>162.88560000000001</v>
      </c>
    </row>
    <row r="240" spans="1:10" ht="15" x14ac:dyDescent="0.2">
      <c r="A240" s="13">
        <v>48214</v>
      </c>
      <c r="B240" s="14">
        <f>28.7927 * CHOOSE(CONTROL!$C$15, $E$9, 100%, $G$9) + CHOOSE(CONTROL!$C$38, 0.0256, 0)</f>
        <v>28.818300000000001</v>
      </c>
      <c r="C240" s="14">
        <f>27.2412 * CHOOSE(CONTROL!$C$15, $E$9, 100%, $G$9) + CHOOSE(CONTROL!$C$38, 0.0347, 0)</f>
        <v>27.2759</v>
      </c>
      <c r="D240" s="14">
        <f>27.2334 * CHOOSE(CONTROL!$C$15, $E$9, 100%, $G$9) + CHOOSE(CONTROL!$C$38, 0.0347, 0)</f>
        <v>27.2681</v>
      </c>
      <c r="E240" s="46">
        <f>28.6364 * CHOOSE(CONTROL!$C$15, $E$9, 100%, $G$9) + CHOOSE(CONTROL!$C$38, 0.0347, 0)</f>
        <v>28.671099999999999</v>
      </c>
      <c r="F240" s="45">
        <f>28.6364 * CHOOSE(CONTROL!$C$15, $E$9, 100%, $G$9) + CHOOSE(CONTROL!$C$38, 0.0256, 0)</f>
        <v>28.661999999999999</v>
      </c>
      <c r="G240" s="14">
        <f>27.2397 * CHOOSE(CONTROL!$C$15, $E$9, 100%, $G$9) + CHOOSE(CONTROL!$C$38, 0.0347, 0)</f>
        <v>27.2744</v>
      </c>
      <c r="H240" s="14">
        <f>27.2397 * CHOOSE(CONTROL!$C$15, $E$9, 100%, $G$9) + CHOOSE(CONTROL!$C$38, 0.0347, 0)</f>
        <v>27.2744</v>
      </c>
      <c r="I240" s="14">
        <f>27.2412 * CHOOSE(CONTROL!$C$15, $E$9, 100%, $G$9) + CHOOSE(CONTROL!$C$38, 0.0347, 0)</f>
        <v>27.2759</v>
      </c>
      <c r="J240" s="44">
        <f>162.6756</f>
        <v>162.6756</v>
      </c>
    </row>
    <row r="241" spans="1:10" ht="15" x14ac:dyDescent="0.2">
      <c r="A241" s="13">
        <v>48245</v>
      </c>
      <c r="B241" s="14">
        <f>29.137 * CHOOSE(CONTROL!$C$15, $E$9, 100%, $G$9) + CHOOSE(CONTROL!$C$38, 0.0256, 0)</f>
        <v>29.162600000000001</v>
      </c>
      <c r="C241" s="14">
        <f>27.5856 * CHOOSE(CONTROL!$C$15, $E$9, 100%, $G$9) + CHOOSE(CONTROL!$C$38, 0.0347, 0)</f>
        <v>27.6203</v>
      </c>
      <c r="D241" s="14">
        <f>27.5777 * CHOOSE(CONTROL!$C$15, $E$9, 100%, $G$9) + CHOOSE(CONTROL!$C$38, 0.0347, 0)</f>
        <v>27.612400000000001</v>
      </c>
      <c r="E241" s="46">
        <f>28.9807 * CHOOSE(CONTROL!$C$15, $E$9, 100%, $G$9) + CHOOSE(CONTROL!$C$38, 0.0347, 0)</f>
        <v>29.0154</v>
      </c>
      <c r="F241" s="45">
        <f>28.9807 * CHOOSE(CONTROL!$C$15, $E$9, 100%, $G$9) + CHOOSE(CONTROL!$C$38, 0.0256, 0)</f>
        <v>29.0063</v>
      </c>
      <c r="G241" s="14">
        <f>27.584 * CHOOSE(CONTROL!$C$15, $E$9, 100%, $G$9) + CHOOSE(CONTROL!$C$38, 0.0347, 0)</f>
        <v>27.6187</v>
      </c>
      <c r="H241" s="14">
        <f>27.584 * CHOOSE(CONTROL!$C$15, $E$9, 100%, $G$9) + CHOOSE(CONTROL!$C$38, 0.0347, 0)</f>
        <v>27.6187</v>
      </c>
      <c r="I241" s="14">
        <f>27.5856 * CHOOSE(CONTROL!$C$15, $E$9, 100%, $G$9) + CHOOSE(CONTROL!$C$38, 0.0347, 0)</f>
        <v>27.6203</v>
      </c>
      <c r="J241" s="44">
        <f>162.2234</f>
        <v>162.2234</v>
      </c>
    </row>
    <row r="242" spans="1:10" ht="15" x14ac:dyDescent="0.2">
      <c r="A242" s="13">
        <v>48274</v>
      </c>
      <c r="B242" s="14">
        <f>28.3399 * CHOOSE(CONTROL!$C$15, $E$9, 100%, $G$9) + CHOOSE(CONTROL!$C$38, 0.0256, 0)</f>
        <v>28.365500000000001</v>
      </c>
      <c r="C242" s="14">
        <f>26.7885 * CHOOSE(CONTROL!$C$15, $E$9, 100%, $G$9) + CHOOSE(CONTROL!$C$38, 0.0347, 0)</f>
        <v>26.8232</v>
      </c>
      <c r="D242" s="14">
        <f>26.7807 * CHOOSE(CONTROL!$C$15, $E$9, 100%, $G$9) + CHOOSE(CONTROL!$C$38, 0.0347, 0)</f>
        <v>26.8154</v>
      </c>
      <c r="E242" s="46">
        <f>28.1837 * CHOOSE(CONTROL!$C$15, $E$9, 100%, $G$9) + CHOOSE(CONTROL!$C$38, 0.0347, 0)</f>
        <v>28.218400000000003</v>
      </c>
      <c r="F242" s="45">
        <f>28.1837 * CHOOSE(CONTROL!$C$15, $E$9, 100%, $G$9) + CHOOSE(CONTROL!$C$38, 0.0256, 0)</f>
        <v>28.209300000000002</v>
      </c>
      <c r="G242" s="14">
        <f>26.787 * CHOOSE(CONTROL!$C$15, $E$9, 100%, $G$9) + CHOOSE(CONTROL!$C$38, 0.0347, 0)</f>
        <v>26.8217</v>
      </c>
      <c r="H242" s="14">
        <f>26.787 * CHOOSE(CONTROL!$C$15, $E$9, 100%, $G$9) + CHOOSE(CONTROL!$C$38, 0.0347, 0)</f>
        <v>26.8217</v>
      </c>
      <c r="I242" s="14">
        <f>26.7885 * CHOOSE(CONTROL!$C$15, $E$9, 100%, $G$9) + CHOOSE(CONTROL!$C$38, 0.0347, 0)</f>
        <v>26.8232</v>
      </c>
      <c r="J242" s="44">
        <f>170.7735</f>
        <v>170.77350000000001</v>
      </c>
    </row>
    <row r="243" spans="1:10" ht="15" x14ac:dyDescent="0.2">
      <c r="A243" s="13">
        <v>48305</v>
      </c>
      <c r="B243" s="14">
        <f>27.5676 * CHOOSE(CONTROL!$C$15, $E$9, 100%, $G$9) + CHOOSE(CONTROL!$C$38, 0.0256, 0)</f>
        <v>27.5932</v>
      </c>
      <c r="C243" s="14">
        <f>26.0162 * CHOOSE(CONTROL!$C$15, $E$9, 100%, $G$9) + CHOOSE(CONTROL!$C$38, 0.0347, 0)</f>
        <v>26.050900000000002</v>
      </c>
      <c r="D243" s="14">
        <f>26.0084 * CHOOSE(CONTROL!$C$15, $E$9, 100%, $G$9) + CHOOSE(CONTROL!$C$38, 0.0347, 0)</f>
        <v>26.043100000000003</v>
      </c>
      <c r="E243" s="46">
        <f>27.4114 * CHOOSE(CONTROL!$C$15, $E$9, 100%, $G$9) + CHOOSE(CONTROL!$C$38, 0.0347, 0)</f>
        <v>27.446100000000001</v>
      </c>
      <c r="F243" s="45">
        <f>27.4114 * CHOOSE(CONTROL!$C$15, $E$9, 100%, $G$9) + CHOOSE(CONTROL!$C$38, 0.0256, 0)</f>
        <v>27.437000000000001</v>
      </c>
      <c r="G243" s="14">
        <f>26.0146 * CHOOSE(CONTROL!$C$15, $E$9, 100%, $G$9) + CHOOSE(CONTROL!$C$38, 0.0347, 0)</f>
        <v>26.049300000000002</v>
      </c>
      <c r="H243" s="14">
        <f>26.0146 * CHOOSE(CONTROL!$C$15, $E$9, 100%, $G$9) + CHOOSE(CONTROL!$C$38, 0.0347, 0)</f>
        <v>26.049300000000002</v>
      </c>
      <c r="I243" s="14">
        <f>26.0162 * CHOOSE(CONTROL!$C$15, $E$9, 100%, $G$9) + CHOOSE(CONTROL!$C$38, 0.0347, 0)</f>
        <v>26.050900000000002</v>
      </c>
      <c r="J243" s="44">
        <f>181.861</f>
        <v>181.86099999999999</v>
      </c>
    </row>
    <row r="244" spans="1:10" ht="15" x14ac:dyDescent="0.2">
      <c r="A244" s="13">
        <v>48335</v>
      </c>
      <c r="B244" s="14">
        <f>26.7627 * CHOOSE(CONTROL!$C$15, $E$9, 100%, $G$9) + CHOOSE(CONTROL!$C$38, 0.0278, 0)</f>
        <v>26.790499999999998</v>
      </c>
      <c r="C244" s="14">
        <f>25.2112 * CHOOSE(CONTROL!$C$15, $E$9, 100%, $G$9) + CHOOSE(CONTROL!$C$38, 0.0369, 0)</f>
        <v>25.248100000000001</v>
      </c>
      <c r="D244" s="14">
        <f>25.2034 * CHOOSE(CONTROL!$C$15, $E$9, 100%, $G$9) + CHOOSE(CONTROL!$C$38, 0.0369, 0)</f>
        <v>25.240299999999998</v>
      </c>
      <c r="E244" s="46">
        <f>26.6064 * CHOOSE(CONTROL!$C$15, $E$9, 100%, $G$9) + CHOOSE(CONTROL!$C$38, 0.0369, 0)</f>
        <v>26.6433</v>
      </c>
      <c r="F244" s="45">
        <f>26.6064 * CHOOSE(CONTROL!$C$15, $E$9, 100%, $G$9) + CHOOSE(CONTROL!$C$38, 0.0278, 0)</f>
        <v>26.6342</v>
      </c>
      <c r="G244" s="14">
        <f>25.2097 * CHOOSE(CONTROL!$C$15, $E$9, 100%, $G$9) + CHOOSE(CONTROL!$C$38, 0.0369, 0)</f>
        <v>25.246600000000001</v>
      </c>
      <c r="H244" s="14">
        <f>25.2097 * CHOOSE(CONTROL!$C$15, $E$9, 100%, $G$9) + CHOOSE(CONTROL!$C$38, 0.0369, 0)</f>
        <v>25.246600000000001</v>
      </c>
      <c r="I244" s="14">
        <f>25.2112 * CHOOSE(CONTROL!$C$15, $E$9, 100%, $G$9) + CHOOSE(CONTROL!$C$38, 0.0369, 0)</f>
        <v>25.248100000000001</v>
      </c>
      <c r="J244" s="44">
        <f>187.9639</f>
        <v>187.9639</v>
      </c>
    </row>
    <row r="245" spans="1:10" ht="15" x14ac:dyDescent="0.2">
      <c r="A245" s="13">
        <v>48366</v>
      </c>
      <c r="B245" s="14">
        <f>26.1983 * CHOOSE(CONTROL!$C$15, $E$9, 100%, $G$9) + CHOOSE(CONTROL!$C$38, 0.0278, 0)</f>
        <v>26.226099999999999</v>
      </c>
      <c r="C245" s="14">
        <f>24.6469 * CHOOSE(CONTROL!$C$15, $E$9, 100%, $G$9) + CHOOSE(CONTROL!$C$38, 0.0369, 0)</f>
        <v>24.683799999999998</v>
      </c>
      <c r="D245" s="14">
        <f>24.6391 * CHOOSE(CONTROL!$C$15, $E$9, 100%, $G$9) + CHOOSE(CONTROL!$C$38, 0.0369, 0)</f>
        <v>24.675999999999998</v>
      </c>
      <c r="E245" s="46">
        <f>26.0421 * CHOOSE(CONTROL!$C$15, $E$9, 100%, $G$9) + CHOOSE(CONTROL!$C$38, 0.0369, 0)</f>
        <v>26.079000000000001</v>
      </c>
      <c r="F245" s="45">
        <f>26.0421 * CHOOSE(CONTROL!$C$15, $E$9, 100%, $G$9) + CHOOSE(CONTROL!$C$38, 0.0278, 0)</f>
        <v>26.069900000000001</v>
      </c>
      <c r="G245" s="14">
        <f>24.6453 * CHOOSE(CONTROL!$C$15, $E$9, 100%, $G$9) + CHOOSE(CONTROL!$C$38, 0.0369, 0)</f>
        <v>24.682199999999998</v>
      </c>
      <c r="H245" s="14">
        <f>24.6453 * CHOOSE(CONTROL!$C$15, $E$9, 100%, $G$9) + CHOOSE(CONTROL!$C$38, 0.0369, 0)</f>
        <v>24.682199999999998</v>
      </c>
      <c r="I245" s="14">
        <f>24.6469 * CHOOSE(CONTROL!$C$15, $E$9, 100%, $G$9) + CHOOSE(CONTROL!$C$38, 0.0369, 0)</f>
        <v>24.683799999999998</v>
      </c>
      <c r="J245" s="44">
        <f>190.6722</f>
        <v>190.6722</v>
      </c>
    </row>
    <row r="246" spans="1:10" ht="15" x14ac:dyDescent="0.2">
      <c r="A246" s="13">
        <v>48396</v>
      </c>
      <c r="B246" s="14">
        <f>25.8763 * CHOOSE(CONTROL!$C$15, $E$9, 100%, $G$9) + CHOOSE(CONTROL!$C$38, 0.0278, 0)</f>
        <v>25.9041</v>
      </c>
      <c r="C246" s="14">
        <f>24.3249 * CHOOSE(CONTROL!$C$15, $E$9, 100%, $G$9) + CHOOSE(CONTROL!$C$38, 0.0369, 0)</f>
        <v>24.361799999999999</v>
      </c>
      <c r="D246" s="14">
        <f>24.317 * CHOOSE(CONTROL!$C$15, $E$9, 100%, $G$9) + CHOOSE(CONTROL!$C$38, 0.0369, 0)</f>
        <v>24.353899999999999</v>
      </c>
      <c r="E246" s="46">
        <f>25.72 * CHOOSE(CONTROL!$C$15, $E$9, 100%, $G$9) + CHOOSE(CONTROL!$C$38, 0.0369, 0)</f>
        <v>25.756899999999998</v>
      </c>
      <c r="F246" s="45">
        <f>25.72 * CHOOSE(CONTROL!$C$15, $E$9, 100%, $G$9) + CHOOSE(CONTROL!$C$38, 0.0278, 0)</f>
        <v>25.747799999999998</v>
      </c>
      <c r="G246" s="14">
        <f>24.3233 * CHOOSE(CONTROL!$C$15, $E$9, 100%, $G$9) + CHOOSE(CONTROL!$C$38, 0.0369, 0)</f>
        <v>24.360199999999999</v>
      </c>
      <c r="H246" s="14">
        <f>24.3233 * CHOOSE(CONTROL!$C$15, $E$9, 100%, $G$9) + CHOOSE(CONTROL!$C$38, 0.0369, 0)</f>
        <v>24.360199999999999</v>
      </c>
      <c r="I246" s="14">
        <f>24.3249 * CHOOSE(CONTROL!$C$15, $E$9, 100%, $G$9) + CHOOSE(CONTROL!$C$38, 0.0369, 0)</f>
        <v>24.361799999999999</v>
      </c>
      <c r="J246" s="44">
        <f>189.7805</f>
        <v>189.78049999999999</v>
      </c>
    </row>
    <row r="247" spans="1:10" ht="15" x14ac:dyDescent="0.2">
      <c r="A247" s="13">
        <v>48427</v>
      </c>
      <c r="B247" s="14">
        <f>26.0352 * CHOOSE(CONTROL!$C$15, $E$9, 100%, $G$9) + CHOOSE(CONTROL!$C$38, 0.0278, 0)</f>
        <v>26.062999999999999</v>
      </c>
      <c r="C247" s="14">
        <f>24.4838 * CHOOSE(CONTROL!$C$15, $E$9, 100%, $G$9) + CHOOSE(CONTROL!$C$38, 0.0369, 0)</f>
        <v>24.520699999999998</v>
      </c>
      <c r="D247" s="14">
        <f>24.476 * CHOOSE(CONTROL!$C$15, $E$9, 100%, $G$9) + CHOOSE(CONTROL!$C$38, 0.0369, 0)</f>
        <v>24.512899999999998</v>
      </c>
      <c r="E247" s="46">
        <f>25.879 * CHOOSE(CONTROL!$C$15, $E$9, 100%, $G$9) + CHOOSE(CONTROL!$C$38, 0.0369, 0)</f>
        <v>25.915900000000001</v>
      </c>
      <c r="F247" s="45">
        <f>25.879 * CHOOSE(CONTROL!$C$15, $E$9, 100%, $G$9) + CHOOSE(CONTROL!$C$38, 0.0278, 0)</f>
        <v>25.9068</v>
      </c>
      <c r="G247" s="14">
        <f>24.4822 * CHOOSE(CONTROL!$C$15, $E$9, 100%, $G$9) + CHOOSE(CONTROL!$C$38, 0.0369, 0)</f>
        <v>24.519099999999998</v>
      </c>
      <c r="H247" s="14">
        <f>24.4822 * CHOOSE(CONTROL!$C$15, $E$9, 100%, $G$9) + CHOOSE(CONTROL!$C$38, 0.0369, 0)</f>
        <v>24.519099999999998</v>
      </c>
      <c r="I247" s="14">
        <f>24.4838 * CHOOSE(CONTROL!$C$15, $E$9, 100%, $G$9) + CHOOSE(CONTROL!$C$38, 0.0369, 0)</f>
        <v>24.520699999999998</v>
      </c>
      <c r="J247" s="44">
        <f>185.3625</f>
        <v>185.36250000000001</v>
      </c>
    </row>
    <row r="248" spans="1:10" ht="15" x14ac:dyDescent="0.2">
      <c r="A248" s="13">
        <v>48458</v>
      </c>
      <c r="B248" s="14">
        <f>26.4669 * CHOOSE(CONTROL!$C$15, $E$9, 100%, $G$9) + CHOOSE(CONTROL!$C$38, 0.0278, 0)</f>
        <v>26.494699999999998</v>
      </c>
      <c r="C248" s="14">
        <f>24.9155 * CHOOSE(CONTROL!$C$15, $E$9, 100%, $G$9) + CHOOSE(CONTROL!$C$38, 0.0369, 0)</f>
        <v>24.952400000000001</v>
      </c>
      <c r="D248" s="14">
        <f>24.9077 * CHOOSE(CONTROL!$C$15, $E$9, 100%, $G$9) + CHOOSE(CONTROL!$C$38, 0.0369, 0)</f>
        <v>24.944599999999998</v>
      </c>
      <c r="E248" s="46">
        <f>26.3107 * CHOOSE(CONTROL!$C$15, $E$9, 100%, $G$9) + CHOOSE(CONTROL!$C$38, 0.0369, 0)</f>
        <v>26.3476</v>
      </c>
      <c r="F248" s="45">
        <f>26.3107 * CHOOSE(CONTROL!$C$15, $E$9, 100%, $G$9) + CHOOSE(CONTROL!$C$38, 0.0278, 0)</f>
        <v>26.3385</v>
      </c>
      <c r="G248" s="14">
        <f>24.9139 * CHOOSE(CONTROL!$C$15, $E$9, 100%, $G$9) + CHOOSE(CONTROL!$C$38, 0.0369, 0)</f>
        <v>24.950800000000001</v>
      </c>
      <c r="H248" s="14">
        <f>24.9139 * CHOOSE(CONTROL!$C$15, $E$9, 100%, $G$9) + CHOOSE(CONTROL!$C$38, 0.0369, 0)</f>
        <v>24.950800000000001</v>
      </c>
      <c r="I248" s="14">
        <f>24.9155 * CHOOSE(CONTROL!$C$15, $E$9, 100%, $G$9) + CHOOSE(CONTROL!$C$38, 0.0369, 0)</f>
        <v>24.952400000000001</v>
      </c>
      <c r="J248" s="44">
        <f>179.2014</f>
        <v>179.20140000000001</v>
      </c>
    </row>
    <row r="249" spans="1:10" ht="15" x14ac:dyDescent="0.2">
      <c r="A249" s="13">
        <v>48488</v>
      </c>
      <c r="B249" s="14">
        <f>26.8285 * CHOOSE(CONTROL!$C$15, $E$9, 100%, $G$9) + CHOOSE(CONTROL!$C$38, 0.0256, 0)</f>
        <v>26.854099999999999</v>
      </c>
      <c r="C249" s="14">
        <f>25.2771 * CHOOSE(CONTROL!$C$15, $E$9, 100%, $G$9) + CHOOSE(CONTROL!$C$38, 0.0347, 0)</f>
        <v>25.311800000000002</v>
      </c>
      <c r="D249" s="14">
        <f>25.2693 * CHOOSE(CONTROL!$C$15, $E$9, 100%, $G$9) + CHOOSE(CONTROL!$C$38, 0.0347, 0)</f>
        <v>25.304000000000002</v>
      </c>
      <c r="E249" s="46">
        <f>26.6722 * CHOOSE(CONTROL!$C$15, $E$9, 100%, $G$9) + CHOOSE(CONTROL!$C$38, 0.0347, 0)</f>
        <v>26.706900000000001</v>
      </c>
      <c r="F249" s="45">
        <f>26.6722 * CHOOSE(CONTROL!$C$15, $E$9, 100%, $G$9) + CHOOSE(CONTROL!$C$38, 0.0256, 0)</f>
        <v>26.697800000000001</v>
      </c>
      <c r="G249" s="14">
        <f>25.2755 * CHOOSE(CONTROL!$C$15, $E$9, 100%, $G$9) + CHOOSE(CONTROL!$C$38, 0.0347, 0)</f>
        <v>25.310200000000002</v>
      </c>
      <c r="H249" s="14">
        <f>25.2755 * CHOOSE(CONTROL!$C$15, $E$9, 100%, $G$9) + CHOOSE(CONTROL!$C$38, 0.0347, 0)</f>
        <v>25.310200000000002</v>
      </c>
      <c r="I249" s="14">
        <f>25.2771 * CHOOSE(CONTROL!$C$15, $E$9, 100%, $G$9) + CHOOSE(CONTROL!$C$38, 0.0347, 0)</f>
        <v>25.311800000000002</v>
      </c>
      <c r="J249" s="44">
        <f>173.0044</f>
        <v>173.0044</v>
      </c>
    </row>
    <row r="250" spans="1:10" ht="15" x14ac:dyDescent="0.2">
      <c r="A250" s="13">
        <v>48519</v>
      </c>
      <c r="B250" s="14">
        <f>27.1302 * CHOOSE(CONTROL!$C$15, $E$9, 100%, $G$9) + CHOOSE(CONTROL!$C$38, 0.0256, 0)</f>
        <v>27.155799999999999</v>
      </c>
      <c r="C250" s="14">
        <f>25.5788 * CHOOSE(CONTROL!$C$15, $E$9, 100%, $G$9) + CHOOSE(CONTROL!$C$38, 0.0347, 0)</f>
        <v>25.613500000000002</v>
      </c>
      <c r="D250" s="14">
        <f>25.571 * CHOOSE(CONTROL!$C$15, $E$9, 100%, $G$9) + CHOOSE(CONTROL!$C$38, 0.0347, 0)</f>
        <v>25.605700000000002</v>
      </c>
      <c r="E250" s="46">
        <f>26.9739 * CHOOSE(CONTROL!$C$15, $E$9, 100%, $G$9) + CHOOSE(CONTROL!$C$38, 0.0347, 0)</f>
        <v>27.008600000000001</v>
      </c>
      <c r="F250" s="45">
        <f>26.9739 * CHOOSE(CONTROL!$C$15, $E$9, 100%, $G$9) + CHOOSE(CONTROL!$C$38, 0.0256, 0)</f>
        <v>26.999500000000001</v>
      </c>
      <c r="G250" s="14">
        <f>25.5772 * CHOOSE(CONTROL!$C$15, $E$9, 100%, $G$9) + CHOOSE(CONTROL!$C$38, 0.0347, 0)</f>
        <v>25.611900000000002</v>
      </c>
      <c r="H250" s="14">
        <f>25.5772 * CHOOSE(CONTROL!$C$15, $E$9, 100%, $G$9) + CHOOSE(CONTROL!$C$38, 0.0347, 0)</f>
        <v>25.611900000000002</v>
      </c>
      <c r="I250" s="14">
        <f>25.5788 * CHOOSE(CONTROL!$C$15, $E$9, 100%, $G$9) + CHOOSE(CONTROL!$C$38, 0.0347, 0)</f>
        <v>25.613500000000002</v>
      </c>
      <c r="J250" s="44">
        <f>171.7717</f>
        <v>171.77170000000001</v>
      </c>
    </row>
    <row r="251" spans="1:10" ht="15" x14ac:dyDescent="0.2">
      <c r="A251" s="13">
        <v>48549</v>
      </c>
      <c r="B251" s="14">
        <f>28.0599 * CHOOSE(CONTROL!$C$15, $E$9, 100%, $G$9) + CHOOSE(CONTROL!$C$38, 0.0256, 0)</f>
        <v>28.0855</v>
      </c>
      <c r="C251" s="14">
        <f>26.5084 * CHOOSE(CONTROL!$C$15, $E$9, 100%, $G$9) + CHOOSE(CONTROL!$C$38, 0.0347, 0)</f>
        <v>26.543100000000003</v>
      </c>
      <c r="D251" s="14">
        <f>26.5006 * CHOOSE(CONTROL!$C$15, $E$9, 100%, $G$9) + CHOOSE(CONTROL!$C$38, 0.0347, 0)</f>
        <v>26.535299999999999</v>
      </c>
      <c r="E251" s="46">
        <f>27.9036 * CHOOSE(CONTROL!$C$15, $E$9, 100%, $G$9) + CHOOSE(CONTROL!$C$38, 0.0347, 0)</f>
        <v>27.938300000000002</v>
      </c>
      <c r="F251" s="45">
        <f>27.9036 * CHOOSE(CONTROL!$C$15, $E$9, 100%, $G$9) + CHOOSE(CONTROL!$C$38, 0.0256, 0)</f>
        <v>27.929200000000002</v>
      </c>
      <c r="G251" s="14">
        <f>26.5069 * CHOOSE(CONTROL!$C$15, $E$9, 100%, $G$9) + CHOOSE(CONTROL!$C$38, 0.0347, 0)</f>
        <v>26.541600000000003</v>
      </c>
      <c r="H251" s="14">
        <f>26.5069 * CHOOSE(CONTROL!$C$15, $E$9, 100%, $G$9) + CHOOSE(CONTROL!$C$38, 0.0347, 0)</f>
        <v>26.541600000000003</v>
      </c>
      <c r="I251" s="14">
        <f>26.5084 * CHOOSE(CONTROL!$C$15, $E$9, 100%, $G$9) + CHOOSE(CONTROL!$C$38, 0.0347, 0)</f>
        <v>26.543100000000003</v>
      </c>
      <c r="J251" s="44">
        <f>166.6744</f>
        <v>166.67439999999999</v>
      </c>
    </row>
    <row r="252" spans="1:10" ht="15" x14ac:dyDescent="0.2">
      <c r="A252" s="13">
        <v>48580</v>
      </c>
      <c r="B252" s="14">
        <f>29.2404 * CHOOSE(CONTROL!$C$15, $E$9, 100%, $G$9) + CHOOSE(CONTROL!$C$38, 0.0256, 0)</f>
        <v>29.266000000000002</v>
      </c>
      <c r="C252" s="14">
        <f>27.6655 * CHOOSE(CONTROL!$C$15, $E$9, 100%, $G$9) + CHOOSE(CONTROL!$C$38, 0.0347, 0)</f>
        <v>27.700200000000002</v>
      </c>
      <c r="D252" s="14">
        <f>27.6577 * CHOOSE(CONTROL!$C$15, $E$9, 100%, $G$9) + CHOOSE(CONTROL!$C$38, 0.0347, 0)</f>
        <v>27.692399999999999</v>
      </c>
      <c r="E252" s="46">
        <f>29.0841 * CHOOSE(CONTROL!$C$15, $E$9, 100%, $G$9) + CHOOSE(CONTROL!$C$38, 0.0347, 0)</f>
        <v>29.1188</v>
      </c>
      <c r="F252" s="45">
        <f>29.0841 * CHOOSE(CONTROL!$C$15, $E$9, 100%, $G$9) + CHOOSE(CONTROL!$C$38, 0.0256, 0)</f>
        <v>29.1097</v>
      </c>
      <c r="G252" s="14">
        <f>27.6639 * CHOOSE(CONTROL!$C$15, $E$9, 100%, $G$9) + CHOOSE(CONTROL!$C$38, 0.0347, 0)</f>
        <v>27.698600000000003</v>
      </c>
      <c r="H252" s="14">
        <f>27.6639 * CHOOSE(CONTROL!$C$15, $E$9, 100%, $G$9) + CHOOSE(CONTROL!$C$38, 0.0347, 0)</f>
        <v>27.698600000000003</v>
      </c>
      <c r="I252" s="14">
        <f>27.6655 * CHOOSE(CONTROL!$C$15, $E$9, 100%, $G$9) + CHOOSE(CONTROL!$C$38, 0.0347, 0)</f>
        <v>27.700200000000002</v>
      </c>
      <c r="J252" s="44">
        <f>166.4594</f>
        <v>166.45939999999999</v>
      </c>
    </row>
    <row r="253" spans="1:10" ht="15" x14ac:dyDescent="0.2">
      <c r="A253" s="13">
        <v>48611</v>
      </c>
      <c r="B253" s="14">
        <f>29.5847 * CHOOSE(CONTROL!$C$15, $E$9, 100%, $G$9) + CHOOSE(CONTROL!$C$38, 0.0256, 0)</f>
        <v>29.610300000000002</v>
      </c>
      <c r="C253" s="14">
        <f>28.0098 * CHOOSE(CONTROL!$C$15, $E$9, 100%, $G$9) + CHOOSE(CONTROL!$C$38, 0.0347, 0)</f>
        <v>28.044499999999999</v>
      </c>
      <c r="D253" s="14">
        <f>28.002 * CHOOSE(CONTROL!$C$15, $E$9, 100%, $G$9) + CHOOSE(CONTROL!$C$38, 0.0347, 0)</f>
        <v>28.0367</v>
      </c>
      <c r="E253" s="46">
        <f>29.4284 * CHOOSE(CONTROL!$C$15, $E$9, 100%, $G$9) + CHOOSE(CONTROL!$C$38, 0.0347, 0)</f>
        <v>29.463100000000001</v>
      </c>
      <c r="F253" s="45">
        <f>29.4284 * CHOOSE(CONTROL!$C$15, $E$9, 100%, $G$9) + CHOOSE(CONTROL!$C$38, 0.0256, 0)</f>
        <v>29.454000000000001</v>
      </c>
      <c r="G253" s="14">
        <f>28.0083 * CHOOSE(CONTROL!$C$15, $E$9, 100%, $G$9) + CHOOSE(CONTROL!$C$38, 0.0347, 0)</f>
        <v>28.042999999999999</v>
      </c>
      <c r="H253" s="14">
        <f>28.0083 * CHOOSE(CONTROL!$C$15, $E$9, 100%, $G$9) + CHOOSE(CONTROL!$C$38, 0.0347, 0)</f>
        <v>28.042999999999999</v>
      </c>
      <c r="I253" s="14">
        <f>28.0098 * CHOOSE(CONTROL!$C$15, $E$9, 100%, $G$9) + CHOOSE(CONTROL!$C$38, 0.0347, 0)</f>
        <v>28.044499999999999</v>
      </c>
      <c r="J253" s="44">
        <f>165.9967</f>
        <v>165.9967</v>
      </c>
    </row>
    <row r="254" spans="1:10" ht="15" x14ac:dyDescent="0.2">
      <c r="A254" s="13">
        <v>48639</v>
      </c>
      <c r="B254" s="14">
        <f>28.7876 * CHOOSE(CONTROL!$C$15, $E$9, 100%, $G$9) + CHOOSE(CONTROL!$C$38, 0.0256, 0)</f>
        <v>28.813200000000002</v>
      </c>
      <c r="C254" s="14">
        <f>27.2128 * CHOOSE(CONTROL!$C$15, $E$9, 100%, $G$9) + CHOOSE(CONTROL!$C$38, 0.0347, 0)</f>
        <v>27.247500000000002</v>
      </c>
      <c r="D254" s="14">
        <f>27.205 * CHOOSE(CONTROL!$C$15, $E$9, 100%, $G$9) + CHOOSE(CONTROL!$C$38, 0.0347, 0)</f>
        <v>27.239699999999999</v>
      </c>
      <c r="E254" s="46">
        <f>28.6314 * CHOOSE(CONTROL!$C$15, $E$9, 100%, $G$9) + CHOOSE(CONTROL!$C$38, 0.0347, 0)</f>
        <v>28.6661</v>
      </c>
      <c r="F254" s="45">
        <f>28.6314 * CHOOSE(CONTROL!$C$15, $E$9, 100%, $G$9) + CHOOSE(CONTROL!$C$38, 0.0256, 0)</f>
        <v>28.657</v>
      </c>
      <c r="G254" s="14">
        <f>27.2112 * CHOOSE(CONTROL!$C$15, $E$9, 100%, $G$9) + CHOOSE(CONTROL!$C$38, 0.0347, 0)</f>
        <v>27.245900000000002</v>
      </c>
      <c r="H254" s="14">
        <f>27.2112 * CHOOSE(CONTROL!$C$15, $E$9, 100%, $G$9) + CHOOSE(CONTROL!$C$38, 0.0347, 0)</f>
        <v>27.245900000000002</v>
      </c>
      <c r="I254" s="14">
        <f>27.2128 * CHOOSE(CONTROL!$C$15, $E$9, 100%, $G$9) + CHOOSE(CONTROL!$C$38, 0.0347, 0)</f>
        <v>27.247500000000002</v>
      </c>
      <c r="J254" s="44">
        <f>174.7457</f>
        <v>174.7457</v>
      </c>
    </row>
    <row r="255" spans="1:10" ht="15" x14ac:dyDescent="0.2">
      <c r="A255" s="13">
        <v>48670</v>
      </c>
      <c r="B255" s="14">
        <f>28.0153 * CHOOSE(CONTROL!$C$15, $E$9, 100%, $G$9) + CHOOSE(CONTROL!$C$38, 0.0256, 0)</f>
        <v>28.040900000000001</v>
      </c>
      <c r="C255" s="14">
        <f>26.4405 * CHOOSE(CONTROL!$C$15, $E$9, 100%, $G$9) + CHOOSE(CONTROL!$C$38, 0.0347, 0)</f>
        <v>26.475200000000001</v>
      </c>
      <c r="D255" s="14">
        <f>26.4327 * CHOOSE(CONTROL!$C$15, $E$9, 100%, $G$9) + CHOOSE(CONTROL!$C$38, 0.0347, 0)</f>
        <v>26.467400000000001</v>
      </c>
      <c r="E255" s="46">
        <f>27.8591 * CHOOSE(CONTROL!$C$15, $E$9, 100%, $G$9) + CHOOSE(CONTROL!$C$38, 0.0347, 0)</f>
        <v>27.893800000000002</v>
      </c>
      <c r="F255" s="45">
        <f>27.8591 * CHOOSE(CONTROL!$C$15, $E$9, 100%, $G$9) + CHOOSE(CONTROL!$C$38, 0.0256, 0)</f>
        <v>27.884700000000002</v>
      </c>
      <c r="G255" s="14">
        <f>26.4389 * CHOOSE(CONTROL!$C$15, $E$9, 100%, $G$9) + CHOOSE(CONTROL!$C$38, 0.0347, 0)</f>
        <v>26.473600000000001</v>
      </c>
      <c r="H255" s="14">
        <f>26.4389 * CHOOSE(CONTROL!$C$15, $E$9, 100%, $G$9) + CHOOSE(CONTROL!$C$38, 0.0347, 0)</f>
        <v>26.473600000000001</v>
      </c>
      <c r="I255" s="14">
        <f>26.4405 * CHOOSE(CONTROL!$C$15, $E$9, 100%, $G$9) + CHOOSE(CONTROL!$C$38, 0.0347, 0)</f>
        <v>26.475200000000001</v>
      </c>
      <c r="J255" s="44">
        <f>186.0911</f>
        <v>186.09110000000001</v>
      </c>
    </row>
    <row r="256" spans="1:10" ht="15" x14ac:dyDescent="0.2">
      <c r="A256" s="13">
        <v>48700</v>
      </c>
      <c r="B256" s="14">
        <f>27.2104 * CHOOSE(CONTROL!$C$15, $E$9, 100%, $G$9) + CHOOSE(CONTROL!$C$38, 0.0278, 0)</f>
        <v>27.238199999999999</v>
      </c>
      <c r="C256" s="14">
        <f>25.6355 * CHOOSE(CONTROL!$C$15, $E$9, 100%, $G$9) + CHOOSE(CONTROL!$C$38, 0.0369, 0)</f>
        <v>25.6724</v>
      </c>
      <c r="D256" s="14">
        <f>25.6277 * CHOOSE(CONTROL!$C$15, $E$9, 100%, $G$9) + CHOOSE(CONTROL!$C$38, 0.0369, 0)</f>
        <v>25.6646</v>
      </c>
      <c r="E256" s="46">
        <f>27.0541 * CHOOSE(CONTROL!$C$15, $E$9, 100%, $G$9) + CHOOSE(CONTROL!$C$38, 0.0369, 0)</f>
        <v>27.090999999999998</v>
      </c>
      <c r="F256" s="45">
        <f>27.0541 * CHOOSE(CONTROL!$C$15, $E$9, 100%, $G$9) + CHOOSE(CONTROL!$C$38, 0.0278, 0)</f>
        <v>27.081899999999997</v>
      </c>
      <c r="G256" s="14">
        <f>25.6339 * CHOOSE(CONTROL!$C$15, $E$9, 100%, $G$9) + CHOOSE(CONTROL!$C$38, 0.0369, 0)</f>
        <v>25.6708</v>
      </c>
      <c r="H256" s="14">
        <f>25.6339 * CHOOSE(CONTROL!$C$15, $E$9, 100%, $G$9) + CHOOSE(CONTROL!$C$38, 0.0369, 0)</f>
        <v>25.6708</v>
      </c>
      <c r="I256" s="14">
        <f>25.6355 * CHOOSE(CONTROL!$C$15, $E$9, 100%, $G$9) + CHOOSE(CONTROL!$C$38, 0.0369, 0)</f>
        <v>25.6724</v>
      </c>
      <c r="J256" s="44">
        <f>192.3359</f>
        <v>192.33590000000001</v>
      </c>
    </row>
    <row r="257" spans="1:10" ht="15" x14ac:dyDescent="0.2">
      <c r="A257" s="13">
        <v>48731</v>
      </c>
      <c r="B257" s="14">
        <f>26.646 * CHOOSE(CONTROL!$C$15, $E$9, 100%, $G$9) + CHOOSE(CONTROL!$C$38, 0.0278, 0)</f>
        <v>26.6738</v>
      </c>
      <c r="C257" s="14">
        <f>25.0712 * CHOOSE(CONTROL!$C$15, $E$9, 100%, $G$9) + CHOOSE(CONTROL!$C$38, 0.0369, 0)</f>
        <v>25.1081</v>
      </c>
      <c r="D257" s="14">
        <f>25.0634 * CHOOSE(CONTROL!$C$15, $E$9, 100%, $G$9) + CHOOSE(CONTROL!$C$38, 0.0369, 0)</f>
        <v>25.100300000000001</v>
      </c>
      <c r="E257" s="46">
        <f>26.4898 * CHOOSE(CONTROL!$C$15, $E$9, 100%, $G$9) + CHOOSE(CONTROL!$C$38, 0.0369, 0)</f>
        <v>26.526699999999998</v>
      </c>
      <c r="F257" s="45">
        <f>26.4898 * CHOOSE(CONTROL!$C$15, $E$9, 100%, $G$9) + CHOOSE(CONTROL!$C$38, 0.0278, 0)</f>
        <v>26.517599999999998</v>
      </c>
      <c r="G257" s="14">
        <f>25.0696 * CHOOSE(CONTROL!$C$15, $E$9, 100%, $G$9) + CHOOSE(CONTROL!$C$38, 0.0369, 0)</f>
        <v>25.1065</v>
      </c>
      <c r="H257" s="14">
        <f>25.0696 * CHOOSE(CONTROL!$C$15, $E$9, 100%, $G$9) + CHOOSE(CONTROL!$C$38, 0.0369, 0)</f>
        <v>25.1065</v>
      </c>
      <c r="I257" s="14">
        <f>25.0712 * CHOOSE(CONTROL!$C$15, $E$9, 100%, $G$9) + CHOOSE(CONTROL!$C$38, 0.0369, 0)</f>
        <v>25.1081</v>
      </c>
      <c r="J257" s="44">
        <f>195.1073</f>
        <v>195.10730000000001</v>
      </c>
    </row>
    <row r="258" spans="1:10" ht="15" x14ac:dyDescent="0.2">
      <c r="A258" s="13">
        <v>48761</v>
      </c>
      <c r="B258" s="14">
        <f>26.324 * CHOOSE(CONTROL!$C$15, $E$9, 100%, $G$9) + CHOOSE(CONTROL!$C$38, 0.0278, 0)</f>
        <v>26.351800000000001</v>
      </c>
      <c r="C258" s="14">
        <f>24.7491 * CHOOSE(CONTROL!$C$15, $E$9, 100%, $G$9) + CHOOSE(CONTROL!$C$38, 0.0369, 0)</f>
        <v>24.785999999999998</v>
      </c>
      <c r="D258" s="14">
        <f>24.7413 * CHOOSE(CONTROL!$C$15, $E$9, 100%, $G$9) + CHOOSE(CONTROL!$C$38, 0.0369, 0)</f>
        <v>24.778199999999998</v>
      </c>
      <c r="E258" s="46">
        <f>26.1677 * CHOOSE(CONTROL!$C$15, $E$9, 100%, $G$9) + CHOOSE(CONTROL!$C$38, 0.0369, 0)</f>
        <v>26.204599999999999</v>
      </c>
      <c r="F258" s="45">
        <f>26.1677 * CHOOSE(CONTROL!$C$15, $E$9, 100%, $G$9) + CHOOSE(CONTROL!$C$38, 0.0278, 0)</f>
        <v>26.195499999999999</v>
      </c>
      <c r="G258" s="14">
        <f>24.7476 * CHOOSE(CONTROL!$C$15, $E$9, 100%, $G$9) + CHOOSE(CONTROL!$C$38, 0.0369, 0)</f>
        <v>24.784499999999998</v>
      </c>
      <c r="H258" s="14">
        <f>24.7476 * CHOOSE(CONTROL!$C$15, $E$9, 100%, $G$9) + CHOOSE(CONTROL!$C$38, 0.0369, 0)</f>
        <v>24.784499999999998</v>
      </c>
      <c r="I258" s="14">
        <f>24.7491 * CHOOSE(CONTROL!$C$15, $E$9, 100%, $G$9) + CHOOSE(CONTROL!$C$38, 0.0369, 0)</f>
        <v>24.785999999999998</v>
      </c>
      <c r="J258" s="44">
        <f>194.1948</f>
        <v>194.19479999999999</v>
      </c>
    </row>
    <row r="259" spans="1:10" ht="15" x14ac:dyDescent="0.2">
      <c r="A259" s="13">
        <v>48792</v>
      </c>
      <c r="B259" s="14">
        <f>26.4829 * CHOOSE(CONTROL!$C$15, $E$9, 100%, $G$9) + CHOOSE(CONTROL!$C$38, 0.0278, 0)</f>
        <v>26.5107</v>
      </c>
      <c r="C259" s="14">
        <f>24.9081 * CHOOSE(CONTROL!$C$15, $E$9, 100%, $G$9) + CHOOSE(CONTROL!$C$38, 0.0369, 0)</f>
        <v>24.945</v>
      </c>
      <c r="D259" s="14">
        <f>24.9002 * CHOOSE(CONTROL!$C$15, $E$9, 100%, $G$9) + CHOOSE(CONTROL!$C$38, 0.0369, 0)</f>
        <v>24.937100000000001</v>
      </c>
      <c r="E259" s="46">
        <f>26.3267 * CHOOSE(CONTROL!$C$15, $E$9, 100%, $G$9) + CHOOSE(CONTROL!$C$38, 0.0369, 0)</f>
        <v>26.363599999999998</v>
      </c>
      <c r="F259" s="45">
        <f>26.3267 * CHOOSE(CONTROL!$C$15, $E$9, 100%, $G$9) + CHOOSE(CONTROL!$C$38, 0.0278, 0)</f>
        <v>26.354499999999998</v>
      </c>
      <c r="G259" s="14">
        <f>24.9065 * CHOOSE(CONTROL!$C$15, $E$9, 100%, $G$9) + CHOOSE(CONTROL!$C$38, 0.0369, 0)</f>
        <v>24.9434</v>
      </c>
      <c r="H259" s="14">
        <f>24.9065 * CHOOSE(CONTROL!$C$15, $E$9, 100%, $G$9) + CHOOSE(CONTROL!$C$38, 0.0369, 0)</f>
        <v>24.9434</v>
      </c>
      <c r="I259" s="14">
        <f>24.9081 * CHOOSE(CONTROL!$C$15, $E$9, 100%, $G$9) + CHOOSE(CONTROL!$C$38, 0.0369, 0)</f>
        <v>24.945</v>
      </c>
      <c r="J259" s="44">
        <f>189.674</f>
        <v>189.67400000000001</v>
      </c>
    </row>
    <row r="260" spans="1:10" ht="15" x14ac:dyDescent="0.2">
      <c r="A260" s="13">
        <v>48823</v>
      </c>
      <c r="B260" s="14">
        <f>26.9146 * CHOOSE(CONTROL!$C$15, $E$9, 100%, $G$9) + CHOOSE(CONTROL!$C$38, 0.0278, 0)</f>
        <v>26.942399999999999</v>
      </c>
      <c r="C260" s="14">
        <f>25.3398 * CHOOSE(CONTROL!$C$15, $E$9, 100%, $G$9) + CHOOSE(CONTROL!$C$38, 0.0369, 0)</f>
        <v>25.3767</v>
      </c>
      <c r="D260" s="14">
        <f>25.332 * CHOOSE(CONTROL!$C$15, $E$9, 100%, $G$9) + CHOOSE(CONTROL!$C$38, 0.0369, 0)</f>
        <v>25.3689</v>
      </c>
      <c r="E260" s="46">
        <f>26.7584 * CHOOSE(CONTROL!$C$15, $E$9, 100%, $G$9) + CHOOSE(CONTROL!$C$38, 0.0369, 0)</f>
        <v>26.795300000000001</v>
      </c>
      <c r="F260" s="45">
        <f>26.7584 * CHOOSE(CONTROL!$C$15, $E$9, 100%, $G$9) + CHOOSE(CONTROL!$C$38, 0.0278, 0)</f>
        <v>26.786200000000001</v>
      </c>
      <c r="G260" s="14">
        <f>25.3382 * CHOOSE(CONTROL!$C$15, $E$9, 100%, $G$9) + CHOOSE(CONTROL!$C$38, 0.0369, 0)</f>
        <v>25.3751</v>
      </c>
      <c r="H260" s="14">
        <f>25.3382 * CHOOSE(CONTROL!$C$15, $E$9, 100%, $G$9) + CHOOSE(CONTROL!$C$38, 0.0369, 0)</f>
        <v>25.3751</v>
      </c>
      <c r="I260" s="14">
        <f>25.3398 * CHOOSE(CONTROL!$C$15, $E$9, 100%, $G$9) + CHOOSE(CONTROL!$C$38, 0.0369, 0)</f>
        <v>25.3767</v>
      </c>
      <c r="J260" s="44">
        <f>183.3696</f>
        <v>183.36959999999999</v>
      </c>
    </row>
    <row r="261" spans="1:10" ht="15" x14ac:dyDescent="0.2">
      <c r="A261" s="13">
        <v>48853</v>
      </c>
      <c r="B261" s="14">
        <f>27.2762 * CHOOSE(CONTROL!$C$15, $E$9, 100%, $G$9) + CHOOSE(CONTROL!$C$38, 0.0256, 0)</f>
        <v>27.3018</v>
      </c>
      <c r="C261" s="14">
        <f>25.7013 * CHOOSE(CONTROL!$C$15, $E$9, 100%, $G$9) + CHOOSE(CONTROL!$C$38, 0.0347, 0)</f>
        <v>25.736000000000001</v>
      </c>
      <c r="D261" s="14">
        <f>25.6935 * CHOOSE(CONTROL!$C$15, $E$9, 100%, $G$9) + CHOOSE(CONTROL!$C$38, 0.0347, 0)</f>
        <v>25.728200000000001</v>
      </c>
      <c r="E261" s="46">
        <f>27.1199 * CHOOSE(CONTROL!$C$15, $E$9, 100%, $G$9) + CHOOSE(CONTROL!$C$38, 0.0347, 0)</f>
        <v>27.154600000000002</v>
      </c>
      <c r="F261" s="45">
        <f>27.1199 * CHOOSE(CONTROL!$C$15, $E$9, 100%, $G$9) + CHOOSE(CONTROL!$C$38, 0.0256, 0)</f>
        <v>27.145500000000002</v>
      </c>
      <c r="G261" s="14">
        <f>25.6998 * CHOOSE(CONTROL!$C$15, $E$9, 100%, $G$9) + CHOOSE(CONTROL!$C$38, 0.0347, 0)</f>
        <v>25.734500000000001</v>
      </c>
      <c r="H261" s="14">
        <f>25.6998 * CHOOSE(CONTROL!$C$15, $E$9, 100%, $G$9) + CHOOSE(CONTROL!$C$38, 0.0347, 0)</f>
        <v>25.734500000000001</v>
      </c>
      <c r="I261" s="14">
        <f>25.7013 * CHOOSE(CONTROL!$C$15, $E$9, 100%, $G$9) + CHOOSE(CONTROL!$C$38, 0.0347, 0)</f>
        <v>25.736000000000001</v>
      </c>
      <c r="J261" s="44">
        <f>177.0285</f>
        <v>177.02850000000001</v>
      </c>
    </row>
    <row r="262" spans="1:10" ht="15" x14ac:dyDescent="0.2">
      <c r="A262" s="13">
        <v>48884</v>
      </c>
      <c r="B262" s="14">
        <f>27.5779 * CHOOSE(CONTROL!$C$15, $E$9, 100%, $G$9) + CHOOSE(CONTROL!$C$38, 0.0256, 0)</f>
        <v>27.6035</v>
      </c>
      <c r="C262" s="14">
        <f>26.003 * CHOOSE(CONTROL!$C$15, $E$9, 100%, $G$9) + CHOOSE(CONTROL!$C$38, 0.0347, 0)</f>
        <v>26.037700000000001</v>
      </c>
      <c r="D262" s="14">
        <f>25.9952 * CHOOSE(CONTROL!$C$15, $E$9, 100%, $G$9) + CHOOSE(CONTROL!$C$38, 0.0347, 0)</f>
        <v>26.029900000000001</v>
      </c>
      <c r="E262" s="46">
        <f>27.4216 * CHOOSE(CONTROL!$C$15, $E$9, 100%, $G$9) + CHOOSE(CONTROL!$C$38, 0.0347, 0)</f>
        <v>27.456300000000002</v>
      </c>
      <c r="F262" s="45">
        <f>27.4216 * CHOOSE(CONTROL!$C$15, $E$9, 100%, $G$9) + CHOOSE(CONTROL!$C$38, 0.0256, 0)</f>
        <v>27.447200000000002</v>
      </c>
      <c r="G262" s="14">
        <f>26.0015 * CHOOSE(CONTROL!$C$15, $E$9, 100%, $G$9) + CHOOSE(CONTROL!$C$38, 0.0347, 0)</f>
        <v>26.036200000000001</v>
      </c>
      <c r="H262" s="14">
        <f>26.0015 * CHOOSE(CONTROL!$C$15, $E$9, 100%, $G$9) + CHOOSE(CONTROL!$C$38, 0.0347, 0)</f>
        <v>26.036200000000001</v>
      </c>
      <c r="I262" s="14">
        <f>26.003 * CHOOSE(CONTROL!$C$15, $E$9, 100%, $G$9) + CHOOSE(CONTROL!$C$38, 0.0347, 0)</f>
        <v>26.037700000000001</v>
      </c>
      <c r="J262" s="44">
        <f>175.7671</f>
        <v>175.7671</v>
      </c>
    </row>
    <row r="263" spans="1:10" ht="15" x14ac:dyDescent="0.2">
      <c r="A263" s="13">
        <v>48914</v>
      </c>
      <c r="B263" s="14">
        <f>28.5076 * CHOOSE(CONTROL!$C$15, $E$9, 100%, $G$9) + CHOOSE(CONTROL!$C$38, 0.0256, 0)</f>
        <v>28.533200000000001</v>
      </c>
      <c r="C263" s="14">
        <f>26.9327 * CHOOSE(CONTROL!$C$15, $E$9, 100%, $G$9) + CHOOSE(CONTROL!$C$38, 0.0347, 0)</f>
        <v>26.967400000000001</v>
      </c>
      <c r="D263" s="14">
        <f>26.9249 * CHOOSE(CONTROL!$C$15, $E$9, 100%, $G$9) + CHOOSE(CONTROL!$C$38, 0.0347, 0)</f>
        <v>26.959600000000002</v>
      </c>
      <c r="E263" s="46">
        <f>28.3513 * CHOOSE(CONTROL!$C$15, $E$9, 100%, $G$9) + CHOOSE(CONTROL!$C$38, 0.0347, 0)</f>
        <v>28.385999999999999</v>
      </c>
      <c r="F263" s="45">
        <f>28.3513 * CHOOSE(CONTROL!$C$15, $E$9, 100%, $G$9) + CHOOSE(CONTROL!$C$38, 0.0256, 0)</f>
        <v>28.376899999999999</v>
      </c>
      <c r="G263" s="14">
        <f>26.9311 * CHOOSE(CONTROL!$C$15, $E$9, 100%, $G$9) + CHOOSE(CONTROL!$C$38, 0.0347, 0)</f>
        <v>26.965800000000002</v>
      </c>
      <c r="H263" s="14">
        <f>26.9311 * CHOOSE(CONTROL!$C$15, $E$9, 100%, $G$9) + CHOOSE(CONTROL!$C$38, 0.0347, 0)</f>
        <v>26.965800000000002</v>
      </c>
      <c r="I263" s="14">
        <f>26.9327 * CHOOSE(CONTROL!$C$15, $E$9, 100%, $G$9) + CHOOSE(CONTROL!$C$38, 0.0347, 0)</f>
        <v>26.967400000000001</v>
      </c>
      <c r="J263" s="44">
        <f>170.5512</f>
        <v>170.55119999999999</v>
      </c>
    </row>
    <row r="264" spans="1:10" ht="15" x14ac:dyDescent="0.2">
      <c r="A264" s="13">
        <v>48945</v>
      </c>
      <c r="B264" s="14">
        <f>29.6956 * CHOOSE(CONTROL!$C$15, $E$9, 100%, $G$9) + CHOOSE(CONTROL!$C$38, 0.0256, 0)</f>
        <v>29.7212</v>
      </c>
      <c r="C264" s="14">
        <f>28.0969 * CHOOSE(CONTROL!$C$15, $E$9, 100%, $G$9) + CHOOSE(CONTROL!$C$38, 0.0347, 0)</f>
        <v>28.131600000000002</v>
      </c>
      <c r="D264" s="14">
        <f>28.0891 * CHOOSE(CONTROL!$C$15, $E$9, 100%, $G$9) + CHOOSE(CONTROL!$C$38, 0.0347, 0)</f>
        <v>28.123799999999999</v>
      </c>
      <c r="E264" s="46">
        <f>29.5393 * CHOOSE(CONTROL!$C$15, $E$9, 100%, $G$9) + CHOOSE(CONTROL!$C$38, 0.0347, 0)</f>
        <v>29.574000000000002</v>
      </c>
      <c r="F264" s="45">
        <f>29.5393 * CHOOSE(CONTROL!$C$15, $E$9, 100%, $G$9) + CHOOSE(CONTROL!$C$38, 0.0256, 0)</f>
        <v>29.564900000000002</v>
      </c>
      <c r="G264" s="14">
        <f>28.0953 * CHOOSE(CONTROL!$C$15, $E$9, 100%, $G$9) + CHOOSE(CONTROL!$C$38, 0.0347, 0)</f>
        <v>28.130000000000003</v>
      </c>
      <c r="H264" s="14">
        <f>28.0953 * CHOOSE(CONTROL!$C$15, $E$9, 100%, $G$9) + CHOOSE(CONTROL!$C$38, 0.0347, 0)</f>
        <v>28.130000000000003</v>
      </c>
      <c r="I264" s="14">
        <f>28.0969 * CHOOSE(CONTROL!$C$15, $E$9, 100%, $G$9) + CHOOSE(CONTROL!$C$38, 0.0347, 0)</f>
        <v>28.131600000000002</v>
      </c>
      <c r="J264" s="44">
        <f>170.3313</f>
        <v>170.3313</v>
      </c>
    </row>
    <row r="265" spans="1:10" ht="15" x14ac:dyDescent="0.2">
      <c r="A265" s="13">
        <v>48976</v>
      </c>
      <c r="B265" s="14">
        <f>30.0399 * CHOOSE(CONTROL!$C$15, $E$9, 100%, $G$9) + CHOOSE(CONTROL!$C$38, 0.0256, 0)</f>
        <v>30.0655</v>
      </c>
      <c r="C265" s="14">
        <f>28.4412 * CHOOSE(CONTROL!$C$15, $E$9, 100%, $G$9) + CHOOSE(CONTROL!$C$38, 0.0347, 0)</f>
        <v>28.475899999999999</v>
      </c>
      <c r="D265" s="14">
        <f>28.4334 * CHOOSE(CONTROL!$C$15, $E$9, 100%, $G$9) + CHOOSE(CONTROL!$C$38, 0.0347, 0)</f>
        <v>28.4681</v>
      </c>
      <c r="E265" s="46">
        <f>29.8836 * CHOOSE(CONTROL!$C$15, $E$9, 100%, $G$9) + CHOOSE(CONTROL!$C$38, 0.0347, 0)</f>
        <v>29.918300000000002</v>
      </c>
      <c r="F265" s="45">
        <f>29.8836 * CHOOSE(CONTROL!$C$15, $E$9, 100%, $G$9) + CHOOSE(CONTROL!$C$38, 0.0256, 0)</f>
        <v>29.909200000000002</v>
      </c>
      <c r="G265" s="14">
        <f>28.4396 * CHOOSE(CONTROL!$C$15, $E$9, 100%, $G$9) + CHOOSE(CONTROL!$C$38, 0.0347, 0)</f>
        <v>28.474299999999999</v>
      </c>
      <c r="H265" s="14">
        <f>28.4396 * CHOOSE(CONTROL!$C$15, $E$9, 100%, $G$9) + CHOOSE(CONTROL!$C$38, 0.0347, 0)</f>
        <v>28.474299999999999</v>
      </c>
      <c r="I265" s="14">
        <f>28.4412 * CHOOSE(CONTROL!$C$15, $E$9, 100%, $G$9) + CHOOSE(CONTROL!$C$38, 0.0347, 0)</f>
        <v>28.475899999999999</v>
      </c>
      <c r="J265" s="44">
        <f>169.8578</f>
        <v>169.8578</v>
      </c>
    </row>
    <row r="266" spans="1:10" ht="15" x14ac:dyDescent="0.2">
      <c r="A266" s="13">
        <v>49004</v>
      </c>
      <c r="B266" s="14">
        <f>29.2429 * CHOOSE(CONTROL!$C$15, $E$9, 100%, $G$9) + CHOOSE(CONTROL!$C$38, 0.0256, 0)</f>
        <v>29.2685</v>
      </c>
      <c r="C266" s="14">
        <f>27.6442 * CHOOSE(CONTROL!$C$15, $E$9, 100%, $G$9) + CHOOSE(CONTROL!$C$38, 0.0347, 0)</f>
        <v>27.678900000000002</v>
      </c>
      <c r="D266" s="14">
        <f>27.6364 * CHOOSE(CONTROL!$C$15, $E$9, 100%, $G$9) + CHOOSE(CONTROL!$C$38, 0.0347, 0)</f>
        <v>27.671099999999999</v>
      </c>
      <c r="E266" s="46">
        <f>29.0866 * CHOOSE(CONTROL!$C$15, $E$9, 100%, $G$9) + CHOOSE(CONTROL!$C$38, 0.0347, 0)</f>
        <v>29.121300000000002</v>
      </c>
      <c r="F266" s="45">
        <f>29.0866 * CHOOSE(CONTROL!$C$15, $E$9, 100%, $G$9) + CHOOSE(CONTROL!$C$38, 0.0256, 0)</f>
        <v>29.112200000000001</v>
      </c>
      <c r="G266" s="14">
        <f>27.6426 * CHOOSE(CONTROL!$C$15, $E$9, 100%, $G$9) + CHOOSE(CONTROL!$C$38, 0.0347, 0)</f>
        <v>27.677300000000002</v>
      </c>
      <c r="H266" s="14">
        <f>27.6426 * CHOOSE(CONTROL!$C$15, $E$9, 100%, $G$9) + CHOOSE(CONTROL!$C$38, 0.0347, 0)</f>
        <v>27.677300000000002</v>
      </c>
      <c r="I266" s="14">
        <f>27.6442 * CHOOSE(CONTROL!$C$15, $E$9, 100%, $G$9) + CHOOSE(CONTROL!$C$38, 0.0347, 0)</f>
        <v>27.678900000000002</v>
      </c>
      <c r="J266" s="44">
        <f>178.8103</f>
        <v>178.81030000000001</v>
      </c>
    </row>
    <row r="267" spans="1:10" ht="15" x14ac:dyDescent="0.2">
      <c r="A267" s="13">
        <v>49035</v>
      </c>
      <c r="B267" s="14">
        <f>28.4705 * CHOOSE(CONTROL!$C$15, $E$9, 100%, $G$9) + CHOOSE(CONTROL!$C$38, 0.0256, 0)</f>
        <v>28.496100000000002</v>
      </c>
      <c r="C267" s="14">
        <f>26.8719 * CHOOSE(CONTROL!$C$15, $E$9, 100%, $G$9) + CHOOSE(CONTROL!$C$38, 0.0347, 0)</f>
        <v>26.906600000000001</v>
      </c>
      <c r="D267" s="14">
        <f>26.864 * CHOOSE(CONTROL!$C$15, $E$9, 100%, $G$9) + CHOOSE(CONTROL!$C$38, 0.0347, 0)</f>
        <v>26.898700000000002</v>
      </c>
      <c r="E267" s="46">
        <f>28.3143 * CHOOSE(CONTROL!$C$15, $E$9, 100%, $G$9) + CHOOSE(CONTROL!$C$38, 0.0347, 0)</f>
        <v>28.349</v>
      </c>
      <c r="F267" s="45">
        <f>28.3143 * CHOOSE(CONTROL!$C$15, $E$9, 100%, $G$9) + CHOOSE(CONTROL!$C$38, 0.0256, 0)</f>
        <v>28.3399</v>
      </c>
      <c r="G267" s="14">
        <f>26.8703 * CHOOSE(CONTROL!$C$15, $E$9, 100%, $G$9) + CHOOSE(CONTROL!$C$38, 0.0347, 0)</f>
        <v>26.905000000000001</v>
      </c>
      <c r="H267" s="14">
        <f>26.8703 * CHOOSE(CONTROL!$C$15, $E$9, 100%, $G$9) + CHOOSE(CONTROL!$C$38, 0.0347, 0)</f>
        <v>26.905000000000001</v>
      </c>
      <c r="I267" s="14">
        <f>26.8719 * CHOOSE(CONTROL!$C$15, $E$9, 100%, $G$9) + CHOOSE(CONTROL!$C$38, 0.0347, 0)</f>
        <v>26.906600000000001</v>
      </c>
      <c r="J267" s="44">
        <f>190.4195</f>
        <v>190.4195</v>
      </c>
    </row>
    <row r="268" spans="1:10" ht="15" x14ac:dyDescent="0.2">
      <c r="A268" s="13">
        <v>49065</v>
      </c>
      <c r="B268" s="14">
        <f>27.6656 * CHOOSE(CONTROL!$C$15, $E$9, 100%, $G$9) + CHOOSE(CONTROL!$C$38, 0.0278, 0)</f>
        <v>27.6934</v>
      </c>
      <c r="C268" s="14">
        <f>26.0669 * CHOOSE(CONTROL!$C$15, $E$9, 100%, $G$9) + CHOOSE(CONTROL!$C$38, 0.0369, 0)</f>
        <v>26.1038</v>
      </c>
      <c r="D268" s="14">
        <f>26.0591 * CHOOSE(CONTROL!$C$15, $E$9, 100%, $G$9) + CHOOSE(CONTROL!$C$38, 0.0369, 0)</f>
        <v>26.096</v>
      </c>
      <c r="E268" s="46">
        <f>27.5093 * CHOOSE(CONTROL!$C$15, $E$9, 100%, $G$9) + CHOOSE(CONTROL!$C$38, 0.0369, 0)</f>
        <v>27.546199999999999</v>
      </c>
      <c r="F268" s="45">
        <f>27.5093 * CHOOSE(CONTROL!$C$15, $E$9, 100%, $G$9) + CHOOSE(CONTROL!$C$38, 0.0278, 0)</f>
        <v>27.537099999999999</v>
      </c>
      <c r="G268" s="14">
        <f>26.0653 * CHOOSE(CONTROL!$C$15, $E$9, 100%, $G$9) + CHOOSE(CONTROL!$C$38, 0.0369, 0)</f>
        <v>26.1022</v>
      </c>
      <c r="H268" s="14">
        <f>26.0653 * CHOOSE(CONTROL!$C$15, $E$9, 100%, $G$9) + CHOOSE(CONTROL!$C$38, 0.0369, 0)</f>
        <v>26.1022</v>
      </c>
      <c r="I268" s="14">
        <f>26.0669 * CHOOSE(CONTROL!$C$15, $E$9, 100%, $G$9) + CHOOSE(CONTROL!$C$38, 0.0369, 0)</f>
        <v>26.1038</v>
      </c>
      <c r="J268" s="44">
        <f>196.8096</f>
        <v>196.80959999999999</v>
      </c>
    </row>
    <row r="269" spans="1:10" ht="15" x14ac:dyDescent="0.2">
      <c r="A269" s="13">
        <v>49096</v>
      </c>
      <c r="B269" s="14">
        <f>27.1012 * CHOOSE(CONTROL!$C$15, $E$9, 100%, $G$9) + CHOOSE(CONTROL!$C$38, 0.0278, 0)</f>
        <v>27.128999999999998</v>
      </c>
      <c r="C269" s="14">
        <f>25.5026 * CHOOSE(CONTROL!$C$15, $E$9, 100%, $G$9) + CHOOSE(CONTROL!$C$38, 0.0369, 0)</f>
        <v>25.5395</v>
      </c>
      <c r="D269" s="14">
        <f>25.4947 * CHOOSE(CONTROL!$C$15, $E$9, 100%, $G$9) + CHOOSE(CONTROL!$C$38, 0.0369, 0)</f>
        <v>25.531600000000001</v>
      </c>
      <c r="E269" s="46">
        <f>26.945 * CHOOSE(CONTROL!$C$15, $E$9, 100%, $G$9) + CHOOSE(CONTROL!$C$38, 0.0369, 0)</f>
        <v>26.9819</v>
      </c>
      <c r="F269" s="45">
        <f>26.945 * CHOOSE(CONTROL!$C$15, $E$9, 100%, $G$9) + CHOOSE(CONTROL!$C$38, 0.0278, 0)</f>
        <v>26.972799999999999</v>
      </c>
      <c r="G269" s="14">
        <f>25.501 * CHOOSE(CONTROL!$C$15, $E$9, 100%, $G$9) + CHOOSE(CONTROL!$C$38, 0.0369, 0)</f>
        <v>25.5379</v>
      </c>
      <c r="H269" s="14">
        <f>25.501 * CHOOSE(CONTROL!$C$15, $E$9, 100%, $G$9) + CHOOSE(CONTROL!$C$38, 0.0369, 0)</f>
        <v>25.5379</v>
      </c>
      <c r="I269" s="14">
        <f>25.5026 * CHOOSE(CONTROL!$C$15, $E$9, 100%, $G$9) + CHOOSE(CONTROL!$C$38, 0.0369, 0)</f>
        <v>25.5395</v>
      </c>
      <c r="J269" s="44">
        <f>199.6455</f>
        <v>199.6455</v>
      </c>
    </row>
    <row r="270" spans="1:10" ht="15" x14ac:dyDescent="0.2">
      <c r="A270" s="13">
        <v>49126</v>
      </c>
      <c r="B270" s="14">
        <f>26.7792 * CHOOSE(CONTROL!$C$15, $E$9, 100%, $G$9) + CHOOSE(CONTROL!$C$38, 0.0278, 0)</f>
        <v>26.806999999999999</v>
      </c>
      <c r="C270" s="14">
        <f>25.1805 * CHOOSE(CONTROL!$C$15, $E$9, 100%, $G$9) + CHOOSE(CONTROL!$C$38, 0.0369, 0)</f>
        <v>25.217399999999998</v>
      </c>
      <c r="D270" s="14">
        <f>25.1727 * CHOOSE(CONTROL!$C$15, $E$9, 100%, $G$9) + CHOOSE(CONTROL!$C$38, 0.0369, 0)</f>
        <v>25.209599999999998</v>
      </c>
      <c r="E270" s="46">
        <f>26.6229 * CHOOSE(CONTROL!$C$15, $E$9, 100%, $G$9) + CHOOSE(CONTROL!$C$38, 0.0369, 0)</f>
        <v>26.659800000000001</v>
      </c>
      <c r="F270" s="45">
        <f>26.6229 * CHOOSE(CONTROL!$C$15, $E$9, 100%, $G$9) + CHOOSE(CONTROL!$C$38, 0.0278, 0)</f>
        <v>26.650700000000001</v>
      </c>
      <c r="G270" s="14">
        <f>25.1789 * CHOOSE(CONTROL!$C$15, $E$9, 100%, $G$9) + CHOOSE(CONTROL!$C$38, 0.0369, 0)</f>
        <v>25.215799999999998</v>
      </c>
      <c r="H270" s="14">
        <f>25.1789 * CHOOSE(CONTROL!$C$15, $E$9, 100%, $G$9) + CHOOSE(CONTROL!$C$38, 0.0369, 0)</f>
        <v>25.215799999999998</v>
      </c>
      <c r="I270" s="14">
        <f>25.1805 * CHOOSE(CONTROL!$C$15, $E$9, 100%, $G$9) + CHOOSE(CONTROL!$C$38, 0.0369, 0)</f>
        <v>25.217399999999998</v>
      </c>
      <c r="J270" s="44">
        <f>198.7118</f>
        <v>198.71180000000001</v>
      </c>
    </row>
    <row r="271" spans="1:10" ht="15" x14ac:dyDescent="0.2">
      <c r="A271" s="13">
        <v>49157</v>
      </c>
      <c r="B271" s="14">
        <f>26.9381 * CHOOSE(CONTROL!$C$15, $E$9, 100%, $G$9) + CHOOSE(CONTROL!$C$38, 0.0278, 0)</f>
        <v>26.965899999999998</v>
      </c>
      <c r="C271" s="14">
        <f>25.3394 * CHOOSE(CONTROL!$C$15, $E$9, 100%, $G$9) + CHOOSE(CONTROL!$C$38, 0.0369, 0)</f>
        <v>25.376300000000001</v>
      </c>
      <c r="D271" s="14">
        <f>25.3316 * CHOOSE(CONTROL!$C$15, $E$9, 100%, $G$9) + CHOOSE(CONTROL!$C$38, 0.0369, 0)</f>
        <v>25.368500000000001</v>
      </c>
      <c r="E271" s="46">
        <f>26.7819 * CHOOSE(CONTROL!$C$15, $E$9, 100%, $G$9) + CHOOSE(CONTROL!$C$38, 0.0369, 0)</f>
        <v>26.8188</v>
      </c>
      <c r="F271" s="45">
        <f>26.7819 * CHOOSE(CONTROL!$C$15, $E$9, 100%, $G$9) + CHOOSE(CONTROL!$C$38, 0.0278, 0)</f>
        <v>26.809699999999999</v>
      </c>
      <c r="G271" s="14">
        <f>25.3379 * CHOOSE(CONTROL!$C$15, $E$9, 100%, $G$9) + CHOOSE(CONTROL!$C$38, 0.0369, 0)</f>
        <v>25.3748</v>
      </c>
      <c r="H271" s="14">
        <f>25.3379 * CHOOSE(CONTROL!$C$15, $E$9, 100%, $G$9) + CHOOSE(CONTROL!$C$38, 0.0369, 0)</f>
        <v>25.3748</v>
      </c>
      <c r="I271" s="14">
        <f>25.3394 * CHOOSE(CONTROL!$C$15, $E$9, 100%, $G$9) + CHOOSE(CONTROL!$C$38, 0.0369, 0)</f>
        <v>25.376300000000001</v>
      </c>
      <c r="J271" s="44">
        <f>194.0858</f>
        <v>194.08580000000001</v>
      </c>
    </row>
    <row r="272" spans="1:10" ht="15" x14ac:dyDescent="0.2">
      <c r="A272" s="13">
        <v>49188</v>
      </c>
      <c r="B272" s="14">
        <f>27.3698 * CHOOSE(CONTROL!$C$15, $E$9, 100%, $G$9) + CHOOSE(CONTROL!$C$38, 0.0278, 0)</f>
        <v>27.397600000000001</v>
      </c>
      <c r="C272" s="14">
        <f>25.7712 * CHOOSE(CONTROL!$C$15, $E$9, 100%, $G$9) + CHOOSE(CONTROL!$C$38, 0.0369, 0)</f>
        <v>25.8081</v>
      </c>
      <c r="D272" s="14">
        <f>25.7633 * CHOOSE(CONTROL!$C$15, $E$9, 100%, $G$9) + CHOOSE(CONTROL!$C$38, 0.0369, 0)</f>
        <v>25.8002</v>
      </c>
      <c r="E272" s="46">
        <f>27.2136 * CHOOSE(CONTROL!$C$15, $E$9, 100%, $G$9) + CHOOSE(CONTROL!$C$38, 0.0369, 0)</f>
        <v>27.250499999999999</v>
      </c>
      <c r="F272" s="45">
        <f>27.2136 * CHOOSE(CONTROL!$C$15, $E$9, 100%, $G$9) + CHOOSE(CONTROL!$C$38, 0.0278, 0)</f>
        <v>27.241399999999999</v>
      </c>
      <c r="G272" s="14">
        <f>25.7696 * CHOOSE(CONTROL!$C$15, $E$9, 100%, $G$9) + CHOOSE(CONTROL!$C$38, 0.0369, 0)</f>
        <v>25.8065</v>
      </c>
      <c r="H272" s="14">
        <f>25.7696 * CHOOSE(CONTROL!$C$15, $E$9, 100%, $G$9) + CHOOSE(CONTROL!$C$38, 0.0369, 0)</f>
        <v>25.8065</v>
      </c>
      <c r="I272" s="14">
        <f>25.7712 * CHOOSE(CONTROL!$C$15, $E$9, 100%, $G$9) + CHOOSE(CONTROL!$C$38, 0.0369, 0)</f>
        <v>25.8081</v>
      </c>
      <c r="J272" s="44">
        <f>187.6348</f>
        <v>187.63480000000001</v>
      </c>
    </row>
    <row r="273" spans="1:10" ht="15" x14ac:dyDescent="0.2">
      <c r="A273" s="13">
        <v>49218</v>
      </c>
      <c r="B273" s="14">
        <f>27.7314 * CHOOSE(CONTROL!$C$15, $E$9, 100%, $G$9) + CHOOSE(CONTROL!$C$38, 0.0256, 0)</f>
        <v>27.757000000000001</v>
      </c>
      <c r="C273" s="14">
        <f>26.1327 * CHOOSE(CONTROL!$C$15, $E$9, 100%, $G$9) + CHOOSE(CONTROL!$C$38, 0.0347, 0)</f>
        <v>26.167400000000001</v>
      </c>
      <c r="D273" s="14">
        <f>26.1249 * CHOOSE(CONTROL!$C$15, $E$9, 100%, $G$9) + CHOOSE(CONTROL!$C$38, 0.0347, 0)</f>
        <v>26.159600000000001</v>
      </c>
      <c r="E273" s="46">
        <f>27.5752 * CHOOSE(CONTROL!$C$15, $E$9, 100%, $G$9) + CHOOSE(CONTROL!$C$38, 0.0347, 0)</f>
        <v>27.6099</v>
      </c>
      <c r="F273" s="45">
        <f>27.5752 * CHOOSE(CONTROL!$C$15, $E$9, 100%, $G$9) + CHOOSE(CONTROL!$C$38, 0.0256, 0)</f>
        <v>27.6008</v>
      </c>
      <c r="G273" s="14">
        <f>26.1312 * CHOOSE(CONTROL!$C$15, $E$9, 100%, $G$9) + CHOOSE(CONTROL!$C$38, 0.0347, 0)</f>
        <v>26.165900000000001</v>
      </c>
      <c r="H273" s="14">
        <f>26.1312 * CHOOSE(CONTROL!$C$15, $E$9, 100%, $G$9) + CHOOSE(CONTROL!$C$38, 0.0347, 0)</f>
        <v>26.165900000000001</v>
      </c>
      <c r="I273" s="14">
        <f>26.1327 * CHOOSE(CONTROL!$C$15, $E$9, 100%, $G$9) + CHOOSE(CONTROL!$C$38, 0.0347, 0)</f>
        <v>26.167400000000001</v>
      </c>
      <c r="J273" s="44">
        <f>181.1462</f>
        <v>181.14619999999999</v>
      </c>
    </row>
    <row r="274" spans="1:10" ht="15" x14ac:dyDescent="0.2">
      <c r="A274" s="13">
        <v>49249</v>
      </c>
      <c r="B274" s="14">
        <f>28.0331 * CHOOSE(CONTROL!$C$15, $E$9, 100%, $G$9) + CHOOSE(CONTROL!$C$38, 0.0256, 0)</f>
        <v>28.058700000000002</v>
      </c>
      <c r="C274" s="14">
        <f>26.4344 * CHOOSE(CONTROL!$C$15, $E$9, 100%, $G$9) + CHOOSE(CONTROL!$C$38, 0.0347, 0)</f>
        <v>26.469100000000001</v>
      </c>
      <c r="D274" s="14">
        <f>26.4266 * CHOOSE(CONTROL!$C$15, $E$9, 100%, $G$9) + CHOOSE(CONTROL!$C$38, 0.0347, 0)</f>
        <v>26.461300000000001</v>
      </c>
      <c r="E274" s="46">
        <f>27.8769 * CHOOSE(CONTROL!$C$15, $E$9, 100%, $G$9) + CHOOSE(CONTROL!$C$38, 0.0347, 0)</f>
        <v>27.9116</v>
      </c>
      <c r="F274" s="45">
        <f>27.8769 * CHOOSE(CONTROL!$C$15, $E$9, 100%, $G$9) + CHOOSE(CONTROL!$C$38, 0.0256, 0)</f>
        <v>27.9025</v>
      </c>
      <c r="G274" s="14">
        <f>26.4329 * CHOOSE(CONTROL!$C$15, $E$9, 100%, $G$9) + CHOOSE(CONTROL!$C$38, 0.0347, 0)</f>
        <v>26.467600000000001</v>
      </c>
      <c r="H274" s="14">
        <f>26.4329 * CHOOSE(CONTROL!$C$15, $E$9, 100%, $G$9) + CHOOSE(CONTROL!$C$38, 0.0347, 0)</f>
        <v>26.467600000000001</v>
      </c>
      <c r="I274" s="14">
        <f>26.4344 * CHOOSE(CONTROL!$C$15, $E$9, 100%, $G$9) + CHOOSE(CONTROL!$C$38, 0.0347, 0)</f>
        <v>26.469100000000001</v>
      </c>
      <c r="J274" s="44">
        <f>179.8554</f>
        <v>179.8554</v>
      </c>
    </row>
    <row r="275" spans="1:10" ht="15" x14ac:dyDescent="0.2">
      <c r="A275" s="13">
        <v>49279</v>
      </c>
      <c r="B275" s="14">
        <f>28.9628 * CHOOSE(CONTROL!$C$15, $E$9, 100%, $G$9) + CHOOSE(CONTROL!$C$38, 0.0256, 0)</f>
        <v>28.988400000000002</v>
      </c>
      <c r="C275" s="14">
        <f>27.3641 * CHOOSE(CONTROL!$C$15, $E$9, 100%, $G$9) + CHOOSE(CONTROL!$C$38, 0.0347, 0)</f>
        <v>27.398800000000001</v>
      </c>
      <c r="D275" s="14">
        <f>27.3563 * CHOOSE(CONTROL!$C$15, $E$9, 100%, $G$9) + CHOOSE(CONTROL!$C$38, 0.0347, 0)</f>
        <v>27.391000000000002</v>
      </c>
      <c r="E275" s="46">
        <f>28.8065 * CHOOSE(CONTROL!$C$15, $E$9, 100%, $G$9) + CHOOSE(CONTROL!$C$38, 0.0347, 0)</f>
        <v>28.841200000000001</v>
      </c>
      <c r="F275" s="45">
        <f>28.8065 * CHOOSE(CONTROL!$C$15, $E$9, 100%, $G$9) + CHOOSE(CONTROL!$C$38, 0.0256, 0)</f>
        <v>28.832100000000001</v>
      </c>
      <c r="G275" s="14">
        <f>27.3625 * CHOOSE(CONTROL!$C$15, $E$9, 100%, $G$9) + CHOOSE(CONTROL!$C$38, 0.0347, 0)</f>
        <v>27.397200000000002</v>
      </c>
      <c r="H275" s="14">
        <f>27.3625 * CHOOSE(CONTROL!$C$15, $E$9, 100%, $G$9) + CHOOSE(CONTROL!$C$38, 0.0347, 0)</f>
        <v>27.397200000000002</v>
      </c>
      <c r="I275" s="14">
        <f>27.3641 * CHOOSE(CONTROL!$C$15, $E$9, 100%, $G$9) + CHOOSE(CONTROL!$C$38, 0.0347, 0)</f>
        <v>27.398800000000001</v>
      </c>
      <c r="J275" s="44">
        <f>174.5182</f>
        <v>174.51820000000001</v>
      </c>
    </row>
    <row r="276" spans="1:10" ht="15" x14ac:dyDescent="0.2">
      <c r="A276" s="13">
        <v>49310</v>
      </c>
      <c r="B276" s="14">
        <f>30.1584 * CHOOSE(CONTROL!$C$15, $E$9, 100%, $G$9) + CHOOSE(CONTROL!$C$38, 0.0256, 0)</f>
        <v>30.184000000000001</v>
      </c>
      <c r="C276" s="14">
        <f>28.5355 * CHOOSE(CONTROL!$C$15, $E$9, 100%, $G$9) + CHOOSE(CONTROL!$C$38, 0.0347, 0)</f>
        <v>28.5702</v>
      </c>
      <c r="D276" s="14">
        <f>28.5277 * CHOOSE(CONTROL!$C$15, $E$9, 100%, $G$9) + CHOOSE(CONTROL!$C$38, 0.0347, 0)</f>
        <v>28.5624</v>
      </c>
      <c r="E276" s="46">
        <f>30.0022 * CHOOSE(CONTROL!$C$15, $E$9, 100%, $G$9) + CHOOSE(CONTROL!$C$38, 0.0347, 0)</f>
        <v>30.036899999999999</v>
      </c>
      <c r="F276" s="45">
        <f>30.0022 * CHOOSE(CONTROL!$C$15, $E$9, 100%, $G$9) + CHOOSE(CONTROL!$C$38, 0.0256, 0)</f>
        <v>30.027799999999999</v>
      </c>
      <c r="G276" s="14">
        <f>28.534 * CHOOSE(CONTROL!$C$15, $E$9, 100%, $G$9) + CHOOSE(CONTROL!$C$38, 0.0347, 0)</f>
        <v>28.5687</v>
      </c>
      <c r="H276" s="14">
        <f>28.534 * CHOOSE(CONTROL!$C$15, $E$9, 100%, $G$9) + CHOOSE(CONTROL!$C$38, 0.0347, 0)</f>
        <v>28.5687</v>
      </c>
      <c r="I276" s="14">
        <f>28.5355 * CHOOSE(CONTROL!$C$15, $E$9, 100%, $G$9) + CHOOSE(CONTROL!$C$38, 0.0347, 0)</f>
        <v>28.5702</v>
      </c>
      <c r="J276" s="44">
        <f>174.2932</f>
        <v>174.29320000000001</v>
      </c>
    </row>
    <row r="277" spans="1:10" ht="15" x14ac:dyDescent="0.2">
      <c r="A277" s="13">
        <v>49341</v>
      </c>
      <c r="B277" s="14">
        <f>30.5028 * CHOOSE(CONTROL!$C$15, $E$9, 100%, $G$9) + CHOOSE(CONTROL!$C$38, 0.0256, 0)</f>
        <v>30.528400000000001</v>
      </c>
      <c r="C277" s="14">
        <f>28.8798 * CHOOSE(CONTROL!$C$15, $E$9, 100%, $G$9) + CHOOSE(CONTROL!$C$38, 0.0347, 0)</f>
        <v>28.9145</v>
      </c>
      <c r="D277" s="14">
        <f>28.872 * CHOOSE(CONTROL!$C$15, $E$9, 100%, $G$9) + CHOOSE(CONTROL!$C$38, 0.0347, 0)</f>
        <v>28.906700000000001</v>
      </c>
      <c r="E277" s="46">
        <f>30.3465 * CHOOSE(CONTROL!$C$15, $E$9, 100%, $G$9) + CHOOSE(CONTROL!$C$38, 0.0347, 0)</f>
        <v>30.3812</v>
      </c>
      <c r="F277" s="45">
        <f>30.3465 * CHOOSE(CONTROL!$C$15, $E$9, 100%, $G$9) + CHOOSE(CONTROL!$C$38, 0.0256, 0)</f>
        <v>30.3721</v>
      </c>
      <c r="G277" s="14">
        <f>28.8783 * CHOOSE(CONTROL!$C$15, $E$9, 100%, $G$9) + CHOOSE(CONTROL!$C$38, 0.0347, 0)</f>
        <v>28.913</v>
      </c>
      <c r="H277" s="14">
        <f>28.8783 * CHOOSE(CONTROL!$C$15, $E$9, 100%, $G$9) + CHOOSE(CONTROL!$C$38, 0.0347, 0)</f>
        <v>28.913</v>
      </c>
      <c r="I277" s="14">
        <f>28.8798 * CHOOSE(CONTROL!$C$15, $E$9, 100%, $G$9) + CHOOSE(CONTROL!$C$38, 0.0347, 0)</f>
        <v>28.9145</v>
      </c>
      <c r="J277" s="44">
        <f>173.8087</f>
        <v>173.80869999999999</v>
      </c>
    </row>
    <row r="278" spans="1:10" ht="15" x14ac:dyDescent="0.2">
      <c r="A278" s="13">
        <v>49369</v>
      </c>
      <c r="B278" s="14">
        <f>29.7057 * CHOOSE(CONTROL!$C$15, $E$9, 100%, $G$9) + CHOOSE(CONTROL!$C$38, 0.0256, 0)</f>
        <v>29.731300000000001</v>
      </c>
      <c r="C278" s="14">
        <f>28.0828 * CHOOSE(CONTROL!$C$15, $E$9, 100%, $G$9) + CHOOSE(CONTROL!$C$38, 0.0347, 0)</f>
        <v>28.1175</v>
      </c>
      <c r="D278" s="14">
        <f>28.075 * CHOOSE(CONTROL!$C$15, $E$9, 100%, $G$9) + CHOOSE(CONTROL!$C$38, 0.0347, 0)</f>
        <v>28.1097</v>
      </c>
      <c r="E278" s="46">
        <f>29.5495 * CHOOSE(CONTROL!$C$15, $E$9, 100%, $G$9) + CHOOSE(CONTROL!$C$38, 0.0347, 0)</f>
        <v>29.584199999999999</v>
      </c>
      <c r="F278" s="45">
        <f>29.5495 * CHOOSE(CONTROL!$C$15, $E$9, 100%, $G$9) + CHOOSE(CONTROL!$C$38, 0.0256, 0)</f>
        <v>29.575099999999999</v>
      </c>
      <c r="G278" s="14">
        <f>28.0812 * CHOOSE(CONTROL!$C$15, $E$9, 100%, $G$9) + CHOOSE(CONTROL!$C$38, 0.0347, 0)</f>
        <v>28.1159</v>
      </c>
      <c r="H278" s="14">
        <f>28.0812 * CHOOSE(CONTROL!$C$15, $E$9, 100%, $G$9) + CHOOSE(CONTROL!$C$38, 0.0347, 0)</f>
        <v>28.1159</v>
      </c>
      <c r="I278" s="14">
        <f>28.0828 * CHOOSE(CONTROL!$C$15, $E$9, 100%, $G$9) + CHOOSE(CONTROL!$C$38, 0.0347, 0)</f>
        <v>28.1175</v>
      </c>
      <c r="J278" s="44">
        <f>182.9694</f>
        <v>182.96940000000001</v>
      </c>
    </row>
    <row r="279" spans="1:10" ht="15" x14ac:dyDescent="0.2">
      <c r="A279" s="13">
        <v>49400</v>
      </c>
      <c r="B279" s="14">
        <f>28.9334 * CHOOSE(CONTROL!$C$15, $E$9, 100%, $G$9) + CHOOSE(CONTROL!$C$38, 0.0256, 0)</f>
        <v>28.959</v>
      </c>
      <c r="C279" s="14">
        <f>27.3105 * CHOOSE(CONTROL!$C$15, $E$9, 100%, $G$9) + CHOOSE(CONTROL!$C$38, 0.0347, 0)</f>
        <v>27.345200000000002</v>
      </c>
      <c r="D279" s="14">
        <f>27.3027 * CHOOSE(CONTROL!$C$15, $E$9, 100%, $G$9) + CHOOSE(CONTROL!$C$38, 0.0347, 0)</f>
        <v>27.337400000000002</v>
      </c>
      <c r="E279" s="46">
        <f>28.7772 * CHOOSE(CONTROL!$C$15, $E$9, 100%, $G$9) + CHOOSE(CONTROL!$C$38, 0.0347, 0)</f>
        <v>28.811900000000001</v>
      </c>
      <c r="F279" s="45">
        <f>28.7772 * CHOOSE(CONTROL!$C$15, $E$9, 100%, $G$9) + CHOOSE(CONTROL!$C$38, 0.0256, 0)</f>
        <v>28.802800000000001</v>
      </c>
      <c r="G279" s="14">
        <f>27.3089 * CHOOSE(CONTROL!$C$15, $E$9, 100%, $G$9) + CHOOSE(CONTROL!$C$38, 0.0347, 0)</f>
        <v>27.343600000000002</v>
      </c>
      <c r="H279" s="14">
        <f>27.3089 * CHOOSE(CONTROL!$C$15, $E$9, 100%, $G$9) + CHOOSE(CONTROL!$C$38, 0.0347, 0)</f>
        <v>27.343600000000002</v>
      </c>
      <c r="I279" s="14">
        <f>27.3105 * CHOOSE(CONTROL!$C$15, $E$9, 100%, $G$9) + CHOOSE(CONTROL!$C$38, 0.0347, 0)</f>
        <v>27.345200000000002</v>
      </c>
      <c r="J279" s="44">
        <f>194.8487</f>
        <v>194.84870000000001</v>
      </c>
    </row>
    <row r="280" spans="1:10" ht="15" x14ac:dyDescent="0.2">
      <c r="A280" s="13">
        <v>49430</v>
      </c>
      <c r="B280" s="14">
        <f>28.1285 * CHOOSE(CONTROL!$C$15, $E$9, 100%, $G$9) + CHOOSE(CONTROL!$C$38, 0.0278, 0)</f>
        <v>28.156299999999998</v>
      </c>
      <c r="C280" s="14">
        <f>26.5055 * CHOOSE(CONTROL!$C$15, $E$9, 100%, $G$9) + CHOOSE(CONTROL!$C$38, 0.0369, 0)</f>
        <v>26.542400000000001</v>
      </c>
      <c r="D280" s="14">
        <f>26.4977 * CHOOSE(CONTROL!$C$15, $E$9, 100%, $G$9) + CHOOSE(CONTROL!$C$38, 0.0369, 0)</f>
        <v>26.534599999999998</v>
      </c>
      <c r="E280" s="46">
        <f>27.9722 * CHOOSE(CONTROL!$C$15, $E$9, 100%, $G$9) + CHOOSE(CONTROL!$C$38, 0.0369, 0)</f>
        <v>28.0091</v>
      </c>
      <c r="F280" s="45">
        <f>27.9722 * CHOOSE(CONTROL!$C$15, $E$9, 100%, $G$9) + CHOOSE(CONTROL!$C$38, 0.0278, 0)</f>
        <v>28</v>
      </c>
      <c r="G280" s="14">
        <f>26.504 * CHOOSE(CONTROL!$C$15, $E$9, 100%, $G$9) + CHOOSE(CONTROL!$C$38, 0.0369, 0)</f>
        <v>26.540900000000001</v>
      </c>
      <c r="H280" s="14">
        <f>26.504 * CHOOSE(CONTROL!$C$15, $E$9, 100%, $G$9) + CHOOSE(CONTROL!$C$38, 0.0369, 0)</f>
        <v>26.540900000000001</v>
      </c>
      <c r="I280" s="14">
        <f>26.5055 * CHOOSE(CONTROL!$C$15, $E$9, 100%, $G$9) + CHOOSE(CONTROL!$C$38, 0.0369, 0)</f>
        <v>26.542400000000001</v>
      </c>
      <c r="J280" s="44">
        <f>201.3874</f>
        <v>201.38740000000001</v>
      </c>
    </row>
    <row r="281" spans="1:10" ht="15" x14ac:dyDescent="0.2">
      <c r="A281" s="34">
        <v>49461</v>
      </c>
      <c r="B281" s="14">
        <f>27.5641 * CHOOSE(CONTROL!$C$15, $E$9, 100%, $G$9) + CHOOSE(CONTROL!$C$38, 0.0278, 0)</f>
        <v>27.591899999999999</v>
      </c>
      <c r="C281" s="14">
        <f>25.9412 * CHOOSE(CONTROL!$C$15, $E$9, 100%, $G$9) + CHOOSE(CONTROL!$C$38, 0.0369, 0)</f>
        <v>25.978099999999998</v>
      </c>
      <c r="D281" s="14">
        <f>25.9334 * CHOOSE(CONTROL!$C$15, $E$9, 100%, $G$9) + CHOOSE(CONTROL!$C$38, 0.0369, 0)</f>
        <v>25.970299999999998</v>
      </c>
      <c r="E281" s="46">
        <f>27.4079 * CHOOSE(CONTROL!$C$15, $E$9, 100%, $G$9) + CHOOSE(CONTROL!$C$38, 0.0369, 0)</f>
        <v>27.444800000000001</v>
      </c>
      <c r="F281" s="45">
        <f>27.4079 * CHOOSE(CONTROL!$C$15, $E$9, 100%, $G$9) + CHOOSE(CONTROL!$C$38, 0.0278, 0)</f>
        <v>27.435700000000001</v>
      </c>
      <c r="G281" s="14">
        <f>25.9396 * CHOOSE(CONTROL!$C$15, $E$9, 100%, $G$9) + CHOOSE(CONTROL!$C$38, 0.0369, 0)</f>
        <v>25.976499999999998</v>
      </c>
      <c r="H281" s="14">
        <f>25.9396 * CHOOSE(CONTROL!$C$15, $E$9, 100%, $G$9) + CHOOSE(CONTROL!$C$38, 0.0369, 0)</f>
        <v>25.976499999999998</v>
      </c>
      <c r="I281" s="14">
        <f>25.9412 * CHOOSE(CONTROL!$C$15, $E$9, 100%, $G$9) + CHOOSE(CONTROL!$C$38, 0.0369, 0)</f>
        <v>25.978099999999998</v>
      </c>
      <c r="J281" s="44">
        <f>204.2892</f>
        <v>204.28919999999999</v>
      </c>
    </row>
    <row r="282" spans="1:10" ht="15" x14ac:dyDescent="0.2">
      <c r="A282" s="34">
        <v>49491</v>
      </c>
      <c r="B282" s="14">
        <f>27.2421 * CHOOSE(CONTROL!$C$15, $E$9, 100%, $G$9) + CHOOSE(CONTROL!$C$38, 0.0278, 0)</f>
        <v>27.2699</v>
      </c>
      <c r="C282" s="14">
        <f>25.6191 * CHOOSE(CONTROL!$C$15, $E$9, 100%, $G$9) + CHOOSE(CONTROL!$C$38, 0.0369, 0)</f>
        <v>25.655999999999999</v>
      </c>
      <c r="D282" s="14">
        <f>25.6113 * CHOOSE(CONTROL!$C$15, $E$9, 100%, $G$9) + CHOOSE(CONTROL!$C$38, 0.0369, 0)</f>
        <v>25.648199999999999</v>
      </c>
      <c r="E282" s="46">
        <f>27.0858 * CHOOSE(CONTROL!$C$15, $E$9, 100%, $G$9) + CHOOSE(CONTROL!$C$38, 0.0369, 0)</f>
        <v>27.122699999999998</v>
      </c>
      <c r="F282" s="45">
        <f>27.0858 * CHOOSE(CONTROL!$C$15, $E$9, 100%, $G$9) + CHOOSE(CONTROL!$C$38, 0.0278, 0)</f>
        <v>27.113599999999998</v>
      </c>
      <c r="G282" s="14">
        <f>25.6176 * CHOOSE(CONTROL!$C$15, $E$9, 100%, $G$9) + CHOOSE(CONTROL!$C$38, 0.0369, 0)</f>
        <v>25.654499999999999</v>
      </c>
      <c r="H282" s="14">
        <f>25.6176 * CHOOSE(CONTROL!$C$15, $E$9, 100%, $G$9) + CHOOSE(CONTROL!$C$38, 0.0369, 0)</f>
        <v>25.654499999999999</v>
      </c>
      <c r="I282" s="14">
        <f>25.6191 * CHOOSE(CONTROL!$C$15, $E$9, 100%, $G$9) + CHOOSE(CONTROL!$C$38, 0.0369, 0)</f>
        <v>25.655999999999999</v>
      </c>
      <c r="J282" s="44">
        <f>203.3338</f>
        <v>203.3338</v>
      </c>
    </row>
    <row r="283" spans="1:10" ht="15" x14ac:dyDescent="0.2">
      <c r="A283" s="34">
        <v>49522</v>
      </c>
      <c r="B283" s="14">
        <f>27.401 * CHOOSE(CONTROL!$C$15, $E$9, 100%, $G$9) + CHOOSE(CONTROL!$C$38, 0.0278, 0)</f>
        <v>27.428799999999999</v>
      </c>
      <c r="C283" s="14">
        <f>25.7781 * CHOOSE(CONTROL!$C$15, $E$9, 100%, $G$9) + CHOOSE(CONTROL!$C$38, 0.0369, 0)</f>
        <v>25.814999999999998</v>
      </c>
      <c r="D283" s="14">
        <f>25.7703 * CHOOSE(CONTROL!$C$15, $E$9, 100%, $G$9) + CHOOSE(CONTROL!$C$38, 0.0369, 0)</f>
        <v>25.807199999999998</v>
      </c>
      <c r="E283" s="46">
        <f>27.2448 * CHOOSE(CONTROL!$C$15, $E$9, 100%, $G$9) + CHOOSE(CONTROL!$C$38, 0.0369, 0)</f>
        <v>27.281700000000001</v>
      </c>
      <c r="F283" s="45">
        <f>27.2448 * CHOOSE(CONTROL!$C$15, $E$9, 100%, $G$9) + CHOOSE(CONTROL!$C$38, 0.0278, 0)</f>
        <v>27.272600000000001</v>
      </c>
      <c r="G283" s="14">
        <f>25.7765 * CHOOSE(CONTROL!$C$15, $E$9, 100%, $G$9) + CHOOSE(CONTROL!$C$38, 0.0369, 0)</f>
        <v>25.813399999999998</v>
      </c>
      <c r="H283" s="14">
        <f>25.7765 * CHOOSE(CONTROL!$C$15, $E$9, 100%, $G$9) + CHOOSE(CONTROL!$C$38, 0.0369, 0)</f>
        <v>25.813399999999998</v>
      </c>
      <c r="I283" s="14">
        <f>25.7781 * CHOOSE(CONTROL!$C$15, $E$9, 100%, $G$9) + CHOOSE(CONTROL!$C$38, 0.0369, 0)</f>
        <v>25.814999999999998</v>
      </c>
      <c r="J283" s="44">
        <f>198.6003</f>
        <v>198.6003</v>
      </c>
    </row>
    <row r="284" spans="1:10" ht="15" x14ac:dyDescent="0.2">
      <c r="A284" s="34">
        <v>49553</v>
      </c>
      <c r="B284" s="14">
        <f>27.8327 * CHOOSE(CONTROL!$C$15, $E$9, 100%, $G$9) + CHOOSE(CONTROL!$C$38, 0.0278, 0)</f>
        <v>27.860499999999998</v>
      </c>
      <c r="C284" s="14">
        <f>26.2098 * CHOOSE(CONTROL!$C$15, $E$9, 100%, $G$9) + CHOOSE(CONTROL!$C$38, 0.0369, 0)</f>
        <v>26.246700000000001</v>
      </c>
      <c r="D284" s="14">
        <f>26.202 * CHOOSE(CONTROL!$C$15, $E$9, 100%, $G$9) + CHOOSE(CONTROL!$C$38, 0.0369, 0)</f>
        <v>26.238900000000001</v>
      </c>
      <c r="E284" s="46">
        <f>27.6765 * CHOOSE(CONTROL!$C$15, $E$9, 100%, $G$9) + CHOOSE(CONTROL!$C$38, 0.0369, 0)</f>
        <v>27.7134</v>
      </c>
      <c r="F284" s="45">
        <f>27.6765 * CHOOSE(CONTROL!$C$15, $E$9, 100%, $G$9) + CHOOSE(CONTROL!$C$38, 0.0278, 0)</f>
        <v>27.7043</v>
      </c>
      <c r="G284" s="14">
        <f>26.2082 * CHOOSE(CONTROL!$C$15, $E$9, 100%, $G$9) + CHOOSE(CONTROL!$C$38, 0.0369, 0)</f>
        <v>26.245100000000001</v>
      </c>
      <c r="H284" s="14">
        <f>26.2082 * CHOOSE(CONTROL!$C$15, $E$9, 100%, $G$9) + CHOOSE(CONTROL!$C$38, 0.0369, 0)</f>
        <v>26.245100000000001</v>
      </c>
      <c r="I284" s="14">
        <f>26.2098 * CHOOSE(CONTROL!$C$15, $E$9, 100%, $G$9) + CHOOSE(CONTROL!$C$38, 0.0369, 0)</f>
        <v>26.246700000000001</v>
      </c>
      <c r="J284" s="44">
        <f>191.9991</f>
        <v>191.9991</v>
      </c>
    </row>
    <row r="285" spans="1:10" ht="15" x14ac:dyDescent="0.2">
      <c r="A285" s="34">
        <v>49583</v>
      </c>
      <c r="B285" s="14">
        <f>28.1943 * CHOOSE(CONTROL!$C$15, $E$9, 100%, $G$9) + CHOOSE(CONTROL!$C$38, 0.0256, 0)</f>
        <v>28.219899999999999</v>
      </c>
      <c r="C285" s="14">
        <f>26.5714 * CHOOSE(CONTROL!$C$15, $E$9, 100%, $G$9) + CHOOSE(CONTROL!$C$38, 0.0347, 0)</f>
        <v>26.606100000000001</v>
      </c>
      <c r="D285" s="14">
        <f>26.5635 * CHOOSE(CONTROL!$C$15, $E$9, 100%, $G$9) + CHOOSE(CONTROL!$C$38, 0.0347, 0)</f>
        <v>26.598200000000002</v>
      </c>
      <c r="E285" s="46">
        <f>28.038 * CHOOSE(CONTROL!$C$15, $E$9, 100%, $G$9) + CHOOSE(CONTROL!$C$38, 0.0347, 0)</f>
        <v>28.072700000000001</v>
      </c>
      <c r="F285" s="45">
        <f>28.038 * CHOOSE(CONTROL!$C$15, $E$9, 100%, $G$9) + CHOOSE(CONTROL!$C$38, 0.0256, 0)</f>
        <v>28.063600000000001</v>
      </c>
      <c r="G285" s="14">
        <f>26.5698 * CHOOSE(CONTROL!$C$15, $E$9, 100%, $G$9) + CHOOSE(CONTROL!$C$38, 0.0347, 0)</f>
        <v>26.604500000000002</v>
      </c>
      <c r="H285" s="14">
        <f>26.5698 * CHOOSE(CONTROL!$C$15, $E$9, 100%, $G$9) + CHOOSE(CONTROL!$C$38, 0.0347, 0)</f>
        <v>26.604500000000002</v>
      </c>
      <c r="I285" s="14">
        <f>26.5714 * CHOOSE(CONTROL!$C$15, $E$9, 100%, $G$9) + CHOOSE(CONTROL!$C$38, 0.0347, 0)</f>
        <v>26.606100000000001</v>
      </c>
      <c r="J285" s="44">
        <f>185.3596</f>
        <v>185.3596</v>
      </c>
    </row>
    <row r="286" spans="1:10" ht="15" x14ac:dyDescent="0.2">
      <c r="A286" s="34">
        <v>49614</v>
      </c>
      <c r="B286" s="14">
        <f>28.496 * CHOOSE(CONTROL!$C$15, $E$9, 100%, $G$9) + CHOOSE(CONTROL!$C$38, 0.0256, 0)</f>
        <v>28.521599999999999</v>
      </c>
      <c r="C286" s="14">
        <f>26.8731 * CHOOSE(CONTROL!$C$15, $E$9, 100%, $G$9) + CHOOSE(CONTROL!$C$38, 0.0347, 0)</f>
        <v>26.907800000000002</v>
      </c>
      <c r="D286" s="14">
        <f>26.8652 * CHOOSE(CONTROL!$C$15, $E$9, 100%, $G$9) + CHOOSE(CONTROL!$C$38, 0.0347, 0)</f>
        <v>26.899900000000002</v>
      </c>
      <c r="E286" s="46">
        <f>28.3397 * CHOOSE(CONTROL!$C$15, $E$9, 100%, $G$9) + CHOOSE(CONTROL!$C$38, 0.0347, 0)</f>
        <v>28.374400000000001</v>
      </c>
      <c r="F286" s="45">
        <f>28.3397 * CHOOSE(CONTROL!$C$15, $E$9, 100%, $G$9) + CHOOSE(CONTROL!$C$38, 0.0256, 0)</f>
        <v>28.365300000000001</v>
      </c>
      <c r="G286" s="14">
        <f>26.8715 * CHOOSE(CONTROL!$C$15, $E$9, 100%, $G$9) + CHOOSE(CONTROL!$C$38, 0.0347, 0)</f>
        <v>26.906200000000002</v>
      </c>
      <c r="H286" s="14">
        <f>26.8715 * CHOOSE(CONTROL!$C$15, $E$9, 100%, $G$9) + CHOOSE(CONTROL!$C$38, 0.0347, 0)</f>
        <v>26.906200000000002</v>
      </c>
      <c r="I286" s="14">
        <f>26.8731 * CHOOSE(CONTROL!$C$15, $E$9, 100%, $G$9) + CHOOSE(CONTROL!$C$38, 0.0347, 0)</f>
        <v>26.907800000000002</v>
      </c>
      <c r="J286" s="44">
        <f>184.0389</f>
        <v>184.03890000000001</v>
      </c>
    </row>
    <row r="287" spans="1:10" ht="15" x14ac:dyDescent="0.2">
      <c r="A287" s="34">
        <v>49644</v>
      </c>
      <c r="B287" s="14">
        <f>29.4256 * CHOOSE(CONTROL!$C$15, $E$9, 100%, $G$9) + CHOOSE(CONTROL!$C$38, 0.0256, 0)</f>
        <v>29.4512</v>
      </c>
      <c r="C287" s="14">
        <f>27.8027 * CHOOSE(CONTROL!$C$15, $E$9, 100%, $G$9) + CHOOSE(CONTROL!$C$38, 0.0347, 0)</f>
        <v>27.837400000000002</v>
      </c>
      <c r="D287" s="14">
        <f>27.7949 * CHOOSE(CONTROL!$C$15, $E$9, 100%, $G$9) + CHOOSE(CONTROL!$C$38, 0.0347, 0)</f>
        <v>27.829599999999999</v>
      </c>
      <c r="E287" s="46">
        <f>29.2694 * CHOOSE(CONTROL!$C$15, $E$9, 100%, $G$9) + CHOOSE(CONTROL!$C$38, 0.0347, 0)</f>
        <v>29.304100000000002</v>
      </c>
      <c r="F287" s="45">
        <f>29.2694 * CHOOSE(CONTROL!$C$15, $E$9, 100%, $G$9) + CHOOSE(CONTROL!$C$38, 0.0256, 0)</f>
        <v>29.295000000000002</v>
      </c>
      <c r="G287" s="14">
        <f>27.8012 * CHOOSE(CONTROL!$C$15, $E$9, 100%, $G$9) + CHOOSE(CONTROL!$C$38, 0.0347, 0)</f>
        <v>27.835900000000002</v>
      </c>
      <c r="H287" s="14">
        <f>27.8012 * CHOOSE(CONTROL!$C$15, $E$9, 100%, $G$9) + CHOOSE(CONTROL!$C$38, 0.0347, 0)</f>
        <v>27.835900000000002</v>
      </c>
      <c r="I287" s="14">
        <f>27.8027 * CHOOSE(CONTROL!$C$15, $E$9, 100%, $G$9) + CHOOSE(CONTROL!$C$38, 0.0347, 0)</f>
        <v>27.837400000000002</v>
      </c>
      <c r="J287" s="44">
        <f>178.5775</f>
        <v>178.57749999999999</v>
      </c>
    </row>
    <row r="288" spans="1:10" ht="15" x14ac:dyDescent="0.2">
      <c r="A288" s="34">
        <v>49675</v>
      </c>
      <c r="B288" s="14">
        <f>30.6291 * CHOOSE(CONTROL!$C$15, $E$9, 100%, $G$9) + CHOOSE(CONTROL!$C$38, 0.0256, 0)</f>
        <v>30.654700000000002</v>
      </c>
      <c r="C288" s="14">
        <f>28.9815 * CHOOSE(CONTROL!$C$15, $E$9, 100%, $G$9) + CHOOSE(CONTROL!$C$38, 0.0347, 0)</f>
        <v>29.016200000000001</v>
      </c>
      <c r="D288" s="14">
        <f>28.9737 * CHOOSE(CONTROL!$C$15, $E$9, 100%, $G$9) + CHOOSE(CONTROL!$C$38, 0.0347, 0)</f>
        <v>29.008400000000002</v>
      </c>
      <c r="E288" s="46">
        <f>30.4728 * CHOOSE(CONTROL!$C$15, $E$9, 100%, $G$9) + CHOOSE(CONTROL!$C$38, 0.0347, 0)</f>
        <v>30.5075</v>
      </c>
      <c r="F288" s="45">
        <f>30.4728 * CHOOSE(CONTROL!$C$15, $E$9, 100%, $G$9) + CHOOSE(CONTROL!$C$38, 0.0256, 0)</f>
        <v>30.4984</v>
      </c>
      <c r="G288" s="14">
        <f>28.98 * CHOOSE(CONTROL!$C$15, $E$9, 100%, $G$9) + CHOOSE(CONTROL!$C$38, 0.0347, 0)</f>
        <v>29.014700000000001</v>
      </c>
      <c r="H288" s="14">
        <f>28.98 * CHOOSE(CONTROL!$C$15, $E$9, 100%, $G$9) + CHOOSE(CONTROL!$C$38, 0.0347, 0)</f>
        <v>29.014700000000001</v>
      </c>
      <c r="I288" s="14">
        <f>28.9815 * CHOOSE(CONTROL!$C$15, $E$9, 100%, $G$9) + CHOOSE(CONTROL!$C$38, 0.0347, 0)</f>
        <v>29.016200000000001</v>
      </c>
      <c r="J288" s="44">
        <f>178.3472</f>
        <v>178.34719999999999</v>
      </c>
    </row>
    <row r="289" spans="1:10" ht="15" x14ac:dyDescent="0.2">
      <c r="A289" s="34">
        <v>49706</v>
      </c>
      <c r="B289" s="14">
        <f>30.9734 * CHOOSE(CONTROL!$C$15, $E$9, 100%, $G$9) + CHOOSE(CONTROL!$C$38, 0.0256, 0)</f>
        <v>30.999000000000002</v>
      </c>
      <c r="C289" s="14">
        <f>29.3258 * CHOOSE(CONTROL!$C$15, $E$9, 100%, $G$9) + CHOOSE(CONTROL!$C$38, 0.0347, 0)</f>
        <v>29.360500000000002</v>
      </c>
      <c r="D289" s="14">
        <f>29.318 * CHOOSE(CONTROL!$C$15, $E$9, 100%, $G$9) + CHOOSE(CONTROL!$C$38, 0.0347, 0)</f>
        <v>29.352700000000002</v>
      </c>
      <c r="E289" s="46">
        <f>30.8172 * CHOOSE(CONTROL!$C$15, $E$9, 100%, $G$9) + CHOOSE(CONTROL!$C$38, 0.0347, 0)</f>
        <v>30.851900000000001</v>
      </c>
      <c r="F289" s="45">
        <f>30.8172 * CHOOSE(CONTROL!$C$15, $E$9, 100%, $G$9) + CHOOSE(CONTROL!$C$38, 0.0256, 0)</f>
        <v>30.8428</v>
      </c>
      <c r="G289" s="14">
        <f>29.3243 * CHOOSE(CONTROL!$C$15, $E$9, 100%, $G$9) + CHOOSE(CONTROL!$C$38, 0.0347, 0)</f>
        <v>29.359000000000002</v>
      </c>
      <c r="H289" s="14">
        <f>29.3243 * CHOOSE(CONTROL!$C$15, $E$9, 100%, $G$9) + CHOOSE(CONTROL!$C$38, 0.0347, 0)</f>
        <v>29.359000000000002</v>
      </c>
      <c r="I289" s="14">
        <f>29.3258 * CHOOSE(CONTROL!$C$15, $E$9, 100%, $G$9) + CHOOSE(CONTROL!$C$38, 0.0347, 0)</f>
        <v>29.360500000000002</v>
      </c>
      <c r="J289" s="44">
        <f>177.8515</f>
        <v>177.85149999999999</v>
      </c>
    </row>
    <row r="290" spans="1:10" ht="15" x14ac:dyDescent="0.2">
      <c r="A290" s="34">
        <v>49735</v>
      </c>
      <c r="B290" s="14">
        <f>30.1764 * CHOOSE(CONTROL!$C$15, $E$9, 100%, $G$9) + CHOOSE(CONTROL!$C$38, 0.0256, 0)</f>
        <v>30.202000000000002</v>
      </c>
      <c r="C290" s="14">
        <f>28.5288 * CHOOSE(CONTROL!$C$15, $E$9, 100%, $G$9) + CHOOSE(CONTROL!$C$38, 0.0347, 0)</f>
        <v>28.563500000000001</v>
      </c>
      <c r="D290" s="14">
        <f>28.521 * CHOOSE(CONTROL!$C$15, $E$9, 100%, $G$9) + CHOOSE(CONTROL!$C$38, 0.0347, 0)</f>
        <v>28.555700000000002</v>
      </c>
      <c r="E290" s="46">
        <f>30.0201 * CHOOSE(CONTROL!$C$15, $E$9, 100%, $G$9) + CHOOSE(CONTROL!$C$38, 0.0347, 0)</f>
        <v>30.0548</v>
      </c>
      <c r="F290" s="45">
        <f>30.0201 * CHOOSE(CONTROL!$C$15, $E$9, 100%, $G$9) + CHOOSE(CONTROL!$C$38, 0.0256, 0)</f>
        <v>30.0457</v>
      </c>
      <c r="G290" s="14">
        <f>28.5272 * CHOOSE(CONTROL!$C$15, $E$9, 100%, $G$9) + CHOOSE(CONTROL!$C$38, 0.0347, 0)</f>
        <v>28.561900000000001</v>
      </c>
      <c r="H290" s="14">
        <f>28.5272 * CHOOSE(CONTROL!$C$15, $E$9, 100%, $G$9) + CHOOSE(CONTROL!$C$38, 0.0347, 0)</f>
        <v>28.561900000000001</v>
      </c>
      <c r="I290" s="14">
        <f>28.5288 * CHOOSE(CONTROL!$C$15, $E$9, 100%, $G$9) + CHOOSE(CONTROL!$C$38, 0.0347, 0)</f>
        <v>28.563500000000001</v>
      </c>
      <c r="J290" s="44">
        <f>187.2253</f>
        <v>187.2253</v>
      </c>
    </row>
    <row r="291" spans="1:10" ht="15" x14ac:dyDescent="0.2">
      <c r="A291" s="34">
        <v>49766</v>
      </c>
      <c r="B291" s="14">
        <f>29.4041 * CHOOSE(CONTROL!$C$15, $E$9, 100%, $G$9) + CHOOSE(CONTROL!$C$38, 0.0256, 0)</f>
        <v>29.4297</v>
      </c>
      <c r="C291" s="14">
        <f>27.7565 * CHOOSE(CONTROL!$C$15, $E$9, 100%, $G$9) + CHOOSE(CONTROL!$C$38, 0.0347, 0)</f>
        <v>27.7912</v>
      </c>
      <c r="D291" s="14">
        <f>27.7487 * CHOOSE(CONTROL!$C$15, $E$9, 100%, $G$9) + CHOOSE(CONTROL!$C$38, 0.0347, 0)</f>
        <v>27.7834</v>
      </c>
      <c r="E291" s="46">
        <f>29.2478 * CHOOSE(CONTROL!$C$15, $E$9, 100%, $G$9) + CHOOSE(CONTROL!$C$38, 0.0347, 0)</f>
        <v>29.282500000000002</v>
      </c>
      <c r="F291" s="45">
        <f>29.2478 * CHOOSE(CONTROL!$C$15, $E$9, 100%, $G$9) + CHOOSE(CONTROL!$C$38, 0.0256, 0)</f>
        <v>29.273400000000002</v>
      </c>
      <c r="G291" s="14">
        <f>27.7549 * CHOOSE(CONTROL!$C$15, $E$9, 100%, $G$9) + CHOOSE(CONTROL!$C$38, 0.0347, 0)</f>
        <v>27.7896</v>
      </c>
      <c r="H291" s="14">
        <f>27.7549 * CHOOSE(CONTROL!$C$15, $E$9, 100%, $G$9) + CHOOSE(CONTROL!$C$38, 0.0347, 0)</f>
        <v>27.7896</v>
      </c>
      <c r="I291" s="14">
        <f>27.7565 * CHOOSE(CONTROL!$C$15, $E$9, 100%, $G$9) + CHOOSE(CONTROL!$C$38, 0.0347, 0)</f>
        <v>27.7912</v>
      </c>
      <c r="J291" s="44">
        <f>199.3809</f>
        <v>199.3809</v>
      </c>
    </row>
    <row r="292" spans="1:10" ht="15" x14ac:dyDescent="0.2">
      <c r="A292" s="34">
        <v>49796</v>
      </c>
      <c r="B292" s="14">
        <f>28.5991 * CHOOSE(CONTROL!$C$15, $E$9, 100%, $G$9) + CHOOSE(CONTROL!$C$38, 0.0278, 0)</f>
        <v>28.626899999999999</v>
      </c>
      <c r="C292" s="14">
        <f>26.9515 * CHOOSE(CONTROL!$C$15, $E$9, 100%, $G$9) + CHOOSE(CONTROL!$C$38, 0.0369, 0)</f>
        <v>26.988399999999999</v>
      </c>
      <c r="D292" s="14">
        <f>26.9437 * CHOOSE(CONTROL!$C$15, $E$9, 100%, $G$9) + CHOOSE(CONTROL!$C$38, 0.0369, 0)</f>
        <v>26.980599999999999</v>
      </c>
      <c r="E292" s="46">
        <f>28.4428 * CHOOSE(CONTROL!$C$15, $E$9, 100%, $G$9) + CHOOSE(CONTROL!$C$38, 0.0369, 0)</f>
        <v>28.479699999999998</v>
      </c>
      <c r="F292" s="45">
        <f>28.4428 * CHOOSE(CONTROL!$C$15, $E$9, 100%, $G$9) + CHOOSE(CONTROL!$C$38, 0.0278, 0)</f>
        <v>28.470599999999997</v>
      </c>
      <c r="G292" s="14">
        <f>26.95 * CHOOSE(CONTROL!$C$15, $E$9, 100%, $G$9) + CHOOSE(CONTROL!$C$38, 0.0369, 0)</f>
        <v>26.986899999999999</v>
      </c>
      <c r="H292" s="14">
        <f>26.95 * CHOOSE(CONTROL!$C$15, $E$9, 100%, $G$9) + CHOOSE(CONTROL!$C$38, 0.0369, 0)</f>
        <v>26.986899999999999</v>
      </c>
      <c r="I292" s="14">
        <f>26.9515 * CHOOSE(CONTROL!$C$15, $E$9, 100%, $G$9) + CHOOSE(CONTROL!$C$38, 0.0369, 0)</f>
        <v>26.988399999999999</v>
      </c>
      <c r="J292" s="44">
        <f>206.0717</f>
        <v>206.07169999999999</v>
      </c>
    </row>
    <row r="293" spans="1:10" ht="15" x14ac:dyDescent="0.2">
      <c r="A293" s="34">
        <v>49827</v>
      </c>
      <c r="B293" s="14">
        <f>28.0348 * CHOOSE(CONTROL!$C$15, $E$9, 100%, $G$9) + CHOOSE(CONTROL!$C$38, 0.0278, 0)</f>
        <v>28.0626</v>
      </c>
      <c r="C293" s="14">
        <f>26.3872 * CHOOSE(CONTROL!$C$15, $E$9, 100%, $G$9) + CHOOSE(CONTROL!$C$38, 0.0369, 0)</f>
        <v>26.424099999999999</v>
      </c>
      <c r="D293" s="14">
        <f>26.3794 * CHOOSE(CONTROL!$C$15, $E$9, 100%, $G$9) + CHOOSE(CONTROL!$C$38, 0.0369, 0)</f>
        <v>26.4163</v>
      </c>
      <c r="E293" s="46">
        <f>27.8785 * CHOOSE(CONTROL!$C$15, $E$9, 100%, $G$9) + CHOOSE(CONTROL!$C$38, 0.0369, 0)</f>
        <v>27.915399999999998</v>
      </c>
      <c r="F293" s="45">
        <f>27.8785 * CHOOSE(CONTROL!$C$15, $E$9, 100%, $G$9) + CHOOSE(CONTROL!$C$38, 0.0278, 0)</f>
        <v>27.906299999999998</v>
      </c>
      <c r="G293" s="14">
        <f>26.3856 * CHOOSE(CONTROL!$C$15, $E$9, 100%, $G$9) + CHOOSE(CONTROL!$C$38, 0.0369, 0)</f>
        <v>26.422499999999999</v>
      </c>
      <c r="H293" s="14">
        <f>26.3856 * CHOOSE(CONTROL!$C$15, $E$9, 100%, $G$9) + CHOOSE(CONTROL!$C$38, 0.0369, 0)</f>
        <v>26.422499999999999</v>
      </c>
      <c r="I293" s="14">
        <f>26.3872 * CHOOSE(CONTROL!$C$15, $E$9, 100%, $G$9) + CHOOSE(CONTROL!$C$38, 0.0369, 0)</f>
        <v>26.424099999999999</v>
      </c>
      <c r="J293" s="44">
        <f>209.041</f>
        <v>209.041</v>
      </c>
    </row>
    <row r="294" spans="1:10" ht="15" x14ac:dyDescent="0.2">
      <c r="A294" s="34">
        <v>49857</v>
      </c>
      <c r="B294" s="14">
        <f>27.7127 * CHOOSE(CONTROL!$C$15, $E$9, 100%, $G$9) + CHOOSE(CONTROL!$C$38, 0.0278, 0)</f>
        <v>27.740500000000001</v>
      </c>
      <c r="C294" s="14">
        <f>26.0651 * CHOOSE(CONTROL!$C$15, $E$9, 100%, $G$9) + CHOOSE(CONTROL!$C$38, 0.0369, 0)</f>
        <v>26.102</v>
      </c>
      <c r="D294" s="14">
        <f>26.0573 * CHOOSE(CONTROL!$C$15, $E$9, 100%, $G$9) + CHOOSE(CONTROL!$C$38, 0.0369, 0)</f>
        <v>26.094200000000001</v>
      </c>
      <c r="E294" s="46">
        <f>27.5565 * CHOOSE(CONTROL!$C$15, $E$9, 100%, $G$9) + CHOOSE(CONTROL!$C$38, 0.0369, 0)</f>
        <v>27.593399999999999</v>
      </c>
      <c r="F294" s="45">
        <f>27.5565 * CHOOSE(CONTROL!$C$15, $E$9, 100%, $G$9) + CHOOSE(CONTROL!$C$38, 0.0278, 0)</f>
        <v>27.584299999999999</v>
      </c>
      <c r="G294" s="14">
        <f>26.0636 * CHOOSE(CONTROL!$C$15, $E$9, 100%, $G$9) + CHOOSE(CONTROL!$C$38, 0.0369, 0)</f>
        <v>26.1005</v>
      </c>
      <c r="H294" s="14">
        <f>26.0636 * CHOOSE(CONTROL!$C$15, $E$9, 100%, $G$9) + CHOOSE(CONTROL!$C$38, 0.0369, 0)</f>
        <v>26.1005</v>
      </c>
      <c r="I294" s="14">
        <f>26.0651 * CHOOSE(CONTROL!$C$15, $E$9, 100%, $G$9) + CHOOSE(CONTROL!$C$38, 0.0369, 0)</f>
        <v>26.102</v>
      </c>
      <c r="J294" s="44">
        <f>208.0634</f>
        <v>208.0634</v>
      </c>
    </row>
    <row r="295" spans="1:10" ht="15" x14ac:dyDescent="0.2">
      <c r="A295" s="34">
        <v>49888</v>
      </c>
      <c r="B295" s="14">
        <f>27.8716 * CHOOSE(CONTROL!$C$15, $E$9, 100%, $G$9) + CHOOSE(CONTROL!$C$38, 0.0278, 0)</f>
        <v>27.8994</v>
      </c>
      <c r="C295" s="14">
        <f>26.2241 * CHOOSE(CONTROL!$C$15, $E$9, 100%, $G$9) + CHOOSE(CONTROL!$C$38, 0.0369, 0)</f>
        <v>26.260999999999999</v>
      </c>
      <c r="D295" s="14">
        <f>26.2163 * CHOOSE(CONTROL!$C$15, $E$9, 100%, $G$9) + CHOOSE(CONTROL!$C$38, 0.0369, 0)</f>
        <v>26.2532</v>
      </c>
      <c r="E295" s="46">
        <f>27.7154 * CHOOSE(CONTROL!$C$15, $E$9, 100%, $G$9) + CHOOSE(CONTROL!$C$38, 0.0369, 0)</f>
        <v>27.752299999999998</v>
      </c>
      <c r="F295" s="45">
        <f>27.7154 * CHOOSE(CONTROL!$C$15, $E$9, 100%, $G$9) + CHOOSE(CONTROL!$C$38, 0.0278, 0)</f>
        <v>27.743199999999998</v>
      </c>
      <c r="G295" s="14">
        <f>26.2225 * CHOOSE(CONTROL!$C$15, $E$9, 100%, $G$9) + CHOOSE(CONTROL!$C$38, 0.0369, 0)</f>
        <v>26.259399999999999</v>
      </c>
      <c r="H295" s="14">
        <f>26.2225 * CHOOSE(CONTROL!$C$15, $E$9, 100%, $G$9) + CHOOSE(CONTROL!$C$38, 0.0369, 0)</f>
        <v>26.259399999999999</v>
      </c>
      <c r="I295" s="14">
        <f>26.2241 * CHOOSE(CONTROL!$C$15, $E$9, 100%, $G$9) + CHOOSE(CONTROL!$C$38, 0.0369, 0)</f>
        <v>26.260999999999999</v>
      </c>
      <c r="J295" s="44">
        <f>203.2197</f>
        <v>203.21969999999999</v>
      </c>
    </row>
    <row r="296" spans="1:10" ht="15" x14ac:dyDescent="0.2">
      <c r="A296" s="34">
        <v>49919</v>
      </c>
      <c r="B296" s="14">
        <f>28.3034 * CHOOSE(CONTROL!$C$15, $E$9, 100%, $G$9) + CHOOSE(CONTROL!$C$38, 0.0278, 0)</f>
        <v>28.331199999999999</v>
      </c>
      <c r="C296" s="14">
        <f>26.6558 * CHOOSE(CONTROL!$C$15, $E$9, 100%, $G$9) + CHOOSE(CONTROL!$C$38, 0.0369, 0)</f>
        <v>26.692699999999999</v>
      </c>
      <c r="D296" s="14">
        <f>26.648 * CHOOSE(CONTROL!$C$15, $E$9, 100%, $G$9) + CHOOSE(CONTROL!$C$38, 0.0369, 0)</f>
        <v>26.684899999999999</v>
      </c>
      <c r="E296" s="46">
        <f>28.1471 * CHOOSE(CONTROL!$C$15, $E$9, 100%, $G$9) + CHOOSE(CONTROL!$C$38, 0.0369, 0)</f>
        <v>28.183999999999997</v>
      </c>
      <c r="F296" s="45">
        <f>28.1471 * CHOOSE(CONTROL!$C$15, $E$9, 100%, $G$9) + CHOOSE(CONTROL!$C$38, 0.0278, 0)</f>
        <v>28.174899999999997</v>
      </c>
      <c r="G296" s="14">
        <f>26.6542 * CHOOSE(CONTROL!$C$15, $E$9, 100%, $G$9) + CHOOSE(CONTROL!$C$38, 0.0369, 0)</f>
        <v>26.691099999999999</v>
      </c>
      <c r="H296" s="14">
        <f>26.6542 * CHOOSE(CONTROL!$C$15, $E$9, 100%, $G$9) + CHOOSE(CONTROL!$C$38, 0.0369, 0)</f>
        <v>26.691099999999999</v>
      </c>
      <c r="I296" s="14">
        <f>26.6558 * CHOOSE(CONTROL!$C$15, $E$9, 100%, $G$9) + CHOOSE(CONTROL!$C$38, 0.0369, 0)</f>
        <v>26.692699999999999</v>
      </c>
      <c r="J296" s="44">
        <f>196.465</f>
        <v>196.465</v>
      </c>
    </row>
    <row r="297" spans="1:10" ht="15" x14ac:dyDescent="0.2">
      <c r="A297" s="34">
        <v>49949</v>
      </c>
      <c r="B297" s="14">
        <f>28.6649 * CHOOSE(CONTROL!$C$15, $E$9, 100%, $G$9) + CHOOSE(CONTROL!$C$38, 0.0256, 0)</f>
        <v>28.6905</v>
      </c>
      <c r="C297" s="14">
        <f>27.0174 * CHOOSE(CONTROL!$C$15, $E$9, 100%, $G$9) + CHOOSE(CONTROL!$C$38, 0.0347, 0)</f>
        <v>27.052099999999999</v>
      </c>
      <c r="D297" s="14">
        <f>27.0095 * CHOOSE(CONTROL!$C$15, $E$9, 100%, $G$9) + CHOOSE(CONTROL!$C$38, 0.0347, 0)</f>
        <v>27.0442</v>
      </c>
      <c r="E297" s="46">
        <f>28.5087 * CHOOSE(CONTROL!$C$15, $E$9, 100%, $G$9) + CHOOSE(CONTROL!$C$38, 0.0347, 0)</f>
        <v>28.543400000000002</v>
      </c>
      <c r="F297" s="45">
        <f>28.5087 * CHOOSE(CONTROL!$C$15, $E$9, 100%, $G$9) + CHOOSE(CONTROL!$C$38, 0.0256, 0)</f>
        <v>28.534300000000002</v>
      </c>
      <c r="G297" s="14">
        <f>27.0158 * CHOOSE(CONTROL!$C$15, $E$9, 100%, $G$9) + CHOOSE(CONTROL!$C$38, 0.0347, 0)</f>
        <v>27.0505</v>
      </c>
      <c r="H297" s="14">
        <f>27.0158 * CHOOSE(CONTROL!$C$15, $E$9, 100%, $G$9) + CHOOSE(CONTROL!$C$38, 0.0347, 0)</f>
        <v>27.0505</v>
      </c>
      <c r="I297" s="14">
        <f>27.0174 * CHOOSE(CONTROL!$C$15, $E$9, 100%, $G$9) + CHOOSE(CONTROL!$C$38, 0.0347, 0)</f>
        <v>27.052099999999999</v>
      </c>
      <c r="J297" s="44">
        <f>189.6711</f>
        <v>189.6711</v>
      </c>
    </row>
    <row r="298" spans="1:10" ht="15" x14ac:dyDescent="0.2">
      <c r="A298" s="34">
        <v>49980</v>
      </c>
      <c r="B298" s="14">
        <f>28.9666 * CHOOSE(CONTROL!$C$15, $E$9, 100%, $G$9) + CHOOSE(CONTROL!$C$38, 0.0256, 0)</f>
        <v>28.9922</v>
      </c>
      <c r="C298" s="14">
        <f>27.3191 * CHOOSE(CONTROL!$C$15, $E$9, 100%, $G$9) + CHOOSE(CONTROL!$C$38, 0.0347, 0)</f>
        <v>27.3538</v>
      </c>
      <c r="D298" s="14">
        <f>27.3112 * CHOOSE(CONTROL!$C$15, $E$9, 100%, $G$9) + CHOOSE(CONTROL!$C$38, 0.0347, 0)</f>
        <v>27.3459</v>
      </c>
      <c r="E298" s="46">
        <f>28.8104 * CHOOSE(CONTROL!$C$15, $E$9, 100%, $G$9) + CHOOSE(CONTROL!$C$38, 0.0347, 0)</f>
        <v>28.845100000000002</v>
      </c>
      <c r="F298" s="45">
        <f>28.8104 * CHOOSE(CONTROL!$C$15, $E$9, 100%, $G$9) + CHOOSE(CONTROL!$C$38, 0.0256, 0)</f>
        <v>28.836000000000002</v>
      </c>
      <c r="G298" s="14">
        <f>27.3175 * CHOOSE(CONTROL!$C$15, $E$9, 100%, $G$9) + CHOOSE(CONTROL!$C$38, 0.0347, 0)</f>
        <v>27.3522</v>
      </c>
      <c r="H298" s="14">
        <f>27.3175 * CHOOSE(CONTROL!$C$15, $E$9, 100%, $G$9) + CHOOSE(CONTROL!$C$38, 0.0347, 0)</f>
        <v>27.3522</v>
      </c>
      <c r="I298" s="14">
        <f>27.3191 * CHOOSE(CONTROL!$C$15, $E$9, 100%, $G$9) + CHOOSE(CONTROL!$C$38, 0.0347, 0)</f>
        <v>27.3538</v>
      </c>
      <c r="J298" s="44">
        <f>188.3196</f>
        <v>188.31960000000001</v>
      </c>
    </row>
    <row r="299" spans="1:10" ht="15" x14ac:dyDescent="0.2">
      <c r="A299" s="34">
        <v>50010</v>
      </c>
      <c r="B299" s="14">
        <f>29.8963 * CHOOSE(CONTROL!$C$15, $E$9, 100%, $G$9) + CHOOSE(CONTROL!$C$38, 0.0256, 0)</f>
        <v>29.921900000000001</v>
      </c>
      <c r="C299" s="14">
        <f>28.2487 * CHOOSE(CONTROL!$C$15, $E$9, 100%, $G$9) + CHOOSE(CONTROL!$C$38, 0.0347, 0)</f>
        <v>28.2834</v>
      </c>
      <c r="D299" s="14">
        <f>28.2409 * CHOOSE(CONTROL!$C$15, $E$9, 100%, $G$9) + CHOOSE(CONTROL!$C$38, 0.0347, 0)</f>
        <v>28.275600000000001</v>
      </c>
      <c r="E299" s="46">
        <f>29.74 * CHOOSE(CONTROL!$C$15, $E$9, 100%, $G$9) + CHOOSE(CONTROL!$C$38, 0.0347, 0)</f>
        <v>29.774699999999999</v>
      </c>
      <c r="F299" s="45">
        <f>29.74 * CHOOSE(CONTROL!$C$15, $E$9, 100%, $G$9) + CHOOSE(CONTROL!$C$38, 0.0256, 0)</f>
        <v>29.765599999999999</v>
      </c>
      <c r="G299" s="14">
        <f>28.2472 * CHOOSE(CONTROL!$C$15, $E$9, 100%, $G$9) + CHOOSE(CONTROL!$C$38, 0.0347, 0)</f>
        <v>28.2819</v>
      </c>
      <c r="H299" s="14">
        <f>28.2472 * CHOOSE(CONTROL!$C$15, $E$9, 100%, $G$9) + CHOOSE(CONTROL!$C$38, 0.0347, 0)</f>
        <v>28.2819</v>
      </c>
      <c r="I299" s="14">
        <f>28.2487 * CHOOSE(CONTROL!$C$15, $E$9, 100%, $G$9) + CHOOSE(CONTROL!$C$38, 0.0347, 0)</f>
        <v>28.2834</v>
      </c>
      <c r="J299" s="44">
        <f>182.7312</f>
        <v>182.7312</v>
      </c>
    </row>
    <row r="300" spans="1:10" ht="15" x14ac:dyDescent="0.2">
      <c r="A300" s="34">
        <v>50041</v>
      </c>
      <c r="B300" s="14">
        <f>31.1076 * CHOOSE(CONTROL!$C$15, $E$9, 100%, $G$9) + CHOOSE(CONTROL!$C$38, 0.0256, 0)</f>
        <v>31.133200000000002</v>
      </c>
      <c r="C300" s="14">
        <f>29.435 * CHOOSE(CONTROL!$C$15, $E$9, 100%, $G$9) + CHOOSE(CONTROL!$C$38, 0.0347, 0)</f>
        <v>29.4697</v>
      </c>
      <c r="D300" s="14">
        <f>29.4272 * CHOOSE(CONTROL!$C$15, $E$9, 100%, $G$9) + CHOOSE(CONTROL!$C$38, 0.0347, 0)</f>
        <v>29.4619</v>
      </c>
      <c r="E300" s="46">
        <f>30.9514 * CHOOSE(CONTROL!$C$15, $E$9, 100%, $G$9) + CHOOSE(CONTROL!$C$38, 0.0347, 0)</f>
        <v>30.9861</v>
      </c>
      <c r="F300" s="45">
        <f>30.9514 * CHOOSE(CONTROL!$C$15, $E$9, 100%, $G$9) + CHOOSE(CONTROL!$C$38, 0.0256, 0)</f>
        <v>30.977</v>
      </c>
      <c r="G300" s="14">
        <f>29.4335 * CHOOSE(CONTROL!$C$15, $E$9, 100%, $G$9) + CHOOSE(CONTROL!$C$38, 0.0347, 0)</f>
        <v>29.4682</v>
      </c>
      <c r="H300" s="14">
        <f>29.4335 * CHOOSE(CONTROL!$C$15, $E$9, 100%, $G$9) + CHOOSE(CONTROL!$C$38, 0.0347, 0)</f>
        <v>29.4682</v>
      </c>
      <c r="I300" s="14">
        <f>29.435 * CHOOSE(CONTROL!$C$15, $E$9, 100%, $G$9) + CHOOSE(CONTROL!$C$38, 0.0347, 0)</f>
        <v>29.4697</v>
      </c>
      <c r="J300" s="44">
        <f>182.4956</f>
        <v>182.4956</v>
      </c>
    </row>
    <row r="301" spans="1:10" ht="15" x14ac:dyDescent="0.2">
      <c r="A301" s="34">
        <v>50072</v>
      </c>
      <c r="B301" s="14">
        <f>31.452 * CHOOSE(CONTROL!$C$15, $E$9, 100%, $G$9) + CHOOSE(CONTROL!$C$38, 0.0256, 0)</f>
        <v>31.477600000000002</v>
      </c>
      <c r="C301" s="14">
        <f>29.7793 * CHOOSE(CONTROL!$C$15, $E$9, 100%, $G$9) + CHOOSE(CONTROL!$C$38, 0.0347, 0)</f>
        <v>29.814</v>
      </c>
      <c r="D301" s="14">
        <f>29.7715 * CHOOSE(CONTROL!$C$15, $E$9, 100%, $G$9) + CHOOSE(CONTROL!$C$38, 0.0347, 0)</f>
        <v>29.8062</v>
      </c>
      <c r="E301" s="46">
        <f>31.2957 * CHOOSE(CONTROL!$C$15, $E$9, 100%, $G$9) + CHOOSE(CONTROL!$C$38, 0.0347, 0)</f>
        <v>31.330400000000001</v>
      </c>
      <c r="F301" s="45">
        <f>31.2957 * CHOOSE(CONTROL!$C$15, $E$9, 100%, $G$9) + CHOOSE(CONTROL!$C$38, 0.0256, 0)</f>
        <v>31.321300000000001</v>
      </c>
      <c r="G301" s="14">
        <f>29.7778 * CHOOSE(CONTROL!$C$15, $E$9, 100%, $G$9) + CHOOSE(CONTROL!$C$38, 0.0347, 0)</f>
        <v>29.8125</v>
      </c>
      <c r="H301" s="14">
        <f>29.7778 * CHOOSE(CONTROL!$C$15, $E$9, 100%, $G$9) + CHOOSE(CONTROL!$C$38, 0.0347, 0)</f>
        <v>29.8125</v>
      </c>
      <c r="I301" s="14">
        <f>29.7793 * CHOOSE(CONTROL!$C$15, $E$9, 100%, $G$9) + CHOOSE(CONTROL!$C$38, 0.0347, 0)</f>
        <v>29.814</v>
      </c>
      <c r="J301" s="44">
        <f>181.9883</f>
        <v>181.98830000000001</v>
      </c>
    </row>
    <row r="302" spans="1:10" ht="15" x14ac:dyDescent="0.2">
      <c r="A302" s="34">
        <v>50100</v>
      </c>
      <c r="B302" s="14">
        <f>30.6549 * CHOOSE(CONTROL!$C$15, $E$9, 100%, $G$9) + CHOOSE(CONTROL!$C$38, 0.0256, 0)</f>
        <v>30.680500000000002</v>
      </c>
      <c r="C302" s="14">
        <f>28.9823 * CHOOSE(CONTROL!$C$15, $E$9, 100%, $G$9) + CHOOSE(CONTROL!$C$38, 0.0347, 0)</f>
        <v>29.016999999999999</v>
      </c>
      <c r="D302" s="14">
        <f>28.9745 * CHOOSE(CONTROL!$C$15, $E$9, 100%, $G$9) + CHOOSE(CONTROL!$C$38, 0.0347, 0)</f>
        <v>29.0092</v>
      </c>
      <c r="E302" s="46">
        <f>30.4987 * CHOOSE(CONTROL!$C$15, $E$9, 100%, $G$9) + CHOOSE(CONTROL!$C$38, 0.0347, 0)</f>
        <v>30.5334</v>
      </c>
      <c r="F302" s="45">
        <f>30.4987 * CHOOSE(CONTROL!$C$15, $E$9, 100%, $G$9) + CHOOSE(CONTROL!$C$38, 0.0256, 0)</f>
        <v>30.5243</v>
      </c>
      <c r="G302" s="14">
        <f>28.9807 * CHOOSE(CONTROL!$C$15, $E$9, 100%, $G$9) + CHOOSE(CONTROL!$C$38, 0.0347, 0)</f>
        <v>29.0154</v>
      </c>
      <c r="H302" s="14">
        <f>28.9807 * CHOOSE(CONTROL!$C$15, $E$9, 100%, $G$9) + CHOOSE(CONTROL!$C$38, 0.0347, 0)</f>
        <v>29.0154</v>
      </c>
      <c r="I302" s="14">
        <f>28.9823 * CHOOSE(CONTROL!$C$15, $E$9, 100%, $G$9) + CHOOSE(CONTROL!$C$38, 0.0347, 0)</f>
        <v>29.016999999999999</v>
      </c>
      <c r="J302" s="44">
        <f>191.5802</f>
        <v>191.58019999999999</v>
      </c>
    </row>
    <row r="303" spans="1:10" ht="15" x14ac:dyDescent="0.2">
      <c r="A303" s="34">
        <v>50131</v>
      </c>
      <c r="B303" s="14">
        <f>29.8826 * CHOOSE(CONTROL!$C$15, $E$9, 100%, $G$9) + CHOOSE(CONTROL!$C$38, 0.0256, 0)</f>
        <v>29.908200000000001</v>
      </c>
      <c r="C303" s="14">
        <f>28.21 * CHOOSE(CONTROL!$C$15, $E$9, 100%, $G$9) + CHOOSE(CONTROL!$C$38, 0.0347, 0)</f>
        <v>28.244700000000002</v>
      </c>
      <c r="D303" s="14">
        <f>28.2022 * CHOOSE(CONTROL!$C$15, $E$9, 100%, $G$9) + CHOOSE(CONTROL!$C$38, 0.0347, 0)</f>
        <v>28.236900000000002</v>
      </c>
      <c r="E303" s="46">
        <f>29.7264 * CHOOSE(CONTROL!$C$15, $E$9, 100%, $G$9) + CHOOSE(CONTROL!$C$38, 0.0347, 0)</f>
        <v>29.761100000000003</v>
      </c>
      <c r="F303" s="45">
        <f>29.7264 * CHOOSE(CONTROL!$C$15, $E$9, 100%, $G$9) + CHOOSE(CONTROL!$C$38, 0.0256, 0)</f>
        <v>29.752000000000002</v>
      </c>
      <c r="G303" s="14">
        <f>28.2084 * CHOOSE(CONTROL!$C$15, $E$9, 100%, $G$9) + CHOOSE(CONTROL!$C$38, 0.0347, 0)</f>
        <v>28.243100000000002</v>
      </c>
      <c r="H303" s="14">
        <f>28.2084 * CHOOSE(CONTROL!$C$15, $E$9, 100%, $G$9) + CHOOSE(CONTROL!$C$38, 0.0347, 0)</f>
        <v>28.243100000000002</v>
      </c>
      <c r="I303" s="14">
        <f>28.21 * CHOOSE(CONTROL!$C$15, $E$9, 100%, $G$9) + CHOOSE(CONTROL!$C$38, 0.0347, 0)</f>
        <v>28.244700000000002</v>
      </c>
      <c r="J303" s="44">
        <f>204.0185</f>
        <v>204.01849999999999</v>
      </c>
    </row>
    <row r="304" spans="1:10" ht="15" x14ac:dyDescent="0.2">
      <c r="A304" s="34">
        <v>50161</v>
      </c>
      <c r="B304" s="14">
        <f>29.0776 * CHOOSE(CONTROL!$C$15, $E$9, 100%, $G$9) + CHOOSE(CONTROL!$C$38, 0.0278, 0)</f>
        <v>29.105399999999999</v>
      </c>
      <c r="C304" s="14">
        <f>27.405 * CHOOSE(CONTROL!$C$15, $E$9, 100%, $G$9) + CHOOSE(CONTROL!$C$38, 0.0369, 0)</f>
        <v>27.4419</v>
      </c>
      <c r="D304" s="14">
        <f>27.3972 * CHOOSE(CONTROL!$C$15, $E$9, 100%, $G$9) + CHOOSE(CONTROL!$C$38, 0.0369, 0)</f>
        <v>27.434100000000001</v>
      </c>
      <c r="E304" s="46">
        <f>28.9214 * CHOOSE(CONTROL!$C$15, $E$9, 100%, $G$9) + CHOOSE(CONTROL!$C$38, 0.0369, 0)</f>
        <v>28.958299999999998</v>
      </c>
      <c r="F304" s="45">
        <f>28.9214 * CHOOSE(CONTROL!$C$15, $E$9, 100%, $G$9) + CHOOSE(CONTROL!$C$38, 0.0278, 0)</f>
        <v>28.949199999999998</v>
      </c>
      <c r="G304" s="14">
        <f>27.4035 * CHOOSE(CONTROL!$C$15, $E$9, 100%, $G$9) + CHOOSE(CONTROL!$C$38, 0.0369, 0)</f>
        <v>27.4404</v>
      </c>
      <c r="H304" s="14">
        <f>27.4035 * CHOOSE(CONTROL!$C$15, $E$9, 100%, $G$9) + CHOOSE(CONTROL!$C$38, 0.0369, 0)</f>
        <v>27.4404</v>
      </c>
      <c r="I304" s="14">
        <f>27.405 * CHOOSE(CONTROL!$C$15, $E$9, 100%, $G$9) + CHOOSE(CONTROL!$C$38, 0.0369, 0)</f>
        <v>27.4419</v>
      </c>
      <c r="J304" s="44">
        <f>210.8649</f>
        <v>210.86490000000001</v>
      </c>
    </row>
    <row r="305" spans="1:10" ht="15" x14ac:dyDescent="0.2">
      <c r="A305" s="34">
        <v>50192</v>
      </c>
      <c r="B305" s="14">
        <f>28.5133 * CHOOSE(CONTROL!$C$15, $E$9, 100%, $G$9) + CHOOSE(CONTROL!$C$38, 0.0278, 0)</f>
        <v>28.5411</v>
      </c>
      <c r="C305" s="14">
        <f>26.8407 * CHOOSE(CONTROL!$C$15, $E$9, 100%, $G$9) + CHOOSE(CONTROL!$C$38, 0.0369, 0)</f>
        <v>26.877599999999997</v>
      </c>
      <c r="D305" s="14">
        <f>26.8329 * CHOOSE(CONTROL!$C$15, $E$9, 100%, $G$9) + CHOOSE(CONTROL!$C$38, 0.0369, 0)</f>
        <v>26.869799999999998</v>
      </c>
      <c r="E305" s="46">
        <f>28.3571 * CHOOSE(CONTROL!$C$15, $E$9, 100%, $G$9) + CHOOSE(CONTROL!$C$38, 0.0369, 0)</f>
        <v>28.393999999999998</v>
      </c>
      <c r="F305" s="45">
        <f>28.3571 * CHOOSE(CONTROL!$C$15, $E$9, 100%, $G$9) + CHOOSE(CONTROL!$C$38, 0.0278, 0)</f>
        <v>28.384899999999998</v>
      </c>
      <c r="G305" s="14">
        <f>26.8391 * CHOOSE(CONTROL!$C$15, $E$9, 100%, $G$9) + CHOOSE(CONTROL!$C$38, 0.0369, 0)</f>
        <v>26.875999999999998</v>
      </c>
      <c r="H305" s="14">
        <f>26.8391 * CHOOSE(CONTROL!$C$15, $E$9, 100%, $G$9) + CHOOSE(CONTROL!$C$38, 0.0369, 0)</f>
        <v>26.875999999999998</v>
      </c>
      <c r="I305" s="14">
        <f>26.8407 * CHOOSE(CONTROL!$C$15, $E$9, 100%, $G$9) + CHOOSE(CONTROL!$C$38, 0.0369, 0)</f>
        <v>26.877599999999997</v>
      </c>
      <c r="J305" s="44">
        <f>213.9033</f>
        <v>213.9033</v>
      </c>
    </row>
    <row r="306" spans="1:10" ht="15" x14ac:dyDescent="0.2">
      <c r="A306" s="34">
        <v>50222</v>
      </c>
      <c r="B306" s="14">
        <f>28.1913 * CHOOSE(CONTROL!$C$15, $E$9, 100%, $G$9) + CHOOSE(CONTROL!$C$38, 0.0278, 0)</f>
        <v>28.219099999999997</v>
      </c>
      <c r="C306" s="14">
        <f>26.5186 * CHOOSE(CONTROL!$C$15, $E$9, 100%, $G$9) + CHOOSE(CONTROL!$C$38, 0.0369, 0)</f>
        <v>26.555499999999999</v>
      </c>
      <c r="D306" s="14">
        <f>26.5108 * CHOOSE(CONTROL!$C$15, $E$9, 100%, $G$9) + CHOOSE(CONTROL!$C$38, 0.0369, 0)</f>
        <v>26.547699999999999</v>
      </c>
      <c r="E306" s="46">
        <f>28.035 * CHOOSE(CONTROL!$C$15, $E$9, 100%, $G$9) + CHOOSE(CONTROL!$C$38, 0.0369, 0)</f>
        <v>28.071899999999999</v>
      </c>
      <c r="F306" s="45">
        <f>28.035 * CHOOSE(CONTROL!$C$15, $E$9, 100%, $G$9) + CHOOSE(CONTROL!$C$38, 0.0278, 0)</f>
        <v>28.062799999999999</v>
      </c>
      <c r="G306" s="14">
        <f>26.5171 * CHOOSE(CONTROL!$C$15, $E$9, 100%, $G$9) + CHOOSE(CONTROL!$C$38, 0.0369, 0)</f>
        <v>26.553999999999998</v>
      </c>
      <c r="H306" s="14">
        <f>26.5171 * CHOOSE(CONTROL!$C$15, $E$9, 100%, $G$9) + CHOOSE(CONTROL!$C$38, 0.0369, 0)</f>
        <v>26.553999999999998</v>
      </c>
      <c r="I306" s="14">
        <f>26.5186 * CHOOSE(CONTROL!$C$15, $E$9, 100%, $G$9) + CHOOSE(CONTROL!$C$38, 0.0369, 0)</f>
        <v>26.555499999999999</v>
      </c>
      <c r="J306" s="44">
        <f>212.9029</f>
        <v>212.90289999999999</v>
      </c>
    </row>
    <row r="307" spans="1:10" ht="15" x14ac:dyDescent="0.2">
      <c r="A307" s="34">
        <v>50253</v>
      </c>
      <c r="B307" s="14">
        <f>28.3502 * CHOOSE(CONTROL!$C$15, $E$9, 100%, $G$9) + CHOOSE(CONTROL!$C$38, 0.0278, 0)</f>
        <v>28.378</v>
      </c>
      <c r="C307" s="14">
        <f>26.6776 * CHOOSE(CONTROL!$C$15, $E$9, 100%, $G$9) + CHOOSE(CONTROL!$C$38, 0.0369, 0)</f>
        <v>26.714500000000001</v>
      </c>
      <c r="D307" s="14">
        <f>26.6698 * CHOOSE(CONTROL!$C$15, $E$9, 100%, $G$9) + CHOOSE(CONTROL!$C$38, 0.0369, 0)</f>
        <v>26.706699999999998</v>
      </c>
      <c r="E307" s="46">
        <f>28.1939 * CHOOSE(CONTROL!$C$15, $E$9, 100%, $G$9) + CHOOSE(CONTROL!$C$38, 0.0369, 0)</f>
        <v>28.230799999999999</v>
      </c>
      <c r="F307" s="45">
        <f>28.1939 * CHOOSE(CONTROL!$C$15, $E$9, 100%, $G$9) + CHOOSE(CONTROL!$C$38, 0.0278, 0)</f>
        <v>28.221699999999998</v>
      </c>
      <c r="G307" s="14">
        <f>26.676 * CHOOSE(CONTROL!$C$15, $E$9, 100%, $G$9) + CHOOSE(CONTROL!$C$38, 0.0369, 0)</f>
        <v>26.712899999999998</v>
      </c>
      <c r="H307" s="14">
        <f>26.676 * CHOOSE(CONTROL!$C$15, $E$9, 100%, $G$9) + CHOOSE(CONTROL!$C$38, 0.0369, 0)</f>
        <v>26.712899999999998</v>
      </c>
      <c r="I307" s="14">
        <f>26.6776 * CHOOSE(CONTROL!$C$15, $E$9, 100%, $G$9) + CHOOSE(CONTROL!$C$38, 0.0369, 0)</f>
        <v>26.714500000000001</v>
      </c>
      <c r="J307" s="44">
        <f>207.9466</f>
        <v>207.94659999999999</v>
      </c>
    </row>
    <row r="308" spans="1:10" ht="15" x14ac:dyDescent="0.2">
      <c r="A308" s="34">
        <v>50284</v>
      </c>
      <c r="B308" s="14">
        <f>28.7819 * CHOOSE(CONTROL!$C$15, $E$9, 100%, $G$9) + CHOOSE(CONTROL!$C$38, 0.0278, 0)</f>
        <v>28.809699999999999</v>
      </c>
      <c r="C308" s="14">
        <f>27.1093 * CHOOSE(CONTROL!$C$15, $E$9, 100%, $G$9) + CHOOSE(CONTROL!$C$38, 0.0369, 0)</f>
        <v>27.1462</v>
      </c>
      <c r="D308" s="14">
        <f>27.1015 * CHOOSE(CONTROL!$C$15, $E$9, 100%, $G$9) + CHOOSE(CONTROL!$C$38, 0.0369, 0)</f>
        <v>27.138400000000001</v>
      </c>
      <c r="E308" s="46">
        <f>28.6257 * CHOOSE(CONTROL!$C$15, $E$9, 100%, $G$9) + CHOOSE(CONTROL!$C$38, 0.0369, 0)</f>
        <v>28.662599999999998</v>
      </c>
      <c r="F308" s="45">
        <f>28.6257 * CHOOSE(CONTROL!$C$15, $E$9, 100%, $G$9) + CHOOSE(CONTROL!$C$38, 0.0278, 0)</f>
        <v>28.653499999999998</v>
      </c>
      <c r="G308" s="14">
        <f>27.1077 * CHOOSE(CONTROL!$C$15, $E$9, 100%, $G$9) + CHOOSE(CONTROL!$C$38, 0.0369, 0)</f>
        <v>27.144600000000001</v>
      </c>
      <c r="H308" s="14">
        <f>27.1077 * CHOOSE(CONTROL!$C$15, $E$9, 100%, $G$9) + CHOOSE(CONTROL!$C$38, 0.0369, 0)</f>
        <v>27.144600000000001</v>
      </c>
      <c r="I308" s="14">
        <f>27.1093 * CHOOSE(CONTROL!$C$15, $E$9, 100%, $G$9) + CHOOSE(CONTROL!$C$38, 0.0369, 0)</f>
        <v>27.1462</v>
      </c>
      <c r="J308" s="44">
        <f>201.0348</f>
        <v>201.03479999999999</v>
      </c>
    </row>
    <row r="309" spans="1:10" ht="15" x14ac:dyDescent="0.2">
      <c r="A309" s="34">
        <v>50314</v>
      </c>
      <c r="B309" s="14">
        <f>29.1435 * CHOOSE(CONTROL!$C$15, $E$9, 100%, $G$9) + CHOOSE(CONTROL!$C$38, 0.0256, 0)</f>
        <v>29.1691</v>
      </c>
      <c r="C309" s="14">
        <f>27.4709 * CHOOSE(CONTROL!$C$15, $E$9, 100%, $G$9) + CHOOSE(CONTROL!$C$38, 0.0347, 0)</f>
        <v>27.505600000000001</v>
      </c>
      <c r="D309" s="14">
        <f>27.463 * CHOOSE(CONTROL!$C$15, $E$9, 100%, $G$9) + CHOOSE(CONTROL!$C$38, 0.0347, 0)</f>
        <v>27.497700000000002</v>
      </c>
      <c r="E309" s="46">
        <f>28.9872 * CHOOSE(CONTROL!$C$15, $E$9, 100%, $G$9) + CHOOSE(CONTROL!$C$38, 0.0347, 0)</f>
        <v>29.021900000000002</v>
      </c>
      <c r="F309" s="45">
        <f>28.9872 * CHOOSE(CONTROL!$C$15, $E$9, 100%, $G$9) + CHOOSE(CONTROL!$C$38, 0.0256, 0)</f>
        <v>29.012800000000002</v>
      </c>
      <c r="G309" s="14">
        <f>27.4693 * CHOOSE(CONTROL!$C$15, $E$9, 100%, $G$9) + CHOOSE(CONTROL!$C$38, 0.0347, 0)</f>
        <v>27.504000000000001</v>
      </c>
      <c r="H309" s="14">
        <f>27.4693 * CHOOSE(CONTROL!$C$15, $E$9, 100%, $G$9) + CHOOSE(CONTROL!$C$38, 0.0347, 0)</f>
        <v>27.504000000000001</v>
      </c>
      <c r="I309" s="14">
        <f>27.4709 * CHOOSE(CONTROL!$C$15, $E$9, 100%, $G$9) + CHOOSE(CONTROL!$C$38, 0.0347, 0)</f>
        <v>27.505600000000001</v>
      </c>
      <c r="J309" s="44">
        <f>194.0828</f>
        <v>194.08279999999999</v>
      </c>
    </row>
    <row r="310" spans="1:10" ht="15" x14ac:dyDescent="0.2">
      <c r="A310" s="34">
        <v>50345</v>
      </c>
      <c r="B310" s="14">
        <f>29.4452 * CHOOSE(CONTROL!$C$15, $E$9, 100%, $G$9) + CHOOSE(CONTROL!$C$38, 0.0256, 0)</f>
        <v>29.470800000000001</v>
      </c>
      <c r="C310" s="14">
        <f>27.7726 * CHOOSE(CONTROL!$C$15, $E$9, 100%, $G$9) + CHOOSE(CONTROL!$C$38, 0.0347, 0)</f>
        <v>27.807300000000001</v>
      </c>
      <c r="D310" s="14">
        <f>27.7647 * CHOOSE(CONTROL!$C$15, $E$9, 100%, $G$9) + CHOOSE(CONTROL!$C$38, 0.0347, 0)</f>
        <v>27.799400000000002</v>
      </c>
      <c r="E310" s="46">
        <f>29.2889 * CHOOSE(CONTROL!$C$15, $E$9, 100%, $G$9) + CHOOSE(CONTROL!$C$38, 0.0347, 0)</f>
        <v>29.323600000000003</v>
      </c>
      <c r="F310" s="45">
        <f>29.2889 * CHOOSE(CONTROL!$C$15, $E$9, 100%, $G$9) + CHOOSE(CONTROL!$C$38, 0.0256, 0)</f>
        <v>29.314500000000002</v>
      </c>
      <c r="G310" s="14">
        <f>27.771 * CHOOSE(CONTROL!$C$15, $E$9, 100%, $G$9) + CHOOSE(CONTROL!$C$38, 0.0347, 0)</f>
        <v>27.805700000000002</v>
      </c>
      <c r="H310" s="14">
        <f>27.771 * CHOOSE(CONTROL!$C$15, $E$9, 100%, $G$9) + CHOOSE(CONTROL!$C$38, 0.0347, 0)</f>
        <v>27.805700000000002</v>
      </c>
      <c r="I310" s="14">
        <f>27.7726 * CHOOSE(CONTROL!$C$15, $E$9, 100%, $G$9) + CHOOSE(CONTROL!$C$38, 0.0347, 0)</f>
        <v>27.807300000000001</v>
      </c>
      <c r="J310" s="44">
        <f>192.6999</f>
        <v>192.69990000000001</v>
      </c>
    </row>
    <row r="311" spans="1:10" ht="15" x14ac:dyDescent="0.2">
      <c r="A311" s="34">
        <v>50375</v>
      </c>
      <c r="B311" s="14">
        <f>30.3748 * CHOOSE(CONTROL!$C$15, $E$9, 100%, $G$9) + CHOOSE(CONTROL!$C$38, 0.0256, 0)</f>
        <v>30.400400000000001</v>
      </c>
      <c r="C311" s="14">
        <f>28.7022 * CHOOSE(CONTROL!$C$15, $E$9, 100%, $G$9) + CHOOSE(CONTROL!$C$38, 0.0347, 0)</f>
        <v>28.736900000000002</v>
      </c>
      <c r="D311" s="14">
        <f>28.6944 * CHOOSE(CONTROL!$C$15, $E$9, 100%, $G$9) + CHOOSE(CONTROL!$C$38, 0.0347, 0)</f>
        <v>28.729100000000003</v>
      </c>
      <c r="E311" s="46">
        <f>30.2186 * CHOOSE(CONTROL!$C$15, $E$9, 100%, $G$9) + CHOOSE(CONTROL!$C$38, 0.0347, 0)</f>
        <v>30.253299999999999</v>
      </c>
      <c r="F311" s="45">
        <f>30.2186 * CHOOSE(CONTROL!$C$15, $E$9, 100%, $G$9) + CHOOSE(CONTROL!$C$38, 0.0256, 0)</f>
        <v>30.244199999999999</v>
      </c>
      <c r="G311" s="14">
        <f>28.7007 * CHOOSE(CONTROL!$C$15, $E$9, 100%, $G$9) + CHOOSE(CONTROL!$C$38, 0.0347, 0)</f>
        <v>28.735400000000002</v>
      </c>
      <c r="H311" s="14">
        <f>28.7007 * CHOOSE(CONTROL!$C$15, $E$9, 100%, $G$9) + CHOOSE(CONTROL!$C$38, 0.0347, 0)</f>
        <v>28.735400000000002</v>
      </c>
      <c r="I311" s="14">
        <f>28.7022 * CHOOSE(CONTROL!$C$15, $E$9, 100%, $G$9) + CHOOSE(CONTROL!$C$38, 0.0347, 0)</f>
        <v>28.736900000000002</v>
      </c>
      <c r="J311" s="44">
        <f>186.9816</f>
        <v>186.98159999999999</v>
      </c>
    </row>
    <row r="312" spans="1:10" ht="15.75" x14ac:dyDescent="0.25">
      <c r="A312" s="33">
        <v>50436</v>
      </c>
      <c r="B312" s="14">
        <f>31.5942 * CHOOSE(CONTROL!$C$15, $E$9, 100%, $G$9) + CHOOSE(CONTROL!$C$38, 0.0256, 0)</f>
        <v>31.619800000000001</v>
      </c>
      <c r="C312" s="14">
        <f>29.8961 * CHOOSE(CONTROL!$C$15, $E$9, 100%, $G$9) + CHOOSE(CONTROL!$C$38, 0.0347, 0)</f>
        <v>29.930800000000001</v>
      </c>
      <c r="D312" s="14">
        <f>29.8883 * CHOOSE(CONTROL!$C$15, $E$9, 100%, $G$9) + CHOOSE(CONTROL!$C$38, 0.0347, 0)</f>
        <v>29.923000000000002</v>
      </c>
      <c r="E312" s="46">
        <f>31.438 * CHOOSE(CONTROL!$C$15, $E$9, 100%, $G$9) + CHOOSE(CONTROL!$C$38, 0.0347, 0)</f>
        <v>31.4727</v>
      </c>
      <c r="F312" s="45">
        <f>31.438 * CHOOSE(CONTROL!$C$15, $E$9, 100%, $G$9) + CHOOSE(CONTROL!$C$38, 0.0256, 0)</f>
        <v>31.4636</v>
      </c>
      <c r="G312" s="14">
        <f>29.8946 * CHOOSE(CONTROL!$C$15, $E$9, 100%, $G$9) + CHOOSE(CONTROL!$C$38, 0.0347, 0)</f>
        <v>29.929300000000001</v>
      </c>
      <c r="H312" s="14">
        <f>29.8946 * CHOOSE(CONTROL!$C$15, $E$9, 100%, $G$9) + CHOOSE(CONTROL!$C$38, 0.0347, 0)</f>
        <v>29.929300000000001</v>
      </c>
      <c r="I312" s="14">
        <f>29.8961 * CHOOSE(CONTROL!$C$15, $E$9, 100%, $G$9) + CHOOSE(CONTROL!$C$38, 0.0347, 0)</f>
        <v>29.930800000000001</v>
      </c>
      <c r="J312" s="44">
        <f>186.7404</f>
        <v>186.74039999999999</v>
      </c>
    </row>
    <row r="313" spans="1:10" ht="15.75" x14ac:dyDescent="0.25">
      <c r="A313" s="33">
        <v>50464</v>
      </c>
      <c r="B313" s="14">
        <f>31.9385 * CHOOSE(CONTROL!$C$15, $E$9, 100%, $G$9) + CHOOSE(CONTROL!$C$38, 0.0256, 0)</f>
        <v>31.964100000000002</v>
      </c>
      <c r="C313" s="14">
        <f>30.2404 * CHOOSE(CONTROL!$C$15, $E$9, 100%, $G$9) + CHOOSE(CONTROL!$C$38, 0.0347, 0)</f>
        <v>30.275100000000002</v>
      </c>
      <c r="D313" s="14">
        <f>30.2326 * CHOOSE(CONTROL!$C$15, $E$9, 100%, $G$9) + CHOOSE(CONTROL!$C$38, 0.0347, 0)</f>
        <v>30.267300000000002</v>
      </c>
      <c r="E313" s="46">
        <f>31.7823 * CHOOSE(CONTROL!$C$15, $E$9, 100%, $G$9) + CHOOSE(CONTROL!$C$38, 0.0347, 0)</f>
        <v>31.817</v>
      </c>
      <c r="F313" s="45">
        <f>31.7823 * CHOOSE(CONTROL!$C$15, $E$9, 100%, $G$9) + CHOOSE(CONTROL!$C$38, 0.0256, 0)</f>
        <v>31.8079</v>
      </c>
      <c r="G313" s="14">
        <f>30.2389 * CHOOSE(CONTROL!$C$15, $E$9, 100%, $G$9) + CHOOSE(CONTROL!$C$38, 0.0347, 0)</f>
        <v>30.273600000000002</v>
      </c>
      <c r="H313" s="14">
        <f>30.2389 * CHOOSE(CONTROL!$C$15, $E$9, 100%, $G$9) + CHOOSE(CONTROL!$C$38, 0.0347, 0)</f>
        <v>30.273600000000002</v>
      </c>
      <c r="I313" s="14">
        <f>30.2404 * CHOOSE(CONTROL!$C$15, $E$9, 100%, $G$9) + CHOOSE(CONTROL!$C$38, 0.0347, 0)</f>
        <v>30.275100000000002</v>
      </c>
      <c r="J313" s="44">
        <f>186.2214</f>
        <v>186.22139999999999</v>
      </c>
    </row>
    <row r="314" spans="1:10" ht="15.75" x14ac:dyDescent="0.25">
      <c r="A314" s="33">
        <v>50495</v>
      </c>
      <c r="B314" s="14">
        <f>31.1415 * CHOOSE(CONTROL!$C$15, $E$9, 100%, $G$9) + CHOOSE(CONTROL!$C$38, 0.0256, 0)</f>
        <v>31.167100000000001</v>
      </c>
      <c r="C314" s="14">
        <f>29.4434 * CHOOSE(CONTROL!$C$15, $E$9, 100%, $G$9) + CHOOSE(CONTROL!$C$38, 0.0347, 0)</f>
        <v>29.478100000000001</v>
      </c>
      <c r="D314" s="14">
        <f>29.4356 * CHOOSE(CONTROL!$C$15, $E$9, 100%, $G$9) + CHOOSE(CONTROL!$C$38, 0.0347, 0)</f>
        <v>29.470300000000002</v>
      </c>
      <c r="E314" s="46">
        <f>30.9853 * CHOOSE(CONTROL!$C$15, $E$9, 100%, $G$9) + CHOOSE(CONTROL!$C$38, 0.0347, 0)</f>
        <v>31.02</v>
      </c>
      <c r="F314" s="45">
        <f>30.9853 * CHOOSE(CONTROL!$C$15, $E$9, 100%, $G$9) + CHOOSE(CONTROL!$C$38, 0.0256, 0)</f>
        <v>31.010899999999999</v>
      </c>
      <c r="G314" s="14">
        <f>29.4419 * CHOOSE(CONTROL!$C$15, $E$9, 100%, $G$9) + CHOOSE(CONTROL!$C$38, 0.0347, 0)</f>
        <v>29.476600000000001</v>
      </c>
      <c r="H314" s="14">
        <f>29.4419 * CHOOSE(CONTROL!$C$15, $E$9, 100%, $G$9) + CHOOSE(CONTROL!$C$38, 0.0347, 0)</f>
        <v>29.476600000000001</v>
      </c>
      <c r="I314" s="14">
        <f>29.4434 * CHOOSE(CONTROL!$C$15, $E$9, 100%, $G$9) + CHOOSE(CONTROL!$C$38, 0.0347, 0)</f>
        <v>29.478100000000001</v>
      </c>
      <c r="J314" s="44">
        <f>196.0363</f>
        <v>196.03630000000001</v>
      </c>
    </row>
    <row r="315" spans="1:10" ht="15.75" x14ac:dyDescent="0.25">
      <c r="A315" s="33">
        <v>50525</v>
      </c>
      <c r="B315" s="14">
        <f>30.3692 * CHOOSE(CONTROL!$C$15, $E$9, 100%, $G$9) + CHOOSE(CONTROL!$C$38, 0.0256, 0)</f>
        <v>30.3948</v>
      </c>
      <c r="C315" s="14">
        <f>28.6711 * CHOOSE(CONTROL!$C$15, $E$9, 100%, $G$9) + CHOOSE(CONTROL!$C$38, 0.0347, 0)</f>
        <v>28.7058</v>
      </c>
      <c r="D315" s="14">
        <f>28.6633 * CHOOSE(CONTROL!$C$15, $E$9, 100%, $G$9) + CHOOSE(CONTROL!$C$38, 0.0347, 0)</f>
        <v>28.698</v>
      </c>
      <c r="E315" s="46">
        <f>30.2129 * CHOOSE(CONTROL!$C$15, $E$9, 100%, $G$9) + CHOOSE(CONTROL!$C$38, 0.0347, 0)</f>
        <v>30.247600000000002</v>
      </c>
      <c r="F315" s="45">
        <f>30.2129 * CHOOSE(CONTROL!$C$15, $E$9, 100%, $G$9) + CHOOSE(CONTROL!$C$38, 0.0256, 0)</f>
        <v>30.238500000000002</v>
      </c>
      <c r="G315" s="14">
        <f>28.6695 * CHOOSE(CONTROL!$C$15, $E$9, 100%, $G$9) + CHOOSE(CONTROL!$C$38, 0.0347, 0)</f>
        <v>28.7042</v>
      </c>
      <c r="H315" s="14">
        <f>28.6695 * CHOOSE(CONTROL!$C$15, $E$9, 100%, $G$9) + CHOOSE(CONTROL!$C$38, 0.0347, 0)</f>
        <v>28.7042</v>
      </c>
      <c r="I315" s="14">
        <f>28.6711 * CHOOSE(CONTROL!$C$15, $E$9, 100%, $G$9) + CHOOSE(CONTROL!$C$38, 0.0347, 0)</f>
        <v>28.7058</v>
      </c>
      <c r="J315" s="44">
        <f>208.7639</f>
        <v>208.76390000000001</v>
      </c>
    </row>
    <row r="316" spans="1:10" ht="15.75" x14ac:dyDescent="0.25">
      <c r="A316" s="33">
        <v>50556</v>
      </c>
      <c r="B316" s="14">
        <f>29.5642 * CHOOSE(CONTROL!$C$15, $E$9, 100%, $G$9) + CHOOSE(CONTROL!$C$38, 0.0278, 0)</f>
        <v>29.591999999999999</v>
      </c>
      <c r="C316" s="14">
        <f>27.8661 * CHOOSE(CONTROL!$C$15, $E$9, 100%, $G$9) + CHOOSE(CONTROL!$C$38, 0.0369, 0)</f>
        <v>27.902999999999999</v>
      </c>
      <c r="D316" s="14">
        <f>27.8583 * CHOOSE(CONTROL!$C$15, $E$9, 100%, $G$9) + CHOOSE(CONTROL!$C$38, 0.0369, 0)</f>
        <v>27.895199999999999</v>
      </c>
      <c r="E316" s="46">
        <f>29.408 * CHOOSE(CONTROL!$C$15, $E$9, 100%, $G$9) + CHOOSE(CONTROL!$C$38, 0.0369, 0)</f>
        <v>29.444900000000001</v>
      </c>
      <c r="F316" s="45">
        <f>29.408 * CHOOSE(CONTROL!$C$15, $E$9, 100%, $G$9) + CHOOSE(CONTROL!$C$38, 0.0278, 0)</f>
        <v>29.4358</v>
      </c>
      <c r="G316" s="14">
        <f>27.8646 * CHOOSE(CONTROL!$C$15, $E$9, 100%, $G$9) + CHOOSE(CONTROL!$C$38, 0.0369, 0)</f>
        <v>27.901499999999999</v>
      </c>
      <c r="H316" s="14">
        <f>27.8646 * CHOOSE(CONTROL!$C$15, $E$9, 100%, $G$9) + CHOOSE(CONTROL!$C$38, 0.0369, 0)</f>
        <v>27.901499999999999</v>
      </c>
      <c r="I316" s="14">
        <f>27.8661 * CHOOSE(CONTROL!$C$15, $E$9, 100%, $G$9) + CHOOSE(CONTROL!$C$38, 0.0369, 0)</f>
        <v>27.902999999999999</v>
      </c>
      <c r="J316" s="44">
        <f>215.7696</f>
        <v>215.7696</v>
      </c>
    </row>
    <row r="317" spans="1:10" ht="15.75" x14ac:dyDescent="0.25">
      <c r="A317" s="33">
        <v>50586</v>
      </c>
      <c r="B317" s="14">
        <f>28.9999 * CHOOSE(CONTROL!$C$15, $E$9, 100%, $G$9) + CHOOSE(CONTROL!$C$38, 0.0278, 0)</f>
        <v>29.027699999999999</v>
      </c>
      <c r="C317" s="14">
        <f>27.3018 * CHOOSE(CONTROL!$C$15, $E$9, 100%, $G$9) + CHOOSE(CONTROL!$C$38, 0.0369, 0)</f>
        <v>27.338699999999999</v>
      </c>
      <c r="D317" s="14">
        <f>27.294 * CHOOSE(CONTROL!$C$15, $E$9, 100%, $G$9) + CHOOSE(CONTROL!$C$38, 0.0369, 0)</f>
        <v>27.3309</v>
      </c>
      <c r="E317" s="46">
        <f>28.8436 * CHOOSE(CONTROL!$C$15, $E$9, 100%, $G$9) + CHOOSE(CONTROL!$C$38, 0.0369, 0)</f>
        <v>28.880499999999998</v>
      </c>
      <c r="F317" s="45">
        <f>28.8436 * CHOOSE(CONTROL!$C$15, $E$9, 100%, $G$9) + CHOOSE(CONTROL!$C$38, 0.0278, 0)</f>
        <v>28.871399999999998</v>
      </c>
      <c r="G317" s="14">
        <f>27.3002 * CHOOSE(CONTROL!$C$15, $E$9, 100%, $G$9) + CHOOSE(CONTROL!$C$38, 0.0369, 0)</f>
        <v>27.3371</v>
      </c>
      <c r="H317" s="14">
        <f>27.3002 * CHOOSE(CONTROL!$C$15, $E$9, 100%, $G$9) + CHOOSE(CONTROL!$C$38, 0.0369, 0)</f>
        <v>27.3371</v>
      </c>
      <c r="I317" s="14">
        <f>27.3018 * CHOOSE(CONTROL!$C$15, $E$9, 100%, $G$9) + CHOOSE(CONTROL!$C$38, 0.0369, 0)</f>
        <v>27.338699999999999</v>
      </c>
      <c r="J317" s="44">
        <f>218.8787</f>
        <v>218.87870000000001</v>
      </c>
    </row>
    <row r="318" spans="1:10" ht="15.75" x14ac:dyDescent="0.25">
      <c r="A318" s="33">
        <v>50617</v>
      </c>
      <c r="B318" s="14">
        <f>28.6778 * CHOOSE(CONTROL!$C$15, $E$9, 100%, $G$9) + CHOOSE(CONTROL!$C$38, 0.0278, 0)</f>
        <v>28.7056</v>
      </c>
      <c r="C318" s="14">
        <f>26.9797 * CHOOSE(CONTROL!$C$15, $E$9, 100%, $G$9) + CHOOSE(CONTROL!$C$38, 0.0369, 0)</f>
        <v>27.0166</v>
      </c>
      <c r="D318" s="14">
        <f>26.9719 * CHOOSE(CONTROL!$C$15, $E$9, 100%, $G$9) + CHOOSE(CONTROL!$C$38, 0.0369, 0)</f>
        <v>27.008800000000001</v>
      </c>
      <c r="E318" s="46">
        <f>28.5216 * CHOOSE(CONTROL!$C$15, $E$9, 100%, $G$9) + CHOOSE(CONTROL!$C$38, 0.0369, 0)</f>
        <v>28.558499999999999</v>
      </c>
      <c r="F318" s="45">
        <f>28.5216 * CHOOSE(CONTROL!$C$15, $E$9, 100%, $G$9) + CHOOSE(CONTROL!$C$38, 0.0278, 0)</f>
        <v>28.549399999999999</v>
      </c>
      <c r="G318" s="14">
        <f>26.9782 * CHOOSE(CONTROL!$C$15, $E$9, 100%, $G$9) + CHOOSE(CONTROL!$C$38, 0.0369, 0)</f>
        <v>27.0151</v>
      </c>
      <c r="H318" s="14">
        <f>26.9782 * CHOOSE(CONTROL!$C$15, $E$9, 100%, $G$9) + CHOOSE(CONTROL!$C$38, 0.0369, 0)</f>
        <v>27.0151</v>
      </c>
      <c r="I318" s="14">
        <f>26.9797 * CHOOSE(CONTROL!$C$15, $E$9, 100%, $G$9) + CHOOSE(CONTROL!$C$38, 0.0369, 0)</f>
        <v>27.0166</v>
      </c>
      <c r="J318" s="44">
        <f>217.855</f>
        <v>217.85499999999999</v>
      </c>
    </row>
    <row r="319" spans="1:10" ht="15.75" x14ac:dyDescent="0.25">
      <c r="A319" s="33">
        <v>50648</v>
      </c>
      <c r="B319" s="14">
        <f>28.8368 * CHOOSE(CONTROL!$C$15, $E$9, 100%, $G$9) + CHOOSE(CONTROL!$C$38, 0.0278, 0)</f>
        <v>28.864599999999999</v>
      </c>
      <c r="C319" s="14">
        <f>27.1387 * CHOOSE(CONTROL!$C$15, $E$9, 100%, $G$9) + CHOOSE(CONTROL!$C$38, 0.0369, 0)</f>
        <v>27.175599999999999</v>
      </c>
      <c r="D319" s="14">
        <f>27.1309 * CHOOSE(CONTROL!$C$15, $E$9, 100%, $G$9) + CHOOSE(CONTROL!$C$38, 0.0369, 0)</f>
        <v>27.1678</v>
      </c>
      <c r="E319" s="46">
        <f>28.6805 * CHOOSE(CONTROL!$C$15, $E$9, 100%, $G$9) + CHOOSE(CONTROL!$C$38, 0.0369, 0)</f>
        <v>28.717399999999998</v>
      </c>
      <c r="F319" s="45">
        <f>28.6805 * CHOOSE(CONTROL!$C$15, $E$9, 100%, $G$9) + CHOOSE(CONTROL!$C$38, 0.0278, 0)</f>
        <v>28.708299999999998</v>
      </c>
      <c r="G319" s="14">
        <f>27.1371 * CHOOSE(CONTROL!$C$15, $E$9, 100%, $G$9) + CHOOSE(CONTROL!$C$38, 0.0369, 0)</f>
        <v>27.173999999999999</v>
      </c>
      <c r="H319" s="14">
        <f>27.1371 * CHOOSE(CONTROL!$C$15, $E$9, 100%, $G$9) + CHOOSE(CONTROL!$C$38, 0.0369, 0)</f>
        <v>27.173999999999999</v>
      </c>
      <c r="I319" s="14">
        <f>27.1387 * CHOOSE(CONTROL!$C$15, $E$9, 100%, $G$9) + CHOOSE(CONTROL!$C$38, 0.0369, 0)</f>
        <v>27.175599999999999</v>
      </c>
      <c r="J319" s="44">
        <f>212.7835</f>
        <v>212.7835</v>
      </c>
    </row>
    <row r="320" spans="1:10" ht="15.75" x14ac:dyDescent="0.25">
      <c r="A320" s="33">
        <v>50678</v>
      </c>
      <c r="B320" s="14">
        <f>29.2685 * CHOOSE(CONTROL!$C$15, $E$9, 100%, $G$9) + CHOOSE(CONTROL!$C$38, 0.0278, 0)</f>
        <v>29.296299999999999</v>
      </c>
      <c r="C320" s="14">
        <f>27.5704 * CHOOSE(CONTROL!$C$15, $E$9, 100%, $G$9) + CHOOSE(CONTROL!$C$38, 0.0369, 0)</f>
        <v>27.607299999999999</v>
      </c>
      <c r="D320" s="14">
        <f>27.5626 * CHOOSE(CONTROL!$C$15, $E$9, 100%, $G$9) + CHOOSE(CONTROL!$C$38, 0.0369, 0)</f>
        <v>27.599499999999999</v>
      </c>
      <c r="E320" s="46">
        <f>29.1122 * CHOOSE(CONTROL!$C$15, $E$9, 100%, $G$9) + CHOOSE(CONTROL!$C$38, 0.0369, 0)</f>
        <v>29.149100000000001</v>
      </c>
      <c r="F320" s="45">
        <f>29.1122 * CHOOSE(CONTROL!$C$15, $E$9, 100%, $G$9) + CHOOSE(CONTROL!$C$38, 0.0278, 0)</f>
        <v>29.14</v>
      </c>
      <c r="G320" s="14">
        <f>27.5688 * CHOOSE(CONTROL!$C$15, $E$9, 100%, $G$9) + CHOOSE(CONTROL!$C$38, 0.0369, 0)</f>
        <v>27.605699999999999</v>
      </c>
      <c r="H320" s="14">
        <f>27.5688 * CHOOSE(CONTROL!$C$15, $E$9, 100%, $G$9) + CHOOSE(CONTROL!$C$38, 0.0369, 0)</f>
        <v>27.605699999999999</v>
      </c>
      <c r="I320" s="14">
        <f>27.5704 * CHOOSE(CONTROL!$C$15, $E$9, 100%, $G$9) + CHOOSE(CONTROL!$C$38, 0.0369, 0)</f>
        <v>27.607299999999999</v>
      </c>
      <c r="J320" s="44">
        <f>205.7109</f>
        <v>205.71090000000001</v>
      </c>
    </row>
    <row r="321" spans="1:10" ht="15.75" x14ac:dyDescent="0.25">
      <c r="A321" s="33">
        <v>50709</v>
      </c>
      <c r="B321" s="14">
        <f>29.6301 * CHOOSE(CONTROL!$C$15, $E$9, 100%, $G$9) + CHOOSE(CONTROL!$C$38, 0.0256, 0)</f>
        <v>29.6557</v>
      </c>
      <c r="C321" s="14">
        <f>27.932 * CHOOSE(CONTROL!$C$15, $E$9, 100%, $G$9) + CHOOSE(CONTROL!$C$38, 0.0347, 0)</f>
        <v>27.966699999999999</v>
      </c>
      <c r="D321" s="14">
        <f>27.9242 * CHOOSE(CONTROL!$C$15, $E$9, 100%, $G$9) + CHOOSE(CONTROL!$C$38, 0.0347, 0)</f>
        <v>27.9589</v>
      </c>
      <c r="E321" s="46">
        <f>29.4738 * CHOOSE(CONTROL!$C$15, $E$9, 100%, $G$9) + CHOOSE(CONTROL!$C$38, 0.0347, 0)</f>
        <v>29.508500000000002</v>
      </c>
      <c r="F321" s="45">
        <f>29.4738 * CHOOSE(CONTROL!$C$15, $E$9, 100%, $G$9) + CHOOSE(CONTROL!$C$38, 0.0256, 0)</f>
        <v>29.499400000000001</v>
      </c>
      <c r="G321" s="14">
        <f>27.9304 * CHOOSE(CONTROL!$C$15, $E$9, 100%, $G$9) + CHOOSE(CONTROL!$C$38, 0.0347, 0)</f>
        <v>27.9651</v>
      </c>
      <c r="H321" s="14">
        <f>27.9304 * CHOOSE(CONTROL!$C$15, $E$9, 100%, $G$9) + CHOOSE(CONTROL!$C$38, 0.0347, 0)</f>
        <v>27.9651</v>
      </c>
      <c r="I321" s="14">
        <f>27.932 * CHOOSE(CONTROL!$C$15, $E$9, 100%, $G$9) + CHOOSE(CONTROL!$C$38, 0.0347, 0)</f>
        <v>27.966699999999999</v>
      </c>
      <c r="J321" s="44">
        <f>198.5972</f>
        <v>198.59719999999999</v>
      </c>
    </row>
    <row r="322" spans="1:10" ht="15.75" x14ac:dyDescent="0.25">
      <c r="A322" s="33">
        <v>50739</v>
      </c>
      <c r="B322" s="14">
        <f>29.9318 * CHOOSE(CONTROL!$C$15, $E$9, 100%, $G$9) + CHOOSE(CONTROL!$C$38, 0.0256, 0)</f>
        <v>29.9574</v>
      </c>
      <c r="C322" s="14">
        <f>28.2337 * CHOOSE(CONTROL!$C$15, $E$9, 100%, $G$9) + CHOOSE(CONTROL!$C$38, 0.0347, 0)</f>
        <v>28.2684</v>
      </c>
      <c r="D322" s="14">
        <f>28.2259 * CHOOSE(CONTROL!$C$15, $E$9, 100%, $G$9) + CHOOSE(CONTROL!$C$38, 0.0347, 0)</f>
        <v>28.2606</v>
      </c>
      <c r="E322" s="46">
        <f>29.7755 * CHOOSE(CONTROL!$C$15, $E$9, 100%, $G$9) + CHOOSE(CONTROL!$C$38, 0.0347, 0)</f>
        <v>29.810200000000002</v>
      </c>
      <c r="F322" s="45">
        <f>29.7755 * CHOOSE(CONTROL!$C$15, $E$9, 100%, $G$9) + CHOOSE(CONTROL!$C$38, 0.0256, 0)</f>
        <v>29.801100000000002</v>
      </c>
      <c r="G322" s="14">
        <f>28.2321 * CHOOSE(CONTROL!$C$15, $E$9, 100%, $G$9) + CHOOSE(CONTROL!$C$38, 0.0347, 0)</f>
        <v>28.2668</v>
      </c>
      <c r="H322" s="14">
        <f>28.2321 * CHOOSE(CONTROL!$C$15, $E$9, 100%, $G$9) + CHOOSE(CONTROL!$C$38, 0.0347, 0)</f>
        <v>28.2668</v>
      </c>
      <c r="I322" s="14">
        <f>28.2337 * CHOOSE(CONTROL!$C$15, $E$9, 100%, $G$9) + CHOOSE(CONTROL!$C$38, 0.0347, 0)</f>
        <v>28.2684</v>
      </c>
      <c r="J322" s="44">
        <f>197.1821</f>
        <v>197.18209999999999</v>
      </c>
    </row>
    <row r="323" spans="1:10" ht="15.75" x14ac:dyDescent="0.25">
      <c r="A323" s="33">
        <v>50770</v>
      </c>
      <c r="B323" s="14">
        <f>30.8614 * CHOOSE(CONTROL!$C$15, $E$9, 100%, $G$9) + CHOOSE(CONTROL!$C$38, 0.0256, 0)</f>
        <v>30.887</v>
      </c>
      <c r="C323" s="14">
        <f>29.1633 * CHOOSE(CONTROL!$C$15, $E$9, 100%, $G$9) + CHOOSE(CONTROL!$C$38, 0.0347, 0)</f>
        <v>29.198</v>
      </c>
      <c r="D323" s="14">
        <f>29.1555 * CHOOSE(CONTROL!$C$15, $E$9, 100%, $G$9) + CHOOSE(CONTROL!$C$38, 0.0347, 0)</f>
        <v>29.190200000000001</v>
      </c>
      <c r="E323" s="46">
        <f>30.7052 * CHOOSE(CONTROL!$C$15, $E$9, 100%, $G$9) + CHOOSE(CONTROL!$C$38, 0.0347, 0)</f>
        <v>30.739900000000002</v>
      </c>
      <c r="F323" s="45">
        <f>30.7052 * CHOOSE(CONTROL!$C$15, $E$9, 100%, $G$9) + CHOOSE(CONTROL!$C$38, 0.0256, 0)</f>
        <v>30.730800000000002</v>
      </c>
      <c r="G323" s="14">
        <f>29.1618 * CHOOSE(CONTROL!$C$15, $E$9, 100%, $G$9) + CHOOSE(CONTROL!$C$38, 0.0347, 0)</f>
        <v>29.1965</v>
      </c>
      <c r="H323" s="14">
        <f>29.1618 * CHOOSE(CONTROL!$C$15, $E$9, 100%, $G$9) + CHOOSE(CONTROL!$C$38, 0.0347, 0)</f>
        <v>29.1965</v>
      </c>
      <c r="I323" s="14">
        <f>29.1633 * CHOOSE(CONTROL!$C$15, $E$9, 100%, $G$9) + CHOOSE(CONTROL!$C$38, 0.0347, 0)</f>
        <v>29.198</v>
      </c>
      <c r="J323" s="44">
        <f>191.3308</f>
        <v>191.33080000000001</v>
      </c>
    </row>
    <row r="324" spans="1:10" ht="15.75" x14ac:dyDescent="0.25">
      <c r="A324" s="33">
        <v>50801</v>
      </c>
      <c r="B324" s="14">
        <f>32.089 * CHOOSE(CONTROL!$C$15, $E$9, 100%, $G$9) + CHOOSE(CONTROL!$C$38, 0.0256, 0)</f>
        <v>32.114599999999996</v>
      </c>
      <c r="C324" s="14">
        <f>30.365 * CHOOSE(CONTROL!$C$15, $E$9, 100%, $G$9) + CHOOSE(CONTROL!$C$38, 0.0347, 0)</f>
        <v>30.399699999999999</v>
      </c>
      <c r="D324" s="14">
        <f>30.3572 * CHOOSE(CONTROL!$C$15, $E$9, 100%, $G$9) + CHOOSE(CONTROL!$C$38, 0.0347, 0)</f>
        <v>30.3919</v>
      </c>
      <c r="E324" s="46">
        <f>31.9327 * CHOOSE(CONTROL!$C$15, $E$9, 100%, $G$9) + CHOOSE(CONTROL!$C$38, 0.0347, 0)</f>
        <v>31.967400000000001</v>
      </c>
      <c r="F324" s="45">
        <f>31.9327 * CHOOSE(CONTROL!$C$15, $E$9, 100%, $G$9) + CHOOSE(CONTROL!$C$38, 0.0256, 0)</f>
        <v>31.958300000000001</v>
      </c>
      <c r="G324" s="14">
        <f>30.3634 * CHOOSE(CONTROL!$C$15, $E$9, 100%, $G$9) + CHOOSE(CONTROL!$C$38, 0.0347, 0)</f>
        <v>30.398099999999999</v>
      </c>
      <c r="H324" s="14">
        <f>30.3634 * CHOOSE(CONTROL!$C$15, $E$9, 100%, $G$9) + CHOOSE(CONTROL!$C$38, 0.0347, 0)</f>
        <v>30.398099999999999</v>
      </c>
      <c r="I324" s="14">
        <f>30.365 * CHOOSE(CONTROL!$C$15, $E$9, 100%, $G$9) + CHOOSE(CONTROL!$C$38, 0.0347, 0)</f>
        <v>30.399699999999999</v>
      </c>
      <c r="J324" s="44">
        <f>191.084</f>
        <v>191.084</v>
      </c>
    </row>
    <row r="325" spans="1:10" ht="15.75" x14ac:dyDescent="0.25">
      <c r="A325" s="33">
        <v>50829</v>
      </c>
      <c r="B325" s="14">
        <f>32.4333 * CHOOSE(CONTROL!$C$15, $E$9, 100%, $G$9) + CHOOSE(CONTROL!$C$38, 0.0256, 0)</f>
        <v>32.4589</v>
      </c>
      <c r="C325" s="14">
        <f>30.7093 * CHOOSE(CONTROL!$C$15, $E$9, 100%, $G$9) + CHOOSE(CONTROL!$C$38, 0.0347, 0)</f>
        <v>30.744</v>
      </c>
      <c r="D325" s="14">
        <f>30.7015 * CHOOSE(CONTROL!$C$15, $E$9, 100%, $G$9) + CHOOSE(CONTROL!$C$38, 0.0347, 0)</f>
        <v>30.7362</v>
      </c>
      <c r="E325" s="46">
        <f>32.2771 * CHOOSE(CONTROL!$C$15, $E$9, 100%, $G$9) + CHOOSE(CONTROL!$C$38, 0.0347, 0)</f>
        <v>32.311799999999998</v>
      </c>
      <c r="F325" s="45">
        <f>32.2771 * CHOOSE(CONTROL!$C$15, $E$9, 100%, $G$9) + CHOOSE(CONTROL!$C$38, 0.0256, 0)</f>
        <v>32.302699999999994</v>
      </c>
      <c r="G325" s="14">
        <f>30.7077 * CHOOSE(CONTROL!$C$15, $E$9, 100%, $G$9) + CHOOSE(CONTROL!$C$38, 0.0347, 0)</f>
        <v>30.7424</v>
      </c>
      <c r="H325" s="14">
        <f>30.7077 * CHOOSE(CONTROL!$C$15, $E$9, 100%, $G$9) + CHOOSE(CONTROL!$C$38, 0.0347, 0)</f>
        <v>30.7424</v>
      </c>
      <c r="I325" s="14">
        <f>30.7093 * CHOOSE(CONTROL!$C$15, $E$9, 100%, $G$9) + CHOOSE(CONTROL!$C$38, 0.0347, 0)</f>
        <v>30.744</v>
      </c>
      <c r="J325" s="44">
        <f>190.5529</f>
        <v>190.55289999999999</v>
      </c>
    </row>
    <row r="326" spans="1:10" ht="15.75" x14ac:dyDescent="0.25">
      <c r="A326" s="33">
        <v>50860</v>
      </c>
      <c r="B326" s="14">
        <f>31.6363 * CHOOSE(CONTROL!$C$15, $E$9, 100%, $G$9) + CHOOSE(CONTROL!$C$38, 0.0256, 0)</f>
        <v>31.661899999999999</v>
      </c>
      <c r="C326" s="14">
        <f>29.9123 * CHOOSE(CONTROL!$C$15, $E$9, 100%, $G$9) + CHOOSE(CONTROL!$C$38, 0.0347, 0)</f>
        <v>29.946999999999999</v>
      </c>
      <c r="D326" s="14">
        <f>29.9045 * CHOOSE(CONTROL!$C$15, $E$9, 100%, $G$9) + CHOOSE(CONTROL!$C$38, 0.0347, 0)</f>
        <v>29.9392</v>
      </c>
      <c r="E326" s="46">
        <f>31.48 * CHOOSE(CONTROL!$C$15, $E$9, 100%, $G$9) + CHOOSE(CONTROL!$C$38, 0.0347, 0)</f>
        <v>31.514700000000001</v>
      </c>
      <c r="F326" s="45">
        <f>31.48 * CHOOSE(CONTROL!$C$15, $E$9, 100%, $G$9) + CHOOSE(CONTROL!$C$38, 0.0256, 0)</f>
        <v>31.505600000000001</v>
      </c>
      <c r="G326" s="14">
        <f>29.9107 * CHOOSE(CONTROL!$C$15, $E$9, 100%, $G$9) + CHOOSE(CONTROL!$C$38, 0.0347, 0)</f>
        <v>29.945399999999999</v>
      </c>
      <c r="H326" s="14">
        <f>29.9107 * CHOOSE(CONTROL!$C$15, $E$9, 100%, $G$9) + CHOOSE(CONTROL!$C$38, 0.0347, 0)</f>
        <v>29.945399999999999</v>
      </c>
      <c r="I326" s="14">
        <f>29.9123 * CHOOSE(CONTROL!$C$15, $E$9, 100%, $G$9) + CHOOSE(CONTROL!$C$38, 0.0347, 0)</f>
        <v>29.946999999999999</v>
      </c>
      <c r="J326" s="44">
        <f>200.5961</f>
        <v>200.59610000000001</v>
      </c>
    </row>
    <row r="327" spans="1:10" ht="15.75" x14ac:dyDescent="0.25">
      <c r="A327" s="33">
        <v>50890</v>
      </c>
      <c r="B327" s="14">
        <f>30.864 * CHOOSE(CONTROL!$C$15, $E$9, 100%, $G$9) + CHOOSE(CONTROL!$C$38, 0.0256, 0)</f>
        <v>30.889600000000002</v>
      </c>
      <c r="C327" s="14">
        <f>29.14 * CHOOSE(CONTROL!$C$15, $E$9, 100%, $G$9) + CHOOSE(CONTROL!$C$38, 0.0347, 0)</f>
        <v>29.174700000000001</v>
      </c>
      <c r="D327" s="14">
        <f>29.1321 * CHOOSE(CONTROL!$C$15, $E$9, 100%, $G$9) + CHOOSE(CONTROL!$C$38, 0.0347, 0)</f>
        <v>29.166800000000002</v>
      </c>
      <c r="E327" s="46">
        <f>30.7077 * CHOOSE(CONTROL!$C$15, $E$9, 100%, $G$9) + CHOOSE(CONTROL!$C$38, 0.0347, 0)</f>
        <v>30.7424</v>
      </c>
      <c r="F327" s="45">
        <f>30.7077 * CHOOSE(CONTROL!$C$15, $E$9, 100%, $G$9) + CHOOSE(CONTROL!$C$38, 0.0256, 0)</f>
        <v>30.7333</v>
      </c>
      <c r="G327" s="14">
        <f>29.1384 * CHOOSE(CONTROL!$C$15, $E$9, 100%, $G$9) + CHOOSE(CONTROL!$C$38, 0.0347, 0)</f>
        <v>29.173100000000002</v>
      </c>
      <c r="H327" s="14">
        <f>29.1384 * CHOOSE(CONTROL!$C$15, $E$9, 100%, $G$9) + CHOOSE(CONTROL!$C$38, 0.0347, 0)</f>
        <v>29.173100000000002</v>
      </c>
      <c r="I327" s="14">
        <f>29.14 * CHOOSE(CONTROL!$C$15, $E$9, 100%, $G$9) + CHOOSE(CONTROL!$C$38, 0.0347, 0)</f>
        <v>29.174700000000001</v>
      </c>
      <c r="J327" s="44">
        <f>213.6198</f>
        <v>213.6198</v>
      </c>
    </row>
    <row r="328" spans="1:10" ht="15.75" x14ac:dyDescent="0.25">
      <c r="A328" s="33">
        <v>50921</v>
      </c>
      <c r="B328" s="14">
        <f>30.059 * CHOOSE(CONTROL!$C$15, $E$9, 100%, $G$9) + CHOOSE(CONTROL!$C$38, 0.0278, 0)</f>
        <v>30.0868</v>
      </c>
      <c r="C328" s="14">
        <f>28.335 * CHOOSE(CONTROL!$C$15, $E$9, 100%, $G$9) + CHOOSE(CONTROL!$C$38, 0.0369, 0)</f>
        <v>28.3719</v>
      </c>
      <c r="D328" s="14">
        <f>28.3272 * CHOOSE(CONTROL!$C$15, $E$9, 100%, $G$9) + CHOOSE(CONTROL!$C$38, 0.0369, 0)</f>
        <v>28.364100000000001</v>
      </c>
      <c r="E328" s="46">
        <f>29.9027 * CHOOSE(CONTROL!$C$15, $E$9, 100%, $G$9) + CHOOSE(CONTROL!$C$38, 0.0369, 0)</f>
        <v>29.939599999999999</v>
      </c>
      <c r="F328" s="45">
        <f>29.9027 * CHOOSE(CONTROL!$C$15, $E$9, 100%, $G$9) + CHOOSE(CONTROL!$C$38, 0.0278, 0)</f>
        <v>29.930499999999999</v>
      </c>
      <c r="G328" s="14">
        <f>28.3334 * CHOOSE(CONTROL!$C$15, $E$9, 100%, $G$9) + CHOOSE(CONTROL!$C$38, 0.0369, 0)</f>
        <v>28.3703</v>
      </c>
      <c r="H328" s="14">
        <f>28.3334 * CHOOSE(CONTROL!$C$15, $E$9, 100%, $G$9) + CHOOSE(CONTROL!$C$38, 0.0369, 0)</f>
        <v>28.3703</v>
      </c>
      <c r="I328" s="14">
        <f>28.335 * CHOOSE(CONTROL!$C$15, $E$9, 100%, $G$9) + CHOOSE(CONTROL!$C$38, 0.0369, 0)</f>
        <v>28.3719</v>
      </c>
      <c r="J328" s="44">
        <f>220.7885</f>
        <v>220.7885</v>
      </c>
    </row>
    <row r="329" spans="1:10" ht="15.75" x14ac:dyDescent="0.25">
      <c r="A329" s="33">
        <v>50951</v>
      </c>
      <c r="B329" s="14">
        <f>29.4947 * CHOOSE(CONTROL!$C$15, $E$9, 100%, $G$9) + CHOOSE(CONTROL!$C$38, 0.0278, 0)</f>
        <v>29.522500000000001</v>
      </c>
      <c r="C329" s="14">
        <f>27.7707 * CHOOSE(CONTROL!$C$15, $E$9, 100%, $G$9) + CHOOSE(CONTROL!$C$38, 0.0369, 0)</f>
        <v>27.807600000000001</v>
      </c>
      <c r="D329" s="14">
        <f>27.7629 * CHOOSE(CONTROL!$C$15, $E$9, 100%, $G$9) + CHOOSE(CONTROL!$C$38, 0.0369, 0)</f>
        <v>27.799799999999998</v>
      </c>
      <c r="E329" s="46">
        <f>29.3384 * CHOOSE(CONTROL!$C$15, $E$9, 100%, $G$9) + CHOOSE(CONTROL!$C$38, 0.0369, 0)</f>
        <v>29.375299999999999</v>
      </c>
      <c r="F329" s="45">
        <f>29.3384 * CHOOSE(CONTROL!$C$15, $E$9, 100%, $G$9) + CHOOSE(CONTROL!$C$38, 0.0278, 0)</f>
        <v>29.366199999999999</v>
      </c>
      <c r="G329" s="14">
        <f>27.7691 * CHOOSE(CONTROL!$C$15, $E$9, 100%, $G$9) + CHOOSE(CONTROL!$C$38, 0.0369, 0)</f>
        <v>27.806000000000001</v>
      </c>
      <c r="H329" s="14">
        <f>27.7691 * CHOOSE(CONTROL!$C$15, $E$9, 100%, $G$9) + CHOOSE(CONTROL!$C$38, 0.0369, 0)</f>
        <v>27.806000000000001</v>
      </c>
      <c r="I329" s="14">
        <f>27.7707 * CHOOSE(CONTROL!$C$15, $E$9, 100%, $G$9) + CHOOSE(CONTROL!$C$38, 0.0369, 0)</f>
        <v>27.807600000000001</v>
      </c>
      <c r="J329" s="44">
        <f>223.9698</f>
        <v>223.96979999999999</v>
      </c>
    </row>
    <row r="330" spans="1:10" ht="15.75" x14ac:dyDescent="0.25">
      <c r="A330" s="33">
        <v>50982</v>
      </c>
      <c r="B330" s="14">
        <f>29.1726 * CHOOSE(CONTROL!$C$15, $E$9, 100%, $G$9) + CHOOSE(CONTROL!$C$38, 0.0278, 0)</f>
        <v>29.200399999999998</v>
      </c>
      <c r="C330" s="14">
        <f>27.4486 * CHOOSE(CONTROL!$C$15, $E$9, 100%, $G$9) + CHOOSE(CONTROL!$C$38, 0.0369, 0)</f>
        <v>27.485499999999998</v>
      </c>
      <c r="D330" s="14">
        <f>27.4408 * CHOOSE(CONTROL!$C$15, $E$9, 100%, $G$9) + CHOOSE(CONTROL!$C$38, 0.0369, 0)</f>
        <v>27.477699999999999</v>
      </c>
      <c r="E330" s="46">
        <f>29.0164 * CHOOSE(CONTROL!$C$15, $E$9, 100%, $G$9) + CHOOSE(CONTROL!$C$38, 0.0369, 0)</f>
        <v>29.0533</v>
      </c>
      <c r="F330" s="45">
        <f>29.0164 * CHOOSE(CONTROL!$C$15, $E$9, 100%, $G$9) + CHOOSE(CONTROL!$C$38, 0.0278, 0)</f>
        <v>29.0442</v>
      </c>
      <c r="G330" s="14">
        <f>27.447 * CHOOSE(CONTROL!$C$15, $E$9, 100%, $G$9) + CHOOSE(CONTROL!$C$38, 0.0369, 0)</f>
        <v>27.483899999999998</v>
      </c>
      <c r="H330" s="14">
        <f>27.447 * CHOOSE(CONTROL!$C$15, $E$9, 100%, $G$9) + CHOOSE(CONTROL!$C$38, 0.0369, 0)</f>
        <v>27.483899999999998</v>
      </c>
      <c r="I330" s="14">
        <f>27.4486 * CHOOSE(CONTROL!$C$15, $E$9, 100%, $G$9) + CHOOSE(CONTROL!$C$38, 0.0369, 0)</f>
        <v>27.485499999999998</v>
      </c>
      <c r="J330" s="44">
        <f>222.9223</f>
        <v>222.92230000000001</v>
      </c>
    </row>
    <row r="331" spans="1:10" ht="15.75" x14ac:dyDescent="0.25">
      <c r="A331" s="33">
        <v>51013</v>
      </c>
      <c r="B331" s="14">
        <f>29.3316 * CHOOSE(CONTROL!$C$15, $E$9, 100%, $G$9) + CHOOSE(CONTROL!$C$38, 0.0278, 0)</f>
        <v>29.359400000000001</v>
      </c>
      <c r="C331" s="14">
        <f>27.6076 * CHOOSE(CONTROL!$C$15, $E$9, 100%, $G$9) + CHOOSE(CONTROL!$C$38, 0.0369, 0)</f>
        <v>27.644500000000001</v>
      </c>
      <c r="D331" s="14">
        <f>27.5997 * CHOOSE(CONTROL!$C$15, $E$9, 100%, $G$9) + CHOOSE(CONTROL!$C$38, 0.0369, 0)</f>
        <v>27.636599999999998</v>
      </c>
      <c r="E331" s="46">
        <f>29.1753 * CHOOSE(CONTROL!$C$15, $E$9, 100%, $G$9) + CHOOSE(CONTROL!$C$38, 0.0369, 0)</f>
        <v>29.212199999999999</v>
      </c>
      <c r="F331" s="45">
        <f>29.1753 * CHOOSE(CONTROL!$C$15, $E$9, 100%, $G$9) + CHOOSE(CONTROL!$C$38, 0.0278, 0)</f>
        <v>29.203099999999999</v>
      </c>
      <c r="G331" s="14">
        <f>27.606 * CHOOSE(CONTROL!$C$15, $E$9, 100%, $G$9) + CHOOSE(CONTROL!$C$38, 0.0369, 0)</f>
        <v>27.642900000000001</v>
      </c>
      <c r="H331" s="14">
        <f>27.606 * CHOOSE(CONTROL!$C$15, $E$9, 100%, $G$9) + CHOOSE(CONTROL!$C$38, 0.0369, 0)</f>
        <v>27.642900000000001</v>
      </c>
      <c r="I331" s="14">
        <f>27.6076 * CHOOSE(CONTROL!$C$15, $E$9, 100%, $G$9) + CHOOSE(CONTROL!$C$38, 0.0369, 0)</f>
        <v>27.644500000000001</v>
      </c>
      <c r="J331" s="44">
        <f>217.7328</f>
        <v>217.7328</v>
      </c>
    </row>
    <row r="332" spans="1:10" ht="15.75" x14ac:dyDescent="0.25">
      <c r="A332" s="33">
        <v>51043</v>
      </c>
      <c r="B332" s="14">
        <f>29.7633 * CHOOSE(CONTROL!$C$15, $E$9, 100%, $G$9) + CHOOSE(CONTROL!$C$38, 0.0278, 0)</f>
        <v>29.7911</v>
      </c>
      <c r="C332" s="14">
        <f>28.0393 * CHOOSE(CONTROL!$C$15, $E$9, 100%, $G$9) + CHOOSE(CONTROL!$C$38, 0.0369, 0)</f>
        <v>28.0762</v>
      </c>
      <c r="D332" s="14">
        <f>28.0315 * CHOOSE(CONTROL!$C$15, $E$9, 100%, $G$9) + CHOOSE(CONTROL!$C$38, 0.0369, 0)</f>
        <v>28.0684</v>
      </c>
      <c r="E332" s="46">
        <f>29.607 * CHOOSE(CONTROL!$C$15, $E$9, 100%, $G$9) + CHOOSE(CONTROL!$C$38, 0.0369, 0)</f>
        <v>29.643899999999999</v>
      </c>
      <c r="F332" s="45">
        <f>29.607 * CHOOSE(CONTROL!$C$15, $E$9, 100%, $G$9) + CHOOSE(CONTROL!$C$38, 0.0278, 0)</f>
        <v>29.634799999999998</v>
      </c>
      <c r="G332" s="14">
        <f>28.0377 * CHOOSE(CONTROL!$C$15, $E$9, 100%, $G$9) + CHOOSE(CONTROL!$C$38, 0.0369, 0)</f>
        <v>28.0746</v>
      </c>
      <c r="H332" s="14">
        <f>28.0377 * CHOOSE(CONTROL!$C$15, $E$9, 100%, $G$9) + CHOOSE(CONTROL!$C$38, 0.0369, 0)</f>
        <v>28.0746</v>
      </c>
      <c r="I332" s="14">
        <f>28.0393 * CHOOSE(CONTROL!$C$15, $E$9, 100%, $G$9) + CHOOSE(CONTROL!$C$38, 0.0369, 0)</f>
        <v>28.0762</v>
      </c>
      <c r="J332" s="44">
        <f>210.4957</f>
        <v>210.4957</v>
      </c>
    </row>
    <row r="333" spans="1:10" ht="15.75" x14ac:dyDescent="0.25">
      <c r="A333" s="33">
        <v>51074</v>
      </c>
      <c r="B333" s="14">
        <f>30.1248 * CHOOSE(CONTROL!$C$15, $E$9, 100%, $G$9) + CHOOSE(CONTROL!$C$38, 0.0256, 0)</f>
        <v>30.150400000000001</v>
      </c>
      <c r="C333" s="14">
        <f>28.4008 * CHOOSE(CONTROL!$C$15, $E$9, 100%, $G$9) + CHOOSE(CONTROL!$C$38, 0.0347, 0)</f>
        <v>28.435500000000001</v>
      </c>
      <c r="D333" s="14">
        <f>28.393 * CHOOSE(CONTROL!$C$15, $E$9, 100%, $G$9) + CHOOSE(CONTROL!$C$38, 0.0347, 0)</f>
        <v>28.427700000000002</v>
      </c>
      <c r="E333" s="46">
        <f>29.9686 * CHOOSE(CONTROL!$C$15, $E$9, 100%, $G$9) + CHOOSE(CONTROL!$C$38, 0.0347, 0)</f>
        <v>30.003299999999999</v>
      </c>
      <c r="F333" s="45">
        <f>29.9686 * CHOOSE(CONTROL!$C$15, $E$9, 100%, $G$9) + CHOOSE(CONTROL!$C$38, 0.0256, 0)</f>
        <v>29.994199999999999</v>
      </c>
      <c r="G333" s="14">
        <f>28.3993 * CHOOSE(CONTROL!$C$15, $E$9, 100%, $G$9) + CHOOSE(CONTROL!$C$38, 0.0347, 0)</f>
        <v>28.434000000000001</v>
      </c>
      <c r="H333" s="14">
        <f>28.3993 * CHOOSE(CONTROL!$C$15, $E$9, 100%, $G$9) + CHOOSE(CONTROL!$C$38, 0.0347, 0)</f>
        <v>28.434000000000001</v>
      </c>
      <c r="I333" s="14">
        <f>28.4008 * CHOOSE(CONTROL!$C$15, $E$9, 100%, $G$9) + CHOOSE(CONTROL!$C$38, 0.0347, 0)</f>
        <v>28.435500000000001</v>
      </c>
      <c r="J333" s="44">
        <f>203.2166</f>
        <v>203.2166</v>
      </c>
    </row>
    <row r="334" spans="1:10" ht="15.75" x14ac:dyDescent="0.25">
      <c r="A334" s="33">
        <v>51104</v>
      </c>
      <c r="B334" s="14">
        <f>30.4265 * CHOOSE(CONTROL!$C$15, $E$9, 100%, $G$9) + CHOOSE(CONTROL!$C$38, 0.0256, 0)</f>
        <v>30.452100000000002</v>
      </c>
      <c r="C334" s="14">
        <f>28.7025 * CHOOSE(CONTROL!$C$15, $E$9, 100%, $G$9) + CHOOSE(CONTROL!$C$38, 0.0347, 0)</f>
        <v>28.737200000000001</v>
      </c>
      <c r="D334" s="14">
        <f>28.6947 * CHOOSE(CONTROL!$C$15, $E$9, 100%, $G$9) + CHOOSE(CONTROL!$C$38, 0.0347, 0)</f>
        <v>28.729400000000002</v>
      </c>
      <c r="E334" s="46">
        <f>30.2703 * CHOOSE(CONTROL!$C$15, $E$9, 100%, $G$9) + CHOOSE(CONTROL!$C$38, 0.0347, 0)</f>
        <v>30.305</v>
      </c>
      <c r="F334" s="45">
        <f>30.2703 * CHOOSE(CONTROL!$C$15, $E$9, 100%, $G$9) + CHOOSE(CONTROL!$C$38, 0.0256, 0)</f>
        <v>30.2959</v>
      </c>
      <c r="G334" s="14">
        <f>28.701 * CHOOSE(CONTROL!$C$15, $E$9, 100%, $G$9) + CHOOSE(CONTROL!$C$38, 0.0347, 0)</f>
        <v>28.735700000000001</v>
      </c>
      <c r="H334" s="14">
        <f>28.701 * CHOOSE(CONTROL!$C$15, $E$9, 100%, $G$9) + CHOOSE(CONTROL!$C$38, 0.0347, 0)</f>
        <v>28.735700000000001</v>
      </c>
      <c r="I334" s="14">
        <f>28.7025 * CHOOSE(CONTROL!$C$15, $E$9, 100%, $G$9) + CHOOSE(CONTROL!$C$38, 0.0347, 0)</f>
        <v>28.737200000000001</v>
      </c>
      <c r="J334" s="44">
        <f>201.7686</f>
        <v>201.76859999999999</v>
      </c>
    </row>
    <row r="335" spans="1:10" ht="15.75" x14ac:dyDescent="0.25">
      <c r="A335" s="33">
        <v>51135</v>
      </c>
      <c r="B335" s="14">
        <f>31.3562 * CHOOSE(CONTROL!$C$15, $E$9, 100%, $G$9) + CHOOSE(CONTROL!$C$38, 0.0256, 0)</f>
        <v>31.381800000000002</v>
      </c>
      <c r="C335" s="14">
        <f>29.6322 * CHOOSE(CONTROL!$C$15, $E$9, 100%, $G$9) + CHOOSE(CONTROL!$C$38, 0.0347, 0)</f>
        <v>29.666900000000002</v>
      </c>
      <c r="D335" s="14">
        <f>29.6244 * CHOOSE(CONTROL!$C$15, $E$9, 100%, $G$9) + CHOOSE(CONTROL!$C$38, 0.0347, 0)</f>
        <v>29.659100000000002</v>
      </c>
      <c r="E335" s="46">
        <f>31.1999 * CHOOSE(CONTROL!$C$15, $E$9, 100%, $G$9) + CHOOSE(CONTROL!$C$38, 0.0347, 0)</f>
        <v>31.2346</v>
      </c>
      <c r="F335" s="45">
        <f>31.1999 * CHOOSE(CONTROL!$C$15, $E$9, 100%, $G$9) + CHOOSE(CONTROL!$C$38, 0.0256, 0)</f>
        <v>31.2255</v>
      </c>
      <c r="G335" s="14">
        <f>29.6306 * CHOOSE(CONTROL!$C$15, $E$9, 100%, $G$9) + CHOOSE(CONTROL!$C$38, 0.0347, 0)</f>
        <v>29.665300000000002</v>
      </c>
      <c r="H335" s="14">
        <f>29.6306 * CHOOSE(CONTROL!$C$15, $E$9, 100%, $G$9) + CHOOSE(CONTROL!$C$38, 0.0347, 0)</f>
        <v>29.665300000000002</v>
      </c>
      <c r="I335" s="14">
        <f>29.6322 * CHOOSE(CONTROL!$C$15, $E$9, 100%, $G$9) + CHOOSE(CONTROL!$C$38, 0.0347, 0)</f>
        <v>29.666900000000002</v>
      </c>
      <c r="J335" s="44">
        <f>195.7811</f>
        <v>195.78110000000001</v>
      </c>
    </row>
    <row r="336" spans="1:10" ht="15.75" x14ac:dyDescent="0.25">
      <c r="A336" s="33">
        <v>51166</v>
      </c>
      <c r="B336" s="14">
        <f>32.5921 * CHOOSE(CONTROL!$C$15, $E$9, 100%, $G$9) + CHOOSE(CONTROL!$C$38, 0.0256, 0)</f>
        <v>32.617699999999999</v>
      </c>
      <c r="C336" s="14">
        <f>30.8417 * CHOOSE(CONTROL!$C$15, $E$9, 100%, $G$9) + CHOOSE(CONTROL!$C$38, 0.0347, 0)</f>
        <v>30.8764</v>
      </c>
      <c r="D336" s="14">
        <f>30.8339 * CHOOSE(CONTROL!$C$15, $E$9, 100%, $G$9) + CHOOSE(CONTROL!$C$38, 0.0347, 0)</f>
        <v>30.868600000000001</v>
      </c>
      <c r="E336" s="46">
        <f>32.4358 * CHOOSE(CONTROL!$C$15, $E$9, 100%, $G$9) + CHOOSE(CONTROL!$C$38, 0.0347, 0)</f>
        <v>32.470500000000001</v>
      </c>
      <c r="F336" s="45">
        <f>32.4358 * CHOOSE(CONTROL!$C$15, $E$9, 100%, $G$9) + CHOOSE(CONTROL!$C$38, 0.0256, 0)</f>
        <v>32.461399999999998</v>
      </c>
      <c r="G336" s="14">
        <f>30.8402 * CHOOSE(CONTROL!$C$15, $E$9, 100%, $G$9) + CHOOSE(CONTROL!$C$38, 0.0347, 0)</f>
        <v>30.8749</v>
      </c>
      <c r="H336" s="14">
        <f>30.8402 * CHOOSE(CONTROL!$C$15, $E$9, 100%, $G$9) + CHOOSE(CONTROL!$C$38, 0.0347, 0)</f>
        <v>30.8749</v>
      </c>
      <c r="I336" s="14">
        <f>30.8417 * CHOOSE(CONTROL!$C$15, $E$9, 100%, $G$9) + CHOOSE(CONTROL!$C$38, 0.0347, 0)</f>
        <v>30.8764</v>
      </c>
      <c r="J336" s="44">
        <f>195.5286</f>
        <v>195.52860000000001</v>
      </c>
    </row>
    <row r="337" spans="1:10" ht="15.75" x14ac:dyDescent="0.25">
      <c r="A337" s="33">
        <v>51194</v>
      </c>
      <c r="B337" s="14">
        <f>32.9364 * CHOOSE(CONTROL!$C$15, $E$9, 100%, $G$9) + CHOOSE(CONTROL!$C$38, 0.0256, 0)</f>
        <v>32.961999999999996</v>
      </c>
      <c r="C337" s="14">
        <f>31.186 * CHOOSE(CONTROL!$C$15, $E$9, 100%, $G$9) + CHOOSE(CONTROL!$C$38, 0.0347, 0)</f>
        <v>31.220700000000001</v>
      </c>
      <c r="D337" s="14">
        <f>31.1782 * CHOOSE(CONTROL!$C$15, $E$9, 100%, $G$9) + CHOOSE(CONTROL!$C$38, 0.0347, 0)</f>
        <v>31.212900000000001</v>
      </c>
      <c r="E337" s="46">
        <f>32.7801 * CHOOSE(CONTROL!$C$15, $E$9, 100%, $G$9) + CHOOSE(CONTROL!$C$38, 0.0347, 0)</f>
        <v>32.814799999999998</v>
      </c>
      <c r="F337" s="45">
        <f>32.7801 * CHOOSE(CONTROL!$C$15, $E$9, 100%, $G$9) + CHOOSE(CONTROL!$C$38, 0.0256, 0)</f>
        <v>32.805699999999995</v>
      </c>
      <c r="G337" s="14">
        <f>31.1845 * CHOOSE(CONTROL!$C$15, $E$9, 100%, $G$9) + CHOOSE(CONTROL!$C$38, 0.0347, 0)</f>
        <v>31.219200000000001</v>
      </c>
      <c r="H337" s="14">
        <f>31.1845 * CHOOSE(CONTROL!$C$15, $E$9, 100%, $G$9) + CHOOSE(CONTROL!$C$38, 0.0347, 0)</f>
        <v>31.219200000000001</v>
      </c>
      <c r="I337" s="14">
        <f>31.186 * CHOOSE(CONTROL!$C$15, $E$9, 100%, $G$9) + CHOOSE(CONTROL!$C$38, 0.0347, 0)</f>
        <v>31.220700000000001</v>
      </c>
      <c r="J337" s="44">
        <f>194.9851</f>
        <v>194.98509999999999</v>
      </c>
    </row>
    <row r="338" spans="1:10" ht="15.75" x14ac:dyDescent="0.25">
      <c r="A338" s="33">
        <v>51226</v>
      </c>
      <c r="B338" s="14">
        <f>32.1393 * CHOOSE(CONTROL!$C$15, $E$9, 100%, $G$9) + CHOOSE(CONTROL!$C$38, 0.0256, 0)</f>
        <v>32.164899999999996</v>
      </c>
      <c r="C338" s="14">
        <f>30.389 * CHOOSE(CONTROL!$C$15, $E$9, 100%, $G$9) + CHOOSE(CONTROL!$C$38, 0.0347, 0)</f>
        <v>30.4237</v>
      </c>
      <c r="D338" s="14">
        <f>30.3812 * CHOOSE(CONTROL!$C$15, $E$9, 100%, $G$9) + CHOOSE(CONTROL!$C$38, 0.0347, 0)</f>
        <v>30.415900000000001</v>
      </c>
      <c r="E338" s="46">
        <f>31.9831 * CHOOSE(CONTROL!$C$15, $E$9, 100%, $G$9) + CHOOSE(CONTROL!$C$38, 0.0347, 0)</f>
        <v>32.017800000000001</v>
      </c>
      <c r="F338" s="45">
        <f>31.9831 * CHOOSE(CONTROL!$C$15, $E$9, 100%, $G$9) + CHOOSE(CONTROL!$C$38, 0.0256, 0)</f>
        <v>32.008699999999997</v>
      </c>
      <c r="G338" s="14">
        <f>30.3874 * CHOOSE(CONTROL!$C$15, $E$9, 100%, $G$9) + CHOOSE(CONTROL!$C$38, 0.0347, 0)</f>
        <v>30.4221</v>
      </c>
      <c r="H338" s="14">
        <f>30.3874 * CHOOSE(CONTROL!$C$15, $E$9, 100%, $G$9) + CHOOSE(CONTROL!$C$38, 0.0347, 0)</f>
        <v>30.4221</v>
      </c>
      <c r="I338" s="14">
        <f>30.389 * CHOOSE(CONTROL!$C$15, $E$9, 100%, $G$9) + CHOOSE(CONTROL!$C$38, 0.0347, 0)</f>
        <v>30.4237</v>
      </c>
      <c r="J338" s="44">
        <f>205.262</f>
        <v>205.262</v>
      </c>
    </row>
    <row r="339" spans="1:10" ht="15.75" x14ac:dyDescent="0.25">
      <c r="A339" s="33">
        <v>51256</v>
      </c>
      <c r="B339" s="14">
        <f>31.367 * CHOOSE(CONTROL!$C$15, $E$9, 100%, $G$9) + CHOOSE(CONTROL!$C$38, 0.0256, 0)</f>
        <v>31.392600000000002</v>
      </c>
      <c r="C339" s="14">
        <f>29.6167 * CHOOSE(CONTROL!$C$15, $E$9, 100%, $G$9) + CHOOSE(CONTROL!$C$38, 0.0347, 0)</f>
        <v>29.651400000000002</v>
      </c>
      <c r="D339" s="14">
        <f>29.6089 * CHOOSE(CONTROL!$C$15, $E$9, 100%, $G$9) + CHOOSE(CONTROL!$C$38, 0.0347, 0)</f>
        <v>29.643599999999999</v>
      </c>
      <c r="E339" s="46">
        <f>31.2108 * CHOOSE(CONTROL!$C$15, $E$9, 100%, $G$9) + CHOOSE(CONTROL!$C$38, 0.0347, 0)</f>
        <v>31.2455</v>
      </c>
      <c r="F339" s="45">
        <f>31.2108 * CHOOSE(CONTROL!$C$15, $E$9, 100%, $G$9) + CHOOSE(CONTROL!$C$38, 0.0256, 0)</f>
        <v>31.2364</v>
      </c>
      <c r="G339" s="14">
        <f>29.6151 * CHOOSE(CONTROL!$C$15, $E$9, 100%, $G$9) + CHOOSE(CONTROL!$C$38, 0.0347, 0)</f>
        <v>29.649800000000003</v>
      </c>
      <c r="H339" s="14">
        <f>29.6151 * CHOOSE(CONTROL!$C$15, $E$9, 100%, $G$9) + CHOOSE(CONTROL!$C$38, 0.0347, 0)</f>
        <v>29.649800000000003</v>
      </c>
      <c r="I339" s="14">
        <f>29.6167 * CHOOSE(CONTROL!$C$15, $E$9, 100%, $G$9) + CHOOSE(CONTROL!$C$38, 0.0347, 0)</f>
        <v>29.651400000000002</v>
      </c>
      <c r="J339" s="44">
        <f>218.5886</f>
        <v>218.58860000000001</v>
      </c>
    </row>
    <row r="340" spans="1:10" ht="15.75" x14ac:dyDescent="0.25">
      <c r="A340" s="33">
        <v>51287</v>
      </c>
      <c r="B340" s="14">
        <f>30.5621 * CHOOSE(CONTROL!$C$15, $E$9, 100%, $G$9) + CHOOSE(CONTROL!$C$38, 0.0278, 0)</f>
        <v>30.5899</v>
      </c>
      <c r="C340" s="14">
        <f>28.8117 * CHOOSE(CONTROL!$C$15, $E$9, 100%, $G$9) + CHOOSE(CONTROL!$C$38, 0.0369, 0)</f>
        <v>28.848599999999998</v>
      </c>
      <c r="D340" s="14">
        <f>28.8039 * CHOOSE(CONTROL!$C$15, $E$9, 100%, $G$9) + CHOOSE(CONTROL!$C$38, 0.0369, 0)</f>
        <v>28.840799999999998</v>
      </c>
      <c r="E340" s="46">
        <f>30.4058 * CHOOSE(CONTROL!$C$15, $E$9, 100%, $G$9) + CHOOSE(CONTROL!$C$38, 0.0369, 0)</f>
        <v>30.442699999999999</v>
      </c>
      <c r="F340" s="45">
        <f>30.4058 * CHOOSE(CONTROL!$C$15, $E$9, 100%, $G$9) + CHOOSE(CONTROL!$C$38, 0.0278, 0)</f>
        <v>30.433599999999998</v>
      </c>
      <c r="G340" s="14">
        <f>28.8102 * CHOOSE(CONTROL!$C$15, $E$9, 100%, $G$9) + CHOOSE(CONTROL!$C$38, 0.0369, 0)</f>
        <v>28.847099999999998</v>
      </c>
      <c r="H340" s="14">
        <f>28.8102 * CHOOSE(CONTROL!$C$15, $E$9, 100%, $G$9) + CHOOSE(CONTROL!$C$38, 0.0369, 0)</f>
        <v>28.847099999999998</v>
      </c>
      <c r="I340" s="14">
        <f>28.8117 * CHOOSE(CONTROL!$C$15, $E$9, 100%, $G$9) + CHOOSE(CONTROL!$C$38, 0.0369, 0)</f>
        <v>28.848599999999998</v>
      </c>
      <c r="J340" s="44">
        <f>225.924</f>
        <v>225.92400000000001</v>
      </c>
    </row>
    <row r="341" spans="1:10" ht="15.75" x14ac:dyDescent="0.25">
      <c r="A341" s="33">
        <v>51317</v>
      </c>
      <c r="B341" s="14">
        <f>29.9977 * CHOOSE(CONTROL!$C$15, $E$9, 100%, $G$9) + CHOOSE(CONTROL!$C$38, 0.0278, 0)</f>
        <v>30.025499999999997</v>
      </c>
      <c r="C341" s="14">
        <f>28.2474 * CHOOSE(CONTROL!$C$15, $E$9, 100%, $G$9) + CHOOSE(CONTROL!$C$38, 0.0369, 0)</f>
        <v>28.284299999999998</v>
      </c>
      <c r="D341" s="14">
        <f>28.2396 * CHOOSE(CONTROL!$C$15, $E$9, 100%, $G$9) + CHOOSE(CONTROL!$C$38, 0.0369, 0)</f>
        <v>28.276499999999999</v>
      </c>
      <c r="E341" s="46">
        <f>29.8415 * CHOOSE(CONTROL!$C$15, $E$9, 100%, $G$9) + CHOOSE(CONTROL!$C$38, 0.0369, 0)</f>
        <v>29.878399999999999</v>
      </c>
      <c r="F341" s="45">
        <f>29.8415 * CHOOSE(CONTROL!$C$15, $E$9, 100%, $G$9) + CHOOSE(CONTROL!$C$38, 0.0278, 0)</f>
        <v>29.869299999999999</v>
      </c>
      <c r="G341" s="14">
        <f>28.2458 * CHOOSE(CONTROL!$C$15, $E$9, 100%, $G$9) + CHOOSE(CONTROL!$C$38, 0.0369, 0)</f>
        <v>28.282699999999998</v>
      </c>
      <c r="H341" s="14">
        <f>28.2458 * CHOOSE(CONTROL!$C$15, $E$9, 100%, $G$9) + CHOOSE(CONTROL!$C$38, 0.0369, 0)</f>
        <v>28.282699999999998</v>
      </c>
      <c r="I341" s="14">
        <f>28.2474 * CHOOSE(CONTROL!$C$15, $E$9, 100%, $G$9) + CHOOSE(CONTROL!$C$38, 0.0369, 0)</f>
        <v>28.284299999999998</v>
      </c>
      <c r="J341" s="44">
        <f>229.1793</f>
        <v>229.17930000000001</v>
      </c>
    </row>
    <row r="342" spans="1:10" ht="15.75" x14ac:dyDescent="0.25">
      <c r="A342" s="33">
        <v>51348</v>
      </c>
      <c r="B342" s="14">
        <f>29.6757 * CHOOSE(CONTROL!$C$15, $E$9, 100%, $G$9) + CHOOSE(CONTROL!$C$38, 0.0278, 0)</f>
        <v>29.703499999999998</v>
      </c>
      <c r="C342" s="14">
        <f>27.9253 * CHOOSE(CONTROL!$C$15, $E$9, 100%, $G$9) + CHOOSE(CONTROL!$C$38, 0.0369, 0)</f>
        <v>27.962199999999999</v>
      </c>
      <c r="D342" s="14">
        <f>27.9175 * CHOOSE(CONTROL!$C$15, $E$9, 100%, $G$9) + CHOOSE(CONTROL!$C$38, 0.0369, 0)</f>
        <v>27.9544</v>
      </c>
      <c r="E342" s="46">
        <f>29.5194 * CHOOSE(CONTROL!$C$15, $E$9, 100%, $G$9) + CHOOSE(CONTROL!$C$38, 0.0369, 0)</f>
        <v>29.5563</v>
      </c>
      <c r="F342" s="45">
        <f>29.5194 * CHOOSE(CONTROL!$C$15, $E$9, 100%, $G$9) + CHOOSE(CONTROL!$C$38, 0.0278, 0)</f>
        <v>29.5472</v>
      </c>
      <c r="G342" s="14">
        <f>27.9238 * CHOOSE(CONTROL!$C$15, $E$9, 100%, $G$9) + CHOOSE(CONTROL!$C$38, 0.0369, 0)</f>
        <v>27.960699999999999</v>
      </c>
      <c r="H342" s="14">
        <f>27.9238 * CHOOSE(CONTROL!$C$15, $E$9, 100%, $G$9) + CHOOSE(CONTROL!$C$38, 0.0369, 0)</f>
        <v>27.960699999999999</v>
      </c>
      <c r="I342" s="14">
        <f>27.9253 * CHOOSE(CONTROL!$C$15, $E$9, 100%, $G$9) + CHOOSE(CONTROL!$C$38, 0.0369, 0)</f>
        <v>27.962199999999999</v>
      </c>
      <c r="J342" s="44">
        <f>228.1075</f>
        <v>228.10749999999999</v>
      </c>
    </row>
    <row r="343" spans="1:10" ht="15.75" x14ac:dyDescent="0.25">
      <c r="A343" s="33">
        <v>51379</v>
      </c>
      <c r="B343" s="14">
        <f>29.8346 * CHOOSE(CONTROL!$C$15, $E$9, 100%, $G$9) + CHOOSE(CONTROL!$C$38, 0.0278, 0)</f>
        <v>29.862399999999997</v>
      </c>
      <c r="C343" s="14">
        <f>28.0843 * CHOOSE(CONTROL!$C$15, $E$9, 100%, $G$9) + CHOOSE(CONTROL!$C$38, 0.0369, 0)</f>
        <v>28.121199999999998</v>
      </c>
      <c r="D343" s="14">
        <f>28.0765 * CHOOSE(CONTROL!$C$15, $E$9, 100%, $G$9) + CHOOSE(CONTROL!$C$38, 0.0369, 0)</f>
        <v>28.113399999999999</v>
      </c>
      <c r="E343" s="46">
        <f>29.6784 * CHOOSE(CONTROL!$C$15, $E$9, 100%, $G$9) + CHOOSE(CONTROL!$C$38, 0.0369, 0)</f>
        <v>29.715299999999999</v>
      </c>
      <c r="F343" s="45">
        <f>29.6784 * CHOOSE(CONTROL!$C$15, $E$9, 100%, $G$9) + CHOOSE(CONTROL!$C$38, 0.0278, 0)</f>
        <v>29.706199999999999</v>
      </c>
      <c r="G343" s="14">
        <f>28.0827 * CHOOSE(CONTROL!$C$15, $E$9, 100%, $G$9) + CHOOSE(CONTROL!$C$38, 0.0369, 0)</f>
        <v>28.119599999999998</v>
      </c>
      <c r="H343" s="14">
        <f>28.0827 * CHOOSE(CONTROL!$C$15, $E$9, 100%, $G$9) + CHOOSE(CONTROL!$C$38, 0.0369, 0)</f>
        <v>28.119599999999998</v>
      </c>
      <c r="I343" s="14">
        <f>28.0843 * CHOOSE(CONTROL!$C$15, $E$9, 100%, $G$9) + CHOOSE(CONTROL!$C$38, 0.0369, 0)</f>
        <v>28.121199999999998</v>
      </c>
      <c r="J343" s="44">
        <f>222.7973</f>
        <v>222.79730000000001</v>
      </c>
    </row>
    <row r="344" spans="1:10" ht="15.75" x14ac:dyDescent="0.25">
      <c r="A344" s="33">
        <v>51409</v>
      </c>
      <c r="B344" s="14">
        <f>30.2663 * CHOOSE(CONTROL!$C$15, $E$9, 100%, $G$9) + CHOOSE(CONTROL!$C$38, 0.0278, 0)</f>
        <v>30.2941</v>
      </c>
      <c r="C344" s="14">
        <f>28.516 * CHOOSE(CONTROL!$C$15, $E$9, 100%, $G$9) + CHOOSE(CONTROL!$C$38, 0.0369, 0)</f>
        <v>28.552899999999998</v>
      </c>
      <c r="D344" s="14">
        <f>28.5082 * CHOOSE(CONTROL!$C$15, $E$9, 100%, $G$9) + CHOOSE(CONTROL!$C$38, 0.0369, 0)</f>
        <v>28.545099999999998</v>
      </c>
      <c r="E344" s="46">
        <f>30.1101 * CHOOSE(CONTROL!$C$15, $E$9, 100%, $G$9) + CHOOSE(CONTROL!$C$38, 0.0369, 0)</f>
        <v>30.146999999999998</v>
      </c>
      <c r="F344" s="45">
        <f>30.1101 * CHOOSE(CONTROL!$C$15, $E$9, 100%, $G$9) + CHOOSE(CONTROL!$C$38, 0.0278, 0)</f>
        <v>30.137899999999998</v>
      </c>
      <c r="G344" s="14">
        <f>28.5144 * CHOOSE(CONTROL!$C$15, $E$9, 100%, $G$9) + CHOOSE(CONTROL!$C$38, 0.0369, 0)</f>
        <v>28.551299999999998</v>
      </c>
      <c r="H344" s="14">
        <f>28.5144 * CHOOSE(CONTROL!$C$15, $E$9, 100%, $G$9) + CHOOSE(CONTROL!$C$38, 0.0369, 0)</f>
        <v>28.551299999999998</v>
      </c>
      <c r="I344" s="14">
        <f>28.516 * CHOOSE(CONTROL!$C$15, $E$9, 100%, $G$9) + CHOOSE(CONTROL!$C$38, 0.0369, 0)</f>
        <v>28.552899999999998</v>
      </c>
      <c r="J344" s="44">
        <f>215.3919</f>
        <v>215.39189999999999</v>
      </c>
    </row>
    <row r="345" spans="1:10" ht="15.75" x14ac:dyDescent="0.25">
      <c r="A345" s="33">
        <v>51440</v>
      </c>
      <c r="B345" s="14">
        <f>30.6279 * CHOOSE(CONTROL!$C$15, $E$9, 100%, $G$9) + CHOOSE(CONTROL!$C$38, 0.0256, 0)</f>
        <v>30.653500000000001</v>
      </c>
      <c r="C345" s="14">
        <f>28.8776 * CHOOSE(CONTROL!$C$15, $E$9, 100%, $G$9) + CHOOSE(CONTROL!$C$38, 0.0347, 0)</f>
        <v>28.912300000000002</v>
      </c>
      <c r="D345" s="14">
        <f>28.8698 * CHOOSE(CONTROL!$C$15, $E$9, 100%, $G$9) + CHOOSE(CONTROL!$C$38, 0.0347, 0)</f>
        <v>28.904500000000002</v>
      </c>
      <c r="E345" s="46">
        <f>30.4716 * CHOOSE(CONTROL!$C$15, $E$9, 100%, $G$9) + CHOOSE(CONTROL!$C$38, 0.0347, 0)</f>
        <v>30.5063</v>
      </c>
      <c r="F345" s="45">
        <f>30.4716 * CHOOSE(CONTROL!$C$15, $E$9, 100%, $G$9) + CHOOSE(CONTROL!$C$38, 0.0256, 0)</f>
        <v>30.497199999999999</v>
      </c>
      <c r="G345" s="14">
        <f>28.876 * CHOOSE(CONTROL!$C$15, $E$9, 100%, $G$9) + CHOOSE(CONTROL!$C$38, 0.0347, 0)</f>
        <v>28.910700000000002</v>
      </c>
      <c r="H345" s="14">
        <f>28.876 * CHOOSE(CONTROL!$C$15, $E$9, 100%, $G$9) + CHOOSE(CONTROL!$C$38, 0.0347, 0)</f>
        <v>28.910700000000002</v>
      </c>
      <c r="I345" s="14">
        <f>28.8776 * CHOOSE(CONTROL!$C$15, $E$9, 100%, $G$9) + CHOOSE(CONTROL!$C$38, 0.0347, 0)</f>
        <v>28.912300000000002</v>
      </c>
      <c r="J345" s="44">
        <f>207.9434</f>
        <v>207.9434</v>
      </c>
    </row>
    <row r="346" spans="1:10" ht="15.75" x14ac:dyDescent="0.25">
      <c r="A346" s="33">
        <v>51470</v>
      </c>
      <c r="B346" s="14">
        <f>30.9296 * CHOOSE(CONTROL!$C$15, $E$9, 100%, $G$9) + CHOOSE(CONTROL!$C$38, 0.0256, 0)</f>
        <v>30.955200000000001</v>
      </c>
      <c r="C346" s="14">
        <f>29.1793 * CHOOSE(CONTROL!$C$15, $E$9, 100%, $G$9) + CHOOSE(CONTROL!$C$38, 0.0347, 0)</f>
        <v>29.214000000000002</v>
      </c>
      <c r="D346" s="14">
        <f>29.1715 * CHOOSE(CONTROL!$C$15, $E$9, 100%, $G$9) + CHOOSE(CONTROL!$C$38, 0.0347, 0)</f>
        <v>29.206200000000003</v>
      </c>
      <c r="E346" s="46">
        <f>30.7734 * CHOOSE(CONTROL!$C$15, $E$9, 100%, $G$9) + CHOOSE(CONTROL!$C$38, 0.0347, 0)</f>
        <v>30.8081</v>
      </c>
      <c r="F346" s="45">
        <f>30.7734 * CHOOSE(CONTROL!$C$15, $E$9, 100%, $G$9) + CHOOSE(CONTROL!$C$38, 0.0256, 0)</f>
        <v>30.798999999999999</v>
      </c>
      <c r="G346" s="14">
        <f>29.1777 * CHOOSE(CONTROL!$C$15, $E$9, 100%, $G$9) + CHOOSE(CONTROL!$C$38, 0.0347, 0)</f>
        <v>29.212400000000002</v>
      </c>
      <c r="H346" s="14">
        <f>29.1777 * CHOOSE(CONTROL!$C$15, $E$9, 100%, $G$9) + CHOOSE(CONTROL!$C$38, 0.0347, 0)</f>
        <v>29.212400000000002</v>
      </c>
      <c r="I346" s="14">
        <f>29.1793 * CHOOSE(CONTROL!$C$15, $E$9, 100%, $G$9) + CHOOSE(CONTROL!$C$38, 0.0347, 0)</f>
        <v>29.214000000000002</v>
      </c>
      <c r="J346" s="44">
        <f>206.4617</f>
        <v>206.46170000000001</v>
      </c>
    </row>
    <row r="347" spans="1:10" ht="15.75" x14ac:dyDescent="0.25">
      <c r="A347" s="33">
        <v>51501</v>
      </c>
      <c r="B347" s="14">
        <f>31.8593 * CHOOSE(CONTROL!$C$15, $E$9, 100%, $G$9) + CHOOSE(CONTROL!$C$38, 0.0256, 0)</f>
        <v>31.884900000000002</v>
      </c>
      <c r="C347" s="14">
        <f>30.1089 * CHOOSE(CONTROL!$C$15, $E$9, 100%, $G$9) + CHOOSE(CONTROL!$C$38, 0.0347, 0)</f>
        <v>30.143599999999999</v>
      </c>
      <c r="D347" s="14">
        <f>30.1011 * CHOOSE(CONTROL!$C$15, $E$9, 100%, $G$9) + CHOOSE(CONTROL!$C$38, 0.0347, 0)</f>
        <v>30.1358</v>
      </c>
      <c r="E347" s="46">
        <f>31.703 * CHOOSE(CONTROL!$C$15, $E$9, 100%, $G$9) + CHOOSE(CONTROL!$C$38, 0.0347, 0)</f>
        <v>31.7377</v>
      </c>
      <c r="F347" s="45">
        <f>31.703 * CHOOSE(CONTROL!$C$15, $E$9, 100%, $G$9) + CHOOSE(CONTROL!$C$38, 0.0256, 0)</f>
        <v>31.7286</v>
      </c>
      <c r="G347" s="14">
        <f>30.1074 * CHOOSE(CONTROL!$C$15, $E$9, 100%, $G$9) + CHOOSE(CONTROL!$C$38, 0.0347, 0)</f>
        <v>30.142099999999999</v>
      </c>
      <c r="H347" s="14">
        <f>30.1074 * CHOOSE(CONTROL!$C$15, $E$9, 100%, $G$9) + CHOOSE(CONTROL!$C$38, 0.0347, 0)</f>
        <v>30.142099999999999</v>
      </c>
      <c r="I347" s="14">
        <f>30.1089 * CHOOSE(CONTROL!$C$15, $E$9, 100%, $G$9) + CHOOSE(CONTROL!$C$38, 0.0347, 0)</f>
        <v>30.143599999999999</v>
      </c>
      <c r="J347" s="44">
        <f>200.335</f>
        <v>200.33500000000001</v>
      </c>
    </row>
    <row r="348" spans="1:10" ht="15.75" x14ac:dyDescent="0.25">
      <c r="A348" s="33">
        <v>51532</v>
      </c>
      <c r="B348" s="14">
        <f>33.1036 * CHOOSE(CONTROL!$C$15, $E$9, 100%, $G$9) + CHOOSE(CONTROL!$C$38, 0.0256, 0)</f>
        <v>33.129199999999997</v>
      </c>
      <c r="C348" s="14">
        <f>31.3265 * CHOOSE(CONTROL!$C$15, $E$9, 100%, $G$9) + CHOOSE(CONTROL!$C$38, 0.0347, 0)</f>
        <v>31.3612</v>
      </c>
      <c r="D348" s="14">
        <f>31.3187 * CHOOSE(CONTROL!$C$15, $E$9, 100%, $G$9) + CHOOSE(CONTROL!$C$38, 0.0347, 0)</f>
        <v>31.353400000000001</v>
      </c>
      <c r="E348" s="46">
        <f>32.9473 * CHOOSE(CONTROL!$C$15, $E$9, 100%, $G$9) + CHOOSE(CONTROL!$C$38, 0.0347, 0)</f>
        <v>32.981999999999999</v>
      </c>
      <c r="F348" s="45">
        <f>32.9473 * CHOOSE(CONTROL!$C$15, $E$9, 100%, $G$9) + CHOOSE(CONTROL!$C$38, 0.0256, 0)</f>
        <v>32.972899999999996</v>
      </c>
      <c r="G348" s="14">
        <f>31.3249 * CHOOSE(CONTROL!$C$15, $E$9, 100%, $G$9) + CHOOSE(CONTROL!$C$38, 0.0347, 0)</f>
        <v>31.3596</v>
      </c>
      <c r="H348" s="14">
        <f>31.3249 * CHOOSE(CONTROL!$C$15, $E$9, 100%, $G$9) + CHOOSE(CONTROL!$C$38, 0.0347, 0)</f>
        <v>31.3596</v>
      </c>
      <c r="I348" s="14">
        <f>31.3265 * CHOOSE(CONTROL!$C$15, $E$9, 100%, $G$9) + CHOOSE(CONTROL!$C$38, 0.0347, 0)</f>
        <v>31.3612</v>
      </c>
      <c r="J348" s="44">
        <f>200.0766</f>
        <v>200.07660000000001</v>
      </c>
    </row>
    <row r="349" spans="1:10" ht="15.75" x14ac:dyDescent="0.25">
      <c r="A349" s="33">
        <v>51560</v>
      </c>
      <c r="B349" s="14">
        <f>33.4479 * CHOOSE(CONTROL!$C$15, $E$9, 100%, $G$9) + CHOOSE(CONTROL!$C$38, 0.0256, 0)</f>
        <v>33.473499999999994</v>
      </c>
      <c r="C349" s="14">
        <f>31.6708 * CHOOSE(CONTROL!$C$15, $E$9, 100%, $G$9) + CHOOSE(CONTROL!$C$38, 0.0347, 0)</f>
        <v>31.705500000000001</v>
      </c>
      <c r="D349" s="14">
        <f>31.663 * CHOOSE(CONTROL!$C$15, $E$9, 100%, $G$9) + CHOOSE(CONTROL!$C$38, 0.0347, 0)</f>
        <v>31.697700000000001</v>
      </c>
      <c r="E349" s="46">
        <f>33.2917 * CHOOSE(CONTROL!$C$15, $E$9, 100%, $G$9) + CHOOSE(CONTROL!$C$38, 0.0347, 0)</f>
        <v>33.3264</v>
      </c>
      <c r="F349" s="45">
        <f>33.2917 * CHOOSE(CONTROL!$C$15, $E$9, 100%, $G$9) + CHOOSE(CONTROL!$C$38, 0.0256, 0)</f>
        <v>33.317299999999996</v>
      </c>
      <c r="G349" s="14">
        <f>31.6692 * CHOOSE(CONTROL!$C$15, $E$9, 100%, $G$9) + CHOOSE(CONTROL!$C$38, 0.0347, 0)</f>
        <v>31.703900000000001</v>
      </c>
      <c r="H349" s="14">
        <f>31.6692 * CHOOSE(CONTROL!$C$15, $E$9, 100%, $G$9) + CHOOSE(CONTROL!$C$38, 0.0347, 0)</f>
        <v>31.703900000000001</v>
      </c>
      <c r="I349" s="14">
        <f>31.6708 * CHOOSE(CONTROL!$C$15, $E$9, 100%, $G$9) + CHOOSE(CONTROL!$C$38, 0.0347, 0)</f>
        <v>31.705500000000001</v>
      </c>
      <c r="J349" s="44">
        <f>199.5205</f>
        <v>199.5205</v>
      </c>
    </row>
    <row r="350" spans="1:10" ht="15.75" x14ac:dyDescent="0.25">
      <c r="A350" s="33">
        <v>51591</v>
      </c>
      <c r="B350" s="14">
        <f>32.6509 * CHOOSE(CONTROL!$C$15, $E$9, 100%, $G$9) + CHOOSE(CONTROL!$C$38, 0.0256, 0)</f>
        <v>32.676499999999997</v>
      </c>
      <c r="C350" s="14">
        <f>30.8738 * CHOOSE(CONTROL!$C$15, $E$9, 100%, $G$9) + CHOOSE(CONTROL!$C$38, 0.0347, 0)</f>
        <v>30.9085</v>
      </c>
      <c r="D350" s="14">
        <f>30.8659 * CHOOSE(CONTROL!$C$15, $E$9, 100%, $G$9) + CHOOSE(CONTROL!$C$38, 0.0347, 0)</f>
        <v>30.900600000000001</v>
      </c>
      <c r="E350" s="46">
        <f>32.4946 * CHOOSE(CONTROL!$C$15, $E$9, 100%, $G$9) + CHOOSE(CONTROL!$C$38, 0.0347, 0)</f>
        <v>32.529299999999999</v>
      </c>
      <c r="F350" s="45">
        <f>32.4946 * CHOOSE(CONTROL!$C$15, $E$9, 100%, $G$9) + CHOOSE(CONTROL!$C$38, 0.0256, 0)</f>
        <v>32.520199999999996</v>
      </c>
      <c r="G350" s="14">
        <f>30.8722 * CHOOSE(CONTROL!$C$15, $E$9, 100%, $G$9) + CHOOSE(CONTROL!$C$38, 0.0347, 0)</f>
        <v>30.9069</v>
      </c>
      <c r="H350" s="14">
        <f>30.8722 * CHOOSE(CONTROL!$C$15, $E$9, 100%, $G$9) + CHOOSE(CONTROL!$C$38, 0.0347, 0)</f>
        <v>30.9069</v>
      </c>
      <c r="I350" s="14">
        <f>30.8738 * CHOOSE(CONTROL!$C$15, $E$9, 100%, $G$9) + CHOOSE(CONTROL!$C$38, 0.0347, 0)</f>
        <v>30.9085</v>
      </c>
      <c r="J350" s="44">
        <f>210.0364</f>
        <v>210.03639999999999</v>
      </c>
    </row>
    <row r="351" spans="1:10" ht="15.75" x14ac:dyDescent="0.25">
      <c r="A351" s="33">
        <v>51621</v>
      </c>
      <c r="B351" s="14">
        <f>31.8786 * CHOOSE(CONTROL!$C$15, $E$9, 100%, $G$9) + CHOOSE(CONTROL!$C$38, 0.0256, 0)</f>
        <v>31.904199999999999</v>
      </c>
      <c r="C351" s="14">
        <f>30.1014 * CHOOSE(CONTROL!$C$15, $E$9, 100%, $G$9) + CHOOSE(CONTROL!$C$38, 0.0347, 0)</f>
        <v>30.136100000000003</v>
      </c>
      <c r="D351" s="14">
        <f>30.0936 * CHOOSE(CONTROL!$C$15, $E$9, 100%, $G$9) + CHOOSE(CONTROL!$C$38, 0.0347, 0)</f>
        <v>30.128299999999999</v>
      </c>
      <c r="E351" s="46">
        <f>31.7223 * CHOOSE(CONTROL!$C$15, $E$9, 100%, $G$9) + CHOOSE(CONTROL!$C$38, 0.0347, 0)</f>
        <v>31.757000000000001</v>
      </c>
      <c r="F351" s="45">
        <f>31.7223 * CHOOSE(CONTROL!$C$15, $E$9, 100%, $G$9) + CHOOSE(CONTROL!$C$38, 0.0256, 0)</f>
        <v>31.747900000000001</v>
      </c>
      <c r="G351" s="14">
        <f>30.0999 * CHOOSE(CONTROL!$C$15, $E$9, 100%, $G$9) + CHOOSE(CONTROL!$C$38, 0.0347, 0)</f>
        <v>30.134600000000002</v>
      </c>
      <c r="H351" s="14">
        <f>30.0999 * CHOOSE(CONTROL!$C$15, $E$9, 100%, $G$9) + CHOOSE(CONTROL!$C$38, 0.0347, 0)</f>
        <v>30.134600000000002</v>
      </c>
      <c r="I351" s="14">
        <f>30.1014 * CHOOSE(CONTROL!$C$15, $E$9, 100%, $G$9) + CHOOSE(CONTROL!$C$38, 0.0347, 0)</f>
        <v>30.136100000000003</v>
      </c>
      <c r="J351" s="44">
        <f>223.673</f>
        <v>223.673</v>
      </c>
    </row>
    <row r="352" spans="1:10" ht="15.75" x14ac:dyDescent="0.25">
      <c r="A352" s="33">
        <v>51652</v>
      </c>
      <c r="B352" s="14">
        <f>31.0736 * CHOOSE(CONTROL!$C$15, $E$9, 100%, $G$9) + CHOOSE(CONTROL!$C$38, 0.0278, 0)</f>
        <v>31.101399999999998</v>
      </c>
      <c r="C352" s="14">
        <f>29.2965 * CHOOSE(CONTROL!$C$15, $E$9, 100%, $G$9) + CHOOSE(CONTROL!$C$38, 0.0369, 0)</f>
        <v>29.333400000000001</v>
      </c>
      <c r="D352" s="14">
        <f>29.2887 * CHOOSE(CONTROL!$C$15, $E$9, 100%, $G$9) + CHOOSE(CONTROL!$C$38, 0.0369, 0)</f>
        <v>29.325599999999998</v>
      </c>
      <c r="E352" s="46">
        <f>30.9173 * CHOOSE(CONTROL!$C$15, $E$9, 100%, $G$9) + CHOOSE(CONTROL!$C$38, 0.0369, 0)</f>
        <v>30.9542</v>
      </c>
      <c r="F352" s="45">
        <f>30.9173 * CHOOSE(CONTROL!$C$15, $E$9, 100%, $G$9) + CHOOSE(CONTROL!$C$38, 0.0278, 0)</f>
        <v>30.9451</v>
      </c>
      <c r="G352" s="14">
        <f>29.2949 * CHOOSE(CONTROL!$C$15, $E$9, 100%, $G$9) + CHOOSE(CONTROL!$C$38, 0.0369, 0)</f>
        <v>29.331799999999998</v>
      </c>
      <c r="H352" s="14">
        <f>29.2949 * CHOOSE(CONTROL!$C$15, $E$9, 100%, $G$9) + CHOOSE(CONTROL!$C$38, 0.0369, 0)</f>
        <v>29.331799999999998</v>
      </c>
      <c r="I352" s="14">
        <f>29.2965 * CHOOSE(CONTROL!$C$15, $E$9, 100%, $G$9) + CHOOSE(CONTROL!$C$38, 0.0369, 0)</f>
        <v>29.333400000000001</v>
      </c>
      <c r="J352" s="44">
        <f>231.179</f>
        <v>231.179</v>
      </c>
    </row>
    <row r="353" spans="1:10" ht="15.75" x14ac:dyDescent="0.25">
      <c r="A353" s="33">
        <v>51682</v>
      </c>
      <c r="B353" s="14">
        <f>30.5093 * CHOOSE(CONTROL!$C$15, $E$9, 100%, $G$9) + CHOOSE(CONTROL!$C$38, 0.0278, 0)</f>
        <v>30.537099999999999</v>
      </c>
      <c r="C353" s="14">
        <f>28.7321 * CHOOSE(CONTROL!$C$15, $E$9, 100%, $G$9) + CHOOSE(CONTROL!$C$38, 0.0369, 0)</f>
        <v>28.768999999999998</v>
      </c>
      <c r="D353" s="14">
        <f>28.7243 * CHOOSE(CONTROL!$C$15, $E$9, 100%, $G$9) + CHOOSE(CONTROL!$C$38, 0.0369, 0)</f>
        <v>28.761199999999999</v>
      </c>
      <c r="E353" s="46">
        <f>30.353 * CHOOSE(CONTROL!$C$15, $E$9, 100%, $G$9) + CHOOSE(CONTROL!$C$38, 0.0369, 0)</f>
        <v>30.389900000000001</v>
      </c>
      <c r="F353" s="45">
        <f>30.353 * CHOOSE(CONTROL!$C$15, $E$9, 100%, $G$9) + CHOOSE(CONTROL!$C$38, 0.0278, 0)</f>
        <v>30.380800000000001</v>
      </c>
      <c r="G353" s="14">
        <f>28.7306 * CHOOSE(CONTROL!$C$15, $E$9, 100%, $G$9) + CHOOSE(CONTROL!$C$38, 0.0369, 0)</f>
        <v>28.767499999999998</v>
      </c>
      <c r="H353" s="14">
        <f>28.7306 * CHOOSE(CONTROL!$C$15, $E$9, 100%, $G$9) + CHOOSE(CONTROL!$C$38, 0.0369, 0)</f>
        <v>28.767499999999998</v>
      </c>
      <c r="I353" s="14">
        <f>28.7321 * CHOOSE(CONTROL!$C$15, $E$9, 100%, $G$9) + CHOOSE(CONTROL!$C$38, 0.0369, 0)</f>
        <v>28.768999999999998</v>
      </c>
      <c r="J353" s="44">
        <f>234.51</f>
        <v>234.51</v>
      </c>
    </row>
    <row r="354" spans="1:10" ht="15.75" x14ac:dyDescent="0.25">
      <c r="A354" s="33">
        <v>51713</v>
      </c>
      <c r="B354" s="14">
        <f>30.1872 * CHOOSE(CONTROL!$C$15, $E$9, 100%, $G$9) + CHOOSE(CONTROL!$C$38, 0.0278, 0)</f>
        <v>30.215</v>
      </c>
      <c r="C354" s="14">
        <f>28.4101 * CHOOSE(CONTROL!$C$15, $E$9, 100%, $G$9) + CHOOSE(CONTROL!$C$38, 0.0369, 0)</f>
        <v>28.446999999999999</v>
      </c>
      <c r="D354" s="14">
        <f>28.4023 * CHOOSE(CONTROL!$C$15, $E$9, 100%, $G$9) + CHOOSE(CONTROL!$C$38, 0.0369, 0)</f>
        <v>28.4392</v>
      </c>
      <c r="E354" s="46">
        <f>30.031 * CHOOSE(CONTROL!$C$15, $E$9, 100%, $G$9) + CHOOSE(CONTROL!$C$38, 0.0369, 0)</f>
        <v>30.067899999999998</v>
      </c>
      <c r="F354" s="45">
        <f>30.031 * CHOOSE(CONTROL!$C$15, $E$9, 100%, $G$9) + CHOOSE(CONTROL!$C$38, 0.0278, 0)</f>
        <v>30.058799999999998</v>
      </c>
      <c r="G354" s="14">
        <f>28.4085 * CHOOSE(CONTROL!$C$15, $E$9, 100%, $G$9) + CHOOSE(CONTROL!$C$38, 0.0369, 0)</f>
        <v>28.445399999999999</v>
      </c>
      <c r="H354" s="14">
        <f>28.4085 * CHOOSE(CONTROL!$C$15, $E$9, 100%, $G$9) + CHOOSE(CONTROL!$C$38, 0.0369, 0)</f>
        <v>28.445399999999999</v>
      </c>
      <c r="I354" s="14">
        <f>28.4101 * CHOOSE(CONTROL!$C$15, $E$9, 100%, $G$9) + CHOOSE(CONTROL!$C$38, 0.0369, 0)</f>
        <v>28.446999999999999</v>
      </c>
      <c r="J354" s="44">
        <f>233.4133</f>
        <v>233.41329999999999</v>
      </c>
    </row>
    <row r="355" spans="1:10" ht="15.75" x14ac:dyDescent="0.25">
      <c r="A355" s="33">
        <v>51744</v>
      </c>
      <c r="B355" s="14">
        <f>30.3462 * CHOOSE(CONTROL!$C$15, $E$9, 100%, $G$9) + CHOOSE(CONTROL!$C$38, 0.0278, 0)</f>
        <v>30.373999999999999</v>
      </c>
      <c r="C355" s="14">
        <f>28.569 * CHOOSE(CONTROL!$C$15, $E$9, 100%, $G$9) + CHOOSE(CONTROL!$C$38, 0.0369, 0)</f>
        <v>28.605899999999998</v>
      </c>
      <c r="D355" s="14">
        <f>28.5612 * CHOOSE(CONTROL!$C$15, $E$9, 100%, $G$9) + CHOOSE(CONTROL!$C$38, 0.0369, 0)</f>
        <v>28.598099999999999</v>
      </c>
      <c r="E355" s="46">
        <f>30.1899 * CHOOSE(CONTROL!$C$15, $E$9, 100%, $G$9) + CHOOSE(CONTROL!$C$38, 0.0369, 0)</f>
        <v>30.226800000000001</v>
      </c>
      <c r="F355" s="45">
        <f>30.1899 * CHOOSE(CONTROL!$C$15, $E$9, 100%, $G$9) + CHOOSE(CONTROL!$C$38, 0.0278, 0)</f>
        <v>30.217700000000001</v>
      </c>
      <c r="G355" s="14">
        <f>28.5675 * CHOOSE(CONTROL!$C$15, $E$9, 100%, $G$9) + CHOOSE(CONTROL!$C$38, 0.0369, 0)</f>
        <v>28.604399999999998</v>
      </c>
      <c r="H355" s="14">
        <f>28.5675 * CHOOSE(CONTROL!$C$15, $E$9, 100%, $G$9) + CHOOSE(CONTROL!$C$38, 0.0369, 0)</f>
        <v>28.604399999999998</v>
      </c>
      <c r="I355" s="14">
        <f>28.569 * CHOOSE(CONTROL!$C$15, $E$9, 100%, $G$9) + CHOOSE(CONTROL!$C$38, 0.0369, 0)</f>
        <v>28.605899999999998</v>
      </c>
      <c r="J355" s="44">
        <f>227.9795</f>
        <v>227.9795</v>
      </c>
    </row>
    <row r="356" spans="1:10" ht="15.75" x14ac:dyDescent="0.25">
      <c r="A356" s="33">
        <v>51774</v>
      </c>
      <c r="B356" s="14">
        <f>30.7779 * CHOOSE(CONTROL!$C$15, $E$9, 100%, $G$9) + CHOOSE(CONTROL!$C$38, 0.0278, 0)</f>
        <v>30.805699999999998</v>
      </c>
      <c r="C356" s="14">
        <f>29.0007 * CHOOSE(CONTROL!$C$15, $E$9, 100%, $G$9) + CHOOSE(CONTROL!$C$38, 0.0369, 0)</f>
        <v>29.037599999999998</v>
      </c>
      <c r="D356" s="14">
        <f>28.9929 * CHOOSE(CONTROL!$C$15, $E$9, 100%, $G$9) + CHOOSE(CONTROL!$C$38, 0.0369, 0)</f>
        <v>29.029799999999998</v>
      </c>
      <c r="E356" s="46">
        <f>30.6216 * CHOOSE(CONTROL!$C$15, $E$9, 100%, $G$9) + CHOOSE(CONTROL!$C$38, 0.0369, 0)</f>
        <v>30.6585</v>
      </c>
      <c r="F356" s="45">
        <f>30.6216 * CHOOSE(CONTROL!$C$15, $E$9, 100%, $G$9) + CHOOSE(CONTROL!$C$38, 0.0278, 0)</f>
        <v>30.6494</v>
      </c>
      <c r="G356" s="14">
        <f>28.9992 * CHOOSE(CONTROL!$C$15, $E$9, 100%, $G$9) + CHOOSE(CONTROL!$C$38, 0.0369, 0)</f>
        <v>29.036099999999998</v>
      </c>
      <c r="H356" s="14">
        <f>28.9992 * CHOOSE(CONTROL!$C$15, $E$9, 100%, $G$9) + CHOOSE(CONTROL!$C$38, 0.0369, 0)</f>
        <v>29.036099999999998</v>
      </c>
      <c r="I356" s="14">
        <f>29.0007 * CHOOSE(CONTROL!$C$15, $E$9, 100%, $G$9) + CHOOSE(CONTROL!$C$38, 0.0369, 0)</f>
        <v>29.037599999999998</v>
      </c>
      <c r="J356" s="44">
        <f>220.4019</f>
        <v>220.40190000000001</v>
      </c>
    </row>
    <row r="357" spans="1:10" ht="15.75" x14ac:dyDescent="0.25">
      <c r="A357" s="33">
        <v>51805</v>
      </c>
      <c r="B357" s="14">
        <f>31.1394 * CHOOSE(CONTROL!$C$15, $E$9, 100%, $G$9) + CHOOSE(CONTROL!$C$38, 0.0256, 0)</f>
        <v>31.164999999999999</v>
      </c>
      <c r="C357" s="14">
        <f>29.3623 * CHOOSE(CONTROL!$C$15, $E$9, 100%, $G$9) + CHOOSE(CONTROL!$C$38, 0.0347, 0)</f>
        <v>29.397000000000002</v>
      </c>
      <c r="D357" s="14">
        <f>29.3545 * CHOOSE(CONTROL!$C$15, $E$9, 100%, $G$9) + CHOOSE(CONTROL!$C$38, 0.0347, 0)</f>
        <v>29.389200000000002</v>
      </c>
      <c r="E357" s="46">
        <f>30.9832 * CHOOSE(CONTROL!$C$15, $E$9, 100%, $G$9) + CHOOSE(CONTROL!$C$38, 0.0347, 0)</f>
        <v>31.017900000000001</v>
      </c>
      <c r="F357" s="45">
        <f>30.9832 * CHOOSE(CONTROL!$C$15, $E$9, 100%, $G$9) + CHOOSE(CONTROL!$C$38, 0.0256, 0)</f>
        <v>31.008800000000001</v>
      </c>
      <c r="G357" s="14">
        <f>29.3607 * CHOOSE(CONTROL!$C$15, $E$9, 100%, $G$9) + CHOOSE(CONTROL!$C$38, 0.0347, 0)</f>
        <v>29.395400000000002</v>
      </c>
      <c r="H357" s="14">
        <f>29.3607 * CHOOSE(CONTROL!$C$15, $E$9, 100%, $G$9) + CHOOSE(CONTROL!$C$38, 0.0347, 0)</f>
        <v>29.395400000000002</v>
      </c>
      <c r="I357" s="14">
        <f>29.3623 * CHOOSE(CONTROL!$C$15, $E$9, 100%, $G$9) + CHOOSE(CONTROL!$C$38, 0.0347, 0)</f>
        <v>29.397000000000002</v>
      </c>
      <c r="J357" s="44">
        <f>212.7802</f>
        <v>212.78020000000001</v>
      </c>
    </row>
    <row r="358" spans="1:10" ht="15.75" x14ac:dyDescent="0.25">
      <c r="A358" s="33">
        <v>51835</v>
      </c>
      <c r="B358" s="14">
        <f>31.4411 * CHOOSE(CONTROL!$C$15, $E$9, 100%, $G$9) + CHOOSE(CONTROL!$C$38, 0.0256, 0)</f>
        <v>31.466699999999999</v>
      </c>
      <c r="C358" s="14">
        <f>29.664 * CHOOSE(CONTROL!$C$15, $E$9, 100%, $G$9) + CHOOSE(CONTROL!$C$38, 0.0347, 0)</f>
        <v>29.698700000000002</v>
      </c>
      <c r="D358" s="14">
        <f>29.6562 * CHOOSE(CONTROL!$C$15, $E$9, 100%, $G$9) + CHOOSE(CONTROL!$C$38, 0.0347, 0)</f>
        <v>29.690899999999999</v>
      </c>
      <c r="E358" s="46">
        <f>31.2849 * CHOOSE(CONTROL!$C$15, $E$9, 100%, $G$9) + CHOOSE(CONTROL!$C$38, 0.0347, 0)</f>
        <v>31.319600000000001</v>
      </c>
      <c r="F358" s="45">
        <f>31.2849 * CHOOSE(CONTROL!$C$15, $E$9, 100%, $G$9) + CHOOSE(CONTROL!$C$38, 0.0256, 0)</f>
        <v>31.310500000000001</v>
      </c>
      <c r="G358" s="14">
        <f>29.6625 * CHOOSE(CONTROL!$C$15, $E$9, 100%, $G$9) + CHOOSE(CONTROL!$C$38, 0.0347, 0)</f>
        <v>29.697200000000002</v>
      </c>
      <c r="H358" s="14">
        <f>29.6625 * CHOOSE(CONTROL!$C$15, $E$9, 100%, $G$9) + CHOOSE(CONTROL!$C$38, 0.0347, 0)</f>
        <v>29.697200000000002</v>
      </c>
      <c r="I358" s="14">
        <f>29.664 * CHOOSE(CONTROL!$C$15, $E$9, 100%, $G$9) + CHOOSE(CONTROL!$C$38, 0.0347, 0)</f>
        <v>29.698700000000002</v>
      </c>
      <c r="J358" s="44">
        <f>211.264</f>
        <v>211.26400000000001</v>
      </c>
    </row>
    <row r="359" spans="1:10" ht="15.75" x14ac:dyDescent="0.25">
      <c r="A359" s="33">
        <v>51866</v>
      </c>
      <c r="B359" s="14">
        <f>32.3708 * CHOOSE(CONTROL!$C$15, $E$9, 100%, $G$9) + CHOOSE(CONTROL!$C$38, 0.0256, 0)</f>
        <v>32.3964</v>
      </c>
      <c r="C359" s="14">
        <f>30.5937 * CHOOSE(CONTROL!$C$15, $E$9, 100%, $G$9) + CHOOSE(CONTROL!$C$38, 0.0347, 0)</f>
        <v>30.628399999999999</v>
      </c>
      <c r="D359" s="14">
        <f>30.5859 * CHOOSE(CONTROL!$C$15, $E$9, 100%, $G$9) + CHOOSE(CONTROL!$C$38, 0.0347, 0)</f>
        <v>30.6206</v>
      </c>
      <c r="E359" s="46">
        <f>32.2145 * CHOOSE(CONTROL!$C$15, $E$9, 100%, $G$9) + CHOOSE(CONTROL!$C$38, 0.0347, 0)</f>
        <v>32.249200000000002</v>
      </c>
      <c r="F359" s="45">
        <f>32.2145 * CHOOSE(CONTROL!$C$15, $E$9, 100%, $G$9) + CHOOSE(CONTROL!$C$38, 0.0256, 0)</f>
        <v>32.240099999999998</v>
      </c>
      <c r="G359" s="14">
        <f>30.5921 * CHOOSE(CONTROL!$C$15, $E$9, 100%, $G$9) + CHOOSE(CONTROL!$C$38, 0.0347, 0)</f>
        <v>30.626799999999999</v>
      </c>
      <c r="H359" s="14">
        <f>30.5921 * CHOOSE(CONTROL!$C$15, $E$9, 100%, $G$9) + CHOOSE(CONTROL!$C$38, 0.0347, 0)</f>
        <v>30.626799999999999</v>
      </c>
      <c r="I359" s="14">
        <f>30.5937 * CHOOSE(CONTROL!$C$15, $E$9, 100%, $G$9) + CHOOSE(CONTROL!$C$38, 0.0347, 0)</f>
        <v>30.628399999999999</v>
      </c>
      <c r="J359" s="44">
        <f>204.9948</f>
        <v>204.9948</v>
      </c>
    </row>
    <row r="360" spans="1:10" ht="15.75" x14ac:dyDescent="0.25">
      <c r="A360" s="33">
        <v>51897</v>
      </c>
      <c r="B360" s="14">
        <f>33.6237 * CHOOSE(CONTROL!$C$15, $E$9, 100%, $G$9) + CHOOSE(CONTROL!$C$38, 0.0256, 0)</f>
        <v>33.649299999999997</v>
      </c>
      <c r="C360" s="14">
        <f>31.8194 * CHOOSE(CONTROL!$C$15, $E$9, 100%, $G$9) + CHOOSE(CONTROL!$C$38, 0.0347, 0)</f>
        <v>31.854100000000003</v>
      </c>
      <c r="D360" s="14">
        <f>31.8116 * CHOOSE(CONTROL!$C$15, $E$9, 100%, $G$9) + CHOOSE(CONTROL!$C$38, 0.0347, 0)</f>
        <v>31.846299999999999</v>
      </c>
      <c r="E360" s="46">
        <f>33.4675 * CHOOSE(CONTROL!$C$15, $E$9, 100%, $G$9) + CHOOSE(CONTROL!$C$38, 0.0347, 0)</f>
        <v>33.502200000000002</v>
      </c>
      <c r="F360" s="45">
        <f>33.4675 * CHOOSE(CONTROL!$C$15, $E$9, 100%, $G$9) + CHOOSE(CONTROL!$C$38, 0.0256, 0)</f>
        <v>33.493099999999998</v>
      </c>
      <c r="G360" s="14">
        <f>31.8178 * CHOOSE(CONTROL!$C$15, $E$9, 100%, $G$9) + CHOOSE(CONTROL!$C$38, 0.0347, 0)</f>
        <v>31.852499999999999</v>
      </c>
      <c r="H360" s="14">
        <f>31.8178 * CHOOSE(CONTROL!$C$15, $E$9, 100%, $G$9) + CHOOSE(CONTROL!$C$38, 0.0347, 0)</f>
        <v>31.852499999999999</v>
      </c>
      <c r="I360" s="14">
        <f>31.8194 * CHOOSE(CONTROL!$C$15, $E$9, 100%, $G$9) + CHOOSE(CONTROL!$C$38, 0.0347, 0)</f>
        <v>31.854100000000003</v>
      </c>
      <c r="J360" s="44">
        <f>204.7304</f>
        <v>204.7304</v>
      </c>
    </row>
    <row r="361" spans="1:10" ht="15.75" x14ac:dyDescent="0.25">
      <c r="A361" s="33">
        <v>51925</v>
      </c>
      <c r="B361" s="14">
        <f>33.968 * CHOOSE(CONTROL!$C$15, $E$9, 100%, $G$9) + CHOOSE(CONTROL!$C$38, 0.0256, 0)</f>
        <v>33.993600000000001</v>
      </c>
      <c r="C361" s="14">
        <f>32.1637 * CHOOSE(CONTROL!$C$15, $E$9, 100%, $G$9) + CHOOSE(CONTROL!$C$38, 0.0347, 0)</f>
        <v>32.198399999999999</v>
      </c>
      <c r="D361" s="14">
        <f>32.1559 * CHOOSE(CONTROL!$C$15, $E$9, 100%, $G$9) + CHOOSE(CONTROL!$C$38, 0.0347, 0)</f>
        <v>32.190600000000003</v>
      </c>
      <c r="E361" s="46">
        <f>33.8118 * CHOOSE(CONTROL!$C$15, $E$9, 100%, $G$9) + CHOOSE(CONTROL!$C$38, 0.0347, 0)</f>
        <v>33.846499999999999</v>
      </c>
      <c r="F361" s="45">
        <f>33.8118 * CHOOSE(CONTROL!$C$15, $E$9, 100%, $G$9) + CHOOSE(CONTROL!$C$38, 0.0256, 0)</f>
        <v>33.837399999999995</v>
      </c>
      <c r="G361" s="14">
        <f>32.1621 * CHOOSE(CONTROL!$C$15, $E$9, 100%, $G$9) + CHOOSE(CONTROL!$C$38, 0.0347, 0)</f>
        <v>32.196800000000003</v>
      </c>
      <c r="H361" s="14">
        <f>32.1621 * CHOOSE(CONTROL!$C$15, $E$9, 100%, $G$9) + CHOOSE(CONTROL!$C$38, 0.0347, 0)</f>
        <v>32.196800000000003</v>
      </c>
      <c r="I361" s="14">
        <f>32.1637 * CHOOSE(CONTROL!$C$15, $E$9, 100%, $G$9) + CHOOSE(CONTROL!$C$38, 0.0347, 0)</f>
        <v>32.198399999999999</v>
      </c>
      <c r="J361" s="44">
        <f>204.1613</f>
        <v>204.16130000000001</v>
      </c>
    </row>
    <row r="362" spans="1:10" ht="15.75" x14ac:dyDescent="0.25">
      <c r="A362" s="33">
        <v>51956</v>
      </c>
      <c r="B362" s="14">
        <f>33.171 * CHOOSE(CONTROL!$C$15, $E$9, 100%, $G$9) + CHOOSE(CONTROL!$C$38, 0.0256, 0)</f>
        <v>33.196599999999997</v>
      </c>
      <c r="C362" s="14">
        <f>31.3666 * CHOOSE(CONTROL!$C$15, $E$9, 100%, $G$9) + CHOOSE(CONTROL!$C$38, 0.0347, 0)</f>
        <v>31.401299999999999</v>
      </c>
      <c r="D362" s="14">
        <f>31.3588 * CHOOSE(CONTROL!$C$15, $E$9, 100%, $G$9) + CHOOSE(CONTROL!$C$38, 0.0347, 0)</f>
        <v>31.3935</v>
      </c>
      <c r="E362" s="46">
        <f>33.0147 * CHOOSE(CONTROL!$C$15, $E$9, 100%, $G$9) + CHOOSE(CONTROL!$C$38, 0.0347, 0)</f>
        <v>33.049399999999999</v>
      </c>
      <c r="F362" s="45">
        <f>33.0147 * CHOOSE(CONTROL!$C$15, $E$9, 100%, $G$9) + CHOOSE(CONTROL!$C$38, 0.0256, 0)</f>
        <v>33.040299999999995</v>
      </c>
      <c r="G362" s="14">
        <f>31.3651 * CHOOSE(CONTROL!$C$15, $E$9, 100%, $G$9) + CHOOSE(CONTROL!$C$38, 0.0347, 0)</f>
        <v>31.399800000000003</v>
      </c>
      <c r="H362" s="14">
        <f>31.3651 * CHOOSE(CONTROL!$C$15, $E$9, 100%, $G$9) + CHOOSE(CONTROL!$C$38, 0.0347, 0)</f>
        <v>31.399800000000003</v>
      </c>
      <c r="I362" s="14">
        <f>31.3666 * CHOOSE(CONTROL!$C$15, $E$9, 100%, $G$9) + CHOOSE(CONTROL!$C$38, 0.0347, 0)</f>
        <v>31.401299999999999</v>
      </c>
      <c r="J362" s="44">
        <f>214.9218</f>
        <v>214.92179999999999</v>
      </c>
    </row>
    <row r="363" spans="1:10" ht="15.75" x14ac:dyDescent="0.25">
      <c r="A363" s="33">
        <v>51986</v>
      </c>
      <c r="B363" s="14">
        <f>32.3987 * CHOOSE(CONTROL!$C$15, $E$9, 100%, $G$9) + CHOOSE(CONTROL!$C$38, 0.0256, 0)</f>
        <v>32.424299999999995</v>
      </c>
      <c r="C363" s="14">
        <f>30.5943 * CHOOSE(CONTROL!$C$15, $E$9, 100%, $G$9) + CHOOSE(CONTROL!$C$38, 0.0347, 0)</f>
        <v>30.629000000000001</v>
      </c>
      <c r="D363" s="14">
        <f>30.5865 * CHOOSE(CONTROL!$C$15, $E$9, 100%, $G$9) + CHOOSE(CONTROL!$C$38, 0.0347, 0)</f>
        <v>30.621200000000002</v>
      </c>
      <c r="E363" s="46">
        <f>32.2424 * CHOOSE(CONTROL!$C$15, $E$9, 100%, $G$9) + CHOOSE(CONTROL!$C$38, 0.0347, 0)</f>
        <v>32.277100000000004</v>
      </c>
      <c r="F363" s="45">
        <f>32.2424 * CHOOSE(CONTROL!$C$15, $E$9, 100%, $G$9) + CHOOSE(CONTROL!$C$38, 0.0256, 0)</f>
        <v>32.268000000000001</v>
      </c>
      <c r="G363" s="14">
        <f>30.5928 * CHOOSE(CONTROL!$C$15, $E$9, 100%, $G$9) + CHOOSE(CONTROL!$C$38, 0.0347, 0)</f>
        <v>30.627500000000001</v>
      </c>
      <c r="H363" s="14">
        <f>30.5928 * CHOOSE(CONTROL!$C$15, $E$9, 100%, $G$9) + CHOOSE(CONTROL!$C$38, 0.0347, 0)</f>
        <v>30.627500000000001</v>
      </c>
      <c r="I363" s="14">
        <f>30.5943 * CHOOSE(CONTROL!$C$15, $E$9, 100%, $G$9) + CHOOSE(CONTROL!$C$38, 0.0347, 0)</f>
        <v>30.629000000000001</v>
      </c>
      <c r="J363" s="44">
        <f>228.8756</f>
        <v>228.87559999999999</v>
      </c>
    </row>
    <row r="364" spans="1:10" ht="15.75" x14ac:dyDescent="0.25">
      <c r="A364" s="33">
        <v>52017</v>
      </c>
      <c r="B364" s="14">
        <f>31.5937 * CHOOSE(CONTROL!$C$15, $E$9, 100%, $G$9) + CHOOSE(CONTROL!$C$38, 0.0278, 0)</f>
        <v>31.621499999999997</v>
      </c>
      <c r="C364" s="14">
        <f>29.7894 * CHOOSE(CONTROL!$C$15, $E$9, 100%, $G$9) + CHOOSE(CONTROL!$C$38, 0.0369, 0)</f>
        <v>29.8263</v>
      </c>
      <c r="D364" s="14">
        <f>29.7816 * CHOOSE(CONTROL!$C$15, $E$9, 100%, $G$9) + CHOOSE(CONTROL!$C$38, 0.0369, 0)</f>
        <v>29.8185</v>
      </c>
      <c r="E364" s="46">
        <f>31.4375 * CHOOSE(CONTROL!$C$15, $E$9, 100%, $G$9) + CHOOSE(CONTROL!$C$38, 0.0369, 0)</f>
        <v>31.474399999999999</v>
      </c>
      <c r="F364" s="45">
        <f>31.4375 * CHOOSE(CONTROL!$C$15, $E$9, 100%, $G$9) + CHOOSE(CONTROL!$C$38, 0.0278, 0)</f>
        <v>31.465299999999999</v>
      </c>
      <c r="G364" s="14">
        <f>29.7878 * CHOOSE(CONTROL!$C$15, $E$9, 100%, $G$9) + CHOOSE(CONTROL!$C$38, 0.0369, 0)</f>
        <v>29.8247</v>
      </c>
      <c r="H364" s="14">
        <f>29.7878 * CHOOSE(CONTROL!$C$15, $E$9, 100%, $G$9) + CHOOSE(CONTROL!$C$38, 0.0369, 0)</f>
        <v>29.8247</v>
      </c>
      <c r="I364" s="14">
        <f>29.7894 * CHOOSE(CONTROL!$C$15, $E$9, 100%, $G$9) + CHOOSE(CONTROL!$C$38, 0.0369, 0)</f>
        <v>29.8263</v>
      </c>
      <c r="J364" s="44">
        <f>236.5562</f>
        <v>236.55619999999999</v>
      </c>
    </row>
    <row r="365" spans="1:10" ht="15.75" x14ac:dyDescent="0.25">
      <c r="A365" s="33">
        <v>52047</v>
      </c>
      <c r="B365" s="14">
        <f>31.0294 * CHOOSE(CONTROL!$C$15, $E$9, 100%, $G$9) + CHOOSE(CONTROL!$C$38, 0.0278, 0)</f>
        <v>31.057199999999998</v>
      </c>
      <c r="C365" s="14">
        <f>29.225 * CHOOSE(CONTROL!$C$15, $E$9, 100%, $G$9) + CHOOSE(CONTROL!$C$38, 0.0369, 0)</f>
        <v>29.261900000000001</v>
      </c>
      <c r="D365" s="14">
        <f>29.2172 * CHOOSE(CONTROL!$C$15, $E$9, 100%, $G$9) + CHOOSE(CONTROL!$C$38, 0.0369, 0)</f>
        <v>29.254099999999998</v>
      </c>
      <c r="E365" s="46">
        <f>30.8731 * CHOOSE(CONTROL!$C$15, $E$9, 100%, $G$9) + CHOOSE(CONTROL!$C$38, 0.0369, 0)</f>
        <v>30.91</v>
      </c>
      <c r="F365" s="45">
        <f>30.8731 * CHOOSE(CONTROL!$C$15, $E$9, 100%, $G$9) + CHOOSE(CONTROL!$C$38, 0.0278, 0)</f>
        <v>30.9009</v>
      </c>
      <c r="G365" s="14">
        <f>29.2235 * CHOOSE(CONTROL!$C$15, $E$9, 100%, $G$9) + CHOOSE(CONTROL!$C$38, 0.0369, 0)</f>
        <v>29.260400000000001</v>
      </c>
      <c r="H365" s="14">
        <f>29.2235 * CHOOSE(CONTROL!$C$15, $E$9, 100%, $G$9) + CHOOSE(CONTROL!$C$38, 0.0369, 0)</f>
        <v>29.260400000000001</v>
      </c>
      <c r="I365" s="14">
        <f>29.225 * CHOOSE(CONTROL!$C$15, $E$9, 100%, $G$9) + CHOOSE(CONTROL!$C$38, 0.0369, 0)</f>
        <v>29.261900000000001</v>
      </c>
      <c r="J365" s="44">
        <f>239.9647</f>
        <v>239.96469999999999</v>
      </c>
    </row>
    <row r="366" spans="1:10" ht="15.75" x14ac:dyDescent="0.25">
      <c r="A366" s="33">
        <v>52078</v>
      </c>
      <c r="B366" s="14">
        <f>30.7073 * CHOOSE(CONTROL!$C$15, $E$9, 100%, $G$9) + CHOOSE(CONTROL!$C$38, 0.0278, 0)</f>
        <v>30.735099999999999</v>
      </c>
      <c r="C366" s="14">
        <f>28.903 * CHOOSE(CONTROL!$C$15, $E$9, 100%, $G$9) + CHOOSE(CONTROL!$C$38, 0.0369, 0)</f>
        <v>28.939899999999998</v>
      </c>
      <c r="D366" s="14">
        <f>28.8952 * CHOOSE(CONTROL!$C$15, $E$9, 100%, $G$9) + CHOOSE(CONTROL!$C$38, 0.0369, 0)</f>
        <v>28.932099999999998</v>
      </c>
      <c r="E366" s="46">
        <f>30.5511 * CHOOSE(CONTROL!$C$15, $E$9, 100%, $G$9) + CHOOSE(CONTROL!$C$38, 0.0369, 0)</f>
        <v>30.588000000000001</v>
      </c>
      <c r="F366" s="45">
        <f>30.5511 * CHOOSE(CONTROL!$C$15, $E$9, 100%, $G$9) + CHOOSE(CONTROL!$C$38, 0.0278, 0)</f>
        <v>30.578900000000001</v>
      </c>
      <c r="G366" s="14">
        <f>28.9014 * CHOOSE(CONTROL!$C$15, $E$9, 100%, $G$9) + CHOOSE(CONTROL!$C$38, 0.0369, 0)</f>
        <v>28.938299999999998</v>
      </c>
      <c r="H366" s="14">
        <f>28.9014 * CHOOSE(CONTROL!$C$15, $E$9, 100%, $G$9) + CHOOSE(CONTROL!$C$38, 0.0369, 0)</f>
        <v>28.938299999999998</v>
      </c>
      <c r="I366" s="14">
        <f>28.903 * CHOOSE(CONTROL!$C$15, $E$9, 100%, $G$9) + CHOOSE(CONTROL!$C$38, 0.0369, 0)</f>
        <v>28.939899999999998</v>
      </c>
      <c r="J366" s="44">
        <f>238.8425</f>
        <v>238.8425</v>
      </c>
    </row>
    <row r="367" spans="1:10" ht="15.75" x14ac:dyDescent="0.25">
      <c r="A367" s="33">
        <v>52109</v>
      </c>
      <c r="B367" s="14">
        <f>30.8663 * CHOOSE(CONTROL!$C$15, $E$9, 100%, $G$9) + CHOOSE(CONTROL!$C$38, 0.0278, 0)</f>
        <v>30.894099999999998</v>
      </c>
      <c r="C367" s="14">
        <f>29.0619 * CHOOSE(CONTROL!$C$15, $E$9, 100%, $G$9) + CHOOSE(CONTROL!$C$38, 0.0369, 0)</f>
        <v>29.098800000000001</v>
      </c>
      <c r="D367" s="14">
        <f>29.0541 * CHOOSE(CONTROL!$C$15, $E$9, 100%, $G$9) + CHOOSE(CONTROL!$C$38, 0.0369, 0)</f>
        <v>29.090999999999998</v>
      </c>
      <c r="E367" s="46">
        <f>30.71 * CHOOSE(CONTROL!$C$15, $E$9, 100%, $G$9) + CHOOSE(CONTROL!$C$38, 0.0369, 0)</f>
        <v>30.7469</v>
      </c>
      <c r="F367" s="45">
        <f>30.71 * CHOOSE(CONTROL!$C$15, $E$9, 100%, $G$9) + CHOOSE(CONTROL!$C$38, 0.0278, 0)</f>
        <v>30.7378</v>
      </c>
      <c r="G367" s="14">
        <f>29.0604 * CHOOSE(CONTROL!$C$15, $E$9, 100%, $G$9) + CHOOSE(CONTROL!$C$38, 0.0369, 0)</f>
        <v>29.097300000000001</v>
      </c>
      <c r="H367" s="14">
        <f>29.0604 * CHOOSE(CONTROL!$C$15, $E$9, 100%, $G$9) + CHOOSE(CONTROL!$C$38, 0.0369, 0)</f>
        <v>29.097300000000001</v>
      </c>
      <c r="I367" s="14">
        <f>29.0619 * CHOOSE(CONTROL!$C$15, $E$9, 100%, $G$9) + CHOOSE(CONTROL!$C$38, 0.0369, 0)</f>
        <v>29.098800000000001</v>
      </c>
      <c r="J367" s="44">
        <f>233.2823</f>
        <v>233.28229999999999</v>
      </c>
    </row>
    <row r="368" spans="1:10" ht="15.75" x14ac:dyDescent="0.25">
      <c r="A368" s="33">
        <v>52139</v>
      </c>
      <c r="B368" s="14">
        <f>31.298 * CHOOSE(CONTROL!$C$15, $E$9, 100%, $G$9) + CHOOSE(CONTROL!$C$38, 0.0278, 0)</f>
        <v>31.325799999999997</v>
      </c>
      <c r="C368" s="14">
        <f>29.4936 * CHOOSE(CONTROL!$C$15, $E$9, 100%, $G$9) + CHOOSE(CONTROL!$C$38, 0.0369, 0)</f>
        <v>29.5305</v>
      </c>
      <c r="D368" s="14">
        <f>29.4858 * CHOOSE(CONTROL!$C$15, $E$9, 100%, $G$9) + CHOOSE(CONTROL!$C$38, 0.0369, 0)</f>
        <v>29.5227</v>
      </c>
      <c r="E368" s="46">
        <f>31.1417 * CHOOSE(CONTROL!$C$15, $E$9, 100%, $G$9) + CHOOSE(CONTROL!$C$38, 0.0369, 0)</f>
        <v>31.178599999999999</v>
      </c>
      <c r="F368" s="45">
        <f>31.1417 * CHOOSE(CONTROL!$C$15, $E$9, 100%, $G$9) + CHOOSE(CONTROL!$C$38, 0.0278, 0)</f>
        <v>31.169499999999999</v>
      </c>
      <c r="G368" s="14">
        <f>29.4921 * CHOOSE(CONTROL!$C$15, $E$9, 100%, $G$9) + CHOOSE(CONTROL!$C$38, 0.0369, 0)</f>
        <v>29.529</v>
      </c>
      <c r="H368" s="14">
        <f>29.4921 * CHOOSE(CONTROL!$C$15, $E$9, 100%, $G$9) + CHOOSE(CONTROL!$C$38, 0.0369, 0)</f>
        <v>29.529</v>
      </c>
      <c r="I368" s="14">
        <f>29.4936 * CHOOSE(CONTROL!$C$15, $E$9, 100%, $G$9) + CHOOSE(CONTROL!$C$38, 0.0369, 0)</f>
        <v>29.5305</v>
      </c>
      <c r="J368" s="44">
        <f>225.5284</f>
        <v>225.5284</v>
      </c>
    </row>
    <row r="369" spans="1:10" ht="15.75" x14ac:dyDescent="0.25">
      <c r="A369" s="33">
        <v>52170</v>
      </c>
      <c r="B369" s="14">
        <f>31.6595 * CHOOSE(CONTROL!$C$15, $E$9, 100%, $G$9) + CHOOSE(CONTROL!$C$38, 0.0256, 0)</f>
        <v>31.685100000000002</v>
      </c>
      <c r="C369" s="14">
        <f>29.8552 * CHOOSE(CONTROL!$C$15, $E$9, 100%, $G$9) + CHOOSE(CONTROL!$C$38, 0.0347, 0)</f>
        <v>29.889900000000001</v>
      </c>
      <c r="D369" s="14">
        <f>29.8474 * CHOOSE(CONTROL!$C$15, $E$9, 100%, $G$9) + CHOOSE(CONTROL!$C$38, 0.0347, 0)</f>
        <v>29.882100000000001</v>
      </c>
      <c r="E369" s="46">
        <f>31.5033 * CHOOSE(CONTROL!$C$15, $E$9, 100%, $G$9) + CHOOSE(CONTROL!$C$38, 0.0347, 0)</f>
        <v>31.538</v>
      </c>
      <c r="F369" s="45">
        <f>31.5033 * CHOOSE(CONTROL!$C$15, $E$9, 100%, $G$9) + CHOOSE(CONTROL!$C$38, 0.0256, 0)</f>
        <v>31.5289</v>
      </c>
      <c r="G369" s="14">
        <f>29.8536 * CHOOSE(CONTROL!$C$15, $E$9, 100%, $G$9) + CHOOSE(CONTROL!$C$38, 0.0347, 0)</f>
        <v>29.888300000000001</v>
      </c>
      <c r="H369" s="14">
        <f>29.8536 * CHOOSE(CONTROL!$C$15, $E$9, 100%, $G$9) + CHOOSE(CONTROL!$C$38, 0.0347, 0)</f>
        <v>29.888300000000001</v>
      </c>
      <c r="I369" s="14">
        <f>29.8552 * CHOOSE(CONTROL!$C$15, $E$9, 100%, $G$9) + CHOOSE(CONTROL!$C$38, 0.0347, 0)</f>
        <v>29.889900000000001</v>
      </c>
      <c r="J369" s="44">
        <f>217.7294</f>
        <v>217.7294</v>
      </c>
    </row>
    <row r="370" spans="1:10" ht="15.75" x14ac:dyDescent="0.25">
      <c r="A370" s="33">
        <v>52200</v>
      </c>
      <c r="B370" s="14">
        <f>31.9612 * CHOOSE(CONTROL!$C$15, $E$9, 100%, $G$9) + CHOOSE(CONTROL!$C$38, 0.0256, 0)</f>
        <v>31.986800000000002</v>
      </c>
      <c r="C370" s="14">
        <f>30.1569 * CHOOSE(CONTROL!$C$15, $E$9, 100%, $G$9) + CHOOSE(CONTROL!$C$38, 0.0347, 0)</f>
        <v>30.191600000000001</v>
      </c>
      <c r="D370" s="14">
        <f>30.1491 * CHOOSE(CONTROL!$C$15, $E$9, 100%, $G$9) + CHOOSE(CONTROL!$C$38, 0.0347, 0)</f>
        <v>30.183800000000002</v>
      </c>
      <c r="E370" s="46">
        <f>31.805 * CHOOSE(CONTROL!$C$15, $E$9, 100%, $G$9) + CHOOSE(CONTROL!$C$38, 0.0347, 0)</f>
        <v>31.839700000000001</v>
      </c>
      <c r="F370" s="45">
        <f>31.805 * CHOOSE(CONTROL!$C$15, $E$9, 100%, $G$9) + CHOOSE(CONTROL!$C$38, 0.0256, 0)</f>
        <v>31.8306</v>
      </c>
      <c r="G370" s="14">
        <f>30.1553 * CHOOSE(CONTROL!$C$15, $E$9, 100%, $G$9) + CHOOSE(CONTROL!$C$38, 0.0347, 0)</f>
        <v>30.19</v>
      </c>
      <c r="H370" s="14">
        <f>30.1553 * CHOOSE(CONTROL!$C$15, $E$9, 100%, $G$9) + CHOOSE(CONTROL!$C$38, 0.0347, 0)</f>
        <v>30.19</v>
      </c>
      <c r="I370" s="14">
        <f>30.1569 * CHOOSE(CONTROL!$C$15, $E$9, 100%, $G$9) + CHOOSE(CONTROL!$C$38, 0.0347, 0)</f>
        <v>30.191600000000001</v>
      </c>
      <c r="J370" s="44">
        <f>216.178</f>
        <v>216.178</v>
      </c>
    </row>
    <row r="371" spans="1:10" ht="15.75" x14ac:dyDescent="0.25">
      <c r="A371" s="33">
        <v>52231</v>
      </c>
      <c r="B371" s="14">
        <f>32.8909 * CHOOSE(CONTROL!$C$15, $E$9, 100%, $G$9) + CHOOSE(CONTROL!$C$38, 0.0256, 0)</f>
        <v>32.916499999999999</v>
      </c>
      <c r="C371" s="14">
        <f>31.0866 * CHOOSE(CONTROL!$C$15, $E$9, 100%, $G$9) + CHOOSE(CONTROL!$C$38, 0.0347, 0)</f>
        <v>31.121300000000002</v>
      </c>
      <c r="D371" s="14">
        <f>31.0788 * CHOOSE(CONTROL!$C$15, $E$9, 100%, $G$9) + CHOOSE(CONTROL!$C$38, 0.0347, 0)</f>
        <v>31.113500000000002</v>
      </c>
      <c r="E371" s="46">
        <f>32.7347 * CHOOSE(CONTROL!$C$15, $E$9, 100%, $G$9) + CHOOSE(CONTROL!$C$38, 0.0347, 0)</f>
        <v>32.769399999999997</v>
      </c>
      <c r="F371" s="45">
        <f>32.7347 * CHOOSE(CONTROL!$C$15, $E$9, 100%, $G$9) + CHOOSE(CONTROL!$C$38, 0.0256, 0)</f>
        <v>32.760299999999994</v>
      </c>
      <c r="G371" s="14">
        <f>31.085 * CHOOSE(CONTROL!$C$15, $E$9, 100%, $G$9) + CHOOSE(CONTROL!$C$38, 0.0347, 0)</f>
        <v>31.119700000000002</v>
      </c>
      <c r="H371" s="14">
        <f>31.085 * CHOOSE(CONTROL!$C$15, $E$9, 100%, $G$9) + CHOOSE(CONTROL!$C$38, 0.0347, 0)</f>
        <v>31.119700000000002</v>
      </c>
      <c r="I371" s="14">
        <f>31.0866 * CHOOSE(CONTROL!$C$15, $E$9, 100%, $G$9) + CHOOSE(CONTROL!$C$38, 0.0347, 0)</f>
        <v>31.121300000000002</v>
      </c>
      <c r="J371" s="44">
        <f>209.7629</f>
        <v>209.7629</v>
      </c>
    </row>
    <row r="372" spans="1:10" ht="15.75" x14ac:dyDescent="0.25">
      <c r="A372" s="33">
        <v>52262</v>
      </c>
      <c r="B372" s="14">
        <f>34.1526 * CHOOSE(CONTROL!$C$15, $E$9, 100%, $G$9) + CHOOSE(CONTROL!$C$38, 0.0256, 0)</f>
        <v>34.178199999999997</v>
      </c>
      <c r="C372" s="14">
        <f>32.3205 * CHOOSE(CONTROL!$C$15, $E$9, 100%, $G$9) + CHOOSE(CONTROL!$C$38, 0.0347, 0)</f>
        <v>32.355200000000004</v>
      </c>
      <c r="D372" s="14">
        <f>32.3127 * CHOOSE(CONTROL!$C$15, $E$9, 100%, $G$9) + CHOOSE(CONTROL!$C$38, 0.0347, 0)</f>
        <v>32.3474</v>
      </c>
      <c r="E372" s="46">
        <f>33.9963 * CHOOSE(CONTROL!$C$15, $E$9, 100%, $G$9) + CHOOSE(CONTROL!$C$38, 0.0347, 0)</f>
        <v>34.030999999999999</v>
      </c>
      <c r="F372" s="45">
        <f>33.9963 * CHOOSE(CONTROL!$C$15, $E$9, 100%, $G$9) + CHOOSE(CONTROL!$C$38, 0.0256, 0)</f>
        <v>34.021899999999995</v>
      </c>
      <c r="G372" s="14">
        <f>32.319 * CHOOSE(CONTROL!$C$15, $E$9, 100%, $G$9) + CHOOSE(CONTROL!$C$38, 0.0347, 0)</f>
        <v>32.353700000000003</v>
      </c>
      <c r="H372" s="14">
        <f>32.319 * CHOOSE(CONTROL!$C$15, $E$9, 100%, $G$9) + CHOOSE(CONTROL!$C$38, 0.0347, 0)</f>
        <v>32.353700000000003</v>
      </c>
      <c r="I372" s="14">
        <f>32.3205 * CHOOSE(CONTROL!$C$15, $E$9, 100%, $G$9) + CHOOSE(CONTROL!$C$38, 0.0347, 0)</f>
        <v>32.355200000000004</v>
      </c>
      <c r="J372" s="44">
        <f>209.4924</f>
        <v>209.4924</v>
      </c>
    </row>
    <row r="373" spans="1:10" ht="15.75" x14ac:dyDescent="0.25">
      <c r="A373" s="33">
        <v>52290</v>
      </c>
      <c r="B373" s="14">
        <f>34.4969 * CHOOSE(CONTROL!$C$15, $E$9, 100%, $G$9) + CHOOSE(CONTROL!$C$38, 0.0256, 0)</f>
        <v>34.522499999999994</v>
      </c>
      <c r="C373" s="14">
        <f>32.6649 * CHOOSE(CONTROL!$C$15, $E$9, 100%, $G$9) + CHOOSE(CONTROL!$C$38, 0.0347, 0)</f>
        <v>32.699600000000004</v>
      </c>
      <c r="D373" s="14">
        <f>32.657 * CHOOSE(CONTROL!$C$15, $E$9, 100%, $G$9) + CHOOSE(CONTROL!$C$38, 0.0347, 0)</f>
        <v>32.691699999999997</v>
      </c>
      <c r="E373" s="46">
        <f>34.3406 * CHOOSE(CONTROL!$C$15, $E$9, 100%, $G$9) + CHOOSE(CONTROL!$C$38, 0.0347, 0)</f>
        <v>34.375300000000003</v>
      </c>
      <c r="F373" s="45">
        <f>34.3406 * CHOOSE(CONTROL!$C$15, $E$9, 100%, $G$9) + CHOOSE(CONTROL!$C$38, 0.0256, 0)</f>
        <v>34.366199999999999</v>
      </c>
      <c r="G373" s="14">
        <f>32.6633 * CHOOSE(CONTROL!$C$15, $E$9, 100%, $G$9) + CHOOSE(CONTROL!$C$38, 0.0347, 0)</f>
        <v>32.698</v>
      </c>
      <c r="H373" s="14">
        <f>32.6633 * CHOOSE(CONTROL!$C$15, $E$9, 100%, $G$9) + CHOOSE(CONTROL!$C$38, 0.0347, 0)</f>
        <v>32.698</v>
      </c>
      <c r="I373" s="14">
        <f>32.6649 * CHOOSE(CONTROL!$C$15, $E$9, 100%, $G$9) + CHOOSE(CONTROL!$C$38, 0.0347, 0)</f>
        <v>32.699600000000004</v>
      </c>
      <c r="J373" s="44">
        <f>208.9101</f>
        <v>208.9101</v>
      </c>
    </row>
    <row r="374" spans="1:10" ht="15.75" x14ac:dyDescent="0.25">
      <c r="A374" s="33">
        <v>52321</v>
      </c>
      <c r="B374" s="14">
        <f>33.6999 * CHOOSE(CONTROL!$C$15, $E$9, 100%, $G$9) + CHOOSE(CONTROL!$C$38, 0.0256, 0)</f>
        <v>33.725499999999997</v>
      </c>
      <c r="C374" s="14">
        <f>31.8678 * CHOOSE(CONTROL!$C$15, $E$9, 100%, $G$9) + CHOOSE(CONTROL!$C$38, 0.0347, 0)</f>
        <v>31.9025</v>
      </c>
      <c r="D374" s="14">
        <f>31.86 * CHOOSE(CONTROL!$C$15, $E$9, 100%, $G$9) + CHOOSE(CONTROL!$C$38, 0.0347, 0)</f>
        <v>31.8947</v>
      </c>
      <c r="E374" s="46">
        <f>33.5436 * CHOOSE(CONTROL!$C$15, $E$9, 100%, $G$9) + CHOOSE(CONTROL!$C$38, 0.0347, 0)</f>
        <v>33.578299999999999</v>
      </c>
      <c r="F374" s="45">
        <f>33.5436 * CHOOSE(CONTROL!$C$15, $E$9, 100%, $G$9) + CHOOSE(CONTROL!$C$38, 0.0256, 0)</f>
        <v>33.569199999999995</v>
      </c>
      <c r="G374" s="14">
        <f>31.8663 * CHOOSE(CONTROL!$C$15, $E$9, 100%, $G$9) + CHOOSE(CONTROL!$C$38, 0.0347, 0)</f>
        <v>31.901</v>
      </c>
      <c r="H374" s="14">
        <f>31.8663 * CHOOSE(CONTROL!$C$15, $E$9, 100%, $G$9) + CHOOSE(CONTROL!$C$38, 0.0347, 0)</f>
        <v>31.901</v>
      </c>
      <c r="I374" s="14">
        <f>31.8678 * CHOOSE(CONTROL!$C$15, $E$9, 100%, $G$9) + CHOOSE(CONTROL!$C$38, 0.0347, 0)</f>
        <v>31.9025</v>
      </c>
      <c r="J374" s="44">
        <f>219.9209</f>
        <v>219.92089999999999</v>
      </c>
    </row>
    <row r="375" spans="1:10" ht="15.75" x14ac:dyDescent="0.25">
      <c r="A375" s="33">
        <v>52351</v>
      </c>
      <c r="B375" s="14">
        <f>32.9275 * CHOOSE(CONTROL!$C$15, $E$9, 100%, $G$9) + CHOOSE(CONTROL!$C$38, 0.0256, 0)</f>
        <v>32.953099999999999</v>
      </c>
      <c r="C375" s="14">
        <f>31.0955 * CHOOSE(CONTROL!$C$15, $E$9, 100%, $G$9) + CHOOSE(CONTROL!$C$38, 0.0347, 0)</f>
        <v>31.130200000000002</v>
      </c>
      <c r="D375" s="14">
        <f>31.0877 * CHOOSE(CONTROL!$C$15, $E$9, 100%, $G$9) + CHOOSE(CONTROL!$C$38, 0.0347, 0)</f>
        <v>31.122400000000003</v>
      </c>
      <c r="E375" s="46">
        <f>32.7713 * CHOOSE(CONTROL!$C$15, $E$9, 100%, $G$9) + CHOOSE(CONTROL!$C$38, 0.0347, 0)</f>
        <v>32.805999999999997</v>
      </c>
      <c r="F375" s="45">
        <f>32.7713 * CHOOSE(CONTROL!$C$15, $E$9, 100%, $G$9) + CHOOSE(CONTROL!$C$38, 0.0256, 0)</f>
        <v>32.796899999999994</v>
      </c>
      <c r="G375" s="14">
        <f>31.0939 * CHOOSE(CONTROL!$C$15, $E$9, 100%, $G$9) + CHOOSE(CONTROL!$C$38, 0.0347, 0)</f>
        <v>31.128600000000002</v>
      </c>
      <c r="H375" s="14">
        <f>31.0939 * CHOOSE(CONTROL!$C$15, $E$9, 100%, $G$9) + CHOOSE(CONTROL!$C$38, 0.0347, 0)</f>
        <v>31.128600000000002</v>
      </c>
      <c r="I375" s="14">
        <f>31.0955 * CHOOSE(CONTROL!$C$15, $E$9, 100%, $G$9) + CHOOSE(CONTROL!$C$38, 0.0347, 0)</f>
        <v>31.130200000000002</v>
      </c>
      <c r="J375" s="44">
        <f>234.1992</f>
        <v>234.19919999999999</v>
      </c>
    </row>
    <row r="376" spans="1:10" ht="15.75" x14ac:dyDescent="0.25">
      <c r="A376" s="33">
        <v>52382</v>
      </c>
      <c r="B376" s="14">
        <f>32.1226 * CHOOSE(CONTROL!$C$15, $E$9, 100%, $G$9) + CHOOSE(CONTROL!$C$38, 0.0278, 0)</f>
        <v>32.150399999999998</v>
      </c>
      <c r="C376" s="14">
        <f>30.2905 * CHOOSE(CONTROL!$C$15, $E$9, 100%, $G$9) + CHOOSE(CONTROL!$C$38, 0.0369, 0)</f>
        <v>30.327400000000001</v>
      </c>
      <c r="D376" s="14">
        <f>30.2827 * CHOOSE(CONTROL!$C$15, $E$9, 100%, $G$9) + CHOOSE(CONTROL!$C$38, 0.0369, 0)</f>
        <v>30.319599999999998</v>
      </c>
      <c r="E376" s="46">
        <f>31.9663 * CHOOSE(CONTROL!$C$15, $E$9, 100%, $G$9) + CHOOSE(CONTROL!$C$38, 0.0369, 0)</f>
        <v>32.0032</v>
      </c>
      <c r="F376" s="45">
        <f>31.9663 * CHOOSE(CONTROL!$C$15, $E$9, 100%, $G$9) + CHOOSE(CONTROL!$C$38, 0.0278, 0)</f>
        <v>31.9941</v>
      </c>
      <c r="G376" s="14">
        <f>30.289 * CHOOSE(CONTROL!$C$15, $E$9, 100%, $G$9) + CHOOSE(CONTROL!$C$38, 0.0369, 0)</f>
        <v>30.325900000000001</v>
      </c>
      <c r="H376" s="14">
        <f>30.289 * CHOOSE(CONTROL!$C$15, $E$9, 100%, $G$9) + CHOOSE(CONTROL!$C$38, 0.0369, 0)</f>
        <v>30.325900000000001</v>
      </c>
      <c r="I376" s="14">
        <f>30.2905 * CHOOSE(CONTROL!$C$15, $E$9, 100%, $G$9) + CHOOSE(CONTROL!$C$38, 0.0369, 0)</f>
        <v>30.327400000000001</v>
      </c>
      <c r="J376" s="44">
        <f>242.0585</f>
        <v>242.05850000000001</v>
      </c>
    </row>
    <row r="377" spans="1:10" ht="15.75" x14ac:dyDescent="0.25">
      <c r="A377" s="33">
        <v>52412</v>
      </c>
      <c r="B377" s="14">
        <f>31.5582 * CHOOSE(CONTROL!$C$15, $E$9, 100%, $G$9) + CHOOSE(CONTROL!$C$38, 0.0278, 0)</f>
        <v>31.585999999999999</v>
      </c>
      <c r="C377" s="14">
        <f>29.7262 * CHOOSE(CONTROL!$C$15, $E$9, 100%, $G$9) + CHOOSE(CONTROL!$C$38, 0.0369, 0)</f>
        <v>29.763099999999998</v>
      </c>
      <c r="D377" s="14">
        <f>29.7184 * CHOOSE(CONTROL!$C$15, $E$9, 100%, $G$9) + CHOOSE(CONTROL!$C$38, 0.0369, 0)</f>
        <v>29.755299999999998</v>
      </c>
      <c r="E377" s="46">
        <f>31.402 * CHOOSE(CONTROL!$C$15, $E$9, 100%, $G$9) + CHOOSE(CONTROL!$C$38, 0.0369, 0)</f>
        <v>31.4389</v>
      </c>
      <c r="F377" s="45">
        <f>31.402 * CHOOSE(CONTROL!$C$15, $E$9, 100%, $G$9) + CHOOSE(CONTROL!$C$38, 0.0278, 0)</f>
        <v>31.4298</v>
      </c>
      <c r="G377" s="14">
        <f>29.7246 * CHOOSE(CONTROL!$C$15, $E$9, 100%, $G$9) + CHOOSE(CONTROL!$C$38, 0.0369, 0)</f>
        <v>29.761499999999998</v>
      </c>
      <c r="H377" s="14">
        <f>29.7246 * CHOOSE(CONTROL!$C$15, $E$9, 100%, $G$9) + CHOOSE(CONTROL!$C$38, 0.0369, 0)</f>
        <v>29.761499999999998</v>
      </c>
      <c r="I377" s="14">
        <f>29.7262 * CHOOSE(CONTROL!$C$15, $E$9, 100%, $G$9) + CHOOSE(CONTROL!$C$38, 0.0369, 0)</f>
        <v>29.763099999999998</v>
      </c>
      <c r="J377" s="44">
        <f>245.5463</f>
        <v>245.5463</v>
      </c>
    </row>
    <row r="378" spans="1:10" ht="15.75" x14ac:dyDescent="0.25">
      <c r="A378" s="33">
        <v>52443</v>
      </c>
      <c r="B378" s="14">
        <f>31.2362 * CHOOSE(CONTROL!$C$15, $E$9, 100%, $G$9) + CHOOSE(CONTROL!$C$38, 0.0278, 0)</f>
        <v>31.263999999999999</v>
      </c>
      <c r="C378" s="14">
        <f>29.4042 * CHOOSE(CONTROL!$C$15, $E$9, 100%, $G$9) + CHOOSE(CONTROL!$C$38, 0.0369, 0)</f>
        <v>29.441099999999999</v>
      </c>
      <c r="D378" s="14">
        <f>29.3963 * CHOOSE(CONTROL!$C$15, $E$9, 100%, $G$9) + CHOOSE(CONTROL!$C$38, 0.0369, 0)</f>
        <v>29.433199999999999</v>
      </c>
      <c r="E378" s="46">
        <f>31.0799 * CHOOSE(CONTROL!$C$15, $E$9, 100%, $G$9) + CHOOSE(CONTROL!$C$38, 0.0369, 0)</f>
        <v>31.116799999999998</v>
      </c>
      <c r="F378" s="45">
        <f>31.0799 * CHOOSE(CONTROL!$C$15, $E$9, 100%, $G$9) + CHOOSE(CONTROL!$C$38, 0.0278, 0)</f>
        <v>31.107699999999998</v>
      </c>
      <c r="G378" s="14">
        <f>29.4026 * CHOOSE(CONTROL!$C$15, $E$9, 100%, $G$9) + CHOOSE(CONTROL!$C$38, 0.0369, 0)</f>
        <v>29.439499999999999</v>
      </c>
      <c r="H378" s="14">
        <f>29.4026 * CHOOSE(CONTROL!$C$15, $E$9, 100%, $G$9) + CHOOSE(CONTROL!$C$38, 0.0369, 0)</f>
        <v>29.439499999999999</v>
      </c>
      <c r="I378" s="14">
        <f>29.4042 * CHOOSE(CONTROL!$C$15, $E$9, 100%, $G$9) + CHOOSE(CONTROL!$C$38, 0.0369, 0)</f>
        <v>29.441099999999999</v>
      </c>
      <c r="J378" s="44">
        <f>244.398</f>
        <v>244.398</v>
      </c>
    </row>
    <row r="379" spans="1:10" ht="15.75" x14ac:dyDescent="0.25">
      <c r="A379" s="33">
        <v>52474</v>
      </c>
      <c r="B379" s="14">
        <f>31.3951 * CHOOSE(CONTROL!$C$15, $E$9, 100%, $G$9) + CHOOSE(CONTROL!$C$38, 0.0278, 0)</f>
        <v>31.422899999999998</v>
      </c>
      <c r="C379" s="14">
        <f>29.5631 * CHOOSE(CONTROL!$C$15, $E$9, 100%, $G$9) + CHOOSE(CONTROL!$C$38, 0.0369, 0)</f>
        <v>29.599999999999998</v>
      </c>
      <c r="D379" s="14">
        <f>29.5553 * CHOOSE(CONTROL!$C$15, $E$9, 100%, $G$9) + CHOOSE(CONTROL!$C$38, 0.0369, 0)</f>
        <v>29.592199999999998</v>
      </c>
      <c r="E379" s="46">
        <f>31.2389 * CHOOSE(CONTROL!$C$15, $E$9, 100%, $G$9) + CHOOSE(CONTROL!$C$38, 0.0369, 0)</f>
        <v>31.2758</v>
      </c>
      <c r="F379" s="45">
        <f>31.2389 * CHOOSE(CONTROL!$C$15, $E$9, 100%, $G$9) + CHOOSE(CONTROL!$C$38, 0.0278, 0)</f>
        <v>31.2667</v>
      </c>
      <c r="G379" s="14">
        <f>29.5615 * CHOOSE(CONTROL!$C$15, $E$9, 100%, $G$9) + CHOOSE(CONTROL!$C$38, 0.0369, 0)</f>
        <v>29.598399999999998</v>
      </c>
      <c r="H379" s="14">
        <f>29.5615 * CHOOSE(CONTROL!$C$15, $E$9, 100%, $G$9) + CHOOSE(CONTROL!$C$38, 0.0369, 0)</f>
        <v>29.598399999999998</v>
      </c>
      <c r="I379" s="14">
        <f>29.5631 * CHOOSE(CONTROL!$C$15, $E$9, 100%, $G$9) + CHOOSE(CONTROL!$C$38, 0.0369, 0)</f>
        <v>29.599999999999998</v>
      </c>
      <c r="J379" s="44">
        <f>238.7085</f>
        <v>238.70849999999999</v>
      </c>
    </row>
    <row r="380" spans="1:10" ht="15.75" x14ac:dyDescent="0.25">
      <c r="A380" s="33">
        <v>52504</v>
      </c>
      <c r="B380" s="14">
        <f>31.8268 * CHOOSE(CONTROL!$C$15, $E$9, 100%, $G$9) + CHOOSE(CONTROL!$C$38, 0.0278, 0)</f>
        <v>31.854599999999998</v>
      </c>
      <c r="C380" s="14">
        <f>29.9948 * CHOOSE(CONTROL!$C$15, $E$9, 100%, $G$9) + CHOOSE(CONTROL!$C$38, 0.0369, 0)</f>
        <v>30.031700000000001</v>
      </c>
      <c r="D380" s="14">
        <f>29.987 * CHOOSE(CONTROL!$C$15, $E$9, 100%, $G$9) + CHOOSE(CONTROL!$C$38, 0.0369, 0)</f>
        <v>30.023899999999998</v>
      </c>
      <c r="E380" s="46">
        <f>31.6706 * CHOOSE(CONTROL!$C$15, $E$9, 100%, $G$9) + CHOOSE(CONTROL!$C$38, 0.0369, 0)</f>
        <v>31.7075</v>
      </c>
      <c r="F380" s="45">
        <f>31.6706 * CHOOSE(CONTROL!$C$15, $E$9, 100%, $G$9) + CHOOSE(CONTROL!$C$38, 0.0278, 0)</f>
        <v>31.698399999999999</v>
      </c>
      <c r="G380" s="14">
        <f>29.9932 * CHOOSE(CONTROL!$C$15, $E$9, 100%, $G$9) + CHOOSE(CONTROL!$C$38, 0.0369, 0)</f>
        <v>30.030100000000001</v>
      </c>
      <c r="H380" s="14">
        <f>29.9932 * CHOOSE(CONTROL!$C$15, $E$9, 100%, $G$9) + CHOOSE(CONTROL!$C$38, 0.0369, 0)</f>
        <v>30.030100000000001</v>
      </c>
      <c r="I380" s="14">
        <f>29.9948 * CHOOSE(CONTROL!$C$15, $E$9, 100%, $G$9) + CHOOSE(CONTROL!$C$38, 0.0369, 0)</f>
        <v>30.031700000000001</v>
      </c>
      <c r="J380" s="44">
        <f>230.7742</f>
        <v>230.77420000000001</v>
      </c>
    </row>
    <row r="381" spans="1:10" ht="15.75" x14ac:dyDescent="0.25">
      <c r="A381" s="33">
        <v>52535</v>
      </c>
      <c r="B381" s="14">
        <f>32.1884 * CHOOSE(CONTROL!$C$15, $E$9, 100%, $G$9) + CHOOSE(CONTROL!$C$38, 0.0256, 0)</f>
        <v>32.213999999999999</v>
      </c>
      <c r="C381" s="14">
        <f>30.3564 * CHOOSE(CONTROL!$C$15, $E$9, 100%, $G$9) + CHOOSE(CONTROL!$C$38, 0.0347, 0)</f>
        <v>30.391100000000002</v>
      </c>
      <c r="D381" s="14">
        <f>30.3486 * CHOOSE(CONTROL!$C$15, $E$9, 100%, $G$9) + CHOOSE(CONTROL!$C$38, 0.0347, 0)</f>
        <v>30.383300000000002</v>
      </c>
      <c r="E381" s="46">
        <f>32.0322 * CHOOSE(CONTROL!$C$15, $E$9, 100%, $G$9) + CHOOSE(CONTROL!$C$38, 0.0347, 0)</f>
        <v>32.066900000000004</v>
      </c>
      <c r="F381" s="45">
        <f>32.0322 * CHOOSE(CONTROL!$C$15, $E$9, 100%, $G$9) + CHOOSE(CONTROL!$C$38, 0.0256, 0)</f>
        <v>32.0578</v>
      </c>
      <c r="G381" s="14">
        <f>30.3548 * CHOOSE(CONTROL!$C$15, $E$9, 100%, $G$9) + CHOOSE(CONTROL!$C$38, 0.0347, 0)</f>
        <v>30.389500000000002</v>
      </c>
      <c r="H381" s="14">
        <f>30.3548 * CHOOSE(CONTROL!$C$15, $E$9, 100%, $G$9) + CHOOSE(CONTROL!$C$38, 0.0347, 0)</f>
        <v>30.389500000000002</v>
      </c>
      <c r="I381" s="14">
        <f>30.3564 * CHOOSE(CONTROL!$C$15, $E$9, 100%, $G$9) + CHOOSE(CONTROL!$C$38, 0.0347, 0)</f>
        <v>30.391100000000002</v>
      </c>
      <c r="J381" s="44">
        <f>222.7938</f>
        <v>222.7938</v>
      </c>
    </row>
    <row r="382" spans="1:10" ht="15.75" x14ac:dyDescent="0.25">
      <c r="A382" s="33">
        <v>52565</v>
      </c>
      <c r="B382" s="14">
        <f>32.4901 * CHOOSE(CONTROL!$C$15, $E$9, 100%, $G$9) + CHOOSE(CONTROL!$C$38, 0.0256, 0)</f>
        <v>32.515699999999995</v>
      </c>
      <c r="C382" s="14">
        <f>30.6581 * CHOOSE(CONTROL!$C$15, $E$9, 100%, $G$9) + CHOOSE(CONTROL!$C$38, 0.0347, 0)</f>
        <v>30.692800000000002</v>
      </c>
      <c r="D382" s="14">
        <f>30.6503 * CHOOSE(CONTROL!$C$15, $E$9, 100%, $G$9) + CHOOSE(CONTROL!$C$38, 0.0347, 0)</f>
        <v>30.685000000000002</v>
      </c>
      <c r="E382" s="46">
        <f>32.3339 * CHOOSE(CONTROL!$C$15, $E$9, 100%, $G$9) + CHOOSE(CONTROL!$C$38, 0.0347, 0)</f>
        <v>32.368600000000001</v>
      </c>
      <c r="F382" s="45">
        <f>32.3339 * CHOOSE(CONTROL!$C$15, $E$9, 100%, $G$9) + CHOOSE(CONTROL!$C$38, 0.0256, 0)</f>
        <v>32.359499999999997</v>
      </c>
      <c r="G382" s="14">
        <f>30.6565 * CHOOSE(CONTROL!$C$15, $E$9, 100%, $G$9) + CHOOSE(CONTROL!$C$38, 0.0347, 0)</f>
        <v>30.691200000000002</v>
      </c>
      <c r="H382" s="14">
        <f>30.6565 * CHOOSE(CONTROL!$C$15, $E$9, 100%, $G$9) + CHOOSE(CONTROL!$C$38, 0.0347, 0)</f>
        <v>30.691200000000002</v>
      </c>
      <c r="I382" s="14">
        <f>30.6581 * CHOOSE(CONTROL!$C$15, $E$9, 100%, $G$9) + CHOOSE(CONTROL!$C$38, 0.0347, 0)</f>
        <v>30.692800000000002</v>
      </c>
      <c r="J382" s="44">
        <f>221.2063</f>
        <v>221.2063</v>
      </c>
    </row>
    <row r="383" spans="1:10" ht="15.75" x14ac:dyDescent="0.25">
      <c r="A383" s="33">
        <v>52596</v>
      </c>
      <c r="B383" s="14">
        <f>33.4198 * CHOOSE(CONTROL!$C$15, $E$9, 100%, $G$9) + CHOOSE(CONTROL!$C$38, 0.0256, 0)</f>
        <v>33.445399999999999</v>
      </c>
      <c r="C383" s="14">
        <f>31.5877 * CHOOSE(CONTROL!$C$15, $E$9, 100%, $G$9) + CHOOSE(CONTROL!$C$38, 0.0347, 0)</f>
        <v>31.622400000000003</v>
      </c>
      <c r="D383" s="14">
        <f>31.5799 * CHOOSE(CONTROL!$C$15, $E$9, 100%, $G$9) + CHOOSE(CONTROL!$C$38, 0.0347, 0)</f>
        <v>31.614599999999999</v>
      </c>
      <c r="E383" s="46">
        <f>33.2635 * CHOOSE(CONTROL!$C$15, $E$9, 100%, $G$9) + CHOOSE(CONTROL!$C$38, 0.0347, 0)</f>
        <v>33.298200000000001</v>
      </c>
      <c r="F383" s="45">
        <f>33.2635 * CHOOSE(CONTROL!$C$15, $E$9, 100%, $G$9) + CHOOSE(CONTROL!$C$38, 0.0256, 0)</f>
        <v>33.289099999999998</v>
      </c>
      <c r="G383" s="14">
        <f>31.5862 * CHOOSE(CONTROL!$C$15, $E$9, 100%, $G$9) + CHOOSE(CONTROL!$C$38, 0.0347, 0)</f>
        <v>31.620900000000002</v>
      </c>
      <c r="H383" s="14">
        <f>31.5862 * CHOOSE(CONTROL!$C$15, $E$9, 100%, $G$9) + CHOOSE(CONTROL!$C$38, 0.0347, 0)</f>
        <v>31.620900000000002</v>
      </c>
      <c r="I383" s="14">
        <f>31.5877 * CHOOSE(CONTROL!$C$15, $E$9, 100%, $G$9) + CHOOSE(CONTROL!$C$38, 0.0347, 0)</f>
        <v>31.622400000000003</v>
      </c>
      <c r="J383" s="44">
        <f>214.642</f>
        <v>214.642</v>
      </c>
    </row>
    <row r="384" spans="1:10" ht="15.75" x14ac:dyDescent="0.25">
      <c r="A384" s="33">
        <v>52627</v>
      </c>
      <c r="B384" s="14">
        <f>34.6903 * CHOOSE(CONTROL!$C$15, $E$9, 100%, $G$9) + CHOOSE(CONTROL!$C$38, 0.0256, 0)</f>
        <v>34.715899999999998</v>
      </c>
      <c r="C384" s="14">
        <f>32.8301 * CHOOSE(CONTROL!$C$15, $E$9, 100%, $G$9) + CHOOSE(CONTROL!$C$38, 0.0347, 0)</f>
        <v>32.864800000000002</v>
      </c>
      <c r="D384" s="14">
        <f>32.8223 * CHOOSE(CONTROL!$C$15, $E$9, 100%, $G$9) + CHOOSE(CONTROL!$C$38, 0.0347, 0)</f>
        <v>32.856999999999999</v>
      </c>
      <c r="E384" s="46">
        <f>34.5341 * CHOOSE(CONTROL!$C$15, $E$9, 100%, $G$9) + CHOOSE(CONTROL!$C$38, 0.0347, 0)</f>
        <v>34.568800000000003</v>
      </c>
      <c r="F384" s="45">
        <f>34.5341 * CHOOSE(CONTROL!$C$15, $E$9, 100%, $G$9) + CHOOSE(CONTROL!$C$38, 0.0256, 0)</f>
        <v>34.559699999999999</v>
      </c>
      <c r="G384" s="14">
        <f>32.8286 * CHOOSE(CONTROL!$C$15, $E$9, 100%, $G$9) + CHOOSE(CONTROL!$C$38, 0.0347, 0)</f>
        <v>32.863300000000002</v>
      </c>
      <c r="H384" s="14">
        <f>32.8286 * CHOOSE(CONTROL!$C$15, $E$9, 100%, $G$9) + CHOOSE(CONTROL!$C$38, 0.0347, 0)</f>
        <v>32.863300000000002</v>
      </c>
      <c r="I384" s="14">
        <f>32.8301 * CHOOSE(CONTROL!$C$15, $E$9, 100%, $G$9) + CHOOSE(CONTROL!$C$38, 0.0347, 0)</f>
        <v>32.864800000000002</v>
      </c>
      <c r="J384" s="44">
        <f>214.3652</f>
        <v>214.36519999999999</v>
      </c>
    </row>
    <row r="385" spans="1:10" ht="15.75" x14ac:dyDescent="0.25">
      <c r="A385" s="33">
        <v>52655</v>
      </c>
      <c r="B385" s="14">
        <f>35.0346 * CHOOSE(CONTROL!$C$15, $E$9, 100%, $G$9) + CHOOSE(CONTROL!$C$38, 0.0256, 0)</f>
        <v>35.060199999999995</v>
      </c>
      <c r="C385" s="14">
        <f>33.1744 * CHOOSE(CONTROL!$C$15, $E$9, 100%, $G$9) + CHOOSE(CONTROL!$C$38, 0.0347, 0)</f>
        <v>33.209099999999999</v>
      </c>
      <c r="D385" s="14">
        <f>33.1666 * CHOOSE(CONTROL!$C$15, $E$9, 100%, $G$9) + CHOOSE(CONTROL!$C$38, 0.0347, 0)</f>
        <v>33.201300000000003</v>
      </c>
      <c r="E385" s="46">
        <f>34.8784 * CHOOSE(CONTROL!$C$15, $E$9, 100%, $G$9) + CHOOSE(CONTROL!$C$38, 0.0347, 0)</f>
        <v>34.9131</v>
      </c>
      <c r="F385" s="45">
        <f>34.8784 * CHOOSE(CONTROL!$C$15, $E$9, 100%, $G$9) + CHOOSE(CONTROL!$C$38, 0.0256, 0)</f>
        <v>34.903999999999996</v>
      </c>
      <c r="G385" s="14">
        <f>33.1729 * CHOOSE(CONTROL!$C$15, $E$9, 100%, $G$9) + CHOOSE(CONTROL!$C$38, 0.0347, 0)</f>
        <v>33.207599999999999</v>
      </c>
      <c r="H385" s="14">
        <f>33.1729 * CHOOSE(CONTROL!$C$15, $E$9, 100%, $G$9) + CHOOSE(CONTROL!$C$38, 0.0347, 0)</f>
        <v>33.207599999999999</v>
      </c>
      <c r="I385" s="14">
        <f>33.1744 * CHOOSE(CONTROL!$C$15, $E$9, 100%, $G$9) + CHOOSE(CONTROL!$C$38, 0.0347, 0)</f>
        <v>33.209099999999999</v>
      </c>
      <c r="J385" s="44">
        <f>213.7694</f>
        <v>213.76939999999999</v>
      </c>
    </row>
    <row r="386" spans="1:10" ht="15.75" x14ac:dyDescent="0.25">
      <c r="A386" s="33">
        <v>52687</v>
      </c>
      <c r="B386" s="14">
        <f>34.2376 * CHOOSE(CONTROL!$C$15, $E$9, 100%, $G$9) + CHOOSE(CONTROL!$C$38, 0.0256, 0)</f>
        <v>34.263199999999998</v>
      </c>
      <c r="C386" s="14">
        <f>32.3774 * CHOOSE(CONTROL!$C$15, $E$9, 100%, $G$9) + CHOOSE(CONTROL!$C$38, 0.0347, 0)</f>
        <v>32.412100000000002</v>
      </c>
      <c r="D386" s="14">
        <f>32.3696 * CHOOSE(CONTROL!$C$15, $E$9, 100%, $G$9) + CHOOSE(CONTROL!$C$38, 0.0347, 0)</f>
        <v>32.404299999999999</v>
      </c>
      <c r="E386" s="46">
        <f>34.0813 * CHOOSE(CONTROL!$C$15, $E$9, 100%, $G$9) + CHOOSE(CONTROL!$C$38, 0.0347, 0)</f>
        <v>34.116</v>
      </c>
      <c r="F386" s="45">
        <f>34.0813 * CHOOSE(CONTROL!$C$15, $E$9, 100%, $G$9) + CHOOSE(CONTROL!$C$38, 0.0256, 0)</f>
        <v>34.106899999999996</v>
      </c>
      <c r="G386" s="14">
        <f>32.3758 * CHOOSE(CONTROL!$C$15, $E$9, 100%, $G$9) + CHOOSE(CONTROL!$C$38, 0.0347, 0)</f>
        <v>32.410499999999999</v>
      </c>
      <c r="H386" s="14">
        <f>32.3758 * CHOOSE(CONTROL!$C$15, $E$9, 100%, $G$9) + CHOOSE(CONTROL!$C$38, 0.0347, 0)</f>
        <v>32.410499999999999</v>
      </c>
      <c r="I386" s="14">
        <f>32.3774 * CHOOSE(CONTROL!$C$15, $E$9, 100%, $G$9) + CHOOSE(CONTROL!$C$38, 0.0347, 0)</f>
        <v>32.412100000000002</v>
      </c>
      <c r="J386" s="44">
        <f>225.0363</f>
        <v>225.03630000000001</v>
      </c>
    </row>
    <row r="387" spans="1:10" ht="15.75" x14ac:dyDescent="0.25">
      <c r="A387" s="33">
        <v>52717</v>
      </c>
      <c r="B387" s="14">
        <f>33.4653 * CHOOSE(CONTROL!$C$15, $E$9, 100%, $G$9) + CHOOSE(CONTROL!$C$38, 0.0256, 0)</f>
        <v>33.490899999999996</v>
      </c>
      <c r="C387" s="14">
        <f>31.6051 * CHOOSE(CONTROL!$C$15, $E$9, 100%, $G$9) + CHOOSE(CONTROL!$C$38, 0.0347, 0)</f>
        <v>31.639800000000001</v>
      </c>
      <c r="D387" s="14">
        <f>31.5973 * CHOOSE(CONTROL!$C$15, $E$9, 100%, $G$9) + CHOOSE(CONTROL!$C$38, 0.0347, 0)</f>
        <v>31.632000000000001</v>
      </c>
      <c r="E387" s="46">
        <f>33.309 * CHOOSE(CONTROL!$C$15, $E$9, 100%, $G$9) + CHOOSE(CONTROL!$C$38, 0.0347, 0)</f>
        <v>33.343699999999998</v>
      </c>
      <c r="F387" s="45">
        <f>33.309 * CHOOSE(CONTROL!$C$15, $E$9, 100%, $G$9) + CHOOSE(CONTROL!$C$38, 0.0256, 0)</f>
        <v>33.334599999999995</v>
      </c>
      <c r="G387" s="14">
        <f>31.6035 * CHOOSE(CONTROL!$C$15, $E$9, 100%, $G$9) + CHOOSE(CONTROL!$C$38, 0.0347, 0)</f>
        <v>31.638200000000001</v>
      </c>
      <c r="H387" s="14">
        <f>31.6035 * CHOOSE(CONTROL!$C$15, $E$9, 100%, $G$9) + CHOOSE(CONTROL!$C$38, 0.0347, 0)</f>
        <v>31.638200000000001</v>
      </c>
      <c r="I387" s="14">
        <f>31.6051 * CHOOSE(CONTROL!$C$15, $E$9, 100%, $G$9) + CHOOSE(CONTROL!$C$38, 0.0347, 0)</f>
        <v>31.639800000000001</v>
      </c>
      <c r="J387" s="44">
        <f>239.6467</f>
        <v>239.64670000000001</v>
      </c>
    </row>
    <row r="388" spans="1:10" ht="15.75" x14ac:dyDescent="0.25">
      <c r="A388" s="33">
        <v>52748</v>
      </c>
      <c r="B388" s="14">
        <f>32.6603 * CHOOSE(CONTROL!$C$15, $E$9, 100%, $G$9) + CHOOSE(CONTROL!$C$38, 0.0278, 0)</f>
        <v>32.688099999999999</v>
      </c>
      <c r="C388" s="14">
        <f>30.8001 * CHOOSE(CONTROL!$C$15, $E$9, 100%, $G$9) + CHOOSE(CONTROL!$C$38, 0.0369, 0)</f>
        <v>30.837</v>
      </c>
      <c r="D388" s="14">
        <f>30.7923 * CHOOSE(CONTROL!$C$15, $E$9, 100%, $G$9) + CHOOSE(CONTROL!$C$38, 0.0369, 0)</f>
        <v>30.8292</v>
      </c>
      <c r="E388" s="46">
        <f>32.5041 * CHOOSE(CONTROL!$C$15, $E$9, 100%, $G$9) + CHOOSE(CONTROL!$C$38, 0.0369, 0)</f>
        <v>32.541000000000004</v>
      </c>
      <c r="F388" s="45">
        <f>32.5041 * CHOOSE(CONTROL!$C$15, $E$9, 100%, $G$9) + CHOOSE(CONTROL!$C$38, 0.0278, 0)</f>
        <v>32.5319</v>
      </c>
      <c r="G388" s="14">
        <f>30.7986 * CHOOSE(CONTROL!$C$15, $E$9, 100%, $G$9) + CHOOSE(CONTROL!$C$38, 0.0369, 0)</f>
        <v>30.8355</v>
      </c>
      <c r="H388" s="14">
        <f>30.7986 * CHOOSE(CONTROL!$C$15, $E$9, 100%, $G$9) + CHOOSE(CONTROL!$C$38, 0.0369, 0)</f>
        <v>30.8355</v>
      </c>
      <c r="I388" s="14">
        <f>30.8001 * CHOOSE(CONTROL!$C$15, $E$9, 100%, $G$9) + CHOOSE(CONTROL!$C$38, 0.0369, 0)</f>
        <v>30.837</v>
      </c>
      <c r="J388" s="44">
        <f>247.6888</f>
        <v>247.68879999999999</v>
      </c>
    </row>
    <row r="389" spans="1:10" ht="15.75" x14ac:dyDescent="0.25">
      <c r="A389" s="33">
        <v>52778</v>
      </c>
      <c r="B389" s="14">
        <f>32.096 * CHOOSE(CONTROL!$C$15, $E$9, 100%, $G$9) + CHOOSE(CONTROL!$C$38, 0.0278, 0)</f>
        <v>32.123799999999996</v>
      </c>
      <c r="C389" s="14">
        <f>30.2358 * CHOOSE(CONTROL!$C$15, $E$9, 100%, $G$9) + CHOOSE(CONTROL!$C$38, 0.0369, 0)</f>
        <v>30.2727</v>
      </c>
      <c r="D389" s="14">
        <f>30.228 * CHOOSE(CONTROL!$C$15, $E$9, 100%, $G$9) + CHOOSE(CONTROL!$C$38, 0.0369, 0)</f>
        <v>30.264900000000001</v>
      </c>
      <c r="E389" s="46">
        <f>31.9397 * CHOOSE(CONTROL!$C$15, $E$9, 100%, $G$9) + CHOOSE(CONTROL!$C$38, 0.0369, 0)</f>
        <v>31.976599999999998</v>
      </c>
      <c r="F389" s="45">
        <f>31.9397 * CHOOSE(CONTROL!$C$15, $E$9, 100%, $G$9) + CHOOSE(CONTROL!$C$38, 0.0278, 0)</f>
        <v>31.967499999999998</v>
      </c>
      <c r="G389" s="14">
        <f>30.2342 * CHOOSE(CONTROL!$C$15, $E$9, 100%, $G$9) + CHOOSE(CONTROL!$C$38, 0.0369, 0)</f>
        <v>30.271100000000001</v>
      </c>
      <c r="H389" s="14">
        <f>30.2342 * CHOOSE(CONTROL!$C$15, $E$9, 100%, $G$9) + CHOOSE(CONTROL!$C$38, 0.0369, 0)</f>
        <v>30.271100000000001</v>
      </c>
      <c r="I389" s="14">
        <f>30.2358 * CHOOSE(CONTROL!$C$15, $E$9, 100%, $G$9) + CHOOSE(CONTROL!$C$38, 0.0369, 0)</f>
        <v>30.2727</v>
      </c>
      <c r="J389" s="44">
        <f>251.2577</f>
        <v>251.2577</v>
      </c>
    </row>
    <row r="390" spans="1:10" ht="15.75" x14ac:dyDescent="0.25">
      <c r="A390" s="33">
        <v>52809</v>
      </c>
      <c r="B390" s="14">
        <f>31.7739 * CHOOSE(CONTROL!$C$15, $E$9, 100%, $G$9) + CHOOSE(CONTROL!$C$38, 0.0278, 0)</f>
        <v>31.8017</v>
      </c>
      <c r="C390" s="14">
        <f>29.9137 * CHOOSE(CONTROL!$C$15, $E$9, 100%, $G$9) + CHOOSE(CONTROL!$C$38, 0.0369, 0)</f>
        <v>29.950599999999998</v>
      </c>
      <c r="D390" s="14">
        <f>29.9059 * CHOOSE(CONTROL!$C$15, $E$9, 100%, $G$9) + CHOOSE(CONTROL!$C$38, 0.0369, 0)</f>
        <v>29.942799999999998</v>
      </c>
      <c r="E390" s="46">
        <f>31.6177 * CHOOSE(CONTROL!$C$15, $E$9, 100%, $G$9) + CHOOSE(CONTROL!$C$38, 0.0369, 0)</f>
        <v>31.654599999999999</v>
      </c>
      <c r="F390" s="45">
        <f>31.6177 * CHOOSE(CONTROL!$C$15, $E$9, 100%, $G$9) + CHOOSE(CONTROL!$C$38, 0.0278, 0)</f>
        <v>31.645499999999998</v>
      </c>
      <c r="G390" s="14">
        <f>29.9122 * CHOOSE(CONTROL!$C$15, $E$9, 100%, $G$9) + CHOOSE(CONTROL!$C$38, 0.0369, 0)</f>
        <v>29.949099999999998</v>
      </c>
      <c r="H390" s="14">
        <f>29.9122 * CHOOSE(CONTROL!$C$15, $E$9, 100%, $G$9) + CHOOSE(CONTROL!$C$38, 0.0369, 0)</f>
        <v>29.949099999999998</v>
      </c>
      <c r="I390" s="14">
        <f>29.9137 * CHOOSE(CONTROL!$C$15, $E$9, 100%, $G$9) + CHOOSE(CONTROL!$C$38, 0.0369, 0)</f>
        <v>29.950599999999998</v>
      </c>
      <c r="J390" s="44">
        <f>250.0827</f>
        <v>250.08269999999999</v>
      </c>
    </row>
    <row r="391" spans="1:10" ht="15.75" x14ac:dyDescent="0.25">
      <c r="A391" s="33">
        <v>52840</v>
      </c>
      <c r="B391" s="14">
        <f>31.9329 * CHOOSE(CONTROL!$C$15, $E$9, 100%, $G$9) + CHOOSE(CONTROL!$C$38, 0.0278, 0)</f>
        <v>31.960699999999999</v>
      </c>
      <c r="C391" s="14">
        <f>30.0727 * CHOOSE(CONTROL!$C$15, $E$9, 100%, $G$9) + CHOOSE(CONTROL!$C$38, 0.0369, 0)</f>
        <v>30.1096</v>
      </c>
      <c r="D391" s="14">
        <f>30.0649 * CHOOSE(CONTROL!$C$15, $E$9, 100%, $G$9) + CHOOSE(CONTROL!$C$38, 0.0369, 0)</f>
        <v>30.101800000000001</v>
      </c>
      <c r="E391" s="46">
        <f>31.7766 * CHOOSE(CONTROL!$C$15, $E$9, 100%, $G$9) + CHOOSE(CONTROL!$C$38, 0.0369, 0)</f>
        <v>31.813499999999998</v>
      </c>
      <c r="F391" s="45">
        <f>31.7766 * CHOOSE(CONTROL!$C$15, $E$9, 100%, $G$9) + CHOOSE(CONTROL!$C$38, 0.0278, 0)</f>
        <v>31.804399999999998</v>
      </c>
      <c r="G391" s="14">
        <f>30.0711 * CHOOSE(CONTROL!$C$15, $E$9, 100%, $G$9) + CHOOSE(CONTROL!$C$38, 0.0369, 0)</f>
        <v>30.108000000000001</v>
      </c>
      <c r="H391" s="14">
        <f>30.0711 * CHOOSE(CONTROL!$C$15, $E$9, 100%, $G$9) + CHOOSE(CONTROL!$C$38, 0.0369, 0)</f>
        <v>30.108000000000001</v>
      </c>
      <c r="I391" s="14">
        <f>30.0727 * CHOOSE(CONTROL!$C$15, $E$9, 100%, $G$9) + CHOOSE(CONTROL!$C$38, 0.0369, 0)</f>
        <v>30.1096</v>
      </c>
      <c r="J391" s="44">
        <f>244.2608</f>
        <v>244.26079999999999</v>
      </c>
    </row>
    <row r="392" spans="1:10" ht="15.75" x14ac:dyDescent="0.25">
      <c r="A392" s="33">
        <v>52870</v>
      </c>
      <c r="B392" s="14">
        <f>32.3646 * CHOOSE(CONTROL!$C$15, $E$9, 100%, $G$9) + CHOOSE(CONTROL!$C$38, 0.0278, 0)</f>
        <v>32.392400000000002</v>
      </c>
      <c r="C392" s="14">
        <f>30.5044 * CHOOSE(CONTROL!$C$15, $E$9, 100%, $G$9) + CHOOSE(CONTROL!$C$38, 0.0369, 0)</f>
        <v>30.5413</v>
      </c>
      <c r="D392" s="14">
        <f>30.4966 * CHOOSE(CONTROL!$C$15, $E$9, 100%, $G$9) + CHOOSE(CONTROL!$C$38, 0.0369, 0)</f>
        <v>30.5335</v>
      </c>
      <c r="E392" s="46">
        <f>32.2083 * CHOOSE(CONTROL!$C$15, $E$9, 100%, $G$9) + CHOOSE(CONTROL!$C$38, 0.0369, 0)</f>
        <v>32.245200000000004</v>
      </c>
      <c r="F392" s="45">
        <f>32.2083 * CHOOSE(CONTROL!$C$15, $E$9, 100%, $G$9) + CHOOSE(CONTROL!$C$38, 0.0278, 0)</f>
        <v>32.2361</v>
      </c>
      <c r="G392" s="14">
        <f>30.5028 * CHOOSE(CONTROL!$C$15, $E$9, 100%, $G$9) + CHOOSE(CONTROL!$C$38, 0.0369, 0)</f>
        <v>30.5397</v>
      </c>
      <c r="H392" s="14">
        <f>30.5028 * CHOOSE(CONTROL!$C$15, $E$9, 100%, $G$9) + CHOOSE(CONTROL!$C$38, 0.0369, 0)</f>
        <v>30.5397</v>
      </c>
      <c r="I392" s="14">
        <f>30.5044 * CHOOSE(CONTROL!$C$15, $E$9, 100%, $G$9) + CHOOSE(CONTROL!$C$38, 0.0369, 0)</f>
        <v>30.5413</v>
      </c>
      <c r="J392" s="44">
        <f>236.142</f>
        <v>236.142</v>
      </c>
    </row>
    <row r="393" spans="1:10" ht="15.75" x14ac:dyDescent="0.25">
      <c r="A393" s="33">
        <v>52901</v>
      </c>
      <c r="B393" s="14">
        <f>32.7261 * CHOOSE(CONTROL!$C$15, $E$9, 100%, $G$9) + CHOOSE(CONTROL!$C$38, 0.0256, 0)</f>
        <v>32.7517</v>
      </c>
      <c r="C393" s="14">
        <f>30.866 * CHOOSE(CONTROL!$C$15, $E$9, 100%, $G$9) + CHOOSE(CONTROL!$C$38, 0.0347, 0)</f>
        <v>30.900700000000001</v>
      </c>
      <c r="D393" s="14">
        <f>30.8582 * CHOOSE(CONTROL!$C$15, $E$9, 100%, $G$9) + CHOOSE(CONTROL!$C$38, 0.0347, 0)</f>
        <v>30.892900000000001</v>
      </c>
      <c r="E393" s="46">
        <f>32.5699 * CHOOSE(CONTROL!$C$15, $E$9, 100%, $G$9) + CHOOSE(CONTROL!$C$38, 0.0347, 0)</f>
        <v>32.604599999999998</v>
      </c>
      <c r="F393" s="45">
        <f>32.5699 * CHOOSE(CONTROL!$C$15, $E$9, 100%, $G$9) + CHOOSE(CONTROL!$C$38, 0.0256, 0)</f>
        <v>32.595499999999994</v>
      </c>
      <c r="G393" s="14">
        <f>30.8644 * CHOOSE(CONTROL!$C$15, $E$9, 100%, $G$9) + CHOOSE(CONTROL!$C$38, 0.0347, 0)</f>
        <v>30.899100000000001</v>
      </c>
      <c r="H393" s="14">
        <f>30.8644 * CHOOSE(CONTROL!$C$15, $E$9, 100%, $G$9) + CHOOSE(CONTROL!$C$38, 0.0347, 0)</f>
        <v>30.899100000000001</v>
      </c>
      <c r="I393" s="14">
        <f>30.866 * CHOOSE(CONTROL!$C$15, $E$9, 100%, $G$9) + CHOOSE(CONTROL!$C$38, 0.0347, 0)</f>
        <v>30.900700000000001</v>
      </c>
      <c r="J393" s="44">
        <f>227.976</f>
        <v>227.976</v>
      </c>
    </row>
    <row r="394" spans="1:10" ht="15.75" x14ac:dyDescent="0.25">
      <c r="A394" s="33">
        <v>52931</v>
      </c>
      <c r="B394" s="14">
        <f>33.0279 * CHOOSE(CONTROL!$C$15, $E$9, 100%, $G$9) + CHOOSE(CONTROL!$C$38, 0.0256, 0)</f>
        <v>33.0535</v>
      </c>
      <c r="C394" s="14">
        <f>31.1677 * CHOOSE(CONTROL!$C$15, $E$9, 100%, $G$9) + CHOOSE(CONTROL!$C$38, 0.0347, 0)</f>
        <v>31.202400000000001</v>
      </c>
      <c r="D394" s="14">
        <f>31.1599 * CHOOSE(CONTROL!$C$15, $E$9, 100%, $G$9) + CHOOSE(CONTROL!$C$38, 0.0347, 0)</f>
        <v>31.194600000000001</v>
      </c>
      <c r="E394" s="46">
        <f>32.8716 * CHOOSE(CONTROL!$C$15, $E$9, 100%, $G$9) + CHOOSE(CONTROL!$C$38, 0.0347, 0)</f>
        <v>32.906300000000002</v>
      </c>
      <c r="F394" s="45">
        <f>32.8716 * CHOOSE(CONTROL!$C$15, $E$9, 100%, $G$9) + CHOOSE(CONTROL!$C$38, 0.0256, 0)</f>
        <v>32.897199999999998</v>
      </c>
      <c r="G394" s="14">
        <f>31.1661 * CHOOSE(CONTROL!$C$15, $E$9, 100%, $G$9) + CHOOSE(CONTROL!$C$38, 0.0347, 0)</f>
        <v>31.200800000000001</v>
      </c>
      <c r="H394" s="14">
        <f>31.1661 * CHOOSE(CONTROL!$C$15, $E$9, 100%, $G$9) + CHOOSE(CONTROL!$C$38, 0.0347, 0)</f>
        <v>31.200800000000001</v>
      </c>
      <c r="I394" s="14">
        <f>31.1677 * CHOOSE(CONTROL!$C$15, $E$9, 100%, $G$9) + CHOOSE(CONTROL!$C$38, 0.0347, 0)</f>
        <v>31.202400000000001</v>
      </c>
      <c r="J394" s="44">
        <f>226.3516</f>
        <v>226.35159999999999</v>
      </c>
    </row>
    <row r="395" spans="1:10" ht="15.75" x14ac:dyDescent="0.25">
      <c r="A395" s="33">
        <v>52962</v>
      </c>
      <c r="B395" s="14">
        <f>33.9575 * CHOOSE(CONTROL!$C$15, $E$9, 100%, $G$9) + CHOOSE(CONTROL!$C$38, 0.0256, 0)</f>
        <v>33.9831</v>
      </c>
      <c r="C395" s="14">
        <f>32.0973 * CHOOSE(CONTROL!$C$15, $E$9, 100%, $G$9) + CHOOSE(CONTROL!$C$38, 0.0347, 0)</f>
        <v>32.131999999999998</v>
      </c>
      <c r="D395" s="14">
        <f>32.0895 * CHOOSE(CONTROL!$C$15, $E$9, 100%, $G$9) + CHOOSE(CONTROL!$C$38, 0.0347, 0)</f>
        <v>32.124200000000002</v>
      </c>
      <c r="E395" s="46">
        <f>33.8013 * CHOOSE(CONTROL!$C$15, $E$9, 100%, $G$9) + CHOOSE(CONTROL!$C$38, 0.0347, 0)</f>
        <v>33.835999999999999</v>
      </c>
      <c r="F395" s="45">
        <f>33.8013 * CHOOSE(CONTROL!$C$15, $E$9, 100%, $G$9) + CHOOSE(CONTROL!$C$38, 0.0256, 0)</f>
        <v>33.826899999999995</v>
      </c>
      <c r="G395" s="14">
        <f>32.0958 * CHOOSE(CONTROL!$C$15, $E$9, 100%, $G$9) + CHOOSE(CONTROL!$C$38, 0.0347, 0)</f>
        <v>32.130499999999998</v>
      </c>
      <c r="H395" s="14">
        <f>32.0958 * CHOOSE(CONTROL!$C$15, $E$9, 100%, $G$9) + CHOOSE(CONTROL!$C$38, 0.0347, 0)</f>
        <v>32.130499999999998</v>
      </c>
      <c r="I395" s="14">
        <f>32.0973 * CHOOSE(CONTROL!$C$15, $E$9, 100%, $G$9) + CHOOSE(CONTROL!$C$38, 0.0347, 0)</f>
        <v>32.131999999999998</v>
      </c>
      <c r="J395" s="44">
        <f>219.6346</f>
        <v>219.63460000000001</v>
      </c>
    </row>
    <row r="396" spans="1:10" ht="15.75" x14ac:dyDescent="0.25">
      <c r="A396" s="33">
        <v>52993</v>
      </c>
      <c r="B396" s="14">
        <f>35.2371 * CHOOSE(CONTROL!$C$15, $E$9, 100%, $G$9) + CHOOSE(CONTROL!$C$38, 0.0256, 0)</f>
        <v>35.262699999999995</v>
      </c>
      <c r="C396" s="14">
        <f>33.3483 * CHOOSE(CONTROL!$C$15, $E$9, 100%, $G$9) + CHOOSE(CONTROL!$C$38, 0.0347, 0)</f>
        <v>33.383000000000003</v>
      </c>
      <c r="D396" s="14">
        <f>33.3405 * CHOOSE(CONTROL!$C$15, $E$9, 100%, $G$9) + CHOOSE(CONTROL!$C$38, 0.0347, 0)</f>
        <v>33.3752</v>
      </c>
      <c r="E396" s="46">
        <f>35.0808 * CHOOSE(CONTROL!$C$15, $E$9, 100%, $G$9) + CHOOSE(CONTROL!$C$38, 0.0347, 0)</f>
        <v>35.115500000000004</v>
      </c>
      <c r="F396" s="45">
        <f>35.0808 * CHOOSE(CONTROL!$C$15, $E$9, 100%, $G$9) + CHOOSE(CONTROL!$C$38, 0.0256, 0)</f>
        <v>35.106400000000001</v>
      </c>
      <c r="G396" s="14">
        <f>33.3467 * CHOOSE(CONTROL!$C$15, $E$9, 100%, $G$9) + CHOOSE(CONTROL!$C$38, 0.0347, 0)</f>
        <v>33.381399999999999</v>
      </c>
      <c r="H396" s="14">
        <f>33.3467 * CHOOSE(CONTROL!$C$15, $E$9, 100%, $G$9) + CHOOSE(CONTROL!$C$38, 0.0347, 0)</f>
        <v>33.381399999999999</v>
      </c>
      <c r="I396" s="14">
        <f>33.3483 * CHOOSE(CONTROL!$C$15, $E$9, 100%, $G$9) + CHOOSE(CONTROL!$C$38, 0.0347, 0)</f>
        <v>33.383000000000003</v>
      </c>
      <c r="J396" s="44">
        <f>219.3514</f>
        <v>219.35140000000001</v>
      </c>
    </row>
    <row r="397" spans="1:10" ht="15.75" x14ac:dyDescent="0.25">
      <c r="A397" s="33">
        <v>53021</v>
      </c>
      <c r="B397" s="14">
        <f>35.5814 * CHOOSE(CONTROL!$C$15, $E$9, 100%, $G$9) + CHOOSE(CONTROL!$C$38, 0.0256, 0)</f>
        <v>35.606999999999999</v>
      </c>
      <c r="C397" s="14">
        <f>33.6926 * CHOOSE(CONTROL!$C$15, $E$9, 100%, $G$9) + CHOOSE(CONTROL!$C$38, 0.0347, 0)</f>
        <v>33.7273</v>
      </c>
      <c r="D397" s="14">
        <f>33.6848 * CHOOSE(CONTROL!$C$15, $E$9, 100%, $G$9) + CHOOSE(CONTROL!$C$38, 0.0347, 0)</f>
        <v>33.719500000000004</v>
      </c>
      <c r="E397" s="46">
        <f>35.4252 * CHOOSE(CONTROL!$C$15, $E$9, 100%, $G$9) + CHOOSE(CONTROL!$C$38, 0.0347, 0)</f>
        <v>35.459899999999998</v>
      </c>
      <c r="F397" s="45">
        <f>35.4252 * CHOOSE(CONTROL!$C$15, $E$9, 100%, $G$9) + CHOOSE(CONTROL!$C$38, 0.0256, 0)</f>
        <v>35.450799999999994</v>
      </c>
      <c r="G397" s="14">
        <f>33.691 * CHOOSE(CONTROL!$C$15, $E$9, 100%, $G$9) + CHOOSE(CONTROL!$C$38, 0.0347, 0)</f>
        <v>33.725700000000003</v>
      </c>
      <c r="H397" s="14">
        <f>33.691 * CHOOSE(CONTROL!$C$15, $E$9, 100%, $G$9) + CHOOSE(CONTROL!$C$38, 0.0347, 0)</f>
        <v>33.725700000000003</v>
      </c>
      <c r="I397" s="14">
        <f>33.6926 * CHOOSE(CONTROL!$C$15, $E$9, 100%, $G$9) + CHOOSE(CONTROL!$C$38, 0.0347, 0)</f>
        <v>33.7273</v>
      </c>
      <c r="J397" s="44">
        <f>218.7417</f>
        <v>218.74170000000001</v>
      </c>
    </row>
    <row r="398" spans="1:10" ht="15.75" x14ac:dyDescent="0.25">
      <c r="A398" s="33">
        <v>53052</v>
      </c>
      <c r="B398" s="14">
        <f>34.7844 * CHOOSE(CONTROL!$C$15, $E$9, 100%, $G$9) + CHOOSE(CONTROL!$C$38, 0.0256, 0)</f>
        <v>34.809999999999995</v>
      </c>
      <c r="C398" s="14">
        <f>32.8956 * CHOOSE(CONTROL!$C$15, $E$9, 100%, $G$9) + CHOOSE(CONTROL!$C$38, 0.0347, 0)</f>
        <v>32.930300000000003</v>
      </c>
      <c r="D398" s="14">
        <f>32.8877 * CHOOSE(CONTROL!$C$15, $E$9, 100%, $G$9) + CHOOSE(CONTROL!$C$38, 0.0347, 0)</f>
        <v>32.922400000000003</v>
      </c>
      <c r="E398" s="46">
        <f>34.6281 * CHOOSE(CONTROL!$C$15, $E$9, 100%, $G$9) + CHOOSE(CONTROL!$C$38, 0.0347, 0)</f>
        <v>34.662800000000004</v>
      </c>
      <c r="F398" s="45">
        <f>34.6281 * CHOOSE(CONTROL!$C$15, $E$9, 100%, $G$9) + CHOOSE(CONTROL!$C$38, 0.0256, 0)</f>
        <v>34.653700000000001</v>
      </c>
      <c r="G398" s="14">
        <f>32.894 * CHOOSE(CONTROL!$C$15, $E$9, 100%, $G$9) + CHOOSE(CONTROL!$C$38, 0.0347, 0)</f>
        <v>32.928699999999999</v>
      </c>
      <c r="H398" s="14">
        <f>32.894 * CHOOSE(CONTROL!$C$15, $E$9, 100%, $G$9) + CHOOSE(CONTROL!$C$38, 0.0347, 0)</f>
        <v>32.928699999999999</v>
      </c>
      <c r="I398" s="14">
        <f>32.8956 * CHOOSE(CONTROL!$C$15, $E$9, 100%, $G$9) + CHOOSE(CONTROL!$C$38, 0.0347, 0)</f>
        <v>32.930300000000003</v>
      </c>
      <c r="J398" s="44">
        <f>230.2706</f>
        <v>230.2706</v>
      </c>
    </row>
    <row r="399" spans="1:10" ht="15.75" x14ac:dyDescent="0.25">
      <c r="A399" s="33">
        <v>53082</v>
      </c>
      <c r="B399" s="14">
        <f>34.0121 * CHOOSE(CONTROL!$C$15, $E$9, 100%, $G$9) + CHOOSE(CONTROL!$C$38, 0.0256, 0)</f>
        <v>34.037699999999994</v>
      </c>
      <c r="C399" s="14">
        <f>32.1232 * CHOOSE(CONTROL!$C$15, $E$9, 100%, $G$9) + CHOOSE(CONTROL!$C$38, 0.0347, 0)</f>
        <v>32.157899999999998</v>
      </c>
      <c r="D399" s="14">
        <f>32.1154 * CHOOSE(CONTROL!$C$15, $E$9, 100%, $G$9) + CHOOSE(CONTROL!$C$38, 0.0347, 0)</f>
        <v>32.150100000000002</v>
      </c>
      <c r="E399" s="46">
        <f>33.8558 * CHOOSE(CONTROL!$C$15, $E$9, 100%, $G$9) + CHOOSE(CONTROL!$C$38, 0.0347, 0)</f>
        <v>33.890500000000003</v>
      </c>
      <c r="F399" s="45">
        <f>33.8558 * CHOOSE(CONTROL!$C$15, $E$9, 100%, $G$9) + CHOOSE(CONTROL!$C$38, 0.0256, 0)</f>
        <v>33.881399999999999</v>
      </c>
      <c r="G399" s="14">
        <f>32.1217 * CHOOSE(CONTROL!$C$15, $E$9, 100%, $G$9) + CHOOSE(CONTROL!$C$38, 0.0347, 0)</f>
        <v>32.156399999999998</v>
      </c>
      <c r="H399" s="14">
        <f>32.1217 * CHOOSE(CONTROL!$C$15, $E$9, 100%, $G$9) + CHOOSE(CONTROL!$C$38, 0.0347, 0)</f>
        <v>32.156399999999998</v>
      </c>
      <c r="I399" s="14">
        <f>32.1232 * CHOOSE(CONTROL!$C$15, $E$9, 100%, $G$9) + CHOOSE(CONTROL!$C$38, 0.0347, 0)</f>
        <v>32.157899999999998</v>
      </c>
      <c r="J399" s="44">
        <f>245.2209</f>
        <v>245.2209</v>
      </c>
    </row>
    <row r="400" spans="1:10" ht="15.75" x14ac:dyDescent="0.25">
      <c r="A400" s="33">
        <v>53113</v>
      </c>
      <c r="B400" s="14">
        <f>33.2071 * CHOOSE(CONTROL!$C$15, $E$9, 100%, $G$9) + CHOOSE(CONTROL!$C$38, 0.0278, 0)</f>
        <v>33.234899999999996</v>
      </c>
      <c r="C400" s="14">
        <f>31.3183 * CHOOSE(CONTROL!$C$15, $E$9, 100%, $G$9) + CHOOSE(CONTROL!$C$38, 0.0369, 0)</f>
        <v>31.3552</v>
      </c>
      <c r="D400" s="14">
        <f>31.3105 * CHOOSE(CONTROL!$C$15, $E$9, 100%, $G$9) + CHOOSE(CONTROL!$C$38, 0.0369, 0)</f>
        <v>31.3474</v>
      </c>
      <c r="E400" s="46">
        <f>33.0508 * CHOOSE(CONTROL!$C$15, $E$9, 100%, $G$9) + CHOOSE(CONTROL!$C$38, 0.0369, 0)</f>
        <v>33.087700000000005</v>
      </c>
      <c r="F400" s="45">
        <f>33.0508 * CHOOSE(CONTROL!$C$15, $E$9, 100%, $G$9) + CHOOSE(CONTROL!$C$38, 0.0278, 0)</f>
        <v>33.078600000000002</v>
      </c>
      <c r="G400" s="14">
        <f>31.3167 * CHOOSE(CONTROL!$C$15, $E$9, 100%, $G$9) + CHOOSE(CONTROL!$C$38, 0.0369, 0)</f>
        <v>31.3536</v>
      </c>
      <c r="H400" s="14">
        <f>31.3167 * CHOOSE(CONTROL!$C$15, $E$9, 100%, $G$9) + CHOOSE(CONTROL!$C$38, 0.0369, 0)</f>
        <v>31.3536</v>
      </c>
      <c r="I400" s="14">
        <f>31.3183 * CHOOSE(CONTROL!$C$15, $E$9, 100%, $G$9) + CHOOSE(CONTROL!$C$38, 0.0369, 0)</f>
        <v>31.3552</v>
      </c>
      <c r="J400" s="44">
        <f>253.45</f>
        <v>253.45</v>
      </c>
    </row>
    <row r="401" spans="1:10" ht="15.75" x14ac:dyDescent="0.25">
      <c r="A401" s="33">
        <v>53143</v>
      </c>
      <c r="B401" s="14">
        <f>32.6428 * CHOOSE(CONTROL!$C$15, $E$9, 100%, $G$9) + CHOOSE(CONTROL!$C$38, 0.0278, 0)</f>
        <v>32.6706</v>
      </c>
      <c r="C401" s="14">
        <f>30.754 * CHOOSE(CONTROL!$C$15, $E$9, 100%, $G$9) + CHOOSE(CONTROL!$C$38, 0.0369, 0)</f>
        <v>30.790900000000001</v>
      </c>
      <c r="D401" s="14">
        <f>30.7461 * CHOOSE(CONTROL!$C$15, $E$9, 100%, $G$9) + CHOOSE(CONTROL!$C$38, 0.0369, 0)</f>
        <v>30.782999999999998</v>
      </c>
      <c r="E401" s="46">
        <f>32.4865 * CHOOSE(CONTROL!$C$15, $E$9, 100%, $G$9) + CHOOSE(CONTROL!$C$38, 0.0369, 0)</f>
        <v>32.523400000000002</v>
      </c>
      <c r="F401" s="45">
        <f>32.4865 * CHOOSE(CONTROL!$C$15, $E$9, 100%, $G$9) + CHOOSE(CONTROL!$C$38, 0.0278, 0)</f>
        <v>32.514299999999999</v>
      </c>
      <c r="G401" s="14">
        <f>30.7524 * CHOOSE(CONTROL!$C$15, $E$9, 100%, $G$9) + CHOOSE(CONTROL!$C$38, 0.0369, 0)</f>
        <v>30.789300000000001</v>
      </c>
      <c r="H401" s="14">
        <f>30.7524 * CHOOSE(CONTROL!$C$15, $E$9, 100%, $G$9) + CHOOSE(CONTROL!$C$38, 0.0369, 0)</f>
        <v>30.789300000000001</v>
      </c>
      <c r="I401" s="14">
        <f>30.754 * CHOOSE(CONTROL!$C$15, $E$9, 100%, $G$9) + CHOOSE(CONTROL!$C$38, 0.0369, 0)</f>
        <v>30.790900000000001</v>
      </c>
      <c r="J401" s="44">
        <f>257.102</f>
        <v>257.10199999999998</v>
      </c>
    </row>
    <row r="402" spans="1:10" ht="15.75" x14ac:dyDescent="0.25">
      <c r="A402" s="33">
        <v>53174</v>
      </c>
      <c r="B402" s="14">
        <f>32.3207 * CHOOSE(CONTROL!$C$15, $E$9, 100%, $G$9) + CHOOSE(CONTROL!$C$38, 0.0278, 0)</f>
        <v>32.348500000000001</v>
      </c>
      <c r="C402" s="14">
        <f>30.4319 * CHOOSE(CONTROL!$C$15, $E$9, 100%, $G$9) + CHOOSE(CONTROL!$C$38, 0.0369, 0)</f>
        <v>30.468799999999998</v>
      </c>
      <c r="D402" s="14">
        <f>30.4241 * CHOOSE(CONTROL!$C$15, $E$9, 100%, $G$9) + CHOOSE(CONTROL!$C$38, 0.0369, 0)</f>
        <v>30.460999999999999</v>
      </c>
      <c r="E402" s="46">
        <f>32.1645 * CHOOSE(CONTROL!$C$15, $E$9, 100%, $G$9) + CHOOSE(CONTROL!$C$38, 0.0369, 0)</f>
        <v>32.2014</v>
      </c>
      <c r="F402" s="45">
        <f>32.1645 * CHOOSE(CONTROL!$C$15, $E$9, 100%, $G$9) + CHOOSE(CONTROL!$C$38, 0.0278, 0)</f>
        <v>32.192299999999996</v>
      </c>
      <c r="G402" s="14">
        <f>30.4303 * CHOOSE(CONTROL!$C$15, $E$9, 100%, $G$9) + CHOOSE(CONTROL!$C$38, 0.0369, 0)</f>
        <v>30.467199999999998</v>
      </c>
      <c r="H402" s="14">
        <f>30.4303 * CHOOSE(CONTROL!$C$15, $E$9, 100%, $G$9) + CHOOSE(CONTROL!$C$38, 0.0369, 0)</f>
        <v>30.467199999999998</v>
      </c>
      <c r="I402" s="14">
        <f>30.4319 * CHOOSE(CONTROL!$C$15, $E$9, 100%, $G$9) + CHOOSE(CONTROL!$C$38, 0.0369, 0)</f>
        <v>30.468799999999998</v>
      </c>
      <c r="J402" s="44">
        <f>255.8996</f>
        <v>255.89959999999999</v>
      </c>
    </row>
    <row r="403" spans="1:10" ht="15.75" x14ac:dyDescent="0.25">
      <c r="A403" s="33">
        <v>53205</v>
      </c>
      <c r="B403" s="14">
        <f>32.4797 * CHOOSE(CONTROL!$C$15, $E$9, 100%, $G$9) + CHOOSE(CONTROL!$C$38, 0.0278, 0)</f>
        <v>32.5075</v>
      </c>
      <c r="C403" s="14">
        <f>30.5908 * CHOOSE(CONTROL!$C$15, $E$9, 100%, $G$9) + CHOOSE(CONTROL!$C$38, 0.0369, 0)</f>
        <v>30.627700000000001</v>
      </c>
      <c r="D403" s="14">
        <f>30.583 * CHOOSE(CONTROL!$C$15, $E$9, 100%, $G$9) + CHOOSE(CONTROL!$C$38, 0.0369, 0)</f>
        <v>30.619899999999998</v>
      </c>
      <c r="E403" s="46">
        <f>32.3234 * CHOOSE(CONTROL!$C$15, $E$9, 100%, $G$9) + CHOOSE(CONTROL!$C$38, 0.0369, 0)</f>
        <v>32.360300000000002</v>
      </c>
      <c r="F403" s="45">
        <f>32.3234 * CHOOSE(CONTROL!$C$15, $E$9, 100%, $G$9) + CHOOSE(CONTROL!$C$38, 0.0278, 0)</f>
        <v>32.351199999999999</v>
      </c>
      <c r="G403" s="14">
        <f>30.5893 * CHOOSE(CONTROL!$C$15, $E$9, 100%, $G$9) + CHOOSE(CONTROL!$C$38, 0.0369, 0)</f>
        <v>30.626200000000001</v>
      </c>
      <c r="H403" s="14">
        <f>30.5893 * CHOOSE(CONTROL!$C$15, $E$9, 100%, $G$9) + CHOOSE(CONTROL!$C$38, 0.0369, 0)</f>
        <v>30.626200000000001</v>
      </c>
      <c r="I403" s="14">
        <f>30.5908 * CHOOSE(CONTROL!$C$15, $E$9, 100%, $G$9) + CHOOSE(CONTROL!$C$38, 0.0369, 0)</f>
        <v>30.627700000000001</v>
      </c>
      <c r="J403" s="44">
        <f>249.9423</f>
        <v>249.94229999999999</v>
      </c>
    </row>
    <row r="404" spans="1:10" ht="15.75" x14ac:dyDescent="0.25">
      <c r="A404" s="33">
        <v>53235</v>
      </c>
      <c r="B404" s="14">
        <f>32.9114 * CHOOSE(CONTROL!$C$15, $E$9, 100%, $G$9) + CHOOSE(CONTROL!$C$38, 0.0278, 0)</f>
        <v>32.9392</v>
      </c>
      <c r="C404" s="14">
        <f>31.0225 * CHOOSE(CONTROL!$C$15, $E$9, 100%, $G$9) + CHOOSE(CONTROL!$C$38, 0.0369, 0)</f>
        <v>31.0594</v>
      </c>
      <c r="D404" s="14">
        <f>31.0147 * CHOOSE(CONTROL!$C$15, $E$9, 100%, $G$9) + CHOOSE(CONTROL!$C$38, 0.0369, 0)</f>
        <v>31.051600000000001</v>
      </c>
      <c r="E404" s="46">
        <f>32.7551 * CHOOSE(CONTROL!$C$15, $E$9, 100%, $G$9) + CHOOSE(CONTROL!$C$38, 0.0369, 0)</f>
        <v>32.792000000000002</v>
      </c>
      <c r="F404" s="45">
        <f>32.7551 * CHOOSE(CONTROL!$C$15, $E$9, 100%, $G$9) + CHOOSE(CONTROL!$C$38, 0.0278, 0)</f>
        <v>32.782899999999998</v>
      </c>
      <c r="G404" s="14">
        <f>31.021 * CHOOSE(CONTROL!$C$15, $E$9, 100%, $G$9) + CHOOSE(CONTROL!$C$38, 0.0369, 0)</f>
        <v>31.0579</v>
      </c>
      <c r="H404" s="14">
        <f>31.021 * CHOOSE(CONTROL!$C$15, $E$9, 100%, $G$9) + CHOOSE(CONTROL!$C$38, 0.0369, 0)</f>
        <v>31.0579</v>
      </c>
      <c r="I404" s="14">
        <f>31.0225 * CHOOSE(CONTROL!$C$15, $E$9, 100%, $G$9) + CHOOSE(CONTROL!$C$38, 0.0369, 0)</f>
        <v>31.0594</v>
      </c>
      <c r="J404" s="44">
        <f>241.6347</f>
        <v>241.63470000000001</v>
      </c>
    </row>
    <row r="405" spans="1:10" ht="15.75" x14ac:dyDescent="0.25">
      <c r="A405" s="33">
        <v>53266</v>
      </c>
      <c r="B405" s="14">
        <f>33.2729 * CHOOSE(CONTROL!$C$15, $E$9, 100%, $G$9) + CHOOSE(CONTROL!$C$38, 0.0256, 0)</f>
        <v>33.298499999999997</v>
      </c>
      <c r="C405" s="14">
        <f>31.3841 * CHOOSE(CONTROL!$C$15, $E$9, 100%, $G$9) + CHOOSE(CONTROL!$C$38, 0.0347, 0)</f>
        <v>31.418800000000001</v>
      </c>
      <c r="D405" s="14">
        <f>31.3763 * CHOOSE(CONTROL!$C$15, $E$9, 100%, $G$9) + CHOOSE(CONTROL!$C$38, 0.0347, 0)</f>
        <v>31.411000000000001</v>
      </c>
      <c r="E405" s="46">
        <f>33.1167 * CHOOSE(CONTROL!$C$15, $E$9, 100%, $G$9) + CHOOSE(CONTROL!$C$38, 0.0347, 0)</f>
        <v>33.151400000000002</v>
      </c>
      <c r="F405" s="45">
        <f>33.1167 * CHOOSE(CONTROL!$C$15, $E$9, 100%, $G$9) + CHOOSE(CONTROL!$C$38, 0.0256, 0)</f>
        <v>33.142299999999999</v>
      </c>
      <c r="G405" s="14">
        <f>31.3826 * CHOOSE(CONTROL!$C$15, $E$9, 100%, $G$9) + CHOOSE(CONTROL!$C$38, 0.0347, 0)</f>
        <v>31.417300000000001</v>
      </c>
      <c r="H405" s="14">
        <f>31.3826 * CHOOSE(CONTROL!$C$15, $E$9, 100%, $G$9) + CHOOSE(CONTROL!$C$38, 0.0347, 0)</f>
        <v>31.417300000000001</v>
      </c>
      <c r="I405" s="14">
        <f>31.3841 * CHOOSE(CONTROL!$C$15, $E$9, 100%, $G$9) + CHOOSE(CONTROL!$C$38, 0.0347, 0)</f>
        <v>31.418800000000001</v>
      </c>
      <c r="J405" s="44">
        <f>233.2787</f>
        <v>233.27869999999999</v>
      </c>
    </row>
    <row r="406" spans="1:10" ht="15.75" x14ac:dyDescent="0.25">
      <c r="A406" s="33">
        <v>53296</v>
      </c>
      <c r="B406" s="14">
        <f>33.5746 * CHOOSE(CONTROL!$C$15, $E$9, 100%, $G$9) + CHOOSE(CONTROL!$C$38, 0.0256, 0)</f>
        <v>33.600199999999994</v>
      </c>
      <c r="C406" s="14">
        <f>31.6858 * CHOOSE(CONTROL!$C$15, $E$9, 100%, $G$9) + CHOOSE(CONTROL!$C$38, 0.0347, 0)</f>
        <v>31.720500000000001</v>
      </c>
      <c r="D406" s="14">
        <f>31.678 * CHOOSE(CONTROL!$C$15, $E$9, 100%, $G$9) + CHOOSE(CONTROL!$C$38, 0.0347, 0)</f>
        <v>31.712700000000002</v>
      </c>
      <c r="E406" s="46">
        <f>33.4184 * CHOOSE(CONTROL!$C$15, $E$9, 100%, $G$9) + CHOOSE(CONTROL!$C$38, 0.0347, 0)</f>
        <v>33.453099999999999</v>
      </c>
      <c r="F406" s="45">
        <f>33.4184 * CHOOSE(CONTROL!$C$15, $E$9, 100%, $G$9) + CHOOSE(CONTROL!$C$38, 0.0256, 0)</f>
        <v>33.443999999999996</v>
      </c>
      <c r="G406" s="14">
        <f>31.6843 * CHOOSE(CONTROL!$C$15, $E$9, 100%, $G$9) + CHOOSE(CONTROL!$C$38, 0.0347, 0)</f>
        <v>31.719000000000001</v>
      </c>
      <c r="H406" s="14">
        <f>31.6843 * CHOOSE(CONTROL!$C$15, $E$9, 100%, $G$9) + CHOOSE(CONTROL!$C$38, 0.0347, 0)</f>
        <v>31.719000000000001</v>
      </c>
      <c r="I406" s="14">
        <f>31.6858 * CHOOSE(CONTROL!$C$15, $E$9, 100%, $G$9) + CHOOSE(CONTROL!$C$38, 0.0347, 0)</f>
        <v>31.720500000000001</v>
      </c>
      <c r="J406" s="44">
        <f>231.6165</f>
        <v>231.6165</v>
      </c>
    </row>
    <row r="407" spans="1:10" ht="15.75" x14ac:dyDescent="0.25">
      <c r="A407" s="33">
        <v>53327</v>
      </c>
      <c r="B407" s="14">
        <f>34.5043 * CHOOSE(CONTROL!$C$15, $E$9, 100%, $G$9) + CHOOSE(CONTROL!$C$38, 0.0256, 0)</f>
        <v>34.529899999999998</v>
      </c>
      <c r="C407" s="14">
        <f>32.6155 * CHOOSE(CONTROL!$C$15, $E$9, 100%, $G$9) + CHOOSE(CONTROL!$C$38, 0.0347, 0)</f>
        <v>32.650199999999998</v>
      </c>
      <c r="D407" s="14">
        <f>32.6077 * CHOOSE(CONTROL!$C$15, $E$9, 100%, $G$9) + CHOOSE(CONTROL!$C$38, 0.0347, 0)</f>
        <v>32.642400000000002</v>
      </c>
      <c r="E407" s="46">
        <f>34.348 * CHOOSE(CONTROL!$C$15, $E$9, 100%, $G$9) + CHOOSE(CONTROL!$C$38, 0.0347, 0)</f>
        <v>34.3827</v>
      </c>
      <c r="F407" s="45">
        <f>34.348 * CHOOSE(CONTROL!$C$15, $E$9, 100%, $G$9) + CHOOSE(CONTROL!$C$38, 0.0256, 0)</f>
        <v>34.373599999999996</v>
      </c>
      <c r="G407" s="14">
        <f>32.6139 * CHOOSE(CONTROL!$C$15, $E$9, 100%, $G$9) + CHOOSE(CONTROL!$C$38, 0.0347, 0)</f>
        <v>32.648600000000002</v>
      </c>
      <c r="H407" s="14">
        <f>32.6139 * CHOOSE(CONTROL!$C$15, $E$9, 100%, $G$9) + CHOOSE(CONTROL!$C$38, 0.0347, 0)</f>
        <v>32.648600000000002</v>
      </c>
      <c r="I407" s="14">
        <f>32.6155 * CHOOSE(CONTROL!$C$15, $E$9, 100%, $G$9) + CHOOSE(CONTROL!$C$38, 0.0347, 0)</f>
        <v>32.650199999999998</v>
      </c>
      <c r="J407" s="44">
        <f>224.7433</f>
        <v>224.7433</v>
      </c>
    </row>
    <row r="408" spans="1:10" ht="15.75" x14ac:dyDescent="0.25">
      <c r="A408" s="33">
        <v>53358</v>
      </c>
      <c r="B408" s="14">
        <f>35.7931 * CHOOSE(CONTROL!$C$15, $E$9, 100%, $G$9) + CHOOSE(CONTROL!$C$38, 0.0256, 0)</f>
        <v>35.8187</v>
      </c>
      <c r="C408" s="14">
        <f>33.8751 * CHOOSE(CONTROL!$C$15, $E$9, 100%, $G$9) + CHOOSE(CONTROL!$C$38, 0.0347, 0)</f>
        <v>33.909800000000004</v>
      </c>
      <c r="D408" s="14">
        <f>33.8673 * CHOOSE(CONTROL!$C$15, $E$9, 100%, $G$9) + CHOOSE(CONTROL!$C$38, 0.0347, 0)</f>
        <v>33.902000000000001</v>
      </c>
      <c r="E408" s="46">
        <f>35.6368 * CHOOSE(CONTROL!$C$15, $E$9, 100%, $G$9) + CHOOSE(CONTROL!$C$38, 0.0347, 0)</f>
        <v>35.671500000000002</v>
      </c>
      <c r="F408" s="45">
        <f>35.6368 * CHOOSE(CONTROL!$C$15, $E$9, 100%, $G$9) + CHOOSE(CONTROL!$C$38, 0.0256, 0)</f>
        <v>35.662399999999998</v>
      </c>
      <c r="G408" s="14">
        <f>33.8736 * CHOOSE(CONTROL!$C$15, $E$9, 100%, $G$9) + CHOOSE(CONTROL!$C$38, 0.0347, 0)</f>
        <v>33.908300000000004</v>
      </c>
      <c r="H408" s="14">
        <f>33.8736 * CHOOSE(CONTROL!$C$15, $E$9, 100%, $G$9) + CHOOSE(CONTROL!$C$38, 0.0347, 0)</f>
        <v>33.908300000000004</v>
      </c>
      <c r="I408" s="14">
        <f>33.8751 * CHOOSE(CONTROL!$C$15, $E$9, 100%, $G$9) + CHOOSE(CONTROL!$C$38, 0.0347, 0)</f>
        <v>33.909800000000004</v>
      </c>
      <c r="J408" s="44">
        <f>224.4535</f>
        <v>224.45349999999999</v>
      </c>
    </row>
    <row r="409" spans="1:10" ht="15.75" x14ac:dyDescent="0.25">
      <c r="A409" s="33">
        <v>53386</v>
      </c>
      <c r="B409" s="14">
        <f>36.1374 * CHOOSE(CONTROL!$C$15, $E$9, 100%, $G$9) + CHOOSE(CONTROL!$C$38, 0.0256, 0)</f>
        <v>36.162999999999997</v>
      </c>
      <c r="C409" s="14">
        <f>34.2195 * CHOOSE(CONTROL!$C$15, $E$9, 100%, $G$9) + CHOOSE(CONTROL!$C$38, 0.0347, 0)</f>
        <v>34.254199999999997</v>
      </c>
      <c r="D409" s="14">
        <f>34.2116 * CHOOSE(CONTROL!$C$15, $E$9, 100%, $G$9) + CHOOSE(CONTROL!$C$38, 0.0347, 0)</f>
        <v>34.246299999999998</v>
      </c>
      <c r="E409" s="46">
        <f>35.9811 * CHOOSE(CONTROL!$C$15, $E$9, 100%, $G$9) + CHOOSE(CONTROL!$C$38, 0.0347, 0)</f>
        <v>36.015799999999999</v>
      </c>
      <c r="F409" s="45">
        <f>35.9811 * CHOOSE(CONTROL!$C$15, $E$9, 100%, $G$9) + CHOOSE(CONTROL!$C$38, 0.0256, 0)</f>
        <v>36.006699999999995</v>
      </c>
      <c r="G409" s="14">
        <f>34.2179 * CHOOSE(CONTROL!$C$15, $E$9, 100%, $G$9) + CHOOSE(CONTROL!$C$38, 0.0347, 0)</f>
        <v>34.252600000000001</v>
      </c>
      <c r="H409" s="14">
        <f>34.2179 * CHOOSE(CONTROL!$C$15, $E$9, 100%, $G$9) + CHOOSE(CONTROL!$C$38, 0.0347, 0)</f>
        <v>34.252600000000001</v>
      </c>
      <c r="I409" s="14">
        <f>34.2195 * CHOOSE(CONTROL!$C$15, $E$9, 100%, $G$9) + CHOOSE(CONTROL!$C$38, 0.0347, 0)</f>
        <v>34.254199999999997</v>
      </c>
      <c r="J409" s="44">
        <f>223.8296</f>
        <v>223.8296</v>
      </c>
    </row>
    <row r="410" spans="1:10" ht="15.75" x14ac:dyDescent="0.25">
      <c r="A410" s="33">
        <v>53417</v>
      </c>
      <c r="B410" s="14">
        <f>35.3403 * CHOOSE(CONTROL!$C$15, $E$9, 100%, $G$9) + CHOOSE(CONTROL!$C$38, 0.0256, 0)</f>
        <v>35.365899999999996</v>
      </c>
      <c r="C410" s="14">
        <f>33.4224 * CHOOSE(CONTROL!$C$15, $E$9, 100%, $G$9) + CHOOSE(CONTROL!$C$38, 0.0347, 0)</f>
        <v>33.457100000000004</v>
      </c>
      <c r="D410" s="14">
        <f>33.4146 * CHOOSE(CONTROL!$C$15, $E$9, 100%, $G$9) + CHOOSE(CONTROL!$C$38, 0.0347, 0)</f>
        <v>33.449300000000001</v>
      </c>
      <c r="E410" s="46">
        <f>35.1841 * CHOOSE(CONTROL!$C$15, $E$9, 100%, $G$9) + CHOOSE(CONTROL!$C$38, 0.0347, 0)</f>
        <v>35.218800000000002</v>
      </c>
      <c r="F410" s="45">
        <f>35.1841 * CHOOSE(CONTROL!$C$15, $E$9, 100%, $G$9) + CHOOSE(CONTROL!$C$38, 0.0256, 0)</f>
        <v>35.209699999999998</v>
      </c>
      <c r="G410" s="14">
        <f>33.4209 * CHOOSE(CONTROL!$C$15, $E$9, 100%, $G$9) + CHOOSE(CONTROL!$C$38, 0.0347, 0)</f>
        <v>33.455600000000004</v>
      </c>
      <c r="H410" s="14">
        <f>33.4209 * CHOOSE(CONTROL!$C$15, $E$9, 100%, $G$9) + CHOOSE(CONTROL!$C$38, 0.0347, 0)</f>
        <v>33.455600000000004</v>
      </c>
      <c r="I410" s="14">
        <f>33.4224 * CHOOSE(CONTROL!$C$15, $E$9, 100%, $G$9) + CHOOSE(CONTROL!$C$38, 0.0347, 0)</f>
        <v>33.457100000000004</v>
      </c>
      <c r="J410" s="44">
        <f>235.6267</f>
        <v>235.6267</v>
      </c>
    </row>
    <row r="411" spans="1:10" ht="15.75" x14ac:dyDescent="0.25">
      <c r="A411" s="33">
        <v>53447</v>
      </c>
      <c r="B411" s="14">
        <f>34.568 * CHOOSE(CONTROL!$C$15, $E$9, 100%, $G$9) + CHOOSE(CONTROL!$C$38, 0.0256, 0)</f>
        <v>34.593599999999995</v>
      </c>
      <c r="C411" s="14">
        <f>32.6501 * CHOOSE(CONTROL!$C$15, $E$9, 100%, $G$9) + CHOOSE(CONTROL!$C$38, 0.0347, 0)</f>
        <v>32.684800000000003</v>
      </c>
      <c r="D411" s="14">
        <f>32.6423 * CHOOSE(CONTROL!$C$15, $E$9, 100%, $G$9) + CHOOSE(CONTROL!$C$38, 0.0347, 0)</f>
        <v>32.677</v>
      </c>
      <c r="E411" s="46">
        <f>34.4118 * CHOOSE(CONTROL!$C$15, $E$9, 100%, $G$9) + CHOOSE(CONTROL!$C$38, 0.0347, 0)</f>
        <v>34.4465</v>
      </c>
      <c r="F411" s="45">
        <f>34.4118 * CHOOSE(CONTROL!$C$15, $E$9, 100%, $G$9) + CHOOSE(CONTROL!$C$38, 0.0256, 0)</f>
        <v>34.437399999999997</v>
      </c>
      <c r="G411" s="14">
        <f>32.6485 * CHOOSE(CONTROL!$C$15, $E$9, 100%, $G$9) + CHOOSE(CONTROL!$C$38, 0.0347, 0)</f>
        <v>32.683199999999999</v>
      </c>
      <c r="H411" s="14">
        <f>32.6485 * CHOOSE(CONTROL!$C$15, $E$9, 100%, $G$9) + CHOOSE(CONTROL!$C$38, 0.0347, 0)</f>
        <v>32.683199999999999</v>
      </c>
      <c r="I411" s="14">
        <f>32.6501 * CHOOSE(CONTROL!$C$15, $E$9, 100%, $G$9) + CHOOSE(CONTROL!$C$38, 0.0347, 0)</f>
        <v>32.684800000000003</v>
      </c>
      <c r="J411" s="44">
        <f>250.9247</f>
        <v>250.9247</v>
      </c>
    </row>
    <row r="412" spans="1:10" ht="15.75" x14ac:dyDescent="0.25">
      <c r="A412" s="33">
        <v>53478</v>
      </c>
      <c r="B412" s="14">
        <f>33.7631 * CHOOSE(CONTROL!$C$15, $E$9, 100%, $G$9) + CHOOSE(CONTROL!$C$38, 0.0278, 0)</f>
        <v>33.790900000000001</v>
      </c>
      <c r="C412" s="14">
        <f>31.8451 * CHOOSE(CONTROL!$C$15, $E$9, 100%, $G$9) + CHOOSE(CONTROL!$C$38, 0.0369, 0)</f>
        <v>31.881999999999998</v>
      </c>
      <c r="D412" s="14">
        <f>31.8373 * CHOOSE(CONTROL!$C$15, $E$9, 100%, $G$9) + CHOOSE(CONTROL!$C$38, 0.0369, 0)</f>
        <v>31.874199999999998</v>
      </c>
      <c r="E412" s="46">
        <f>33.6068 * CHOOSE(CONTROL!$C$15, $E$9, 100%, $G$9) + CHOOSE(CONTROL!$C$38, 0.0369, 0)</f>
        <v>33.643700000000003</v>
      </c>
      <c r="F412" s="45">
        <f>33.6068 * CHOOSE(CONTROL!$C$15, $E$9, 100%, $G$9) + CHOOSE(CONTROL!$C$38, 0.0278, 0)</f>
        <v>33.634599999999999</v>
      </c>
      <c r="G412" s="14">
        <f>31.8436 * CHOOSE(CONTROL!$C$15, $E$9, 100%, $G$9) + CHOOSE(CONTROL!$C$38, 0.0369, 0)</f>
        <v>31.880499999999998</v>
      </c>
      <c r="H412" s="14">
        <f>31.8436 * CHOOSE(CONTROL!$C$15, $E$9, 100%, $G$9) + CHOOSE(CONTROL!$C$38, 0.0369, 0)</f>
        <v>31.880499999999998</v>
      </c>
      <c r="I412" s="14">
        <f>31.8451 * CHOOSE(CONTROL!$C$15, $E$9, 100%, $G$9) + CHOOSE(CONTROL!$C$38, 0.0369, 0)</f>
        <v>31.881999999999998</v>
      </c>
      <c r="J412" s="44">
        <f>259.3453</f>
        <v>259.34530000000001</v>
      </c>
    </row>
    <row r="413" spans="1:10" ht="15.75" x14ac:dyDescent="0.25">
      <c r="A413" s="33">
        <v>53508</v>
      </c>
      <c r="B413" s="14">
        <f>33.1987 * CHOOSE(CONTROL!$C$15, $E$9, 100%, $G$9) + CHOOSE(CONTROL!$C$38, 0.0278, 0)</f>
        <v>33.226500000000001</v>
      </c>
      <c r="C413" s="14">
        <f>31.2808 * CHOOSE(CONTROL!$C$15, $E$9, 100%, $G$9) + CHOOSE(CONTROL!$C$38, 0.0369, 0)</f>
        <v>31.317699999999999</v>
      </c>
      <c r="D413" s="14">
        <f>31.273 * CHOOSE(CONTROL!$C$15, $E$9, 100%, $G$9) + CHOOSE(CONTROL!$C$38, 0.0369, 0)</f>
        <v>31.309899999999999</v>
      </c>
      <c r="E413" s="46">
        <f>33.0425 * CHOOSE(CONTROL!$C$15, $E$9, 100%, $G$9) + CHOOSE(CONTROL!$C$38, 0.0369, 0)</f>
        <v>33.0794</v>
      </c>
      <c r="F413" s="45">
        <f>33.0425 * CHOOSE(CONTROL!$C$15, $E$9, 100%, $G$9) + CHOOSE(CONTROL!$C$38, 0.0278, 0)</f>
        <v>33.070299999999996</v>
      </c>
      <c r="G413" s="14">
        <f>31.2792 * CHOOSE(CONTROL!$C$15, $E$9, 100%, $G$9) + CHOOSE(CONTROL!$C$38, 0.0369, 0)</f>
        <v>31.316099999999999</v>
      </c>
      <c r="H413" s="14">
        <f>31.2792 * CHOOSE(CONTROL!$C$15, $E$9, 100%, $G$9) + CHOOSE(CONTROL!$C$38, 0.0369, 0)</f>
        <v>31.316099999999999</v>
      </c>
      <c r="I413" s="14">
        <f>31.2808 * CHOOSE(CONTROL!$C$15, $E$9, 100%, $G$9) + CHOOSE(CONTROL!$C$38, 0.0369, 0)</f>
        <v>31.317699999999999</v>
      </c>
      <c r="J413" s="44">
        <f>263.0822</f>
        <v>263.0822</v>
      </c>
    </row>
    <row r="414" spans="1:10" ht="15.75" x14ac:dyDescent="0.25">
      <c r="A414" s="33">
        <v>53539</v>
      </c>
      <c r="B414" s="14">
        <f>32.8767 * CHOOSE(CONTROL!$C$15, $E$9, 100%, $G$9) + CHOOSE(CONTROL!$C$38, 0.0278, 0)</f>
        <v>32.904499999999999</v>
      </c>
      <c r="C414" s="14">
        <f>30.9588 * CHOOSE(CONTROL!$C$15, $E$9, 100%, $G$9) + CHOOSE(CONTROL!$C$38, 0.0369, 0)</f>
        <v>30.995699999999999</v>
      </c>
      <c r="D414" s="14">
        <f>30.9509 * CHOOSE(CONTROL!$C$15, $E$9, 100%, $G$9) + CHOOSE(CONTROL!$C$38, 0.0369, 0)</f>
        <v>30.9878</v>
      </c>
      <c r="E414" s="46">
        <f>32.7204 * CHOOSE(CONTROL!$C$15, $E$9, 100%, $G$9) + CHOOSE(CONTROL!$C$38, 0.0369, 0)</f>
        <v>32.757300000000001</v>
      </c>
      <c r="F414" s="45">
        <f>32.7204 * CHOOSE(CONTROL!$C$15, $E$9, 100%, $G$9) + CHOOSE(CONTROL!$C$38, 0.0278, 0)</f>
        <v>32.748199999999997</v>
      </c>
      <c r="G414" s="14">
        <f>30.9572 * CHOOSE(CONTROL!$C$15, $E$9, 100%, $G$9) + CHOOSE(CONTROL!$C$38, 0.0369, 0)</f>
        <v>30.9941</v>
      </c>
      <c r="H414" s="14">
        <f>30.9572 * CHOOSE(CONTROL!$C$15, $E$9, 100%, $G$9) + CHOOSE(CONTROL!$C$38, 0.0369, 0)</f>
        <v>30.9941</v>
      </c>
      <c r="I414" s="14">
        <f>30.9588 * CHOOSE(CONTROL!$C$15, $E$9, 100%, $G$9) + CHOOSE(CONTROL!$C$38, 0.0369, 0)</f>
        <v>30.995699999999999</v>
      </c>
      <c r="J414" s="44">
        <f>261.8518</f>
        <v>261.85180000000003</v>
      </c>
    </row>
    <row r="415" spans="1:10" ht="15.75" x14ac:dyDescent="0.25">
      <c r="A415" s="33">
        <v>53570</v>
      </c>
      <c r="B415" s="14">
        <f>33.0356 * CHOOSE(CONTROL!$C$15, $E$9, 100%, $G$9) + CHOOSE(CONTROL!$C$38, 0.0278, 0)</f>
        <v>33.063400000000001</v>
      </c>
      <c r="C415" s="14">
        <f>31.1177 * CHOOSE(CONTROL!$C$15, $E$9, 100%, $G$9) + CHOOSE(CONTROL!$C$38, 0.0369, 0)</f>
        <v>31.154599999999999</v>
      </c>
      <c r="D415" s="14">
        <f>31.1099 * CHOOSE(CONTROL!$C$15, $E$9, 100%, $G$9) + CHOOSE(CONTROL!$C$38, 0.0369, 0)</f>
        <v>31.146799999999999</v>
      </c>
      <c r="E415" s="46">
        <f>32.8794 * CHOOSE(CONTROL!$C$15, $E$9, 100%, $G$9) + CHOOSE(CONTROL!$C$38, 0.0369, 0)</f>
        <v>32.9163</v>
      </c>
      <c r="F415" s="45">
        <f>32.8794 * CHOOSE(CONTROL!$C$15, $E$9, 100%, $G$9) + CHOOSE(CONTROL!$C$38, 0.0278, 0)</f>
        <v>32.907199999999996</v>
      </c>
      <c r="G415" s="14">
        <f>31.1161 * CHOOSE(CONTROL!$C$15, $E$9, 100%, $G$9) + CHOOSE(CONTROL!$C$38, 0.0369, 0)</f>
        <v>31.152999999999999</v>
      </c>
      <c r="H415" s="14">
        <f>31.1161 * CHOOSE(CONTROL!$C$15, $E$9, 100%, $G$9) + CHOOSE(CONTROL!$C$38, 0.0369, 0)</f>
        <v>31.152999999999999</v>
      </c>
      <c r="I415" s="14">
        <f>31.1177 * CHOOSE(CONTROL!$C$15, $E$9, 100%, $G$9) + CHOOSE(CONTROL!$C$38, 0.0369, 0)</f>
        <v>31.154599999999999</v>
      </c>
      <c r="J415" s="44">
        <f>255.756</f>
        <v>255.756</v>
      </c>
    </row>
    <row r="416" spans="1:10" ht="15.75" x14ac:dyDescent="0.25">
      <c r="A416" s="33">
        <v>53600</v>
      </c>
      <c r="B416" s="14">
        <f>33.4673 * CHOOSE(CONTROL!$C$15, $E$9, 100%, $G$9) + CHOOSE(CONTROL!$C$38, 0.0278, 0)</f>
        <v>33.495100000000001</v>
      </c>
      <c r="C416" s="14">
        <f>31.5494 * CHOOSE(CONTROL!$C$15, $E$9, 100%, $G$9) + CHOOSE(CONTROL!$C$38, 0.0369, 0)</f>
        <v>31.586299999999998</v>
      </c>
      <c r="D416" s="14">
        <f>31.5416 * CHOOSE(CONTROL!$C$15, $E$9, 100%, $G$9) + CHOOSE(CONTROL!$C$38, 0.0369, 0)</f>
        <v>31.578499999999998</v>
      </c>
      <c r="E416" s="46">
        <f>33.3111 * CHOOSE(CONTROL!$C$15, $E$9, 100%, $G$9) + CHOOSE(CONTROL!$C$38, 0.0369, 0)</f>
        <v>33.348000000000006</v>
      </c>
      <c r="F416" s="45">
        <f>33.3111 * CHOOSE(CONTROL!$C$15, $E$9, 100%, $G$9) + CHOOSE(CONTROL!$C$38, 0.0278, 0)</f>
        <v>33.338900000000002</v>
      </c>
      <c r="G416" s="14">
        <f>31.5478 * CHOOSE(CONTROL!$C$15, $E$9, 100%, $G$9) + CHOOSE(CONTROL!$C$38, 0.0369, 0)</f>
        <v>31.584699999999998</v>
      </c>
      <c r="H416" s="14">
        <f>31.5478 * CHOOSE(CONTROL!$C$15, $E$9, 100%, $G$9) + CHOOSE(CONTROL!$C$38, 0.0369, 0)</f>
        <v>31.584699999999998</v>
      </c>
      <c r="I416" s="14">
        <f>31.5494 * CHOOSE(CONTROL!$C$15, $E$9, 100%, $G$9) + CHOOSE(CONTROL!$C$38, 0.0369, 0)</f>
        <v>31.586299999999998</v>
      </c>
      <c r="J416" s="44">
        <f>247.2551</f>
        <v>247.2551</v>
      </c>
    </row>
    <row r="417" spans="1:10" ht="15.75" x14ac:dyDescent="0.25">
      <c r="A417" s="33">
        <v>53631</v>
      </c>
      <c r="B417" s="14">
        <f>33.8289 * CHOOSE(CONTROL!$C$15, $E$9, 100%, $G$9) + CHOOSE(CONTROL!$C$38, 0.0256, 0)</f>
        <v>33.854499999999994</v>
      </c>
      <c r="C417" s="14">
        <f>31.911 * CHOOSE(CONTROL!$C$15, $E$9, 100%, $G$9) + CHOOSE(CONTROL!$C$38, 0.0347, 0)</f>
        <v>31.945700000000002</v>
      </c>
      <c r="D417" s="14">
        <f>31.9032 * CHOOSE(CONTROL!$C$15, $E$9, 100%, $G$9) + CHOOSE(CONTROL!$C$38, 0.0347, 0)</f>
        <v>31.937899999999999</v>
      </c>
      <c r="E417" s="46">
        <f>33.6726 * CHOOSE(CONTROL!$C$15, $E$9, 100%, $G$9) + CHOOSE(CONTROL!$C$38, 0.0347, 0)</f>
        <v>33.707300000000004</v>
      </c>
      <c r="F417" s="45">
        <f>33.6726 * CHOOSE(CONTROL!$C$15, $E$9, 100%, $G$9) + CHOOSE(CONTROL!$C$38, 0.0256, 0)</f>
        <v>33.6982</v>
      </c>
      <c r="G417" s="14">
        <f>31.9094 * CHOOSE(CONTROL!$C$15, $E$9, 100%, $G$9) + CHOOSE(CONTROL!$C$38, 0.0347, 0)</f>
        <v>31.944100000000002</v>
      </c>
      <c r="H417" s="14">
        <f>31.9094 * CHOOSE(CONTROL!$C$15, $E$9, 100%, $G$9) + CHOOSE(CONTROL!$C$38, 0.0347, 0)</f>
        <v>31.944100000000002</v>
      </c>
      <c r="I417" s="14">
        <f>31.911 * CHOOSE(CONTROL!$C$15, $E$9, 100%, $G$9) + CHOOSE(CONTROL!$C$38, 0.0347, 0)</f>
        <v>31.945700000000002</v>
      </c>
      <c r="J417" s="44">
        <f>238.7048</f>
        <v>238.70480000000001</v>
      </c>
    </row>
    <row r="418" spans="1:10" ht="15.75" x14ac:dyDescent="0.25">
      <c r="A418" s="33">
        <v>53661</v>
      </c>
      <c r="B418" s="14">
        <f>34.1306 * CHOOSE(CONTROL!$C$15, $E$9, 100%, $G$9) + CHOOSE(CONTROL!$C$38, 0.0256, 0)</f>
        <v>34.156199999999998</v>
      </c>
      <c r="C418" s="14">
        <f>32.2127 * CHOOSE(CONTROL!$C$15, $E$9, 100%, $G$9) + CHOOSE(CONTROL!$C$38, 0.0347, 0)</f>
        <v>32.247399999999999</v>
      </c>
      <c r="D418" s="14">
        <f>32.2049 * CHOOSE(CONTROL!$C$15, $E$9, 100%, $G$9) + CHOOSE(CONTROL!$C$38, 0.0347, 0)</f>
        <v>32.239600000000003</v>
      </c>
      <c r="E418" s="46">
        <f>33.9743 * CHOOSE(CONTROL!$C$15, $E$9, 100%, $G$9) + CHOOSE(CONTROL!$C$38, 0.0347, 0)</f>
        <v>34.009</v>
      </c>
      <c r="F418" s="45">
        <f>33.9743 * CHOOSE(CONTROL!$C$15, $E$9, 100%, $G$9) + CHOOSE(CONTROL!$C$38, 0.0256, 0)</f>
        <v>33.999899999999997</v>
      </c>
      <c r="G418" s="14">
        <f>32.2111 * CHOOSE(CONTROL!$C$15, $E$9, 100%, $G$9) + CHOOSE(CONTROL!$C$38, 0.0347, 0)</f>
        <v>32.245800000000003</v>
      </c>
      <c r="H418" s="14">
        <f>32.2111 * CHOOSE(CONTROL!$C$15, $E$9, 100%, $G$9) + CHOOSE(CONTROL!$C$38, 0.0347, 0)</f>
        <v>32.245800000000003</v>
      </c>
      <c r="I418" s="14">
        <f>32.2127 * CHOOSE(CONTROL!$C$15, $E$9, 100%, $G$9) + CHOOSE(CONTROL!$C$38, 0.0347, 0)</f>
        <v>32.247399999999999</v>
      </c>
      <c r="J418" s="44">
        <f>237.0039</f>
        <v>237.00389999999999</v>
      </c>
    </row>
    <row r="419" spans="1:10" ht="15.75" x14ac:dyDescent="0.25">
      <c r="A419" s="33">
        <v>53692</v>
      </c>
      <c r="B419" s="14">
        <f>35.0603 * CHOOSE(CONTROL!$C$15, $E$9, 100%, $G$9) + CHOOSE(CONTROL!$C$38, 0.0256, 0)</f>
        <v>35.085899999999995</v>
      </c>
      <c r="C419" s="14">
        <f>33.1423 * CHOOSE(CONTROL!$C$15, $E$9, 100%, $G$9) + CHOOSE(CONTROL!$C$38, 0.0347, 0)</f>
        <v>33.177</v>
      </c>
      <c r="D419" s="14">
        <f>33.1345 * CHOOSE(CONTROL!$C$15, $E$9, 100%, $G$9) + CHOOSE(CONTROL!$C$38, 0.0347, 0)</f>
        <v>33.169200000000004</v>
      </c>
      <c r="E419" s="46">
        <f>34.904 * CHOOSE(CONTROL!$C$15, $E$9, 100%, $G$9) + CHOOSE(CONTROL!$C$38, 0.0347, 0)</f>
        <v>34.938700000000004</v>
      </c>
      <c r="F419" s="45">
        <f>34.904 * CHOOSE(CONTROL!$C$15, $E$9, 100%, $G$9) + CHOOSE(CONTROL!$C$38, 0.0256, 0)</f>
        <v>34.929600000000001</v>
      </c>
      <c r="G419" s="14">
        <f>33.1408 * CHOOSE(CONTROL!$C$15, $E$9, 100%, $G$9) + CHOOSE(CONTROL!$C$38, 0.0347, 0)</f>
        <v>33.1755</v>
      </c>
      <c r="H419" s="14">
        <f>33.1408 * CHOOSE(CONTROL!$C$15, $E$9, 100%, $G$9) + CHOOSE(CONTROL!$C$38, 0.0347, 0)</f>
        <v>33.1755</v>
      </c>
      <c r="I419" s="14">
        <f>33.1423 * CHOOSE(CONTROL!$C$15, $E$9, 100%, $G$9) + CHOOSE(CONTROL!$C$38, 0.0347, 0)</f>
        <v>33.177</v>
      </c>
      <c r="J419" s="44">
        <f>229.9708</f>
        <v>229.9708</v>
      </c>
    </row>
    <row r="420" spans="1:10" ht="15.75" x14ac:dyDescent="0.25">
      <c r="A420" s="33">
        <v>53723</v>
      </c>
      <c r="B420" s="14">
        <f>36.3584 * CHOOSE(CONTROL!$C$15, $E$9, 100%, $G$9) + CHOOSE(CONTROL!$C$38, 0.0256, 0)</f>
        <v>36.384</v>
      </c>
      <c r="C420" s="14">
        <f>34.4108 * CHOOSE(CONTROL!$C$15, $E$9, 100%, $G$9) + CHOOSE(CONTROL!$C$38, 0.0347, 0)</f>
        <v>34.445500000000003</v>
      </c>
      <c r="D420" s="14">
        <f>34.403 * CHOOSE(CONTROL!$C$15, $E$9, 100%, $G$9) + CHOOSE(CONTROL!$C$38, 0.0347, 0)</f>
        <v>34.4377</v>
      </c>
      <c r="E420" s="46">
        <f>36.2021 * CHOOSE(CONTROL!$C$15, $E$9, 100%, $G$9) + CHOOSE(CONTROL!$C$38, 0.0347, 0)</f>
        <v>36.236800000000002</v>
      </c>
      <c r="F420" s="45">
        <f>36.2021 * CHOOSE(CONTROL!$C$15, $E$9, 100%, $G$9) + CHOOSE(CONTROL!$C$38, 0.0256, 0)</f>
        <v>36.227699999999999</v>
      </c>
      <c r="G420" s="14">
        <f>34.4093 * CHOOSE(CONTROL!$C$15, $E$9, 100%, $G$9) + CHOOSE(CONTROL!$C$38, 0.0347, 0)</f>
        <v>34.444000000000003</v>
      </c>
      <c r="H420" s="14">
        <f>34.4093 * CHOOSE(CONTROL!$C$15, $E$9, 100%, $G$9) + CHOOSE(CONTROL!$C$38, 0.0347, 0)</f>
        <v>34.444000000000003</v>
      </c>
      <c r="I420" s="14">
        <f>34.4108 * CHOOSE(CONTROL!$C$15, $E$9, 100%, $G$9) + CHOOSE(CONTROL!$C$38, 0.0347, 0)</f>
        <v>34.445500000000003</v>
      </c>
      <c r="J420" s="44">
        <f>229.6743</f>
        <v>229.67429999999999</v>
      </c>
    </row>
    <row r="421" spans="1:10" ht="15.75" x14ac:dyDescent="0.25">
      <c r="A421" s="33">
        <v>53751</v>
      </c>
      <c r="B421" s="14">
        <f>36.7027 * CHOOSE(CONTROL!$C$15, $E$9, 100%, $G$9) + CHOOSE(CONTROL!$C$38, 0.0256, 0)</f>
        <v>36.728299999999997</v>
      </c>
      <c r="C421" s="14">
        <f>34.7552 * CHOOSE(CONTROL!$C$15, $E$9, 100%, $G$9) + CHOOSE(CONTROL!$C$38, 0.0347, 0)</f>
        <v>34.789900000000003</v>
      </c>
      <c r="D421" s="14">
        <f>34.7473 * CHOOSE(CONTROL!$C$15, $E$9, 100%, $G$9) + CHOOSE(CONTROL!$C$38, 0.0347, 0)</f>
        <v>34.782000000000004</v>
      </c>
      <c r="E421" s="46">
        <f>36.5464 * CHOOSE(CONTROL!$C$15, $E$9, 100%, $G$9) + CHOOSE(CONTROL!$C$38, 0.0347, 0)</f>
        <v>36.581099999999999</v>
      </c>
      <c r="F421" s="45">
        <f>36.5464 * CHOOSE(CONTROL!$C$15, $E$9, 100%, $G$9) + CHOOSE(CONTROL!$C$38, 0.0256, 0)</f>
        <v>36.571999999999996</v>
      </c>
      <c r="G421" s="14">
        <f>34.7536 * CHOOSE(CONTROL!$C$15, $E$9, 100%, $G$9) + CHOOSE(CONTROL!$C$38, 0.0347, 0)</f>
        <v>34.7883</v>
      </c>
      <c r="H421" s="14">
        <f>34.7536 * CHOOSE(CONTROL!$C$15, $E$9, 100%, $G$9) + CHOOSE(CONTROL!$C$38, 0.0347, 0)</f>
        <v>34.7883</v>
      </c>
      <c r="I421" s="14">
        <f>34.7552 * CHOOSE(CONTROL!$C$15, $E$9, 100%, $G$9) + CHOOSE(CONTROL!$C$38, 0.0347, 0)</f>
        <v>34.789900000000003</v>
      </c>
      <c r="J421" s="44">
        <f>229.0359</f>
        <v>229.0359</v>
      </c>
    </row>
    <row r="422" spans="1:10" ht="15.75" x14ac:dyDescent="0.25">
      <c r="A422" s="33">
        <v>53782</v>
      </c>
      <c r="B422" s="14">
        <f>35.9056 * CHOOSE(CONTROL!$C$15, $E$9, 100%, $G$9) + CHOOSE(CONTROL!$C$38, 0.0256, 0)</f>
        <v>35.931199999999997</v>
      </c>
      <c r="C422" s="14">
        <f>33.9581 * CHOOSE(CONTROL!$C$15, $E$9, 100%, $G$9) + CHOOSE(CONTROL!$C$38, 0.0347, 0)</f>
        <v>33.992800000000003</v>
      </c>
      <c r="D422" s="14">
        <f>33.9503 * CHOOSE(CONTROL!$C$15, $E$9, 100%, $G$9) + CHOOSE(CONTROL!$C$38, 0.0347, 0)</f>
        <v>33.984999999999999</v>
      </c>
      <c r="E422" s="46">
        <f>35.7494 * CHOOSE(CONTROL!$C$15, $E$9, 100%, $G$9) + CHOOSE(CONTROL!$C$38, 0.0347, 0)</f>
        <v>35.784100000000002</v>
      </c>
      <c r="F422" s="45">
        <f>35.7494 * CHOOSE(CONTROL!$C$15, $E$9, 100%, $G$9) + CHOOSE(CONTROL!$C$38, 0.0256, 0)</f>
        <v>35.774999999999999</v>
      </c>
      <c r="G422" s="14">
        <f>33.9566 * CHOOSE(CONTROL!$C$15, $E$9, 100%, $G$9) + CHOOSE(CONTROL!$C$38, 0.0347, 0)</f>
        <v>33.991300000000003</v>
      </c>
      <c r="H422" s="14">
        <f>33.9566 * CHOOSE(CONTROL!$C$15, $E$9, 100%, $G$9) + CHOOSE(CONTROL!$C$38, 0.0347, 0)</f>
        <v>33.991300000000003</v>
      </c>
      <c r="I422" s="14">
        <f>33.9581 * CHOOSE(CONTROL!$C$15, $E$9, 100%, $G$9) + CHOOSE(CONTROL!$C$38, 0.0347, 0)</f>
        <v>33.992800000000003</v>
      </c>
      <c r="J422" s="44">
        <f>241.1074</f>
        <v>241.10740000000001</v>
      </c>
    </row>
    <row r="423" spans="1:10" ht="15.75" x14ac:dyDescent="0.25">
      <c r="A423" s="33">
        <v>53812</v>
      </c>
      <c r="B423" s="14">
        <f>35.1333 * CHOOSE(CONTROL!$C$15, $E$9, 100%, $G$9) + CHOOSE(CONTROL!$C$38, 0.0256, 0)</f>
        <v>35.158899999999996</v>
      </c>
      <c r="C423" s="14">
        <f>33.1858 * CHOOSE(CONTROL!$C$15, $E$9, 100%, $G$9) + CHOOSE(CONTROL!$C$38, 0.0347, 0)</f>
        <v>33.220500000000001</v>
      </c>
      <c r="D423" s="14">
        <f>33.178 * CHOOSE(CONTROL!$C$15, $E$9, 100%, $G$9) + CHOOSE(CONTROL!$C$38, 0.0347, 0)</f>
        <v>33.212699999999998</v>
      </c>
      <c r="E423" s="46">
        <f>34.9771 * CHOOSE(CONTROL!$C$15, $E$9, 100%, $G$9) + CHOOSE(CONTROL!$C$38, 0.0347, 0)</f>
        <v>35.011800000000001</v>
      </c>
      <c r="F423" s="45">
        <f>34.9771 * CHOOSE(CONTROL!$C$15, $E$9, 100%, $G$9) + CHOOSE(CONTROL!$C$38, 0.0256, 0)</f>
        <v>35.002699999999997</v>
      </c>
      <c r="G423" s="14">
        <f>33.1842 * CHOOSE(CONTROL!$C$15, $E$9, 100%, $G$9) + CHOOSE(CONTROL!$C$38, 0.0347, 0)</f>
        <v>33.218899999999998</v>
      </c>
      <c r="H423" s="14">
        <f>33.1842 * CHOOSE(CONTROL!$C$15, $E$9, 100%, $G$9) + CHOOSE(CONTROL!$C$38, 0.0347, 0)</f>
        <v>33.218899999999998</v>
      </c>
      <c r="I423" s="14">
        <f>33.1858 * CHOOSE(CONTROL!$C$15, $E$9, 100%, $G$9) + CHOOSE(CONTROL!$C$38, 0.0347, 0)</f>
        <v>33.220500000000001</v>
      </c>
      <c r="J423" s="44">
        <f>256.7612</f>
        <v>256.76119999999997</v>
      </c>
    </row>
    <row r="424" spans="1:10" ht="15.75" x14ac:dyDescent="0.25">
      <c r="A424" s="33">
        <v>53843</v>
      </c>
      <c r="B424" s="14">
        <f>34.3284 * CHOOSE(CONTROL!$C$15, $E$9, 100%, $G$9) + CHOOSE(CONTROL!$C$38, 0.0278, 0)</f>
        <v>34.356200000000001</v>
      </c>
      <c r="C424" s="14">
        <f>32.3809 * CHOOSE(CONTROL!$C$15, $E$9, 100%, $G$9) + CHOOSE(CONTROL!$C$38, 0.0369, 0)</f>
        <v>32.4178</v>
      </c>
      <c r="D424" s="14">
        <f>32.373 * CHOOSE(CONTROL!$C$15, $E$9, 100%, $G$9) + CHOOSE(CONTROL!$C$38, 0.0369, 0)</f>
        <v>32.4099</v>
      </c>
      <c r="E424" s="46">
        <f>34.1721 * CHOOSE(CONTROL!$C$15, $E$9, 100%, $G$9) + CHOOSE(CONTROL!$C$38, 0.0369, 0)</f>
        <v>34.209000000000003</v>
      </c>
      <c r="F424" s="45">
        <f>34.1721 * CHOOSE(CONTROL!$C$15, $E$9, 100%, $G$9) + CHOOSE(CONTROL!$C$38, 0.0278, 0)</f>
        <v>34.1999</v>
      </c>
      <c r="G424" s="14">
        <f>32.3793 * CHOOSE(CONTROL!$C$15, $E$9, 100%, $G$9) + CHOOSE(CONTROL!$C$38, 0.0369, 0)</f>
        <v>32.416200000000003</v>
      </c>
      <c r="H424" s="14">
        <f>32.3793 * CHOOSE(CONTROL!$C$15, $E$9, 100%, $G$9) + CHOOSE(CONTROL!$C$38, 0.0369, 0)</f>
        <v>32.416200000000003</v>
      </c>
      <c r="I424" s="14">
        <f>32.3809 * CHOOSE(CONTROL!$C$15, $E$9, 100%, $G$9) + CHOOSE(CONTROL!$C$38, 0.0369, 0)</f>
        <v>32.4178</v>
      </c>
      <c r="J424" s="44">
        <f>265.3776</f>
        <v>265.37759999999997</v>
      </c>
    </row>
    <row r="425" spans="1:10" ht="15.75" x14ac:dyDescent="0.25">
      <c r="A425" s="33">
        <v>53873</v>
      </c>
      <c r="B425" s="14">
        <f>33.764 * CHOOSE(CONTROL!$C$15, $E$9, 100%, $G$9) + CHOOSE(CONTROL!$C$38, 0.0278, 0)</f>
        <v>33.791800000000002</v>
      </c>
      <c r="C425" s="14">
        <f>31.8165 * CHOOSE(CONTROL!$C$15, $E$9, 100%, $G$9) + CHOOSE(CONTROL!$C$38, 0.0369, 0)</f>
        <v>31.853400000000001</v>
      </c>
      <c r="D425" s="14">
        <f>31.8087 * CHOOSE(CONTROL!$C$15, $E$9, 100%, $G$9) + CHOOSE(CONTROL!$C$38, 0.0369, 0)</f>
        <v>31.845600000000001</v>
      </c>
      <c r="E425" s="46">
        <f>33.6078 * CHOOSE(CONTROL!$C$15, $E$9, 100%, $G$9) + CHOOSE(CONTROL!$C$38, 0.0369, 0)</f>
        <v>33.6447</v>
      </c>
      <c r="F425" s="45">
        <f>33.6078 * CHOOSE(CONTROL!$C$15, $E$9, 100%, $G$9) + CHOOSE(CONTROL!$C$38, 0.0278, 0)</f>
        <v>33.635599999999997</v>
      </c>
      <c r="G425" s="14">
        <f>31.815 * CHOOSE(CONTROL!$C$15, $E$9, 100%, $G$9) + CHOOSE(CONTROL!$C$38, 0.0369, 0)</f>
        <v>31.851900000000001</v>
      </c>
      <c r="H425" s="14">
        <f>31.815 * CHOOSE(CONTROL!$C$15, $E$9, 100%, $G$9) + CHOOSE(CONTROL!$C$38, 0.0369, 0)</f>
        <v>31.851900000000001</v>
      </c>
      <c r="I425" s="14">
        <f>31.8165 * CHOOSE(CONTROL!$C$15, $E$9, 100%, $G$9) + CHOOSE(CONTROL!$C$38, 0.0369, 0)</f>
        <v>31.853400000000001</v>
      </c>
      <c r="J425" s="44">
        <f>269.2014</f>
        <v>269.20139999999998</v>
      </c>
    </row>
    <row r="426" spans="1:10" ht="15.75" x14ac:dyDescent="0.25">
      <c r="A426" s="33">
        <v>53904</v>
      </c>
      <c r="B426" s="14">
        <f>33.442 * CHOOSE(CONTROL!$C$15, $E$9, 100%, $G$9) + CHOOSE(CONTROL!$C$38, 0.0278, 0)</f>
        <v>33.469799999999999</v>
      </c>
      <c r="C426" s="14">
        <f>31.4945 * CHOOSE(CONTROL!$C$15, $E$9, 100%, $G$9) + CHOOSE(CONTROL!$C$38, 0.0369, 0)</f>
        <v>31.531399999999998</v>
      </c>
      <c r="D426" s="14">
        <f>31.4866 * CHOOSE(CONTROL!$C$15, $E$9, 100%, $G$9) + CHOOSE(CONTROL!$C$38, 0.0369, 0)</f>
        <v>31.523499999999999</v>
      </c>
      <c r="E426" s="46">
        <f>33.2857 * CHOOSE(CONTROL!$C$15, $E$9, 100%, $G$9) + CHOOSE(CONTROL!$C$38, 0.0369, 0)</f>
        <v>33.322600000000001</v>
      </c>
      <c r="F426" s="45">
        <f>33.2857 * CHOOSE(CONTROL!$C$15, $E$9, 100%, $G$9) + CHOOSE(CONTROL!$C$38, 0.0278, 0)</f>
        <v>33.313499999999998</v>
      </c>
      <c r="G426" s="14">
        <f>31.4929 * CHOOSE(CONTROL!$C$15, $E$9, 100%, $G$9) + CHOOSE(CONTROL!$C$38, 0.0369, 0)</f>
        <v>31.529799999999998</v>
      </c>
      <c r="H426" s="14">
        <f>31.4929 * CHOOSE(CONTROL!$C$15, $E$9, 100%, $G$9) + CHOOSE(CONTROL!$C$38, 0.0369, 0)</f>
        <v>31.529799999999998</v>
      </c>
      <c r="I426" s="14">
        <f>31.4945 * CHOOSE(CONTROL!$C$15, $E$9, 100%, $G$9) + CHOOSE(CONTROL!$C$38, 0.0369, 0)</f>
        <v>31.531399999999998</v>
      </c>
      <c r="J426" s="44">
        <f>267.9425</f>
        <v>267.9425</v>
      </c>
    </row>
    <row r="427" spans="1:10" ht="15.75" x14ac:dyDescent="0.25">
      <c r="A427" s="33">
        <v>53935</v>
      </c>
      <c r="B427" s="14">
        <f>33.6009 * CHOOSE(CONTROL!$C$15, $E$9, 100%, $G$9) + CHOOSE(CONTROL!$C$38, 0.0278, 0)</f>
        <v>33.628700000000002</v>
      </c>
      <c r="C427" s="14">
        <f>31.6534 * CHOOSE(CONTROL!$C$15, $E$9, 100%, $G$9) + CHOOSE(CONTROL!$C$38, 0.0369, 0)</f>
        <v>31.690300000000001</v>
      </c>
      <c r="D427" s="14">
        <f>31.6456 * CHOOSE(CONTROL!$C$15, $E$9, 100%, $G$9) + CHOOSE(CONTROL!$C$38, 0.0369, 0)</f>
        <v>31.682500000000001</v>
      </c>
      <c r="E427" s="46">
        <f>33.4447 * CHOOSE(CONTROL!$C$15, $E$9, 100%, $G$9) + CHOOSE(CONTROL!$C$38, 0.0369, 0)</f>
        <v>33.4816</v>
      </c>
      <c r="F427" s="45">
        <f>33.4447 * CHOOSE(CONTROL!$C$15, $E$9, 100%, $G$9) + CHOOSE(CONTROL!$C$38, 0.0278, 0)</f>
        <v>33.472499999999997</v>
      </c>
      <c r="G427" s="14">
        <f>31.6518 * CHOOSE(CONTROL!$C$15, $E$9, 100%, $G$9) + CHOOSE(CONTROL!$C$38, 0.0369, 0)</f>
        <v>31.688700000000001</v>
      </c>
      <c r="H427" s="14">
        <f>31.6518 * CHOOSE(CONTROL!$C$15, $E$9, 100%, $G$9) + CHOOSE(CONTROL!$C$38, 0.0369, 0)</f>
        <v>31.688700000000001</v>
      </c>
      <c r="I427" s="14">
        <f>31.6534 * CHOOSE(CONTROL!$C$15, $E$9, 100%, $G$9) + CHOOSE(CONTROL!$C$38, 0.0369, 0)</f>
        <v>31.690300000000001</v>
      </c>
      <c r="J427" s="44">
        <f>261.7049</f>
        <v>261.70490000000001</v>
      </c>
    </row>
    <row r="428" spans="1:10" ht="15.75" x14ac:dyDescent="0.25">
      <c r="A428" s="33">
        <v>53965</v>
      </c>
      <c r="B428" s="14">
        <f>34.0326 * CHOOSE(CONTROL!$C$15, $E$9, 100%, $G$9) + CHOOSE(CONTROL!$C$38, 0.0278, 0)</f>
        <v>34.060400000000001</v>
      </c>
      <c r="C428" s="14">
        <f>32.0851 * CHOOSE(CONTROL!$C$15, $E$9, 100%, $G$9) + CHOOSE(CONTROL!$C$38, 0.0369, 0)</f>
        <v>32.122</v>
      </c>
      <c r="D428" s="14">
        <f>32.0773 * CHOOSE(CONTROL!$C$15, $E$9, 100%, $G$9) + CHOOSE(CONTROL!$C$38, 0.0369, 0)</f>
        <v>32.114200000000004</v>
      </c>
      <c r="E428" s="46">
        <f>33.8764 * CHOOSE(CONTROL!$C$15, $E$9, 100%, $G$9) + CHOOSE(CONTROL!$C$38, 0.0369, 0)</f>
        <v>33.9133</v>
      </c>
      <c r="F428" s="45">
        <f>33.8764 * CHOOSE(CONTROL!$C$15, $E$9, 100%, $G$9) + CHOOSE(CONTROL!$C$38, 0.0278, 0)</f>
        <v>33.904199999999996</v>
      </c>
      <c r="G428" s="14">
        <f>32.0836 * CHOOSE(CONTROL!$C$15, $E$9, 100%, $G$9) + CHOOSE(CONTROL!$C$38, 0.0369, 0)</f>
        <v>32.1205</v>
      </c>
      <c r="H428" s="14">
        <f>32.0836 * CHOOSE(CONTROL!$C$15, $E$9, 100%, $G$9) + CHOOSE(CONTROL!$C$38, 0.0369, 0)</f>
        <v>32.1205</v>
      </c>
      <c r="I428" s="14">
        <f>32.0851 * CHOOSE(CONTROL!$C$15, $E$9, 100%, $G$9) + CHOOSE(CONTROL!$C$38, 0.0369, 0)</f>
        <v>32.122</v>
      </c>
      <c r="J428" s="44">
        <f>253.0063</f>
        <v>253.00630000000001</v>
      </c>
    </row>
    <row r="429" spans="1:10" ht="15.75" x14ac:dyDescent="0.25">
      <c r="A429" s="33">
        <v>53996</v>
      </c>
      <c r="B429" s="14">
        <f>34.3942 * CHOOSE(CONTROL!$C$15, $E$9, 100%, $G$9) + CHOOSE(CONTROL!$C$38, 0.0256, 0)</f>
        <v>34.419799999999995</v>
      </c>
      <c r="C429" s="14">
        <f>32.4467 * CHOOSE(CONTROL!$C$15, $E$9, 100%, $G$9) + CHOOSE(CONTROL!$C$38, 0.0347, 0)</f>
        <v>32.481400000000001</v>
      </c>
      <c r="D429" s="14">
        <f>32.4389 * CHOOSE(CONTROL!$C$15, $E$9, 100%, $G$9) + CHOOSE(CONTROL!$C$38, 0.0347, 0)</f>
        <v>32.473599999999998</v>
      </c>
      <c r="E429" s="46">
        <f>34.2379 * CHOOSE(CONTROL!$C$15, $E$9, 100%, $G$9) + CHOOSE(CONTROL!$C$38, 0.0347, 0)</f>
        <v>34.272600000000004</v>
      </c>
      <c r="F429" s="45">
        <f>34.2379 * CHOOSE(CONTROL!$C$15, $E$9, 100%, $G$9) + CHOOSE(CONTROL!$C$38, 0.0256, 0)</f>
        <v>34.263500000000001</v>
      </c>
      <c r="G429" s="14">
        <f>32.4451 * CHOOSE(CONTROL!$C$15, $E$9, 100%, $G$9) + CHOOSE(CONTROL!$C$38, 0.0347, 0)</f>
        <v>32.479799999999997</v>
      </c>
      <c r="H429" s="14">
        <f>32.4451 * CHOOSE(CONTROL!$C$15, $E$9, 100%, $G$9) + CHOOSE(CONTROL!$C$38, 0.0347, 0)</f>
        <v>32.479799999999997</v>
      </c>
      <c r="I429" s="14">
        <f>32.4467 * CHOOSE(CONTROL!$C$15, $E$9, 100%, $G$9) + CHOOSE(CONTROL!$C$38, 0.0347, 0)</f>
        <v>32.481400000000001</v>
      </c>
      <c r="J429" s="44">
        <f>244.257</f>
        <v>244.25700000000001</v>
      </c>
    </row>
    <row r="430" spans="1:10" ht="15.75" x14ac:dyDescent="0.25">
      <c r="A430" s="33">
        <v>54026</v>
      </c>
      <c r="B430" s="14">
        <f>34.6959 * CHOOSE(CONTROL!$C$15, $E$9, 100%, $G$9) + CHOOSE(CONTROL!$C$38, 0.0256, 0)</f>
        <v>34.721499999999999</v>
      </c>
      <c r="C430" s="14">
        <f>32.7484 * CHOOSE(CONTROL!$C$15, $E$9, 100%, $G$9) + CHOOSE(CONTROL!$C$38, 0.0347, 0)</f>
        <v>32.783099999999997</v>
      </c>
      <c r="D430" s="14">
        <f>32.7406 * CHOOSE(CONTROL!$C$15, $E$9, 100%, $G$9) + CHOOSE(CONTROL!$C$38, 0.0347, 0)</f>
        <v>32.775300000000001</v>
      </c>
      <c r="E430" s="46">
        <f>34.5396 * CHOOSE(CONTROL!$C$15, $E$9, 100%, $G$9) + CHOOSE(CONTROL!$C$38, 0.0347, 0)</f>
        <v>34.574300000000001</v>
      </c>
      <c r="F430" s="45">
        <f>34.5396 * CHOOSE(CONTROL!$C$15, $E$9, 100%, $G$9) + CHOOSE(CONTROL!$C$38, 0.0256, 0)</f>
        <v>34.565199999999997</v>
      </c>
      <c r="G430" s="14">
        <f>32.7468 * CHOOSE(CONTROL!$C$15, $E$9, 100%, $G$9) + CHOOSE(CONTROL!$C$38, 0.0347, 0)</f>
        <v>32.781500000000001</v>
      </c>
      <c r="H430" s="14">
        <f>32.7468 * CHOOSE(CONTROL!$C$15, $E$9, 100%, $G$9) + CHOOSE(CONTROL!$C$38, 0.0347, 0)</f>
        <v>32.781500000000001</v>
      </c>
      <c r="I430" s="14">
        <f>32.7484 * CHOOSE(CONTROL!$C$15, $E$9, 100%, $G$9) + CHOOSE(CONTROL!$C$38, 0.0347, 0)</f>
        <v>32.783099999999997</v>
      </c>
      <c r="J430" s="44">
        <f>242.5167</f>
        <v>242.51669999999999</v>
      </c>
    </row>
    <row r="431" spans="1:10" ht="15.75" x14ac:dyDescent="0.25">
      <c r="A431" s="33">
        <v>54057</v>
      </c>
      <c r="B431" s="14">
        <f>35.6256 * CHOOSE(CONTROL!$C$15, $E$9, 100%, $G$9) + CHOOSE(CONTROL!$C$38, 0.0256, 0)</f>
        <v>35.651199999999996</v>
      </c>
      <c r="C431" s="14">
        <f>33.678 * CHOOSE(CONTROL!$C$15, $E$9, 100%, $G$9) + CHOOSE(CONTROL!$C$38, 0.0347, 0)</f>
        <v>33.712699999999998</v>
      </c>
      <c r="D431" s="14">
        <f>33.6702 * CHOOSE(CONTROL!$C$15, $E$9, 100%, $G$9) + CHOOSE(CONTROL!$C$38, 0.0347, 0)</f>
        <v>33.704900000000002</v>
      </c>
      <c r="E431" s="46">
        <f>35.4693 * CHOOSE(CONTROL!$C$15, $E$9, 100%, $G$9) + CHOOSE(CONTROL!$C$38, 0.0347, 0)</f>
        <v>35.503999999999998</v>
      </c>
      <c r="F431" s="45">
        <f>35.4693 * CHOOSE(CONTROL!$C$15, $E$9, 100%, $G$9) + CHOOSE(CONTROL!$C$38, 0.0256, 0)</f>
        <v>35.494899999999994</v>
      </c>
      <c r="G431" s="14">
        <f>33.6765 * CHOOSE(CONTROL!$C$15, $E$9, 100%, $G$9) + CHOOSE(CONTROL!$C$38, 0.0347, 0)</f>
        <v>33.711199999999998</v>
      </c>
      <c r="H431" s="14">
        <f>33.6765 * CHOOSE(CONTROL!$C$15, $E$9, 100%, $G$9) + CHOOSE(CONTROL!$C$38, 0.0347, 0)</f>
        <v>33.711199999999998</v>
      </c>
      <c r="I431" s="14">
        <f>33.678 * CHOOSE(CONTROL!$C$15, $E$9, 100%, $G$9) + CHOOSE(CONTROL!$C$38, 0.0347, 0)</f>
        <v>33.712699999999998</v>
      </c>
      <c r="J431" s="44">
        <f>235.32</f>
        <v>235.32</v>
      </c>
    </row>
    <row r="432" spans="1:10" ht="15.75" x14ac:dyDescent="0.25">
      <c r="A432" s="33">
        <v>54088</v>
      </c>
      <c r="B432" s="14">
        <f>36.9332 * CHOOSE(CONTROL!$C$15, $E$9, 100%, $G$9) + CHOOSE(CONTROL!$C$38, 0.0256, 0)</f>
        <v>36.958799999999997</v>
      </c>
      <c r="C432" s="14">
        <f>34.9556 * CHOOSE(CONTROL!$C$15, $E$9, 100%, $G$9) + CHOOSE(CONTROL!$C$38, 0.0347, 0)</f>
        <v>34.990299999999998</v>
      </c>
      <c r="D432" s="14">
        <f>34.9477 * CHOOSE(CONTROL!$C$15, $E$9, 100%, $G$9) + CHOOSE(CONTROL!$C$38, 0.0347, 0)</f>
        <v>34.982399999999998</v>
      </c>
      <c r="E432" s="46">
        <f>36.7769 * CHOOSE(CONTROL!$C$15, $E$9, 100%, $G$9) + CHOOSE(CONTROL!$C$38, 0.0347, 0)</f>
        <v>36.811599999999999</v>
      </c>
      <c r="F432" s="45">
        <f>36.7769 * CHOOSE(CONTROL!$C$15, $E$9, 100%, $G$9) + CHOOSE(CONTROL!$C$38, 0.0256, 0)</f>
        <v>36.802499999999995</v>
      </c>
      <c r="G432" s="14">
        <f>34.954 * CHOOSE(CONTROL!$C$15, $E$9, 100%, $G$9) + CHOOSE(CONTROL!$C$38, 0.0347, 0)</f>
        <v>34.988700000000001</v>
      </c>
      <c r="H432" s="14">
        <f>34.954 * CHOOSE(CONTROL!$C$15, $E$9, 100%, $G$9) + CHOOSE(CONTROL!$C$38, 0.0347, 0)</f>
        <v>34.988700000000001</v>
      </c>
      <c r="I432" s="14">
        <f>34.9556 * CHOOSE(CONTROL!$C$15, $E$9, 100%, $G$9) + CHOOSE(CONTROL!$C$38, 0.0347, 0)</f>
        <v>34.990299999999998</v>
      </c>
      <c r="J432" s="44">
        <f>235.0165</f>
        <v>235.01650000000001</v>
      </c>
    </row>
    <row r="433" spans="1:10" ht="15.75" x14ac:dyDescent="0.25">
      <c r="A433" s="33">
        <v>54116</v>
      </c>
      <c r="B433" s="14">
        <f>37.2775 * CHOOSE(CONTROL!$C$15, $E$9, 100%, $G$9) + CHOOSE(CONTROL!$C$38, 0.0256, 0)</f>
        <v>37.303100000000001</v>
      </c>
      <c r="C433" s="14">
        <f>35.2999 * CHOOSE(CONTROL!$C$15, $E$9, 100%, $G$9) + CHOOSE(CONTROL!$C$38, 0.0347, 0)</f>
        <v>35.334600000000002</v>
      </c>
      <c r="D433" s="14">
        <f>35.2921 * CHOOSE(CONTROL!$C$15, $E$9, 100%, $G$9) + CHOOSE(CONTROL!$C$38, 0.0347, 0)</f>
        <v>35.326799999999999</v>
      </c>
      <c r="E433" s="46">
        <f>37.1212 * CHOOSE(CONTROL!$C$15, $E$9, 100%, $G$9) + CHOOSE(CONTROL!$C$38, 0.0347, 0)</f>
        <v>37.155900000000003</v>
      </c>
      <c r="F433" s="45">
        <f>37.1212 * CHOOSE(CONTROL!$C$15, $E$9, 100%, $G$9) + CHOOSE(CONTROL!$C$38, 0.0256, 0)</f>
        <v>37.146799999999999</v>
      </c>
      <c r="G433" s="14">
        <f>35.2983 * CHOOSE(CONTROL!$C$15, $E$9, 100%, $G$9) + CHOOSE(CONTROL!$C$38, 0.0347, 0)</f>
        <v>35.332999999999998</v>
      </c>
      <c r="H433" s="14">
        <f>35.2983 * CHOOSE(CONTROL!$C$15, $E$9, 100%, $G$9) + CHOOSE(CONTROL!$C$38, 0.0347, 0)</f>
        <v>35.332999999999998</v>
      </c>
      <c r="I433" s="14">
        <f>35.2999 * CHOOSE(CONTROL!$C$15, $E$9, 100%, $G$9) + CHOOSE(CONTROL!$C$38, 0.0347, 0)</f>
        <v>35.334600000000002</v>
      </c>
      <c r="J433" s="44">
        <f>234.3632</f>
        <v>234.36320000000001</v>
      </c>
    </row>
    <row r="434" spans="1:10" ht="15.75" x14ac:dyDescent="0.25">
      <c r="A434" s="33">
        <v>54148</v>
      </c>
      <c r="B434" s="14">
        <f>36.4804 * CHOOSE(CONTROL!$C$15, $E$9, 100%, $G$9) + CHOOSE(CONTROL!$C$38, 0.0256, 0)</f>
        <v>36.506</v>
      </c>
      <c r="C434" s="14">
        <f>34.5028 * CHOOSE(CONTROL!$C$15, $E$9, 100%, $G$9) + CHOOSE(CONTROL!$C$38, 0.0347, 0)</f>
        <v>34.537500000000001</v>
      </c>
      <c r="D434" s="14">
        <f>34.495 * CHOOSE(CONTROL!$C$15, $E$9, 100%, $G$9) + CHOOSE(CONTROL!$C$38, 0.0347, 0)</f>
        <v>34.529699999999998</v>
      </c>
      <c r="E434" s="46">
        <f>36.3242 * CHOOSE(CONTROL!$C$15, $E$9, 100%, $G$9) + CHOOSE(CONTROL!$C$38, 0.0347, 0)</f>
        <v>36.358899999999998</v>
      </c>
      <c r="F434" s="45">
        <f>36.3242 * CHOOSE(CONTROL!$C$15, $E$9, 100%, $G$9) + CHOOSE(CONTROL!$C$38, 0.0256, 0)</f>
        <v>36.349799999999995</v>
      </c>
      <c r="G434" s="14">
        <f>34.5013 * CHOOSE(CONTROL!$C$15, $E$9, 100%, $G$9) + CHOOSE(CONTROL!$C$38, 0.0347, 0)</f>
        <v>34.536000000000001</v>
      </c>
      <c r="H434" s="14">
        <f>34.5013 * CHOOSE(CONTROL!$C$15, $E$9, 100%, $G$9) + CHOOSE(CONTROL!$C$38, 0.0347, 0)</f>
        <v>34.536000000000001</v>
      </c>
      <c r="I434" s="14">
        <f>34.5028 * CHOOSE(CONTROL!$C$15, $E$9, 100%, $G$9) + CHOOSE(CONTROL!$C$38, 0.0347, 0)</f>
        <v>34.537500000000001</v>
      </c>
      <c r="J434" s="44">
        <f>246.7155</f>
        <v>246.71549999999999</v>
      </c>
    </row>
    <row r="435" spans="1:10" ht="15.75" x14ac:dyDescent="0.25">
      <c r="A435" s="33">
        <v>54178</v>
      </c>
      <c r="B435" s="14">
        <f>35.7081 * CHOOSE(CONTROL!$C$15, $E$9, 100%, $G$9) + CHOOSE(CONTROL!$C$38, 0.0256, 0)</f>
        <v>35.733699999999999</v>
      </c>
      <c r="C435" s="14">
        <f>33.7305 * CHOOSE(CONTROL!$C$15, $E$9, 100%, $G$9) + CHOOSE(CONTROL!$C$38, 0.0347, 0)</f>
        <v>33.7652</v>
      </c>
      <c r="D435" s="14">
        <f>33.7227 * CHOOSE(CONTROL!$C$15, $E$9, 100%, $G$9) + CHOOSE(CONTROL!$C$38, 0.0347, 0)</f>
        <v>33.757400000000004</v>
      </c>
      <c r="E435" s="46">
        <f>35.5519 * CHOOSE(CONTROL!$C$15, $E$9, 100%, $G$9) + CHOOSE(CONTROL!$C$38, 0.0347, 0)</f>
        <v>35.586600000000004</v>
      </c>
      <c r="F435" s="45">
        <f>35.5519 * CHOOSE(CONTROL!$C$15, $E$9, 100%, $G$9) + CHOOSE(CONTROL!$C$38, 0.0256, 0)</f>
        <v>35.577500000000001</v>
      </c>
      <c r="G435" s="14">
        <f>33.729 * CHOOSE(CONTROL!$C$15, $E$9, 100%, $G$9) + CHOOSE(CONTROL!$C$38, 0.0347, 0)</f>
        <v>33.7637</v>
      </c>
      <c r="H435" s="14">
        <f>33.729 * CHOOSE(CONTROL!$C$15, $E$9, 100%, $G$9) + CHOOSE(CONTROL!$C$38, 0.0347, 0)</f>
        <v>33.7637</v>
      </c>
      <c r="I435" s="14">
        <f>33.7305 * CHOOSE(CONTROL!$C$15, $E$9, 100%, $G$9) + CHOOSE(CONTROL!$C$38, 0.0347, 0)</f>
        <v>33.7652</v>
      </c>
      <c r="J435" s="44">
        <f>262.7335</f>
        <v>262.73349999999999</v>
      </c>
    </row>
    <row r="436" spans="1:10" ht="15.75" x14ac:dyDescent="0.25">
      <c r="A436" s="33">
        <v>54209</v>
      </c>
      <c r="B436" s="14">
        <f>34.9032 * CHOOSE(CONTROL!$C$15, $E$9, 100%, $G$9) + CHOOSE(CONTROL!$C$38, 0.0278, 0)</f>
        <v>34.930999999999997</v>
      </c>
      <c r="C436" s="14">
        <f>32.9256 * CHOOSE(CONTROL!$C$15, $E$9, 100%, $G$9) + CHOOSE(CONTROL!$C$38, 0.0369, 0)</f>
        <v>32.962500000000006</v>
      </c>
      <c r="D436" s="14">
        <f>32.9177 * CHOOSE(CONTROL!$C$15, $E$9, 100%, $G$9) + CHOOSE(CONTROL!$C$38, 0.0369, 0)</f>
        <v>32.954600000000006</v>
      </c>
      <c r="E436" s="46">
        <f>34.7469 * CHOOSE(CONTROL!$C$15, $E$9, 100%, $G$9) + CHOOSE(CONTROL!$C$38, 0.0369, 0)</f>
        <v>34.783799999999999</v>
      </c>
      <c r="F436" s="45">
        <f>34.7469 * CHOOSE(CONTROL!$C$15, $E$9, 100%, $G$9) + CHOOSE(CONTROL!$C$38, 0.0278, 0)</f>
        <v>34.774699999999996</v>
      </c>
      <c r="G436" s="14">
        <f>32.924 * CHOOSE(CONTROL!$C$15, $E$9, 100%, $G$9) + CHOOSE(CONTROL!$C$38, 0.0369, 0)</f>
        <v>32.960900000000002</v>
      </c>
      <c r="H436" s="14">
        <f>32.924 * CHOOSE(CONTROL!$C$15, $E$9, 100%, $G$9) + CHOOSE(CONTROL!$C$38, 0.0369, 0)</f>
        <v>32.960900000000002</v>
      </c>
      <c r="I436" s="14">
        <f>32.9256 * CHOOSE(CONTROL!$C$15, $E$9, 100%, $G$9) + CHOOSE(CONTROL!$C$38, 0.0369, 0)</f>
        <v>32.962500000000006</v>
      </c>
      <c r="J436" s="44">
        <f>271.5503</f>
        <v>271.55029999999999</v>
      </c>
    </row>
    <row r="437" spans="1:10" ht="15.75" x14ac:dyDescent="0.25">
      <c r="A437" s="33">
        <v>54239</v>
      </c>
      <c r="B437" s="14">
        <f>34.3388 * CHOOSE(CONTROL!$C$15, $E$9, 100%, $G$9) + CHOOSE(CONTROL!$C$38, 0.0278, 0)</f>
        <v>34.366599999999998</v>
      </c>
      <c r="C437" s="14">
        <f>32.3612 * CHOOSE(CONTROL!$C$15, $E$9, 100%, $G$9) + CHOOSE(CONTROL!$C$38, 0.0369, 0)</f>
        <v>32.398099999999999</v>
      </c>
      <c r="D437" s="14">
        <f>32.3534 * CHOOSE(CONTROL!$C$15, $E$9, 100%, $G$9) + CHOOSE(CONTROL!$C$38, 0.0369, 0)</f>
        <v>32.390300000000003</v>
      </c>
      <c r="E437" s="46">
        <f>34.1826 * CHOOSE(CONTROL!$C$15, $E$9, 100%, $G$9) + CHOOSE(CONTROL!$C$38, 0.0369, 0)</f>
        <v>34.219500000000004</v>
      </c>
      <c r="F437" s="45">
        <f>34.1826 * CHOOSE(CONTROL!$C$15, $E$9, 100%, $G$9) + CHOOSE(CONTROL!$C$38, 0.0278, 0)</f>
        <v>34.2104</v>
      </c>
      <c r="G437" s="14">
        <f>32.3597 * CHOOSE(CONTROL!$C$15, $E$9, 100%, $G$9) + CHOOSE(CONTROL!$C$38, 0.0369, 0)</f>
        <v>32.396599999999999</v>
      </c>
      <c r="H437" s="14">
        <f>32.3597 * CHOOSE(CONTROL!$C$15, $E$9, 100%, $G$9) + CHOOSE(CONTROL!$C$38, 0.0369, 0)</f>
        <v>32.396599999999999</v>
      </c>
      <c r="I437" s="14">
        <f>32.3612 * CHOOSE(CONTROL!$C$15, $E$9, 100%, $G$9) + CHOOSE(CONTROL!$C$38, 0.0369, 0)</f>
        <v>32.398099999999999</v>
      </c>
      <c r="J437" s="44">
        <f>275.4631</f>
        <v>275.4631</v>
      </c>
    </row>
    <row r="438" spans="1:10" ht="15.75" x14ac:dyDescent="0.25">
      <c r="A438" s="33">
        <v>54270</v>
      </c>
      <c r="B438" s="14">
        <f>34.0168 * CHOOSE(CONTROL!$C$15, $E$9, 100%, $G$9) + CHOOSE(CONTROL!$C$38, 0.0278, 0)</f>
        <v>34.044600000000003</v>
      </c>
      <c r="C438" s="14">
        <f>32.0392 * CHOOSE(CONTROL!$C$15, $E$9, 100%, $G$9) + CHOOSE(CONTROL!$C$38, 0.0369, 0)</f>
        <v>32.076100000000004</v>
      </c>
      <c r="D438" s="14">
        <f>32.0314 * CHOOSE(CONTROL!$C$15, $E$9, 100%, $G$9) + CHOOSE(CONTROL!$C$38, 0.0369, 0)</f>
        <v>32.068300000000001</v>
      </c>
      <c r="E438" s="46">
        <f>33.8605 * CHOOSE(CONTROL!$C$15, $E$9, 100%, $G$9) + CHOOSE(CONTROL!$C$38, 0.0369, 0)</f>
        <v>33.897400000000005</v>
      </c>
      <c r="F438" s="45">
        <f>33.8605 * CHOOSE(CONTROL!$C$15, $E$9, 100%, $G$9) + CHOOSE(CONTROL!$C$38, 0.0278, 0)</f>
        <v>33.888300000000001</v>
      </c>
      <c r="G438" s="14">
        <f>32.0376 * CHOOSE(CONTROL!$C$15, $E$9, 100%, $G$9) + CHOOSE(CONTROL!$C$38, 0.0369, 0)</f>
        <v>32.0745</v>
      </c>
      <c r="H438" s="14">
        <f>32.0376 * CHOOSE(CONTROL!$C$15, $E$9, 100%, $G$9) + CHOOSE(CONTROL!$C$38, 0.0369, 0)</f>
        <v>32.0745</v>
      </c>
      <c r="I438" s="14">
        <f>32.0392 * CHOOSE(CONTROL!$C$15, $E$9, 100%, $G$9) + CHOOSE(CONTROL!$C$38, 0.0369, 0)</f>
        <v>32.076100000000004</v>
      </c>
      <c r="J438" s="44">
        <f>274.1748</f>
        <v>274.1748</v>
      </c>
    </row>
    <row r="439" spans="1:10" ht="15.75" x14ac:dyDescent="0.25">
      <c r="A439" s="33">
        <v>54301</v>
      </c>
      <c r="B439" s="14">
        <f>34.1757 * CHOOSE(CONTROL!$C$15, $E$9, 100%, $G$9) + CHOOSE(CONTROL!$C$38, 0.0278, 0)</f>
        <v>34.203499999999998</v>
      </c>
      <c r="C439" s="14">
        <f>32.1981 * CHOOSE(CONTROL!$C$15, $E$9, 100%, $G$9) + CHOOSE(CONTROL!$C$38, 0.0369, 0)</f>
        <v>32.234999999999999</v>
      </c>
      <c r="D439" s="14">
        <f>32.1903 * CHOOSE(CONTROL!$C$15, $E$9, 100%, $G$9) + CHOOSE(CONTROL!$C$38, 0.0369, 0)</f>
        <v>32.227200000000003</v>
      </c>
      <c r="E439" s="46">
        <f>34.0195 * CHOOSE(CONTROL!$C$15, $E$9, 100%, $G$9) + CHOOSE(CONTROL!$C$38, 0.0369, 0)</f>
        <v>34.056400000000004</v>
      </c>
      <c r="F439" s="45">
        <f>34.0195 * CHOOSE(CONTROL!$C$15, $E$9, 100%, $G$9) + CHOOSE(CONTROL!$C$38, 0.0278, 0)</f>
        <v>34.0473</v>
      </c>
      <c r="G439" s="14">
        <f>32.1965 * CHOOSE(CONTROL!$C$15, $E$9, 100%, $G$9) + CHOOSE(CONTROL!$C$38, 0.0369, 0)</f>
        <v>32.233400000000003</v>
      </c>
      <c r="H439" s="14">
        <f>32.1965 * CHOOSE(CONTROL!$C$15, $E$9, 100%, $G$9) + CHOOSE(CONTROL!$C$38, 0.0369, 0)</f>
        <v>32.233400000000003</v>
      </c>
      <c r="I439" s="14">
        <f>32.1981 * CHOOSE(CONTROL!$C$15, $E$9, 100%, $G$9) + CHOOSE(CONTROL!$C$38, 0.0369, 0)</f>
        <v>32.234999999999999</v>
      </c>
      <c r="J439" s="44">
        <f>267.7921</f>
        <v>267.7921</v>
      </c>
    </row>
    <row r="440" spans="1:10" ht="15.75" x14ac:dyDescent="0.25">
      <c r="A440" s="33">
        <v>54331</v>
      </c>
      <c r="B440" s="14">
        <f>34.6074 * CHOOSE(CONTROL!$C$15, $E$9, 100%, $G$9) + CHOOSE(CONTROL!$C$38, 0.0278, 0)</f>
        <v>34.635199999999998</v>
      </c>
      <c r="C440" s="14">
        <f>32.6298 * CHOOSE(CONTROL!$C$15, $E$9, 100%, $G$9) + CHOOSE(CONTROL!$C$38, 0.0369, 0)</f>
        <v>32.666700000000006</v>
      </c>
      <c r="D440" s="14">
        <f>32.622 * CHOOSE(CONTROL!$C$15, $E$9, 100%, $G$9) + CHOOSE(CONTROL!$C$38, 0.0369, 0)</f>
        <v>32.658900000000003</v>
      </c>
      <c r="E440" s="46">
        <f>34.4512 * CHOOSE(CONTROL!$C$15, $E$9, 100%, $G$9) + CHOOSE(CONTROL!$C$38, 0.0369, 0)</f>
        <v>34.488100000000003</v>
      </c>
      <c r="F440" s="45">
        <f>34.4512 * CHOOSE(CONTROL!$C$15, $E$9, 100%, $G$9) + CHOOSE(CONTROL!$C$38, 0.0278, 0)</f>
        <v>34.478999999999999</v>
      </c>
      <c r="G440" s="14">
        <f>32.6283 * CHOOSE(CONTROL!$C$15, $E$9, 100%, $G$9) + CHOOSE(CONTROL!$C$38, 0.0369, 0)</f>
        <v>32.665200000000006</v>
      </c>
      <c r="H440" s="14">
        <f>32.6283 * CHOOSE(CONTROL!$C$15, $E$9, 100%, $G$9) + CHOOSE(CONTROL!$C$38, 0.0369, 0)</f>
        <v>32.665200000000006</v>
      </c>
      <c r="I440" s="14">
        <f>32.6298 * CHOOSE(CONTROL!$C$15, $E$9, 100%, $G$9) + CHOOSE(CONTROL!$C$38, 0.0369, 0)</f>
        <v>32.666700000000006</v>
      </c>
      <c r="J440" s="44">
        <f>258.8912</f>
        <v>258.89120000000003</v>
      </c>
    </row>
    <row r="441" spans="1:10" ht="15.75" x14ac:dyDescent="0.25">
      <c r="A441" s="33">
        <v>54362</v>
      </c>
      <c r="B441" s="14">
        <f>34.969 * CHOOSE(CONTROL!$C$15, $E$9, 100%, $G$9) + CHOOSE(CONTROL!$C$38, 0.0256, 0)</f>
        <v>34.994599999999998</v>
      </c>
      <c r="C441" s="14">
        <f>32.9914 * CHOOSE(CONTROL!$C$15, $E$9, 100%, $G$9) + CHOOSE(CONTROL!$C$38, 0.0347, 0)</f>
        <v>33.0261</v>
      </c>
      <c r="D441" s="14">
        <f>32.9836 * CHOOSE(CONTROL!$C$15, $E$9, 100%, $G$9) + CHOOSE(CONTROL!$C$38, 0.0347, 0)</f>
        <v>33.018300000000004</v>
      </c>
      <c r="E441" s="46">
        <f>34.8127 * CHOOSE(CONTROL!$C$15, $E$9, 100%, $G$9) + CHOOSE(CONTROL!$C$38, 0.0347, 0)</f>
        <v>34.8474</v>
      </c>
      <c r="F441" s="45">
        <f>34.8127 * CHOOSE(CONTROL!$C$15, $E$9, 100%, $G$9) + CHOOSE(CONTROL!$C$38, 0.0256, 0)</f>
        <v>34.838299999999997</v>
      </c>
      <c r="G441" s="14">
        <f>32.9898 * CHOOSE(CONTROL!$C$15, $E$9, 100%, $G$9) + CHOOSE(CONTROL!$C$38, 0.0347, 0)</f>
        <v>33.024500000000003</v>
      </c>
      <c r="H441" s="14">
        <f>32.9898 * CHOOSE(CONTROL!$C$15, $E$9, 100%, $G$9) + CHOOSE(CONTROL!$C$38, 0.0347, 0)</f>
        <v>33.024500000000003</v>
      </c>
      <c r="I441" s="14">
        <f>32.9914 * CHOOSE(CONTROL!$C$15, $E$9, 100%, $G$9) + CHOOSE(CONTROL!$C$38, 0.0347, 0)</f>
        <v>33.0261</v>
      </c>
      <c r="J441" s="44">
        <f>249.9385</f>
        <v>249.9385</v>
      </c>
    </row>
    <row r="442" spans="1:10" ht="15.75" x14ac:dyDescent="0.25">
      <c r="A442" s="33">
        <v>54392</v>
      </c>
      <c r="B442" s="14">
        <f>35.2707 * CHOOSE(CONTROL!$C$15, $E$9, 100%, $G$9) + CHOOSE(CONTROL!$C$38, 0.0256, 0)</f>
        <v>35.296299999999995</v>
      </c>
      <c r="C442" s="14">
        <f>33.2931 * CHOOSE(CONTROL!$C$15, $E$9, 100%, $G$9) + CHOOSE(CONTROL!$C$38, 0.0347, 0)</f>
        <v>33.327800000000003</v>
      </c>
      <c r="D442" s="14">
        <f>33.2853 * CHOOSE(CONTROL!$C$15, $E$9, 100%, $G$9) + CHOOSE(CONTROL!$C$38, 0.0347, 0)</f>
        <v>33.32</v>
      </c>
      <c r="E442" s="46">
        <f>35.1144 * CHOOSE(CONTROL!$C$15, $E$9, 100%, $G$9) + CHOOSE(CONTROL!$C$38, 0.0347, 0)</f>
        <v>35.149100000000004</v>
      </c>
      <c r="F442" s="45">
        <f>35.1144 * CHOOSE(CONTROL!$C$15, $E$9, 100%, $G$9) + CHOOSE(CONTROL!$C$38, 0.0256, 0)</f>
        <v>35.14</v>
      </c>
      <c r="G442" s="14">
        <f>33.2915 * CHOOSE(CONTROL!$C$15, $E$9, 100%, $G$9) + CHOOSE(CONTROL!$C$38, 0.0347, 0)</f>
        <v>33.3262</v>
      </c>
      <c r="H442" s="14">
        <f>33.2915 * CHOOSE(CONTROL!$C$15, $E$9, 100%, $G$9) + CHOOSE(CONTROL!$C$38, 0.0347, 0)</f>
        <v>33.3262</v>
      </c>
      <c r="I442" s="14">
        <f>33.2931 * CHOOSE(CONTROL!$C$15, $E$9, 100%, $G$9) + CHOOSE(CONTROL!$C$38, 0.0347, 0)</f>
        <v>33.327800000000003</v>
      </c>
      <c r="J442" s="44">
        <f>248.1576</f>
        <v>248.1576</v>
      </c>
    </row>
    <row r="443" spans="1:10" ht="15.75" x14ac:dyDescent="0.25">
      <c r="A443" s="33">
        <v>54423</v>
      </c>
      <c r="B443" s="14">
        <f>36.2004 * CHOOSE(CONTROL!$C$15, $E$9, 100%, $G$9) + CHOOSE(CONTROL!$C$38, 0.0256, 0)</f>
        <v>36.225999999999999</v>
      </c>
      <c r="C443" s="14">
        <f>34.2228 * CHOOSE(CONTROL!$C$15, $E$9, 100%, $G$9) + CHOOSE(CONTROL!$C$38, 0.0347, 0)</f>
        <v>34.2575</v>
      </c>
      <c r="D443" s="14">
        <f>34.2149 * CHOOSE(CONTROL!$C$15, $E$9, 100%, $G$9) + CHOOSE(CONTROL!$C$38, 0.0347, 0)</f>
        <v>34.249600000000001</v>
      </c>
      <c r="E443" s="46">
        <f>36.0441 * CHOOSE(CONTROL!$C$15, $E$9, 100%, $G$9) + CHOOSE(CONTROL!$C$38, 0.0347, 0)</f>
        <v>36.078800000000001</v>
      </c>
      <c r="F443" s="45">
        <f>36.0441 * CHOOSE(CONTROL!$C$15, $E$9, 100%, $G$9) + CHOOSE(CONTROL!$C$38, 0.0256, 0)</f>
        <v>36.069699999999997</v>
      </c>
      <c r="G443" s="14">
        <f>34.2212 * CHOOSE(CONTROL!$C$15, $E$9, 100%, $G$9) + CHOOSE(CONTROL!$C$38, 0.0347, 0)</f>
        <v>34.255900000000004</v>
      </c>
      <c r="H443" s="14">
        <f>34.2212 * CHOOSE(CONTROL!$C$15, $E$9, 100%, $G$9) + CHOOSE(CONTROL!$C$38, 0.0347, 0)</f>
        <v>34.255900000000004</v>
      </c>
      <c r="I443" s="14">
        <f>34.2228 * CHOOSE(CONTROL!$C$15, $E$9, 100%, $G$9) + CHOOSE(CONTROL!$C$38, 0.0347, 0)</f>
        <v>34.2575</v>
      </c>
      <c r="J443" s="44">
        <f>240.7935</f>
        <v>240.79349999999999</v>
      </c>
    </row>
    <row r="444" spans="1:10" ht="15.75" x14ac:dyDescent="0.25">
      <c r="A444" s="33">
        <v>54454</v>
      </c>
      <c r="B444" s="14">
        <f>37.5176 * CHOOSE(CONTROL!$C$15, $E$9, 100%, $G$9) + CHOOSE(CONTROL!$C$38, 0.0256, 0)</f>
        <v>37.543199999999999</v>
      </c>
      <c r="C444" s="14">
        <f>35.5094 * CHOOSE(CONTROL!$C$15, $E$9, 100%, $G$9) + CHOOSE(CONTROL!$C$38, 0.0347, 0)</f>
        <v>35.5441</v>
      </c>
      <c r="D444" s="14">
        <f>35.5016 * CHOOSE(CONTROL!$C$15, $E$9, 100%, $G$9) + CHOOSE(CONTROL!$C$38, 0.0347, 0)</f>
        <v>35.536300000000004</v>
      </c>
      <c r="E444" s="46">
        <f>37.3614 * CHOOSE(CONTROL!$C$15, $E$9, 100%, $G$9) + CHOOSE(CONTROL!$C$38, 0.0347, 0)</f>
        <v>37.396100000000004</v>
      </c>
      <c r="F444" s="45">
        <f>37.3614 * CHOOSE(CONTROL!$C$15, $E$9, 100%, $G$9) + CHOOSE(CONTROL!$C$38, 0.0256, 0)</f>
        <v>37.387</v>
      </c>
      <c r="G444" s="14">
        <f>35.5078 * CHOOSE(CONTROL!$C$15, $E$9, 100%, $G$9) + CHOOSE(CONTROL!$C$38, 0.0347, 0)</f>
        <v>35.542500000000004</v>
      </c>
      <c r="H444" s="14">
        <f>35.5078 * CHOOSE(CONTROL!$C$15, $E$9, 100%, $G$9) + CHOOSE(CONTROL!$C$38, 0.0347, 0)</f>
        <v>35.542500000000004</v>
      </c>
      <c r="I444" s="14">
        <f>35.5094 * CHOOSE(CONTROL!$C$15, $E$9, 100%, $G$9) + CHOOSE(CONTROL!$C$38, 0.0347, 0)</f>
        <v>35.5441</v>
      </c>
      <c r="J444" s="44">
        <f>240.483</f>
        <v>240.483</v>
      </c>
    </row>
    <row r="445" spans="1:10" ht="15.75" x14ac:dyDescent="0.25">
      <c r="A445" s="33">
        <v>54482</v>
      </c>
      <c r="B445" s="14">
        <f>37.8619 * CHOOSE(CONTROL!$C$15, $E$9, 100%, $G$9) + CHOOSE(CONTROL!$C$38, 0.0256, 0)</f>
        <v>37.887499999999996</v>
      </c>
      <c r="C445" s="14">
        <f>35.8537 * CHOOSE(CONTROL!$C$15, $E$9, 100%, $G$9) + CHOOSE(CONTROL!$C$38, 0.0347, 0)</f>
        <v>35.888400000000004</v>
      </c>
      <c r="D445" s="14">
        <f>35.8459 * CHOOSE(CONTROL!$C$15, $E$9, 100%, $G$9) + CHOOSE(CONTROL!$C$38, 0.0347, 0)</f>
        <v>35.880600000000001</v>
      </c>
      <c r="E445" s="46">
        <f>37.7057 * CHOOSE(CONTROL!$C$15, $E$9, 100%, $G$9) + CHOOSE(CONTROL!$C$38, 0.0347, 0)</f>
        <v>37.740400000000001</v>
      </c>
      <c r="F445" s="45">
        <f>37.7057 * CHOOSE(CONTROL!$C$15, $E$9, 100%, $G$9) + CHOOSE(CONTROL!$C$38, 0.0256, 0)</f>
        <v>37.731299999999997</v>
      </c>
      <c r="G445" s="14">
        <f>35.8522 * CHOOSE(CONTROL!$C$15, $E$9, 100%, $G$9) + CHOOSE(CONTROL!$C$38, 0.0347, 0)</f>
        <v>35.886900000000004</v>
      </c>
      <c r="H445" s="14">
        <f>35.8522 * CHOOSE(CONTROL!$C$15, $E$9, 100%, $G$9) + CHOOSE(CONTROL!$C$38, 0.0347, 0)</f>
        <v>35.886900000000004</v>
      </c>
      <c r="I445" s="14">
        <f>35.8537 * CHOOSE(CONTROL!$C$15, $E$9, 100%, $G$9) + CHOOSE(CONTROL!$C$38, 0.0347, 0)</f>
        <v>35.888400000000004</v>
      </c>
      <c r="J445" s="44">
        <f>239.8145</f>
        <v>239.81450000000001</v>
      </c>
    </row>
    <row r="446" spans="1:10" ht="15.75" x14ac:dyDescent="0.25">
      <c r="A446" s="33">
        <v>54513</v>
      </c>
      <c r="B446" s="14">
        <f>37.0649 * CHOOSE(CONTROL!$C$15, $E$9, 100%, $G$9) + CHOOSE(CONTROL!$C$38, 0.0256, 0)</f>
        <v>37.090499999999999</v>
      </c>
      <c r="C446" s="14">
        <f>35.0567 * CHOOSE(CONTROL!$C$15, $E$9, 100%, $G$9) + CHOOSE(CONTROL!$C$38, 0.0347, 0)</f>
        <v>35.0914</v>
      </c>
      <c r="D446" s="14">
        <f>35.0489 * CHOOSE(CONTROL!$C$15, $E$9, 100%, $G$9) + CHOOSE(CONTROL!$C$38, 0.0347, 0)</f>
        <v>35.083600000000004</v>
      </c>
      <c r="E446" s="46">
        <f>36.9086 * CHOOSE(CONTROL!$C$15, $E$9, 100%, $G$9) + CHOOSE(CONTROL!$C$38, 0.0347, 0)</f>
        <v>36.943300000000001</v>
      </c>
      <c r="F446" s="45">
        <f>36.9086 * CHOOSE(CONTROL!$C$15, $E$9, 100%, $G$9) + CHOOSE(CONTROL!$C$38, 0.0256, 0)</f>
        <v>36.934199999999997</v>
      </c>
      <c r="G446" s="14">
        <f>35.0551 * CHOOSE(CONTROL!$C$15, $E$9, 100%, $G$9) + CHOOSE(CONTROL!$C$38, 0.0347, 0)</f>
        <v>35.089800000000004</v>
      </c>
      <c r="H446" s="14">
        <f>35.0551 * CHOOSE(CONTROL!$C$15, $E$9, 100%, $G$9) + CHOOSE(CONTROL!$C$38, 0.0347, 0)</f>
        <v>35.089800000000004</v>
      </c>
      <c r="I446" s="14">
        <f>35.0567 * CHOOSE(CONTROL!$C$15, $E$9, 100%, $G$9) + CHOOSE(CONTROL!$C$38, 0.0347, 0)</f>
        <v>35.0914</v>
      </c>
      <c r="J446" s="44">
        <f>252.4541</f>
        <v>252.45410000000001</v>
      </c>
    </row>
    <row r="447" spans="1:10" ht="15.75" x14ac:dyDescent="0.25">
      <c r="A447" s="33">
        <v>54543</v>
      </c>
      <c r="B447" s="14">
        <f>36.2926 * CHOOSE(CONTROL!$C$15, $E$9, 100%, $G$9) + CHOOSE(CONTROL!$C$38, 0.0256, 0)</f>
        <v>36.318199999999997</v>
      </c>
      <c r="C447" s="14">
        <f>34.2844 * CHOOSE(CONTROL!$C$15, $E$9, 100%, $G$9) + CHOOSE(CONTROL!$C$38, 0.0347, 0)</f>
        <v>34.319099999999999</v>
      </c>
      <c r="D447" s="14">
        <f>34.2766 * CHOOSE(CONTROL!$C$15, $E$9, 100%, $G$9) + CHOOSE(CONTROL!$C$38, 0.0347, 0)</f>
        <v>34.311300000000003</v>
      </c>
      <c r="E447" s="46">
        <f>36.1363 * CHOOSE(CONTROL!$C$15, $E$9, 100%, $G$9) + CHOOSE(CONTROL!$C$38, 0.0347, 0)</f>
        <v>36.170999999999999</v>
      </c>
      <c r="F447" s="45">
        <f>36.1363 * CHOOSE(CONTROL!$C$15, $E$9, 100%, $G$9) + CHOOSE(CONTROL!$C$38, 0.0256, 0)</f>
        <v>36.161899999999996</v>
      </c>
      <c r="G447" s="14">
        <f>34.2828 * CHOOSE(CONTROL!$C$15, $E$9, 100%, $G$9) + CHOOSE(CONTROL!$C$38, 0.0347, 0)</f>
        <v>34.317500000000003</v>
      </c>
      <c r="H447" s="14">
        <f>34.2828 * CHOOSE(CONTROL!$C$15, $E$9, 100%, $G$9) + CHOOSE(CONTROL!$C$38, 0.0347, 0)</f>
        <v>34.317500000000003</v>
      </c>
      <c r="I447" s="14">
        <f>34.2844 * CHOOSE(CONTROL!$C$15, $E$9, 100%, $G$9) + CHOOSE(CONTROL!$C$38, 0.0347, 0)</f>
        <v>34.319099999999999</v>
      </c>
      <c r="J447" s="44">
        <f>268.8447</f>
        <v>268.84469999999999</v>
      </c>
    </row>
    <row r="448" spans="1:10" ht="15.75" x14ac:dyDescent="0.25">
      <c r="A448" s="33">
        <v>54574</v>
      </c>
      <c r="B448" s="14">
        <f>35.4876 * CHOOSE(CONTROL!$C$15, $E$9, 100%, $G$9) + CHOOSE(CONTROL!$C$38, 0.0278, 0)</f>
        <v>35.5154</v>
      </c>
      <c r="C448" s="14">
        <f>33.4794 * CHOOSE(CONTROL!$C$15, $E$9, 100%, $G$9) + CHOOSE(CONTROL!$C$38, 0.0369, 0)</f>
        <v>33.516300000000001</v>
      </c>
      <c r="D448" s="14">
        <f>33.4716 * CHOOSE(CONTROL!$C$15, $E$9, 100%, $G$9) + CHOOSE(CONTROL!$C$38, 0.0369, 0)</f>
        <v>33.508500000000005</v>
      </c>
      <c r="E448" s="46">
        <f>35.3314 * CHOOSE(CONTROL!$C$15, $E$9, 100%, $G$9) + CHOOSE(CONTROL!$C$38, 0.0369, 0)</f>
        <v>35.368300000000005</v>
      </c>
      <c r="F448" s="45">
        <f>35.3314 * CHOOSE(CONTROL!$C$15, $E$9, 100%, $G$9) + CHOOSE(CONTROL!$C$38, 0.0278, 0)</f>
        <v>35.359200000000001</v>
      </c>
      <c r="G448" s="14">
        <f>33.4779 * CHOOSE(CONTROL!$C$15, $E$9, 100%, $G$9) + CHOOSE(CONTROL!$C$38, 0.0369, 0)</f>
        <v>33.514800000000001</v>
      </c>
      <c r="H448" s="14">
        <f>33.4779 * CHOOSE(CONTROL!$C$15, $E$9, 100%, $G$9) + CHOOSE(CONTROL!$C$38, 0.0369, 0)</f>
        <v>33.514800000000001</v>
      </c>
      <c r="I448" s="14">
        <f>33.4794 * CHOOSE(CONTROL!$C$15, $E$9, 100%, $G$9) + CHOOSE(CONTROL!$C$38, 0.0369, 0)</f>
        <v>33.516300000000001</v>
      </c>
      <c r="J448" s="44">
        <f>277.8666</f>
        <v>277.86660000000001</v>
      </c>
    </row>
    <row r="449" spans="1:10" ht="15.75" x14ac:dyDescent="0.25">
      <c r="A449" s="33">
        <v>54604</v>
      </c>
      <c r="B449" s="14">
        <f>34.9233 * CHOOSE(CONTROL!$C$15, $E$9, 100%, $G$9) + CHOOSE(CONTROL!$C$38, 0.0278, 0)</f>
        <v>34.951099999999997</v>
      </c>
      <c r="C449" s="14">
        <f>32.9151 * CHOOSE(CONTROL!$C$15, $E$9, 100%, $G$9) + CHOOSE(CONTROL!$C$38, 0.0369, 0)</f>
        <v>32.952000000000005</v>
      </c>
      <c r="D449" s="14">
        <f>32.9073 * CHOOSE(CONTROL!$C$15, $E$9, 100%, $G$9) + CHOOSE(CONTROL!$C$38, 0.0369, 0)</f>
        <v>32.944200000000002</v>
      </c>
      <c r="E449" s="46">
        <f>34.767 * CHOOSE(CONTROL!$C$15, $E$9, 100%, $G$9) + CHOOSE(CONTROL!$C$38, 0.0369, 0)</f>
        <v>34.803900000000006</v>
      </c>
      <c r="F449" s="45">
        <f>34.767 * CHOOSE(CONTROL!$C$15, $E$9, 100%, $G$9) + CHOOSE(CONTROL!$C$38, 0.0278, 0)</f>
        <v>34.794800000000002</v>
      </c>
      <c r="G449" s="14">
        <f>32.9135 * CHOOSE(CONTROL!$C$15, $E$9, 100%, $G$9) + CHOOSE(CONTROL!$C$38, 0.0369, 0)</f>
        <v>32.950400000000002</v>
      </c>
      <c r="H449" s="14">
        <f>32.9135 * CHOOSE(CONTROL!$C$15, $E$9, 100%, $G$9) + CHOOSE(CONTROL!$C$38, 0.0369, 0)</f>
        <v>32.950400000000002</v>
      </c>
      <c r="I449" s="14">
        <f>32.9151 * CHOOSE(CONTROL!$C$15, $E$9, 100%, $G$9) + CHOOSE(CONTROL!$C$38, 0.0369, 0)</f>
        <v>32.952000000000005</v>
      </c>
      <c r="J449" s="44">
        <f>281.8703</f>
        <v>281.87029999999999</v>
      </c>
    </row>
    <row r="450" spans="1:10" ht="15.75" x14ac:dyDescent="0.25">
      <c r="A450" s="33">
        <v>54635</v>
      </c>
      <c r="B450" s="14">
        <f>34.6012 * CHOOSE(CONTROL!$C$15, $E$9, 100%, $G$9) + CHOOSE(CONTROL!$C$38, 0.0278, 0)</f>
        <v>34.628999999999998</v>
      </c>
      <c r="C450" s="14">
        <f>32.593 * CHOOSE(CONTROL!$C$15, $E$9, 100%, $G$9) + CHOOSE(CONTROL!$C$38, 0.0369, 0)</f>
        <v>32.629900000000006</v>
      </c>
      <c r="D450" s="14">
        <f>32.5852 * CHOOSE(CONTROL!$C$15, $E$9, 100%, $G$9) + CHOOSE(CONTROL!$C$38, 0.0369, 0)</f>
        <v>32.622100000000003</v>
      </c>
      <c r="E450" s="46">
        <f>34.445 * CHOOSE(CONTROL!$C$15, $E$9, 100%, $G$9) + CHOOSE(CONTROL!$C$38, 0.0369, 0)</f>
        <v>34.481900000000003</v>
      </c>
      <c r="F450" s="45">
        <f>34.445 * CHOOSE(CONTROL!$C$15, $E$9, 100%, $G$9) + CHOOSE(CONTROL!$C$38, 0.0278, 0)</f>
        <v>34.472799999999999</v>
      </c>
      <c r="G450" s="14">
        <f>32.5915 * CHOOSE(CONTROL!$C$15, $E$9, 100%, $G$9) + CHOOSE(CONTROL!$C$38, 0.0369, 0)</f>
        <v>32.628400000000006</v>
      </c>
      <c r="H450" s="14">
        <f>32.5915 * CHOOSE(CONTROL!$C$15, $E$9, 100%, $G$9) + CHOOSE(CONTROL!$C$38, 0.0369, 0)</f>
        <v>32.628400000000006</v>
      </c>
      <c r="I450" s="14">
        <f>32.593 * CHOOSE(CONTROL!$C$15, $E$9, 100%, $G$9) + CHOOSE(CONTROL!$C$38, 0.0369, 0)</f>
        <v>32.629900000000006</v>
      </c>
      <c r="J450" s="44">
        <f>280.5521</f>
        <v>280.5521</v>
      </c>
    </row>
    <row r="451" spans="1:10" ht="15.75" x14ac:dyDescent="0.25">
      <c r="A451" s="33">
        <v>54666</v>
      </c>
      <c r="B451" s="14">
        <f>34.7602 * CHOOSE(CONTROL!$C$15, $E$9, 100%, $G$9) + CHOOSE(CONTROL!$C$38, 0.0278, 0)</f>
        <v>34.787999999999997</v>
      </c>
      <c r="C451" s="14">
        <f>32.752 * CHOOSE(CONTROL!$C$15, $E$9, 100%, $G$9) + CHOOSE(CONTROL!$C$38, 0.0369, 0)</f>
        <v>32.788900000000005</v>
      </c>
      <c r="D451" s="14">
        <f>32.7442 * CHOOSE(CONTROL!$C$15, $E$9, 100%, $G$9) + CHOOSE(CONTROL!$C$38, 0.0369, 0)</f>
        <v>32.781100000000002</v>
      </c>
      <c r="E451" s="46">
        <f>34.6039 * CHOOSE(CONTROL!$C$15, $E$9, 100%, $G$9) + CHOOSE(CONTROL!$C$38, 0.0369, 0)</f>
        <v>34.640800000000006</v>
      </c>
      <c r="F451" s="45">
        <f>34.6039 * CHOOSE(CONTROL!$C$15, $E$9, 100%, $G$9) + CHOOSE(CONTROL!$C$38, 0.0278, 0)</f>
        <v>34.631700000000002</v>
      </c>
      <c r="G451" s="14">
        <f>32.7504 * CHOOSE(CONTROL!$C$15, $E$9, 100%, $G$9) + CHOOSE(CONTROL!$C$38, 0.0369, 0)</f>
        <v>32.787300000000002</v>
      </c>
      <c r="H451" s="14">
        <f>32.7504 * CHOOSE(CONTROL!$C$15, $E$9, 100%, $G$9) + CHOOSE(CONTROL!$C$38, 0.0369, 0)</f>
        <v>32.787300000000002</v>
      </c>
      <c r="I451" s="14">
        <f>32.752 * CHOOSE(CONTROL!$C$15, $E$9, 100%, $G$9) + CHOOSE(CONTROL!$C$38, 0.0369, 0)</f>
        <v>32.788900000000005</v>
      </c>
      <c r="J451" s="44">
        <f>274.021</f>
        <v>274.02100000000002</v>
      </c>
    </row>
    <row r="452" spans="1:10" ht="15.75" x14ac:dyDescent="0.25">
      <c r="A452" s="33">
        <v>54696</v>
      </c>
      <c r="B452" s="14">
        <f>35.1919 * CHOOSE(CONTROL!$C$15, $E$9, 100%, $G$9) + CHOOSE(CONTROL!$C$38, 0.0278, 0)</f>
        <v>35.219699999999996</v>
      </c>
      <c r="C452" s="14">
        <f>33.1837 * CHOOSE(CONTROL!$C$15, $E$9, 100%, $G$9) + CHOOSE(CONTROL!$C$38, 0.0369, 0)</f>
        <v>33.220600000000005</v>
      </c>
      <c r="D452" s="14">
        <f>33.1759 * CHOOSE(CONTROL!$C$15, $E$9, 100%, $G$9) + CHOOSE(CONTROL!$C$38, 0.0369, 0)</f>
        <v>33.212800000000001</v>
      </c>
      <c r="E452" s="46">
        <f>35.0356 * CHOOSE(CONTROL!$C$15, $E$9, 100%, $G$9) + CHOOSE(CONTROL!$C$38, 0.0369, 0)</f>
        <v>35.072500000000005</v>
      </c>
      <c r="F452" s="45">
        <f>35.0356 * CHOOSE(CONTROL!$C$15, $E$9, 100%, $G$9) + CHOOSE(CONTROL!$C$38, 0.0278, 0)</f>
        <v>35.063400000000001</v>
      </c>
      <c r="G452" s="14">
        <f>33.1821 * CHOOSE(CONTROL!$C$15, $E$9, 100%, $G$9) + CHOOSE(CONTROL!$C$38, 0.0369, 0)</f>
        <v>33.219000000000001</v>
      </c>
      <c r="H452" s="14">
        <f>33.1821 * CHOOSE(CONTROL!$C$15, $E$9, 100%, $G$9) + CHOOSE(CONTROL!$C$38, 0.0369, 0)</f>
        <v>33.219000000000001</v>
      </c>
      <c r="I452" s="14">
        <f>33.1837 * CHOOSE(CONTROL!$C$15, $E$9, 100%, $G$9) + CHOOSE(CONTROL!$C$38, 0.0369, 0)</f>
        <v>33.220600000000005</v>
      </c>
      <c r="J452" s="44">
        <f>264.913</f>
        <v>264.91300000000001</v>
      </c>
    </row>
    <row r="453" spans="1:10" ht="15.75" x14ac:dyDescent="0.25">
      <c r="A453" s="33">
        <v>54727</v>
      </c>
      <c r="B453" s="14">
        <f>35.5534 * CHOOSE(CONTROL!$C$15, $E$9, 100%, $G$9) + CHOOSE(CONTROL!$C$38, 0.0256, 0)</f>
        <v>35.579000000000001</v>
      </c>
      <c r="C453" s="14">
        <f>33.5452 * CHOOSE(CONTROL!$C$15, $E$9, 100%, $G$9) + CHOOSE(CONTROL!$C$38, 0.0347, 0)</f>
        <v>33.579900000000002</v>
      </c>
      <c r="D453" s="14">
        <f>33.5374 * CHOOSE(CONTROL!$C$15, $E$9, 100%, $G$9) + CHOOSE(CONTROL!$C$38, 0.0347, 0)</f>
        <v>33.572099999999999</v>
      </c>
      <c r="E453" s="46">
        <f>35.3972 * CHOOSE(CONTROL!$C$15, $E$9, 100%, $G$9) + CHOOSE(CONTROL!$C$38, 0.0347, 0)</f>
        <v>35.431899999999999</v>
      </c>
      <c r="F453" s="45">
        <f>35.3972 * CHOOSE(CONTROL!$C$15, $E$9, 100%, $G$9) + CHOOSE(CONTROL!$C$38, 0.0256, 0)</f>
        <v>35.422799999999995</v>
      </c>
      <c r="G453" s="14">
        <f>33.5437 * CHOOSE(CONTROL!$C$15, $E$9, 100%, $G$9) + CHOOSE(CONTROL!$C$38, 0.0347, 0)</f>
        <v>33.578400000000002</v>
      </c>
      <c r="H453" s="14">
        <f>33.5437 * CHOOSE(CONTROL!$C$15, $E$9, 100%, $G$9) + CHOOSE(CONTROL!$C$38, 0.0347, 0)</f>
        <v>33.578400000000002</v>
      </c>
      <c r="I453" s="14">
        <f>33.5452 * CHOOSE(CONTROL!$C$15, $E$9, 100%, $G$9) + CHOOSE(CONTROL!$C$38, 0.0347, 0)</f>
        <v>33.579900000000002</v>
      </c>
      <c r="J453" s="44">
        <f>255.752</f>
        <v>255.75200000000001</v>
      </c>
    </row>
    <row r="454" spans="1:10" ht="15.75" x14ac:dyDescent="0.25">
      <c r="A454" s="33">
        <v>54757</v>
      </c>
      <c r="B454" s="14">
        <f>35.8551 * CHOOSE(CONTROL!$C$15, $E$9, 100%, $G$9) + CHOOSE(CONTROL!$C$38, 0.0256, 0)</f>
        <v>35.880699999999997</v>
      </c>
      <c r="C454" s="14">
        <f>33.8469 * CHOOSE(CONTROL!$C$15, $E$9, 100%, $G$9) + CHOOSE(CONTROL!$C$38, 0.0347, 0)</f>
        <v>33.881599999999999</v>
      </c>
      <c r="D454" s="14">
        <f>33.8391 * CHOOSE(CONTROL!$C$15, $E$9, 100%, $G$9) + CHOOSE(CONTROL!$C$38, 0.0347, 0)</f>
        <v>33.873800000000003</v>
      </c>
      <c r="E454" s="46">
        <f>35.6989 * CHOOSE(CONTROL!$C$15, $E$9, 100%, $G$9) + CHOOSE(CONTROL!$C$38, 0.0347, 0)</f>
        <v>35.733600000000003</v>
      </c>
      <c r="F454" s="45">
        <f>35.6989 * CHOOSE(CONTROL!$C$15, $E$9, 100%, $G$9) + CHOOSE(CONTROL!$C$38, 0.0256, 0)</f>
        <v>35.724499999999999</v>
      </c>
      <c r="G454" s="14">
        <f>33.8454 * CHOOSE(CONTROL!$C$15, $E$9, 100%, $G$9) + CHOOSE(CONTROL!$C$38, 0.0347, 0)</f>
        <v>33.880099999999999</v>
      </c>
      <c r="H454" s="14">
        <f>33.8454 * CHOOSE(CONTROL!$C$15, $E$9, 100%, $G$9) + CHOOSE(CONTROL!$C$38, 0.0347, 0)</f>
        <v>33.880099999999999</v>
      </c>
      <c r="I454" s="14">
        <f>33.8469 * CHOOSE(CONTROL!$C$15, $E$9, 100%, $G$9) + CHOOSE(CONTROL!$C$38, 0.0347, 0)</f>
        <v>33.881599999999999</v>
      </c>
      <c r="J454" s="44">
        <f>253.9297</f>
        <v>253.9297</v>
      </c>
    </row>
    <row r="455" spans="1:10" ht="15.75" x14ac:dyDescent="0.25">
      <c r="A455" s="33">
        <v>54788</v>
      </c>
      <c r="B455" s="14">
        <f>36.7848 * CHOOSE(CONTROL!$C$15, $E$9, 100%, $G$9) + CHOOSE(CONTROL!$C$38, 0.0256, 0)</f>
        <v>36.810399999999994</v>
      </c>
      <c r="C455" s="14">
        <f>34.7766 * CHOOSE(CONTROL!$C$15, $E$9, 100%, $G$9) + CHOOSE(CONTROL!$C$38, 0.0347, 0)</f>
        <v>34.811300000000003</v>
      </c>
      <c r="D455" s="14">
        <f>34.7688 * CHOOSE(CONTROL!$C$15, $E$9, 100%, $G$9) + CHOOSE(CONTROL!$C$38, 0.0347, 0)</f>
        <v>34.8035</v>
      </c>
      <c r="E455" s="46">
        <f>36.6286 * CHOOSE(CONTROL!$C$15, $E$9, 100%, $G$9) + CHOOSE(CONTROL!$C$38, 0.0347, 0)</f>
        <v>36.6633</v>
      </c>
      <c r="F455" s="45">
        <f>36.6286 * CHOOSE(CONTROL!$C$15, $E$9, 100%, $G$9) + CHOOSE(CONTROL!$C$38, 0.0256, 0)</f>
        <v>36.654199999999996</v>
      </c>
      <c r="G455" s="14">
        <f>34.775 * CHOOSE(CONTROL!$C$15, $E$9, 100%, $G$9) + CHOOSE(CONTROL!$C$38, 0.0347, 0)</f>
        <v>34.809699999999999</v>
      </c>
      <c r="H455" s="14">
        <f>34.775 * CHOOSE(CONTROL!$C$15, $E$9, 100%, $G$9) + CHOOSE(CONTROL!$C$38, 0.0347, 0)</f>
        <v>34.809699999999999</v>
      </c>
      <c r="I455" s="14">
        <f>34.7766 * CHOOSE(CONTROL!$C$15, $E$9, 100%, $G$9) + CHOOSE(CONTROL!$C$38, 0.0347, 0)</f>
        <v>34.811300000000003</v>
      </c>
      <c r="J455" s="44">
        <f>246.3944</f>
        <v>246.39439999999999</v>
      </c>
    </row>
    <row r="456" spans="1:10" ht="15.75" x14ac:dyDescent="0.25">
      <c r="A456" s="33">
        <v>54819</v>
      </c>
      <c r="B456" s="14">
        <f>38.1119 * CHOOSE(CONTROL!$C$15, $E$9, 100%, $G$9) + CHOOSE(CONTROL!$C$38, 0.0256, 0)</f>
        <v>38.137499999999996</v>
      </c>
      <c r="C456" s="14">
        <f>36.0726 * CHOOSE(CONTROL!$C$15, $E$9, 100%, $G$9) + CHOOSE(CONTROL!$C$38, 0.0347, 0)</f>
        <v>36.107300000000002</v>
      </c>
      <c r="D456" s="14">
        <f>36.0648 * CHOOSE(CONTROL!$C$15, $E$9, 100%, $G$9) + CHOOSE(CONTROL!$C$38, 0.0347, 0)</f>
        <v>36.099499999999999</v>
      </c>
      <c r="E456" s="46">
        <f>37.9556 * CHOOSE(CONTROL!$C$15, $E$9, 100%, $G$9) + CHOOSE(CONTROL!$C$38, 0.0347, 0)</f>
        <v>37.990299999999998</v>
      </c>
      <c r="F456" s="45">
        <f>37.9556 * CHOOSE(CONTROL!$C$15, $E$9, 100%, $G$9) + CHOOSE(CONTROL!$C$38, 0.0256, 0)</f>
        <v>37.981199999999994</v>
      </c>
      <c r="G456" s="14">
        <f>36.071 * CHOOSE(CONTROL!$C$15, $E$9, 100%, $G$9) + CHOOSE(CONTROL!$C$38, 0.0347, 0)</f>
        <v>36.105699999999999</v>
      </c>
      <c r="H456" s="14">
        <f>36.071 * CHOOSE(CONTROL!$C$15, $E$9, 100%, $G$9) + CHOOSE(CONTROL!$C$38, 0.0347, 0)</f>
        <v>36.105699999999999</v>
      </c>
      <c r="I456" s="14">
        <f>36.0726 * CHOOSE(CONTROL!$C$15, $E$9, 100%, $G$9) + CHOOSE(CONTROL!$C$38, 0.0347, 0)</f>
        <v>36.107300000000002</v>
      </c>
      <c r="J456" s="44">
        <f>246.0766</f>
        <v>246.07660000000001</v>
      </c>
    </row>
    <row r="457" spans="1:10" ht="15.75" x14ac:dyDescent="0.25">
      <c r="A457" s="33">
        <v>54847</v>
      </c>
      <c r="B457" s="14">
        <f>38.4562 * CHOOSE(CONTROL!$C$15, $E$9, 100%, $G$9) + CHOOSE(CONTROL!$C$38, 0.0256, 0)</f>
        <v>38.4818</v>
      </c>
      <c r="C457" s="14">
        <f>36.4169 * CHOOSE(CONTROL!$C$15, $E$9, 100%, $G$9) + CHOOSE(CONTROL!$C$38, 0.0347, 0)</f>
        <v>36.451599999999999</v>
      </c>
      <c r="D457" s="14">
        <f>36.4091 * CHOOSE(CONTROL!$C$15, $E$9, 100%, $G$9) + CHOOSE(CONTROL!$C$38, 0.0347, 0)</f>
        <v>36.443800000000003</v>
      </c>
      <c r="E457" s="46">
        <f>38.3 * CHOOSE(CONTROL!$C$15, $E$9, 100%, $G$9) + CHOOSE(CONTROL!$C$38, 0.0347, 0)</f>
        <v>38.334699999999998</v>
      </c>
      <c r="F457" s="45">
        <f>38.3 * CHOOSE(CONTROL!$C$15, $E$9, 100%, $G$9) + CHOOSE(CONTROL!$C$38, 0.0256, 0)</f>
        <v>38.325599999999994</v>
      </c>
      <c r="G457" s="14">
        <f>36.4153 * CHOOSE(CONTROL!$C$15, $E$9, 100%, $G$9) + CHOOSE(CONTROL!$C$38, 0.0347, 0)</f>
        <v>36.450000000000003</v>
      </c>
      <c r="H457" s="14">
        <f>36.4153 * CHOOSE(CONTROL!$C$15, $E$9, 100%, $G$9) + CHOOSE(CONTROL!$C$38, 0.0347, 0)</f>
        <v>36.450000000000003</v>
      </c>
      <c r="I457" s="14">
        <f>36.4169 * CHOOSE(CONTROL!$C$15, $E$9, 100%, $G$9) + CHOOSE(CONTROL!$C$38, 0.0347, 0)</f>
        <v>36.451599999999999</v>
      </c>
      <c r="J457" s="44">
        <f>245.3926</f>
        <v>245.39259999999999</v>
      </c>
    </row>
    <row r="458" spans="1:10" ht="15.75" x14ac:dyDescent="0.25">
      <c r="A458" s="33">
        <v>54878</v>
      </c>
      <c r="B458" s="14">
        <f>37.6592 * CHOOSE(CONTROL!$C$15, $E$9, 100%, $G$9) + CHOOSE(CONTROL!$C$38, 0.0256, 0)</f>
        <v>37.684799999999996</v>
      </c>
      <c r="C458" s="14">
        <f>35.6199 * CHOOSE(CONTROL!$C$15, $E$9, 100%, $G$9) + CHOOSE(CONTROL!$C$38, 0.0347, 0)</f>
        <v>35.654600000000002</v>
      </c>
      <c r="D458" s="14">
        <f>35.612 * CHOOSE(CONTROL!$C$15, $E$9, 100%, $G$9) + CHOOSE(CONTROL!$C$38, 0.0347, 0)</f>
        <v>35.646700000000003</v>
      </c>
      <c r="E458" s="46">
        <f>37.5029 * CHOOSE(CONTROL!$C$15, $E$9, 100%, $G$9) + CHOOSE(CONTROL!$C$38, 0.0347, 0)</f>
        <v>37.537599999999998</v>
      </c>
      <c r="F458" s="45">
        <f>37.5029 * CHOOSE(CONTROL!$C$15, $E$9, 100%, $G$9) + CHOOSE(CONTROL!$C$38, 0.0256, 0)</f>
        <v>37.528499999999994</v>
      </c>
      <c r="G458" s="14">
        <f>35.6183 * CHOOSE(CONTROL!$C$15, $E$9, 100%, $G$9) + CHOOSE(CONTROL!$C$38, 0.0347, 0)</f>
        <v>35.652999999999999</v>
      </c>
      <c r="H458" s="14">
        <f>35.6183 * CHOOSE(CONTROL!$C$15, $E$9, 100%, $G$9) + CHOOSE(CONTROL!$C$38, 0.0347, 0)</f>
        <v>35.652999999999999</v>
      </c>
      <c r="I458" s="14">
        <f>35.6199 * CHOOSE(CONTROL!$C$15, $E$9, 100%, $G$9) + CHOOSE(CONTROL!$C$38, 0.0347, 0)</f>
        <v>35.654600000000002</v>
      </c>
      <c r="J458" s="44">
        <f>258.3262</f>
        <v>258.32619999999997</v>
      </c>
    </row>
    <row r="459" spans="1:10" ht="15.75" x14ac:dyDescent="0.25">
      <c r="A459" s="33">
        <v>54908</v>
      </c>
      <c r="B459" s="14">
        <f>36.8869 * CHOOSE(CONTROL!$C$15, $E$9, 100%, $G$9) + CHOOSE(CONTROL!$C$38, 0.0256, 0)</f>
        <v>36.912499999999994</v>
      </c>
      <c r="C459" s="14">
        <f>34.8475 * CHOOSE(CONTROL!$C$15, $E$9, 100%, $G$9) + CHOOSE(CONTROL!$C$38, 0.0347, 0)</f>
        <v>34.882199999999997</v>
      </c>
      <c r="D459" s="14">
        <f>34.8397 * CHOOSE(CONTROL!$C$15, $E$9, 100%, $G$9) + CHOOSE(CONTROL!$C$38, 0.0347, 0)</f>
        <v>34.874400000000001</v>
      </c>
      <c r="E459" s="46">
        <f>36.7306 * CHOOSE(CONTROL!$C$15, $E$9, 100%, $G$9) + CHOOSE(CONTROL!$C$38, 0.0347, 0)</f>
        <v>36.765300000000003</v>
      </c>
      <c r="F459" s="45">
        <f>36.7306 * CHOOSE(CONTROL!$C$15, $E$9, 100%, $G$9) + CHOOSE(CONTROL!$C$38, 0.0256, 0)</f>
        <v>36.7562</v>
      </c>
      <c r="G459" s="14">
        <f>34.846 * CHOOSE(CONTROL!$C$15, $E$9, 100%, $G$9) + CHOOSE(CONTROL!$C$38, 0.0347, 0)</f>
        <v>34.880699999999997</v>
      </c>
      <c r="H459" s="14">
        <f>34.846 * CHOOSE(CONTROL!$C$15, $E$9, 100%, $G$9) + CHOOSE(CONTROL!$C$38, 0.0347, 0)</f>
        <v>34.880699999999997</v>
      </c>
      <c r="I459" s="14">
        <f>34.8475 * CHOOSE(CONTROL!$C$15, $E$9, 100%, $G$9) + CHOOSE(CONTROL!$C$38, 0.0347, 0)</f>
        <v>34.882199999999997</v>
      </c>
      <c r="J459" s="44">
        <f>275.098</f>
        <v>275.09800000000001</v>
      </c>
    </row>
    <row r="460" spans="1:10" ht="15.75" x14ac:dyDescent="0.25">
      <c r="A460" s="33">
        <v>54939</v>
      </c>
      <c r="B460" s="14">
        <f>36.0819 * CHOOSE(CONTROL!$C$15, $E$9, 100%, $G$9) + CHOOSE(CONTROL!$C$38, 0.0278, 0)</f>
        <v>36.109699999999997</v>
      </c>
      <c r="C460" s="14">
        <f>34.0426 * CHOOSE(CONTROL!$C$15, $E$9, 100%, $G$9) + CHOOSE(CONTROL!$C$38, 0.0369, 0)</f>
        <v>34.079500000000003</v>
      </c>
      <c r="D460" s="14">
        <f>34.0348 * CHOOSE(CONTROL!$C$15, $E$9, 100%, $G$9) + CHOOSE(CONTROL!$C$38, 0.0369, 0)</f>
        <v>34.0717</v>
      </c>
      <c r="E460" s="46">
        <f>35.9256 * CHOOSE(CONTROL!$C$15, $E$9, 100%, $G$9) + CHOOSE(CONTROL!$C$38, 0.0369, 0)</f>
        <v>35.962500000000006</v>
      </c>
      <c r="F460" s="45">
        <f>35.9256 * CHOOSE(CONTROL!$C$15, $E$9, 100%, $G$9) + CHOOSE(CONTROL!$C$38, 0.0278, 0)</f>
        <v>35.953400000000002</v>
      </c>
      <c r="G460" s="14">
        <f>34.041 * CHOOSE(CONTROL!$C$15, $E$9, 100%, $G$9) + CHOOSE(CONTROL!$C$38, 0.0369, 0)</f>
        <v>34.0779</v>
      </c>
      <c r="H460" s="14">
        <f>34.041 * CHOOSE(CONTROL!$C$15, $E$9, 100%, $G$9) + CHOOSE(CONTROL!$C$38, 0.0369, 0)</f>
        <v>34.0779</v>
      </c>
      <c r="I460" s="14">
        <f>34.0426 * CHOOSE(CONTROL!$C$15, $E$9, 100%, $G$9) + CHOOSE(CONTROL!$C$38, 0.0369, 0)</f>
        <v>34.079500000000003</v>
      </c>
      <c r="J460" s="44">
        <f>284.3298</f>
        <v>284.32979999999998</v>
      </c>
    </row>
    <row r="461" spans="1:10" ht="15.75" x14ac:dyDescent="0.25">
      <c r="A461" s="33">
        <v>54969</v>
      </c>
      <c r="B461" s="14">
        <f>35.5176 * CHOOSE(CONTROL!$C$15, $E$9, 100%, $G$9) + CHOOSE(CONTROL!$C$38, 0.0278, 0)</f>
        <v>35.545400000000001</v>
      </c>
      <c r="C461" s="14">
        <f>33.4782 * CHOOSE(CONTROL!$C$15, $E$9, 100%, $G$9) + CHOOSE(CONTROL!$C$38, 0.0369, 0)</f>
        <v>33.515100000000004</v>
      </c>
      <c r="D461" s="14">
        <f>33.4704 * CHOOSE(CONTROL!$C$15, $E$9, 100%, $G$9) + CHOOSE(CONTROL!$C$38, 0.0369, 0)</f>
        <v>33.507300000000001</v>
      </c>
      <c r="E461" s="46">
        <f>35.3613 * CHOOSE(CONTROL!$C$15, $E$9, 100%, $G$9) + CHOOSE(CONTROL!$C$38, 0.0369, 0)</f>
        <v>35.398200000000003</v>
      </c>
      <c r="F461" s="45">
        <f>35.3613 * CHOOSE(CONTROL!$C$15, $E$9, 100%, $G$9) + CHOOSE(CONTROL!$C$38, 0.0278, 0)</f>
        <v>35.389099999999999</v>
      </c>
      <c r="G461" s="14">
        <f>33.4767 * CHOOSE(CONTROL!$C$15, $E$9, 100%, $G$9) + CHOOSE(CONTROL!$C$38, 0.0369, 0)</f>
        <v>33.513600000000004</v>
      </c>
      <c r="H461" s="14">
        <f>33.4767 * CHOOSE(CONTROL!$C$15, $E$9, 100%, $G$9) + CHOOSE(CONTROL!$C$38, 0.0369, 0)</f>
        <v>33.513600000000004</v>
      </c>
      <c r="I461" s="14">
        <f>33.4782 * CHOOSE(CONTROL!$C$15, $E$9, 100%, $G$9) + CHOOSE(CONTROL!$C$38, 0.0369, 0)</f>
        <v>33.515100000000004</v>
      </c>
      <c r="J461" s="44">
        <f>288.4267</f>
        <v>288.42669999999998</v>
      </c>
    </row>
    <row r="462" spans="1:10" ht="15.75" x14ac:dyDescent="0.25">
      <c r="A462" s="33">
        <v>55000</v>
      </c>
      <c r="B462" s="14">
        <f>35.1955 * CHOOSE(CONTROL!$C$15, $E$9, 100%, $G$9) + CHOOSE(CONTROL!$C$38, 0.0278, 0)</f>
        <v>35.223300000000002</v>
      </c>
      <c r="C462" s="14">
        <f>33.1562 * CHOOSE(CONTROL!$C$15, $E$9, 100%, $G$9) + CHOOSE(CONTROL!$C$38, 0.0369, 0)</f>
        <v>33.193100000000001</v>
      </c>
      <c r="D462" s="14">
        <f>33.1484 * CHOOSE(CONTROL!$C$15, $E$9, 100%, $G$9) + CHOOSE(CONTROL!$C$38, 0.0369, 0)</f>
        <v>33.185300000000005</v>
      </c>
      <c r="E462" s="46">
        <f>35.0393 * CHOOSE(CONTROL!$C$15, $E$9, 100%, $G$9) + CHOOSE(CONTROL!$C$38, 0.0369, 0)</f>
        <v>35.0762</v>
      </c>
      <c r="F462" s="45">
        <f>35.0393 * CHOOSE(CONTROL!$C$15, $E$9, 100%, $G$9) + CHOOSE(CONTROL!$C$38, 0.0278, 0)</f>
        <v>35.067099999999996</v>
      </c>
      <c r="G462" s="14">
        <f>33.1546 * CHOOSE(CONTROL!$C$15, $E$9, 100%, $G$9) + CHOOSE(CONTROL!$C$38, 0.0369, 0)</f>
        <v>33.191500000000005</v>
      </c>
      <c r="H462" s="14">
        <f>33.1546 * CHOOSE(CONTROL!$C$15, $E$9, 100%, $G$9) + CHOOSE(CONTROL!$C$38, 0.0369, 0)</f>
        <v>33.191500000000005</v>
      </c>
      <c r="I462" s="14">
        <f>33.1562 * CHOOSE(CONTROL!$C$15, $E$9, 100%, $G$9) + CHOOSE(CONTROL!$C$38, 0.0369, 0)</f>
        <v>33.193100000000001</v>
      </c>
      <c r="J462" s="44">
        <f>287.0778</f>
        <v>287.07780000000002</v>
      </c>
    </row>
    <row r="463" spans="1:10" ht="15.75" x14ac:dyDescent="0.25">
      <c r="A463" s="33">
        <v>55031</v>
      </c>
      <c r="B463" s="14">
        <f>35.3544 * CHOOSE(CONTROL!$C$15, $E$9, 100%, $G$9) + CHOOSE(CONTROL!$C$38, 0.0278, 0)</f>
        <v>35.382199999999997</v>
      </c>
      <c r="C463" s="14">
        <f>33.3151 * CHOOSE(CONTROL!$C$15, $E$9, 100%, $G$9) + CHOOSE(CONTROL!$C$38, 0.0369, 0)</f>
        <v>33.352000000000004</v>
      </c>
      <c r="D463" s="14">
        <f>33.3073 * CHOOSE(CONTROL!$C$15, $E$9, 100%, $G$9) + CHOOSE(CONTROL!$C$38, 0.0369, 0)</f>
        <v>33.344200000000001</v>
      </c>
      <c r="E463" s="46">
        <f>35.1982 * CHOOSE(CONTROL!$C$15, $E$9, 100%, $G$9) + CHOOSE(CONTROL!$C$38, 0.0369, 0)</f>
        <v>35.235100000000003</v>
      </c>
      <c r="F463" s="45">
        <f>35.1982 * CHOOSE(CONTROL!$C$15, $E$9, 100%, $G$9) + CHOOSE(CONTROL!$C$38, 0.0278, 0)</f>
        <v>35.225999999999999</v>
      </c>
      <c r="G463" s="14">
        <f>33.3136 * CHOOSE(CONTROL!$C$15, $E$9, 100%, $G$9) + CHOOSE(CONTROL!$C$38, 0.0369, 0)</f>
        <v>33.350500000000004</v>
      </c>
      <c r="H463" s="14">
        <f>33.3136 * CHOOSE(CONTROL!$C$15, $E$9, 100%, $G$9) + CHOOSE(CONTROL!$C$38, 0.0369, 0)</f>
        <v>33.350500000000004</v>
      </c>
      <c r="I463" s="14">
        <f>33.3151 * CHOOSE(CONTROL!$C$15, $E$9, 100%, $G$9) + CHOOSE(CONTROL!$C$38, 0.0369, 0)</f>
        <v>33.352000000000004</v>
      </c>
      <c r="J463" s="44">
        <f>280.3947</f>
        <v>280.3947</v>
      </c>
    </row>
    <row r="464" spans="1:10" ht="15.75" x14ac:dyDescent="0.25">
      <c r="A464" s="33">
        <v>55061</v>
      </c>
      <c r="B464" s="14">
        <f>35.7862 * CHOOSE(CONTROL!$C$15, $E$9, 100%, $G$9) + CHOOSE(CONTROL!$C$38, 0.0278, 0)</f>
        <v>35.814</v>
      </c>
      <c r="C464" s="14">
        <f>33.7468 * CHOOSE(CONTROL!$C$15, $E$9, 100%, $G$9) + CHOOSE(CONTROL!$C$38, 0.0369, 0)</f>
        <v>33.783700000000003</v>
      </c>
      <c r="D464" s="14">
        <f>33.739 * CHOOSE(CONTROL!$C$15, $E$9, 100%, $G$9) + CHOOSE(CONTROL!$C$38, 0.0369, 0)</f>
        <v>33.7759</v>
      </c>
      <c r="E464" s="46">
        <f>35.6299 * CHOOSE(CONTROL!$C$15, $E$9, 100%, $G$9) + CHOOSE(CONTROL!$C$38, 0.0369, 0)</f>
        <v>35.666800000000002</v>
      </c>
      <c r="F464" s="45">
        <f>35.6299 * CHOOSE(CONTROL!$C$15, $E$9, 100%, $G$9) + CHOOSE(CONTROL!$C$38, 0.0278, 0)</f>
        <v>35.657699999999998</v>
      </c>
      <c r="G464" s="14">
        <f>33.7453 * CHOOSE(CONTROL!$C$15, $E$9, 100%, $G$9) + CHOOSE(CONTROL!$C$38, 0.0369, 0)</f>
        <v>33.782200000000003</v>
      </c>
      <c r="H464" s="14">
        <f>33.7453 * CHOOSE(CONTROL!$C$15, $E$9, 100%, $G$9) + CHOOSE(CONTROL!$C$38, 0.0369, 0)</f>
        <v>33.782200000000003</v>
      </c>
      <c r="I464" s="14">
        <f>33.7468 * CHOOSE(CONTROL!$C$15, $E$9, 100%, $G$9) + CHOOSE(CONTROL!$C$38, 0.0369, 0)</f>
        <v>33.783700000000003</v>
      </c>
      <c r="J464" s="44">
        <f>271.0749</f>
        <v>271.07490000000001</v>
      </c>
    </row>
    <row r="465" spans="1:10" ht="15.75" x14ac:dyDescent="0.25">
      <c r="A465" s="33">
        <v>55092</v>
      </c>
      <c r="B465" s="14">
        <f>36.1477 * CHOOSE(CONTROL!$C$15, $E$9, 100%, $G$9) + CHOOSE(CONTROL!$C$38, 0.0256, 0)</f>
        <v>36.173299999999998</v>
      </c>
      <c r="C465" s="14">
        <f>34.1084 * CHOOSE(CONTROL!$C$15, $E$9, 100%, $G$9) + CHOOSE(CONTROL!$C$38, 0.0347, 0)</f>
        <v>34.143100000000004</v>
      </c>
      <c r="D465" s="14">
        <f>34.1006 * CHOOSE(CONTROL!$C$15, $E$9, 100%, $G$9) + CHOOSE(CONTROL!$C$38, 0.0347, 0)</f>
        <v>34.135300000000001</v>
      </c>
      <c r="E465" s="46">
        <f>35.9915 * CHOOSE(CONTROL!$C$15, $E$9, 100%, $G$9) + CHOOSE(CONTROL!$C$38, 0.0347, 0)</f>
        <v>36.026200000000003</v>
      </c>
      <c r="F465" s="45">
        <f>35.9915 * CHOOSE(CONTROL!$C$15, $E$9, 100%, $G$9) + CHOOSE(CONTROL!$C$38, 0.0256, 0)</f>
        <v>36.017099999999999</v>
      </c>
      <c r="G465" s="14">
        <f>34.1068 * CHOOSE(CONTROL!$C$15, $E$9, 100%, $G$9) + CHOOSE(CONTROL!$C$38, 0.0347, 0)</f>
        <v>34.141500000000001</v>
      </c>
      <c r="H465" s="14">
        <f>34.1068 * CHOOSE(CONTROL!$C$15, $E$9, 100%, $G$9) + CHOOSE(CONTROL!$C$38, 0.0347, 0)</f>
        <v>34.141500000000001</v>
      </c>
      <c r="I465" s="14">
        <f>34.1084 * CHOOSE(CONTROL!$C$15, $E$9, 100%, $G$9) + CHOOSE(CONTROL!$C$38, 0.0347, 0)</f>
        <v>34.143100000000004</v>
      </c>
      <c r="J465" s="44">
        <f>261.7008</f>
        <v>261.70080000000002</v>
      </c>
    </row>
    <row r="466" spans="1:10" ht="15.75" x14ac:dyDescent="0.25">
      <c r="A466" s="33">
        <v>55122</v>
      </c>
      <c r="B466" s="14">
        <f>36.4494 * CHOOSE(CONTROL!$C$15, $E$9, 100%, $G$9) + CHOOSE(CONTROL!$C$38, 0.0256, 0)</f>
        <v>36.474999999999994</v>
      </c>
      <c r="C466" s="14">
        <f>34.4101 * CHOOSE(CONTROL!$C$15, $E$9, 100%, $G$9) + CHOOSE(CONTROL!$C$38, 0.0347, 0)</f>
        <v>34.444800000000001</v>
      </c>
      <c r="D466" s="14">
        <f>34.4023 * CHOOSE(CONTROL!$C$15, $E$9, 100%, $G$9) + CHOOSE(CONTROL!$C$38, 0.0347, 0)</f>
        <v>34.436999999999998</v>
      </c>
      <c r="E466" s="46">
        <f>36.2932 * CHOOSE(CONTROL!$C$15, $E$9, 100%, $G$9) + CHOOSE(CONTROL!$C$38, 0.0347, 0)</f>
        <v>36.3279</v>
      </c>
      <c r="F466" s="45">
        <f>36.2932 * CHOOSE(CONTROL!$C$15, $E$9, 100%, $G$9) + CHOOSE(CONTROL!$C$38, 0.0256, 0)</f>
        <v>36.318799999999996</v>
      </c>
      <c r="G466" s="14">
        <f>34.4085 * CHOOSE(CONTROL!$C$15, $E$9, 100%, $G$9) + CHOOSE(CONTROL!$C$38, 0.0347, 0)</f>
        <v>34.443199999999997</v>
      </c>
      <c r="H466" s="14">
        <f>34.4085 * CHOOSE(CONTROL!$C$15, $E$9, 100%, $G$9) + CHOOSE(CONTROL!$C$38, 0.0347, 0)</f>
        <v>34.443199999999997</v>
      </c>
      <c r="I466" s="14">
        <f>34.4101 * CHOOSE(CONTROL!$C$15, $E$9, 100%, $G$9) + CHOOSE(CONTROL!$C$38, 0.0347, 0)</f>
        <v>34.444800000000001</v>
      </c>
      <c r="J466" s="44">
        <f>259.8361</f>
        <v>259.83609999999999</v>
      </c>
    </row>
    <row r="467" spans="1:10" ht="15.75" x14ac:dyDescent="0.25">
      <c r="A467" s="33">
        <v>55153</v>
      </c>
      <c r="B467" s="14">
        <f>37.3791 * CHOOSE(CONTROL!$C$15, $E$9, 100%, $G$9) + CHOOSE(CONTROL!$C$38, 0.0256, 0)</f>
        <v>37.404699999999998</v>
      </c>
      <c r="C467" s="14">
        <f>35.3398 * CHOOSE(CONTROL!$C$15, $E$9, 100%, $G$9) + CHOOSE(CONTROL!$C$38, 0.0347, 0)</f>
        <v>35.374499999999998</v>
      </c>
      <c r="D467" s="14">
        <f>35.332 * CHOOSE(CONTROL!$C$15, $E$9, 100%, $G$9) + CHOOSE(CONTROL!$C$38, 0.0347, 0)</f>
        <v>35.366700000000002</v>
      </c>
      <c r="E467" s="46">
        <f>37.2228 * CHOOSE(CONTROL!$C$15, $E$9, 100%, $G$9) + CHOOSE(CONTROL!$C$38, 0.0347, 0)</f>
        <v>37.2575</v>
      </c>
      <c r="F467" s="45">
        <f>37.2228 * CHOOSE(CONTROL!$C$15, $E$9, 100%, $G$9) + CHOOSE(CONTROL!$C$38, 0.0256, 0)</f>
        <v>37.248399999999997</v>
      </c>
      <c r="G467" s="14">
        <f>35.3382 * CHOOSE(CONTROL!$C$15, $E$9, 100%, $G$9) + CHOOSE(CONTROL!$C$38, 0.0347, 0)</f>
        <v>35.372900000000001</v>
      </c>
      <c r="H467" s="14">
        <f>35.3382 * CHOOSE(CONTROL!$C$15, $E$9, 100%, $G$9) + CHOOSE(CONTROL!$C$38, 0.0347, 0)</f>
        <v>35.372900000000001</v>
      </c>
      <c r="I467" s="14">
        <f>35.3398 * CHOOSE(CONTROL!$C$15, $E$9, 100%, $G$9) + CHOOSE(CONTROL!$C$38, 0.0347, 0)</f>
        <v>35.374499999999998</v>
      </c>
      <c r="J467" s="44">
        <f>252.1255</f>
        <v>252.12549999999999</v>
      </c>
    </row>
    <row r="468" spans="1:10" ht="15.75" x14ac:dyDescent="0.25">
      <c r="A468" s="33">
        <v>55184</v>
      </c>
      <c r="B468" s="14">
        <f>38.7161 * CHOOSE(CONTROL!$C$15, $E$9, 100%, $G$9) + CHOOSE(CONTROL!$C$38, 0.0256, 0)</f>
        <v>38.741699999999994</v>
      </c>
      <c r="C468" s="14">
        <f>36.6452 * CHOOSE(CONTROL!$C$15, $E$9, 100%, $G$9) + CHOOSE(CONTROL!$C$38, 0.0347, 0)</f>
        <v>36.679900000000004</v>
      </c>
      <c r="D468" s="14">
        <f>36.6374 * CHOOSE(CONTROL!$C$15, $E$9, 100%, $G$9) + CHOOSE(CONTROL!$C$38, 0.0347, 0)</f>
        <v>36.6721</v>
      </c>
      <c r="E468" s="46">
        <f>38.5599 * CHOOSE(CONTROL!$C$15, $E$9, 100%, $G$9) + CHOOSE(CONTROL!$C$38, 0.0347, 0)</f>
        <v>38.5946</v>
      </c>
      <c r="F468" s="45">
        <f>38.5599 * CHOOSE(CONTROL!$C$15, $E$9, 100%, $G$9) + CHOOSE(CONTROL!$C$38, 0.0256, 0)</f>
        <v>38.585499999999996</v>
      </c>
      <c r="G468" s="14">
        <f>36.6436 * CHOOSE(CONTROL!$C$15, $E$9, 100%, $G$9) + CHOOSE(CONTROL!$C$38, 0.0347, 0)</f>
        <v>36.6783</v>
      </c>
      <c r="H468" s="14">
        <f>36.6436 * CHOOSE(CONTROL!$C$15, $E$9, 100%, $G$9) + CHOOSE(CONTROL!$C$38, 0.0347, 0)</f>
        <v>36.6783</v>
      </c>
      <c r="I468" s="14">
        <f>36.6452 * CHOOSE(CONTROL!$C$15, $E$9, 100%, $G$9) + CHOOSE(CONTROL!$C$38, 0.0347, 0)</f>
        <v>36.679900000000004</v>
      </c>
      <c r="J468" s="44">
        <f>251.8004</f>
        <v>251.8004</v>
      </c>
    </row>
    <row r="469" spans="1:10" ht="15.75" x14ac:dyDescent="0.25">
      <c r="A469" s="33">
        <v>55212</v>
      </c>
      <c r="B469" s="14">
        <f>39.0605 * CHOOSE(CONTROL!$C$15, $E$9, 100%, $G$9) + CHOOSE(CONTROL!$C$38, 0.0256, 0)</f>
        <v>39.086099999999995</v>
      </c>
      <c r="C469" s="14">
        <f>36.9895 * CHOOSE(CONTROL!$C$15, $E$9, 100%, $G$9) + CHOOSE(CONTROL!$C$38, 0.0347, 0)</f>
        <v>37.0242</v>
      </c>
      <c r="D469" s="14">
        <f>36.9817 * CHOOSE(CONTROL!$C$15, $E$9, 100%, $G$9) + CHOOSE(CONTROL!$C$38, 0.0347, 0)</f>
        <v>37.016399999999997</v>
      </c>
      <c r="E469" s="46">
        <f>38.9042 * CHOOSE(CONTROL!$C$15, $E$9, 100%, $G$9) + CHOOSE(CONTROL!$C$38, 0.0347, 0)</f>
        <v>38.938900000000004</v>
      </c>
      <c r="F469" s="45">
        <f>38.9042 * CHOOSE(CONTROL!$C$15, $E$9, 100%, $G$9) + CHOOSE(CONTROL!$C$38, 0.0256, 0)</f>
        <v>38.9298</v>
      </c>
      <c r="G469" s="14">
        <f>36.9879 * CHOOSE(CONTROL!$C$15, $E$9, 100%, $G$9) + CHOOSE(CONTROL!$C$38, 0.0347, 0)</f>
        <v>37.022600000000004</v>
      </c>
      <c r="H469" s="14">
        <f>36.9879 * CHOOSE(CONTROL!$C$15, $E$9, 100%, $G$9) + CHOOSE(CONTROL!$C$38, 0.0347, 0)</f>
        <v>37.022600000000004</v>
      </c>
      <c r="I469" s="14">
        <f>36.9895 * CHOOSE(CONTROL!$C$15, $E$9, 100%, $G$9) + CHOOSE(CONTROL!$C$38, 0.0347, 0)</f>
        <v>37.0242</v>
      </c>
      <c r="J469" s="44">
        <f>251.1004</f>
        <v>251.10040000000001</v>
      </c>
    </row>
    <row r="470" spans="1:10" ht="15.75" x14ac:dyDescent="0.25">
      <c r="A470" s="33">
        <v>55243</v>
      </c>
      <c r="B470" s="14">
        <f>38.2634 * CHOOSE(CONTROL!$C$15, $E$9, 100%, $G$9) + CHOOSE(CONTROL!$C$38, 0.0256, 0)</f>
        <v>38.288999999999994</v>
      </c>
      <c r="C470" s="14">
        <f>36.1925 * CHOOSE(CONTROL!$C$15, $E$9, 100%, $G$9) + CHOOSE(CONTROL!$C$38, 0.0347, 0)</f>
        <v>36.227200000000003</v>
      </c>
      <c r="D470" s="14">
        <f>36.1847 * CHOOSE(CONTROL!$C$15, $E$9, 100%, $G$9) + CHOOSE(CONTROL!$C$38, 0.0347, 0)</f>
        <v>36.2194</v>
      </c>
      <c r="E470" s="46">
        <f>38.1072 * CHOOSE(CONTROL!$C$15, $E$9, 100%, $G$9) + CHOOSE(CONTROL!$C$38, 0.0347, 0)</f>
        <v>38.1419</v>
      </c>
      <c r="F470" s="45">
        <f>38.1072 * CHOOSE(CONTROL!$C$15, $E$9, 100%, $G$9) + CHOOSE(CONTROL!$C$38, 0.0256, 0)</f>
        <v>38.132799999999996</v>
      </c>
      <c r="G470" s="14">
        <f>36.1909 * CHOOSE(CONTROL!$C$15, $E$9, 100%, $G$9) + CHOOSE(CONTROL!$C$38, 0.0347, 0)</f>
        <v>36.2256</v>
      </c>
      <c r="H470" s="14">
        <f>36.1909 * CHOOSE(CONTROL!$C$15, $E$9, 100%, $G$9) + CHOOSE(CONTROL!$C$38, 0.0347, 0)</f>
        <v>36.2256</v>
      </c>
      <c r="I470" s="14">
        <f>36.1925 * CHOOSE(CONTROL!$C$15, $E$9, 100%, $G$9) + CHOOSE(CONTROL!$C$38, 0.0347, 0)</f>
        <v>36.227200000000003</v>
      </c>
      <c r="J470" s="44">
        <f>264.3349</f>
        <v>264.3349</v>
      </c>
    </row>
    <row r="471" spans="1:10" ht="15.75" x14ac:dyDescent="0.25">
      <c r="A471" s="33">
        <v>55273</v>
      </c>
      <c r="B471" s="14">
        <f>37.4911 * CHOOSE(CONTROL!$C$15, $E$9, 100%, $G$9) + CHOOSE(CONTROL!$C$38, 0.0256, 0)</f>
        <v>37.5167</v>
      </c>
      <c r="C471" s="14">
        <f>35.4202 * CHOOSE(CONTROL!$C$15, $E$9, 100%, $G$9) + CHOOSE(CONTROL!$C$38, 0.0347, 0)</f>
        <v>35.454900000000002</v>
      </c>
      <c r="D471" s="14">
        <f>35.4124 * CHOOSE(CONTROL!$C$15, $E$9, 100%, $G$9) + CHOOSE(CONTROL!$C$38, 0.0347, 0)</f>
        <v>35.447099999999999</v>
      </c>
      <c r="E471" s="46">
        <f>37.3349 * CHOOSE(CONTROL!$C$15, $E$9, 100%, $G$9) + CHOOSE(CONTROL!$C$38, 0.0347, 0)</f>
        <v>37.369599999999998</v>
      </c>
      <c r="F471" s="45">
        <f>37.3349 * CHOOSE(CONTROL!$C$15, $E$9, 100%, $G$9) + CHOOSE(CONTROL!$C$38, 0.0256, 0)</f>
        <v>37.360499999999995</v>
      </c>
      <c r="G471" s="14">
        <f>35.4186 * CHOOSE(CONTROL!$C$15, $E$9, 100%, $G$9) + CHOOSE(CONTROL!$C$38, 0.0347, 0)</f>
        <v>35.453299999999999</v>
      </c>
      <c r="H471" s="14">
        <f>35.4186 * CHOOSE(CONTROL!$C$15, $E$9, 100%, $G$9) + CHOOSE(CONTROL!$C$38, 0.0347, 0)</f>
        <v>35.453299999999999</v>
      </c>
      <c r="I471" s="14">
        <f>35.4202 * CHOOSE(CONTROL!$C$15, $E$9, 100%, $G$9) + CHOOSE(CONTROL!$C$38, 0.0347, 0)</f>
        <v>35.454900000000002</v>
      </c>
      <c r="J471" s="44">
        <f>281.4968</f>
        <v>281.49680000000001</v>
      </c>
    </row>
    <row r="472" spans="1:10" ht="15.75" x14ac:dyDescent="0.25">
      <c r="A472" s="33">
        <v>55304</v>
      </c>
      <c r="B472" s="14">
        <f>36.6862 * CHOOSE(CONTROL!$C$15, $E$9, 100%, $G$9) + CHOOSE(CONTROL!$C$38, 0.0278, 0)</f>
        <v>36.713999999999999</v>
      </c>
      <c r="C472" s="14">
        <f>34.6152 * CHOOSE(CONTROL!$C$15, $E$9, 100%, $G$9) + CHOOSE(CONTROL!$C$38, 0.0369, 0)</f>
        <v>34.652100000000004</v>
      </c>
      <c r="D472" s="14">
        <f>34.6074 * CHOOSE(CONTROL!$C$15, $E$9, 100%, $G$9) + CHOOSE(CONTROL!$C$38, 0.0369, 0)</f>
        <v>34.644300000000001</v>
      </c>
      <c r="E472" s="46">
        <f>36.5299 * CHOOSE(CONTROL!$C$15, $E$9, 100%, $G$9) + CHOOSE(CONTROL!$C$38, 0.0369, 0)</f>
        <v>36.566800000000001</v>
      </c>
      <c r="F472" s="45">
        <f>36.5299 * CHOOSE(CONTROL!$C$15, $E$9, 100%, $G$9) + CHOOSE(CONTROL!$C$38, 0.0278, 0)</f>
        <v>36.557699999999997</v>
      </c>
      <c r="G472" s="14">
        <f>34.6136 * CHOOSE(CONTROL!$C$15, $E$9, 100%, $G$9) + CHOOSE(CONTROL!$C$38, 0.0369, 0)</f>
        <v>34.650500000000001</v>
      </c>
      <c r="H472" s="14">
        <f>34.6136 * CHOOSE(CONTROL!$C$15, $E$9, 100%, $G$9) + CHOOSE(CONTROL!$C$38, 0.0369, 0)</f>
        <v>34.650500000000001</v>
      </c>
      <c r="I472" s="14">
        <f>34.6152 * CHOOSE(CONTROL!$C$15, $E$9, 100%, $G$9) + CHOOSE(CONTROL!$C$38, 0.0369, 0)</f>
        <v>34.652100000000004</v>
      </c>
      <c r="J472" s="44">
        <f>290.9433</f>
        <v>290.94330000000002</v>
      </c>
    </row>
    <row r="473" spans="1:10" ht="15.75" x14ac:dyDescent="0.25">
      <c r="A473" s="33">
        <v>55334</v>
      </c>
      <c r="B473" s="14">
        <f>36.1218 * CHOOSE(CONTROL!$C$15, $E$9, 100%, $G$9) + CHOOSE(CONTROL!$C$38, 0.0278, 0)</f>
        <v>36.1496</v>
      </c>
      <c r="C473" s="14">
        <f>34.0509 * CHOOSE(CONTROL!$C$15, $E$9, 100%, $G$9) + CHOOSE(CONTROL!$C$38, 0.0369, 0)</f>
        <v>34.087800000000001</v>
      </c>
      <c r="D473" s="14">
        <f>34.0431 * CHOOSE(CONTROL!$C$15, $E$9, 100%, $G$9) + CHOOSE(CONTROL!$C$38, 0.0369, 0)</f>
        <v>34.080000000000005</v>
      </c>
      <c r="E473" s="46">
        <f>35.9656 * CHOOSE(CONTROL!$C$15, $E$9, 100%, $G$9) + CHOOSE(CONTROL!$C$38, 0.0369, 0)</f>
        <v>36.002500000000005</v>
      </c>
      <c r="F473" s="45">
        <f>35.9656 * CHOOSE(CONTROL!$C$15, $E$9, 100%, $G$9) + CHOOSE(CONTROL!$C$38, 0.0278, 0)</f>
        <v>35.993400000000001</v>
      </c>
      <c r="G473" s="14">
        <f>34.0493 * CHOOSE(CONTROL!$C$15, $E$9, 100%, $G$9) + CHOOSE(CONTROL!$C$38, 0.0369, 0)</f>
        <v>34.086200000000005</v>
      </c>
      <c r="H473" s="14">
        <f>34.0493 * CHOOSE(CONTROL!$C$15, $E$9, 100%, $G$9) + CHOOSE(CONTROL!$C$38, 0.0369, 0)</f>
        <v>34.086200000000005</v>
      </c>
      <c r="I473" s="14">
        <f>34.0509 * CHOOSE(CONTROL!$C$15, $E$9, 100%, $G$9) + CHOOSE(CONTROL!$C$38, 0.0369, 0)</f>
        <v>34.087800000000001</v>
      </c>
      <c r="J473" s="44">
        <f>295.1355</f>
        <v>295.13549999999998</v>
      </c>
    </row>
    <row r="474" spans="1:10" ht="15.75" x14ac:dyDescent="0.25">
      <c r="A474" s="33">
        <v>55365</v>
      </c>
      <c r="B474" s="14">
        <f>35.7998 * CHOOSE(CONTROL!$C$15, $E$9, 100%, $G$9) + CHOOSE(CONTROL!$C$38, 0.0278, 0)</f>
        <v>35.827599999999997</v>
      </c>
      <c r="C474" s="14">
        <f>33.7288 * CHOOSE(CONTROL!$C$15, $E$9, 100%, $G$9) + CHOOSE(CONTROL!$C$38, 0.0369, 0)</f>
        <v>33.765700000000002</v>
      </c>
      <c r="D474" s="14">
        <f>33.721 * CHOOSE(CONTROL!$C$15, $E$9, 100%, $G$9) + CHOOSE(CONTROL!$C$38, 0.0369, 0)</f>
        <v>33.757899999999999</v>
      </c>
      <c r="E474" s="46">
        <f>35.6435 * CHOOSE(CONTROL!$C$15, $E$9, 100%, $G$9) + CHOOSE(CONTROL!$C$38, 0.0369, 0)</f>
        <v>35.680400000000006</v>
      </c>
      <c r="F474" s="45">
        <f>35.6435 * CHOOSE(CONTROL!$C$15, $E$9, 100%, $G$9) + CHOOSE(CONTROL!$C$38, 0.0278, 0)</f>
        <v>35.671300000000002</v>
      </c>
      <c r="G474" s="14">
        <f>33.7272 * CHOOSE(CONTROL!$C$15, $E$9, 100%, $G$9) + CHOOSE(CONTROL!$C$38, 0.0369, 0)</f>
        <v>33.764100000000006</v>
      </c>
      <c r="H474" s="14">
        <f>33.7272 * CHOOSE(CONTROL!$C$15, $E$9, 100%, $G$9) + CHOOSE(CONTROL!$C$38, 0.0369, 0)</f>
        <v>33.764100000000006</v>
      </c>
      <c r="I474" s="14">
        <f>33.7288 * CHOOSE(CONTROL!$C$15, $E$9, 100%, $G$9) + CHOOSE(CONTROL!$C$38, 0.0369, 0)</f>
        <v>33.765700000000002</v>
      </c>
      <c r="J474" s="44">
        <f>293.7552</f>
        <v>293.7552</v>
      </c>
    </row>
    <row r="475" spans="1:10" ht="15.75" x14ac:dyDescent="0.25">
      <c r="A475" s="33">
        <v>55396</v>
      </c>
      <c r="B475" s="14">
        <f>35.9587 * CHOOSE(CONTROL!$C$15, $E$9, 100%, $G$9) + CHOOSE(CONTROL!$C$38, 0.0278, 0)</f>
        <v>35.986499999999999</v>
      </c>
      <c r="C475" s="14">
        <f>33.8878 * CHOOSE(CONTROL!$C$15, $E$9, 100%, $G$9) + CHOOSE(CONTROL!$C$38, 0.0369, 0)</f>
        <v>33.924700000000001</v>
      </c>
      <c r="D475" s="14">
        <f>33.8799 * CHOOSE(CONTROL!$C$15, $E$9, 100%, $G$9) + CHOOSE(CONTROL!$C$38, 0.0369, 0)</f>
        <v>33.916800000000002</v>
      </c>
      <c r="E475" s="46">
        <f>35.8025 * CHOOSE(CONTROL!$C$15, $E$9, 100%, $G$9) + CHOOSE(CONTROL!$C$38, 0.0369, 0)</f>
        <v>35.839400000000005</v>
      </c>
      <c r="F475" s="45">
        <f>35.8025 * CHOOSE(CONTROL!$C$15, $E$9, 100%, $G$9) + CHOOSE(CONTROL!$C$38, 0.0278, 0)</f>
        <v>35.830300000000001</v>
      </c>
      <c r="G475" s="14">
        <f>33.8862 * CHOOSE(CONTROL!$C$15, $E$9, 100%, $G$9) + CHOOSE(CONTROL!$C$38, 0.0369, 0)</f>
        <v>33.923100000000005</v>
      </c>
      <c r="H475" s="14">
        <f>33.8862 * CHOOSE(CONTROL!$C$15, $E$9, 100%, $G$9) + CHOOSE(CONTROL!$C$38, 0.0369, 0)</f>
        <v>33.923100000000005</v>
      </c>
      <c r="I475" s="14">
        <f>33.8878 * CHOOSE(CONTROL!$C$15, $E$9, 100%, $G$9) + CHOOSE(CONTROL!$C$38, 0.0369, 0)</f>
        <v>33.924700000000001</v>
      </c>
      <c r="J475" s="44">
        <f>286.9167</f>
        <v>286.91669999999999</v>
      </c>
    </row>
    <row r="476" spans="1:10" ht="15.75" x14ac:dyDescent="0.25">
      <c r="A476" s="33">
        <v>55426</v>
      </c>
      <c r="B476" s="14">
        <f>36.3904 * CHOOSE(CONTROL!$C$15, $E$9, 100%, $G$9) + CHOOSE(CONTROL!$C$38, 0.0278, 0)</f>
        <v>36.418199999999999</v>
      </c>
      <c r="C476" s="14">
        <f>34.3195 * CHOOSE(CONTROL!$C$15, $E$9, 100%, $G$9) + CHOOSE(CONTROL!$C$38, 0.0369, 0)</f>
        <v>34.356400000000001</v>
      </c>
      <c r="D476" s="14">
        <f>34.3117 * CHOOSE(CONTROL!$C$15, $E$9, 100%, $G$9) + CHOOSE(CONTROL!$C$38, 0.0369, 0)</f>
        <v>34.348600000000005</v>
      </c>
      <c r="E476" s="46">
        <f>36.2342 * CHOOSE(CONTROL!$C$15, $E$9, 100%, $G$9) + CHOOSE(CONTROL!$C$38, 0.0369, 0)</f>
        <v>36.271100000000004</v>
      </c>
      <c r="F476" s="45">
        <f>36.2342 * CHOOSE(CONTROL!$C$15, $E$9, 100%, $G$9) + CHOOSE(CONTROL!$C$38, 0.0278, 0)</f>
        <v>36.262</v>
      </c>
      <c r="G476" s="14">
        <f>34.3179 * CHOOSE(CONTROL!$C$15, $E$9, 100%, $G$9) + CHOOSE(CONTROL!$C$38, 0.0369, 0)</f>
        <v>34.354800000000004</v>
      </c>
      <c r="H476" s="14">
        <f>34.3179 * CHOOSE(CONTROL!$C$15, $E$9, 100%, $G$9) + CHOOSE(CONTROL!$C$38, 0.0369, 0)</f>
        <v>34.354800000000004</v>
      </c>
      <c r="I476" s="14">
        <f>34.3195 * CHOOSE(CONTROL!$C$15, $E$9, 100%, $G$9) + CHOOSE(CONTROL!$C$38, 0.0369, 0)</f>
        <v>34.356400000000001</v>
      </c>
      <c r="J476" s="44">
        <f>277.3801</f>
        <v>277.38010000000003</v>
      </c>
    </row>
    <row r="477" spans="1:10" ht="15.75" x14ac:dyDescent="0.25">
      <c r="A477" s="33">
        <v>55457</v>
      </c>
      <c r="B477" s="14">
        <f>36.752 * CHOOSE(CONTROL!$C$15, $E$9, 100%, $G$9) + CHOOSE(CONTROL!$C$38, 0.0256, 0)</f>
        <v>36.7776</v>
      </c>
      <c r="C477" s="14">
        <f>34.681 * CHOOSE(CONTROL!$C$15, $E$9, 100%, $G$9) + CHOOSE(CONTROL!$C$38, 0.0347, 0)</f>
        <v>34.715699999999998</v>
      </c>
      <c r="D477" s="14">
        <f>34.6732 * CHOOSE(CONTROL!$C$15, $E$9, 100%, $G$9) + CHOOSE(CONTROL!$C$38, 0.0347, 0)</f>
        <v>34.707900000000002</v>
      </c>
      <c r="E477" s="46">
        <f>36.5957 * CHOOSE(CONTROL!$C$15, $E$9, 100%, $G$9) + CHOOSE(CONTROL!$C$38, 0.0347, 0)</f>
        <v>36.630400000000002</v>
      </c>
      <c r="F477" s="45">
        <f>36.5957 * CHOOSE(CONTROL!$C$15, $E$9, 100%, $G$9) + CHOOSE(CONTROL!$C$38, 0.0256, 0)</f>
        <v>36.621299999999998</v>
      </c>
      <c r="G477" s="14">
        <f>34.6795 * CHOOSE(CONTROL!$C$15, $E$9, 100%, $G$9) + CHOOSE(CONTROL!$C$38, 0.0347, 0)</f>
        <v>34.714199999999998</v>
      </c>
      <c r="H477" s="14">
        <f>34.6795 * CHOOSE(CONTROL!$C$15, $E$9, 100%, $G$9) + CHOOSE(CONTROL!$C$38, 0.0347, 0)</f>
        <v>34.714199999999998</v>
      </c>
      <c r="I477" s="14">
        <f>34.681 * CHOOSE(CONTROL!$C$15, $E$9, 100%, $G$9) + CHOOSE(CONTROL!$C$38, 0.0347, 0)</f>
        <v>34.715699999999998</v>
      </c>
      <c r="J477" s="44">
        <f>267.788</f>
        <v>267.78800000000001</v>
      </c>
    </row>
    <row r="478" spans="1:10" ht="15.75" x14ac:dyDescent="0.25">
      <c r="A478" s="33">
        <v>55487</v>
      </c>
      <c r="B478" s="14">
        <f>37.0537 * CHOOSE(CONTROL!$C$15, $E$9, 100%, $G$9) + CHOOSE(CONTROL!$C$38, 0.0256, 0)</f>
        <v>37.079299999999996</v>
      </c>
      <c r="C478" s="14">
        <f>34.9827 * CHOOSE(CONTROL!$C$15, $E$9, 100%, $G$9) + CHOOSE(CONTROL!$C$38, 0.0347, 0)</f>
        <v>35.017400000000002</v>
      </c>
      <c r="D478" s="14">
        <f>34.9749 * CHOOSE(CONTROL!$C$15, $E$9, 100%, $G$9) + CHOOSE(CONTROL!$C$38, 0.0347, 0)</f>
        <v>35.009599999999999</v>
      </c>
      <c r="E478" s="46">
        <f>36.8974 * CHOOSE(CONTROL!$C$15, $E$9, 100%, $G$9) + CHOOSE(CONTROL!$C$38, 0.0347, 0)</f>
        <v>36.932099999999998</v>
      </c>
      <c r="F478" s="45">
        <f>36.8974 * CHOOSE(CONTROL!$C$15, $E$9, 100%, $G$9) + CHOOSE(CONTROL!$C$38, 0.0256, 0)</f>
        <v>36.922999999999995</v>
      </c>
      <c r="G478" s="14">
        <f>34.9812 * CHOOSE(CONTROL!$C$15, $E$9, 100%, $G$9) + CHOOSE(CONTROL!$C$38, 0.0347, 0)</f>
        <v>35.015900000000002</v>
      </c>
      <c r="H478" s="14">
        <f>34.9812 * CHOOSE(CONTROL!$C$15, $E$9, 100%, $G$9) + CHOOSE(CONTROL!$C$38, 0.0347, 0)</f>
        <v>35.015900000000002</v>
      </c>
      <c r="I478" s="14">
        <f>34.9827 * CHOOSE(CONTROL!$C$15, $E$9, 100%, $G$9) + CHOOSE(CONTROL!$C$38, 0.0347, 0)</f>
        <v>35.017400000000002</v>
      </c>
      <c r="J478" s="44">
        <f>265.8799</f>
        <v>265.87990000000002</v>
      </c>
    </row>
    <row r="479" spans="1:10" ht="15.75" x14ac:dyDescent="0.25">
      <c r="A479" s="33">
        <v>55518</v>
      </c>
      <c r="B479" s="14">
        <f>37.9833 * CHOOSE(CONTROL!$C$15, $E$9, 100%, $G$9) + CHOOSE(CONTROL!$C$38, 0.0256, 0)</f>
        <v>38.008899999999997</v>
      </c>
      <c r="C479" s="14">
        <f>35.9124 * CHOOSE(CONTROL!$C$15, $E$9, 100%, $G$9) + CHOOSE(CONTROL!$C$38, 0.0347, 0)</f>
        <v>35.947099999999999</v>
      </c>
      <c r="D479" s="14">
        <f>35.9046 * CHOOSE(CONTROL!$C$15, $E$9, 100%, $G$9) + CHOOSE(CONTROL!$C$38, 0.0347, 0)</f>
        <v>35.939300000000003</v>
      </c>
      <c r="E479" s="46">
        <f>37.8271 * CHOOSE(CONTROL!$C$15, $E$9, 100%, $G$9) + CHOOSE(CONTROL!$C$38, 0.0347, 0)</f>
        <v>37.861800000000002</v>
      </c>
      <c r="F479" s="45">
        <f>37.8271 * CHOOSE(CONTROL!$C$15, $E$9, 100%, $G$9) + CHOOSE(CONTROL!$C$38, 0.0256, 0)</f>
        <v>37.852699999999999</v>
      </c>
      <c r="G479" s="14">
        <f>35.9108 * CHOOSE(CONTROL!$C$15, $E$9, 100%, $G$9) + CHOOSE(CONTROL!$C$38, 0.0347, 0)</f>
        <v>35.945500000000003</v>
      </c>
      <c r="H479" s="14">
        <f>35.9108 * CHOOSE(CONTROL!$C$15, $E$9, 100%, $G$9) + CHOOSE(CONTROL!$C$38, 0.0347, 0)</f>
        <v>35.945500000000003</v>
      </c>
      <c r="I479" s="14">
        <f>35.9124 * CHOOSE(CONTROL!$C$15, $E$9, 100%, $G$9) + CHOOSE(CONTROL!$C$38, 0.0347, 0)</f>
        <v>35.947099999999999</v>
      </c>
      <c r="J479" s="44">
        <f>257.9899</f>
        <v>257.98989999999998</v>
      </c>
    </row>
    <row r="480" spans="1:10" ht="15.75" x14ac:dyDescent="0.25">
      <c r="A480" s="33">
        <v>55549</v>
      </c>
      <c r="B480" s="14">
        <f>39.3306 * CHOOSE(CONTROL!$C$15, $E$9, 100%, $G$9) + CHOOSE(CONTROL!$C$38, 0.0256, 0)</f>
        <v>39.356199999999994</v>
      </c>
      <c r="C480" s="14">
        <f>37.2274 * CHOOSE(CONTROL!$C$15, $E$9, 100%, $G$9) + CHOOSE(CONTROL!$C$38, 0.0347, 0)</f>
        <v>37.262100000000004</v>
      </c>
      <c r="D480" s="14">
        <f>37.2196 * CHOOSE(CONTROL!$C$15, $E$9, 100%, $G$9) + CHOOSE(CONTROL!$C$38, 0.0347, 0)</f>
        <v>37.254300000000001</v>
      </c>
      <c r="E480" s="46">
        <f>39.1743 * CHOOSE(CONTROL!$C$15, $E$9, 100%, $G$9) + CHOOSE(CONTROL!$C$38, 0.0347, 0)</f>
        <v>39.209000000000003</v>
      </c>
      <c r="F480" s="45">
        <f>39.1743 * CHOOSE(CONTROL!$C$15, $E$9, 100%, $G$9) + CHOOSE(CONTROL!$C$38, 0.0256, 0)</f>
        <v>39.1999</v>
      </c>
      <c r="G480" s="14">
        <f>37.2259 * CHOOSE(CONTROL!$C$15, $E$9, 100%, $G$9) + CHOOSE(CONTROL!$C$38, 0.0347, 0)</f>
        <v>37.260600000000004</v>
      </c>
      <c r="H480" s="14">
        <f>37.2259 * CHOOSE(CONTROL!$C$15, $E$9, 100%, $G$9) + CHOOSE(CONTROL!$C$38, 0.0347, 0)</f>
        <v>37.260600000000004</v>
      </c>
      <c r="I480" s="14">
        <f>37.2274 * CHOOSE(CONTROL!$C$15, $E$9, 100%, $G$9) + CHOOSE(CONTROL!$C$38, 0.0347, 0)</f>
        <v>37.262100000000004</v>
      </c>
      <c r="J480" s="44">
        <f>257.6572</f>
        <v>257.65719999999999</v>
      </c>
    </row>
    <row r="481" spans="1:10" ht="15.75" x14ac:dyDescent="0.25">
      <c r="A481" s="33">
        <v>55577</v>
      </c>
      <c r="B481" s="14">
        <f>39.6749 * CHOOSE(CONTROL!$C$15, $E$9, 100%, $G$9) + CHOOSE(CONTROL!$C$38, 0.0256, 0)</f>
        <v>39.700499999999998</v>
      </c>
      <c r="C481" s="14">
        <f>37.5718 * CHOOSE(CONTROL!$C$15, $E$9, 100%, $G$9) + CHOOSE(CONTROL!$C$38, 0.0347, 0)</f>
        <v>37.606500000000004</v>
      </c>
      <c r="D481" s="14">
        <f>37.5639 * CHOOSE(CONTROL!$C$15, $E$9, 100%, $G$9) + CHOOSE(CONTROL!$C$38, 0.0347, 0)</f>
        <v>37.598599999999998</v>
      </c>
      <c r="E481" s="46">
        <f>39.5186 * CHOOSE(CONTROL!$C$15, $E$9, 100%, $G$9) + CHOOSE(CONTROL!$C$38, 0.0347, 0)</f>
        <v>39.5533</v>
      </c>
      <c r="F481" s="45">
        <f>39.5186 * CHOOSE(CONTROL!$C$15, $E$9, 100%, $G$9) + CHOOSE(CONTROL!$C$38, 0.0256, 0)</f>
        <v>39.544199999999996</v>
      </c>
      <c r="G481" s="14">
        <f>37.5702 * CHOOSE(CONTROL!$C$15, $E$9, 100%, $G$9) + CHOOSE(CONTROL!$C$38, 0.0347, 0)</f>
        <v>37.604900000000001</v>
      </c>
      <c r="H481" s="14">
        <f>37.5702 * CHOOSE(CONTROL!$C$15, $E$9, 100%, $G$9) + CHOOSE(CONTROL!$C$38, 0.0347, 0)</f>
        <v>37.604900000000001</v>
      </c>
      <c r="I481" s="14">
        <f>37.5718 * CHOOSE(CONTROL!$C$15, $E$9, 100%, $G$9) + CHOOSE(CONTROL!$C$38, 0.0347, 0)</f>
        <v>37.606500000000004</v>
      </c>
      <c r="J481" s="44">
        <f>256.941</f>
        <v>256.94099999999997</v>
      </c>
    </row>
    <row r="482" spans="1:10" ht="15.75" x14ac:dyDescent="0.25">
      <c r="A482" s="33">
        <v>55609</v>
      </c>
      <c r="B482" s="14">
        <f>38.8778 * CHOOSE(CONTROL!$C$15, $E$9, 100%, $G$9) + CHOOSE(CONTROL!$C$38, 0.0256, 0)</f>
        <v>38.903399999999998</v>
      </c>
      <c r="C482" s="14">
        <f>36.7747 * CHOOSE(CONTROL!$C$15, $E$9, 100%, $G$9) + CHOOSE(CONTROL!$C$38, 0.0347, 0)</f>
        <v>36.809400000000004</v>
      </c>
      <c r="D482" s="14">
        <f>36.7669 * CHOOSE(CONTROL!$C$15, $E$9, 100%, $G$9) + CHOOSE(CONTROL!$C$38, 0.0347, 0)</f>
        <v>36.801600000000001</v>
      </c>
      <c r="E482" s="46">
        <f>38.7216 * CHOOSE(CONTROL!$C$15, $E$9, 100%, $G$9) + CHOOSE(CONTROL!$C$38, 0.0347, 0)</f>
        <v>38.756300000000003</v>
      </c>
      <c r="F482" s="45">
        <f>38.7216 * CHOOSE(CONTROL!$C$15, $E$9, 100%, $G$9) + CHOOSE(CONTROL!$C$38, 0.0256, 0)</f>
        <v>38.747199999999999</v>
      </c>
      <c r="G482" s="14">
        <f>36.7732 * CHOOSE(CONTROL!$C$15, $E$9, 100%, $G$9) + CHOOSE(CONTROL!$C$38, 0.0347, 0)</f>
        <v>36.807900000000004</v>
      </c>
      <c r="H482" s="14">
        <f>36.7732 * CHOOSE(CONTROL!$C$15, $E$9, 100%, $G$9) + CHOOSE(CONTROL!$C$38, 0.0347, 0)</f>
        <v>36.807900000000004</v>
      </c>
      <c r="I482" s="14">
        <f>36.7747 * CHOOSE(CONTROL!$C$15, $E$9, 100%, $G$9) + CHOOSE(CONTROL!$C$38, 0.0347, 0)</f>
        <v>36.809400000000004</v>
      </c>
      <c r="J482" s="44">
        <f>270.4833</f>
        <v>270.48329999999999</v>
      </c>
    </row>
    <row r="483" spans="1:10" ht="15.75" x14ac:dyDescent="0.25">
      <c r="A483" s="33">
        <v>55639</v>
      </c>
      <c r="B483" s="14">
        <f>38.1055 * CHOOSE(CONTROL!$C$15, $E$9, 100%, $G$9) + CHOOSE(CONTROL!$C$38, 0.0256, 0)</f>
        <v>38.131099999999996</v>
      </c>
      <c r="C483" s="14">
        <f>36.0024 * CHOOSE(CONTROL!$C$15, $E$9, 100%, $G$9) + CHOOSE(CONTROL!$C$38, 0.0347, 0)</f>
        <v>36.037100000000002</v>
      </c>
      <c r="D483" s="14">
        <f>35.9946 * CHOOSE(CONTROL!$C$15, $E$9, 100%, $G$9) + CHOOSE(CONTROL!$C$38, 0.0347, 0)</f>
        <v>36.029299999999999</v>
      </c>
      <c r="E483" s="46">
        <f>37.9493 * CHOOSE(CONTROL!$C$15, $E$9, 100%, $G$9) + CHOOSE(CONTROL!$C$38, 0.0347, 0)</f>
        <v>37.984000000000002</v>
      </c>
      <c r="F483" s="45">
        <f>37.9493 * CHOOSE(CONTROL!$C$15, $E$9, 100%, $G$9) + CHOOSE(CONTROL!$C$38, 0.0256, 0)</f>
        <v>37.974899999999998</v>
      </c>
      <c r="G483" s="14">
        <f>36.0008 * CHOOSE(CONTROL!$C$15, $E$9, 100%, $G$9) + CHOOSE(CONTROL!$C$38, 0.0347, 0)</f>
        <v>36.035499999999999</v>
      </c>
      <c r="H483" s="14">
        <f>36.0008 * CHOOSE(CONTROL!$C$15, $E$9, 100%, $G$9) + CHOOSE(CONTROL!$C$38, 0.0347, 0)</f>
        <v>36.035499999999999</v>
      </c>
      <c r="I483" s="14">
        <f>36.0024 * CHOOSE(CONTROL!$C$15, $E$9, 100%, $G$9) + CHOOSE(CONTROL!$C$38, 0.0347, 0)</f>
        <v>36.037100000000002</v>
      </c>
      <c r="J483" s="44">
        <f>288.0444</f>
        <v>288.0444</v>
      </c>
    </row>
    <row r="484" spans="1:10" ht="15.75" x14ac:dyDescent="0.25">
      <c r="A484" s="33">
        <v>55670</v>
      </c>
      <c r="B484" s="14">
        <f>37.3006 * CHOOSE(CONTROL!$C$15, $E$9, 100%, $G$9) + CHOOSE(CONTROL!$C$38, 0.0278, 0)</f>
        <v>37.328400000000002</v>
      </c>
      <c r="C484" s="14">
        <f>35.1974 * CHOOSE(CONTROL!$C$15, $E$9, 100%, $G$9) + CHOOSE(CONTROL!$C$38, 0.0369, 0)</f>
        <v>35.234300000000005</v>
      </c>
      <c r="D484" s="14">
        <f>35.1896 * CHOOSE(CONTROL!$C$15, $E$9, 100%, $G$9) + CHOOSE(CONTROL!$C$38, 0.0369, 0)</f>
        <v>35.226500000000001</v>
      </c>
      <c r="E484" s="46">
        <f>37.1443 * CHOOSE(CONTROL!$C$15, $E$9, 100%, $G$9) + CHOOSE(CONTROL!$C$38, 0.0369, 0)</f>
        <v>37.181200000000004</v>
      </c>
      <c r="F484" s="45">
        <f>37.1443 * CHOOSE(CONTROL!$C$15, $E$9, 100%, $G$9) + CHOOSE(CONTROL!$C$38, 0.0278, 0)</f>
        <v>37.1721</v>
      </c>
      <c r="G484" s="14">
        <f>35.1959 * CHOOSE(CONTROL!$C$15, $E$9, 100%, $G$9) + CHOOSE(CONTROL!$C$38, 0.0369, 0)</f>
        <v>35.232800000000005</v>
      </c>
      <c r="H484" s="14">
        <f>35.1959 * CHOOSE(CONTROL!$C$15, $E$9, 100%, $G$9) + CHOOSE(CONTROL!$C$38, 0.0369, 0)</f>
        <v>35.232800000000005</v>
      </c>
      <c r="I484" s="14">
        <f>35.1974 * CHOOSE(CONTROL!$C$15, $E$9, 100%, $G$9) + CHOOSE(CONTROL!$C$38, 0.0369, 0)</f>
        <v>35.234300000000005</v>
      </c>
      <c r="J484" s="44">
        <f>297.7106</f>
        <v>297.7106</v>
      </c>
    </row>
    <row r="485" spans="1:10" ht="15.75" x14ac:dyDescent="0.25">
      <c r="A485" s="33">
        <v>55700</v>
      </c>
      <c r="B485" s="14">
        <f>36.7362 * CHOOSE(CONTROL!$C$15, $E$9, 100%, $G$9) + CHOOSE(CONTROL!$C$38, 0.0278, 0)</f>
        <v>36.763999999999996</v>
      </c>
      <c r="C485" s="14">
        <f>34.6331 * CHOOSE(CONTROL!$C$15, $E$9, 100%, $G$9) + CHOOSE(CONTROL!$C$38, 0.0369, 0)</f>
        <v>34.67</v>
      </c>
      <c r="D485" s="14">
        <f>34.6253 * CHOOSE(CONTROL!$C$15, $E$9, 100%, $G$9) + CHOOSE(CONTROL!$C$38, 0.0369, 0)</f>
        <v>34.662200000000006</v>
      </c>
      <c r="E485" s="46">
        <f>36.58 * CHOOSE(CONTROL!$C$15, $E$9, 100%, $G$9) + CHOOSE(CONTROL!$C$38, 0.0369, 0)</f>
        <v>36.616900000000001</v>
      </c>
      <c r="F485" s="45">
        <f>36.58 * CHOOSE(CONTROL!$C$15, $E$9, 100%, $G$9) + CHOOSE(CONTROL!$C$38, 0.0278, 0)</f>
        <v>36.607799999999997</v>
      </c>
      <c r="G485" s="14">
        <f>34.6315 * CHOOSE(CONTROL!$C$15, $E$9, 100%, $G$9) + CHOOSE(CONTROL!$C$38, 0.0369, 0)</f>
        <v>34.668400000000005</v>
      </c>
      <c r="H485" s="14">
        <f>34.6315 * CHOOSE(CONTROL!$C$15, $E$9, 100%, $G$9) + CHOOSE(CONTROL!$C$38, 0.0369, 0)</f>
        <v>34.668400000000005</v>
      </c>
      <c r="I485" s="14">
        <f>34.6331 * CHOOSE(CONTROL!$C$15, $E$9, 100%, $G$9) + CHOOSE(CONTROL!$C$38, 0.0369, 0)</f>
        <v>34.67</v>
      </c>
      <c r="J485" s="44">
        <f>302.0003</f>
        <v>302.00029999999998</v>
      </c>
    </row>
    <row r="486" spans="1:10" ht="15.75" x14ac:dyDescent="0.25">
      <c r="A486" s="33">
        <v>55731</v>
      </c>
      <c r="B486" s="14">
        <f>36.4142 * CHOOSE(CONTROL!$C$15, $E$9, 100%, $G$9) + CHOOSE(CONTROL!$C$38, 0.0278, 0)</f>
        <v>36.442</v>
      </c>
      <c r="C486" s="14">
        <f>34.3111 * CHOOSE(CONTROL!$C$15, $E$9, 100%, $G$9) + CHOOSE(CONTROL!$C$38, 0.0369, 0)</f>
        <v>34.348000000000006</v>
      </c>
      <c r="D486" s="14">
        <f>34.3032 * CHOOSE(CONTROL!$C$15, $E$9, 100%, $G$9) + CHOOSE(CONTROL!$C$38, 0.0369, 0)</f>
        <v>34.3401</v>
      </c>
      <c r="E486" s="46">
        <f>36.2579 * CHOOSE(CONTROL!$C$15, $E$9, 100%, $G$9) + CHOOSE(CONTROL!$C$38, 0.0369, 0)</f>
        <v>36.294800000000002</v>
      </c>
      <c r="F486" s="45">
        <f>36.2579 * CHOOSE(CONTROL!$C$15, $E$9, 100%, $G$9) + CHOOSE(CONTROL!$C$38, 0.0278, 0)</f>
        <v>36.285699999999999</v>
      </c>
      <c r="G486" s="14">
        <f>34.3095 * CHOOSE(CONTROL!$C$15, $E$9, 100%, $G$9) + CHOOSE(CONTROL!$C$38, 0.0369, 0)</f>
        <v>34.346400000000003</v>
      </c>
      <c r="H486" s="14">
        <f>34.3095 * CHOOSE(CONTROL!$C$15, $E$9, 100%, $G$9) + CHOOSE(CONTROL!$C$38, 0.0369, 0)</f>
        <v>34.346400000000003</v>
      </c>
      <c r="I486" s="14">
        <f>34.3111 * CHOOSE(CONTROL!$C$15, $E$9, 100%, $G$9) + CHOOSE(CONTROL!$C$38, 0.0369, 0)</f>
        <v>34.348000000000006</v>
      </c>
      <c r="J486" s="44">
        <f>300.5879</f>
        <v>300.58789999999999</v>
      </c>
    </row>
    <row r="487" spans="1:10" ht="15.75" x14ac:dyDescent="0.25">
      <c r="A487" s="33">
        <v>55762</v>
      </c>
      <c r="B487" s="14">
        <f>36.5731 * CHOOSE(CONTROL!$C$15, $E$9, 100%, $G$9) + CHOOSE(CONTROL!$C$38, 0.0278, 0)</f>
        <v>36.600899999999996</v>
      </c>
      <c r="C487" s="14">
        <f>34.47 * CHOOSE(CONTROL!$C$15, $E$9, 100%, $G$9) + CHOOSE(CONTROL!$C$38, 0.0369, 0)</f>
        <v>34.506900000000002</v>
      </c>
      <c r="D487" s="14">
        <f>34.4622 * CHOOSE(CONTROL!$C$15, $E$9, 100%, $G$9) + CHOOSE(CONTROL!$C$38, 0.0369, 0)</f>
        <v>34.499100000000006</v>
      </c>
      <c r="E487" s="46">
        <f>36.4169 * CHOOSE(CONTROL!$C$15, $E$9, 100%, $G$9) + CHOOSE(CONTROL!$C$38, 0.0369, 0)</f>
        <v>36.453800000000001</v>
      </c>
      <c r="F487" s="45">
        <f>36.4169 * CHOOSE(CONTROL!$C$15, $E$9, 100%, $G$9) + CHOOSE(CONTROL!$C$38, 0.0278, 0)</f>
        <v>36.444699999999997</v>
      </c>
      <c r="G487" s="14">
        <f>34.4684 * CHOOSE(CONTROL!$C$15, $E$9, 100%, $G$9) + CHOOSE(CONTROL!$C$38, 0.0369, 0)</f>
        <v>34.505300000000005</v>
      </c>
      <c r="H487" s="14">
        <f>34.4684 * CHOOSE(CONTROL!$C$15, $E$9, 100%, $G$9) + CHOOSE(CONTROL!$C$38, 0.0369, 0)</f>
        <v>34.505300000000005</v>
      </c>
      <c r="I487" s="14">
        <f>34.47 * CHOOSE(CONTROL!$C$15, $E$9, 100%, $G$9) + CHOOSE(CONTROL!$C$38, 0.0369, 0)</f>
        <v>34.506900000000002</v>
      </c>
      <c r="J487" s="44">
        <f>293.5904</f>
        <v>293.59039999999999</v>
      </c>
    </row>
    <row r="488" spans="1:10" ht="15.75" x14ac:dyDescent="0.25">
      <c r="A488" s="33">
        <v>55792</v>
      </c>
      <c r="B488" s="14">
        <f>37.0048 * CHOOSE(CONTROL!$C$15, $E$9, 100%, $G$9) + CHOOSE(CONTROL!$C$38, 0.0278, 0)</f>
        <v>37.032600000000002</v>
      </c>
      <c r="C488" s="14">
        <f>34.9017 * CHOOSE(CONTROL!$C$15, $E$9, 100%, $G$9) + CHOOSE(CONTROL!$C$38, 0.0369, 0)</f>
        <v>34.938600000000001</v>
      </c>
      <c r="D488" s="14">
        <f>34.8939 * CHOOSE(CONTROL!$C$15, $E$9, 100%, $G$9) + CHOOSE(CONTROL!$C$38, 0.0369, 0)</f>
        <v>34.930800000000005</v>
      </c>
      <c r="E488" s="46">
        <f>36.8486 * CHOOSE(CONTROL!$C$15, $E$9, 100%, $G$9) + CHOOSE(CONTROL!$C$38, 0.0369, 0)</f>
        <v>36.8855</v>
      </c>
      <c r="F488" s="45">
        <f>36.8486 * CHOOSE(CONTROL!$C$15, $E$9, 100%, $G$9) + CHOOSE(CONTROL!$C$38, 0.0278, 0)</f>
        <v>36.876399999999997</v>
      </c>
      <c r="G488" s="14">
        <f>34.9001 * CHOOSE(CONTROL!$C$15, $E$9, 100%, $G$9) + CHOOSE(CONTROL!$C$38, 0.0369, 0)</f>
        <v>34.937000000000005</v>
      </c>
      <c r="H488" s="14">
        <f>34.9001 * CHOOSE(CONTROL!$C$15, $E$9, 100%, $G$9) + CHOOSE(CONTROL!$C$38, 0.0369, 0)</f>
        <v>34.937000000000005</v>
      </c>
      <c r="I488" s="14">
        <f>34.9017 * CHOOSE(CONTROL!$C$15, $E$9, 100%, $G$9) + CHOOSE(CONTROL!$C$38, 0.0369, 0)</f>
        <v>34.938600000000001</v>
      </c>
      <c r="J488" s="44">
        <f>283.8319</f>
        <v>283.83190000000002</v>
      </c>
    </row>
    <row r="489" spans="1:10" ht="15.75" x14ac:dyDescent="0.25">
      <c r="A489" s="33">
        <v>55823</v>
      </c>
      <c r="B489" s="14">
        <f>37.3664 * CHOOSE(CONTROL!$C$15, $E$9, 100%, $G$9) + CHOOSE(CONTROL!$C$38, 0.0256, 0)</f>
        <v>37.391999999999996</v>
      </c>
      <c r="C489" s="14">
        <f>35.2633 * CHOOSE(CONTROL!$C$15, $E$9, 100%, $G$9) + CHOOSE(CONTROL!$C$38, 0.0347, 0)</f>
        <v>35.298000000000002</v>
      </c>
      <c r="D489" s="14">
        <f>35.2555 * CHOOSE(CONTROL!$C$15, $E$9, 100%, $G$9) + CHOOSE(CONTROL!$C$38, 0.0347, 0)</f>
        <v>35.290199999999999</v>
      </c>
      <c r="E489" s="46">
        <f>37.2101 * CHOOSE(CONTROL!$C$15, $E$9, 100%, $G$9) + CHOOSE(CONTROL!$C$38, 0.0347, 0)</f>
        <v>37.244799999999998</v>
      </c>
      <c r="F489" s="45">
        <f>37.2101 * CHOOSE(CONTROL!$C$15, $E$9, 100%, $G$9) + CHOOSE(CONTROL!$C$38, 0.0256, 0)</f>
        <v>37.235699999999994</v>
      </c>
      <c r="G489" s="14">
        <f>35.2617 * CHOOSE(CONTROL!$C$15, $E$9, 100%, $G$9) + CHOOSE(CONTROL!$C$38, 0.0347, 0)</f>
        <v>35.296399999999998</v>
      </c>
      <c r="H489" s="14">
        <f>35.2617 * CHOOSE(CONTROL!$C$15, $E$9, 100%, $G$9) + CHOOSE(CONTROL!$C$38, 0.0347, 0)</f>
        <v>35.296399999999998</v>
      </c>
      <c r="I489" s="14">
        <f>35.2633 * CHOOSE(CONTROL!$C$15, $E$9, 100%, $G$9) + CHOOSE(CONTROL!$C$38, 0.0347, 0)</f>
        <v>35.298000000000002</v>
      </c>
      <c r="J489" s="44">
        <f>274.0167</f>
        <v>274.01670000000001</v>
      </c>
    </row>
    <row r="490" spans="1:10" ht="15.75" x14ac:dyDescent="0.25">
      <c r="A490" s="33">
        <v>55853</v>
      </c>
      <c r="B490" s="14">
        <f>37.6681 * CHOOSE(CONTROL!$C$15, $E$9, 100%, $G$9) + CHOOSE(CONTROL!$C$38, 0.0256, 0)</f>
        <v>37.6937</v>
      </c>
      <c r="C490" s="14">
        <f>35.565 * CHOOSE(CONTROL!$C$15, $E$9, 100%, $G$9) + CHOOSE(CONTROL!$C$38, 0.0347, 0)</f>
        <v>35.599699999999999</v>
      </c>
      <c r="D490" s="14">
        <f>35.5572 * CHOOSE(CONTROL!$C$15, $E$9, 100%, $G$9) + CHOOSE(CONTROL!$C$38, 0.0347, 0)</f>
        <v>35.591900000000003</v>
      </c>
      <c r="E490" s="46">
        <f>37.5118 * CHOOSE(CONTROL!$C$15, $E$9, 100%, $G$9) + CHOOSE(CONTROL!$C$38, 0.0347, 0)</f>
        <v>37.546500000000002</v>
      </c>
      <c r="F490" s="45">
        <f>37.5118 * CHOOSE(CONTROL!$C$15, $E$9, 100%, $G$9) + CHOOSE(CONTROL!$C$38, 0.0256, 0)</f>
        <v>37.537399999999998</v>
      </c>
      <c r="G490" s="14">
        <f>35.5634 * CHOOSE(CONTROL!$C$15, $E$9, 100%, $G$9) + CHOOSE(CONTROL!$C$38, 0.0347, 0)</f>
        <v>35.598100000000002</v>
      </c>
      <c r="H490" s="14">
        <f>35.5634 * CHOOSE(CONTROL!$C$15, $E$9, 100%, $G$9) + CHOOSE(CONTROL!$C$38, 0.0347, 0)</f>
        <v>35.598100000000002</v>
      </c>
      <c r="I490" s="14">
        <f>35.565 * CHOOSE(CONTROL!$C$15, $E$9, 100%, $G$9) + CHOOSE(CONTROL!$C$38, 0.0347, 0)</f>
        <v>35.599699999999999</v>
      </c>
      <c r="J490" s="44">
        <f>272.0643</f>
        <v>272.0643</v>
      </c>
    </row>
    <row r="491" spans="1:10" ht="15.75" x14ac:dyDescent="0.25">
      <c r="A491" s="33">
        <v>55884</v>
      </c>
      <c r="B491" s="14">
        <f>38.5978 * CHOOSE(CONTROL!$C$15, $E$9, 100%, $G$9) + CHOOSE(CONTROL!$C$38, 0.0256, 0)</f>
        <v>38.623399999999997</v>
      </c>
      <c r="C491" s="14">
        <f>36.4946 * CHOOSE(CONTROL!$C$15, $E$9, 100%, $G$9) + CHOOSE(CONTROL!$C$38, 0.0347, 0)</f>
        <v>36.529299999999999</v>
      </c>
      <c r="D491" s="14">
        <f>36.4868 * CHOOSE(CONTROL!$C$15, $E$9, 100%, $G$9) + CHOOSE(CONTROL!$C$38, 0.0347, 0)</f>
        <v>36.521500000000003</v>
      </c>
      <c r="E491" s="46">
        <f>38.4415 * CHOOSE(CONTROL!$C$15, $E$9, 100%, $G$9) + CHOOSE(CONTROL!$C$38, 0.0347, 0)</f>
        <v>38.476199999999999</v>
      </c>
      <c r="F491" s="45">
        <f>38.4415 * CHOOSE(CONTROL!$C$15, $E$9, 100%, $G$9) + CHOOSE(CONTROL!$C$38, 0.0256, 0)</f>
        <v>38.467099999999995</v>
      </c>
      <c r="G491" s="14">
        <f>36.4931 * CHOOSE(CONTROL!$C$15, $E$9, 100%, $G$9) + CHOOSE(CONTROL!$C$38, 0.0347, 0)</f>
        <v>36.527799999999999</v>
      </c>
      <c r="H491" s="14">
        <f>36.4931 * CHOOSE(CONTROL!$C$15, $E$9, 100%, $G$9) + CHOOSE(CONTROL!$C$38, 0.0347, 0)</f>
        <v>36.527799999999999</v>
      </c>
      <c r="I491" s="14">
        <f>36.4946 * CHOOSE(CONTROL!$C$15, $E$9, 100%, $G$9) + CHOOSE(CONTROL!$C$38, 0.0347, 0)</f>
        <v>36.529299999999999</v>
      </c>
      <c r="J491" s="44">
        <f>263.9908</f>
        <v>263.99079999999998</v>
      </c>
    </row>
    <row r="492" spans="1:10" ht="15.75" x14ac:dyDescent="0.25">
      <c r="A492" s="33">
        <v>55915</v>
      </c>
      <c r="B492" s="14">
        <f>39.9553 * CHOOSE(CONTROL!$C$15, $E$9, 100%, $G$9) + CHOOSE(CONTROL!$C$38, 0.0256, 0)</f>
        <v>39.980899999999998</v>
      </c>
      <c r="C492" s="14">
        <f>37.8195 * CHOOSE(CONTROL!$C$15, $E$9, 100%, $G$9) + CHOOSE(CONTROL!$C$38, 0.0347, 0)</f>
        <v>37.854199999999999</v>
      </c>
      <c r="D492" s="14">
        <f>37.8117 * CHOOSE(CONTROL!$C$15, $E$9, 100%, $G$9) + CHOOSE(CONTROL!$C$38, 0.0347, 0)</f>
        <v>37.846400000000003</v>
      </c>
      <c r="E492" s="46">
        <f>39.799 * CHOOSE(CONTROL!$C$15, $E$9, 100%, $G$9) + CHOOSE(CONTROL!$C$38, 0.0347, 0)</f>
        <v>39.8337</v>
      </c>
      <c r="F492" s="45">
        <f>39.799 * CHOOSE(CONTROL!$C$15, $E$9, 100%, $G$9) + CHOOSE(CONTROL!$C$38, 0.0256, 0)</f>
        <v>39.824599999999997</v>
      </c>
      <c r="G492" s="14">
        <f>37.8179 * CHOOSE(CONTROL!$C$15, $E$9, 100%, $G$9) + CHOOSE(CONTROL!$C$38, 0.0347, 0)</f>
        <v>37.852600000000002</v>
      </c>
      <c r="H492" s="14">
        <f>37.8179 * CHOOSE(CONTROL!$C$15, $E$9, 100%, $G$9) + CHOOSE(CONTROL!$C$38, 0.0347, 0)</f>
        <v>37.852600000000002</v>
      </c>
      <c r="I492" s="14">
        <f>37.8195 * CHOOSE(CONTROL!$C$15, $E$9, 100%, $G$9) + CHOOSE(CONTROL!$C$38, 0.0347, 0)</f>
        <v>37.854199999999999</v>
      </c>
      <c r="J492" s="44">
        <f>263.6503</f>
        <v>263.65030000000002</v>
      </c>
    </row>
    <row r="493" spans="1:10" ht="15.75" x14ac:dyDescent="0.25">
      <c r="A493" s="33">
        <v>55943</v>
      </c>
      <c r="B493" s="14">
        <f>40.2996 * CHOOSE(CONTROL!$C$15, $E$9, 100%, $G$9) + CHOOSE(CONTROL!$C$38, 0.0256, 0)</f>
        <v>40.325199999999995</v>
      </c>
      <c r="C493" s="14">
        <f>38.1638 * CHOOSE(CONTROL!$C$15, $E$9, 100%, $G$9) + CHOOSE(CONTROL!$C$38, 0.0347, 0)</f>
        <v>38.198500000000003</v>
      </c>
      <c r="D493" s="14">
        <f>38.156 * CHOOSE(CONTROL!$C$15, $E$9, 100%, $G$9) + CHOOSE(CONTROL!$C$38, 0.0347, 0)</f>
        <v>38.1907</v>
      </c>
      <c r="E493" s="46">
        <f>40.1434 * CHOOSE(CONTROL!$C$15, $E$9, 100%, $G$9) + CHOOSE(CONTROL!$C$38, 0.0347, 0)</f>
        <v>40.178100000000001</v>
      </c>
      <c r="F493" s="45">
        <f>40.1434 * CHOOSE(CONTROL!$C$15, $E$9, 100%, $G$9) + CHOOSE(CONTROL!$C$38, 0.0256, 0)</f>
        <v>40.168999999999997</v>
      </c>
      <c r="G493" s="14">
        <f>38.1622 * CHOOSE(CONTROL!$C$15, $E$9, 100%, $G$9) + CHOOSE(CONTROL!$C$38, 0.0347, 0)</f>
        <v>38.196899999999999</v>
      </c>
      <c r="H493" s="14">
        <f>38.1622 * CHOOSE(CONTROL!$C$15, $E$9, 100%, $G$9) + CHOOSE(CONTROL!$C$38, 0.0347, 0)</f>
        <v>38.196899999999999</v>
      </c>
      <c r="I493" s="14">
        <f>38.1638 * CHOOSE(CONTROL!$C$15, $E$9, 100%, $G$9) + CHOOSE(CONTROL!$C$38, 0.0347, 0)</f>
        <v>38.198500000000003</v>
      </c>
      <c r="J493" s="44">
        <f>262.9175</f>
        <v>262.91750000000002</v>
      </c>
    </row>
    <row r="494" spans="1:10" ht="15.75" x14ac:dyDescent="0.25">
      <c r="A494" s="33">
        <v>55974</v>
      </c>
      <c r="B494" s="14">
        <f>39.5026 * CHOOSE(CONTROL!$C$15, $E$9, 100%, $G$9) + CHOOSE(CONTROL!$C$38, 0.0256, 0)</f>
        <v>39.528199999999998</v>
      </c>
      <c r="C494" s="14">
        <f>37.3667 * CHOOSE(CONTROL!$C$15, $E$9, 100%, $G$9) + CHOOSE(CONTROL!$C$38, 0.0347, 0)</f>
        <v>37.401400000000002</v>
      </c>
      <c r="D494" s="14">
        <f>37.3589 * CHOOSE(CONTROL!$C$15, $E$9, 100%, $G$9) + CHOOSE(CONTROL!$C$38, 0.0347, 0)</f>
        <v>37.393599999999999</v>
      </c>
      <c r="E494" s="46">
        <f>39.3463 * CHOOSE(CONTROL!$C$15, $E$9, 100%, $G$9) + CHOOSE(CONTROL!$C$38, 0.0347, 0)</f>
        <v>39.381</v>
      </c>
      <c r="F494" s="45">
        <f>39.3463 * CHOOSE(CONTROL!$C$15, $E$9, 100%, $G$9) + CHOOSE(CONTROL!$C$38, 0.0256, 0)</f>
        <v>39.371899999999997</v>
      </c>
      <c r="G494" s="14">
        <f>37.3652 * CHOOSE(CONTROL!$C$15, $E$9, 100%, $G$9) + CHOOSE(CONTROL!$C$38, 0.0347, 0)</f>
        <v>37.399900000000002</v>
      </c>
      <c r="H494" s="14">
        <f>37.3652 * CHOOSE(CONTROL!$C$15, $E$9, 100%, $G$9) + CHOOSE(CONTROL!$C$38, 0.0347, 0)</f>
        <v>37.399900000000002</v>
      </c>
      <c r="I494" s="14">
        <f>37.3667 * CHOOSE(CONTROL!$C$15, $E$9, 100%, $G$9) + CHOOSE(CONTROL!$C$38, 0.0347, 0)</f>
        <v>37.401400000000002</v>
      </c>
      <c r="J494" s="44">
        <f>276.7748</f>
        <v>276.77480000000003</v>
      </c>
    </row>
    <row r="495" spans="1:10" ht="15.75" x14ac:dyDescent="0.25">
      <c r="A495" s="33">
        <v>56004</v>
      </c>
      <c r="B495" s="14">
        <f>38.7303 * CHOOSE(CONTROL!$C$15, $E$9, 100%, $G$9) + CHOOSE(CONTROL!$C$38, 0.0256, 0)</f>
        <v>38.755899999999997</v>
      </c>
      <c r="C495" s="14">
        <f>36.5944 * CHOOSE(CONTROL!$C$15, $E$9, 100%, $G$9) + CHOOSE(CONTROL!$C$38, 0.0347, 0)</f>
        <v>36.629100000000001</v>
      </c>
      <c r="D495" s="14">
        <f>36.5866 * CHOOSE(CONTROL!$C$15, $E$9, 100%, $G$9) + CHOOSE(CONTROL!$C$38, 0.0347, 0)</f>
        <v>36.621299999999998</v>
      </c>
      <c r="E495" s="46">
        <f>38.574 * CHOOSE(CONTROL!$C$15, $E$9, 100%, $G$9) + CHOOSE(CONTROL!$C$38, 0.0347, 0)</f>
        <v>38.608699999999999</v>
      </c>
      <c r="F495" s="45">
        <f>38.574 * CHOOSE(CONTROL!$C$15, $E$9, 100%, $G$9) + CHOOSE(CONTROL!$C$38, 0.0256, 0)</f>
        <v>38.599599999999995</v>
      </c>
      <c r="G495" s="14">
        <f>36.5929 * CHOOSE(CONTROL!$C$15, $E$9, 100%, $G$9) + CHOOSE(CONTROL!$C$38, 0.0347, 0)</f>
        <v>36.627600000000001</v>
      </c>
      <c r="H495" s="14">
        <f>36.5929 * CHOOSE(CONTROL!$C$15, $E$9, 100%, $G$9) + CHOOSE(CONTROL!$C$38, 0.0347, 0)</f>
        <v>36.627600000000001</v>
      </c>
      <c r="I495" s="14">
        <f>36.5944 * CHOOSE(CONTROL!$C$15, $E$9, 100%, $G$9) + CHOOSE(CONTROL!$C$38, 0.0347, 0)</f>
        <v>36.629100000000001</v>
      </c>
      <c r="J495" s="44">
        <f>294.7443</f>
        <v>294.74430000000001</v>
      </c>
    </row>
    <row r="496" spans="1:10" ht="15.75" x14ac:dyDescent="0.25">
      <c r="A496" s="33">
        <v>56035</v>
      </c>
      <c r="B496" s="14">
        <f>37.9253 * CHOOSE(CONTROL!$C$15, $E$9, 100%, $G$9) + CHOOSE(CONTROL!$C$38, 0.0278, 0)</f>
        <v>37.953099999999999</v>
      </c>
      <c r="C496" s="14">
        <f>35.7895 * CHOOSE(CONTROL!$C$15, $E$9, 100%, $G$9) + CHOOSE(CONTROL!$C$38, 0.0369, 0)</f>
        <v>35.8264</v>
      </c>
      <c r="D496" s="14">
        <f>35.7817 * CHOOSE(CONTROL!$C$15, $E$9, 100%, $G$9) + CHOOSE(CONTROL!$C$38, 0.0369, 0)</f>
        <v>35.818600000000004</v>
      </c>
      <c r="E496" s="46">
        <f>37.769 * CHOOSE(CONTROL!$C$15, $E$9, 100%, $G$9) + CHOOSE(CONTROL!$C$38, 0.0369, 0)</f>
        <v>37.805900000000001</v>
      </c>
      <c r="F496" s="45">
        <f>37.769 * CHOOSE(CONTROL!$C$15, $E$9, 100%, $G$9) + CHOOSE(CONTROL!$C$38, 0.0278, 0)</f>
        <v>37.796799999999998</v>
      </c>
      <c r="G496" s="14">
        <f>35.7879 * CHOOSE(CONTROL!$C$15, $E$9, 100%, $G$9) + CHOOSE(CONTROL!$C$38, 0.0369, 0)</f>
        <v>35.824800000000003</v>
      </c>
      <c r="H496" s="14">
        <f>35.7879 * CHOOSE(CONTROL!$C$15, $E$9, 100%, $G$9) + CHOOSE(CONTROL!$C$38, 0.0369, 0)</f>
        <v>35.824800000000003</v>
      </c>
      <c r="I496" s="14">
        <f>35.7895 * CHOOSE(CONTROL!$C$15, $E$9, 100%, $G$9) + CHOOSE(CONTROL!$C$38, 0.0369, 0)</f>
        <v>35.8264</v>
      </c>
      <c r="J496" s="44">
        <f>304.6354</f>
        <v>304.6354</v>
      </c>
    </row>
    <row r="497" spans="1:10" ht="15.75" x14ac:dyDescent="0.25">
      <c r="A497" s="33">
        <v>56065</v>
      </c>
      <c r="B497" s="14">
        <f>37.361 * CHOOSE(CONTROL!$C$15, $E$9, 100%, $G$9) + CHOOSE(CONTROL!$C$38, 0.0278, 0)</f>
        <v>37.388799999999996</v>
      </c>
      <c r="C497" s="14">
        <f>35.2251 * CHOOSE(CONTROL!$C$15, $E$9, 100%, $G$9) + CHOOSE(CONTROL!$C$38, 0.0369, 0)</f>
        <v>35.262</v>
      </c>
      <c r="D497" s="14">
        <f>35.2173 * CHOOSE(CONTROL!$C$15, $E$9, 100%, $G$9) + CHOOSE(CONTROL!$C$38, 0.0369, 0)</f>
        <v>35.254200000000004</v>
      </c>
      <c r="E497" s="46">
        <f>37.2047 * CHOOSE(CONTROL!$C$15, $E$9, 100%, $G$9) + CHOOSE(CONTROL!$C$38, 0.0369, 0)</f>
        <v>37.241600000000005</v>
      </c>
      <c r="F497" s="45">
        <f>37.2047 * CHOOSE(CONTROL!$C$15, $E$9, 100%, $G$9) + CHOOSE(CONTROL!$C$38, 0.0278, 0)</f>
        <v>37.232500000000002</v>
      </c>
      <c r="G497" s="14">
        <f>35.2236 * CHOOSE(CONTROL!$C$15, $E$9, 100%, $G$9) + CHOOSE(CONTROL!$C$38, 0.0369, 0)</f>
        <v>35.2605</v>
      </c>
      <c r="H497" s="14">
        <f>35.2236 * CHOOSE(CONTROL!$C$15, $E$9, 100%, $G$9) + CHOOSE(CONTROL!$C$38, 0.0369, 0)</f>
        <v>35.2605</v>
      </c>
      <c r="I497" s="14">
        <f>35.2251 * CHOOSE(CONTROL!$C$15, $E$9, 100%, $G$9) + CHOOSE(CONTROL!$C$38, 0.0369, 0)</f>
        <v>35.262</v>
      </c>
      <c r="J497" s="44">
        <f>309.0248</f>
        <v>309.02480000000003</v>
      </c>
    </row>
    <row r="498" spans="1:10" ht="15.75" x14ac:dyDescent="0.25">
      <c r="A498" s="33">
        <v>56096</v>
      </c>
      <c r="B498" s="14">
        <f>37.0389 * CHOOSE(CONTROL!$C$15, $E$9, 100%, $G$9) + CHOOSE(CONTROL!$C$38, 0.0278, 0)</f>
        <v>37.066699999999997</v>
      </c>
      <c r="C498" s="14">
        <f>34.9031 * CHOOSE(CONTROL!$C$15, $E$9, 100%, $G$9) + CHOOSE(CONTROL!$C$38, 0.0369, 0)</f>
        <v>34.940000000000005</v>
      </c>
      <c r="D498" s="14">
        <f>34.8953 * CHOOSE(CONTROL!$C$15, $E$9, 100%, $G$9) + CHOOSE(CONTROL!$C$38, 0.0369, 0)</f>
        <v>34.932200000000002</v>
      </c>
      <c r="E498" s="46">
        <f>36.8827 * CHOOSE(CONTROL!$C$15, $E$9, 100%, $G$9) + CHOOSE(CONTROL!$C$38, 0.0369, 0)</f>
        <v>36.919600000000003</v>
      </c>
      <c r="F498" s="45">
        <f>36.8827 * CHOOSE(CONTROL!$C$15, $E$9, 100%, $G$9) + CHOOSE(CONTROL!$C$38, 0.0278, 0)</f>
        <v>36.910499999999999</v>
      </c>
      <c r="G498" s="14">
        <f>34.9015 * CHOOSE(CONTROL!$C$15, $E$9, 100%, $G$9) + CHOOSE(CONTROL!$C$38, 0.0369, 0)</f>
        <v>34.938400000000001</v>
      </c>
      <c r="H498" s="14">
        <f>34.9015 * CHOOSE(CONTROL!$C$15, $E$9, 100%, $G$9) + CHOOSE(CONTROL!$C$38, 0.0369, 0)</f>
        <v>34.938400000000001</v>
      </c>
      <c r="I498" s="14">
        <f>34.9031 * CHOOSE(CONTROL!$C$15, $E$9, 100%, $G$9) + CHOOSE(CONTROL!$C$38, 0.0369, 0)</f>
        <v>34.940000000000005</v>
      </c>
      <c r="J498" s="44">
        <f>307.5796</f>
        <v>307.57960000000003</v>
      </c>
    </row>
    <row r="499" spans="1:10" ht="15.75" x14ac:dyDescent="0.25">
      <c r="A499" s="33">
        <v>56127</v>
      </c>
      <c r="B499" s="14">
        <f>37.1978 * CHOOSE(CONTROL!$C$15, $E$9, 100%, $G$9) + CHOOSE(CONTROL!$C$38, 0.0278, 0)</f>
        <v>37.2256</v>
      </c>
      <c r="C499" s="14">
        <f>35.062 * CHOOSE(CONTROL!$C$15, $E$9, 100%, $G$9) + CHOOSE(CONTROL!$C$38, 0.0369, 0)</f>
        <v>35.0989</v>
      </c>
      <c r="D499" s="14">
        <f>35.0542 * CHOOSE(CONTROL!$C$15, $E$9, 100%, $G$9) + CHOOSE(CONTROL!$C$38, 0.0369, 0)</f>
        <v>35.091100000000004</v>
      </c>
      <c r="E499" s="46">
        <f>37.0416 * CHOOSE(CONTROL!$C$15, $E$9, 100%, $G$9) + CHOOSE(CONTROL!$C$38, 0.0369, 0)</f>
        <v>37.078500000000005</v>
      </c>
      <c r="F499" s="45">
        <f>37.0416 * CHOOSE(CONTROL!$C$15, $E$9, 100%, $G$9) + CHOOSE(CONTROL!$C$38, 0.0278, 0)</f>
        <v>37.069400000000002</v>
      </c>
      <c r="G499" s="14">
        <f>35.0605 * CHOOSE(CONTROL!$C$15, $E$9, 100%, $G$9) + CHOOSE(CONTROL!$C$38, 0.0369, 0)</f>
        <v>35.0974</v>
      </c>
      <c r="H499" s="14">
        <f>35.0605 * CHOOSE(CONTROL!$C$15, $E$9, 100%, $G$9) + CHOOSE(CONTROL!$C$38, 0.0369, 0)</f>
        <v>35.0974</v>
      </c>
      <c r="I499" s="14">
        <f>35.062 * CHOOSE(CONTROL!$C$15, $E$9, 100%, $G$9) + CHOOSE(CONTROL!$C$38, 0.0369, 0)</f>
        <v>35.0989</v>
      </c>
      <c r="J499" s="44">
        <f>300.4193</f>
        <v>300.41930000000002</v>
      </c>
    </row>
    <row r="500" spans="1:10" ht="15.75" x14ac:dyDescent="0.25">
      <c r="A500" s="33">
        <v>56157</v>
      </c>
      <c r="B500" s="14">
        <f>37.6296 * CHOOSE(CONTROL!$C$15, $E$9, 100%, $G$9) + CHOOSE(CONTROL!$C$38, 0.0278, 0)</f>
        <v>37.657400000000003</v>
      </c>
      <c r="C500" s="14">
        <f>35.4937 * CHOOSE(CONTROL!$C$15, $E$9, 100%, $G$9) + CHOOSE(CONTROL!$C$38, 0.0369, 0)</f>
        <v>35.5306</v>
      </c>
      <c r="D500" s="14">
        <f>35.4859 * CHOOSE(CONTROL!$C$15, $E$9, 100%, $G$9) + CHOOSE(CONTROL!$C$38, 0.0369, 0)</f>
        <v>35.522800000000004</v>
      </c>
      <c r="E500" s="46">
        <f>37.4733 * CHOOSE(CONTROL!$C$15, $E$9, 100%, $G$9) + CHOOSE(CONTROL!$C$38, 0.0369, 0)</f>
        <v>37.510200000000005</v>
      </c>
      <c r="F500" s="45">
        <f>37.4733 * CHOOSE(CONTROL!$C$15, $E$9, 100%, $G$9) + CHOOSE(CONTROL!$C$38, 0.0278, 0)</f>
        <v>37.501100000000001</v>
      </c>
      <c r="G500" s="14">
        <f>35.4922 * CHOOSE(CONTROL!$C$15, $E$9, 100%, $G$9) + CHOOSE(CONTROL!$C$38, 0.0369, 0)</f>
        <v>35.5291</v>
      </c>
      <c r="H500" s="14">
        <f>35.4922 * CHOOSE(CONTROL!$C$15, $E$9, 100%, $G$9) + CHOOSE(CONTROL!$C$38, 0.0369, 0)</f>
        <v>35.5291</v>
      </c>
      <c r="I500" s="14">
        <f>35.4937 * CHOOSE(CONTROL!$C$15, $E$9, 100%, $G$9) + CHOOSE(CONTROL!$C$38, 0.0369, 0)</f>
        <v>35.5306</v>
      </c>
      <c r="J500" s="44">
        <f>290.4339</f>
        <v>290.43389999999999</v>
      </c>
    </row>
    <row r="501" spans="1:10" ht="15.75" x14ac:dyDescent="0.25">
      <c r="A501" s="33">
        <v>56188</v>
      </c>
      <c r="B501" s="14">
        <f>37.9911 * CHOOSE(CONTROL!$C$15, $E$9, 100%, $G$9) + CHOOSE(CONTROL!$C$38, 0.0256, 0)</f>
        <v>38.0167</v>
      </c>
      <c r="C501" s="14">
        <f>35.8553 * CHOOSE(CONTROL!$C$15, $E$9, 100%, $G$9) + CHOOSE(CONTROL!$C$38, 0.0347, 0)</f>
        <v>35.89</v>
      </c>
      <c r="D501" s="14">
        <f>35.8475 * CHOOSE(CONTROL!$C$15, $E$9, 100%, $G$9) + CHOOSE(CONTROL!$C$38, 0.0347, 0)</f>
        <v>35.882199999999997</v>
      </c>
      <c r="E501" s="46">
        <f>37.8349 * CHOOSE(CONTROL!$C$15, $E$9, 100%, $G$9) + CHOOSE(CONTROL!$C$38, 0.0347, 0)</f>
        <v>37.869599999999998</v>
      </c>
      <c r="F501" s="45">
        <f>37.8349 * CHOOSE(CONTROL!$C$15, $E$9, 100%, $G$9) + CHOOSE(CONTROL!$C$38, 0.0256, 0)</f>
        <v>37.860499999999995</v>
      </c>
      <c r="G501" s="14">
        <f>35.8537 * CHOOSE(CONTROL!$C$15, $E$9, 100%, $G$9) + CHOOSE(CONTROL!$C$38, 0.0347, 0)</f>
        <v>35.888400000000004</v>
      </c>
      <c r="H501" s="14">
        <f>35.8537 * CHOOSE(CONTROL!$C$15, $E$9, 100%, $G$9) + CHOOSE(CONTROL!$C$38, 0.0347, 0)</f>
        <v>35.888400000000004</v>
      </c>
      <c r="I501" s="14">
        <f>35.8553 * CHOOSE(CONTROL!$C$15, $E$9, 100%, $G$9) + CHOOSE(CONTROL!$C$38, 0.0347, 0)</f>
        <v>35.89</v>
      </c>
      <c r="J501" s="44">
        <f>280.3904</f>
        <v>280.3904</v>
      </c>
    </row>
    <row r="502" spans="1:10" ht="15.75" x14ac:dyDescent="0.25">
      <c r="A502" s="33">
        <v>56218</v>
      </c>
      <c r="B502" s="14">
        <f>38.2928 * CHOOSE(CONTROL!$C$15, $E$9, 100%, $G$9) + CHOOSE(CONTROL!$C$38, 0.0256, 0)</f>
        <v>38.318399999999997</v>
      </c>
      <c r="C502" s="14">
        <f>36.157 * CHOOSE(CONTROL!$C$15, $E$9, 100%, $G$9) + CHOOSE(CONTROL!$C$38, 0.0347, 0)</f>
        <v>36.191699999999997</v>
      </c>
      <c r="D502" s="14">
        <f>36.1492 * CHOOSE(CONTROL!$C$15, $E$9, 100%, $G$9) + CHOOSE(CONTROL!$C$38, 0.0347, 0)</f>
        <v>36.183900000000001</v>
      </c>
      <c r="E502" s="46">
        <f>38.1366 * CHOOSE(CONTROL!$C$15, $E$9, 100%, $G$9) + CHOOSE(CONTROL!$C$38, 0.0347, 0)</f>
        <v>38.171300000000002</v>
      </c>
      <c r="F502" s="45">
        <f>38.1366 * CHOOSE(CONTROL!$C$15, $E$9, 100%, $G$9) + CHOOSE(CONTROL!$C$38, 0.0256, 0)</f>
        <v>38.162199999999999</v>
      </c>
      <c r="G502" s="14">
        <f>36.1554 * CHOOSE(CONTROL!$C$15, $E$9, 100%, $G$9) + CHOOSE(CONTROL!$C$38, 0.0347, 0)</f>
        <v>36.190100000000001</v>
      </c>
      <c r="H502" s="14">
        <f>36.1554 * CHOOSE(CONTROL!$C$15, $E$9, 100%, $G$9) + CHOOSE(CONTROL!$C$38, 0.0347, 0)</f>
        <v>36.190100000000001</v>
      </c>
      <c r="I502" s="14">
        <f>36.157 * CHOOSE(CONTROL!$C$15, $E$9, 100%, $G$9) + CHOOSE(CONTROL!$C$38, 0.0347, 0)</f>
        <v>36.191699999999997</v>
      </c>
      <c r="J502" s="44">
        <f>278.3925</f>
        <v>278.39249999999998</v>
      </c>
    </row>
    <row r="503" spans="1:10" ht="15.75" x14ac:dyDescent="0.25">
      <c r="A503" s="33">
        <v>56249</v>
      </c>
      <c r="B503" s="14">
        <f>39.2225 * CHOOSE(CONTROL!$C$15, $E$9, 100%, $G$9) + CHOOSE(CONTROL!$C$38, 0.0256, 0)</f>
        <v>39.248099999999994</v>
      </c>
      <c r="C503" s="14">
        <f>37.0867 * CHOOSE(CONTROL!$C$15, $E$9, 100%, $G$9) + CHOOSE(CONTROL!$C$38, 0.0347, 0)</f>
        <v>37.121400000000001</v>
      </c>
      <c r="D503" s="14">
        <f>37.0789 * CHOOSE(CONTROL!$C$15, $E$9, 100%, $G$9) + CHOOSE(CONTROL!$C$38, 0.0347, 0)</f>
        <v>37.113599999999998</v>
      </c>
      <c r="E503" s="46">
        <f>39.0662 * CHOOSE(CONTROL!$C$15, $E$9, 100%, $G$9) + CHOOSE(CONTROL!$C$38, 0.0347, 0)</f>
        <v>39.100900000000003</v>
      </c>
      <c r="F503" s="45">
        <f>39.0662 * CHOOSE(CONTROL!$C$15, $E$9, 100%, $G$9) + CHOOSE(CONTROL!$C$38, 0.0256, 0)</f>
        <v>39.091799999999999</v>
      </c>
      <c r="G503" s="14">
        <f>37.0851 * CHOOSE(CONTROL!$C$15, $E$9, 100%, $G$9) + CHOOSE(CONTROL!$C$38, 0.0347, 0)</f>
        <v>37.119799999999998</v>
      </c>
      <c r="H503" s="14">
        <f>37.0851 * CHOOSE(CONTROL!$C$15, $E$9, 100%, $G$9) + CHOOSE(CONTROL!$C$38, 0.0347, 0)</f>
        <v>37.119799999999998</v>
      </c>
      <c r="I503" s="14">
        <f>37.0867 * CHOOSE(CONTROL!$C$15, $E$9, 100%, $G$9) + CHOOSE(CONTROL!$C$38, 0.0347, 0)</f>
        <v>37.121400000000001</v>
      </c>
      <c r="J503" s="44">
        <f>270.1312</f>
        <v>270.13119999999998</v>
      </c>
    </row>
    <row r="504" spans="1:10" ht="15.75" x14ac:dyDescent="0.25">
      <c r="A504" s="33">
        <v>56280</v>
      </c>
      <c r="B504" s="14">
        <f>40.5905 * CHOOSE(CONTROL!$C$15, $E$9, 100%, $G$9) + CHOOSE(CONTROL!$C$38, 0.0256, 0)</f>
        <v>40.616099999999996</v>
      </c>
      <c r="C504" s="14">
        <f>38.4214 * CHOOSE(CONTROL!$C$15, $E$9, 100%, $G$9) + CHOOSE(CONTROL!$C$38, 0.0347, 0)</f>
        <v>38.456099999999999</v>
      </c>
      <c r="D504" s="14">
        <f>38.4136 * CHOOSE(CONTROL!$C$15, $E$9, 100%, $G$9) + CHOOSE(CONTROL!$C$38, 0.0347, 0)</f>
        <v>38.448300000000003</v>
      </c>
      <c r="E504" s="46">
        <f>40.4343 * CHOOSE(CONTROL!$C$15, $E$9, 100%, $G$9) + CHOOSE(CONTROL!$C$38, 0.0347, 0)</f>
        <v>40.469000000000001</v>
      </c>
      <c r="F504" s="45">
        <f>40.4343 * CHOOSE(CONTROL!$C$15, $E$9, 100%, $G$9) + CHOOSE(CONTROL!$C$38, 0.0256, 0)</f>
        <v>40.459899999999998</v>
      </c>
      <c r="G504" s="14">
        <f>38.4199 * CHOOSE(CONTROL!$C$15, $E$9, 100%, $G$9) + CHOOSE(CONTROL!$C$38, 0.0347, 0)</f>
        <v>38.454599999999999</v>
      </c>
      <c r="H504" s="14">
        <f>38.4199 * CHOOSE(CONTROL!$C$15, $E$9, 100%, $G$9) + CHOOSE(CONTROL!$C$38, 0.0347, 0)</f>
        <v>38.454599999999999</v>
      </c>
      <c r="I504" s="14">
        <f>38.4214 * CHOOSE(CONTROL!$C$15, $E$9, 100%, $G$9) + CHOOSE(CONTROL!$C$38, 0.0347, 0)</f>
        <v>38.456099999999999</v>
      </c>
      <c r="J504" s="44">
        <f>269.7829</f>
        <v>269.78289999999998</v>
      </c>
    </row>
    <row r="505" spans="1:10" ht="15.75" x14ac:dyDescent="0.25">
      <c r="A505" s="33">
        <v>56308</v>
      </c>
      <c r="B505" s="14">
        <f>40.9348 * CHOOSE(CONTROL!$C$15, $E$9, 100%, $G$9) + CHOOSE(CONTROL!$C$38, 0.0256, 0)</f>
        <v>40.9604</v>
      </c>
      <c r="C505" s="14">
        <f>38.7657 * CHOOSE(CONTROL!$C$15, $E$9, 100%, $G$9) + CHOOSE(CONTROL!$C$38, 0.0347, 0)</f>
        <v>38.800400000000003</v>
      </c>
      <c r="D505" s="14">
        <f>38.7579 * CHOOSE(CONTROL!$C$15, $E$9, 100%, $G$9) + CHOOSE(CONTROL!$C$38, 0.0347, 0)</f>
        <v>38.7926</v>
      </c>
      <c r="E505" s="46">
        <f>40.7786 * CHOOSE(CONTROL!$C$15, $E$9, 100%, $G$9) + CHOOSE(CONTROL!$C$38, 0.0347, 0)</f>
        <v>40.813299999999998</v>
      </c>
      <c r="F505" s="45">
        <f>40.7786 * CHOOSE(CONTROL!$C$15, $E$9, 100%, $G$9) + CHOOSE(CONTROL!$C$38, 0.0256, 0)</f>
        <v>40.804199999999994</v>
      </c>
      <c r="G505" s="14">
        <f>38.7642 * CHOOSE(CONTROL!$C$15, $E$9, 100%, $G$9) + CHOOSE(CONTROL!$C$38, 0.0347, 0)</f>
        <v>38.798900000000003</v>
      </c>
      <c r="H505" s="14">
        <f>38.7642 * CHOOSE(CONTROL!$C$15, $E$9, 100%, $G$9) + CHOOSE(CONTROL!$C$38, 0.0347, 0)</f>
        <v>38.798900000000003</v>
      </c>
      <c r="I505" s="14">
        <f>38.7657 * CHOOSE(CONTROL!$C$15, $E$9, 100%, $G$9) + CHOOSE(CONTROL!$C$38, 0.0347, 0)</f>
        <v>38.800400000000003</v>
      </c>
      <c r="J505" s="44">
        <f>269.0329</f>
        <v>269.03289999999998</v>
      </c>
    </row>
    <row r="506" spans="1:10" ht="15.75" x14ac:dyDescent="0.25">
      <c r="A506" s="33">
        <v>56339</v>
      </c>
      <c r="B506" s="14">
        <f>40.1378 * CHOOSE(CONTROL!$C$15, $E$9, 100%, $G$9) + CHOOSE(CONTROL!$C$38, 0.0256, 0)</f>
        <v>40.163399999999996</v>
      </c>
      <c r="C506" s="14">
        <f>37.9687 * CHOOSE(CONTROL!$C$15, $E$9, 100%, $G$9) + CHOOSE(CONTROL!$C$38, 0.0347, 0)</f>
        <v>38.003399999999999</v>
      </c>
      <c r="D506" s="14">
        <f>37.9609 * CHOOSE(CONTROL!$C$15, $E$9, 100%, $G$9) + CHOOSE(CONTROL!$C$38, 0.0347, 0)</f>
        <v>37.995600000000003</v>
      </c>
      <c r="E506" s="46">
        <f>39.9815 * CHOOSE(CONTROL!$C$15, $E$9, 100%, $G$9) + CHOOSE(CONTROL!$C$38, 0.0347, 0)</f>
        <v>40.016199999999998</v>
      </c>
      <c r="F506" s="45">
        <f>39.9815 * CHOOSE(CONTROL!$C$15, $E$9, 100%, $G$9) + CHOOSE(CONTROL!$C$38, 0.0256, 0)</f>
        <v>40.007099999999994</v>
      </c>
      <c r="G506" s="14">
        <f>37.9672 * CHOOSE(CONTROL!$C$15, $E$9, 100%, $G$9) + CHOOSE(CONTROL!$C$38, 0.0347, 0)</f>
        <v>38.001899999999999</v>
      </c>
      <c r="H506" s="14">
        <f>37.9672 * CHOOSE(CONTROL!$C$15, $E$9, 100%, $G$9) + CHOOSE(CONTROL!$C$38, 0.0347, 0)</f>
        <v>38.001899999999999</v>
      </c>
      <c r="I506" s="14">
        <f>37.9687 * CHOOSE(CONTROL!$C$15, $E$9, 100%, $G$9) + CHOOSE(CONTROL!$C$38, 0.0347, 0)</f>
        <v>38.003399999999999</v>
      </c>
      <c r="J506" s="44">
        <f>283.2125</f>
        <v>283.21249999999998</v>
      </c>
    </row>
    <row r="507" spans="1:10" ht="15.75" x14ac:dyDescent="0.25">
      <c r="A507" s="33">
        <v>56369</v>
      </c>
      <c r="B507" s="14">
        <f>39.3655 * CHOOSE(CONTROL!$C$15, $E$9, 100%, $G$9) + CHOOSE(CONTROL!$C$38, 0.0256, 0)</f>
        <v>39.391099999999994</v>
      </c>
      <c r="C507" s="14">
        <f>37.1964 * CHOOSE(CONTROL!$C$15, $E$9, 100%, $G$9) + CHOOSE(CONTROL!$C$38, 0.0347, 0)</f>
        <v>37.231099999999998</v>
      </c>
      <c r="D507" s="14">
        <f>37.1886 * CHOOSE(CONTROL!$C$15, $E$9, 100%, $G$9) + CHOOSE(CONTROL!$C$38, 0.0347, 0)</f>
        <v>37.223300000000002</v>
      </c>
      <c r="E507" s="46">
        <f>39.2092 * CHOOSE(CONTROL!$C$15, $E$9, 100%, $G$9) + CHOOSE(CONTROL!$C$38, 0.0347, 0)</f>
        <v>39.243900000000004</v>
      </c>
      <c r="F507" s="45">
        <f>39.2092 * CHOOSE(CONTROL!$C$15, $E$9, 100%, $G$9) + CHOOSE(CONTROL!$C$38, 0.0256, 0)</f>
        <v>39.2348</v>
      </c>
      <c r="G507" s="14">
        <f>37.1948 * CHOOSE(CONTROL!$C$15, $E$9, 100%, $G$9) + CHOOSE(CONTROL!$C$38, 0.0347, 0)</f>
        <v>37.229500000000002</v>
      </c>
      <c r="H507" s="14">
        <f>37.1948 * CHOOSE(CONTROL!$C$15, $E$9, 100%, $G$9) + CHOOSE(CONTROL!$C$38, 0.0347, 0)</f>
        <v>37.229500000000002</v>
      </c>
      <c r="I507" s="14">
        <f>37.1964 * CHOOSE(CONTROL!$C$15, $E$9, 100%, $G$9) + CHOOSE(CONTROL!$C$38, 0.0347, 0)</f>
        <v>37.231099999999998</v>
      </c>
      <c r="J507" s="44">
        <f>301.6001</f>
        <v>301.6001</v>
      </c>
    </row>
    <row r="508" spans="1:10" ht="15.75" x14ac:dyDescent="0.25">
      <c r="A508" s="33">
        <v>56400</v>
      </c>
      <c r="B508" s="14">
        <f>38.5605 * CHOOSE(CONTROL!$C$15, $E$9, 100%, $G$9) + CHOOSE(CONTROL!$C$38, 0.0278, 0)</f>
        <v>38.588299999999997</v>
      </c>
      <c r="C508" s="14">
        <f>36.3914 * CHOOSE(CONTROL!$C$15, $E$9, 100%, $G$9) + CHOOSE(CONTROL!$C$38, 0.0369, 0)</f>
        <v>36.4283</v>
      </c>
      <c r="D508" s="14">
        <f>36.3836 * CHOOSE(CONTROL!$C$15, $E$9, 100%, $G$9) + CHOOSE(CONTROL!$C$38, 0.0369, 0)</f>
        <v>36.420500000000004</v>
      </c>
      <c r="E508" s="46">
        <f>38.4043 * CHOOSE(CONTROL!$C$15, $E$9, 100%, $G$9) + CHOOSE(CONTROL!$C$38, 0.0369, 0)</f>
        <v>38.441200000000002</v>
      </c>
      <c r="F508" s="45">
        <f>38.4043 * CHOOSE(CONTROL!$C$15, $E$9, 100%, $G$9) + CHOOSE(CONTROL!$C$38, 0.0278, 0)</f>
        <v>38.432099999999998</v>
      </c>
      <c r="G508" s="14">
        <f>36.3899 * CHOOSE(CONTROL!$C$15, $E$9, 100%, $G$9) + CHOOSE(CONTROL!$C$38, 0.0369, 0)</f>
        <v>36.4268</v>
      </c>
      <c r="H508" s="14">
        <f>36.3899 * CHOOSE(CONTROL!$C$15, $E$9, 100%, $G$9) + CHOOSE(CONTROL!$C$38, 0.0369, 0)</f>
        <v>36.4268</v>
      </c>
      <c r="I508" s="14">
        <f>36.3914 * CHOOSE(CONTROL!$C$15, $E$9, 100%, $G$9) + CHOOSE(CONTROL!$C$38, 0.0369, 0)</f>
        <v>36.4283</v>
      </c>
      <c r="J508" s="44">
        <f>311.7212</f>
        <v>311.72120000000001</v>
      </c>
    </row>
    <row r="509" spans="1:10" ht="15.75" x14ac:dyDescent="0.25">
      <c r="A509" s="33">
        <v>56430</v>
      </c>
      <c r="B509" s="14">
        <f>37.9962 * CHOOSE(CONTROL!$C$15, $E$9, 100%, $G$9) + CHOOSE(CONTROL!$C$38, 0.0278, 0)</f>
        <v>38.024000000000001</v>
      </c>
      <c r="C509" s="14">
        <f>35.8271 * CHOOSE(CONTROL!$C$15, $E$9, 100%, $G$9) + CHOOSE(CONTROL!$C$38, 0.0369, 0)</f>
        <v>35.864000000000004</v>
      </c>
      <c r="D509" s="14">
        <f>35.8193 * CHOOSE(CONTROL!$C$15, $E$9, 100%, $G$9) + CHOOSE(CONTROL!$C$38, 0.0369, 0)</f>
        <v>35.856200000000001</v>
      </c>
      <c r="E509" s="46">
        <f>37.8399 * CHOOSE(CONTROL!$C$15, $E$9, 100%, $G$9) + CHOOSE(CONTROL!$C$38, 0.0369, 0)</f>
        <v>37.876800000000003</v>
      </c>
      <c r="F509" s="45">
        <f>37.8399 * CHOOSE(CONTROL!$C$15, $E$9, 100%, $G$9) + CHOOSE(CONTROL!$C$38, 0.0278, 0)</f>
        <v>37.867699999999999</v>
      </c>
      <c r="G509" s="14">
        <f>35.8255 * CHOOSE(CONTROL!$C$15, $E$9, 100%, $G$9) + CHOOSE(CONTROL!$C$38, 0.0369, 0)</f>
        <v>35.862400000000001</v>
      </c>
      <c r="H509" s="14">
        <f>35.8255 * CHOOSE(CONTROL!$C$15, $E$9, 100%, $G$9) + CHOOSE(CONTROL!$C$38, 0.0369, 0)</f>
        <v>35.862400000000001</v>
      </c>
      <c r="I509" s="14">
        <f>35.8271 * CHOOSE(CONTROL!$C$15, $E$9, 100%, $G$9) + CHOOSE(CONTROL!$C$38, 0.0369, 0)</f>
        <v>35.864000000000004</v>
      </c>
      <c r="J509" s="44">
        <f>316.2127</f>
        <v>316.21269999999998</v>
      </c>
    </row>
    <row r="510" spans="1:10" ht="15.75" x14ac:dyDescent="0.25">
      <c r="A510" s="33">
        <v>56461</v>
      </c>
      <c r="B510" s="14">
        <f>37.6741 * CHOOSE(CONTROL!$C$15, $E$9, 100%, $G$9) + CHOOSE(CONTROL!$C$38, 0.0278, 0)</f>
        <v>37.701900000000002</v>
      </c>
      <c r="C510" s="14">
        <f>35.5051 * CHOOSE(CONTROL!$C$15, $E$9, 100%, $G$9) + CHOOSE(CONTROL!$C$38, 0.0369, 0)</f>
        <v>35.542000000000002</v>
      </c>
      <c r="D510" s="14">
        <f>35.4972 * CHOOSE(CONTROL!$C$15, $E$9, 100%, $G$9) + CHOOSE(CONTROL!$C$38, 0.0369, 0)</f>
        <v>35.534100000000002</v>
      </c>
      <c r="E510" s="46">
        <f>37.5179 * CHOOSE(CONTROL!$C$15, $E$9, 100%, $G$9) + CHOOSE(CONTROL!$C$38, 0.0369, 0)</f>
        <v>37.5548</v>
      </c>
      <c r="F510" s="45">
        <f>37.5179 * CHOOSE(CONTROL!$C$15, $E$9, 100%, $G$9) + CHOOSE(CONTROL!$C$38, 0.0278, 0)</f>
        <v>37.545699999999997</v>
      </c>
      <c r="G510" s="14">
        <f>35.5035 * CHOOSE(CONTROL!$C$15, $E$9, 100%, $G$9) + CHOOSE(CONTROL!$C$38, 0.0369, 0)</f>
        <v>35.540400000000005</v>
      </c>
      <c r="H510" s="14">
        <f>35.5035 * CHOOSE(CONTROL!$C$15, $E$9, 100%, $G$9) + CHOOSE(CONTROL!$C$38, 0.0369, 0)</f>
        <v>35.540400000000005</v>
      </c>
      <c r="I510" s="14">
        <f>35.5051 * CHOOSE(CONTROL!$C$15, $E$9, 100%, $G$9) + CHOOSE(CONTROL!$C$38, 0.0369, 0)</f>
        <v>35.542000000000002</v>
      </c>
      <c r="J510" s="44">
        <f>314.7339</f>
        <v>314.73390000000001</v>
      </c>
    </row>
    <row r="511" spans="1:10" ht="15.75" x14ac:dyDescent="0.25">
      <c r="A511" s="33">
        <v>56492</v>
      </c>
      <c r="B511" s="14">
        <f>37.8331 * CHOOSE(CONTROL!$C$15, $E$9, 100%, $G$9) + CHOOSE(CONTROL!$C$38, 0.0278, 0)</f>
        <v>37.860900000000001</v>
      </c>
      <c r="C511" s="14">
        <f>35.664 * CHOOSE(CONTROL!$C$15, $E$9, 100%, $G$9) + CHOOSE(CONTROL!$C$38, 0.0369, 0)</f>
        <v>35.700900000000004</v>
      </c>
      <c r="D511" s="14">
        <f>35.6562 * CHOOSE(CONTROL!$C$15, $E$9, 100%, $G$9) + CHOOSE(CONTROL!$C$38, 0.0369, 0)</f>
        <v>35.693100000000001</v>
      </c>
      <c r="E511" s="46">
        <f>37.6768 * CHOOSE(CONTROL!$C$15, $E$9, 100%, $G$9) + CHOOSE(CONTROL!$C$38, 0.0369, 0)</f>
        <v>37.713700000000003</v>
      </c>
      <c r="F511" s="45">
        <f>37.6768 * CHOOSE(CONTROL!$C$15, $E$9, 100%, $G$9) + CHOOSE(CONTROL!$C$38, 0.0278, 0)</f>
        <v>37.704599999999999</v>
      </c>
      <c r="G511" s="14">
        <f>35.6624 * CHOOSE(CONTROL!$C$15, $E$9, 100%, $G$9) + CHOOSE(CONTROL!$C$38, 0.0369, 0)</f>
        <v>35.699300000000001</v>
      </c>
      <c r="H511" s="14">
        <f>35.6624 * CHOOSE(CONTROL!$C$15, $E$9, 100%, $G$9) + CHOOSE(CONTROL!$C$38, 0.0369, 0)</f>
        <v>35.699300000000001</v>
      </c>
      <c r="I511" s="14">
        <f>35.664 * CHOOSE(CONTROL!$C$15, $E$9, 100%, $G$9) + CHOOSE(CONTROL!$C$38, 0.0369, 0)</f>
        <v>35.700900000000004</v>
      </c>
      <c r="J511" s="44">
        <f>307.407</f>
        <v>307.40699999999998</v>
      </c>
    </row>
    <row r="512" spans="1:10" ht="15.75" x14ac:dyDescent="0.25">
      <c r="A512" s="33">
        <v>56522</v>
      </c>
      <c r="B512" s="14">
        <f>38.2648 * CHOOSE(CONTROL!$C$15, $E$9, 100%, $G$9) + CHOOSE(CONTROL!$C$38, 0.0278, 0)</f>
        <v>38.2926</v>
      </c>
      <c r="C512" s="14">
        <f>36.0957 * CHOOSE(CONTROL!$C$15, $E$9, 100%, $G$9) + CHOOSE(CONTROL!$C$38, 0.0369, 0)</f>
        <v>36.132600000000004</v>
      </c>
      <c r="D512" s="14">
        <f>36.0879 * CHOOSE(CONTROL!$C$15, $E$9, 100%, $G$9) + CHOOSE(CONTROL!$C$38, 0.0369, 0)</f>
        <v>36.1248</v>
      </c>
      <c r="E512" s="46">
        <f>38.1085 * CHOOSE(CONTROL!$C$15, $E$9, 100%, $G$9) + CHOOSE(CONTROL!$C$38, 0.0369, 0)</f>
        <v>38.145400000000002</v>
      </c>
      <c r="F512" s="45">
        <f>38.1085 * CHOOSE(CONTROL!$C$15, $E$9, 100%, $G$9) + CHOOSE(CONTROL!$C$38, 0.0278, 0)</f>
        <v>38.136299999999999</v>
      </c>
      <c r="G512" s="14">
        <f>36.0941 * CHOOSE(CONTROL!$C$15, $E$9, 100%, $G$9) + CHOOSE(CONTROL!$C$38, 0.0369, 0)</f>
        <v>36.131</v>
      </c>
      <c r="H512" s="14">
        <f>36.0941 * CHOOSE(CONTROL!$C$15, $E$9, 100%, $G$9) + CHOOSE(CONTROL!$C$38, 0.0369, 0)</f>
        <v>36.131</v>
      </c>
      <c r="I512" s="14">
        <f>36.0957 * CHOOSE(CONTROL!$C$15, $E$9, 100%, $G$9) + CHOOSE(CONTROL!$C$38, 0.0369, 0)</f>
        <v>36.132600000000004</v>
      </c>
      <c r="J512" s="44">
        <f>297.1894</f>
        <v>297.18939999999998</v>
      </c>
    </row>
    <row r="513" spans="1:10" ht="15.75" x14ac:dyDescent="0.25">
      <c r="A513" s="33">
        <v>56553</v>
      </c>
      <c r="B513" s="14">
        <f>38.6263 * CHOOSE(CONTROL!$C$15, $E$9, 100%, $G$9) + CHOOSE(CONTROL!$C$38, 0.0256, 0)</f>
        <v>38.651899999999998</v>
      </c>
      <c r="C513" s="14">
        <f>36.4573 * CHOOSE(CONTROL!$C$15, $E$9, 100%, $G$9) + CHOOSE(CONTROL!$C$38, 0.0347, 0)</f>
        <v>36.491999999999997</v>
      </c>
      <c r="D513" s="14">
        <f>36.4495 * CHOOSE(CONTROL!$C$15, $E$9, 100%, $G$9) + CHOOSE(CONTROL!$C$38, 0.0347, 0)</f>
        <v>36.484200000000001</v>
      </c>
      <c r="E513" s="46">
        <f>38.4701 * CHOOSE(CONTROL!$C$15, $E$9, 100%, $G$9) + CHOOSE(CONTROL!$C$38, 0.0347, 0)</f>
        <v>38.504800000000003</v>
      </c>
      <c r="F513" s="45">
        <f>38.4701 * CHOOSE(CONTROL!$C$15, $E$9, 100%, $G$9) + CHOOSE(CONTROL!$C$38, 0.0256, 0)</f>
        <v>38.495699999999999</v>
      </c>
      <c r="G513" s="14">
        <f>36.4557 * CHOOSE(CONTROL!$C$15, $E$9, 100%, $G$9) + CHOOSE(CONTROL!$C$38, 0.0347, 0)</f>
        <v>36.490400000000001</v>
      </c>
      <c r="H513" s="14">
        <f>36.4557 * CHOOSE(CONTROL!$C$15, $E$9, 100%, $G$9) + CHOOSE(CONTROL!$C$38, 0.0347, 0)</f>
        <v>36.490400000000001</v>
      </c>
      <c r="I513" s="14">
        <f>36.4573 * CHOOSE(CONTROL!$C$15, $E$9, 100%, $G$9) + CHOOSE(CONTROL!$C$38, 0.0347, 0)</f>
        <v>36.491999999999997</v>
      </c>
      <c r="J513" s="44">
        <f>286.9122</f>
        <v>286.91219999999998</v>
      </c>
    </row>
    <row r="514" spans="1:10" ht="15.75" x14ac:dyDescent="0.25">
      <c r="A514" s="33">
        <v>56583</v>
      </c>
      <c r="B514" s="14">
        <f>38.9281 * CHOOSE(CONTROL!$C$15, $E$9, 100%, $G$9) + CHOOSE(CONTROL!$C$38, 0.0256, 0)</f>
        <v>38.953699999999998</v>
      </c>
      <c r="C514" s="14">
        <f>36.759 * CHOOSE(CONTROL!$C$15, $E$9, 100%, $G$9) + CHOOSE(CONTROL!$C$38, 0.0347, 0)</f>
        <v>36.793700000000001</v>
      </c>
      <c r="D514" s="14">
        <f>36.7512 * CHOOSE(CONTROL!$C$15, $E$9, 100%, $G$9) + CHOOSE(CONTROL!$C$38, 0.0347, 0)</f>
        <v>36.785899999999998</v>
      </c>
      <c r="E514" s="46">
        <f>38.7718 * CHOOSE(CONTROL!$C$15, $E$9, 100%, $G$9) + CHOOSE(CONTROL!$C$38, 0.0347, 0)</f>
        <v>38.8065</v>
      </c>
      <c r="F514" s="45">
        <f>38.7718 * CHOOSE(CONTROL!$C$15, $E$9, 100%, $G$9) + CHOOSE(CONTROL!$C$38, 0.0256, 0)</f>
        <v>38.797399999999996</v>
      </c>
      <c r="G514" s="14">
        <f>36.7574 * CHOOSE(CONTROL!$C$15, $E$9, 100%, $G$9) + CHOOSE(CONTROL!$C$38, 0.0347, 0)</f>
        <v>36.792099999999998</v>
      </c>
      <c r="H514" s="14">
        <f>36.7574 * CHOOSE(CONTROL!$C$15, $E$9, 100%, $G$9) + CHOOSE(CONTROL!$C$38, 0.0347, 0)</f>
        <v>36.792099999999998</v>
      </c>
      <c r="I514" s="14">
        <f>36.759 * CHOOSE(CONTROL!$C$15, $E$9, 100%, $G$9) + CHOOSE(CONTROL!$C$38, 0.0347, 0)</f>
        <v>36.793700000000001</v>
      </c>
      <c r="J514" s="44">
        <f>284.8679</f>
        <v>284.86790000000002</v>
      </c>
    </row>
    <row r="515" spans="1:10" ht="15.75" x14ac:dyDescent="0.25">
      <c r="A515" s="33">
        <v>56614</v>
      </c>
      <c r="B515" s="14">
        <f>39.8577 * CHOOSE(CONTROL!$C$15, $E$9, 100%, $G$9) + CHOOSE(CONTROL!$C$38, 0.0256, 0)</f>
        <v>39.883299999999998</v>
      </c>
      <c r="C515" s="14">
        <f>37.6886 * CHOOSE(CONTROL!$C$15, $E$9, 100%, $G$9) + CHOOSE(CONTROL!$C$38, 0.0347, 0)</f>
        <v>37.723300000000002</v>
      </c>
      <c r="D515" s="14">
        <f>37.6808 * CHOOSE(CONTROL!$C$15, $E$9, 100%, $G$9) + CHOOSE(CONTROL!$C$38, 0.0347, 0)</f>
        <v>37.715499999999999</v>
      </c>
      <c r="E515" s="46">
        <f>39.7015 * CHOOSE(CONTROL!$C$15, $E$9, 100%, $G$9) + CHOOSE(CONTROL!$C$38, 0.0347, 0)</f>
        <v>39.736200000000004</v>
      </c>
      <c r="F515" s="45">
        <f>39.7015 * CHOOSE(CONTROL!$C$15, $E$9, 100%, $G$9) + CHOOSE(CONTROL!$C$38, 0.0256, 0)</f>
        <v>39.7271</v>
      </c>
      <c r="G515" s="14">
        <f>37.6871 * CHOOSE(CONTROL!$C$15, $E$9, 100%, $G$9) + CHOOSE(CONTROL!$C$38, 0.0347, 0)</f>
        <v>37.721800000000002</v>
      </c>
      <c r="H515" s="14">
        <f>37.6871 * CHOOSE(CONTROL!$C$15, $E$9, 100%, $G$9) + CHOOSE(CONTROL!$C$38, 0.0347, 0)</f>
        <v>37.721800000000002</v>
      </c>
      <c r="I515" s="14">
        <f>37.6886 * CHOOSE(CONTROL!$C$15, $E$9, 100%, $G$9) + CHOOSE(CONTROL!$C$38, 0.0347, 0)</f>
        <v>37.723300000000002</v>
      </c>
      <c r="J515" s="44">
        <f>276.4144</f>
        <v>276.4144</v>
      </c>
    </row>
    <row r="516" spans="1:10" ht="15.75" x14ac:dyDescent="0.25">
      <c r="A516" s="32">
        <v>56645</v>
      </c>
      <c r="B516" s="14">
        <f>41.2364 * CHOOSE(CONTROL!$C$15, $E$9, 100%, $G$9) + CHOOSE(CONTROL!$C$38, 0.0256, 0)</f>
        <v>41.262</v>
      </c>
      <c r="C516" s="14">
        <f>39.0335 * CHOOSE(CONTROL!$C$15, $E$9, 100%, $G$9) + CHOOSE(CONTROL!$C$38, 0.0347, 0)</f>
        <v>39.068199999999997</v>
      </c>
      <c r="D516" s="14">
        <f>39.0257 * CHOOSE(CONTROL!$C$15, $E$9, 100%, $G$9) + CHOOSE(CONTROL!$C$38, 0.0347, 0)</f>
        <v>39.060400000000001</v>
      </c>
      <c r="E516" s="46">
        <f>41.0802 * CHOOSE(CONTROL!$C$15, $E$9, 100%, $G$9) + CHOOSE(CONTROL!$C$38, 0.0347, 0)</f>
        <v>41.114899999999999</v>
      </c>
      <c r="F516" s="45">
        <f>41.0802 * CHOOSE(CONTROL!$C$15, $E$9, 100%, $G$9) + CHOOSE(CONTROL!$C$38, 0.0256, 0)</f>
        <v>41.105799999999995</v>
      </c>
      <c r="G516" s="14">
        <f>39.032 * CHOOSE(CONTROL!$C$15, $E$9, 100%, $G$9) + CHOOSE(CONTROL!$C$38, 0.0347, 0)</f>
        <v>39.066699999999997</v>
      </c>
      <c r="H516" s="14">
        <f>39.032 * CHOOSE(CONTROL!$C$15, $E$9, 100%, $G$9) + CHOOSE(CONTROL!$C$38, 0.0347, 0)</f>
        <v>39.066699999999997</v>
      </c>
      <c r="I516" s="14">
        <f>39.0335 * CHOOSE(CONTROL!$C$15, $E$9, 100%, $G$9) + CHOOSE(CONTROL!$C$38, 0.0347, 0)</f>
        <v>39.068199999999997</v>
      </c>
      <c r="J516" s="44">
        <f>276.058</f>
        <v>276.05799999999999</v>
      </c>
    </row>
    <row r="517" spans="1:10" ht="15.75" x14ac:dyDescent="0.25">
      <c r="A517" s="32">
        <v>56673</v>
      </c>
      <c r="B517" s="14">
        <f>41.5807 * CHOOSE(CONTROL!$C$15, $E$9, 100%, $G$9) + CHOOSE(CONTROL!$C$38, 0.0256, 0)</f>
        <v>41.606299999999997</v>
      </c>
      <c r="C517" s="14">
        <f>39.3778 * CHOOSE(CONTROL!$C$15, $E$9, 100%, $G$9) + CHOOSE(CONTROL!$C$38, 0.0347, 0)</f>
        <v>39.412500000000001</v>
      </c>
      <c r="D517" s="14">
        <f>39.37 * CHOOSE(CONTROL!$C$15, $E$9, 100%, $G$9) + CHOOSE(CONTROL!$C$38, 0.0347, 0)</f>
        <v>39.404699999999998</v>
      </c>
      <c r="E517" s="46">
        <f>41.4245 * CHOOSE(CONTROL!$C$15, $E$9, 100%, $G$9) + CHOOSE(CONTROL!$C$38, 0.0347, 0)</f>
        <v>41.459200000000003</v>
      </c>
      <c r="F517" s="45">
        <f>41.4245 * CHOOSE(CONTROL!$C$15, $E$9, 100%, $G$9) + CHOOSE(CONTROL!$C$38, 0.0256, 0)</f>
        <v>41.450099999999999</v>
      </c>
      <c r="G517" s="14">
        <f>39.3763 * CHOOSE(CONTROL!$C$15, $E$9, 100%, $G$9) + CHOOSE(CONTROL!$C$38, 0.0347, 0)</f>
        <v>39.411000000000001</v>
      </c>
      <c r="H517" s="14">
        <f>39.3763 * CHOOSE(CONTROL!$C$15, $E$9, 100%, $G$9) + CHOOSE(CONTROL!$C$38, 0.0347, 0)</f>
        <v>39.411000000000001</v>
      </c>
      <c r="I517" s="14">
        <f>39.3778 * CHOOSE(CONTROL!$C$15, $E$9, 100%, $G$9) + CHOOSE(CONTROL!$C$38, 0.0347, 0)</f>
        <v>39.412500000000001</v>
      </c>
      <c r="J517" s="44">
        <f>275.2907</f>
        <v>275.29070000000002</v>
      </c>
    </row>
    <row r="518" spans="1:10" ht="15.75" x14ac:dyDescent="0.25">
      <c r="A518" s="32">
        <v>56704</v>
      </c>
      <c r="B518" s="14">
        <f>40.7837 * CHOOSE(CONTROL!$C$15, $E$9, 100%, $G$9) + CHOOSE(CONTROL!$C$38, 0.0256, 0)</f>
        <v>40.8093</v>
      </c>
      <c r="C518" s="14">
        <f>38.5808 * CHOOSE(CONTROL!$C$15, $E$9, 100%, $G$9) + CHOOSE(CONTROL!$C$38, 0.0347, 0)</f>
        <v>38.615500000000004</v>
      </c>
      <c r="D518" s="14">
        <f>38.573 * CHOOSE(CONTROL!$C$15, $E$9, 100%, $G$9) + CHOOSE(CONTROL!$C$38, 0.0347, 0)</f>
        <v>38.607700000000001</v>
      </c>
      <c r="E518" s="46">
        <f>40.6274 * CHOOSE(CONTROL!$C$15, $E$9, 100%, $G$9) + CHOOSE(CONTROL!$C$38, 0.0347, 0)</f>
        <v>40.662100000000002</v>
      </c>
      <c r="F518" s="45">
        <f>40.6274 * CHOOSE(CONTROL!$C$15, $E$9, 100%, $G$9) + CHOOSE(CONTROL!$C$38, 0.0256, 0)</f>
        <v>40.652999999999999</v>
      </c>
      <c r="G518" s="14">
        <f>38.5792 * CHOOSE(CONTROL!$C$15, $E$9, 100%, $G$9) + CHOOSE(CONTROL!$C$38, 0.0347, 0)</f>
        <v>38.613900000000001</v>
      </c>
      <c r="H518" s="14">
        <f>38.5792 * CHOOSE(CONTROL!$C$15, $E$9, 100%, $G$9) + CHOOSE(CONTROL!$C$38, 0.0347, 0)</f>
        <v>38.613900000000001</v>
      </c>
      <c r="I518" s="14">
        <f>38.5808 * CHOOSE(CONTROL!$C$15, $E$9, 100%, $G$9) + CHOOSE(CONTROL!$C$38, 0.0347, 0)</f>
        <v>38.615500000000004</v>
      </c>
      <c r="J518" s="44">
        <f>289.8001</f>
        <v>289.80009999999999</v>
      </c>
    </row>
    <row r="519" spans="1:10" ht="15.75" x14ac:dyDescent="0.25">
      <c r="A519" s="32">
        <v>56734</v>
      </c>
      <c r="B519" s="14">
        <f>40.0114 * CHOOSE(CONTROL!$C$15, $E$9, 100%, $G$9) + CHOOSE(CONTROL!$C$38, 0.0256, 0)</f>
        <v>40.036999999999999</v>
      </c>
      <c r="C519" s="14">
        <f>37.8085 * CHOOSE(CONTROL!$C$15, $E$9, 100%, $G$9) + CHOOSE(CONTROL!$C$38, 0.0347, 0)</f>
        <v>37.843200000000003</v>
      </c>
      <c r="D519" s="14">
        <f>37.8007 * CHOOSE(CONTROL!$C$15, $E$9, 100%, $G$9) + CHOOSE(CONTROL!$C$38, 0.0347, 0)</f>
        <v>37.8354</v>
      </c>
      <c r="E519" s="46">
        <f>39.8551 * CHOOSE(CONTROL!$C$15, $E$9, 100%, $G$9) + CHOOSE(CONTROL!$C$38, 0.0347, 0)</f>
        <v>39.889800000000001</v>
      </c>
      <c r="F519" s="45">
        <f>39.8551 * CHOOSE(CONTROL!$C$15, $E$9, 100%, $G$9) + CHOOSE(CONTROL!$C$38, 0.0256, 0)</f>
        <v>39.880699999999997</v>
      </c>
      <c r="G519" s="14">
        <f>37.8069 * CHOOSE(CONTROL!$C$15, $E$9, 100%, $G$9) + CHOOSE(CONTROL!$C$38, 0.0347, 0)</f>
        <v>37.8416</v>
      </c>
      <c r="H519" s="14">
        <f>37.8069 * CHOOSE(CONTROL!$C$15, $E$9, 100%, $G$9) + CHOOSE(CONTROL!$C$38, 0.0347, 0)</f>
        <v>37.8416</v>
      </c>
      <c r="I519" s="14">
        <f>37.8085 * CHOOSE(CONTROL!$C$15, $E$9, 100%, $G$9) + CHOOSE(CONTROL!$C$38, 0.0347, 0)</f>
        <v>37.843200000000003</v>
      </c>
      <c r="J519" s="44">
        <f>308.6153</f>
        <v>308.61529999999999</v>
      </c>
    </row>
    <row r="520" spans="1:10" ht="15.75" x14ac:dyDescent="0.25">
      <c r="A520" s="32">
        <v>56765</v>
      </c>
      <c r="B520" s="14">
        <f>39.2064 * CHOOSE(CONTROL!$C$15, $E$9, 100%, $G$9) + CHOOSE(CONTROL!$C$38, 0.0278, 0)</f>
        <v>39.234200000000001</v>
      </c>
      <c r="C520" s="14">
        <f>37.0035 * CHOOSE(CONTROL!$C$15, $E$9, 100%, $G$9) + CHOOSE(CONTROL!$C$38, 0.0369, 0)</f>
        <v>37.040400000000005</v>
      </c>
      <c r="D520" s="14">
        <f>36.9957 * CHOOSE(CONTROL!$C$15, $E$9, 100%, $G$9) + CHOOSE(CONTROL!$C$38, 0.0369, 0)</f>
        <v>37.032600000000002</v>
      </c>
      <c r="E520" s="46">
        <f>39.0502 * CHOOSE(CONTROL!$C$15, $E$9, 100%, $G$9) + CHOOSE(CONTROL!$C$38, 0.0369, 0)</f>
        <v>39.0871</v>
      </c>
      <c r="F520" s="45">
        <f>39.0502 * CHOOSE(CONTROL!$C$15, $E$9, 100%, $G$9) + CHOOSE(CONTROL!$C$38, 0.0278, 0)</f>
        <v>39.077999999999996</v>
      </c>
      <c r="G520" s="14">
        <f>37.002 * CHOOSE(CONTROL!$C$15, $E$9, 100%, $G$9) + CHOOSE(CONTROL!$C$38, 0.0369, 0)</f>
        <v>37.038900000000005</v>
      </c>
      <c r="H520" s="14">
        <f>37.002 * CHOOSE(CONTROL!$C$15, $E$9, 100%, $G$9) + CHOOSE(CONTROL!$C$38, 0.0369, 0)</f>
        <v>37.038900000000005</v>
      </c>
      <c r="I520" s="14">
        <f>37.0035 * CHOOSE(CONTROL!$C$15, $E$9, 100%, $G$9) + CHOOSE(CONTROL!$C$38, 0.0369, 0)</f>
        <v>37.040400000000005</v>
      </c>
      <c r="J520" s="44">
        <f>318.9718</f>
        <v>318.97179999999997</v>
      </c>
    </row>
    <row r="521" spans="1:10" ht="15.75" x14ac:dyDescent="0.25">
      <c r="A521" s="32">
        <v>56795</v>
      </c>
      <c r="B521" s="14">
        <f>38.6421 * CHOOSE(CONTROL!$C$15, $E$9, 100%, $G$9) + CHOOSE(CONTROL!$C$38, 0.0278, 0)</f>
        <v>38.669899999999998</v>
      </c>
      <c r="C521" s="14">
        <f>36.4392 * CHOOSE(CONTROL!$C$15, $E$9, 100%, $G$9) + CHOOSE(CONTROL!$C$38, 0.0369, 0)</f>
        <v>36.476100000000002</v>
      </c>
      <c r="D521" s="14">
        <f>36.4314 * CHOOSE(CONTROL!$C$15, $E$9, 100%, $G$9) + CHOOSE(CONTROL!$C$38, 0.0369, 0)</f>
        <v>36.468299999999999</v>
      </c>
      <c r="E521" s="46">
        <f>38.4858 * CHOOSE(CONTROL!$C$15, $E$9, 100%, $G$9) + CHOOSE(CONTROL!$C$38, 0.0369, 0)</f>
        <v>38.5227</v>
      </c>
      <c r="F521" s="45">
        <f>38.4858 * CHOOSE(CONTROL!$C$15, $E$9, 100%, $G$9) + CHOOSE(CONTROL!$C$38, 0.0278, 0)</f>
        <v>38.513599999999997</v>
      </c>
      <c r="G521" s="14">
        <f>36.4376 * CHOOSE(CONTROL!$C$15, $E$9, 100%, $G$9) + CHOOSE(CONTROL!$C$38, 0.0369, 0)</f>
        <v>36.474500000000006</v>
      </c>
      <c r="H521" s="14">
        <f>36.4376 * CHOOSE(CONTROL!$C$15, $E$9, 100%, $G$9) + CHOOSE(CONTROL!$C$38, 0.0369, 0)</f>
        <v>36.474500000000006</v>
      </c>
      <c r="I521" s="14">
        <f>36.4392 * CHOOSE(CONTROL!$C$15, $E$9, 100%, $G$9) + CHOOSE(CONTROL!$C$38, 0.0369, 0)</f>
        <v>36.476100000000002</v>
      </c>
      <c r="J521" s="44">
        <f>323.5679</f>
        <v>323.56790000000001</v>
      </c>
    </row>
    <row r="522" spans="1:10" ht="15.75" x14ac:dyDescent="0.25">
      <c r="A522" s="32">
        <v>56826</v>
      </c>
      <c r="B522" s="14">
        <f>38.32 * CHOOSE(CONTROL!$C$15, $E$9, 100%, $G$9) + CHOOSE(CONTROL!$C$38, 0.0278, 0)</f>
        <v>38.347799999999999</v>
      </c>
      <c r="C522" s="14">
        <f>36.1171 * CHOOSE(CONTROL!$C$15, $E$9, 100%, $G$9) + CHOOSE(CONTROL!$C$38, 0.0369, 0)</f>
        <v>36.154000000000003</v>
      </c>
      <c r="D522" s="14">
        <f>36.1093 * CHOOSE(CONTROL!$C$15, $E$9, 100%, $G$9) + CHOOSE(CONTROL!$C$38, 0.0369, 0)</f>
        <v>36.1462</v>
      </c>
      <c r="E522" s="46">
        <f>38.1638 * CHOOSE(CONTROL!$C$15, $E$9, 100%, $G$9) + CHOOSE(CONTROL!$C$38, 0.0369, 0)</f>
        <v>38.200700000000005</v>
      </c>
      <c r="F522" s="45">
        <f>38.1638 * CHOOSE(CONTROL!$C$15, $E$9, 100%, $G$9) + CHOOSE(CONTROL!$C$38, 0.0278, 0)</f>
        <v>38.191600000000001</v>
      </c>
      <c r="G522" s="14">
        <f>36.1156 * CHOOSE(CONTROL!$C$15, $E$9, 100%, $G$9) + CHOOSE(CONTROL!$C$38, 0.0369, 0)</f>
        <v>36.152500000000003</v>
      </c>
      <c r="H522" s="14">
        <f>36.1156 * CHOOSE(CONTROL!$C$15, $E$9, 100%, $G$9) + CHOOSE(CONTROL!$C$38, 0.0369, 0)</f>
        <v>36.152500000000003</v>
      </c>
      <c r="I522" s="14">
        <f>36.1171 * CHOOSE(CONTROL!$C$15, $E$9, 100%, $G$9) + CHOOSE(CONTROL!$C$38, 0.0369, 0)</f>
        <v>36.154000000000003</v>
      </c>
      <c r="J522" s="44">
        <f>322.0546</f>
        <v>322.05459999999999</v>
      </c>
    </row>
    <row r="523" spans="1:10" ht="15.75" x14ac:dyDescent="0.25">
      <c r="A523" s="32">
        <v>56857</v>
      </c>
      <c r="B523" s="14">
        <f>38.479 * CHOOSE(CONTROL!$C$15, $E$9, 100%, $G$9) + CHOOSE(CONTROL!$C$38, 0.0278, 0)</f>
        <v>38.506799999999998</v>
      </c>
      <c r="C523" s="14">
        <f>36.2761 * CHOOSE(CONTROL!$C$15, $E$9, 100%, $G$9) + CHOOSE(CONTROL!$C$38, 0.0369, 0)</f>
        <v>36.313000000000002</v>
      </c>
      <c r="D523" s="14">
        <f>36.2683 * CHOOSE(CONTROL!$C$15, $E$9, 100%, $G$9) + CHOOSE(CONTROL!$C$38, 0.0369, 0)</f>
        <v>36.305200000000006</v>
      </c>
      <c r="E523" s="46">
        <f>38.3227 * CHOOSE(CONTROL!$C$15, $E$9, 100%, $G$9) + CHOOSE(CONTROL!$C$38, 0.0369, 0)</f>
        <v>38.3596</v>
      </c>
      <c r="F523" s="45">
        <f>38.3227 * CHOOSE(CONTROL!$C$15, $E$9, 100%, $G$9) + CHOOSE(CONTROL!$C$38, 0.0278, 0)</f>
        <v>38.350499999999997</v>
      </c>
      <c r="G523" s="14">
        <f>36.2745 * CHOOSE(CONTROL!$C$15, $E$9, 100%, $G$9) + CHOOSE(CONTROL!$C$38, 0.0369, 0)</f>
        <v>36.311400000000006</v>
      </c>
      <c r="H523" s="14">
        <f>36.2745 * CHOOSE(CONTROL!$C$15, $E$9, 100%, $G$9) + CHOOSE(CONTROL!$C$38, 0.0369, 0)</f>
        <v>36.311400000000006</v>
      </c>
      <c r="I523" s="14">
        <f>36.2761 * CHOOSE(CONTROL!$C$15, $E$9, 100%, $G$9) + CHOOSE(CONTROL!$C$38, 0.0369, 0)</f>
        <v>36.313000000000002</v>
      </c>
      <c r="J523" s="44">
        <f>314.5573</f>
        <v>314.5573</v>
      </c>
    </row>
    <row r="524" spans="1:10" ht="15.75" x14ac:dyDescent="0.25">
      <c r="A524" s="32">
        <v>56887</v>
      </c>
      <c r="B524" s="14">
        <f>38.9107 * CHOOSE(CONTROL!$C$15, $E$9, 100%, $G$9) + CHOOSE(CONTROL!$C$38, 0.0278, 0)</f>
        <v>38.938499999999998</v>
      </c>
      <c r="C524" s="14">
        <f>36.7078 * CHOOSE(CONTROL!$C$15, $E$9, 100%, $G$9) + CHOOSE(CONTROL!$C$38, 0.0369, 0)</f>
        <v>36.744700000000002</v>
      </c>
      <c r="D524" s="14">
        <f>36.7 * CHOOSE(CONTROL!$C$15, $E$9, 100%, $G$9) + CHOOSE(CONTROL!$C$38, 0.0369, 0)</f>
        <v>36.736900000000006</v>
      </c>
      <c r="E524" s="46">
        <f>38.7544 * CHOOSE(CONTROL!$C$15, $E$9, 100%, $G$9) + CHOOSE(CONTROL!$C$38, 0.0369, 0)</f>
        <v>38.7913</v>
      </c>
      <c r="F524" s="45">
        <f>38.7544 * CHOOSE(CONTROL!$C$15, $E$9, 100%, $G$9) + CHOOSE(CONTROL!$C$38, 0.0278, 0)</f>
        <v>38.782199999999996</v>
      </c>
      <c r="G524" s="14">
        <f>36.7062 * CHOOSE(CONTROL!$C$15, $E$9, 100%, $G$9) + CHOOSE(CONTROL!$C$38, 0.0369, 0)</f>
        <v>36.743100000000005</v>
      </c>
      <c r="H524" s="14">
        <f>36.7062 * CHOOSE(CONTROL!$C$15, $E$9, 100%, $G$9) + CHOOSE(CONTROL!$C$38, 0.0369, 0)</f>
        <v>36.743100000000005</v>
      </c>
      <c r="I524" s="14">
        <f>36.7078 * CHOOSE(CONTROL!$C$15, $E$9, 100%, $G$9) + CHOOSE(CONTROL!$C$38, 0.0369, 0)</f>
        <v>36.744700000000002</v>
      </c>
      <c r="J524" s="44">
        <f>304.102</f>
        <v>304.10199999999998</v>
      </c>
    </row>
    <row r="525" spans="1:10" ht="15.75" x14ac:dyDescent="0.25">
      <c r="A525" s="32">
        <v>56918</v>
      </c>
      <c r="B525" s="14">
        <f>39.2722 * CHOOSE(CONTROL!$C$15, $E$9, 100%, $G$9) + CHOOSE(CONTROL!$C$38, 0.0256, 0)</f>
        <v>39.297799999999995</v>
      </c>
      <c r="C525" s="14">
        <f>37.0694 * CHOOSE(CONTROL!$C$15, $E$9, 100%, $G$9) + CHOOSE(CONTROL!$C$38, 0.0347, 0)</f>
        <v>37.104100000000003</v>
      </c>
      <c r="D525" s="14">
        <f>37.0615 * CHOOSE(CONTROL!$C$15, $E$9, 100%, $G$9) + CHOOSE(CONTROL!$C$38, 0.0347, 0)</f>
        <v>37.096200000000003</v>
      </c>
      <c r="E525" s="46">
        <f>39.116 * CHOOSE(CONTROL!$C$15, $E$9, 100%, $G$9) + CHOOSE(CONTROL!$C$38, 0.0347, 0)</f>
        <v>39.150700000000001</v>
      </c>
      <c r="F525" s="45">
        <f>39.116 * CHOOSE(CONTROL!$C$15, $E$9, 100%, $G$9) + CHOOSE(CONTROL!$C$38, 0.0256, 0)</f>
        <v>39.141599999999997</v>
      </c>
      <c r="G525" s="14">
        <f>37.0678 * CHOOSE(CONTROL!$C$15, $E$9, 100%, $G$9) + CHOOSE(CONTROL!$C$38, 0.0347, 0)</f>
        <v>37.102499999999999</v>
      </c>
      <c r="H525" s="14">
        <f>37.0678 * CHOOSE(CONTROL!$C$15, $E$9, 100%, $G$9) + CHOOSE(CONTROL!$C$38, 0.0347, 0)</f>
        <v>37.102499999999999</v>
      </c>
      <c r="I525" s="14">
        <f>37.0694 * CHOOSE(CONTROL!$C$15, $E$9, 100%, $G$9) + CHOOSE(CONTROL!$C$38, 0.0347, 0)</f>
        <v>37.104100000000003</v>
      </c>
      <c r="J525" s="44">
        <f>293.5858</f>
        <v>293.58580000000001</v>
      </c>
    </row>
    <row r="526" spans="1:10" ht="15.75" x14ac:dyDescent="0.25">
      <c r="A526" s="32">
        <v>56948</v>
      </c>
      <c r="B526" s="14">
        <f>39.5739 * CHOOSE(CONTROL!$C$15, $E$9, 100%, $G$9) + CHOOSE(CONTROL!$C$38, 0.0256, 0)</f>
        <v>39.599499999999999</v>
      </c>
      <c r="C526" s="14">
        <f>37.3711 * CHOOSE(CONTROL!$C$15, $E$9, 100%, $G$9) + CHOOSE(CONTROL!$C$38, 0.0347, 0)</f>
        <v>37.405799999999999</v>
      </c>
      <c r="D526" s="14">
        <f>37.3632 * CHOOSE(CONTROL!$C$15, $E$9, 100%, $G$9) + CHOOSE(CONTROL!$C$38, 0.0347, 0)</f>
        <v>37.3979</v>
      </c>
      <c r="E526" s="46">
        <f>39.4177 * CHOOSE(CONTROL!$C$15, $E$9, 100%, $G$9) + CHOOSE(CONTROL!$C$38, 0.0347, 0)</f>
        <v>39.452400000000004</v>
      </c>
      <c r="F526" s="45">
        <f>39.4177 * CHOOSE(CONTROL!$C$15, $E$9, 100%, $G$9) + CHOOSE(CONTROL!$C$38, 0.0256, 0)</f>
        <v>39.443300000000001</v>
      </c>
      <c r="G526" s="14">
        <f>37.3695 * CHOOSE(CONTROL!$C$15, $E$9, 100%, $G$9) + CHOOSE(CONTROL!$C$38, 0.0347, 0)</f>
        <v>37.404200000000003</v>
      </c>
      <c r="H526" s="14">
        <f>37.3695 * CHOOSE(CONTROL!$C$15, $E$9, 100%, $G$9) + CHOOSE(CONTROL!$C$38, 0.0347, 0)</f>
        <v>37.404200000000003</v>
      </c>
      <c r="I526" s="14">
        <f>37.3711 * CHOOSE(CONTROL!$C$15, $E$9, 100%, $G$9) + CHOOSE(CONTROL!$C$38, 0.0347, 0)</f>
        <v>37.405799999999999</v>
      </c>
      <c r="J526" s="44">
        <f>291.494</f>
        <v>291.49400000000003</v>
      </c>
    </row>
    <row r="527" spans="1:10" ht="15.75" x14ac:dyDescent="0.25">
      <c r="A527" s="32">
        <v>56979</v>
      </c>
      <c r="B527" s="14">
        <f>40.5036 * CHOOSE(CONTROL!$C$15, $E$9, 100%, $G$9) + CHOOSE(CONTROL!$C$38, 0.0256, 0)</f>
        <v>40.529199999999996</v>
      </c>
      <c r="C527" s="14">
        <f>38.3007 * CHOOSE(CONTROL!$C$15, $E$9, 100%, $G$9) + CHOOSE(CONTROL!$C$38, 0.0347, 0)</f>
        <v>38.3354</v>
      </c>
      <c r="D527" s="14">
        <f>38.2929 * CHOOSE(CONTROL!$C$15, $E$9, 100%, $G$9) + CHOOSE(CONTROL!$C$38, 0.0347, 0)</f>
        <v>38.327600000000004</v>
      </c>
      <c r="E527" s="46">
        <f>40.3474 * CHOOSE(CONTROL!$C$15, $E$9, 100%, $G$9) + CHOOSE(CONTROL!$C$38, 0.0347, 0)</f>
        <v>40.382100000000001</v>
      </c>
      <c r="F527" s="45">
        <f>40.3474 * CHOOSE(CONTROL!$C$15, $E$9, 100%, $G$9) + CHOOSE(CONTROL!$C$38, 0.0256, 0)</f>
        <v>40.372999999999998</v>
      </c>
      <c r="G527" s="14">
        <f>38.2992 * CHOOSE(CONTROL!$C$15, $E$9, 100%, $G$9) + CHOOSE(CONTROL!$C$38, 0.0347, 0)</f>
        <v>38.3339</v>
      </c>
      <c r="H527" s="14">
        <f>38.2992 * CHOOSE(CONTROL!$C$15, $E$9, 100%, $G$9) + CHOOSE(CONTROL!$C$38, 0.0347, 0)</f>
        <v>38.3339</v>
      </c>
      <c r="I527" s="14">
        <f>38.3007 * CHOOSE(CONTROL!$C$15, $E$9, 100%, $G$9) + CHOOSE(CONTROL!$C$38, 0.0347, 0)</f>
        <v>38.3354</v>
      </c>
      <c r="J527" s="44">
        <f>282.8438</f>
        <v>282.84379999999999</v>
      </c>
    </row>
    <row r="528" spans="1:10" ht="15.75" x14ac:dyDescent="0.25">
      <c r="A528" s="32">
        <v>57010</v>
      </c>
      <c r="B528" s="14">
        <f>41.8932 * CHOOSE(CONTROL!$C$15, $E$9, 100%, $G$9) + CHOOSE(CONTROL!$C$38, 0.0256, 0)</f>
        <v>41.918799999999997</v>
      </c>
      <c r="C528" s="14">
        <f>39.6559 * CHOOSE(CONTROL!$C$15, $E$9, 100%, $G$9) + CHOOSE(CONTROL!$C$38, 0.0347, 0)</f>
        <v>39.690600000000003</v>
      </c>
      <c r="D528" s="14">
        <f>39.6481 * CHOOSE(CONTROL!$C$15, $E$9, 100%, $G$9) + CHOOSE(CONTROL!$C$38, 0.0347, 0)</f>
        <v>39.6828</v>
      </c>
      <c r="E528" s="46">
        <f>41.7369 * CHOOSE(CONTROL!$C$15, $E$9, 100%, $G$9) + CHOOSE(CONTROL!$C$38, 0.0347, 0)</f>
        <v>41.771599999999999</v>
      </c>
      <c r="F528" s="45">
        <f>41.7369 * CHOOSE(CONTROL!$C$15, $E$9, 100%, $G$9) + CHOOSE(CONTROL!$C$38, 0.0256, 0)</f>
        <v>41.762499999999996</v>
      </c>
      <c r="G528" s="14">
        <f>39.6543 * CHOOSE(CONTROL!$C$15, $E$9, 100%, $G$9) + CHOOSE(CONTROL!$C$38, 0.0347, 0)</f>
        <v>39.689</v>
      </c>
      <c r="H528" s="14">
        <f>39.6543 * CHOOSE(CONTROL!$C$15, $E$9, 100%, $G$9) + CHOOSE(CONTROL!$C$38, 0.0347, 0)</f>
        <v>39.689</v>
      </c>
      <c r="I528" s="14">
        <f>39.6559 * CHOOSE(CONTROL!$C$15, $E$9, 100%, $G$9) + CHOOSE(CONTROL!$C$38, 0.0347, 0)</f>
        <v>39.690600000000003</v>
      </c>
      <c r="J528" s="44">
        <f>282.4791</f>
        <v>282.47910000000002</v>
      </c>
    </row>
    <row r="529" spans="1:10" ht="15.75" x14ac:dyDescent="0.25">
      <c r="A529" s="32">
        <v>57038</v>
      </c>
      <c r="B529" s="14">
        <f>42.2375 * CHOOSE(CONTROL!$C$15, $E$9, 100%, $G$9) + CHOOSE(CONTROL!$C$38, 0.0256, 0)</f>
        <v>42.263099999999994</v>
      </c>
      <c r="C529" s="14">
        <f>40.0002 * CHOOSE(CONTROL!$C$15, $E$9, 100%, $G$9) + CHOOSE(CONTROL!$C$38, 0.0347, 0)</f>
        <v>40.0349</v>
      </c>
      <c r="D529" s="14">
        <f>39.9924 * CHOOSE(CONTROL!$C$15, $E$9, 100%, $G$9) + CHOOSE(CONTROL!$C$38, 0.0347, 0)</f>
        <v>40.027100000000004</v>
      </c>
      <c r="E529" s="46">
        <f>42.0812 * CHOOSE(CONTROL!$C$15, $E$9, 100%, $G$9) + CHOOSE(CONTROL!$C$38, 0.0347, 0)</f>
        <v>42.115900000000003</v>
      </c>
      <c r="F529" s="45">
        <f>42.0812 * CHOOSE(CONTROL!$C$15, $E$9, 100%, $G$9) + CHOOSE(CONTROL!$C$38, 0.0256, 0)</f>
        <v>42.1068</v>
      </c>
      <c r="G529" s="14">
        <f>39.9986 * CHOOSE(CONTROL!$C$15, $E$9, 100%, $G$9) + CHOOSE(CONTROL!$C$38, 0.0347, 0)</f>
        <v>40.033300000000004</v>
      </c>
      <c r="H529" s="14">
        <f>39.9986 * CHOOSE(CONTROL!$C$15, $E$9, 100%, $G$9) + CHOOSE(CONTROL!$C$38, 0.0347, 0)</f>
        <v>40.033300000000004</v>
      </c>
      <c r="I529" s="14">
        <f>40.0002 * CHOOSE(CONTROL!$C$15, $E$9, 100%, $G$9) + CHOOSE(CONTROL!$C$38, 0.0347, 0)</f>
        <v>40.0349</v>
      </c>
      <c r="J529" s="44">
        <f>281.6939</f>
        <v>281.69389999999999</v>
      </c>
    </row>
    <row r="530" spans="1:10" ht="15.75" x14ac:dyDescent="0.25">
      <c r="A530" s="32">
        <v>57070</v>
      </c>
      <c r="B530" s="14">
        <f>41.4404 * CHOOSE(CONTROL!$C$15, $E$9, 100%, $G$9) + CHOOSE(CONTROL!$C$38, 0.0256, 0)</f>
        <v>41.465999999999994</v>
      </c>
      <c r="C530" s="14">
        <f>39.2032 * CHOOSE(CONTROL!$C$15, $E$9, 100%, $G$9) + CHOOSE(CONTROL!$C$38, 0.0347, 0)</f>
        <v>39.237900000000003</v>
      </c>
      <c r="D530" s="14">
        <f>39.1954 * CHOOSE(CONTROL!$C$15, $E$9, 100%, $G$9) + CHOOSE(CONTROL!$C$38, 0.0347, 0)</f>
        <v>39.2301</v>
      </c>
      <c r="E530" s="46">
        <f>41.2842 * CHOOSE(CONTROL!$C$15, $E$9, 100%, $G$9) + CHOOSE(CONTROL!$C$38, 0.0347, 0)</f>
        <v>41.318899999999999</v>
      </c>
      <c r="F530" s="45">
        <f>41.2842 * CHOOSE(CONTROL!$C$15, $E$9, 100%, $G$9) + CHOOSE(CONTROL!$C$38, 0.0256, 0)</f>
        <v>41.309799999999996</v>
      </c>
      <c r="G530" s="14">
        <f>39.2016 * CHOOSE(CONTROL!$C$15, $E$9, 100%, $G$9) + CHOOSE(CONTROL!$C$38, 0.0347, 0)</f>
        <v>39.2363</v>
      </c>
      <c r="H530" s="14">
        <f>39.2016 * CHOOSE(CONTROL!$C$15, $E$9, 100%, $G$9) + CHOOSE(CONTROL!$C$38, 0.0347, 0)</f>
        <v>39.2363</v>
      </c>
      <c r="I530" s="14">
        <f>39.2032 * CHOOSE(CONTROL!$C$15, $E$9, 100%, $G$9) + CHOOSE(CONTROL!$C$38, 0.0347, 0)</f>
        <v>39.237900000000003</v>
      </c>
      <c r="J530" s="44">
        <f>296.5408</f>
        <v>296.54079999999999</v>
      </c>
    </row>
    <row r="531" spans="1:10" ht="15.75" x14ac:dyDescent="0.25">
      <c r="A531" s="32">
        <v>57100</v>
      </c>
      <c r="B531" s="14">
        <f>40.6681 * CHOOSE(CONTROL!$C$15, $E$9, 100%, $G$9) + CHOOSE(CONTROL!$C$38, 0.0256, 0)</f>
        <v>40.6937</v>
      </c>
      <c r="C531" s="14">
        <f>38.4309 * CHOOSE(CONTROL!$C$15, $E$9, 100%, $G$9) + CHOOSE(CONTROL!$C$38, 0.0347, 0)</f>
        <v>38.465600000000002</v>
      </c>
      <c r="D531" s="14">
        <f>38.423 * CHOOSE(CONTROL!$C$15, $E$9, 100%, $G$9) + CHOOSE(CONTROL!$C$38, 0.0347, 0)</f>
        <v>38.457700000000003</v>
      </c>
      <c r="E531" s="46">
        <f>40.5119 * CHOOSE(CONTROL!$C$15, $E$9, 100%, $G$9) + CHOOSE(CONTROL!$C$38, 0.0347, 0)</f>
        <v>40.546599999999998</v>
      </c>
      <c r="F531" s="45">
        <f>40.5119 * CHOOSE(CONTROL!$C$15, $E$9, 100%, $G$9) + CHOOSE(CONTROL!$C$38, 0.0256, 0)</f>
        <v>40.537499999999994</v>
      </c>
      <c r="G531" s="14">
        <f>38.4293 * CHOOSE(CONTROL!$C$15, $E$9, 100%, $G$9) + CHOOSE(CONTROL!$C$38, 0.0347, 0)</f>
        <v>38.463999999999999</v>
      </c>
      <c r="H531" s="14">
        <f>38.4293 * CHOOSE(CONTROL!$C$15, $E$9, 100%, $G$9) + CHOOSE(CONTROL!$C$38, 0.0347, 0)</f>
        <v>38.463999999999999</v>
      </c>
      <c r="I531" s="14">
        <f>38.4309 * CHOOSE(CONTROL!$C$15, $E$9, 100%, $G$9) + CHOOSE(CONTROL!$C$38, 0.0347, 0)</f>
        <v>38.465600000000002</v>
      </c>
      <c r="J531" s="44">
        <f>315.7937</f>
        <v>315.7937</v>
      </c>
    </row>
    <row r="532" spans="1:10" ht="15.75" x14ac:dyDescent="0.25">
      <c r="A532" s="32">
        <v>57131</v>
      </c>
      <c r="B532" s="14">
        <f>39.8632 * CHOOSE(CONTROL!$C$15, $E$9, 100%, $G$9) + CHOOSE(CONTROL!$C$38, 0.0278, 0)</f>
        <v>39.890999999999998</v>
      </c>
      <c r="C532" s="14">
        <f>37.6259 * CHOOSE(CONTROL!$C$15, $E$9, 100%, $G$9) + CHOOSE(CONTROL!$C$38, 0.0369, 0)</f>
        <v>37.662800000000004</v>
      </c>
      <c r="D532" s="14">
        <f>37.6181 * CHOOSE(CONTROL!$C$15, $E$9, 100%, $G$9) + CHOOSE(CONTROL!$C$38, 0.0369, 0)</f>
        <v>37.655000000000001</v>
      </c>
      <c r="E532" s="46">
        <f>39.7069 * CHOOSE(CONTROL!$C$15, $E$9, 100%, $G$9) + CHOOSE(CONTROL!$C$38, 0.0369, 0)</f>
        <v>39.7438</v>
      </c>
      <c r="F532" s="45">
        <f>39.7069 * CHOOSE(CONTROL!$C$15, $E$9, 100%, $G$9) + CHOOSE(CONTROL!$C$38, 0.0278, 0)</f>
        <v>39.734699999999997</v>
      </c>
      <c r="G532" s="14">
        <f>37.6243 * CHOOSE(CONTROL!$C$15, $E$9, 100%, $G$9) + CHOOSE(CONTROL!$C$38, 0.0369, 0)</f>
        <v>37.661200000000001</v>
      </c>
      <c r="H532" s="14">
        <f>37.6243 * CHOOSE(CONTROL!$C$15, $E$9, 100%, $G$9) + CHOOSE(CONTROL!$C$38, 0.0369, 0)</f>
        <v>37.661200000000001</v>
      </c>
      <c r="I532" s="14">
        <f>37.6259 * CHOOSE(CONTROL!$C$15, $E$9, 100%, $G$9) + CHOOSE(CONTROL!$C$38, 0.0369, 0)</f>
        <v>37.662800000000004</v>
      </c>
      <c r="J532" s="44">
        <f>326.3911</f>
        <v>326.39109999999999</v>
      </c>
    </row>
    <row r="533" spans="1:10" ht="15.75" x14ac:dyDescent="0.25">
      <c r="A533" s="32">
        <v>57161</v>
      </c>
      <c r="B533" s="14">
        <f>39.2988 * CHOOSE(CONTROL!$C$15, $E$9, 100%, $G$9) + CHOOSE(CONTROL!$C$38, 0.0278, 0)</f>
        <v>39.326599999999999</v>
      </c>
      <c r="C533" s="14">
        <f>37.0616 * CHOOSE(CONTROL!$C$15, $E$9, 100%, $G$9) + CHOOSE(CONTROL!$C$38, 0.0369, 0)</f>
        <v>37.098500000000001</v>
      </c>
      <c r="D533" s="14">
        <f>37.0537 * CHOOSE(CONTROL!$C$15, $E$9, 100%, $G$9) + CHOOSE(CONTROL!$C$38, 0.0369, 0)</f>
        <v>37.090600000000002</v>
      </c>
      <c r="E533" s="46">
        <f>39.1426 * CHOOSE(CONTROL!$C$15, $E$9, 100%, $G$9) + CHOOSE(CONTROL!$C$38, 0.0369, 0)</f>
        <v>39.179500000000004</v>
      </c>
      <c r="F533" s="45">
        <f>39.1426 * CHOOSE(CONTROL!$C$15, $E$9, 100%, $G$9) + CHOOSE(CONTROL!$C$38, 0.0278, 0)</f>
        <v>39.170400000000001</v>
      </c>
      <c r="G533" s="14">
        <f>37.06 * CHOOSE(CONTROL!$C$15, $E$9, 100%, $G$9) + CHOOSE(CONTROL!$C$38, 0.0369, 0)</f>
        <v>37.096900000000005</v>
      </c>
      <c r="H533" s="14">
        <f>37.06 * CHOOSE(CONTROL!$C$15, $E$9, 100%, $G$9) + CHOOSE(CONTROL!$C$38, 0.0369, 0)</f>
        <v>37.096900000000005</v>
      </c>
      <c r="I533" s="14">
        <f>37.0616 * CHOOSE(CONTROL!$C$15, $E$9, 100%, $G$9) + CHOOSE(CONTROL!$C$38, 0.0369, 0)</f>
        <v>37.098500000000001</v>
      </c>
      <c r="J533" s="44">
        <f>331.094</f>
        <v>331.09399999999999</v>
      </c>
    </row>
    <row r="534" spans="1:10" ht="15.75" x14ac:dyDescent="0.25">
      <c r="A534" s="32">
        <v>57192</v>
      </c>
      <c r="B534" s="14">
        <f>38.9768 * CHOOSE(CONTROL!$C$15, $E$9, 100%, $G$9) + CHOOSE(CONTROL!$C$38, 0.0278, 0)</f>
        <v>39.004599999999996</v>
      </c>
      <c r="C534" s="14">
        <f>36.7395 * CHOOSE(CONTROL!$C$15, $E$9, 100%, $G$9) + CHOOSE(CONTROL!$C$38, 0.0369, 0)</f>
        <v>36.776400000000002</v>
      </c>
      <c r="D534" s="14">
        <f>36.7317 * CHOOSE(CONTROL!$C$15, $E$9, 100%, $G$9) + CHOOSE(CONTROL!$C$38, 0.0369, 0)</f>
        <v>36.768599999999999</v>
      </c>
      <c r="E534" s="46">
        <f>38.8205 * CHOOSE(CONTROL!$C$15, $E$9, 100%, $G$9) + CHOOSE(CONTROL!$C$38, 0.0369, 0)</f>
        <v>38.857400000000005</v>
      </c>
      <c r="F534" s="45">
        <f>38.8205 * CHOOSE(CONTROL!$C$15, $E$9, 100%, $G$9) + CHOOSE(CONTROL!$C$38, 0.0278, 0)</f>
        <v>38.848300000000002</v>
      </c>
      <c r="G534" s="14">
        <f>36.7379 * CHOOSE(CONTROL!$C$15, $E$9, 100%, $G$9) + CHOOSE(CONTROL!$C$38, 0.0369, 0)</f>
        <v>36.774800000000006</v>
      </c>
      <c r="H534" s="14">
        <f>36.7379 * CHOOSE(CONTROL!$C$15, $E$9, 100%, $G$9) + CHOOSE(CONTROL!$C$38, 0.0369, 0)</f>
        <v>36.774800000000006</v>
      </c>
      <c r="I534" s="14">
        <f>36.7395 * CHOOSE(CONTROL!$C$15, $E$9, 100%, $G$9) + CHOOSE(CONTROL!$C$38, 0.0369, 0)</f>
        <v>36.776400000000002</v>
      </c>
      <c r="J534" s="44">
        <f>329.5456</f>
        <v>329.54559999999998</v>
      </c>
    </row>
    <row r="535" spans="1:10" ht="15.75" x14ac:dyDescent="0.25">
      <c r="A535" s="32">
        <v>57223</v>
      </c>
      <c r="B535" s="14">
        <f>39.1357 * CHOOSE(CONTROL!$C$15, $E$9, 100%, $G$9) + CHOOSE(CONTROL!$C$38, 0.0278, 0)</f>
        <v>39.163499999999999</v>
      </c>
      <c r="C535" s="14">
        <f>36.8984 * CHOOSE(CONTROL!$C$15, $E$9, 100%, $G$9) + CHOOSE(CONTROL!$C$38, 0.0369, 0)</f>
        <v>36.935300000000005</v>
      </c>
      <c r="D535" s="14">
        <f>36.8906 * CHOOSE(CONTROL!$C$15, $E$9, 100%, $G$9) + CHOOSE(CONTROL!$C$38, 0.0369, 0)</f>
        <v>36.927500000000002</v>
      </c>
      <c r="E535" s="46">
        <f>38.9795 * CHOOSE(CONTROL!$C$15, $E$9, 100%, $G$9) + CHOOSE(CONTROL!$C$38, 0.0369, 0)</f>
        <v>39.016400000000004</v>
      </c>
      <c r="F535" s="45">
        <f>38.9795 * CHOOSE(CONTROL!$C$15, $E$9, 100%, $G$9) + CHOOSE(CONTROL!$C$38, 0.0278, 0)</f>
        <v>39.007300000000001</v>
      </c>
      <c r="G535" s="14">
        <f>36.8969 * CHOOSE(CONTROL!$C$15, $E$9, 100%, $G$9) + CHOOSE(CONTROL!$C$38, 0.0369, 0)</f>
        <v>36.933800000000005</v>
      </c>
      <c r="H535" s="14">
        <f>36.8969 * CHOOSE(CONTROL!$C$15, $E$9, 100%, $G$9) + CHOOSE(CONTROL!$C$38, 0.0369, 0)</f>
        <v>36.933800000000005</v>
      </c>
      <c r="I535" s="14">
        <f>36.8984 * CHOOSE(CONTROL!$C$15, $E$9, 100%, $G$9) + CHOOSE(CONTROL!$C$38, 0.0369, 0)</f>
        <v>36.935300000000005</v>
      </c>
      <c r="J535" s="44">
        <f>321.8739</f>
        <v>321.87389999999999</v>
      </c>
    </row>
    <row r="536" spans="1:10" ht="15.75" x14ac:dyDescent="0.25">
      <c r="A536" s="32">
        <v>57253</v>
      </c>
      <c r="B536" s="14">
        <f>39.5674 * CHOOSE(CONTROL!$C$15, $E$9, 100%, $G$9) + CHOOSE(CONTROL!$C$38, 0.0278, 0)</f>
        <v>39.595199999999998</v>
      </c>
      <c r="C536" s="14">
        <f>37.3302 * CHOOSE(CONTROL!$C$15, $E$9, 100%, $G$9) + CHOOSE(CONTROL!$C$38, 0.0369, 0)</f>
        <v>37.367100000000001</v>
      </c>
      <c r="D536" s="14">
        <f>37.3223 * CHOOSE(CONTROL!$C$15, $E$9, 100%, $G$9) + CHOOSE(CONTROL!$C$38, 0.0369, 0)</f>
        <v>37.359200000000001</v>
      </c>
      <c r="E536" s="46">
        <f>39.4112 * CHOOSE(CONTROL!$C$15, $E$9, 100%, $G$9) + CHOOSE(CONTROL!$C$38, 0.0369, 0)</f>
        <v>39.448100000000004</v>
      </c>
      <c r="F536" s="45">
        <f>39.4112 * CHOOSE(CONTROL!$C$15, $E$9, 100%, $G$9) + CHOOSE(CONTROL!$C$38, 0.0278, 0)</f>
        <v>39.439</v>
      </c>
      <c r="G536" s="14">
        <f>37.3286 * CHOOSE(CONTROL!$C$15, $E$9, 100%, $G$9) + CHOOSE(CONTROL!$C$38, 0.0369, 0)</f>
        <v>37.365500000000004</v>
      </c>
      <c r="H536" s="14">
        <f>37.3286 * CHOOSE(CONTROL!$C$15, $E$9, 100%, $G$9) + CHOOSE(CONTROL!$C$38, 0.0369, 0)</f>
        <v>37.365500000000004</v>
      </c>
      <c r="I536" s="14">
        <f>37.3302 * CHOOSE(CONTROL!$C$15, $E$9, 100%, $G$9) + CHOOSE(CONTROL!$C$38, 0.0369, 0)</f>
        <v>37.367100000000001</v>
      </c>
      <c r="J536" s="44">
        <f>311.1754</f>
        <v>311.17540000000002</v>
      </c>
    </row>
    <row r="537" spans="1:10" ht="15.75" x14ac:dyDescent="0.25">
      <c r="A537" s="32">
        <v>57284</v>
      </c>
      <c r="B537" s="14">
        <f>39.929 * CHOOSE(CONTROL!$C$15, $E$9, 100%, $G$9) + CHOOSE(CONTROL!$C$38, 0.0256, 0)</f>
        <v>39.954599999999999</v>
      </c>
      <c r="C537" s="14">
        <f>37.6917 * CHOOSE(CONTROL!$C$15, $E$9, 100%, $G$9) + CHOOSE(CONTROL!$C$38, 0.0347, 0)</f>
        <v>37.726399999999998</v>
      </c>
      <c r="D537" s="14">
        <f>37.6839 * CHOOSE(CONTROL!$C$15, $E$9, 100%, $G$9) + CHOOSE(CONTROL!$C$38, 0.0347, 0)</f>
        <v>37.718600000000002</v>
      </c>
      <c r="E537" s="46">
        <f>39.7727 * CHOOSE(CONTROL!$C$15, $E$9, 100%, $G$9) + CHOOSE(CONTROL!$C$38, 0.0347, 0)</f>
        <v>39.807400000000001</v>
      </c>
      <c r="F537" s="45">
        <f>39.7727 * CHOOSE(CONTROL!$C$15, $E$9, 100%, $G$9) + CHOOSE(CONTROL!$C$38, 0.0256, 0)</f>
        <v>39.798299999999998</v>
      </c>
      <c r="G537" s="14">
        <f>37.6902 * CHOOSE(CONTROL!$C$15, $E$9, 100%, $G$9) + CHOOSE(CONTROL!$C$38, 0.0347, 0)</f>
        <v>37.724899999999998</v>
      </c>
      <c r="H537" s="14">
        <f>37.6902 * CHOOSE(CONTROL!$C$15, $E$9, 100%, $G$9) + CHOOSE(CONTROL!$C$38, 0.0347, 0)</f>
        <v>37.724899999999998</v>
      </c>
      <c r="I537" s="14">
        <f>37.6917 * CHOOSE(CONTROL!$C$15, $E$9, 100%, $G$9) + CHOOSE(CONTROL!$C$38, 0.0347, 0)</f>
        <v>37.726399999999998</v>
      </c>
      <c r="J537" s="44">
        <f>300.4146</f>
        <v>300.41460000000001</v>
      </c>
    </row>
    <row r="538" spans="1:10" ht="15.75" x14ac:dyDescent="0.25">
      <c r="A538" s="32">
        <v>57314</v>
      </c>
      <c r="B538" s="14">
        <f>40.2307 * CHOOSE(CONTROL!$C$15, $E$9, 100%, $G$9) + CHOOSE(CONTROL!$C$38, 0.0256, 0)</f>
        <v>40.256299999999996</v>
      </c>
      <c r="C538" s="14">
        <f>37.9934 * CHOOSE(CONTROL!$C$15, $E$9, 100%, $G$9) + CHOOSE(CONTROL!$C$38, 0.0347, 0)</f>
        <v>38.028100000000002</v>
      </c>
      <c r="D538" s="14">
        <f>37.9856 * CHOOSE(CONTROL!$C$15, $E$9, 100%, $G$9) + CHOOSE(CONTROL!$C$38, 0.0347, 0)</f>
        <v>38.020299999999999</v>
      </c>
      <c r="E538" s="46">
        <f>40.0744 * CHOOSE(CONTROL!$C$15, $E$9, 100%, $G$9) + CHOOSE(CONTROL!$C$38, 0.0347, 0)</f>
        <v>40.109099999999998</v>
      </c>
      <c r="F538" s="45">
        <f>40.0744 * CHOOSE(CONTROL!$C$15, $E$9, 100%, $G$9) + CHOOSE(CONTROL!$C$38, 0.0256, 0)</f>
        <v>40.099999999999994</v>
      </c>
      <c r="G538" s="14">
        <f>37.9919 * CHOOSE(CONTROL!$C$15, $E$9, 100%, $G$9) + CHOOSE(CONTROL!$C$38, 0.0347, 0)</f>
        <v>38.026600000000002</v>
      </c>
      <c r="H538" s="14">
        <f>37.9919 * CHOOSE(CONTROL!$C$15, $E$9, 100%, $G$9) + CHOOSE(CONTROL!$C$38, 0.0347, 0)</f>
        <v>38.026600000000002</v>
      </c>
      <c r="I538" s="14">
        <f>37.9934 * CHOOSE(CONTROL!$C$15, $E$9, 100%, $G$9) + CHOOSE(CONTROL!$C$38, 0.0347, 0)</f>
        <v>38.028100000000002</v>
      </c>
      <c r="J538" s="44">
        <f>298.2741</f>
        <v>298.27409999999998</v>
      </c>
    </row>
    <row r="539" spans="1:10" ht="15.75" x14ac:dyDescent="0.25">
      <c r="A539" s="32">
        <v>57345</v>
      </c>
      <c r="B539" s="14">
        <f>41.1604 * CHOOSE(CONTROL!$C$15, $E$9, 100%, $G$9) + CHOOSE(CONTROL!$C$38, 0.0256, 0)</f>
        <v>41.186</v>
      </c>
      <c r="C539" s="14">
        <f>38.9231 * CHOOSE(CONTROL!$C$15, $E$9, 100%, $G$9) + CHOOSE(CONTROL!$C$38, 0.0347, 0)</f>
        <v>38.957799999999999</v>
      </c>
      <c r="D539" s="14">
        <f>38.9153 * CHOOSE(CONTROL!$C$15, $E$9, 100%, $G$9) + CHOOSE(CONTROL!$C$38, 0.0347, 0)</f>
        <v>38.950000000000003</v>
      </c>
      <c r="E539" s="46">
        <f>41.0041 * CHOOSE(CONTROL!$C$15, $E$9, 100%, $G$9) + CHOOSE(CONTROL!$C$38, 0.0347, 0)</f>
        <v>41.038800000000002</v>
      </c>
      <c r="F539" s="45">
        <f>41.0041 * CHOOSE(CONTROL!$C$15, $E$9, 100%, $G$9) + CHOOSE(CONTROL!$C$38, 0.0256, 0)</f>
        <v>41.029699999999998</v>
      </c>
      <c r="G539" s="14">
        <f>38.9215 * CHOOSE(CONTROL!$C$15, $E$9, 100%, $G$9) + CHOOSE(CONTROL!$C$38, 0.0347, 0)</f>
        <v>38.956200000000003</v>
      </c>
      <c r="H539" s="14">
        <f>38.9215 * CHOOSE(CONTROL!$C$15, $E$9, 100%, $G$9) + CHOOSE(CONTROL!$C$38, 0.0347, 0)</f>
        <v>38.956200000000003</v>
      </c>
      <c r="I539" s="14">
        <f>38.9231 * CHOOSE(CONTROL!$C$15, $E$9, 100%, $G$9) + CHOOSE(CONTROL!$C$38, 0.0347, 0)</f>
        <v>38.957799999999999</v>
      </c>
      <c r="J539" s="44">
        <f>289.4228</f>
        <v>289.4228</v>
      </c>
    </row>
    <row r="540" spans="1:10" ht="15.75" x14ac:dyDescent="0.25">
      <c r="A540" s="32">
        <v>57376</v>
      </c>
      <c r="B540" s="14">
        <f>42.5609 * CHOOSE(CONTROL!$C$15, $E$9, 100%, $G$9) + CHOOSE(CONTROL!$C$38, 0.0256, 0)</f>
        <v>42.586499999999994</v>
      </c>
      <c r="C540" s="14">
        <f>40.2887 * CHOOSE(CONTROL!$C$15, $E$9, 100%, $G$9) + CHOOSE(CONTROL!$C$38, 0.0347, 0)</f>
        <v>40.323399999999999</v>
      </c>
      <c r="D540" s="14">
        <f>40.2809 * CHOOSE(CONTROL!$C$15, $E$9, 100%, $G$9) + CHOOSE(CONTROL!$C$38, 0.0347, 0)</f>
        <v>40.315600000000003</v>
      </c>
      <c r="E540" s="46">
        <f>42.4047 * CHOOSE(CONTROL!$C$15, $E$9, 100%, $G$9) + CHOOSE(CONTROL!$C$38, 0.0347, 0)</f>
        <v>42.439399999999999</v>
      </c>
      <c r="F540" s="45">
        <f>42.4047 * CHOOSE(CONTROL!$C$15, $E$9, 100%, $G$9) + CHOOSE(CONTROL!$C$38, 0.0256, 0)</f>
        <v>42.430299999999995</v>
      </c>
      <c r="G540" s="14">
        <f>40.2871 * CHOOSE(CONTROL!$C$15, $E$9, 100%, $G$9) + CHOOSE(CONTROL!$C$38, 0.0347, 0)</f>
        <v>40.321800000000003</v>
      </c>
      <c r="H540" s="14">
        <f>40.2871 * CHOOSE(CONTROL!$C$15, $E$9, 100%, $G$9) + CHOOSE(CONTROL!$C$38, 0.0347, 0)</f>
        <v>40.321800000000003</v>
      </c>
      <c r="I540" s="14">
        <f>40.2887 * CHOOSE(CONTROL!$C$15, $E$9, 100%, $G$9) + CHOOSE(CONTROL!$C$38, 0.0347, 0)</f>
        <v>40.323399999999999</v>
      </c>
      <c r="J540" s="44">
        <f>289.0496</f>
        <v>289.0496</v>
      </c>
    </row>
    <row r="541" spans="1:10" ht="15.75" x14ac:dyDescent="0.25">
      <c r="A541" s="32">
        <v>57404</v>
      </c>
      <c r="B541" s="14">
        <f>42.9053 * CHOOSE(CONTROL!$C$15, $E$9, 100%, $G$9) + CHOOSE(CONTROL!$C$38, 0.0256, 0)</f>
        <v>42.930899999999994</v>
      </c>
      <c r="C541" s="14">
        <f>40.633 * CHOOSE(CONTROL!$C$15, $E$9, 100%, $G$9) + CHOOSE(CONTROL!$C$38, 0.0347, 0)</f>
        <v>40.667700000000004</v>
      </c>
      <c r="D541" s="14">
        <f>40.6252 * CHOOSE(CONTROL!$C$15, $E$9, 100%, $G$9) + CHOOSE(CONTROL!$C$38, 0.0347, 0)</f>
        <v>40.6599</v>
      </c>
      <c r="E541" s="46">
        <f>42.749 * CHOOSE(CONTROL!$C$15, $E$9, 100%, $G$9) + CHOOSE(CONTROL!$C$38, 0.0347, 0)</f>
        <v>42.783700000000003</v>
      </c>
      <c r="F541" s="45">
        <f>42.749 * CHOOSE(CONTROL!$C$15, $E$9, 100%, $G$9) + CHOOSE(CONTROL!$C$38, 0.0256, 0)</f>
        <v>42.7746</v>
      </c>
      <c r="G541" s="14">
        <f>40.6315 * CHOOSE(CONTROL!$C$15, $E$9, 100%, $G$9) + CHOOSE(CONTROL!$C$38, 0.0347, 0)</f>
        <v>40.666200000000003</v>
      </c>
      <c r="H541" s="14">
        <f>40.6315 * CHOOSE(CONTROL!$C$15, $E$9, 100%, $G$9) + CHOOSE(CONTROL!$C$38, 0.0347, 0)</f>
        <v>40.666200000000003</v>
      </c>
      <c r="I541" s="14">
        <f>40.633 * CHOOSE(CONTROL!$C$15, $E$9, 100%, $G$9) + CHOOSE(CONTROL!$C$38, 0.0347, 0)</f>
        <v>40.667700000000004</v>
      </c>
      <c r="J541" s="44">
        <f>288.2461</f>
        <v>288.24610000000001</v>
      </c>
    </row>
    <row r="542" spans="1:10" ht="15.75" x14ac:dyDescent="0.25">
      <c r="A542" s="32">
        <v>57435</v>
      </c>
      <c r="B542" s="14">
        <f>42.1082 * CHOOSE(CONTROL!$C$15, $E$9, 100%, $G$9) + CHOOSE(CONTROL!$C$38, 0.0256, 0)</f>
        <v>42.133799999999994</v>
      </c>
      <c r="C542" s="14">
        <f>39.836 * CHOOSE(CONTROL!$C$15, $E$9, 100%, $G$9) + CHOOSE(CONTROL!$C$38, 0.0347, 0)</f>
        <v>39.870699999999999</v>
      </c>
      <c r="D542" s="14">
        <f>39.8282 * CHOOSE(CONTROL!$C$15, $E$9, 100%, $G$9) + CHOOSE(CONTROL!$C$38, 0.0347, 0)</f>
        <v>39.862900000000003</v>
      </c>
      <c r="E542" s="46">
        <f>41.952 * CHOOSE(CONTROL!$C$15, $E$9, 100%, $G$9) + CHOOSE(CONTROL!$C$38, 0.0347, 0)</f>
        <v>41.986699999999999</v>
      </c>
      <c r="F542" s="45">
        <f>41.952 * CHOOSE(CONTROL!$C$15, $E$9, 100%, $G$9) + CHOOSE(CONTROL!$C$38, 0.0256, 0)</f>
        <v>41.977599999999995</v>
      </c>
      <c r="G542" s="14">
        <f>39.8344 * CHOOSE(CONTROL!$C$15, $E$9, 100%, $G$9) + CHOOSE(CONTROL!$C$38, 0.0347, 0)</f>
        <v>39.869100000000003</v>
      </c>
      <c r="H542" s="14">
        <f>39.8344 * CHOOSE(CONTROL!$C$15, $E$9, 100%, $G$9) + CHOOSE(CONTROL!$C$38, 0.0347, 0)</f>
        <v>39.869100000000003</v>
      </c>
      <c r="I542" s="14">
        <f>39.836 * CHOOSE(CONTROL!$C$15, $E$9, 100%, $G$9) + CHOOSE(CONTROL!$C$38, 0.0347, 0)</f>
        <v>39.870699999999999</v>
      </c>
      <c r="J542" s="44">
        <f>303.4384</f>
        <v>303.4384</v>
      </c>
    </row>
    <row r="543" spans="1:10" ht="15.75" x14ac:dyDescent="0.25">
      <c r="A543" s="32">
        <v>57465</v>
      </c>
      <c r="B543" s="14">
        <f>41.3359 * CHOOSE(CONTROL!$C$15, $E$9, 100%, $G$9) + CHOOSE(CONTROL!$C$38, 0.0256, 0)</f>
        <v>41.361499999999999</v>
      </c>
      <c r="C543" s="14">
        <f>39.0637 * CHOOSE(CONTROL!$C$15, $E$9, 100%, $G$9) + CHOOSE(CONTROL!$C$38, 0.0347, 0)</f>
        <v>39.098399999999998</v>
      </c>
      <c r="D543" s="14">
        <f>39.0559 * CHOOSE(CONTROL!$C$15, $E$9, 100%, $G$9) + CHOOSE(CONTROL!$C$38, 0.0347, 0)</f>
        <v>39.090600000000002</v>
      </c>
      <c r="E543" s="46">
        <f>41.1797 * CHOOSE(CONTROL!$C$15, $E$9, 100%, $G$9) + CHOOSE(CONTROL!$C$38, 0.0347, 0)</f>
        <v>41.214399999999998</v>
      </c>
      <c r="F543" s="45">
        <f>41.1797 * CHOOSE(CONTROL!$C$15, $E$9, 100%, $G$9) + CHOOSE(CONTROL!$C$38, 0.0256, 0)</f>
        <v>41.205299999999994</v>
      </c>
      <c r="G543" s="14">
        <f>39.0621 * CHOOSE(CONTROL!$C$15, $E$9, 100%, $G$9) + CHOOSE(CONTROL!$C$38, 0.0347, 0)</f>
        <v>39.096800000000002</v>
      </c>
      <c r="H543" s="14">
        <f>39.0621 * CHOOSE(CONTROL!$C$15, $E$9, 100%, $G$9) + CHOOSE(CONTROL!$C$38, 0.0347, 0)</f>
        <v>39.096800000000002</v>
      </c>
      <c r="I543" s="14">
        <f>39.0637 * CHOOSE(CONTROL!$C$15, $E$9, 100%, $G$9) + CHOOSE(CONTROL!$C$38, 0.0347, 0)</f>
        <v>39.098399999999998</v>
      </c>
      <c r="J543" s="44">
        <f>323.1391</f>
        <v>323.13909999999998</v>
      </c>
    </row>
    <row r="544" spans="1:10" ht="15.75" x14ac:dyDescent="0.25">
      <c r="A544" s="32">
        <v>57496</v>
      </c>
      <c r="B544" s="14">
        <f>40.531 * CHOOSE(CONTROL!$C$15, $E$9, 100%, $G$9) + CHOOSE(CONTROL!$C$38, 0.0278, 0)</f>
        <v>40.558799999999998</v>
      </c>
      <c r="C544" s="14">
        <f>38.2587 * CHOOSE(CONTROL!$C$15, $E$9, 100%, $G$9) + CHOOSE(CONTROL!$C$38, 0.0369, 0)</f>
        <v>38.2956</v>
      </c>
      <c r="D544" s="14">
        <f>38.2509 * CHOOSE(CONTROL!$C$15, $E$9, 100%, $G$9) + CHOOSE(CONTROL!$C$38, 0.0369, 0)</f>
        <v>38.287800000000004</v>
      </c>
      <c r="E544" s="46">
        <f>40.3747 * CHOOSE(CONTROL!$C$15, $E$9, 100%, $G$9) + CHOOSE(CONTROL!$C$38, 0.0369, 0)</f>
        <v>40.4116</v>
      </c>
      <c r="F544" s="45">
        <f>40.3747 * CHOOSE(CONTROL!$C$15, $E$9, 100%, $G$9) + CHOOSE(CONTROL!$C$38, 0.0278, 0)</f>
        <v>40.402499999999996</v>
      </c>
      <c r="G544" s="14">
        <f>38.2572 * CHOOSE(CONTROL!$C$15, $E$9, 100%, $G$9) + CHOOSE(CONTROL!$C$38, 0.0369, 0)</f>
        <v>38.2941</v>
      </c>
      <c r="H544" s="14">
        <f>38.2572 * CHOOSE(CONTROL!$C$15, $E$9, 100%, $G$9) + CHOOSE(CONTROL!$C$38, 0.0369, 0)</f>
        <v>38.2941</v>
      </c>
      <c r="I544" s="14">
        <f>38.2587 * CHOOSE(CONTROL!$C$15, $E$9, 100%, $G$9) + CHOOSE(CONTROL!$C$38, 0.0369, 0)</f>
        <v>38.2956</v>
      </c>
      <c r="J544" s="44">
        <f>333.983</f>
        <v>333.983</v>
      </c>
    </row>
    <row r="545" spans="1:10" ht="15.75" x14ac:dyDescent="0.25">
      <c r="A545" s="32">
        <v>57526</v>
      </c>
      <c r="B545" s="14">
        <f>39.9666 * CHOOSE(CONTROL!$C$15, $E$9, 100%, $G$9) + CHOOSE(CONTROL!$C$38, 0.0278, 0)</f>
        <v>39.994399999999999</v>
      </c>
      <c r="C545" s="14">
        <f>37.6944 * CHOOSE(CONTROL!$C$15, $E$9, 100%, $G$9) + CHOOSE(CONTROL!$C$38, 0.0369, 0)</f>
        <v>37.731300000000005</v>
      </c>
      <c r="D545" s="14">
        <f>37.6866 * CHOOSE(CONTROL!$C$15, $E$9, 100%, $G$9) + CHOOSE(CONTROL!$C$38, 0.0369, 0)</f>
        <v>37.723500000000001</v>
      </c>
      <c r="E545" s="46">
        <f>39.8104 * CHOOSE(CONTROL!$C$15, $E$9, 100%, $G$9) + CHOOSE(CONTROL!$C$38, 0.0369, 0)</f>
        <v>39.847300000000004</v>
      </c>
      <c r="F545" s="45">
        <f>39.8104 * CHOOSE(CONTROL!$C$15, $E$9, 100%, $G$9) + CHOOSE(CONTROL!$C$38, 0.0278, 0)</f>
        <v>39.838200000000001</v>
      </c>
      <c r="G545" s="14">
        <f>37.6928 * CHOOSE(CONTROL!$C$15, $E$9, 100%, $G$9) + CHOOSE(CONTROL!$C$38, 0.0369, 0)</f>
        <v>37.729700000000001</v>
      </c>
      <c r="H545" s="14">
        <f>37.6928 * CHOOSE(CONTROL!$C$15, $E$9, 100%, $G$9) + CHOOSE(CONTROL!$C$38, 0.0369, 0)</f>
        <v>37.729700000000001</v>
      </c>
      <c r="I545" s="14">
        <f>37.6944 * CHOOSE(CONTROL!$C$15, $E$9, 100%, $G$9) + CHOOSE(CONTROL!$C$38, 0.0369, 0)</f>
        <v>37.731300000000005</v>
      </c>
      <c r="J545" s="44">
        <f>338.7953</f>
        <v>338.7953</v>
      </c>
    </row>
    <row r="546" spans="1:10" ht="15.75" x14ac:dyDescent="0.25">
      <c r="A546" s="32">
        <v>57557</v>
      </c>
      <c r="B546" s="14">
        <f>39.6446 * CHOOSE(CONTROL!$C$15, $E$9, 100%, $G$9) + CHOOSE(CONTROL!$C$38, 0.0278, 0)</f>
        <v>39.672399999999996</v>
      </c>
      <c r="C546" s="14">
        <f>37.3723 * CHOOSE(CONTROL!$C$15, $E$9, 100%, $G$9) + CHOOSE(CONTROL!$C$38, 0.0369, 0)</f>
        <v>37.409200000000006</v>
      </c>
      <c r="D546" s="14">
        <f>37.3645 * CHOOSE(CONTROL!$C$15, $E$9, 100%, $G$9) + CHOOSE(CONTROL!$C$38, 0.0369, 0)</f>
        <v>37.401400000000002</v>
      </c>
      <c r="E546" s="46">
        <f>39.4883 * CHOOSE(CONTROL!$C$15, $E$9, 100%, $G$9) + CHOOSE(CONTROL!$C$38, 0.0369, 0)</f>
        <v>39.525200000000005</v>
      </c>
      <c r="F546" s="45">
        <f>39.4883 * CHOOSE(CONTROL!$C$15, $E$9, 100%, $G$9) + CHOOSE(CONTROL!$C$38, 0.0278, 0)</f>
        <v>39.516100000000002</v>
      </c>
      <c r="G546" s="14">
        <f>37.3708 * CHOOSE(CONTROL!$C$15, $E$9, 100%, $G$9) + CHOOSE(CONTROL!$C$38, 0.0369, 0)</f>
        <v>37.407700000000006</v>
      </c>
      <c r="H546" s="14">
        <f>37.3708 * CHOOSE(CONTROL!$C$15, $E$9, 100%, $G$9) + CHOOSE(CONTROL!$C$38, 0.0369, 0)</f>
        <v>37.407700000000006</v>
      </c>
      <c r="I546" s="14">
        <f>37.3723 * CHOOSE(CONTROL!$C$15, $E$9, 100%, $G$9) + CHOOSE(CONTROL!$C$38, 0.0369, 0)</f>
        <v>37.409200000000006</v>
      </c>
      <c r="J546" s="44">
        <f>337.2108</f>
        <v>337.21080000000001</v>
      </c>
    </row>
    <row r="547" spans="1:10" ht="15.75" x14ac:dyDescent="0.25">
      <c r="A547" s="32">
        <v>57588</v>
      </c>
      <c r="B547" s="14">
        <f>39.8035 * CHOOSE(CONTROL!$C$15, $E$9, 100%, $G$9) + CHOOSE(CONTROL!$C$38, 0.0278, 0)</f>
        <v>39.831299999999999</v>
      </c>
      <c r="C547" s="14">
        <f>37.5313 * CHOOSE(CONTROL!$C$15, $E$9, 100%, $G$9) + CHOOSE(CONTROL!$C$38, 0.0369, 0)</f>
        <v>37.568200000000004</v>
      </c>
      <c r="D547" s="14">
        <f>37.5235 * CHOOSE(CONTROL!$C$15, $E$9, 100%, $G$9) + CHOOSE(CONTROL!$C$38, 0.0369, 0)</f>
        <v>37.560400000000001</v>
      </c>
      <c r="E547" s="46">
        <f>39.6473 * CHOOSE(CONTROL!$C$15, $E$9, 100%, $G$9) + CHOOSE(CONTROL!$C$38, 0.0369, 0)</f>
        <v>39.684200000000004</v>
      </c>
      <c r="F547" s="45">
        <f>39.6473 * CHOOSE(CONTROL!$C$15, $E$9, 100%, $G$9) + CHOOSE(CONTROL!$C$38, 0.0278, 0)</f>
        <v>39.6751</v>
      </c>
      <c r="G547" s="14">
        <f>37.5297 * CHOOSE(CONTROL!$C$15, $E$9, 100%, $G$9) + CHOOSE(CONTROL!$C$38, 0.0369, 0)</f>
        <v>37.566600000000001</v>
      </c>
      <c r="H547" s="14">
        <f>37.5297 * CHOOSE(CONTROL!$C$15, $E$9, 100%, $G$9) + CHOOSE(CONTROL!$C$38, 0.0369, 0)</f>
        <v>37.566600000000001</v>
      </c>
      <c r="I547" s="14">
        <f>37.5313 * CHOOSE(CONTROL!$C$15, $E$9, 100%, $G$9) + CHOOSE(CONTROL!$C$38, 0.0369, 0)</f>
        <v>37.568200000000004</v>
      </c>
      <c r="J547" s="44">
        <f>329.3607</f>
        <v>329.36070000000001</v>
      </c>
    </row>
    <row r="548" spans="1:10" ht="15.75" x14ac:dyDescent="0.25">
      <c r="A548" s="32">
        <v>57618</v>
      </c>
      <c r="B548" s="14">
        <f>40.2352 * CHOOSE(CONTROL!$C$15, $E$9, 100%, $G$9) + CHOOSE(CONTROL!$C$38, 0.0278, 0)</f>
        <v>40.262999999999998</v>
      </c>
      <c r="C548" s="14">
        <f>37.963 * CHOOSE(CONTROL!$C$15, $E$9, 100%, $G$9) + CHOOSE(CONTROL!$C$38, 0.0369, 0)</f>
        <v>37.999900000000004</v>
      </c>
      <c r="D548" s="14">
        <f>37.9552 * CHOOSE(CONTROL!$C$15, $E$9, 100%, $G$9) + CHOOSE(CONTROL!$C$38, 0.0369, 0)</f>
        <v>37.992100000000001</v>
      </c>
      <c r="E548" s="46">
        <f>40.079 * CHOOSE(CONTROL!$C$15, $E$9, 100%, $G$9) + CHOOSE(CONTROL!$C$38, 0.0369, 0)</f>
        <v>40.115900000000003</v>
      </c>
      <c r="F548" s="45">
        <f>40.079 * CHOOSE(CONTROL!$C$15, $E$9, 100%, $G$9) + CHOOSE(CONTROL!$C$38, 0.0278, 0)</f>
        <v>40.1068</v>
      </c>
      <c r="G548" s="14">
        <f>37.9614 * CHOOSE(CONTROL!$C$15, $E$9, 100%, $G$9) + CHOOSE(CONTROL!$C$38, 0.0369, 0)</f>
        <v>37.9983</v>
      </c>
      <c r="H548" s="14">
        <f>37.9614 * CHOOSE(CONTROL!$C$15, $E$9, 100%, $G$9) + CHOOSE(CONTROL!$C$38, 0.0369, 0)</f>
        <v>37.9983</v>
      </c>
      <c r="I548" s="14">
        <f>37.963 * CHOOSE(CONTROL!$C$15, $E$9, 100%, $G$9) + CHOOSE(CONTROL!$C$38, 0.0369, 0)</f>
        <v>37.999900000000004</v>
      </c>
      <c r="J548" s="44">
        <f>318.4133</f>
        <v>318.41329999999999</v>
      </c>
    </row>
    <row r="549" spans="1:10" ht="15.75" x14ac:dyDescent="0.25">
      <c r="A549" s="32">
        <v>57649</v>
      </c>
      <c r="B549" s="14">
        <f>40.5968 * CHOOSE(CONTROL!$C$15, $E$9, 100%, $G$9) + CHOOSE(CONTROL!$C$38, 0.0256, 0)</f>
        <v>40.622399999999999</v>
      </c>
      <c r="C549" s="14">
        <f>38.3245 * CHOOSE(CONTROL!$C$15, $E$9, 100%, $G$9) + CHOOSE(CONTROL!$C$38, 0.0347, 0)</f>
        <v>38.359200000000001</v>
      </c>
      <c r="D549" s="14">
        <f>38.3167 * CHOOSE(CONTROL!$C$15, $E$9, 100%, $G$9) + CHOOSE(CONTROL!$C$38, 0.0347, 0)</f>
        <v>38.351399999999998</v>
      </c>
      <c r="E549" s="46">
        <f>40.4405 * CHOOSE(CONTROL!$C$15, $E$9, 100%, $G$9) + CHOOSE(CONTROL!$C$38, 0.0347, 0)</f>
        <v>40.475200000000001</v>
      </c>
      <c r="F549" s="45">
        <f>40.4405 * CHOOSE(CONTROL!$C$15, $E$9, 100%, $G$9) + CHOOSE(CONTROL!$C$38, 0.0256, 0)</f>
        <v>40.466099999999997</v>
      </c>
      <c r="G549" s="14">
        <f>38.323 * CHOOSE(CONTROL!$C$15, $E$9, 100%, $G$9) + CHOOSE(CONTROL!$C$38, 0.0347, 0)</f>
        <v>38.357700000000001</v>
      </c>
      <c r="H549" s="14">
        <f>38.323 * CHOOSE(CONTROL!$C$15, $E$9, 100%, $G$9) + CHOOSE(CONTROL!$C$38, 0.0347, 0)</f>
        <v>38.357700000000001</v>
      </c>
      <c r="I549" s="14">
        <f>38.3245 * CHOOSE(CONTROL!$C$15, $E$9, 100%, $G$9) + CHOOSE(CONTROL!$C$38, 0.0347, 0)</f>
        <v>38.359200000000001</v>
      </c>
      <c r="J549" s="44">
        <f>307.4023</f>
        <v>307.40230000000003</v>
      </c>
    </row>
    <row r="550" spans="1:10" ht="15.75" x14ac:dyDescent="0.25">
      <c r="A550" s="32">
        <v>57679</v>
      </c>
      <c r="B550" s="14">
        <f>40.8985 * CHOOSE(CONTROL!$C$15, $E$9, 100%, $G$9) + CHOOSE(CONTROL!$C$38, 0.0256, 0)</f>
        <v>40.924099999999996</v>
      </c>
      <c r="C550" s="14">
        <f>38.6262 * CHOOSE(CONTROL!$C$15, $E$9, 100%, $G$9) + CHOOSE(CONTROL!$C$38, 0.0347, 0)</f>
        <v>38.660899999999998</v>
      </c>
      <c r="D550" s="14">
        <f>38.6184 * CHOOSE(CONTROL!$C$15, $E$9, 100%, $G$9) + CHOOSE(CONTROL!$C$38, 0.0347, 0)</f>
        <v>38.653100000000002</v>
      </c>
      <c r="E550" s="46">
        <f>40.7422 * CHOOSE(CONTROL!$C$15, $E$9, 100%, $G$9) + CHOOSE(CONTROL!$C$38, 0.0347, 0)</f>
        <v>40.776899999999998</v>
      </c>
      <c r="F550" s="45">
        <f>40.7422 * CHOOSE(CONTROL!$C$15, $E$9, 100%, $G$9) + CHOOSE(CONTROL!$C$38, 0.0256, 0)</f>
        <v>40.767799999999994</v>
      </c>
      <c r="G550" s="14">
        <f>38.6247 * CHOOSE(CONTROL!$C$15, $E$9, 100%, $G$9) + CHOOSE(CONTROL!$C$38, 0.0347, 0)</f>
        <v>38.659399999999998</v>
      </c>
      <c r="H550" s="14">
        <f>38.6247 * CHOOSE(CONTROL!$C$15, $E$9, 100%, $G$9) + CHOOSE(CONTROL!$C$38, 0.0347, 0)</f>
        <v>38.659399999999998</v>
      </c>
      <c r="I550" s="14">
        <f>38.6262 * CHOOSE(CONTROL!$C$15, $E$9, 100%, $G$9) + CHOOSE(CONTROL!$C$38, 0.0347, 0)</f>
        <v>38.660899999999998</v>
      </c>
      <c r="J550" s="44">
        <f>305.212</f>
        <v>305.21199999999999</v>
      </c>
    </row>
    <row r="551" spans="1:10" ht="15.75" x14ac:dyDescent="0.25">
      <c r="A551" s="32">
        <v>57710</v>
      </c>
      <c r="B551" s="14">
        <f>41.8281 * CHOOSE(CONTROL!$C$15, $E$9, 100%, $G$9) + CHOOSE(CONTROL!$C$38, 0.0256, 0)</f>
        <v>41.853699999999996</v>
      </c>
      <c r="C551" s="14">
        <f>39.5559 * CHOOSE(CONTROL!$C$15, $E$9, 100%, $G$9) + CHOOSE(CONTROL!$C$38, 0.0347, 0)</f>
        <v>39.590600000000002</v>
      </c>
      <c r="D551" s="14">
        <f>39.5481 * CHOOSE(CONTROL!$C$15, $E$9, 100%, $G$9) + CHOOSE(CONTROL!$C$38, 0.0347, 0)</f>
        <v>39.582799999999999</v>
      </c>
      <c r="E551" s="46">
        <f>41.6719 * CHOOSE(CONTROL!$C$15, $E$9, 100%, $G$9) + CHOOSE(CONTROL!$C$38, 0.0347, 0)</f>
        <v>41.706600000000002</v>
      </c>
      <c r="F551" s="45">
        <f>41.6719 * CHOOSE(CONTROL!$C$15, $E$9, 100%, $G$9) + CHOOSE(CONTROL!$C$38, 0.0256, 0)</f>
        <v>41.697499999999998</v>
      </c>
      <c r="G551" s="14">
        <f>39.5543 * CHOOSE(CONTROL!$C$15, $E$9, 100%, $G$9) + CHOOSE(CONTROL!$C$38, 0.0347, 0)</f>
        <v>39.588999999999999</v>
      </c>
      <c r="H551" s="14">
        <f>39.5543 * CHOOSE(CONTROL!$C$15, $E$9, 100%, $G$9) + CHOOSE(CONTROL!$C$38, 0.0347, 0)</f>
        <v>39.588999999999999</v>
      </c>
      <c r="I551" s="14">
        <f>39.5559 * CHOOSE(CONTROL!$C$15, $E$9, 100%, $G$9) + CHOOSE(CONTROL!$C$38, 0.0347, 0)</f>
        <v>39.590600000000002</v>
      </c>
      <c r="J551" s="44">
        <f>296.1548</f>
        <v>296.15480000000002</v>
      </c>
    </row>
    <row r="552" spans="1:10" ht="15.75" x14ac:dyDescent="0.25">
      <c r="A552" s="32">
        <v>57741</v>
      </c>
      <c r="B552" s="14">
        <f>43.2399 * CHOOSE(CONTROL!$C$15, $E$9, 100%, $G$9) + CHOOSE(CONTROL!$C$38, 0.0256, 0)</f>
        <v>43.265499999999996</v>
      </c>
      <c r="C552" s="14">
        <f>40.9322 * CHOOSE(CONTROL!$C$15, $E$9, 100%, $G$9) + CHOOSE(CONTROL!$C$38, 0.0347, 0)</f>
        <v>40.966900000000003</v>
      </c>
      <c r="D552" s="14">
        <f>40.9243 * CHOOSE(CONTROL!$C$15, $E$9, 100%, $G$9) + CHOOSE(CONTROL!$C$38, 0.0347, 0)</f>
        <v>40.959000000000003</v>
      </c>
      <c r="E552" s="46">
        <f>43.0837 * CHOOSE(CONTROL!$C$15, $E$9, 100%, $G$9) + CHOOSE(CONTROL!$C$38, 0.0347, 0)</f>
        <v>43.118400000000001</v>
      </c>
      <c r="F552" s="45">
        <f>43.0837 * CHOOSE(CONTROL!$C$15, $E$9, 100%, $G$9) + CHOOSE(CONTROL!$C$38, 0.0256, 0)</f>
        <v>43.109299999999998</v>
      </c>
      <c r="G552" s="14">
        <f>40.9306 * CHOOSE(CONTROL!$C$15, $E$9, 100%, $G$9) + CHOOSE(CONTROL!$C$38, 0.0347, 0)</f>
        <v>40.965299999999999</v>
      </c>
      <c r="H552" s="14">
        <f>40.9306 * CHOOSE(CONTROL!$C$15, $E$9, 100%, $G$9) + CHOOSE(CONTROL!$C$38, 0.0347, 0)</f>
        <v>40.965299999999999</v>
      </c>
      <c r="I552" s="14">
        <f>40.9322 * CHOOSE(CONTROL!$C$15, $E$9, 100%, $G$9) + CHOOSE(CONTROL!$C$38, 0.0347, 0)</f>
        <v>40.966900000000003</v>
      </c>
      <c r="J552" s="44">
        <f>295.7729</f>
        <v>295.77289999999999</v>
      </c>
    </row>
    <row r="553" spans="1:10" ht="15.75" x14ac:dyDescent="0.25">
      <c r="A553" s="32">
        <v>57769</v>
      </c>
      <c r="B553" s="14">
        <f>43.5843 * CHOOSE(CONTROL!$C$15, $E$9, 100%, $G$9) + CHOOSE(CONTROL!$C$38, 0.0256, 0)</f>
        <v>43.609899999999996</v>
      </c>
      <c r="C553" s="14">
        <f>41.2765 * CHOOSE(CONTROL!$C$15, $E$9, 100%, $G$9) + CHOOSE(CONTROL!$C$38, 0.0347, 0)</f>
        <v>41.311199999999999</v>
      </c>
      <c r="D553" s="14">
        <f>41.2687 * CHOOSE(CONTROL!$C$15, $E$9, 100%, $G$9) + CHOOSE(CONTROL!$C$38, 0.0347, 0)</f>
        <v>41.303400000000003</v>
      </c>
      <c r="E553" s="46">
        <f>43.428 * CHOOSE(CONTROL!$C$15, $E$9, 100%, $G$9) + CHOOSE(CONTROL!$C$38, 0.0347, 0)</f>
        <v>43.462699999999998</v>
      </c>
      <c r="F553" s="45">
        <f>43.428 * CHOOSE(CONTROL!$C$15, $E$9, 100%, $G$9) + CHOOSE(CONTROL!$C$38, 0.0256, 0)</f>
        <v>43.453599999999994</v>
      </c>
      <c r="G553" s="14">
        <f>41.2749 * CHOOSE(CONTROL!$C$15, $E$9, 100%, $G$9) + CHOOSE(CONTROL!$C$38, 0.0347, 0)</f>
        <v>41.309600000000003</v>
      </c>
      <c r="H553" s="14">
        <f>41.2749 * CHOOSE(CONTROL!$C$15, $E$9, 100%, $G$9) + CHOOSE(CONTROL!$C$38, 0.0347, 0)</f>
        <v>41.309600000000003</v>
      </c>
      <c r="I553" s="14">
        <f>41.2765 * CHOOSE(CONTROL!$C$15, $E$9, 100%, $G$9) + CHOOSE(CONTROL!$C$38, 0.0347, 0)</f>
        <v>41.311199999999999</v>
      </c>
      <c r="J553" s="44">
        <f>294.9507</f>
        <v>294.95069999999998</v>
      </c>
    </row>
    <row r="554" spans="1:10" ht="15.75" x14ac:dyDescent="0.25">
      <c r="A554" s="32">
        <v>57800</v>
      </c>
      <c r="B554" s="14">
        <f>42.7872 * CHOOSE(CONTROL!$C$15, $E$9, 100%, $G$9) + CHOOSE(CONTROL!$C$38, 0.0256, 0)</f>
        <v>42.812799999999996</v>
      </c>
      <c r="C554" s="14">
        <f>40.4794 * CHOOSE(CONTROL!$C$15, $E$9, 100%, $G$9) + CHOOSE(CONTROL!$C$38, 0.0347, 0)</f>
        <v>40.514099999999999</v>
      </c>
      <c r="D554" s="14">
        <f>40.4716 * CHOOSE(CONTROL!$C$15, $E$9, 100%, $G$9) + CHOOSE(CONTROL!$C$38, 0.0347, 0)</f>
        <v>40.506300000000003</v>
      </c>
      <c r="E554" s="46">
        <f>42.631 * CHOOSE(CONTROL!$C$15, $E$9, 100%, $G$9) + CHOOSE(CONTROL!$C$38, 0.0347, 0)</f>
        <v>42.665700000000001</v>
      </c>
      <c r="F554" s="45">
        <f>42.631 * CHOOSE(CONTROL!$C$15, $E$9, 100%, $G$9) + CHOOSE(CONTROL!$C$38, 0.0256, 0)</f>
        <v>42.656599999999997</v>
      </c>
      <c r="G554" s="14">
        <f>40.4779 * CHOOSE(CONTROL!$C$15, $E$9, 100%, $G$9) + CHOOSE(CONTROL!$C$38, 0.0347, 0)</f>
        <v>40.512599999999999</v>
      </c>
      <c r="H554" s="14">
        <f>40.4779 * CHOOSE(CONTROL!$C$15, $E$9, 100%, $G$9) + CHOOSE(CONTROL!$C$38, 0.0347, 0)</f>
        <v>40.512599999999999</v>
      </c>
      <c r="I554" s="14">
        <f>40.4794 * CHOOSE(CONTROL!$C$15, $E$9, 100%, $G$9) + CHOOSE(CONTROL!$C$38, 0.0347, 0)</f>
        <v>40.514099999999999</v>
      </c>
      <c r="J554" s="44">
        <f>310.4963</f>
        <v>310.49630000000002</v>
      </c>
    </row>
    <row r="555" spans="1:10" ht="15.75" x14ac:dyDescent="0.25">
      <c r="A555" s="32">
        <v>57830</v>
      </c>
      <c r="B555" s="14">
        <f>42.0149 * CHOOSE(CONTROL!$C$15, $E$9, 100%, $G$9) + CHOOSE(CONTROL!$C$38, 0.0256, 0)</f>
        <v>42.040499999999994</v>
      </c>
      <c r="C555" s="14">
        <f>39.7071 * CHOOSE(CONTROL!$C$15, $E$9, 100%, $G$9) + CHOOSE(CONTROL!$C$38, 0.0347, 0)</f>
        <v>39.741799999999998</v>
      </c>
      <c r="D555" s="14">
        <f>39.6993 * CHOOSE(CONTROL!$C$15, $E$9, 100%, $G$9) + CHOOSE(CONTROL!$C$38, 0.0347, 0)</f>
        <v>39.734000000000002</v>
      </c>
      <c r="E555" s="46">
        <f>41.8587 * CHOOSE(CONTROL!$C$15, $E$9, 100%, $G$9) + CHOOSE(CONTROL!$C$38, 0.0347, 0)</f>
        <v>41.8934</v>
      </c>
      <c r="F555" s="45">
        <f>41.8587 * CHOOSE(CONTROL!$C$15, $E$9, 100%, $G$9) + CHOOSE(CONTROL!$C$38, 0.0256, 0)</f>
        <v>41.884299999999996</v>
      </c>
      <c r="G555" s="14">
        <f>39.7056 * CHOOSE(CONTROL!$C$15, $E$9, 100%, $G$9) + CHOOSE(CONTROL!$C$38, 0.0347, 0)</f>
        <v>39.740299999999998</v>
      </c>
      <c r="H555" s="14">
        <f>39.7056 * CHOOSE(CONTROL!$C$15, $E$9, 100%, $G$9) + CHOOSE(CONTROL!$C$38, 0.0347, 0)</f>
        <v>39.740299999999998</v>
      </c>
      <c r="I555" s="14">
        <f>39.7071 * CHOOSE(CONTROL!$C$15, $E$9, 100%, $G$9) + CHOOSE(CONTROL!$C$38, 0.0347, 0)</f>
        <v>39.741799999999998</v>
      </c>
      <c r="J555" s="44">
        <f>330.6553</f>
        <v>330.65530000000001</v>
      </c>
    </row>
    <row r="556" spans="1:10" ht="15.75" x14ac:dyDescent="0.25">
      <c r="A556" s="32">
        <v>57861</v>
      </c>
      <c r="B556" s="14">
        <f>41.21 * CHOOSE(CONTROL!$C$15, $E$9, 100%, $G$9) + CHOOSE(CONTROL!$C$38, 0.0278, 0)</f>
        <v>41.2378</v>
      </c>
      <c r="C556" s="14">
        <f>38.9022 * CHOOSE(CONTROL!$C$15, $E$9, 100%, $G$9) + CHOOSE(CONTROL!$C$38, 0.0369, 0)</f>
        <v>38.939100000000003</v>
      </c>
      <c r="D556" s="14">
        <f>38.8944 * CHOOSE(CONTROL!$C$15, $E$9, 100%, $G$9) + CHOOSE(CONTROL!$C$38, 0.0369, 0)</f>
        <v>38.9313</v>
      </c>
      <c r="E556" s="46">
        <f>41.0537 * CHOOSE(CONTROL!$C$15, $E$9, 100%, $G$9) + CHOOSE(CONTROL!$C$38, 0.0369, 0)</f>
        <v>41.090600000000002</v>
      </c>
      <c r="F556" s="45">
        <f>41.0537 * CHOOSE(CONTROL!$C$15, $E$9, 100%, $G$9) + CHOOSE(CONTROL!$C$38, 0.0278, 0)</f>
        <v>41.081499999999998</v>
      </c>
      <c r="G556" s="14">
        <f>38.9006 * CHOOSE(CONTROL!$C$15, $E$9, 100%, $G$9) + CHOOSE(CONTROL!$C$38, 0.0369, 0)</f>
        <v>38.9375</v>
      </c>
      <c r="H556" s="14">
        <f>38.9006 * CHOOSE(CONTROL!$C$15, $E$9, 100%, $G$9) + CHOOSE(CONTROL!$C$38, 0.0369, 0)</f>
        <v>38.9375</v>
      </c>
      <c r="I556" s="14">
        <f>38.9022 * CHOOSE(CONTROL!$C$15, $E$9, 100%, $G$9) + CHOOSE(CONTROL!$C$38, 0.0369, 0)</f>
        <v>38.939100000000003</v>
      </c>
      <c r="J556" s="44">
        <f>341.7514</f>
        <v>341.75139999999999</v>
      </c>
    </row>
    <row r="557" spans="1:10" ht="15.75" x14ac:dyDescent="0.25">
      <c r="A557" s="32">
        <v>57891</v>
      </c>
      <c r="B557" s="14">
        <f>40.6456 * CHOOSE(CONTROL!$C$15, $E$9, 100%, $G$9) + CHOOSE(CONTROL!$C$38, 0.0278, 0)</f>
        <v>40.673400000000001</v>
      </c>
      <c r="C557" s="14">
        <f>38.3378 * CHOOSE(CONTROL!$C$15, $E$9, 100%, $G$9) + CHOOSE(CONTROL!$C$38, 0.0369, 0)</f>
        <v>38.374700000000004</v>
      </c>
      <c r="D557" s="14">
        <f>38.33 * CHOOSE(CONTROL!$C$15, $E$9, 100%, $G$9) + CHOOSE(CONTROL!$C$38, 0.0369, 0)</f>
        <v>38.366900000000001</v>
      </c>
      <c r="E557" s="46">
        <f>40.4894 * CHOOSE(CONTROL!$C$15, $E$9, 100%, $G$9) + CHOOSE(CONTROL!$C$38, 0.0369, 0)</f>
        <v>40.526300000000006</v>
      </c>
      <c r="F557" s="45">
        <f>40.4894 * CHOOSE(CONTROL!$C$15, $E$9, 100%, $G$9) + CHOOSE(CONTROL!$C$38, 0.0278, 0)</f>
        <v>40.517200000000003</v>
      </c>
      <c r="G557" s="14">
        <f>38.3363 * CHOOSE(CONTROL!$C$15, $E$9, 100%, $G$9) + CHOOSE(CONTROL!$C$38, 0.0369, 0)</f>
        <v>38.373200000000004</v>
      </c>
      <c r="H557" s="14">
        <f>38.3363 * CHOOSE(CONTROL!$C$15, $E$9, 100%, $G$9) + CHOOSE(CONTROL!$C$38, 0.0369, 0)</f>
        <v>38.373200000000004</v>
      </c>
      <c r="I557" s="14">
        <f>38.3378 * CHOOSE(CONTROL!$C$15, $E$9, 100%, $G$9) + CHOOSE(CONTROL!$C$38, 0.0369, 0)</f>
        <v>38.374700000000004</v>
      </c>
      <c r="J557" s="44">
        <f>346.6757</f>
        <v>346.67570000000001</v>
      </c>
    </row>
    <row r="558" spans="1:10" ht="15.75" x14ac:dyDescent="0.25">
      <c r="A558" s="32">
        <v>57922</v>
      </c>
      <c r="B558" s="14">
        <f>40.3236 * CHOOSE(CONTROL!$C$15, $E$9, 100%, $G$9) + CHOOSE(CONTROL!$C$38, 0.0278, 0)</f>
        <v>40.351399999999998</v>
      </c>
      <c r="C558" s="14">
        <f>38.0158 * CHOOSE(CONTROL!$C$15, $E$9, 100%, $G$9) + CHOOSE(CONTROL!$C$38, 0.0369, 0)</f>
        <v>38.052700000000002</v>
      </c>
      <c r="D558" s="14">
        <f>38.008 * CHOOSE(CONTROL!$C$15, $E$9, 100%, $G$9) + CHOOSE(CONTROL!$C$38, 0.0369, 0)</f>
        <v>38.044900000000005</v>
      </c>
      <c r="E558" s="46">
        <f>40.1673 * CHOOSE(CONTROL!$C$15, $E$9, 100%, $G$9) + CHOOSE(CONTROL!$C$38, 0.0369, 0)</f>
        <v>40.2042</v>
      </c>
      <c r="F558" s="45">
        <f>40.1673 * CHOOSE(CONTROL!$C$15, $E$9, 100%, $G$9) + CHOOSE(CONTROL!$C$38, 0.0278, 0)</f>
        <v>40.195099999999996</v>
      </c>
      <c r="G558" s="14">
        <f>38.0142 * CHOOSE(CONTROL!$C$15, $E$9, 100%, $G$9) + CHOOSE(CONTROL!$C$38, 0.0369, 0)</f>
        <v>38.051100000000005</v>
      </c>
      <c r="H558" s="14">
        <f>38.0142 * CHOOSE(CONTROL!$C$15, $E$9, 100%, $G$9) + CHOOSE(CONTROL!$C$38, 0.0369, 0)</f>
        <v>38.051100000000005</v>
      </c>
      <c r="I558" s="14">
        <f>38.0158 * CHOOSE(CONTROL!$C$15, $E$9, 100%, $G$9) + CHOOSE(CONTROL!$C$38, 0.0369, 0)</f>
        <v>38.052700000000002</v>
      </c>
      <c r="J558" s="44">
        <f>345.0544</f>
        <v>345.05439999999999</v>
      </c>
    </row>
    <row r="559" spans="1:10" ht="15.75" x14ac:dyDescent="0.25">
      <c r="A559" s="32">
        <v>57953</v>
      </c>
      <c r="B559" s="14">
        <f>40.4825 * CHOOSE(CONTROL!$C$15, $E$9, 100%, $G$9) + CHOOSE(CONTROL!$C$38, 0.0278, 0)</f>
        <v>40.510300000000001</v>
      </c>
      <c r="C559" s="14">
        <f>38.1747 * CHOOSE(CONTROL!$C$15, $E$9, 100%, $G$9) + CHOOSE(CONTROL!$C$38, 0.0369, 0)</f>
        <v>38.211600000000004</v>
      </c>
      <c r="D559" s="14">
        <f>38.1669 * CHOOSE(CONTROL!$C$15, $E$9, 100%, $G$9) + CHOOSE(CONTROL!$C$38, 0.0369, 0)</f>
        <v>38.203800000000001</v>
      </c>
      <c r="E559" s="46">
        <f>40.3263 * CHOOSE(CONTROL!$C$15, $E$9, 100%, $G$9) + CHOOSE(CONTROL!$C$38, 0.0369, 0)</f>
        <v>40.363200000000006</v>
      </c>
      <c r="F559" s="45">
        <f>40.3263 * CHOOSE(CONTROL!$C$15, $E$9, 100%, $G$9) + CHOOSE(CONTROL!$C$38, 0.0278, 0)</f>
        <v>40.354100000000003</v>
      </c>
      <c r="G559" s="14">
        <f>38.1732 * CHOOSE(CONTROL!$C$15, $E$9, 100%, $G$9) + CHOOSE(CONTROL!$C$38, 0.0369, 0)</f>
        <v>38.210100000000004</v>
      </c>
      <c r="H559" s="14">
        <f>38.1732 * CHOOSE(CONTROL!$C$15, $E$9, 100%, $G$9) + CHOOSE(CONTROL!$C$38, 0.0369, 0)</f>
        <v>38.210100000000004</v>
      </c>
      <c r="I559" s="14">
        <f>38.1747 * CHOOSE(CONTROL!$C$15, $E$9, 100%, $G$9) + CHOOSE(CONTROL!$C$38, 0.0369, 0)</f>
        <v>38.211600000000004</v>
      </c>
      <c r="J559" s="44">
        <f>337.0217</f>
        <v>337.02170000000001</v>
      </c>
    </row>
    <row r="560" spans="1:10" ht="15.75" x14ac:dyDescent="0.25">
      <c r="A560" s="32">
        <v>57983</v>
      </c>
      <c r="B560" s="14">
        <f>40.9142 * CHOOSE(CONTROL!$C$15, $E$9, 100%, $G$9) + CHOOSE(CONTROL!$C$38, 0.0278, 0)</f>
        <v>40.942</v>
      </c>
      <c r="C560" s="14">
        <f>38.6064 * CHOOSE(CONTROL!$C$15, $E$9, 100%, $G$9) + CHOOSE(CONTROL!$C$38, 0.0369, 0)</f>
        <v>38.643300000000004</v>
      </c>
      <c r="D560" s="14">
        <f>38.5986 * CHOOSE(CONTROL!$C$15, $E$9, 100%, $G$9) + CHOOSE(CONTROL!$C$38, 0.0369, 0)</f>
        <v>38.6355</v>
      </c>
      <c r="E560" s="46">
        <f>40.758 * CHOOSE(CONTROL!$C$15, $E$9, 100%, $G$9) + CHOOSE(CONTROL!$C$38, 0.0369, 0)</f>
        <v>40.794900000000005</v>
      </c>
      <c r="F560" s="45">
        <f>40.758 * CHOOSE(CONTROL!$C$15, $E$9, 100%, $G$9) + CHOOSE(CONTROL!$C$38, 0.0278, 0)</f>
        <v>40.785800000000002</v>
      </c>
      <c r="G560" s="14">
        <f>38.6049 * CHOOSE(CONTROL!$C$15, $E$9, 100%, $G$9) + CHOOSE(CONTROL!$C$38, 0.0369, 0)</f>
        <v>38.641800000000003</v>
      </c>
      <c r="H560" s="14">
        <f>38.6049 * CHOOSE(CONTROL!$C$15, $E$9, 100%, $G$9) + CHOOSE(CONTROL!$C$38, 0.0369, 0)</f>
        <v>38.641800000000003</v>
      </c>
      <c r="I560" s="14">
        <f>38.6064 * CHOOSE(CONTROL!$C$15, $E$9, 100%, $G$9) + CHOOSE(CONTROL!$C$38, 0.0369, 0)</f>
        <v>38.643300000000004</v>
      </c>
      <c r="J560" s="44">
        <f>325.8196</f>
        <v>325.81959999999998</v>
      </c>
    </row>
    <row r="561" spans="1:10" ht="15.75" x14ac:dyDescent="0.25">
      <c r="A561" s="32">
        <v>58014</v>
      </c>
      <c r="B561" s="14">
        <f>41.2758 * CHOOSE(CONTROL!$C$15, $E$9, 100%, $G$9) + CHOOSE(CONTROL!$C$38, 0.0256, 0)</f>
        <v>41.301399999999994</v>
      </c>
      <c r="C561" s="14">
        <f>38.968 * CHOOSE(CONTROL!$C$15, $E$9, 100%, $G$9) + CHOOSE(CONTROL!$C$38, 0.0347, 0)</f>
        <v>39.002700000000004</v>
      </c>
      <c r="D561" s="14">
        <f>38.9602 * CHOOSE(CONTROL!$C$15, $E$9, 100%, $G$9) + CHOOSE(CONTROL!$C$38, 0.0347, 0)</f>
        <v>38.994900000000001</v>
      </c>
      <c r="E561" s="46">
        <f>41.1195 * CHOOSE(CONTROL!$C$15, $E$9, 100%, $G$9) + CHOOSE(CONTROL!$C$38, 0.0347, 0)</f>
        <v>41.154200000000003</v>
      </c>
      <c r="F561" s="45">
        <f>41.1195 * CHOOSE(CONTROL!$C$15, $E$9, 100%, $G$9) + CHOOSE(CONTROL!$C$38, 0.0256, 0)</f>
        <v>41.145099999999999</v>
      </c>
      <c r="G561" s="14">
        <f>38.9664 * CHOOSE(CONTROL!$C$15, $E$9, 100%, $G$9) + CHOOSE(CONTROL!$C$38, 0.0347, 0)</f>
        <v>39.001100000000001</v>
      </c>
      <c r="H561" s="14">
        <f>38.9664 * CHOOSE(CONTROL!$C$15, $E$9, 100%, $G$9) + CHOOSE(CONTROL!$C$38, 0.0347, 0)</f>
        <v>39.001100000000001</v>
      </c>
      <c r="I561" s="14">
        <f>38.968 * CHOOSE(CONTROL!$C$15, $E$9, 100%, $G$9) + CHOOSE(CONTROL!$C$38, 0.0347, 0)</f>
        <v>39.002700000000004</v>
      </c>
      <c r="J561" s="44">
        <f>314.5525</f>
        <v>314.55250000000001</v>
      </c>
    </row>
    <row r="562" spans="1:10" ht="15.75" x14ac:dyDescent="0.25">
      <c r="A562" s="32">
        <v>58044</v>
      </c>
      <c r="B562" s="14">
        <f>41.5775 * CHOOSE(CONTROL!$C$15, $E$9, 100%, $G$9) + CHOOSE(CONTROL!$C$38, 0.0256, 0)</f>
        <v>41.603099999999998</v>
      </c>
      <c r="C562" s="14">
        <f>39.2697 * CHOOSE(CONTROL!$C$15, $E$9, 100%, $G$9) + CHOOSE(CONTROL!$C$38, 0.0347, 0)</f>
        <v>39.304400000000001</v>
      </c>
      <c r="D562" s="14">
        <f>39.2619 * CHOOSE(CONTROL!$C$15, $E$9, 100%, $G$9) + CHOOSE(CONTROL!$C$38, 0.0347, 0)</f>
        <v>39.296599999999998</v>
      </c>
      <c r="E562" s="46">
        <f>41.4212 * CHOOSE(CONTROL!$C$15, $E$9, 100%, $G$9) + CHOOSE(CONTROL!$C$38, 0.0347, 0)</f>
        <v>41.4559</v>
      </c>
      <c r="F562" s="45">
        <f>41.4212 * CHOOSE(CONTROL!$C$15, $E$9, 100%, $G$9) + CHOOSE(CONTROL!$C$38, 0.0256, 0)</f>
        <v>41.446799999999996</v>
      </c>
      <c r="G562" s="14">
        <f>39.2681 * CHOOSE(CONTROL!$C$15, $E$9, 100%, $G$9) + CHOOSE(CONTROL!$C$38, 0.0347, 0)</f>
        <v>39.302799999999998</v>
      </c>
      <c r="H562" s="14">
        <f>39.2681 * CHOOSE(CONTROL!$C$15, $E$9, 100%, $G$9) + CHOOSE(CONTROL!$C$38, 0.0347, 0)</f>
        <v>39.302799999999998</v>
      </c>
      <c r="I562" s="14">
        <f>39.2697 * CHOOSE(CONTROL!$C$15, $E$9, 100%, $G$9) + CHOOSE(CONTROL!$C$38, 0.0347, 0)</f>
        <v>39.304400000000001</v>
      </c>
      <c r="J562" s="44">
        <f>312.3112</f>
        <v>312.31119999999999</v>
      </c>
    </row>
    <row r="563" spans="1:10" ht="15.75" x14ac:dyDescent="0.25">
      <c r="A563" s="32">
        <v>58075</v>
      </c>
      <c r="B563" s="14">
        <f>42.5071 * CHOOSE(CONTROL!$C$15, $E$9, 100%, $G$9) + CHOOSE(CONTROL!$C$38, 0.0256, 0)</f>
        <v>42.532699999999998</v>
      </c>
      <c r="C563" s="14">
        <f>40.1994 * CHOOSE(CONTROL!$C$15, $E$9, 100%, $G$9) + CHOOSE(CONTROL!$C$38, 0.0347, 0)</f>
        <v>40.234099999999998</v>
      </c>
      <c r="D563" s="14">
        <f>40.1915 * CHOOSE(CONTROL!$C$15, $E$9, 100%, $G$9) + CHOOSE(CONTROL!$C$38, 0.0347, 0)</f>
        <v>40.226199999999999</v>
      </c>
      <c r="E563" s="46">
        <f>42.3509 * CHOOSE(CONTROL!$C$15, $E$9, 100%, $G$9) + CHOOSE(CONTROL!$C$38, 0.0347, 0)</f>
        <v>42.385600000000004</v>
      </c>
      <c r="F563" s="45">
        <f>42.3509 * CHOOSE(CONTROL!$C$15, $E$9, 100%, $G$9) + CHOOSE(CONTROL!$C$38, 0.0256, 0)</f>
        <v>42.3765</v>
      </c>
      <c r="G563" s="14">
        <f>40.1978 * CHOOSE(CONTROL!$C$15, $E$9, 100%, $G$9) + CHOOSE(CONTROL!$C$38, 0.0347, 0)</f>
        <v>40.232500000000002</v>
      </c>
      <c r="H563" s="14">
        <f>40.1978 * CHOOSE(CONTROL!$C$15, $E$9, 100%, $G$9) + CHOOSE(CONTROL!$C$38, 0.0347, 0)</f>
        <v>40.232500000000002</v>
      </c>
      <c r="I563" s="14">
        <f>40.1994 * CHOOSE(CONTROL!$C$15, $E$9, 100%, $G$9) + CHOOSE(CONTROL!$C$38, 0.0347, 0)</f>
        <v>40.234099999999998</v>
      </c>
      <c r="J563" s="44">
        <f>303.0433</f>
        <v>303.04329999999999</v>
      </c>
    </row>
    <row r="564" spans="1:10" ht="15.75" x14ac:dyDescent="0.25">
      <c r="A564" s="32">
        <v>58106</v>
      </c>
      <c r="B564" s="14">
        <f>43.9304 * CHOOSE(CONTROL!$C$15, $E$9, 100%, $G$9) + CHOOSE(CONTROL!$C$38, 0.0256, 0)</f>
        <v>43.955999999999996</v>
      </c>
      <c r="C564" s="14">
        <f>41.5864 * CHOOSE(CONTROL!$C$15, $E$9, 100%, $G$9) + CHOOSE(CONTROL!$C$38, 0.0347, 0)</f>
        <v>41.621099999999998</v>
      </c>
      <c r="D564" s="14">
        <f>41.5786 * CHOOSE(CONTROL!$C$15, $E$9, 100%, $G$9) + CHOOSE(CONTROL!$C$38, 0.0347, 0)</f>
        <v>41.613300000000002</v>
      </c>
      <c r="E564" s="46">
        <f>43.7741 * CHOOSE(CONTROL!$C$15, $E$9, 100%, $G$9) + CHOOSE(CONTROL!$C$38, 0.0347, 0)</f>
        <v>43.808799999999998</v>
      </c>
      <c r="F564" s="45">
        <f>43.7741 * CHOOSE(CONTROL!$C$15, $E$9, 100%, $G$9) + CHOOSE(CONTROL!$C$38, 0.0256, 0)</f>
        <v>43.799699999999994</v>
      </c>
      <c r="G564" s="14">
        <f>41.5849 * CHOOSE(CONTROL!$C$15, $E$9, 100%, $G$9) + CHOOSE(CONTROL!$C$38, 0.0347, 0)</f>
        <v>41.619599999999998</v>
      </c>
      <c r="H564" s="14">
        <f>41.5849 * CHOOSE(CONTROL!$C$15, $E$9, 100%, $G$9) + CHOOSE(CONTROL!$C$38, 0.0347, 0)</f>
        <v>41.619599999999998</v>
      </c>
      <c r="I564" s="14">
        <f>41.5864 * CHOOSE(CONTROL!$C$15, $E$9, 100%, $G$9) + CHOOSE(CONTROL!$C$38, 0.0347, 0)</f>
        <v>41.621099999999998</v>
      </c>
      <c r="J564" s="44">
        <f>302.6525</f>
        <v>302.65249999999997</v>
      </c>
    </row>
    <row r="565" spans="1:10" ht="15.75" x14ac:dyDescent="0.25">
      <c r="A565" s="32">
        <v>58134</v>
      </c>
      <c r="B565" s="14">
        <f>44.2747 * CHOOSE(CONTROL!$C$15, $E$9, 100%, $G$9) + CHOOSE(CONTROL!$C$38, 0.0256, 0)</f>
        <v>44.3003</v>
      </c>
      <c r="C565" s="14">
        <f>41.9307 * CHOOSE(CONTROL!$C$15, $E$9, 100%, $G$9) + CHOOSE(CONTROL!$C$38, 0.0347, 0)</f>
        <v>41.965400000000002</v>
      </c>
      <c r="D565" s="14">
        <f>41.9229 * CHOOSE(CONTROL!$C$15, $E$9, 100%, $G$9) + CHOOSE(CONTROL!$C$38, 0.0347, 0)</f>
        <v>41.957599999999999</v>
      </c>
      <c r="E565" s="46">
        <f>44.1184 * CHOOSE(CONTROL!$C$15, $E$9, 100%, $G$9) + CHOOSE(CONTROL!$C$38, 0.0347, 0)</f>
        <v>44.153100000000002</v>
      </c>
      <c r="F565" s="45">
        <f>44.1184 * CHOOSE(CONTROL!$C$15, $E$9, 100%, $G$9) + CHOOSE(CONTROL!$C$38, 0.0256, 0)</f>
        <v>44.143999999999998</v>
      </c>
      <c r="G565" s="14">
        <f>41.9292 * CHOOSE(CONTROL!$C$15, $E$9, 100%, $G$9) + CHOOSE(CONTROL!$C$38, 0.0347, 0)</f>
        <v>41.963900000000002</v>
      </c>
      <c r="H565" s="14">
        <f>41.9292 * CHOOSE(CONTROL!$C$15, $E$9, 100%, $G$9) + CHOOSE(CONTROL!$C$38, 0.0347, 0)</f>
        <v>41.963900000000002</v>
      </c>
      <c r="I565" s="14">
        <f>41.9307 * CHOOSE(CONTROL!$C$15, $E$9, 100%, $G$9) + CHOOSE(CONTROL!$C$38, 0.0347, 0)</f>
        <v>41.965400000000002</v>
      </c>
      <c r="J565" s="44">
        <f>301.8113</f>
        <v>301.81130000000002</v>
      </c>
    </row>
    <row r="566" spans="1:10" ht="15.75" x14ac:dyDescent="0.25">
      <c r="A566" s="32">
        <v>58165</v>
      </c>
      <c r="B566" s="14">
        <f>43.4776 * CHOOSE(CONTROL!$C$15, $E$9, 100%, $G$9) + CHOOSE(CONTROL!$C$38, 0.0256, 0)</f>
        <v>43.5032</v>
      </c>
      <c r="C566" s="14">
        <f>41.1337 * CHOOSE(CONTROL!$C$15, $E$9, 100%, $G$9) + CHOOSE(CONTROL!$C$38, 0.0347, 0)</f>
        <v>41.168399999999998</v>
      </c>
      <c r="D566" s="14">
        <f>41.1259 * CHOOSE(CONTROL!$C$15, $E$9, 100%, $G$9) + CHOOSE(CONTROL!$C$38, 0.0347, 0)</f>
        <v>41.160600000000002</v>
      </c>
      <c r="E566" s="46">
        <f>43.3214 * CHOOSE(CONTROL!$C$15, $E$9, 100%, $G$9) + CHOOSE(CONTROL!$C$38, 0.0347, 0)</f>
        <v>43.356099999999998</v>
      </c>
      <c r="F566" s="45">
        <f>43.3214 * CHOOSE(CONTROL!$C$15, $E$9, 100%, $G$9) + CHOOSE(CONTROL!$C$38, 0.0256, 0)</f>
        <v>43.346999999999994</v>
      </c>
      <c r="G566" s="14">
        <f>41.1321 * CHOOSE(CONTROL!$C$15, $E$9, 100%, $G$9) + CHOOSE(CONTROL!$C$38, 0.0347, 0)</f>
        <v>41.166800000000002</v>
      </c>
      <c r="H566" s="14">
        <f>41.1321 * CHOOSE(CONTROL!$C$15, $E$9, 100%, $G$9) + CHOOSE(CONTROL!$C$38, 0.0347, 0)</f>
        <v>41.166800000000002</v>
      </c>
      <c r="I566" s="14">
        <f>41.1337 * CHOOSE(CONTROL!$C$15, $E$9, 100%, $G$9) + CHOOSE(CONTROL!$C$38, 0.0347, 0)</f>
        <v>41.168399999999998</v>
      </c>
      <c r="J566" s="44">
        <f>317.7185</f>
        <v>317.71850000000001</v>
      </c>
    </row>
    <row r="567" spans="1:10" ht="15.75" x14ac:dyDescent="0.25">
      <c r="A567" s="32">
        <v>58195</v>
      </c>
      <c r="B567" s="14">
        <f>42.7053 * CHOOSE(CONTROL!$C$15, $E$9, 100%, $G$9) + CHOOSE(CONTROL!$C$38, 0.0256, 0)</f>
        <v>42.730899999999998</v>
      </c>
      <c r="C567" s="14">
        <f>40.3614 * CHOOSE(CONTROL!$C$15, $E$9, 100%, $G$9) + CHOOSE(CONTROL!$C$38, 0.0347, 0)</f>
        <v>40.396100000000004</v>
      </c>
      <c r="D567" s="14">
        <f>40.3536 * CHOOSE(CONTROL!$C$15, $E$9, 100%, $G$9) + CHOOSE(CONTROL!$C$38, 0.0347, 0)</f>
        <v>40.388300000000001</v>
      </c>
      <c r="E567" s="46">
        <f>42.5491 * CHOOSE(CONTROL!$C$15, $E$9, 100%, $G$9) + CHOOSE(CONTROL!$C$38, 0.0347, 0)</f>
        <v>42.583800000000004</v>
      </c>
      <c r="F567" s="45">
        <f>42.5491 * CHOOSE(CONTROL!$C$15, $E$9, 100%, $G$9) + CHOOSE(CONTROL!$C$38, 0.0256, 0)</f>
        <v>42.5747</v>
      </c>
      <c r="G567" s="14">
        <f>40.3598 * CHOOSE(CONTROL!$C$15, $E$9, 100%, $G$9) + CHOOSE(CONTROL!$C$38, 0.0347, 0)</f>
        <v>40.394500000000001</v>
      </c>
      <c r="H567" s="14">
        <f>40.3598 * CHOOSE(CONTROL!$C$15, $E$9, 100%, $G$9) + CHOOSE(CONTROL!$C$38, 0.0347, 0)</f>
        <v>40.394500000000001</v>
      </c>
      <c r="I567" s="14">
        <f>40.3614 * CHOOSE(CONTROL!$C$15, $E$9, 100%, $G$9) + CHOOSE(CONTROL!$C$38, 0.0347, 0)</f>
        <v>40.396100000000004</v>
      </c>
      <c r="J567" s="44">
        <f>338.3463</f>
        <v>338.34629999999999</v>
      </c>
    </row>
    <row r="568" spans="1:10" ht="15.75" x14ac:dyDescent="0.25">
      <c r="A568" s="32">
        <v>58226</v>
      </c>
      <c r="B568" s="14">
        <f>41.9004 * CHOOSE(CONTROL!$C$15, $E$9, 100%, $G$9) + CHOOSE(CONTROL!$C$38, 0.0278, 0)</f>
        <v>41.928199999999997</v>
      </c>
      <c r="C568" s="14">
        <f>39.5564 * CHOOSE(CONTROL!$C$15, $E$9, 100%, $G$9) + CHOOSE(CONTROL!$C$38, 0.0369, 0)</f>
        <v>39.593299999999999</v>
      </c>
      <c r="D568" s="14">
        <f>39.5486 * CHOOSE(CONTROL!$C$15, $E$9, 100%, $G$9) + CHOOSE(CONTROL!$C$38, 0.0369, 0)</f>
        <v>39.585500000000003</v>
      </c>
      <c r="E568" s="46">
        <f>41.7441 * CHOOSE(CONTROL!$C$15, $E$9, 100%, $G$9) + CHOOSE(CONTROL!$C$38, 0.0369, 0)</f>
        <v>41.781000000000006</v>
      </c>
      <c r="F568" s="45">
        <f>41.7441 * CHOOSE(CONTROL!$C$15, $E$9, 100%, $G$9) + CHOOSE(CONTROL!$C$38, 0.0278, 0)</f>
        <v>41.771900000000002</v>
      </c>
      <c r="G568" s="14">
        <f>39.5549 * CHOOSE(CONTROL!$C$15, $E$9, 100%, $G$9) + CHOOSE(CONTROL!$C$38, 0.0369, 0)</f>
        <v>39.591800000000006</v>
      </c>
      <c r="H568" s="14">
        <f>39.5549 * CHOOSE(CONTROL!$C$15, $E$9, 100%, $G$9) + CHOOSE(CONTROL!$C$38, 0.0369, 0)</f>
        <v>39.591800000000006</v>
      </c>
      <c r="I568" s="14">
        <f>39.5564 * CHOOSE(CONTROL!$C$15, $E$9, 100%, $G$9) + CHOOSE(CONTROL!$C$38, 0.0369, 0)</f>
        <v>39.593299999999999</v>
      </c>
      <c r="J568" s="44">
        <f>349.7005</f>
        <v>349.70049999999998</v>
      </c>
    </row>
    <row r="569" spans="1:10" ht="15.75" x14ac:dyDescent="0.25">
      <c r="A569" s="32">
        <v>58256</v>
      </c>
      <c r="B569" s="14">
        <f>41.336 * CHOOSE(CONTROL!$C$15, $E$9, 100%, $G$9) + CHOOSE(CONTROL!$C$38, 0.0278, 0)</f>
        <v>41.363799999999998</v>
      </c>
      <c r="C569" s="14">
        <f>38.9921 * CHOOSE(CONTROL!$C$15, $E$9, 100%, $G$9) + CHOOSE(CONTROL!$C$38, 0.0369, 0)</f>
        <v>39.029000000000003</v>
      </c>
      <c r="D569" s="14">
        <f>38.9843 * CHOOSE(CONTROL!$C$15, $E$9, 100%, $G$9) + CHOOSE(CONTROL!$C$38, 0.0369, 0)</f>
        <v>39.0212</v>
      </c>
      <c r="E569" s="46">
        <f>41.1798 * CHOOSE(CONTROL!$C$15, $E$9, 100%, $G$9) + CHOOSE(CONTROL!$C$38, 0.0369, 0)</f>
        <v>41.216700000000003</v>
      </c>
      <c r="F569" s="45">
        <f>41.1798 * CHOOSE(CONTROL!$C$15, $E$9, 100%, $G$9) + CHOOSE(CONTROL!$C$38, 0.0278, 0)</f>
        <v>41.207599999999999</v>
      </c>
      <c r="G569" s="14">
        <f>38.9905 * CHOOSE(CONTROL!$C$15, $E$9, 100%, $G$9) + CHOOSE(CONTROL!$C$38, 0.0369, 0)</f>
        <v>39.0274</v>
      </c>
      <c r="H569" s="14">
        <f>38.9905 * CHOOSE(CONTROL!$C$15, $E$9, 100%, $G$9) + CHOOSE(CONTROL!$C$38, 0.0369, 0)</f>
        <v>39.0274</v>
      </c>
      <c r="I569" s="14">
        <f>38.9921 * CHOOSE(CONTROL!$C$15, $E$9, 100%, $G$9) + CHOOSE(CONTROL!$C$38, 0.0369, 0)</f>
        <v>39.029000000000003</v>
      </c>
      <c r="J569" s="44">
        <f>354.7393</f>
        <v>354.73930000000001</v>
      </c>
    </row>
    <row r="570" spans="1:10" ht="15.75" x14ac:dyDescent="0.25">
      <c r="A570" s="32">
        <v>58287</v>
      </c>
      <c r="B570" s="14">
        <f>41.014 * CHOOSE(CONTROL!$C$15, $E$9, 100%, $G$9) + CHOOSE(CONTROL!$C$38, 0.0278, 0)</f>
        <v>41.041800000000002</v>
      </c>
      <c r="C570" s="14">
        <f>38.67 * CHOOSE(CONTROL!$C$15, $E$9, 100%, $G$9) + CHOOSE(CONTROL!$C$38, 0.0369, 0)</f>
        <v>38.706900000000005</v>
      </c>
      <c r="D570" s="14">
        <f>38.6622 * CHOOSE(CONTROL!$C$15, $E$9, 100%, $G$9) + CHOOSE(CONTROL!$C$38, 0.0369, 0)</f>
        <v>38.699100000000001</v>
      </c>
      <c r="E570" s="46">
        <f>40.8577 * CHOOSE(CONTROL!$C$15, $E$9, 100%, $G$9) + CHOOSE(CONTROL!$C$38, 0.0369, 0)</f>
        <v>40.894600000000004</v>
      </c>
      <c r="F570" s="45">
        <f>40.8577 * CHOOSE(CONTROL!$C$15, $E$9, 100%, $G$9) + CHOOSE(CONTROL!$C$38, 0.0278, 0)</f>
        <v>40.8855</v>
      </c>
      <c r="G570" s="14">
        <f>38.6685 * CHOOSE(CONTROL!$C$15, $E$9, 100%, $G$9) + CHOOSE(CONTROL!$C$38, 0.0369, 0)</f>
        <v>38.705400000000004</v>
      </c>
      <c r="H570" s="14">
        <f>38.6685 * CHOOSE(CONTROL!$C$15, $E$9, 100%, $G$9) + CHOOSE(CONTROL!$C$38, 0.0369, 0)</f>
        <v>38.705400000000004</v>
      </c>
      <c r="I570" s="14">
        <f>38.67 * CHOOSE(CONTROL!$C$15, $E$9, 100%, $G$9) + CHOOSE(CONTROL!$C$38, 0.0369, 0)</f>
        <v>38.706900000000005</v>
      </c>
      <c r="J570" s="44">
        <f>353.0803</f>
        <v>353.08030000000002</v>
      </c>
    </row>
    <row r="571" spans="1:10" ht="15.75" x14ac:dyDescent="0.25">
      <c r="A571" s="32">
        <v>58318</v>
      </c>
      <c r="B571" s="14">
        <f>41.1729 * CHOOSE(CONTROL!$C$15, $E$9, 100%, $G$9) + CHOOSE(CONTROL!$C$38, 0.0278, 0)</f>
        <v>41.200699999999998</v>
      </c>
      <c r="C571" s="14">
        <f>38.829 * CHOOSE(CONTROL!$C$15, $E$9, 100%, $G$9) + CHOOSE(CONTROL!$C$38, 0.0369, 0)</f>
        <v>38.865900000000003</v>
      </c>
      <c r="D571" s="14">
        <f>38.8212 * CHOOSE(CONTROL!$C$15, $E$9, 100%, $G$9) + CHOOSE(CONTROL!$C$38, 0.0369, 0)</f>
        <v>38.8581</v>
      </c>
      <c r="E571" s="46">
        <f>41.0167 * CHOOSE(CONTROL!$C$15, $E$9, 100%, $G$9) + CHOOSE(CONTROL!$C$38, 0.0369, 0)</f>
        <v>41.053600000000003</v>
      </c>
      <c r="F571" s="45">
        <f>41.0167 * CHOOSE(CONTROL!$C$15, $E$9, 100%, $G$9) + CHOOSE(CONTROL!$C$38, 0.0278, 0)</f>
        <v>41.044499999999999</v>
      </c>
      <c r="G571" s="14">
        <f>38.8274 * CHOOSE(CONTROL!$C$15, $E$9, 100%, $G$9) + CHOOSE(CONTROL!$C$38, 0.0369, 0)</f>
        <v>38.8643</v>
      </c>
      <c r="H571" s="14">
        <f>38.8274 * CHOOSE(CONTROL!$C$15, $E$9, 100%, $G$9) + CHOOSE(CONTROL!$C$38, 0.0369, 0)</f>
        <v>38.8643</v>
      </c>
      <c r="I571" s="14">
        <f>38.829 * CHOOSE(CONTROL!$C$15, $E$9, 100%, $G$9) + CHOOSE(CONTROL!$C$38, 0.0369, 0)</f>
        <v>38.865900000000003</v>
      </c>
      <c r="J571" s="44">
        <f>344.8608</f>
        <v>344.86079999999998</v>
      </c>
    </row>
    <row r="572" spans="1:10" ht="15.75" x14ac:dyDescent="0.25">
      <c r="A572" s="32">
        <v>58348</v>
      </c>
      <c r="B572" s="14">
        <f>41.6046 * CHOOSE(CONTROL!$C$15, $E$9, 100%, $G$9) + CHOOSE(CONTROL!$C$38, 0.0278, 0)</f>
        <v>41.632399999999997</v>
      </c>
      <c r="C572" s="14">
        <f>39.2607 * CHOOSE(CONTROL!$C$15, $E$9, 100%, $G$9) + CHOOSE(CONTROL!$C$38, 0.0369, 0)</f>
        <v>39.297600000000003</v>
      </c>
      <c r="D572" s="14">
        <f>39.2529 * CHOOSE(CONTROL!$C$15, $E$9, 100%, $G$9) + CHOOSE(CONTROL!$C$38, 0.0369, 0)</f>
        <v>39.2898</v>
      </c>
      <c r="E572" s="46">
        <f>41.4484 * CHOOSE(CONTROL!$C$15, $E$9, 100%, $G$9) + CHOOSE(CONTROL!$C$38, 0.0369, 0)</f>
        <v>41.485300000000002</v>
      </c>
      <c r="F572" s="45">
        <f>41.4484 * CHOOSE(CONTROL!$C$15, $E$9, 100%, $G$9) + CHOOSE(CONTROL!$C$38, 0.0278, 0)</f>
        <v>41.476199999999999</v>
      </c>
      <c r="G572" s="14">
        <f>39.2591 * CHOOSE(CONTROL!$C$15, $E$9, 100%, $G$9) + CHOOSE(CONTROL!$C$38, 0.0369, 0)</f>
        <v>39.295999999999999</v>
      </c>
      <c r="H572" s="14">
        <f>39.2591 * CHOOSE(CONTROL!$C$15, $E$9, 100%, $G$9) + CHOOSE(CONTROL!$C$38, 0.0369, 0)</f>
        <v>39.295999999999999</v>
      </c>
      <c r="I572" s="14">
        <f>39.2607 * CHOOSE(CONTROL!$C$15, $E$9, 100%, $G$9) + CHOOSE(CONTROL!$C$38, 0.0369, 0)</f>
        <v>39.297600000000003</v>
      </c>
      <c r="J572" s="44">
        <f>333.3982</f>
        <v>333.39819999999997</v>
      </c>
    </row>
    <row r="573" spans="1:10" ht="15.75" x14ac:dyDescent="0.25">
      <c r="A573" s="32">
        <v>58379</v>
      </c>
      <c r="B573" s="14">
        <f>41.9662 * CHOOSE(CONTROL!$C$15, $E$9, 100%, $G$9) + CHOOSE(CONTROL!$C$38, 0.0256, 0)</f>
        <v>41.991799999999998</v>
      </c>
      <c r="C573" s="14">
        <f>39.6223 * CHOOSE(CONTROL!$C$15, $E$9, 100%, $G$9) + CHOOSE(CONTROL!$C$38, 0.0347, 0)</f>
        <v>39.657000000000004</v>
      </c>
      <c r="D573" s="14">
        <f>39.6144 * CHOOSE(CONTROL!$C$15, $E$9, 100%, $G$9) + CHOOSE(CONTROL!$C$38, 0.0347, 0)</f>
        <v>39.649100000000004</v>
      </c>
      <c r="E573" s="46">
        <f>41.8099 * CHOOSE(CONTROL!$C$15, $E$9, 100%, $G$9) + CHOOSE(CONTROL!$C$38, 0.0347, 0)</f>
        <v>41.8446</v>
      </c>
      <c r="F573" s="45">
        <f>41.8099 * CHOOSE(CONTROL!$C$15, $E$9, 100%, $G$9) + CHOOSE(CONTROL!$C$38, 0.0256, 0)</f>
        <v>41.835499999999996</v>
      </c>
      <c r="G573" s="14">
        <f>39.6207 * CHOOSE(CONTROL!$C$15, $E$9, 100%, $G$9) + CHOOSE(CONTROL!$C$38, 0.0347, 0)</f>
        <v>39.6554</v>
      </c>
      <c r="H573" s="14">
        <f>39.6207 * CHOOSE(CONTROL!$C$15, $E$9, 100%, $G$9) + CHOOSE(CONTROL!$C$38, 0.0347, 0)</f>
        <v>39.6554</v>
      </c>
      <c r="I573" s="14">
        <f>39.6223 * CHOOSE(CONTROL!$C$15, $E$9, 100%, $G$9) + CHOOSE(CONTROL!$C$38, 0.0347, 0)</f>
        <v>39.657000000000004</v>
      </c>
      <c r="J573" s="44">
        <f>321.8689</f>
        <v>321.8689</v>
      </c>
    </row>
    <row r="574" spans="1:10" ht="15.75" x14ac:dyDescent="0.25">
      <c r="A574" s="32">
        <v>58409</v>
      </c>
      <c r="B574" s="14">
        <f>42.2679 * CHOOSE(CONTROL!$C$15, $E$9, 100%, $G$9) + CHOOSE(CONTROL!$C$38, 0.0256, 0)</f>
        <v>42.293499999999995</v>
      </c>
      <c r="C574" s="14">
        <f>39.924 * CHOOSE(CONTROL!$C$15, $E$9, 100%, $G$9) + CHOOSE(CONTROL!$C$38, 0.0347, 0)</f>
        <v>39.9587</v>
      </c>
      <c r="D574" s="14">
        <f>39.9161 * CHOOSE(CONTROL!$C$15, $E$9, 100%, $G$9) + CHOOSE(CONTROL!$C$38, 0.0347, 0)</f>
        <v>39.950800000000001</v>
      </c>
      <c r="E574" s="46">
        <f>42.1116 * CHOOSE(CONTROL!$C$15, $E$9, 100%, $G$9) + CHOOSE(CONTROL!$C$38, 0.0347, 0)</f>
        <v>42.146300000000004</v>
      </c>
      <c r="F574" s="45">
        <f>42.1116 * CHOOSE(CONTROL!$C$15, $E$9, 100%, $G$9) + CHOOSE(CONTROL!$C$38, 0.0256, 0)</f>
        <v>42.1372</v>
      </c>
      <c r="G574" s="14">
        <f>39.9224 * CHOOSE(CONTROL!$C$15, $E$9, 100%, $G$9) + CHOOSE(CONTROL!$C$38, 0.0347, 0)</f>
        <v>39.957100000000004</v>
      </c>
      <c r="H574" s="14">
        <f>39.9224 * CHOOSE(CONTROL!$C$15, $E$9, 100%, $G$9) + CHOOSE(CONTROL!$C$38, 0.0347, 0)</f>
        <v>39.957100000000004</v>
      </c>
      <c r="I574" s="14">
        <f>39.924 * CHOOSE(CONTROL!$C$15, $E$9, 100%, $G$9) + CHOOSE(CONTROL!$C$38, 0.0347, 0)</f>
        <v>39.9587</v>
      </c>
      <c r="J574" s="44">
        <f>319.5755</f>
        <v>319.57549999999998</v>
      </c>
    </row>
    <row r="575" spans="1:10" ht="15.75" x14ac:dyDescent="0.25">
      <c r="A575" s="32">
        <v>58440</v>
      </c>
      <c r="B575" s="14">
        <f>43.1976 * CHOOSE(CONTROL!$C$15, $E$9, 100%, $G$9) + CHOOSE(CONTROL!$C$38, 0.0256, 0)</f>
        <v>43.223199999999999</v>
      </c>
      <c r="C575" s="14">
        <f>40.8536 * CHOOSE(CONTROL!$C$15, $E$9, 100%, $G$9) + CHOOSE(CONTROL!$C$38, 0.0347, 0)</f>
        <v>40.888300000000001</v>
      </c>
      <c r="D575" s="14">
        <f>40.8458 * CHOOSE(CONTROL!$C$15, $E$9, 100%, $G$9) + CHOOSE(CONTROL!$C$38, 0.0347, 0)</f>
        <v>40.880499999999998</v>
      </c>
      <c r="E575" s="46">
        <f>43.0413 * CHOOSE(CONTROL!$C$15, $E$9, 100%, $G$9) + CHOOSE(CONTROL!$C$38, 0.0347, 0)</f>
        <v>43.076000000000001</v>
      </c>
      <c r="F575" s="45">
        <f>43.0413 * CHOOSE(CONTROL!$C$15, $E$9, 100%, $G$9) + CHOOSE(CONTROL!$C$38, 0.0256, 0)</f>
        <v>43.066899999999997</v>
      </c>
      <c r="G575" s="14">
        <f>40.8521 * CHOOSE(CONTROL!$C$15, $E$9, 100%, $G$9) + CHOOSE(CONTROL!$C$38, 0.0347, 0)</f>
        <v>40.886800000000001</v>
      </c>
      <c r="H575" s="14">
        <f>40.8521 * CHOOSE(CONTROL!$C$15, $E$9, 100%, $G$9) + CHOOSE(CONTROL!$C$38, 0.0347, 0)</f>
        <v>40.886800000000001</v>
      </c>
      <c r="I575" s="14">
        <f>40.8536 * CHOOSE(CONTROL!$C$15, $E$9, 100%, $G$9) + CHOOSE(CONTROL!$C$38, 0.0347, 0)</f>
        <v>40.888300000000001</v>
      </c>
      <c r="J575" s="44">
        <f>310.0921</f>
        <v>310.09210000000002</v>
      </c>
    </row>
    <row r="576" spans="1:10" ht="15.75" x14ac:dyDescent="0.25">
      <c r="A576" s="32">
        <v>58471</v>
      </c>
      <c r="B576" s="14">
        <f>44.6324 * CHOOSE(CONTROL!$C$15, $E$9, 100%, $G$9) + CHOOSE(CONTROL!$C$38, 0.0256, 0)</f>
        <v>44.657999999999994</v>
      </c>
      <c r="C576" s="14">
        <f>42.2517 * CHOOSE(CONTROL!$C$15, $E$9, 100%, $G$9) + CHOOSE(CONTROL!$C$38, 0.0347, 0)</f>
        <v>42.2864</v>
      </c>
      <c r="D576" s="14">
        <f>42.2439 * CHOOSE(CONTROL!$C$15, $E$9, 100%, $G$9) + CHOOSE(CONTROL!$C$38, 0.0347, 0)</f>
        <v>42.278599999999997</v>
      </c>
      <c r="E576" s="46">
        <f>44.4761 * CHOOSE(CONTROL!$C$15, $E$9, 100%, $G$9) + CHOOSE(CONTROL!$C$38, 0.0347, 0)</f>
        <v>44.510800000000003</v>
      </c>
      <c r="F576" s="45">
        <f>44.4761 * CHOOSE(CONTROL!$C$15, $E$9, 100%, $G$9) + CHOOSE(CONTROL!$C$38, 0.0256, 0)</f>
        <v>44.5017</v>
      </c>
      <c r="G576" s="14">
        <f>42.2501 * CHOOSE(CONTROL!$C$15, $E$9, 100%, $G$9) + CHOOSE(CONTROL!$C$38, 0.0347, 0)</f>
        <v>42.284800000000004</v>
      </c>
      <c r="H576" s="14">
        <f>42.2501 * CHOOSE(CONTROL!$C$15, $E$9, 100%, $G$9) + CHOOSE(CONTROL!$C$38, 0.0347, 0)</f>
        <v>42.284800000000004</v>
      </c>
      <c r="I576" s="14">
        <f>42.2517 * CHOOSE(CONTROL!$C$15, $E$9, 100%, $G$9) + CHOOSE(CONTROL!$C$38, 0.0347, 0)</f>
        <v>42.2864</v>
      </c>
      <c r="J576" s="44">
        <f>309.6922</f>
        <v>309.69220000000001</v>
      </c>
    </row>
    <row r="577" spans="1:10" ht="15.75" x14ac:dyDescent="0.25">
      <c r="A577" s="32">
        <v>58499</v>
      </c>
      <c r="B577" s="14">
        <f>44.9767 * CHOOSE(CONTROL!$C$15, $E$9, 100%, $G$9) + CHOOSE(CONTROL!$C$38, 0.0256, 0)</f>
        <v>45.002299999999998</v>
      </c>
      <c r="C577" s="14">
        <f>42.596 * CHOOSE(CONTROL!$C$15, $E$9, 100%, $G$9) + CHOOSE(CONTROL!$C$38, 0.0347, 0)</f>
        <v>42.630699999999997</v>
      </c>
      <c r="D577" s="14">
        <f>42.5882 * CHOOSE(CONTROL!$C$15, $E$9, 100%, $G$9) + CHOOSE(CONTROL!$C$38, 0.0347, 0)</f>
        <v>42.622900000000001</v>
      </c>
      <c r="E577" s="46">
        <f>44.8204 * CHOOSE(CONTROL!$C$15, $E$9, 100%, $G$9) + CHOOSE(CONTROL!$C$38, 0.0347, 0)</f>
        <v>44.8551</v>
      </c>
      <c r="F577" s="45">
        <f>44.8204 * CHOOSE(CONTROL!$C$15, $E$9, 100%, $G$9) + CHOOSE(CONTROL!$C$38, 0.0256, 0)</f>
        <v>44.845999999999997</v>
      </c>
      <c r="G577" s="14">
        <f>42.5944 * CHOOSE(CONTROL!$C$15, $E$9, 100%, $G$9) + CHOOSE(CONTROL!$C$38, 0.0347, 0)</f>
        <v>42.629100000000001</v>
      </c>
      <c r="H577" s="14">
        <f>42.5944 * CHOOSE(CONTROL!$C$15, $E$9, 100%, $G$9) + CHOOSE(CONTROL!$C$38, 0.0347, 0)</f>
        <v>42.629100000000001</v>
      </c>
      <c r="I577" s="14">
        <f>42.596 * CHOOSE(CONTROL!$C$15, $E$9, 100%, $G$9) + CHOOSE(CONTROL!$C$38, 0.0347, 0)</f>
        <v>42.630699999999997</v>
      </c>
      <c r="J577" s="44">
        <f>308.8314</f>
        <v>308.83139999999997</v>
      </c>
    </row>
    <row r="578" spans="1:10" ht="15.75" x14ac:dyDescent="0.25">
      <c r="A578" s="32">
        <v>58531</v>
      </c>
      <c r="B578" s="14">
        <f>44.1796 * CHOOSE(CONTROL!$C$15, $E$9, 100%, $G$9) + CHOOSE(CONTROL!$C$38, 0.0256, 0)</f>
        <v>44.205199999999998</v>
      </c>
      <c r="C578" s="14">
        <f>41.799 * CHOOSE(CONTROL!$C$15, $E$9, 100%, $G$9) + CHOOSE(CONTROL!$C$38, 0.0347, 0)</f>
        <v>41.8337</v>
      </c>
      <c r="D578" s="14">
        <f>41.7911 * CHOOSE(CONTROL!$C$15, $E$9, 100%, $G$9) + CHOOSE(CONTROL!$C$38, 0.0347, 0)</f>
        <v>41.825800000000001</v>
      </c>
      <c r="E578" s="46">
        <f>44.0234 * CHOOSE(CONTROL!$C$15, $E$9, 100%, $G$9) + CHOOSE(CONTROL!$C$38, 0.0347, 0)</f>
        <v>44.058100000000003</v>
      </c>
      <c r="F578" s="45">
        <f>44.0234 * CHOOSE(CONTROL!$C$15, $E$9, 100%, $G$9) + CHOOSE(CONTROL!$C$38, 0.0256, 0)</f>
        <v>44.048999999999999</v>
      </c>
      <c r="G578" s="14">
        <f>41.7974 * CHOOSE(CONTROL!$C$15, $E$9, 100%, $G$9) + CHOOSE(CONTROL!$C$38, 0.0347, 0)</f>
        <v>41.832100000000004</v>
      </c>
      <c r="H578" s="14">
        <f>41.7974 * CHOOSE(CONTROL!$C$15, $E$9, 100%, $G$9) + CHOOSE(CONTROL!$C$38, 0.0347, 0)</f>
        <v>41.832100000000004</v>
      </c>
      <c r="I578" s="14">
        <f>41.799 * CHOOSE(CONTROL!$C$15, $E$9, 100%, $G$9) + CHOOSE(CONTROL!$C$38, 0.0347, 0)</f>
        <v>41.8337</v>
      </c>
      <c r="J578" s="44">
        <f>325.1086</f>
        <v>325.10860000000002</v>
      </c>
    </row>
    <row r="579" spans="1:10" ht="15.75" x14ac:dyDescent="0.25">
      <c r="A579" s="32">
        <v>58561</v>
      </c>
      <c r="B579" s="14">
        <f>43.4073 * CHOOSE(CONTROL!$C$15, $E$9, 100%, $G$9) + CHOOSE(CONTROL!$C$38, 0.0256, 0)</f>
        <v>43.432899999999997</v>
      </c>
      <c r="C579" s="14">
        <f>41.0266 * CHOOSE(CONTROL!$C$15, $E$9, 100%, $G$9) + CHOOSE(CONTROL!$C$38, 0.0347, 0)</f>
        <v>41.061300000000003</v>
      </c>
      <c r="D579" s="14">
        <f>41.0188 * CHOOSE(CONTROL!$C$15, $E$9, 100%, $G$9) + CHOOSE(CONTROL!$C$38, 0.0347, 0)</f>
        <v>41.0535</v>
      </c>
      <c r="E579" s="46">
        <f>43.2511 * CHOOSE(CONTROL!$C$15, $E$9, 100%, $G$9) + CHOOSE(CONTROL!$C$38, 0.0347, 0)</f>
        <v>43.285800000000002</v>
      </c>
      <c r="F579" s="45">
        <f>43.2511 * CHOOSE(CONTROL!$C$15, $E$9, 100%, $G$9) + CHOOSE(CONTROL!$C$38, 0.0256, 0)</f>
        <v>43.276699999999998</v>
      </c>
      <c r="G579" s="14">
        <f>41.0251 * CHOOSE(CONTROL!$C$15, $E$9, 100%, $G$9) + CHOOSE(CONTROL!$C$38, 0.0347, 0)</f>
        <v>41.059800000000003</v>
      </c>
      <c r="H579" s="14">
        <f>41.0251 * CHOOSE(CONTROL!$C$15, $E$9, 100%, $G$9) + CHOOSE(CONTROL!$C$38, 0.0347, 0)</f>
        <v>41.059800000000003</v>
      </c>
      <c r="I579" s="14">
        <f>41.0266 * CHOOSE(CONTROL!$C$15, $E$9, 100%, $G$9) + CHOOSE(CONTROL!$C$38, 0.0347, 0)</f>
        <v>41.061300000000003</v>
      </c>
      <c r="J579" s="44">
        <f>346.2162</f>
        <v>346.21620000000001</v>
      </c>
    </row>
    <row r="580" spans="1:10" ht="15.75" x14ac:dyDescent="0.25">
      <c r="A580" s="32">
        <v>58592</v>
      </c>
      <c r="B580" s="14">
        <f>42.6024 * CHOOSE(CONTROL!$C$15, $E$9, 100%, $G$9) + CHOOSE(CONTROL!$C$38, 0.0278, 0)</f>
        <v>42.630200000000002</v>
      </c>
      <c r="C580" s="14">
        <f>40.2217 * CHOOSE(CONTROL!$C$15, $E$9, 100%, $G$9) + CHOOSE(CONTROL!$C$38, 0.0369, 0)</f>
        <v>40.258600000000001</v>
      </c>
      <c r="D580" s="14">
        <f>40.2139 * CHOOSE(CONTROL!$C$15, $E$9, 100%, $G$9) + CHOOSE(CONTROL!$C$38, 0.0369, 0)</f>
        <v>40.250800000000005</v>
      </c>
      <c r="E580" s="46">
        <f>42.4461 * CHOOSE(CONTROL!$C$15, $E$9, 100%, $G$9) + CHOOSE(CONTROL!$C$38, 0.0369, 0)</f>
        <v>42.483000000000004</v>
      </c>
      <c r="F580" s="45">
        <f>42.4461 * CHOOSE(CONTROL!$C$15, $E$9, 100%, $G$9) + CHOOSE(CONTROL!$C$38, 0.0278, 0)</f>
        <v>42.4739</v>
      </c>
      <c r="G580" s="14">
        <f>40.2201 * CHOOSE(CONTROL!$C$15, $E$9, 100%, $G$9) + CHOOSE(CONTROL!$C$38, 0.0369, 0)</f>
        <v>40.257000000000005</v>
      </c>
      <c r="H580" s="14">
        <f>40.2201 * CHOOSE(CONTROL!$C$15, $E$9, 100%, $G$9) + CHOOSE(CONTROL!$C$38, 0.0369, 0)</f>
        <v>40.257000000000005</v>
      </c>
      <c r="I580" s="14">
        <f>40.2217 * CHOOSE(CONTROL!$C$15, $E$9, 100%, $G$9) + CHOOSE(CONTROL!$C$38, 0.0369, 0)</f>
        <v>40.258600000000001</v>
      </c>
      <c r="J580" s="44">
        <f>357.8346</f>
        <v>357.83460000000002</v>
      </c>
    </row>
    <row r="581" spans="1:10" ht="15.75" x14ac:dyDescent="0.25">
      <c r="A581" s="32">
        <v>58622</v>
      </c>
      <c r="B581" s="14">
        <f>42.038 * CHOOSE(CONTROL!$C$15, $E$9, 100%, $G$9) + CHOOSE(CONTROL!$C$38, 0.0278, 0)</f>
        <v>42.065799999999996</v>
      </c>
      <c r="C581" s="14">
        <f>39.6573 * CHOOSE(CONTROL!$C$15, $E$9, 100%, $G$9) + CHOOSE(CONTROL!$C$38, 0.0369, 0)</f>
        <v>39.694200000000002</v>
      </c>
      <c r="D581" s="14">
        <f>39.6495 * CHOOSE(CONTROL!$C$15, $E$9, 100%, $G$9) + CHOOSE(CONTROL!$C$38, 0.0369, 0)</f>
        <v>39.686400000000006</v>
      </c>
      <c r="E581" s="46">
        <f>41.8818 * CHOOSE(CONTROL!$C$15, $E$9, 100%, $G$9) + CHOOSE(CONTROL!$C$38, 0.0369, 0)</f>
        <v>41.918700000000001</v>
      </c>
      <c r="F581" s="45">
        <f>41.8818 * CHOOSE(CONTROL!$C$15, $E$9, 100%, $G$9) + CHOOSE(CONTROL!$C$38, 0.0278, 0)</f>
        <v>41.909599999999998</v>
      </c>
      <c r="G581" s="14">
        <f>39.6558 * CHOOSE(CONTROL!$C$15, $E$9, 100%, $G$9) + CHOOSE(CONTROL!$C$38, 0.0369, 0)</f>
        <v>39.692700000000002</v>
      </c>
      <c r="H581" s="14">
        <f>39.6558 * CHOOSE(CONTROL!$C$15, $E$9, 100%, $G$9) + CHOOSE(CONTROL!$C$38, 0.0369, 0)</f>
        <v>39.692700000000002</v>
      </c>
      <c r="I581" s="14">
        <f>39.6573 * CHOOSE(CONTROL!$C$15, $E$9, 100%, $G$9) + CHOOSE(CONTROL!$C$38, 0.0369, 0)</f>
        <v>39.694200000000002</v>
      </c>
      <c r="J581" s="44">
        <f>362.9906</f>
        <v>362.99059999999997</v>
      </c>
    </row>
    <row r="582" spans="1:10" ht="15.75" x14ac:dyDescent="0.25">
      <c r="A582" s="32">
        <v>58653</v>
      </c>
      <c r="B582" s="14">
        <f>41.716 * CHOOSE(CONTROL!$C$15, $E$9, 100%, $G$9) + CHOOSE(CONTROL!$C$38, 0.0278, 0)</f>
        <v>41.7438</v>
      </c>
      <c r="C582" s="14">
        <f>39.3353 * CHOOSE(CONTROL!$C$15, $E$9, 100%, $G$9) + CHOOSE(CONTROL!$C$38, 0.0369, 0)</f>
        <v>39.372199999999999</v>
      </c>
      <c r="D582" s="14">
        <f>39.3275 * CHOOSE(CONTROL!$C$15, $E$9, 100%, $G$9) + CHOOSE(CONTROL!$C$38, 0.0369, 0)</f>
        <v>39.364400000000003</v>
      </c>
      <c r="E582" s="46">
        <f>41.5597 * CHOOSE(CONTROL!$C$15, $E$9, 100%, $G$9) + CHOOSE(CONTROL!$C$38, 0.0369, 0)</f>
        <v>41.596600000000002</v>
      </c>
      <c r="F582" s="45">
        <f>41.5597 * CHOOSE(CONTROL!$C$15, $E$9, 100%, $G$9) + CHOOSE(CONTROL!$C$38, 0.0278, 0)</f>
        <v>41.587499999999999</v>
      </c>
      <c r="G582" s="14">
        <f>39.3337 * CHOOSE(CONTROL!$C$15, $E$9, 100%, $G$9) + CHOOSE(CONTROL!$C$38, 0.0369, 0)</f>
        <v>39.370600000000003</v>
      </c>
      <c r="H582" s="14">
        <f>39.3337 * CHOOSE(CONTROL!$C$15, $E$9, 100%, $G$9) + CHOOSE(CONTROL!$C$38, 0.0369, 0)</f>
        <v>39.370600000000003</v>
      </c>
      <c r="I582" s="14">
        <f>39.3353 * CHOOSE(CONTROL!$C$15, $E$9, 100%, $G$9) + CHOOSE(CONTROL!$C$38, 0.0369, 0)</f>
        <v>39.372199999999999</v>
      </c>
      <c r="J582" s="44">
        <f>361.293</f>
        <v>361.29300000000001</v>
      </c>
    </row>
    <row r="583" spans="1:10" ht="15.75" x14ac:dyDescent="0.25">
      <c r="A583" s="32">
        <v>58684</v>
      </c>
      <c r="B583" s="14">
        <f>41.8749 * CHOOSE(CONTROL!$C$15, $E$9, 100%, $G$9) + CHOOSE(CONTROL!$C$38, 0.0278, 0)</f>
        <v>41.902699999999996</v>
      </c>
      <c r="C583" s="14">
        <f>39.4942 * CHOOSE(CONTROL!$C$15, $E$9, 100%, $G$9) + CHOOSE(CONTROL!$C$38, 0.0369, 0)</f>
        <v>39.531100000000002</v>
      </c>
      <c r="D583" s="14">
        <f>39.4864 * CHOOSE(CONTROL!$C$15, $E$9, 100%, $G$9) + CHOOSE(CONTROL!$C$38, 0.0369, 0)</f>
        <v>39.523300000000006</v>
      </c>
      <c r="E583" s="46">
        <f>41.7187 * CHOOSE(CONTROL!$C$15, $E$9, 100%, $G$9) + CHOOSE(CONTROL!$C$38, 0.0369, 0)</f>
        <v>41.755600000000001</v>
      </c>
      <c r="F583" s="45">
        <f>41.7187 * CHOOSE(CONTROL!$C$15, $E$9, 100%, $G$9) + CHOOSE(CONTROL!$C$38, 0.0278, 0)</f>
        <v>41.746499999999997</v>
      </c>
      <c r="G583" s="14">
        <f>39.4927 * CHOOSE(CONTROL!$C$15, $E$9, 100%, $G$9) + CHOOSE(CONTROL!$C$38, 0.0369, 0)</f>
        <v>39.529600000000002</v>
      </c>
      <c r="H583" s="14">
        <f>39.4927 * CHOOSE(CONTROL!$C$15, $E$9, 100%, $G$9) + CHOOSE(CONTROL!$C$38, 0.0369, 0)</f>
        <v>39.529600000000002</v>
      </c>
      <c r="I583" s="14">
        <f>39.4942 * CHOOSE(CONTROL!$C$15, $E$9, 100%, $G$9) + CHOOSE(CONTROL!$C$38, 0.0369, 0)</f>
        <v>39.531100000000002</v>
      </c>
      <c r="J583" s="44">
        <f>352.8822</f>
        <v>352.88220000000001</v>
      </c>
    </row>
    <row r="584" spans="1:10" ht="15.75" x14ac:dyDescent="0.25">
      <c r="A584" s="32">
        <v>58714</v>
      </c>
      <c r="B584" s="14">
        <f>42.3066 * CHOOSE(CONTROL!$C$15, $E$9, 100%, $G$9) + CHOOSE(CONTROL!$C$38, 0.0278, 0)</f>
        <v>42.334400000000002</v>
      </c>
      <c r="C584" s="14">
        <f>39.9259 * CHOOSE(CONTROL!$C$15, $E$9, 100%, $G$9) + CHOOSE(CONTROL!$C$38, 0.0369, 0)</f>
        <v>39.962800000000001</v>
      </c>
      <c r="D584" s="14">
        <f>39.9181 * CHOOSE(CONTROL!$C$15, $E$9, 100%, $G$9) + CHOOSE(CONTROL!$C$38, 0.0369, 0)</f>
        <v>39.955000000000005</v>
      </c>
      <c r="E584" s="46">
        <f>42.1504 * CHOOSE(CONTROL!$C$15, $E$9, 100%, $G$9) + CHOOSE(CONTROL!$C$38, 0.0369, 0)</f>
        <v>42.1873</v>
      </c>
      <c r="F584" s="45">
        <f>42.1504 * CHOOSE(CONTROL!$C$15, $E$9, 100%, $G$9) + CHOOSE(CONTROL!$C$38, 0.0278, 0)</f>
        <v>42.178199999999997</v>
      </c>
      <c r="G584" s="14">
        <f>39.9244 * CHOOSE(CONTROL!$C$15, $E$9, 100%, $G$9) + CHOOSE(CONTROL!$C$38, 0.0369, 0)</f>
        <v>39.961300000000001</v>
      </c>
      <c r="H584" s="14">
        <f>39.9244 * CHOOSE(CONTROL!$C$15, $E$9, 100%, $G$9) + CHOOSE(CONTROL!$C$38, 0.0369, 0)</f>
        <v>39.961300000000001</v>
      </c>
      <c r="I584" s="14">
        <f>39.9259 * CHOOSE(CONTROL!$C$15, $E$9, 100%, $G$9) + CHOOSE(CONTROL!$C$38, 0.0369, 0)</f>
        <v>39.962800000000001</v>
      </c>
      <c r="J584" s="44">
        <f>341.153</f>
        <v>341.15300000000002</v>
      </c>
    </row>
    <row r="585" spans="1:10" ht="15.75" x14ac:dyDescent="0.25">
      <c r="A585" s="32">
        <v>58745</v>
      </c>
      <c r="B585" s="14">
        <f>42.6682 * CHOOSE(CONTROL!$C$15, $E$9, 100%, $G$9) + CHOOSE(CONTROL!$C$38, 0.0256, 0)</f>
        <v>42.693799999999996</v>
      </c>
      <c r="C585" s="14">
        <f>40.2875 * CHOOSE(CONTROL!$C$15, $E$9, 100%, $G$9) + CHOOSE(CONTROL!$C$38, 0.0347, 0)</f>
        <v>40.322200000000002</v>
      </c>
      <c r="D585" s="14">
        <f>40.2797 * CHOOSE(CONTROL!$C$15, $E$9, 100%, $G$9) + CHOOSE(CONTROL!$C$38, 0.0347, 0)</f>
        <v>40.314399999999999</v>
      </c>
      <c r="E585" s="46">
        <f>42.5119 * CHOOSE(CONTROL!$C$15, $E$9, 100%, $G$9) + CHOOSE(CONTROL!$C$38, 0.0347, 0)</f>
        <v>42.546599999999998</v>
      </c>
      <c r="F585" s="45">
        <f>42.5119 * CHOOSE(CONTROL!$C$15, $E$9, 100%, $G$9) + CHOOSE(CONTROL!$C$38, 0.0256, 0)</f>
        <v>42.537499999999994</v>
      </c>
      <c r="G585" s="14">
        <f>40.2859 * CHOOSE(CONTROL!$C$15, $E$9, 100%, $G$9) + CHOOSE(CONTROL!$C$38, 0.0347, 0)</f>
        <v>40.320599999999999</v>
      </c>
      <c r="H585" s="14">
        <f>40.2859 * CHOOSE(CONTROL!$C$15, $E$9, 100%, $G$9) + CHOOSE(CONTROL!$C$38, 0.0347, 0)</f>
        <v>40.320599999999999</v>
      </c>
      <c r="I585" s="14">
        <f>40.2875 * CHOOSE(CONTROL!$C$15, $E$9, 100%, $G$9) + CHOOSE(CONTROL!$C$38, 0.0347, 0)</f>
        <v>40.322200000000002</v>
      </c>
      <c r="J585" s="44">
        <f>329.3556</f>
        <v>329.35559999999998</v>
      </c>
    </row>
    <row r="586" spans="1:10" ht="15.75" x14ac:dyDescent="0.25">
      <c r="A586" s="32">
        <v>58775</v>
      </c>
      <c r="B586" s="14">
        <f>42.9699 * CHOOSE(CONTROL!$C$15, $E$9, 100%, $G$9) + CHOOSE(CONTROL!$C$38, 0.0256, 0)</f>
        <v>42.9955</v>
      </c>
      <c r="C586" s="14">
        <f>40.5892 * CHOOSE(CONTROL!$C$15, $E$9, 100%, $G$9) + CHOOSE(CONTROL!$C$38, 0.0347, 0)</f>
        <v>40.623899999999999</v>
      </c>
      <c r="D586" s="14">
        <f>40.5814 * CHOOSE(CONTROL!$C$15, $E$9, 100%, $G$9) + CHOOSE(CONTROL!$C$38, 0.0347, 0)</f>
        <v>40.616100000000003</v>
      </c>
      <c r="E586" s="46">
        <f>42.8136 * CHOOSE(CONTROL!$C$15, $E$9, 100%, $G$9) + CHOOSE(CONTROL!$C$38, 0.0347, 0)</f>
        <v>42.848300000000002</v>
      </c>
      <c r="F586" s="45">
        <f>42.8136 * CHOOSE(CONTROL!$C$15, $E$9, 100%, $G$9) + CHOOSE(CONTROL!$C$38, 0.0256, 0)</f>
        <v>42.839199999999998</v>
      </c>
      <c r="G586" s="14">
        <f>40.5877 * CHOOSE(CONTROL!$C$15, $E$9, 100%, $G$9) + CHOOSE(CONTROL!$C$38, 0.0347, 0)</f>
        <v>40.622399999999999</v>
      </c>
      <c r="H586" s="14">
        <f>40.5877 * CHOOSE(CONTROL!$C$15, $E$9, 100%, $G$9) + CHOOSE(CONTROL!$C$38, 0.0347, 0)</f>
        <v>40.622399999999999</v>
      </c>
      <c r="I586" s="14">
        <f>40.5892 * CHOOSE(CONTROL!$C$15, $E$9, 100%, $G$9) + CHOOSE(CONTROL!$C$38, 0.0347, 0)</f>
        <v>40.623899999999999</v>
      </c>
      <c r="J586" s="44">
        <f>327.0089</f>
        <v>327.00889999999998</v>
      </c>
    </row>
    <row r="587" spans="1:10" ht="15.75" x14ac:dyDescent="0.25">
      <c r="A587" s="32">
        <v>58806</v>
      </c>
      <c r="B587" s="14">
        <f>43.8996 * CHOOSE(CONTROL!$C$15, $E$9, 100%, $G$9) + CHOOSE(CONTROL!$C$38, 0.0256, 0)</f>
        <v>43.925199999999997</v>
      </c>
      <c r="C587" s="14">
        <f>41.5189 * CHOOSE(CONTROL!$C$15, $E$9, 100%, $G$9) + CHOOSE(CONTROL!$C$38, 0.0347, 0)</f>
        <v>41.553600000000003</v>
      </c>
      <c r="D587" s="14">
        <f>41.5111 * CHOOSE(CONTROL!$C$15, $E$9, 100%, $G$9) + CHOOSE(CONTROL!$C$38, 0.0347, 0)</f>
        <v>41.5458</v>
      </c>
      <c r="E587" s="46">
        <f>43.7433 * CHOOSE(CONTROL!$C$15, $E$9, 100%, $G$9) + CHOOSE(CONTROL!$C$38, 0.0347, 0)</f>
        <v>43.777999999999999</v>
      </c>
      <c r="F587" s="45">
        <f>43.7433 * CHOOSE(CONTROL!$C$15, $E$9, 100%, $G$9) + CHOOSE(CONTROL!$C$38, 0.0256, 0)</f>
        <v>43.768899999999995</v>
      </c>
      <c r="G587" s="14">
        <f>41.5173 * CHOOSE(CONTROL!$C$15, $E$9, 100%, $G$9) + CHOOSE(CONTROL!$C$38, 0.0347, 0)</f>
        <v>41.552</v>
      </c>
      <c r="H587" s="14">
        <f>41.5173 * CHOOSE(CONTROL!$C$15, $E$9, 100%, $G$9) + CHOOSE(CONTROL!$C$38, 0.0347, 0)</f>
        <v>41.552</v>
      </c>
      <c r="I587" s="14">
        <f>41.5189 * CHOOSE(CONTROL!$C$15, $E$9, 100%, $G$9) + CHOOSE(CONTROL!$C$38, 0.0347, 0)</f>
        <v>41.553600000000003</v>
      </c>
      <c r="J587" s="44">
        <f>317.3049</f>
        <v>317.30489999999998</v>
      </c>
    </row>
    <row r="588" spans="1:10" ht="15.75" x14ac:dyDescent="0.25">
      <c r="A588" s="32">
        <v>58837</v>
      </c>
      <c r="B588" s="14">
        <f>45.3462 * CHOOSE(CONTROL!$C$15, $E$9, 100%, $G$9) + CHOOSE(CONTROL!$C$38, 0.0256, 0)</f>
        <v>45.3718</v>
      </c>
      <c r="C588" s="14">
        <f>42.9281 * CHOOSE(CONTROL!$C$15, $E$9, 100%, $G$9) + CHOOSE(CONTROL!$C$38, 0.0347, 0)</f>
        <v>42.962800000000001</v>
      </c>
      <c r="D588" s="14">
        <f>42.9203 * CHOOSE(CONTROL!$C$15, $E$9, 100%, $G$9) + CHOOSE(CONTROL!$C$38, 0.0347, 0)</f>
        <v>42.954999999999998</v>
      </c>
      <c r="E588" s="46">
        <f>45.1899 * CHOOSE(CONTROL!$C$15, $E$9, 100%, $G$9) + CHOOSE(CONTROL!$C$38, 0.0347, 0)</f>
        <v>45.224600000000002</v>
      </c>
      <c r="F588" s="45">
        <f>45.1899 * CHOOSE(CONTROL!$C$15, $E$9, 100%, $G$9) + CHOOSE(CONTROL!$C$38, 0.0256, 0)</f>
        <v>45.215499999999999</v>
      </c>
      <c r="G588" s="14">
        <f>42.9265 * CHOOSE(CONTROL!$C$15, $E$9, 100%, $G$9) + CHOOSE(CONTROL!$C$38, 0.0347, 0)</f>
        <v>42.961199999999998</v>
      </c>
      <c r="H588" s="14">
        <f>42.9265 * CHOOSE(CONTROL!$C$15, $E$9, 100%, $G$9) + CHOOSE(CONTROL!$C$38, 0.0347, 0)</f>
        <v>42.961199999999998</v>
      </c>
      <c r="I588" s="14">
        <f>42.9281 * CHOOSE(CONTROL!$C$15, $E$9, 100%, $G$9) + CHOOSE(CONTROL!$C$38, 0.0347, 0)</f>
        <v>42.962800000000001</v>
      </c>
      <c r="J588" s="44">
        <f>316.8957</f>
        <v>316.89569999999998</v>
      </c>
    </row>
    <row r="589" spans="1:10" ht="15.75" x14ac:dyDescent="0.25">
      <c r="A589" s="32">
        <v>58865</v>
      </c>
      <c r="B589" s="14">
        <f>45.6905 * CHOOSE(CONTROL!$C$15, $E$9, 100%, $G$9) + CHOOSE(CONTROL!$C$38, 0.0256, 0)</f>
        <v>45.716099999999997</v>
      </c>
      <c r="C589" s="14">
        <f>43.2724 * CHOOSE(CONTROL!$C$15, $E$9, 100%, $G$9) + CHOOSE(CONTROL!$C$38, 0.0347, 0)</f>
        <v>43.307099999999998</v>
      </c>
      <c r="D589" s="14">
        <f>43.2646 * CHOOSE(CONTROL!$C$15, $E$9, 100%, $G$9) + CHOOSE(CONTROL!$C$38, 0.0347, 0)</f>
        <v>43.299300000000002</v>
      </c>
      <c r="E589" s="46">
        <f>45.5342 * CHOOSE(CONTROL!$C$15, $E$9, 100%, $G$9) + CHOOSE(CONTROL!$C$38, 0.0347, 0)</f>
        <v>45.568899999999999</v>
      </c>
      <c r="F589" s="45">
        <f>45.5342 * CHOOSE(CONTROL!$C$15, $E$9, 100%, $G$9) + CHOOSE(CONTROL!$C$38, 0.0256, 0)</f>
        <v>45.559799999999996</v>
      </c>
      <c r="G589" s="14">
        <f>43.2709 * CHOOSE(CONTROL!$C$15, $E$9, 100%, $G$9) + CHOOSE(CONTROL!$C$38, 0.0347, 0)</f>
        <v>43.305599999999998</v>
      </c>
      <c r="H589" s="14">
        <f>43.2709 * CHOOSE(CONTROL!$C$15, $E$9, 100%, $G$9) + CHOOSE(CONTROL!$C$38, 0.0347, 0)</f>
        <v>43.305599999999998</v>
      </c>
      <c r="I589" s="14">
        <f>43.2724 * CHOOSE(CONTROL!$C$15, $E$9, 100%, $G$9) + CHOOSE(CONTROL!$C$38, 0.0347, 0)</f>
        <v>43.307099999999998</v>
      </c>
      <c r="J589" s="44">
        <f>316.0148</f>
        <v>316.01479999999998</v>
      </c>
    </row>
    <row r="590" spans="1:10" ht="15.75" x14ac:dyDescent="0.25">
      <c r="A590" s="32">
        <v>58893</v>
      </c>
      <c r="B590" s="14">
        <f>44.8934 * CHOOSE(CONTROL!$C$15, $E$9, 100%, $G$9) + CHOOSE(CONTROL!$C$38, 0.0256, 0)</f>
        <v>44.918999999999997</v>
      </c>
      <c r="C590" s="14">
        <f>42.4754 * CHOOSE(CONTROL!$C$15, $E$9, 100%, $G$9) + CHOOSE(CONTROL!$C$38, 0.0347, 0)</f>
        <v>42.510100000000001</v>
      </c>
      <c r="D590" s="14">
        <f>42.4676 * CHOOSE(CONTROL!$C$15, $E$9, 100%, $G$9) + CHOOSE(CONTROL!$C$38, 0.0347, 0)</f>
        <v>42.502299999999998</v>
      </c>
      <c r="E590" s="46">
        <f>44.7372 * CHOOSE(CONTROL!$C$15, $E$9, 100%, $G$9) + CHOOSE(CONTROL!$C$38, 0.0347, 0)</f>
        <v>44.771900000000002</v>
      </c>
      <c r="F590" s="45">
        <f>44.7372 * CHOOSE(CONTROL!$C$15, $E$9, 100%, $G$9) + CHOOSE(CONTROL!$C$38, 0.0256, 0)</f>
        <v>44.762799999999999</v>
      </c>
      <c r="G590" s="14">
        <f>42.4738 * CHOOSE(CONTROL!$C$15, $E$9, 100%, $G$9) + CHOOSE(CONTROL!$C$38, 0.0347, 0)</f>
        <v>42.508499999999998</v>
      </c>
      <c r="H590" s="14">
        <f>42.4738 * CHOOSE(CONTROL!$C$15, $E$9, 100%, $G$9) + CHOOSE(CONTROL!$C$38, 0.0347, 0)</f>
        <v>42.508499999999998</v>
      </c>
      <c r="I590" s="14">
        <f>42.4754 * CHOOSE(CONTROL!$C$15, $E$9, 100%, $G$9) + CHOOSE(CONTROL!$C$38, 0.0347, 0)</f>
        <v>42.510100000000001</v>
      </c>
      <c r="J590" s="44">
        <f>332.6706</f>
        <v>332.67059999999998</v>
      </c>
    </row>
    <row r="591" spans="1:10" ht="15.75" x14ac:dyDescent="0.25">
      <c r="A591" s="32">
        <v>58926</v>
      </c>
      <c r="B591" s="14">
        <f>44.1211 * CHOOSE(CONTROL!$C$15, $E$9, 100%, $G$9) + CHOOSE(CONTROL!$C$38, 0.0256, 0)</f>
        <v>44.146699999999996</v>
      </c>
      <c r="C591" s="14">
        <f>41.7031 * CHOOSE(CONTROL!$C$15, $E$9, 100%, $G$9) + CHOOSE(CONTROL!$C$38, 0.0347, 0)</f>
        <v>41.7378</v>
      </c>
      <c r="D591" s="14">
        <f>41.6953 * CHOOSE(CONTROL!$C$15, $E$9, 100%, $G$9) + CHOOSE(CONTROL!$C$38, 0.0347, 0)</f>
        <v>41.730000000000004</v>
      </c>
      <c r="E591" s="46">
        <f>43.9649 * CHOOSE(CONTROL!$C$15, $E$9, 100%, $G$9) + CHOOSE(CONTROL!$C$38, 0.0347, 0)</f>
        <v>43.999600000000001</v>
      </c>
      <c r="F591" s="45">
        <f>43.9649 * CHOOSE(CONTROL!$C$15, $E$9, 100%, $G$9) + CHOOSE(CONTROL!$C$38, 0.0256, 0)</f>
        <v>43.990499999999997</v>
      </c>
      <c r="G591" s="14">
        <f>41.7015 * CHOOSE(CONTROL!$C$15, $E$9, 100%, $G$9) + CHOOSE(CONTROL!$C$38, 0.0347, 0)</f>
        <v>41.736200000000004</v>
      </c>
      <c r="H591" s="14">
        <f>41.7015 * CHOOSE(CONTROL!$C$15, $E$9, 100%, $G$9) + CHOOSE(CONTROL!$C$38, 0.0347, 0)</f>
        <v>41.736200000000004</v>
      </c>
      <c r="I591" s="14">
        <f>41.7031 * CHOOSE(CONTROL!$C$15, $E$9, 100%, $G$9) + CHOOSE(CONTROL!$C$38, 0.0347, 0)</f>
        <v>41.7378</v>
      </c>
      <c r="J591" s="44">
        <f>354.2692</f>
        <v>354.26920000000001</v>
      </c>
    </row>
    <row r="592" spans="1:10" ht="15.75" x14ac:dyDescent="0.25">
      <c r="A592" s="32">
        <v>58957</v>
      </c>
      <c r="B592" s="14">
        <f>43.3162 * CHOOSE(CONTROL!$C$15, $E$9, 100%, $G$9) + CHOOSE(CONTROL!$C$38, 0.0278, 0)</f>
        <v>43.344000000000001</v>
      </c>
      <c r="C592" s="14">
        <f>40.8981 * CHOOSE(CONTROL!$C$15, $E$9, 100%, $G$9) + CHOOSE(CONTROL!$C$38, 0.0369, 0)</f>
        <v>40.935000000000002</v>
      </c>
      <c r="D592" s="14">
        <f>40.8903 * CHOOSE(CONTROL!$C$15, $E$9, 100%, $G$9) + CHOOSE(CONTROL!$C$38, 0.0369, 0)</f>
        <v>40.927200000000006</v>
      </c>
      <c r="E592" s="46">
        <f>43.1599 * CHOOSE(CONTROL!$C$15, $E$9, 100%, $G$9) + CHOOSE(CONTROL!$C$38, 0.0369, 0)</f>
        <v>43.196800000000003</v>
      </c>
      <c r="F592" s="45">
        <f>43.1599 * CHOOSE(CONTROL!$C$15, $E$9, 100%, $G$9) + CHOOSE(CONTROL!$C$38, 0.0278, 0)</f>
        <v>43.1877</v>
      </c>
      <c r="G592" s="14">
        <f>40.8966 * CHOOSE(CONTROL!$C$15, $E$9, 100%, $G$9) + CHOOSE(CONTROL!$C$38, 0.0369, 0)</f>
        <v>40.933500000000002</v>
      </c>
      <c r="H592" s="14">
        <f>40.8966 * CHOOSE(CONTROL!$C$15, $E$9, 100%, $G$9) + CHOOSE(CONTROL!$C$38, 0.0369, 0)</f>
        <v>40.933500000000002</v>
      </c>
      <c r="I592" s="14">
        <f>40.8981 * CHOOSE(CONTROL!$C$15, $E$9, 100%, $G$9) + CHOOSE(CONTROL!$C$38, 0.0369, 0)</f>
        <v>40.935000000000002</v>
      </c>
      <c r="J592" s="44">
        <f>366.1578</f>
        <v>366.15780000000001</v>
      </c>
    </row>
    <row r="593" spans="1:10" ht="15.75" x14ac:dyDescent="0.25">
      <c r="A593" s="32">
        <v>58987</v>
      </c>
      <c r="B593" s="14">
        <f>42.7518 * CHOOSE(CONTROL!$C$15, $E$9, 100%, $G$9) + CHOOSE(CONTROL!$C$38, 0.0278, 0)</f>
        <v>42.779600000000002</v>
      </c>
      <c r="C593" s="14">
        <f>40.3338 * CHOOSE(CONTROL!$C$15, $E$9, 100%, $G$9) + CHOOSE(CONTROL!$C$38, 0.0369, 0)</f>
        <v>40.370699999999999</v>
      </c>
      <c r="D593" s="14">
        <f>40.326 * CHOOSE(CONTROL!$C$15, $E$9, 100%, $G$9) + CHOOSE(CONTROL!$C$38, 0.0369, 0)</f>
        <v>40.362900000000003</v>
      </c>
      <c r="E593" s="46">
        <f>42.5956 * CHOOSE(CONTROL!$C$15, $E$9, 100%, $G$9) + CHOOSE(CONTROL!$C$38, 0.0369, 0)</f>
        <v>42.6325</v>
      </c>
      <c r="F593" s="45">
        <f>42.5956 * CHOOSE(CONTROL!$C$15, $E$9, 100%, $G$9) + CHOOSE(CONTROL!$C$38, 0.0278, 0)</f>
        <v>42.623399999999997</v>
      </c>
      <c r="G593" s="14">
        <f>40.3322 * CHOOSE(CONTROL!$C$15, $E$9, 100%, $G$9) + CHOOSE(CONTROL!$C$38, 0.0369, 0)</f>
        <v>40.369100000000003</v>
      </c>
      <c r="H593" s="14">
        <f>40.3322 * CHOOSE(CONTROL!$C$15, $E$9, 100%, $G$9) + CHOOSE(CONTROL!$C$38, 0.0369, 0)</f>
        <v>40.369100000000003</v>
      </c>
      <c r="I593" s="14">
        <f>40.3338 * CHOOSE(CONTROL!$C$15, $E$9, 100%, $G$9) + CHOOSE(CONTROL!$C$38, 0.0369, 0)</f>
        <v>40.370699999999999</v>
      </c>
      <c r="J593" s="44">
        <f>371.4337</f>
        <v>371.43369999999999</v>
      </c>
    </row>
    <row r="594" spans="1:10" ht="15.75" x14ac:dyDescent="0.25">
      <c r="A594" s="32">
        <v>59018</v>
      </c>
      <c r="B594" s="14">
        <f>42.4298 * CHOOSE(CONTROL!$C$15, $E$9, 100%, $G$9) + CHOOSE(CONTROL!$C$38, 0.0278, 0)</f>
        <v>42.457599999999999</v>
      </c>
      <c r="C594" s="14">
        <f>40.0117 * CHOOSE(CONTROL!$C$15, $E$9, 100%, $G$9) + CHOOSE(CONTROL!$C$38, 0.0369, 0)</f>
        <v>40.0486</v>
      </c>
      <c r="D594" s="14">
        <f>40.0039 * CHOOSE(CONTROL!$C$15, $E$9, 100%, $G$9) + CHOOSE(CONTROL!$C$38, 0.0369, 0)</f>
        <v>40.040800000000004</v>
      </c>
      <c r="E594" s="46">
        <f>42.2735 * CHOOSE(CONTROL!$C$15, $E$9, 100%, $G$9) + CHOOSE(CONTROL!$C$38, 0.0369, 0)</f>
        <v>42.310400000000001</v>
      </c>
      <c r="F594" s="45">
        <f>42.2735 * CHOOSE(CONTROL!$C$15, $E$9, 100%, $G$9) + CHOOSE(CONTROL!$C$38, 0.0278, 0)</f>
        <v>42.301299999999998</v>
      </c>
      <c r="G594" s="14">
        <f>40.0102 * CHOOSE(CONTROL!$C$15, $E$9, 100%, $G$9) + CHOOSE(CONTROL!$C$38, 0.0369, 0)</f>
        <v>40.0471</v>
      </c>
      <c r="H594" s="14">
        <f>40.0102 * CHOOSE(CONTROL!$C$15, $E$9, 100%, $G$9) + CHOOSE(CONTROL!$C$38, 0.0369, 0)</f>
        <v>40.0471</v>
      </c>
      <c r="I594" s="14">
        <f>40.0117 * CHOOSE(CONTROL!$C$15, $E$9, 100%, $G$9) + CHOOSE(CONTROL!$C$38, 0.0369, 0)</f>
        <v>40.0486</v>
      </c>
      <c r="J594" s="44">
        <f>369.6967</f>
        <v>369.69670000000002</v>
      </c>
    </row>
    <row r="595" spans="1:10" ht="15.75" x14ac:dyDescent="0.25">
      <c r="A595" s="32">
        <v>59049</v>
      </c>
      <c r="B595" s="14">
        <f>42.5887 * CHOOSE(CONTROL!$C$15, $E$9, 100%, $G$9) + CHOOSE(CONTROL!$C$38, 0.0278, 0)</f>
        <v>42.616500000000002</v>
      </c>
      <c r="C595" s="14">
        <f>40.1707 * CHOOSE(CONTROL!$C$15, $E$9, 100%, $G$9) + CHOOSE(CONTROL!$C$38, 0.0369, 0)</f>
        <v>40.207599999999999</v>
      </c>
      <c r="D595" s="14">
        <f>40.1629 * CHOOSE(CONTROL!$C$15, $E$9, 100%, $G$9) + CHOOSE(CONTROL!$C$38, 0.0369, 0)</f>
        <v>40.199800000000003</v>
      </c>
      <c r="E595" s="46">
        <f>42.4325 * CHOOSE(CONTROL!$C$15, $E$9, 100%, $G$9) + CHOOSE(CONTROL!$C$38, 0.0369, 0)</f>
        <v>42.4694</v>
      </c>
      <c r="F595" s="45">
        <f>42.4325 * CHOOSE(CONTROL!$C$15, $E$9, 100%, $G$9) + CHOOSE(CONTROL!$C$38, 0.0278, 0)</f>
        <v>42.460299999999997</v>
      </c>
      <c r="G595" s="14">
        <f>40.1691 * CHOOSE(CONTROL!$C$15, $E$9, 100%, $G$9) + CHOOSE(CONTROL!$C$38, 0.0369, 0)</f>
        <v>40.206000000000003</v>
      </c>
      <c r="H595" s="14">
        <f>40.1691 * CHOOSE(CONTROL!$C$15, $E$9, 100%, $G$9) + CHOOSE(CONTROL!$C$38, 0.0369, 0)</f>
        <v>40.206000000000003</v>
      </c>
      <c r="I595" s="14">
        <f>40.1707 * CHOOSE(CONTROL!$C$15, $E$9, 100%, $G$9) + CHOOSE(CONTROL!$C$38, 0.0369, 0)</f>
        <v>40.207599999999999</v>
      </c>
      <c r="J595" s="44">
        <f>361.0903</f>
        <v>361.09030000000001</v>
      </c>
    </row>
    <row r="596" spans="1:10" ht="15.75" x14ac:dyDescent="0.25">
      <c r="A596" s="32">
        <v>59079</v>
      </c>
      <c r="B596" s="14">
        <f>43.0204 * CHOOSE(CONTROL!$C$15, $E$9, 100%, $G$9) + CHOOSE(CONTROL!$C$38, 0.0278, 0)</f>
        <v>43.048200000000001</v>
      </c>
      <c r="C596" s="14">
        <f>40.6024 * CHOOSE(CONTROL!$C$15, $E$9, 100%, $G$9) + CHOOSE(CONTROL!$C$38, 0.0369, 0)</f>
        <v>40.639300000000006</v>
      </c>
      <c r="D596" s="14">
        <f>40.5946 * CHOOSE(CONTROL!$C$15, $E$9, 100%, $G$9) + CHOOSE(CONTROL!$C$38, 0.0369, 0)</f>
        <v>40.631500000000003</v>
      </c>
      <c r="E596" s="46">
        <f>42.8642 * CHOOSE(CONTROL!$C$15, $E$9, 100%, $G$9) + CHOOSE(CONTROL!$C$38, 0.0369, 0)</f>
        <v>42.9011</v>
      </c>
      <c r="F596" s="45">
        <f>42.8642 * CHOOSE(CONTROL!$C$15, $E$9, 100%, $G$9) + CHOOSE(CONTROL!$C$38, 0.0278, 0)</f>
        <v>42.891999999999996</v>
      </c>
      <c r="G596" s="14">
        <f>40.6008 * CHOOSE(CONTROL!$C$15, $E$9, 100%, $G$9) + CHOOSE(CONTROL!$C$38, 0.0369, 0)</f>
        <v>40.637700000000002</v>
      </c>
      <c r="H596" s="14">
        <f>40.6008 * CHOOSE(CONTROL!$C$15, $E$9, 100%, $G$9) + CHOOSE(CONTROL!$C$38, 0.0369, 0)</f>
        <v>40.637700000000002</v>
      </c>
      <c r="I596" s="14">
        <f>40.6024 * CHOOSE(CONTROL!$C$15, $E$9, 100%, $G$9) + CHOOSE(CONTROL!$C$38, 0.0369, 0)</f>
        <v>40.639300000000006</v>
      </c>
      <c r="J596" s="44">
        <f>349.0883</f>
        <v>349.0883</v>
      </c>
    </row>
    <row r="597" spans="1:10" ht="15.75" x14ac:dyDescent="0.25">
      <c r="A597" s="32">
        <v>59110</v>
      </c>
      <c r="B597" s="14">
        <f>43.382 * CHOOSE(CONTROL!$C$15, $E$9, 100%, $G$9) + CHOOSE(CONTROL!$C$38, 0.0256, 0)</f>
        <v>43.407599999999995</v>
      </c>
      <c r="C597" s="14">
        <f>40.9639 * CHOOSE(CONTROL!$C$15, $E$9, 100%, $G$9) + CHOOSE(CONTROL!$C$38, 0.0347, 0)</f>
        <v>40.998600000000003</v>
      </c>
      <c r="D597" s="14">
        <f>40.9561 * CHOOSE(CONTROL!$C$15, $E$9, 100%, $G$9) + CHOOSE(CONTROL!$C$38, 0.0347, 0)</f>
        <v>40.9908</v>
      </c>
      <c r="E597" s="46">
        <f>43.2257 * CHOOSE(CONTROL!$C$15, $E$9, 100%, $G$9) + CHOOSE(CONTROL!$C$38, 0.0347, 0)</f>
        <v>43.260400000000004</v>
      </c>
      <c r="F597" s="45">
        <f>43.2257 * CHOOSE(CONTROL!$C$15, $E$9, 100%, $G$9) + CHOOSE(CONTROL!$C$38, 0.0256, 0)</f>
        <v>43.251300000000001</v>
      </c>
      <c r="G597" s="14">
        <f>40.9624 * CHOOSE(CONTROL!$C$15, $E$9, 100%, $G$9) + CHOOSE(CONTROL!$C$38, 0.0347, 0)</f>
        <v>40.997100000000003</v>
      </c>
      <c r="H597" s="14">
        <f>40.9624 * CHOOSE(CONTROL!$C$15, $E$9, 100%, $G$9) + CHOOSE(CONTROL!$C$38, 0.0347, 0)</f>
        <v>40.997100000000003</v>
      </c>
      <c r="I597" s="14">
        <f>40.9639 * CHOOSE(CONTROL!$C$15, $E$9, 100%, $G$9) + CHOOSE(CONTROL!$C$38, 0.0347, 0)</f>
        <v>40.998600000000003</v>
      </c>
      <c r="J597" s="44">
        <f>337.0164</f>
        <v>337.01639999999998</v>
      </c>
    </row>
    <row r="598" spans="1:10" ht="15.75" x14ac:dyDescent="0.25">
      <c r="A598" s="32">
        <v>59140</v>
      </c>
      <c r="B598" s="14">
        <f>43.6837 * CHOOSE(CONTROL!$C$15, $E$9, 100%, $G$9) + CHOOSE(CONTROL!$C$38, 0.0256, 0)</f>
        <v>43.709299999999999</v>
      </c>
      <c r="C598" s="14">
        <f>41.2656 * CHOOSE(CONTROL!$C$15, $E$9, 100%, $G$9) + CHOOSE(CONTROL!$C$38, 0.0347, 0)</f>
        <v>41.3003</v>
      </c>
      <c r="D598" s="14">
        <f>41.2578 * CHOOSE(CONTROL!$C$15, $E$9, 100%, $G$9) + CHOOSE(CONTROL!$C$38, 0.0347, 0)</f>
        <v>41.292500000000004</v>
      </c>
      <c r="E598" s="46">
        <f>43.5275 * CHOOSE(CONTROL!$C$15, $E$9, 100%, $G$9) + CHOOSE(CONTROL!$C$38, 0.0347, 0)</f>
        <v>43.562200000000004</v>
      </c>
      <c r="F598" s="45">
        <f>43.5275 * CHOOSE(CONTROL!$C$15, $E$9, 100%, $G$9) + CHOOSE(CONTROL!$C$38, 0.0256, 0)</f>
        <v>43.553100000000001</v>
      </c>
      <c r="G598" s="14">
        <f>41.2641 * CHOOSE(CONTROL!$C$15, $E$9, 100%, $G$9) + CHOOSE(CONTROL!$C$38, 0.0347, 0)</f>
        <v>41.2988</v>
      </c>
      <c r="H598" s="14">
        <f>41.2641 * CHOOSE(CONTROL!$C$15, $E$9, 100%, $G$9) + CHOOSE(CONTROL!$C$38, 0.0347, 0)</f>
        <v>41.2988</v>
      </c>
      <c r="I598" s="14">
        <f>41.2656 * CHOOSE(CONTROL!$C$15, $E$9, 100%, $G$9) + CHOOSE(CONTROL!$C$38, 0.0347, 0)</f>
        <v>41.3003</v>
      </c>
      <c r="J598" s="44">
        <f>334.6151</f>
        <v>334.61509999999998</v>
      </c>
    </row>
    <row r="599" spans="1:10" ht="15.75" x14ac:dyDescent="0.25">
      <c r="A599" s="32">
        <v>59171</v>
      </c>
      <c r="B599" s="14">
        <f>44.6134 * CHOOSE(CONTROL!$C$15, $E$9, 100%, $G$9) + CHOOSE(CONTROL!$C$38, 0.0256, 0)</f>
        <v>44.638999999999996</v>
      </c>
      <c r="C599" s="14">
        <f>42.1953 * CHOOSE(CONTROL!$C$15, $E$9, 100%, $G$9) + CHOOSE(CONTROL!$C$38, 0.0347, 0)</f>
        <v>42.230000000000004</v>
      </c>
      <c r="D599" s="14">
        <f>42.1875 * CHOOSE(CONTROL!$C$15, $E$9, 100%, $G$9) + CHOOSE(CONTROL!$C$38, 0.0347, 0)</f>
        <v>42.222200000000001</v>
      </c>
      <c r="E599" s="46">
        <f>44.4571 * CHOOSE(CONTROL!$C$15, $E$9, 100%, $G$9) + CHOOSE(CONTROL!$C$38, 0.0347, 0)</f>
        <v>44.491799999999998</v>
      </c>
      <c r="F599" s="45">
        <f>44.4571 * CHOOSE(CONTROL!$C$15, $E$9, 100%, $G$9) + CHOOSE(CONTROL!$C$38, 0.0256, 0)</f>
        <v>44.482699999999994</v>
      </c>
      <c r="G599" s="14">
        <f>42.1937 * CHOOSE(CONTROL!$C$15, $E$9, 100%, $G$9) + CHOOSE(CONTROL!$C$38, 0.0347, 0)</f>
        <v>42.228400000000001</v>
      </c>
      <c r="H599" s="14">
        <f>42.1937 * CHOOSE(CONTROL!$C$15, $E$9, 100%, $G$9) + CHOOSE(CONTROL!$C$38, 0.0347, 0)</f>
        <v>42.228400000000001</v>
      </c>
      <c r="I599" s="14">
        <f>42.1953 * CHOOSE(CONTROL!$C$15, $E$9, 100%, $G$9) + CHOOSE(CONTROL!$C$38, 0.0347, 0)</f>
        <v>42.230000000000004</v>
      </c>
      <c r="J599" s="44">
        <f>324.6854</f>
        <v>324.68540000000002</v>
      </c>
    </row>
    <row r="600" spans="1:10" ht="15.75" x14ac:dyDescent="0.25">
      <c r="A600" s="32">
        <v>59202</v>
      </c>
      <c r="B600" s="14">
        <f>41.0292 * CHOOSE(CONTROL!$C$15, $E$9, 100%, $G$9) + CHOOSE(CONTROL!$C$38, 0.0256, 0)</f>
        <v>41.0548</v>
      </c>
      <c r="C600" s="14">
        <f>38.7573 * CHOOSE(CONTROL!$C$15, $E$9, 100%, $G$9) + CHOOSE(CONTROL!$C$38, 0.0347, 0)</f>
        <v>38.792000000000002</v>
      </c>
      <c r="D600" s="14">
        <f>38.7494 * CHOOSE(CONTROL!$C$15, $E$9, 100%, $G$9) + CHOOSE(CONTROL!$C$38, 0.0347, 0)</f>
        <v>38.784100000000002</v>
      </c>
      <c r="E600" s="46">
        <f>40.873 * CHOOSE(CONTROL!$C$15, $E$9, 100%, $G$9) + CHOOSE(CONTROL!$C$38, 0.0347, 0)</f>
        <v>40.907699999999998</v>
      </c>
      <c r="F600" s="45">
        <f>40.873 * CHOOSE(CONTROL!$C$15, $E$9, 100%, $G$9) + CHOOSE(CONTROL!$C$38, 0.0256, 0)</f>
        <v>40.898599999999995</v>
      </c>
      <c r="G600" s="14">
        <f>38.7557 * CHOOSE(CONTROL!$C$15, $E$9, 100%, $G$9) + CHOOSE(CONTROL!$C$38, 0.0347, 0)</f>
        <v>38.790399999999998</v>
      </c>
      <c r="H600" s="14">
        <f>38.7557 * CHOOSE(CONTROL!$C$15, $E$9, 100%, $G$9) + CHOOSE(CONTROL!$C$38, 0.0347, 0)</f>
        <v>38.790399999999998</v>
      </c>
      <c r="I600" s="14">
        <f>38.7573 * CHOOSE(CONTROL!$C$15, $E$9, 100%, $G$9) + CHOOSE(CONTROL!$C$38, 0.0347, 0)</f>
        <v>38.792000000000002</v>
      </c>
      <c r="J600" s="44">
        <f>324.2667</f>
        <v>324.26670000000001</v>
      </c>
    </row>
    <row r="601" spans="1:10" ht="15.75" x14ac:dyDescent="0.25">
      <c r="A601" s="32">
        <v>59230</v>
      </c>
      <c r="B601" s="14">
        <f>40.9169 * CHOOSE(CONTROL!$C$15, $E$9, 100%, $G$9) + CHOOSE(CONTROL!$C$38, 0.0256, 0)</f>
        <v>40.942499999999995</v>
      </c>
      <c r="C601" s="14">
        <f>38.6508 * CHOOSE(CONTROL!$C$15, $E$9, 100%, $G$9) + CHOOSE(CONTROL!$C$38, 0.0347, 0)</f>
        <v>38.685499999999998</v>
      </c>
      <c r="D601" s="14">
        <f>38.643 * CHOOSE(CONTROL!$C$15, $E$9, 100%, $G$9) + CHOOSE(CONTROL!$C$38, 0.0347, 0)</f>
        <v>38.677700000000002</v>
      </c>
      <c r="E601" s="46">
        <f>40.7606 * CHOOSE(CONTROL!$C$15, $E$9, 100%, $G$9) + CHOOSE(CONTROL!$C$38, 0.0347, 0)</f>
        <v>40.795299999999997</v>
      </c>
      <c r="F601" s="45">
        <f>40.7606 * CHOOSE(CONTROL!$C$15, $E$9, 100%, $G$9) + CHOOSE(CONTROL!$C$38, 0.0256, 0)</f>
        <v>40.786199999999994</v>
      </c>
      <c r="G601" s="14">
        <f>38.6492 * CHOOSE(CONTROL!$C$15, $E$9, 100%, $G$9) + CHOOSE(CONTROL!$C$38, 0.0347, 0)</f>
        <v>38.683900000000001</v>
      </c>
      <c r="H601" s="14">
        <f>38.6492 * CHOOSE(CONTROL!$C$15, $E$9, 100%, $G$9) + CHOOSE(CONTROL!$C$38, 0.0347, 0)</f>
        <v>38.683900000000001</v>
      </c>
      <c r="I601" s="14">
        <f>38.6508 * CHOOSE(CONTROL!$C$15, $E$9, 100%, $G$9) + CHOOSE(CONTROL!$C$38, 0.0347, 0)</f>
        <v>38.685499999999998</v>
      </c>
      <c r="J601" s="44">
        <f>323.3653</f>
        <v>323.36529999999999</v>
      </c>
    </row>
    <row r="602" spans="1:10" ht="15.75" x14ac:dyDescent="0.25">
      <c r="A602" s="32">
        <v>59261</v>
      </c>
      <c r="B602" s="14">
        <f>43.0409 * CHOOSE(CONTROL!$C$15, $E$9, 100%, $G$9) + CHOOSE(CONTROL!$C$38, 0.0256, 0)</f>
        <v>43.066499999999998</v>
      </c>
      <c r="C602" s="14">
        <f>40.6636 * CHOOSE(CONTROL!$C$15, $E$9, 100%, $G$9) + CHOOSE(CONTROL!$C$38, 0.0347, 0)</f>
        <v>40.698300000000003</v>
      </c>
      <c r="D602" s="14">
        <f>40.6558 * CHOOSE(CONTROL!$C$15, $E$9, 100%, $G$9) + CHOOSE(CONTROL!$C$38, 0.0347, 0)</f>
        <v>40.6905</v>
      </c>
      <c r="E602" s="46">
        <f>42.8847 * CHOOSE(CONTROL!$C$15, $E$9, 100%, $G$9) + CHOOSE(CONTROL!$C$38, 0.0347, 0)</f>
        <v>42.919400000000003</v>
      </c>
      <c r="F602" s="45">
        <f>42.8847 * CHOOSE(CONTROL!$C$15, $E$9, 100%, $G$9) + CHOOSE(CONTROL!$C$38, 0.0256, 0)</f>
        <v>42.910299999999999</v>
      </c>
      <c r="G602" s="14">
        <f>40.6621 * CHOOSE(CONTROL!$C$15, $E$9, 100%, $G$9) + CHOOSE(CONTROL!$C$38, 0.0347, 0)</f>
        <v>40.696800000000003</v>
      </c>
      <c r="H602" s="14">
        <f>40.6621 * CHOOSE(CONTROL!$C$15, $E$9, 100%, $G$9) + CHOOSE(CONTROL!$C$38, 0.0347, 0)</f>
        <v>40.696800000000003</v>
      </c>
      <c r="I602" s="14">
        <f>40.6636 * CHOOSE(CONTROL!$C$15, $E$9, 100%, $G$9) + CHOOSE(CONTROL!$C$38, 0.0347, 0)</f>
        <v>40.698300000000003</v>
      </c>
      <c r="J602" s="44">
        <f>340.4085</f>
        <v>340.4085</v>
      </c>
    </row>
    <row r="603" spans="1:10" ht="15.75" x14ac:dyDescent="0.25">
      <c r="A603" s="32">
        <v>59291</v>
      </c>
      <c r="B603" s="14">
        <f>45.7953 * CHOOSE(CONTROL!$C$15, $E$9, 100%, $G$9) + CHOOSE(CONTROL!$C$38, 0.0256, 0)</f>
        <v>45.820899999999995</v>
      </c>
      <c r="C603" s="14">
        <f>43.2738 * CHOOSE(CONTROL!$C$15, $E$9, 100%, $G$9) + CHOOSE(CONTROL!$C$38, 0.0347, 0)</f>
        <v>43.308500000000002</v>
      </c>
      <c r="D603" s="14">
        <f>43.266 * CHOOSE(CONTROL!$C$15, $E$9, 100%, $G$9) + CHOOSE(CONTROL!$C$38, 0.0347, 0)</f>
        <v>43.300699999999999</v>
      </c>
      <c r="E603" s="46">
        <f>45.639 * CHOOSE(CONTROL!$C$15, $E$9, 100%, $G$9) + CHOOSE(CONTROL!$C$38, 0.0347, 0)</f>
        <v>45.673700000000004</v>
      </c>
      <c r="F603" s="45">
        <f>45.639 * CHOOSE(CONTROL!$C$15, $E$9, 100%, $G$9) + CHOOSE(CONTROL!$C$38, 0.0256, 0)</f>
        <v>45.6646</v>
      </c>
      <c r="G603" s="14">
        <f>43.2722 * CHOOSE(CONTROL!$C$15, $E$9, 100%, $G$9) + CHOOSE(CONTROL!$C$38, 0.0347, 0)</f>
        <v>43.306899999999999</v>
      </c>
      <c r="H603" s="14">
        <f>43.2722 * CHOOSE(CONTROL!$C$15, $E$9, 100%, $G$9) + CHOOSE(CONTROL!$C$38, 0.0347, 0)</f>
        <v>43.306899999999999</v>
      </c>
      <c r="I603" s="14">
        <f>43.2738 * CHOOSE(CONTROL!$C$15, $E$9, 100%, $G$9) + CHOOSE(CONTROL!$C$38, 0.0347, 0)</f>
        <v>43.308500000000002</v>
      </c>
      <c r="J603" s="44">
        <f>362.5095</f>
        <v>362.5095</v>
      </c>
    </row>
    <row r="604" spans="1:10" ht="15.75" x14ac:dyDescent="0.25">
      <c r="A604" s="32">
        <v>59322</v>
      </c>
      <c r="B604" s="14">
        <f>47.3114 * CHOOSE(CONTROL!$C$15, $E$9, 100%, $G$9) + CHOOSE(CONTROL!$C$38, 0.0278, 0)</f>
        <v>47.339199999999998</v>
      </c>
      <c r="C604" s="14">
        <f>44.7105 * CHOOSE(CONTROL!$C$15, $E$9, 100%, $G$9) + CHOOSE(CONTROL!$C$38, 0.0369, 0)</f>
        <v>44.747400000000006</v>
      </c>
      <c r="D604" s="14">
        <f>44.7027 * CHOOSE(CONTROL!$C$15, $E$9, 100%, $G$9) + CHOOSE(CONTROL!$C$38, 0.0369, 0)</f>
        <v>44.739600000000003</v>
      </c>
      <c r="E604" s="46">
        <f>47.1551 * CHOOSE(CONTROL!$C$15, $E$9, 100%, $G$9) + CHOOSE(CONTROL!$C$38, 0.0369, 0)</f>
        <v>47.192</v>
      </c>
      <c r="F604" s="45">
        <f>47.1551 * CHOOSE(CONTROL!$C$15, $E$9, 100%, $G$9) + CHOOSE(CONTROL!$C$38, 0.0278, 0)</f>
        <v>47.182899999999997</v>
      </c>
      <c r="G604" s="14">
        <f>44.7089 * CHOOSE(CONTROL!$C$15, $E$9, 100%, $G$9) + CHOOSE(CONTROL!$C$38, 0.0369, 0)</f>
        <v>44.745800000000003</v>
      </c>
      <c r="H604" s="14">
        <f>44.7089 * CHOOSE(CONTROL!$C$15, $E$9, 100%, $G$9) + CHOOSE(CONTROL!$C$38, 0.0369, 0)</f>
        <v>44.745800000000003</v>
      </c>
      <c r="I604" s="14">
        <f>44.7105 * CHOOSE(CONTROL!$C$15, $E$9, 100%, $G$9) + CHOOSE(CONTROL!$C$38, 0.0369, 0)</f>
        <v>44.747400000000006</v>
      </c>
      <c r="J604" s="44">
        <f>374.6746</f>
        <v>374.6746</v>
      </c>
    </row>
    <row r="605" spans="1:10" ht="15.75" x14ac:dyDescent="0.25">
      <c r="A605" s="32">
        <v>59352</v>
      </c>
      <c r="B605" s="14">
        <f>47.9842 * CHOOSE(CONTROL!$C$15, $E$9, 100%, $G$9) + CHOOSE(CONTROL!$C$38, 0.0278, 0)</f>
        <v>48.012</v>
      </c>
      <c r="C605" s="14">
        <f>45.3481 * CHOOSE(CONTROL!$C$15, $E$9, 100%, $G$9) + CHOOSE(CONTROL!$C$38, 0.0369, 0)</f>
        <v>45.385000000000005</v>
      </c>
      <c r="D605" s="14">
        <f>45.3403 * CHOOSE(CONTROL!$C$15, $E$9, 100%, $G$9) + CHOOSE(CONTROL!$C$38, 0.0369, 0)</f>
        <v>45.377200000000002</v>
      </c>
      <c r="E605" s="46">
        <f>47.8279 * CHOOSE(CONTROL!$C$15, $E$9, 100%, $G$9) + CHOOSE(CONTROL!$C$38, 0.0369, 0)</f>
        <v>47.864800000000002</v>
      </c>
      <c r="F605" s="45">
        <f>47.8279 * CHOOSE(CONTROL!$C$15, $E$9, 100%, $G$9) + CHOOSE(CONTROL!$C$38, 0.0278, 0)</f>
        <v>47.855699999999999</v>
      </c>
      <c r="G605" s="14">
        <f>45.3465 * CHOOSE(CONTROL!$C$15, $E$9, 100%, $G$9) + CHOOSE(CONTROL!$C$38, 0.0369, 0)</f>
        <v>45.383400000000002</v>
      </c>
      <c r="H605" s="14">
        <f>45.3465 * CHOOSE(CONTROL!$C$15, $E$9, 100%, $G$9) + CHOOSE(CONTROL!$C$38, 0.0369, 0)</f>
        <v>45.383400000000002</v>
      </c>
      <c r="I605" s="14">
        <f>45.3481 * CHOOSE(CONTROL!$C$15, $E$9, 100%, $G$9) + CHOOSE(CONTROL!$C$38, 0.0369, 0)</f>
        <v>45.385000000000005</v>
      </c>
      <c r="J605" s="44">
        <f>380.0733</f>
        <v>380.07330000000002</v>
      </c>
    </row>
    <row r="606" spans="1:10" ht="15.75" x14ac:dyDescent="0.25">
      <c r="A606" s="32">
        <v>59383</v>
      </c>
      <c r="B606" s="14">
        <f>47.7626 * CHOOSE(CONTROL!$C$15, $E$9, 100%, $G$9) + CHOOSE(CONTROL!$C$38, 0.0278, 0)</f>
        <v>47.790399999999998</v>
      </c>
      <c r="C606" s="14">
        <f>45.1382 * CHOOSE(CONTROL!$C$15, $E$9, 100%, $G$9) + CHOOSE(CONTROL!$C$38, 0.0369, 0)</f>
        <v>45.1751</v>
      </c>
      <c r="D606" s="14">
        <f>45.1304 * CHOOSE(CONTROL!$C$15, $E$9, 100%, $G$9) + CHOOSE(CONTROL!$C$38, 0.0369, 0)</f>
        <v>45.167300000000004</v>
      </c>
      <c r="E606" s="46">
        <f>47.6064 * CHOOSE(CONTROL!$C$15, $E$9, 100%, $G$9) + CHOOSE(CONTROL!$C$38, 0.0369, 0)</f>
        <v>47.643300000000004</v>
      </c>
      <c r="F606" s="45">
        <f>47.6064 * CHOOSE(CONTROL!$C$15, $E$9, 100%, $G$9) + CHOOSE(CONTROL!$C$38, 0.0278, 0)</f>
        <v>47.6342</v>
      </c>
      <c r="G606" s="14">
        <f>45.1366 * CHOOSE(CONTROL!$C$15, $E$9, 100%, $G$9) + CHOOSE(CONTROL!$C$38, 0.0369, 0)</f>
        <v>45.173500000000004</v>
      </c>
      <c r="H606" s="14">
        <f>45.1366 * CHOOSE(CONTROL!$C$15, $E$9, 100%, $G$9) + CHOOSE(CONTROL!$C$38, 0.0369, 0)</f>
        <v>45.173500000000004</v>
      </c>
      <c r="I606" s="14">
        <f>45.1382 * CHOOSE(CONTROL!$C$15, $E$9, 100%, $G$9) + CHOOSE(CONTROL!$C$38, 0.0369, 0)</f>
        <v>45.1751</v>
      </c>
      <c r="J606" s="44">
        <f>378.2958</f>
        <v>378.29579999999999</v>
      </c>
    </row>
    <row r="607" spans="1:10" ht="15.75" x14ac:dyDescent="0.25">
      <c r="A607" s="32">
        <v>59414</v>
      </c>
      <c r="B607" s="14">
        <f>46.6651 * CHOOSE(CONTROL!$C$15, $E$9, 100%, $G$9) + CHOOSE(CONTROL!$C$38, 0.0278, 0)</f>
        <v>46.692900000000002</v>
      </c>
      <c r="C607" s="14">
        <f>44.0981 * CHOOSE(CONTROL!$C$15, $E$9, 100%, $G$9) + CHOOSE(CONTROL!$C$38, 0.0369, 0)</f>
        <v>44.135000000000005</v>
      </c>
      <c r="D607" s="14">
        <f>44.0903 * CHOOSE(CONTROL!$C$15, $E$9, 100%, $G$9) + CHOOSE(CONTROL!$C$38, 0.0369, 0)</f>
        <v>44.127200000000002</v>
      </c>
      <c r="E607" s="46">
        <f>46.5089 * CHOOSE(CONTROL!$C$15, $E$9, 100%, $G$9) + CHOOSE(CONTROL!$C$38, 0.0369, 0)</f>
        <v>46.5458</v>
      </c>
      <c r="F607" s="45">
        <f>46.5089 * CHOOSE(CONTROL!$C$15, $E$9, 100%, $G$9) + CHOOSE(CONTROL!$C$38, 0.0278, 0)</f>
        <v>46.536699999999996</v>
      </c>
      <c r="G607" s="14">
        <f>44.0965 * CHOOSE(CONTROL!$C$15, $E$9, 100%, $G$9) + CHOOSE(CONTROL!$C$38, 0.0369, 0)</f>
        <v>44.133400000000002</v>
      </c>
      <c r="H607" s="14">
        <f>44.0965 * CHOOSE(CONTROL!$C$15, $E$9, 100%, $G$9) + CHOOSE(CONTROL!$C$38, 0.0369, 0)</f>
        <v>44.133400000000002</v>
      </c>
      <c r="I607" s="14">
        <f>44.0981 * CHOOSE(CONTROL!$C$15, $E$9, 100%, $G$9) + CHOOSE(CONTROL!$C$38, 0.0369, 0)</f>
        <v>44.135000000000005</v>
      </c>
      <c r="J607" s="44">
        <f>369.4892</f>
        <v>369.48919999999998</v>
      </c>
    </row>
    <row r="608" spans="1:10" ht="15.75" x14ac:dyDescent="0.25">
      <c r="A608" s="32">
        <v>59444</v>
      </c>
      <c r="B608" s="14">
        <f>45.1346 * CHOOSE(CONTROL!$C$15, $E$9, 100%, $G$9) + CHOOSE(CONTROL!$C$38, 0.0278, 0)</f>
        <v>45.162399999999998</v>
      </c>
      <c r="C608" s="14">
        <f>42.6477 * CHOOSE(CONTROL!$C$15, $E$9, 100%, $G$9) + CHOOSE(CONTROL!$C$38, 0.0369, 0)</f>
        <v>42.684600000000003</v>
      </c>
      <c r="D608" s="14">
        <f>42.6399 * CHOOSE(CONTROL!$C$15, $E$9, 100%, $G$9) + CHOOSE(CONTROL!$C$38, 0.0369, 0)</f>
        <v>42.6768</v>
      </c>
      <c r="E608" s="46">
        <f>44.9783 * CHOOSE(CONTROL!$C$15, $E$9, 100%, $G$9) + CHOOSE(CONTROL!$C$38, 0.0369, 0)</f>
        <v>45.0152</v>
      </c>
      <c r="F608" s="45">
        <f>44.9783 * CHOOSE(CONTROL!$C$15, $E$9, 100%, $G$9) + CHOOSE(CONTROL!$C$38, 0.0278, 0)</f>
        <v>45.006099999999996</v>
      </c>
      <c r="G608" s="14">
        <f>42.6461 * CHOOSE(CONTROL!$C$15, $E$9, 100%, $G$9) + CHOOSE(CONTROL!$C$38, 0.0369, 0)</f>
        <v>42.683</v>
      </c>
      <c r="H608" s="14">
        <f>42.6461 * CHOOSE(CONTROL!$C$15, $E$9, 100%, $G$9) + CHOOSE(CONTROL!$C$38, 0.0369, 0)</f>
        <v>42.683</v>
      </c>
      <c r="I608" s="14">
        <f>42.6477 * CHOOSE(CONTROL!$C$15, $E$9, 100%, $G$9) + CHOOSE(CONTROL!$C$38, 0.0369, 0)</f>
        <v>42.684600000000003</v>
      </c>
      <c r="J608" s="44">
        <f>357.2081</f>
        <v>357.2081</v>
      </c>
    </row>
    <row r="609" spans="1:10" ht="15.75" x14ac:dyDescent="0.25">
      <c r="A609" s="32">
        <v>59475</v>
      </c>
      <c r="B609" s="14">
        <f>43.5951 * CHOOSE(CONTROL!$C$15, $E$9, 100%, $G$9) + CHOOSE(CONTROL!$C$38, 0.0256, 0)</f>
        <v>43.620699999999999</v>
      </c>
      <c r="C609" s="14">
        <f>41.1888 * CHOOSE(CONTROL!$C$15, $E$9, 100%, $G$9) + CHOOSE(CONTROL!$C$38, 0.0347, 0)</f>
        <v>41.223500000000001</v>
      </c>
      <c r="D609" s="14">
        <f>41.181 * CHOOSE(CONTROL!$C$15, $E$9, 100%, $G$9) + CHOOSE(CONTROL!$C$38, 0.0347, 0)</f>
        <v>41.215699999999998</v>
      </c>
      <c r="E609" s="46">
        <f>43.4389 * CHOOSE(CONTROL!$C$15, $E$9, 100%, $G$9) + CHOOSE(CONTROL!$C$38, 0.0347, 0)</f>
        <v>43.473599999999998</v>
      </c>
      <c r="F609" s="45">
        <f>43.4389 * CHOOSE(CONTROL!$C$15, $E$9, 100%, $G$9) + CHOOSE(CONTROL!$C$38, 0.0256, 0)</f>
        <v>43.464499999999994</v>
      </c>
      <c r="G609" s="14">
        <f>41.1873 * CHOOSE(CONTROL!$C$15, $E$9, 100%, $G$9) + CHOOSE(CONTROL!$C$38, 0.0347, 0)</f>
        <v>41.222000000000001</v>
      </c>
      <c r="H609" s="14">
        <f>41.1873 * CHOOSE(CONTROL!$C$15, $E$9, 100%, $G$9) + CHOOSE(CONTROL!$C$38, 0.0347, 0)</f>
        <v>41.222000000000001</v>
      </c>
      <c r="I609" s="14">
        <f>41.1888 * CHOOSE(CONTROL!$C$15, $E$9, 100%, $G$9) + CHOOSE(CONTROL!$C$38, 0.0347, 0)</f>
        <v>41.223500000000001</v>
      </c>
      <c r="J609" s="44">
        <f>344.8554</f>
        <v>344.85539999999997</v>
      </c>
    </row>
    <row r="610" spans="1:10" ht="15.75" x14ac:dyDescent="0.25">
      <c r="A610" s="32">
        <v>59505</v>
      </c>
      <c r="B610" s="14">
        <f>43.2889 * CHOOSE(CONTROL!$C$15, $E$9, 100%, $G$9) + CHOOSE(CONTROL!$C$38, 0.0256, 0)</f>
        <v>43.314499999999995</v>
      </c>
      <c r="C610" s="14">
        <f>40.8986 * CHOOSE(CONTROL!$C$15, $E$9, 100%, $G$9) + CHOOSE(CONTROL!$C$38, 0.0347, 0)</f>
        <v>40.933300000000003</v>
      </c>
      <c r="D610" s="14">
        <f>40.8908 * CHOOSE(CONTROL!$C$15, $E$9, 100%, $G$9) + CHOOSE(CONTROL!$C$38, 0.0347, 0)</f>
        <v>40.9255</v>
      </c>
      <c r="E610" s="46">
        <f>43.1326 * CHOOSE(CONTROL!$C$15, $E$9, 100%, $G$9) + CHOOSE(CONTROL!$C$38, 0.0347, 0)</f>
        <v>43.167299999999997</v>
      </c>
      <c r="F610" s="45">
        <f>43.1326 * CHOOSE(CONTROL!$C$15, $E$9, 100%, $G$9) + CHOOSE(CONTROL!$C$38, 0.0256, 0)</f>
        <v>43.158199999999994</v>
      </c>
      <c r="G610" s="14">
        <f>40.8971 * CHOOSE(CONTROL!$C$15, $E$9, 100%, $G$9) + CHOOSE(CONTROL!$C$38, 0.0347, 0)</f>
        <v>40.931800000000003</v>
      </c>
      <c r="H610" s="14">
        <f>40.8971 * CHOOSE(CONTROL!$C$15, $E$9, 100%, $G$9) + CHOOSE(CONTROL!$C$38, 0.0347, 0)</f>
        <v>40.931800000000003</v>
      </c>
      <c r="I610" s="14">
        <f>40.8986 * CHOOSE(CONTROL!$C$15, $E$9, 100%, $G$9) + CHOOSE(CONTROL!$C$38, 0.0347, 0)</f>
        <v>40.933300000000003</v>
      </c>
      <c r="J610" s="44">
        <f>342.3982</f>
        <v>342.39819999999997</v>
      </c>
    </row>
    <row r="611" spans="1:10" ht="15.75" x14ac:dyDescent="0.25">
      <c r="A611" s="32">
        <v>59536</v>
      </c>
      <c r="B611" s="14">
        <f>42.0226 * CHOOSE(CONTROL!$C$15, $E$9, 100%, $G$9) + CHOOSE(CONTROL!$C$38, 0.0256, 0)</f>
        <v>42.048199999999994</v>
      </c>
      <c r="C611" s="14">
        <f>39.6986 * CHOOSE(CONTROL!$C$15, $E$9, 100%, $G$9) + CHOOSE(CONTROL!$C$38, 0.0347, 0)</f>
        <v>39.7333</v>
      </c>
      <c r="D611" s="14">
        <f>39.6908 * CHOOSE(CONTROL!$C$15, $E$9, 100%, $G$9) + CHOOSE(CONTROL!$C$38, 0.0347, 0)</f>
        <v>39.725500000000004</v>
      </c>
      <c r="E611" s="46">
        <f>41.8663 * CHOOSE(CONTROL!$C$15, $E$9, 100%, $G$9) + CHOOSE(CONTROL!$C$38, 0.0347, 0)</f>
        <v>41.901000000000003</v>
      </c>
      <c r="F611" s="45">
        <f>41.8663 * CHOOSE(CONTROL!$C$15, $E$9, 100%, $G$9) + CHOOSE(CONTROL!$C$38, 0.0256, 0)</f>
        <v>41.8919</v>
      </c>
      <c r="G611" s="14">
        <f>39.6971 * CHOOSE(CONTROL!$C$15, $E$9, 100%, $G$9) + CHOOSE(CONTROL!$C$38, 0.0347, 0)</f>
        <v>39.7318</v>
      </c>
      <c r="H611" s="14">
        <f>39.6971 * CHOOSE(CONTROL!$C$15, $E$9, 100%, $G$9) + CHOOSE(CONTROL!$C$38, 0.0347, 0)</f>
        <v>39.7318</v>
      </c>
      <c r="I611" s="14">
        <f>39.6986 * CHOOSE(CONTROL!$C$15, $E$9, 100%, $G$9) + CHOOSE(CONTROL!$C$38, 0.0347, 0)</f>
        <v>39.7333</v>
      </c>
      <c r="J611" s="44">
        <f>332.2376</f>
        <v>332.23759999999999</v>
      </c>
    </row>
    <row r="612" spans="1:10" ht="15.75" x14ac:dyDescent="0.25">
      <c r="A612" s="32">
        <v>59567</v>
      </c>
      <c r="B612" s="14">
        <f>41.7081 * CHOOSE(CONTROL!$C$15, $E$9, 100%, $G$9) + CHOOSE(CONTROL!$C$38, 0.0256, 0)</f>
        <v>41.733699999999999</v>
      </c>
      <c r="C612" s="14">
        <f>39.4006 * CHOOSE(CONTROL!$C$15, $E$9, 100%, $G$9) + CHOOSE(CONTROL!$C$38, 0.0347, 0)</f>
        <v>39.435299999999998</v>
      </c>
      <c r="D612" s="14">
        <f>39.3928 * CHOOSE(CONTROL!$C$15, $E$9, 100%, $G$9) + CHOOSE(CONTROL!$C$38, 0.0347, 0)</f>
        <v>39.427500000000002</v>
      </c>
      <c r="E612" s="46">
        <f>41.5519 * CHOOSE(CONTROL!$C$15, $E$9, 100%, $G$9) + CHOOSE(CONTROL!$C$38, 0.0347, 0)</f>
        <v>41.586600000000004</v>
      </c>
      <c r="F612" s="45">
        <f>41.5519 * CHOOSE(CONTROL!$C$15, $E$9, 100%, $G$9) + CHOOSE(CONTROL!$C$38, 0.0256, 0)</f>
        <v>41.577500000000001</v>
      </c>
      <c r="G612" s="14">
        <f>39.3991 * CHOOSE(CONTROL!$C$15, $E$9, 100%, $G$9) + CHOOSE(CONTROL!$C$38, 0.0347, 0)</f>
        <v>39.433799999999998</v>
      </c>
      <c r="H612" s="14">
        <f>39.3991 * CHOOSE(CONTROL!$C$15, $E$9, 100%, $G$9) + CHOOSE(CONTROL!$C$38, 0.0347, 0)</f>
        <v>39.433799999999998</v>
      </c>
      <c r="I612" s="14">
        <f>39.4006 * CHOOSE(CONTROL!$C$15, $E$9, 100%, $G$9) + CHOOSE(CONTROL!$C$38, 0.0347, 0)</f>
        <v>39.435299999999998</v>
      </c>
      <c r="J612" s="44">
        <f>331.8091</f>
        <v>331.8091</v>
      </c>
    </row>
    <row r="613" spans="1:10" ht="15.75" x14ac:dyDescent="0.25">
      <c r="A613" s="32">
        <v>59595</v>
      </c>
      <c r="B613" s="14">
        <f>41.5939 * CHOOSE(CONTROL!$C$15, $E$9, 100%, $G$9) + CHOOSE(CONTROL!$C$38, 0.0256, 0)</f>
        <v>41.619499999999995</v>
      </c>
      <c r="C613" s="14">
        <f>39.2924 * CHOOSE(CONTROL!$C$15, $E$9, 100%, $G$9) + CHOOSE(CONTROL!$C$38, 0.0347, 0)</f>
        <v>39.327100000000002</v>
      </c>
      <c r="D613" s="14">
        <f>39.2846 * CHOOSE(CONTROL!$C$15, $E$9, 100%, $G$9) + CHOOSE(CONTROL!$C$38, 0.0347, 0)</f>
        <v>39.319299999999998</v>
      </c>
      <c r="E613" s="46">
        <f>41.4377 * CHOOSE(CONTROL!$C$15, $E$9, 100%, $G$9) + CHOOSE(CONTROL!$C$38, 0.0347, 0)</f>
        <v>41.4724</v>
      </c>
      <c r="F613" s="45">
        <f>41.4377 * CHOOSE(CONTROL!$C$15, $E$9, 100%, $G$9) + CHOOSE(CONTROL!$C$38, 0.0256, 0)</f>
        <v>41.463299999999997</v>
      </c>
      <c r="G613" s="14">
        <f>39.2908 * CHOOSE(CONTROL!$C$15, $E$9, 100%, $G$9) + CHOOSE(CONTROL!$C$38, 0.0347, 0)</f>
        <v>39.325499999999998</v>
      </c>
      <c r="H613" s="14">
        <f>39.2908 * CHOOSE(CONTROL!$C$15, $E$9, 100%, $G$9) + CHOOSE(CONTROL!$C$38, 0.0347, 0)</f>
        <v>39.325499999999998</v>
      </c>
      <c r="I613" s="14">
        <f>39.2924 * CHOOSE(CONTROL!$C$15, $E$9, 100%, $G$9) + CHOOSE(CONTROL!$C$38, 0.0347, 0)</f>
        <v>39.327100000000002</v>
      </c>
      <c r="J613" s="44">
        <f>330.8868</f>
        <v>330.88679999999999</v>
      </c>
    </row>
    <row r="614" spans="1:10" ht="15.75" x14ac:dyDescent="0.25">
      <c r="A614" s="32">
        <v>59626</v>
      </c>
      <c r="B614" s="14">
        <f>43.7536 * CHOOSE(CONTROL!$C$15, $E$9, 100%, $G$9) + CHOOSE(CONTROL!$C$38, 0.0256, 0)</f>
        <v>43.779199999999996</v>
      </c>
      <c r="C614" s="14">
        <f>41.339 * CHOOSE(CONTROL!$C$15, $E$9, 100%, $G$9) + CHOOSE(CONTROL!$C$38, 0.0347, 0)</f>
        <v>41.373699999999999</v>
      </c>
      <c r="D614" s="14">
        <f>41.3312 * CHOOSE(CONTROL!$C$15, $E$9, 100%, $G$9) + CHOOSE(CONTROL!$C$38, 0.0347, 0)</f>
        <v>41.365900000000003</v>
      </c>
      <c r="E614" s="46">
        <f>43.5974 * CHOOSE(CONTROL!$C$15, $E$9, 100%, $G$9) + CHOOSE(CONTROL!$C$38, 0.0347, 0)</f>
        <v>43.632100000000001</v>
      </c>
      <c r="F614" s="45">
        <f>43.5974 * CHOOSE(CONTROL!$C$15, $E$9, 100%, $G$9) + CHOOSE(CONTROL!$C$38, 0.0256, 0)</f>
        <v>43.622999999999998</v>
      </c>
      <c r="G614" s="14">
        <f>41.3375 * CHOOSE(CONTROL!$C$15, $E$9, 100%, $G$9) + CHOOSE(CONTROL!$C$38, 0.0347, 0)</f>
        <v>41.372199999999999</v>
      </c>
      <c r="H614" s="14">
        <f>41.3375 * CHOOSE(CONTROL!$C$15, $E$9, 100%, $G$9) + CHOOSE(CONTROL!$C$38, 0.0347, 0)</f>
        <v>41.372199999999999</v>
      </c>
      <c r="I614" s="14">
        <f>41.339 * CHOOSE(CONTROL!$C$15, $E$9, 100%, $G$9) + CHOOSE(CONTROL!$C$38, 0.0347, 0)</f>
        <v>41.373699999999999</v>
      </c>
      <c r="J614" s="44">
        <f>348.3265</f>
        <v>348.32650000000001</v>
      </c>
    </row>
    <row r="615" spans="1:10" ht="15.75" x14ac:dyDescent="0.25">
      <c r="A615" s="32">
        <v>59656</v>
      </c>
      <c r="B615" s="14">
        <f>46.5543 * CHOOSE(CONTROL!$C$15, $E$9, 100%, $G$9) + CHOOSE(CONTROL!$C$38, 0.0256, 0)</f>
        <v>46.579899999999995</v>
      </c>
      <c r="C615" s="14">
        <f>43.993 * CHOOSE(CONTROL!$C$15, $E$9, 100%, $G$9) + CHOOSE(CONTROL!$C$38, 0.0347, 0)</f>
        <v>44.027700000000003</v>
      </c>
      <c r="D615" s="14">
        <f>43.9852 * CHOOSE(CONTROL!$C$15, $E$9, 100%, $G$9) + CHOOSE(CONTROL!$C$38, 0.0347, 0)</f>
        <v>44.0199</v>
      </c>
      <c r="E615" s="46">
        <f>46.398 * CHOOSE(CONTROL!$C$15, $E$9, 100%, $G$9) + CHOOSE(CONTROL!$C$38, 0.0347, 0)</f>
        <v>46.432700000000004</v>
      </c>
      <c r="F615" s="45">
        <f>46.398 * CHOOSE(CONTROL!$C$15, $E$9, 100%, $G$9) + CHOOSE(CONTROL!$C$38, 0.0256, 0)</f>
        <v>46.4236</v>
      </c>
      <c r="G615" s="14">
        <f>43.9915 * CHOOSE(CONTROL!$C$15, $E$9, 100%, $G$9) + CHOOSE(CONTROL!$C$38, 0.0347, 0)</f>
        <v>44.026200000000003</v>
      </c>
      <c r="H615" s="14">
        <f>43.9915 * CHOOSE(CONTROL!$C$15, $E$9, 100%, $G$9) + CHOOSE(CONTROL!$C$38, 0.0347, 0)</f>
        <v>44.026200000000003</v>
      </c>
      <c r="I615" s="14">
        <f>43.993 * CHOOSE(CONTROL!$C$15, $E$9, 100%, $G$9) + CHOOSE(CONTROL!$C$38, 0.0347, 0)</f>
        <v>44.027700000000003</v>
      </c>
      <c r="J615" s="44">
        <f>370.9415</f>
        <v>370.94150000000002</v>
      </c>
    </row>
    <row r="616" spans="1:10" ht="15.75" x14ac:dyDescent="0.25">
      <c r="A616" s="32">
        <v>59687</v>
      </c>
      <c r="B616" s="14">
        <f>48.0958 * CHOOSE(CONTROL!$C$15, $E$9, 100%, $G$9) + CHOOSE(CONTROL!$C$38, 0.0278, 0)</f>
        <v>48.123599999999996</v>
      </c>
      <c r="C616" s="14">
        <f>45.4539 * CHOOSE(CONTROL!$C$15, $E$9, 100%, $G$9) + CHOOSE(CONTROL!$C$38, 0.0369, 0)</f>
        <v>45.4908</v>
      </c>
      <c r="D616" s="14">
        <f>45.4461 * CHOOSE(CONTROL!$C$15, $E$9, 100%, $G$9) + CHOOSE(CONTROL!$C$38, 0.0369, 0)</f>
        <v>45.483000000000004</v>
      </c>
      <c r="E616" s="46">
        <f>47.9396 * CHOOSE(CONTROL!$C$15, $E$9, 100%, $G$9) + CHOOSE(CONTROL!$C$38, 0.0369, 0)</f>
        <v>47.976500000000001</v>
      </c>
      <c r="F616" s="45">
        <f>47.9396 * CHOOSE(CONTROL!$C$15, $E$9, 100%, $G$9) + CHOOSE(CONTROL!$C$38, 0.0278, 0)</f>
        <v>47.967399999999998</v>
      </c>
      <c r="G616" s="14">
        <f>45.4523 * CHOOSE(CONTROL!$C$15, $E$9, 100%, $G$9) + CHOOSE(CONTROL!$C$38, 0.0369, 0)</f>
        <v>45.489200000000004</v>
      </c>
      <c r="H616" s="14">
        <f>45.4523 * CHOOSE(CONTROL!$C$15, $E$9, 100%, $G$9) + CHOOSE(CONTROL!$C$38, 0.0369, 0)</f>
        <v>45.489200000000004</v>
      </c>
      <c r="I616" s="14">
        <f>45.4539 * CHOOSE(CONTROL!$C$15, $E$9, 100%, $G$9) + CHOOSE(CONTROL!$C$38, 0.0369, 0)</f>
        <v>45.4908</v>
      </c>
      <c r="J616" s="44">
        <f>383.3896</f>
        <v>383.38959999999997</v>
      </c>
    </row>
    <row r="617" spans="1:10" ht="15.75" x14ac:dyDescent="0.25">
      <c r="A617" s="32">
        <v>59717</v>
      </c>
      <c r="B617" s="14">
        <f>48.7799 * CHOOSE(CONTROL!$C$15, $E$9, 100%, $G$9) + CHOOSE(CONTROL!$C$38, 0.0278, 0)</f>
        <v>48.807699999999997</v>
      </c>
      <c r="C617" s="14">
        <f>46.1022 * CHOOSE(CONTROL!$C$15, $E$9, 100%, $G$9) + CHOOSE(CONTROL!$C$38, 0.0369, 0)</f>
        <v>46.139100000000006</v>
      </c>
      <c r="D617" s="14">
        <f>46.0944 * CHOOSE(CONTROL!$C$15, $E$9, 100%, $G$9) + CHOOSE(CONTROL!$C$38, 0.0369, 0)</f>
        <v>46.131300000000003</v>
      </c>
      <c r="E617" s="46">
        <f>48.6237 * CHOOSE(CONTROL!$C$15, $E$9, 100%, $G$9) + CHOOSE(CONTROL!$C$38, 0.0369, 0)</f>
        <v>48.660600000000002</v>
      </c>
      <c r="F617" s="45">
        <f>48.6237 * CHOOSE(CONTROL!$C$15, $E$9, 100%, $G$9) + CHOOSE(CONTROL!$C$38, 0.0278, 0)</f>
        <v>48.651499999999999</v>
      </c>
      <c r="G617" s="14">
        <f>46.1006 * CHOOSE(CONTROL!$C$15, $E$9, 100%, $G$9) + CHOOSE(CONTROL!$C$38, 0.0369, 0)</f>
        <v>46.137500000000003</v>
      </c>
      <c r="H617" s="14">
        <f>46.1006 * CHOOSE(CONTROL!$C$15, $E$9, 100%, $G$9) + CHOOSE(CONTROL!$C$38, 0.0369, 0)</f>
        <v>46.137500000000003</v>
      </c>
      <c r="I617" s="14">
        <f>46.1022 * CHOOSE(CONTROL!$C$15, $E$9, 100%, $G$9) + CHOOSE(CONTROL!$C$38, 0.0369, 0)</f>
        <v>46.139100000000006</v>
      </c>
      <c r="J617" s="44">
        <f>388.9138</f>
        <v>388.91379999999998</v>
      </c>
    </row>
    <row r="618" spans="1:10" ht="15.75" x14ac:dyDescent="0.25">
      <c r="A618" s="32">
        <v>59748</v>
      </c>
      <c r="B618" s="14">
        <f>48.5547 * CHOOSE(CONTROL!$C$15, $E$9, 100%, $G$9) + CHOOSE(CONTROL!$C$38, 0.0278, 0)</f>
        <v>48.582499999999996</v>
      </c>
      <c r="C618" s="14">
        <f>45.8887 * CHOOSE(CONTROL!$C$15, $E$9, 100%, $G$9) + CHOOSE(CONTROL!$C$38, 0.0369, 0)</f>
        <v>45.925600000000003</v>
      </c>
      <c r="D618" s="14">
        <f>45.8809 * CHOOSE(CONTROL!$C$15, $E$9, 100%, $G$9) + CHOOSE(CONTROL!$C$38, 0.0369, 0)</f>
        <v>45.9178</v>
      </c>
      <c r="E618" s="46">
        <f>48.3984 * CHOOSE(CONTROL!$C$15, $E$9, 100%, $G$9) + CHOOSE(CONTROL!$C$38, 0.0369, 0)</f>
        <v>48.435300000000005</v>
      </c>
      <c r="F618" s="45">
        <f>48.3984 * CHOOSE(CONTROL!$C$15, $E$9, 100%, $G$9) + CHOOSE(CONTROL!$C$38, 0.0278, 0)</f>
        <v>48.426200000000001</v>
      </c>
      <c r="G618" s="14">
        <f>45.8872 * CHOOSE(CONTROL!$C$15, $E$9, 100%, $G$9) + CHOOSE(CONTROL!$C$38, 0.0369, 0)</f>
        <v>45.924100000000003</v>
      </c>
      <c r="H618" s="14">
        <f>45.8872 * CHOOSE(CONTROL!$C$15, $E$9, 100%, $G$9) + CHOOSE(CONTROL!$C$38, 0.0369, 0)</f>
        <v>45.924100000000003</v>
      </c>
      <c r="I618" s="14">
        <f>45.8887 * CHOOSE(CONTROL!$C$15, $E$9, 100%, $G$9) + CHOOSE(CONTROL!$C$38, 0.0369, 0)</f>
        <v>45.925600000000003</v>
      </c>
      <c r="J618" s="44">
        <f>387.095</f>
        <v>387.09500000000003</v>
      </c>
    </row>
    <row r="619" spans="1:10" ht="15.75" x14ac:dyDescent="0.25">
      <c r="A619" s="32">
        <v>59779</v>
      </c>
      <c r="B619" s="14">
        <f>47.4387 * CHOOSE(CONTROL!$C$15, $E$9, 100%, $G$9) + CHOOSE(CONTROL!$C$38, 0.0278, 0)</f>
        <v>47.466499999999996</v>
      </c>
      <c r="C619" s="14">
        <f>44.8312 * CHOOSE(CONTROL!$C$15, $E$9, 100%, $G$9) + CHOOSE(CONTROL!$C$38, 0.0369, 0)</f>
        <v>44.868100000000005</v>
      </c>
      <c r="D619" s="14">
        <f>44.8234 * CHOOSE(CONTROL!$C$15, $E$9, 100%, $G$9) + CHOOSE(CONTROL!$C$38, 0.0369, 0)</f>
        <v>44.860300000000002</v>
      </c>
      <c r="E619" s="46">
        <f>47.2825 * CHOOSE(CONTROL!$C$15, $E$9, 100%, $G$9) + CHOOSE(CONTROL!$C$38, 0.0369, 0)</f>
        <v>47.319400000000002</v>
      </c>
      <c r="F619" s="45">
        <f>47.2825 * CHOOSE(CONTROL!$C$15, $E$9, 100%, $G$9) + CHOOSE(CONTROL!$C$38, 0.0278, 0)</f>
        <v>47.310299999999998</v>
      </c>
      <c r="G619" s="14">
        <f>44.8296 * CHOOSE(CONTROL!$C$15, $E$9, 100%, $G$9) + CHOOSE(CONTROL!$C$38, 0.0369, 0)</f>
        <v>44.866500000000002</v>
      </c>
      <c r="H619" s="14">
        <f>44.8296 * CHOOSE(CONTROL!$C$15, $E$9, 100%, $G$9) + CHOOSE(CONTROL!$C$38, 0.0369, 0)</f>
        <v>44.866500000000002</v>
      </c>
      <c r="I619" s="14">
        <f>44.8312 * CHOOSE(CONTROL!$C$15, $E$9, 100%, $G$9) + CHOOSE(CONTROL!$C$38, 0.0369, 0)</f>
        <v>44.868100000000005</v>
      </c>
      <c r="J619" s="44">
        <f>378.0836</f>
        <v>378.08359999999999</v>
      </c>
    </row>
    <row r="620" spans="1:10" ht="15.75" x14ac:dyDescent="0.25">
      <c r="A620" s="32">
        <v>59809</v>
      </c>
      <c r="B620" s="14">
        <f>45.8824 * CHOOSE(CONTROL!$C$15, $E$9, 100%, $G$9) + CHOOSE(CONTROL!$C$38, 0.0278, 0)</f>
        <v>45.910199999999996</v>
      </c>
      <c r="C620" s="14">
        <f>43.3564 * CHOOSE(CONTROL!$C$15, $E$9, 100%, $G$9) + CHOOSE(CONTROL!$C$38, 0.0369, 0)</f>
        <v>43.393300000000004</v>
      </c>
      <c r="D620" s="14">
        <f>43.3486 * CHOOSE(CONTROL!$C$15, $E$9, 100%, $G$9) + CHOOSE(CONTROL!$C$38, 0.0369, 0)</f>
        <v>43.3855</v>
      </c>
      <c r="E620" s="46">
        <f>45.7262 * CHOOSE(CONTROL!$C$15, $E$9, 100%, $G$9) + CHOOSE(CONTROL!$C$38, 0.0369, 0)</f>
        <v>45.763100000000001</v>
      </c>
      <c r="F620" s="45">
        <f>45.7262 * CHOOSE(CONTROL!$C$15, $E$9, 100%, $G$9) + CHOOSE(CONTROL!$C$38, 0.0278, 0)</f>
        <v>45.753999999999998</v>
      </c>
      <c r="G620" s="14">
        <f>43.3548 * CHOOSE(CONTROL!$C$15, $E$9, 100%, $G$9) + CHOOSE(CONTROL!$C$38, 0.0369, 0)</f>
        <v>43.3917</v>
      </c>
      <c r="H620" s="14">
        <f>43.3548 * CHOOSE(CONTROL!$C$15, $E$9, 100%, $G$9) + CHOOSE(CONTROL!$C$38, 0.0369, 0)</f>
        <v>43.3917</v>
      </c>
      <c r="I620" s="14">
        <f>43.3564 * CHOOSE(CONTROL!$C$15, $E$9, 100%, $G$9) + CHOOSE(CONTROL!$C$38, 0.0369, 0)</f>
        <v>43.393300000000004</v>
      </c>
      <c r="J620" s="44">
        <f>365.5167</f>
        <v>365.51670000000001</v>
      </c>
    </row>
    <row r="621" spans="1:10" ht="15.75" x14ac:dyDescent="0.25">
      <c r="A621" s="32">
        <v>59840</v>
      </c>
      <c r="B621" s="14">
        <f>44.3171 * CHOOSE(CONTROL!$C$15, $E$9, 100%, $G$9) + CHOOSE(CONTROL!$C$38, 0.0256, 0)</f>
        <v>44.342700000000001</v>
      </c>
      <c r="C621" s="14">
        <f>41.873 * CHOOSE(CONTROL!$C$15, $E$9, 100%, $G$9) + CHOOSE(CONTROL!$C$38, 0.0347, 0)</f>
        <v>41.907699999999998</v>
      </c>
      <c r="D621" s="14">
        <f>41.8652 * CHOOSE(CONTROL!$C$15, $E$9, 100%, $G$9) + CHOOSE(CONTROL!$C$38, 0.0347, 0)</f>
        <v>41.899900000000002</v>
      </c>
      <c r="E621" s="46">
        <f>44.1609 * CHOOSE(CONTROL!$C$15, $E$9, 100%, $G$9) + CHOOSE(CONTROL!$C$38, 0.0347, 0)</f>
        <v>44.195599999999999</v>
      </c>
      <c r="F621" s="45">
        <f>44.1609 * CHOOSE(CONTROL!$C$15, $E$9, 100%, $G$9) + CHOOSE(CONTROL!$C$38, 0.0256, 0)</f>
        <v>44.186499999999995</v>
      </c>
      <c r="G621" s="14">
        <f>41.8715 * CHOOSE(CONTROL!$C$15, $E$9, 100%, $G$9) + CHOOSE(CONTROL!$C$38, 0.0347, 0)</f>
        <v>41.906199999999998</v>
      </c>
      <c r="H621" s="14">
        <f>41.8715 * CHOOSE(CONTROL!$C$15, $E$9, 100%, $G$9) + CHOOSE(CONTROL!$C$38, 0.0347, 0)</f>
        <v>41.906199999999998</v>
      </c>
      <c r="I621" s="14">
        <f>41.873 * CHOOSE(CONTROL!$C$15, $E$9, 100%, $G$9) + CHOOSE(CONTROL!$C$38, 0.0347, 0)</f>
        <v>41.907699999999998</v>
      </c>
      <c r="J621" s="44">
        <f>352.8768</f>
        <v>352.8768</v>
      </c>
    </row>
    <row r="622" spans="1:10" ht="15.75" x14ac:dyDescent="0.25">
      <c r="A622" s="32">
        <v>59870</v>
      </c>
      <c r="B622" s="14">
        <f>44.0058 * CHOOSE(CONTROL!$C$15, $E$9, 100%, $G$9) + CHOOSE(CONTROL!$C$38, 0.0256, 0)</f>
        <v>44.031399999999998</v>
      </c>
      <c r="C622" s="14">
        <f>41.578 * CHOOSE(CONTROL!$C$15, $E$9, 100%, $G$9) + CHOOSE(CONTROL!$C$38, 0.0347, 0)</f>
        <v>41.612700000000004</v>
      </c>
      <c r="D622" s="14">
        <f>41.5702 * CHOOSE(CONTROL!$C$15, $E$9, 100%, $G$9) + CHOOSE(CONTROL!$C$38, 0.0347, 0)</f>
        <v>41.604900000000001</v>
      </c>
      <c r="E622" s="46">
        <f>43.8495 * CHOOSE(CONTROL!$C$15, $E$9, 100%, $G$9) + CHOOSE(CONTROL!$C$38, 0.0347, 0)</f>
        <v>43.8842</v>
      </c>
      <c r="F622" s="45">
        <f>43.8495 * CHOOSE(CONTROL!$C$15, $E$9, 100%, $G$9) + CHOOSE(CONTROL!$C$38, 0.0256, 0)</f>
        <v>43.875099999999996</v>
      </c>
      <c r="G622" s="14">
        <f>41.5764 * CHOOSE(CONTROL!$C$15, $E$9, 100%, $G$9) + CHOOSE(CONTROL!$C$38, 0.0347, 0)</f>
        <v>41.6111</v>
      </c>
      <c r="H622" s="14">
        <f>41.5764 * CHOOSE(CONTROL!$C$15, $E$9, 100%, $G$9) + CHOOSE(CONTROL!$C$38, 0.0347, 0)</f>
        <v>41.6111</v>
      </c>
      <c r="I622" s="14">
        <f>41.578 * CHOOSE(CONTROL!$C$15, $E$9, 100%, $G$9) + CHOOSE(CONTROL!$C$38, 0.0347, 0)</f>
        <v>41.612700000000004</v>
      </c>
      <c r="J622" s="44">
        <f>350.3624</f>
        <v>350.36239999999998</v>
      </c>
    </row>
    <row r="623" spans="1:10" ht="15.75" x14ac:dyDescent="0.25">
      <c r="A623" s="32">
        <v>59901</v>
      </c>
      <c r="B623" s="14">
        <f>42.7182 * CHOOSE(CONTROL!$C$15, $E$9, 100%, $G$9) + CHOOSE(CONTROL!$C$38, 0.0256, 0)</f>
        <v>42.7438</v>
      </c>
      <c r="C623" s="14">
        <f>40.3578 * CHOOSE(CONTROL!$C$15, $E$9, 100%, $G$9) + CHOOSE(CONTROL!$C$38, 0.0347, 0)</f>
        <v>40.392499999999998</v>
      </c>
      <c r="D623" s="14">
        <f>40.35 * CHOOSE(CONTROL!$C$15, $E$9, 100%, $G$9) + CHOOSE(CONTROL!$C$38, 0.0347, 0)</f>
        <v>40.384700000000002</v>
      </c>
      <c r="E623" s="46">
        <f>42.5619 * CHOOSE(CONTROL!$C$15, $E$9, 100%, $G$9) + CHOOSE(CONTROL!$C$38, 0.0347, 0)</f>
        <v>42.596600000000002</v>
      </c>
      <c r="F623" s="45">
        <f>42.5619 * CHOOSE(CONTROL!$C$15, $E$9, 100%, $G$9) + CHOOSE(CONTROL!$C$38, 0.0256, 0)</f>
        <v>42.587499999999999</v>
      </c>
      <c r="G623" s="14">
        <f>40.3562 * CHOOSE(CONTROL!$C$15, $E$9, 100%, $G$9) + CHOOSE(CONTROL!$C$38, 0.0347, 0)</f>
        <v>40.390900000000002</v>
      </c>
      <c r="H623" s="14">
        <f>40.3562 * CHOOSE(CONTROL!$C$15, $E$9, 100%, $G$9) + CHOOSE(CONTROL!$C$38, 0.0347, 0)</f>
        <v>40.390900000000002</v>
      </c>
      <c r="I623" s="14">
        <f>40.3578 * CHOOSE(CONTROL!$C$15, $E$9, 100%, $G$9) + CHOOSE(CONTROL!$C$38, 0.0347, 0)</f>
        <v>40.392499999999998</v>
      </c>
      <c r="J623" s="44">
        <f>339.9654</f>
        <v>339.96539999999999</v>
      </c>
    </row>
    <row r="624" spans="1:10" ht="15.75" x14ac:dyDescent="0.25">
      <c r="A624" s="32">
        <v>59932</v>
      </c>
      <c r="B624" s="14">
        <f>42.3984 * CHOOSE(CONTROL!$C$15, $E$9, 100%, $G$9) + CHOOSE(CONTROL!$C$38, 0.0256, 0)</f>
        <v>42.423999999999999</v>
      </c>
      <c r="C624" s="14">
        <f>40.0548 * CHOOSE(CONTROL!$C$15, $E$9, 100%, $G$9) + CHOOSE(CONTROL!$C$38, 0.0347, 0)</f>
        <v>40.089500000000001</v>
      </c>
      <c r="D624" s="14">
        <f>40.047 * CHOOSE(CONTROL!$C$15, $E$9, 100%, $G$9) + CHOOSE(CONTROL!$C$38, 0.0347, 0)</f>
        <v>40.081699999999998</v>
      </c>
      <c r="E624" s="46">
        <f>42.2422 * CHOOSE(CONTROL!$C$15, $E$9, 100%, $G$9) + CHOOSE(CONTROL!$C$38, 0.0347, 0)</f>
        <v>42.276899999999998</v>
      </c>
      <c r="F624" s="45">
        <f>42.2422 * CHOOSE(CONTROL!$C$15, $E$9, 100%, $G$9) + CHOOSE(CONTROL!$C$38, 0.0256, 0)</f>
        <v>42.267799999999994</v>
      </c>
      <c r="G624" s="14">
        <f>40.0532 * CHOOSE(CONTROL!$C$15, $E$9, 100%, $G$9) + CHOOSE(CONTROL!$C$38, 0.0347, 0)</f>
        <v>40.087899999999998</v>
      </c>
      <c r="H624" s="14">
        <f>40.0532 * CHOOSE(CONTROL!$C$15, $E$9, 100%, $G$9) + CHOOSE(CONTROL!$C$38, 0.0347, 0)</f>
        <v>40.087899999999998</v>
      </c>
      <c r="I624" s="14">
        <f>40.0548 * CHOOSE(CONTROL!$C$15, $E$9, 100%, $G$9) + CHOOSE(CONTROL!$C$38, 0.0347, 0)</f>
        <v>40.089500000000001</v>
      </c>
      <c r="J624" s="44">
        <f>339.527</f>
        <v>339.52699999999999</v>
      </c>
    </row>
    <row r="625" spans="1:10" ht="15.75" x14ac:dyDescent="0.25">
      <c r="A625" s="32">
        <v>59961</v>
      </c>
      <c r="B625" s="14">
        <f>42.2823 * CHOOSE(CONTROL!$C$15, $E$9, 100%, $G$9) + CHOOSE(CONTROL!$C$38, 0.0256, 0)</f>
        <v>42.307899999999997</v>
      </c>
      <c r="C625" s="14">
        <f>39.9447 * CHOOSE(CONTROL!$C$15, $E$9, 100%, $G$9) + CHOOSE(CONTROL!$C$38, 0.0347, 0)</f>
        <v>39.979399999999998</v>
      </c>
      <c r="D625" s="14">
        <f>39.9369 * CHOOSE(CONTROL!$C$15, $E$9, 100%, $G$9) + CHOOSE(CONTROL!$C$38, 0.0347, 0)</f>
        <v>39.971600000000002</v>
      </c>
      <c r="E625" s="46">
        <f>42.1261 * CHOOSE(CONTROL!$C$15, $E$9, 100%, $G$9) + CHOOSE(CONTROL!$C$38, 0.0347, 0)</f>
        <v>42.160800000000002</v>
      </c>
      <c r="F625" s="45">
        <f>42.1261 * CHOOSE(CONTROL!$C$15, $E$9, 100%, $G$9) + CHOOSE(CONTROL!$C$38, 0.0256, 0)</f>
        <v>42.151699999999998</v>
      </c>
      <c r="G625" s="14">
        <f>39.9432 * CHOOSE(CONTROL!$C$15, $E$9, 100%, $G$9) + CHOOSE(CONTROL!$C$38, 0.0347, 0)</f>
        <v>39.977899999999998</v>
      </c>
      <c r="H625" s="14">
        <f>39.9432 * CHOOSE(CONTROL!$C$15, $E$9, 100%, $G$9) + CHOOSE(CONTROL!$C$38, 0.0347, 0)</f>
        <v>39.977899999999998</v>
      </c>
      <c r="I625" s="14">
        <f>39.9447 * CHOOSE(CONTROL!$C$15, $E$9, 100%, $G$9) + CHOOSE(CONTROL!$C$38, 0.0347, 0)</f>
        <v>39.979399999999998</v>
      </c>
      <c r="J625" s="44">
        <f>338.5832</f>
        <v>338.58319999999998</v>
      </c>
    </row>
    <row r="626" spans="1:10" ht="15.75" x14ac:dyDescent="0.25">
      <c r="A626" s="32">
        <v>59992</v>
      </c>
      <c r="B626" s="14">
        <f>44.4783 * CHOOSE(CONTROL!$C$15, $E$9, 100%, $G$9) + CHOOSE(CONTROL!$C$38, 0.0256, 0)</f>
        <v>44.503899999999994</v>
      </c>
      <c r="C626" s="14">
        <f>42.0258 * CHOOSE(CONTROL!$C$15, $E$9, 100%, $G$9) + CHOOSE(CONTROL!$C$38, 0.0347, 0)</f>
        <v>42.060499999999998</v>
      </c>
      <c r="D626" s="14">
        <f>42.018 * CHOOSE(CONTROL!$C$15, $E$9, 100%, $G$9) + CHOOSE(CONTROL!$C$38, 0.0347, 0)</f>
        <v>42.052700000000002</v>
      </c>
      <c r="E626" s="46">
        <f>44.3221 * CHOOSE(CONTROL!$C$15, $E$9, 100%, $G$9) + CHOOSE(CONTROL!$C$38, 0.0347, 0)</f>
        <v>44.3568</v>
      </c>
      <c r="F626" s="45">
        <f>44.3221 * CHOOSE(CONTROL!$C$15, $E$9, 100%, $G$9) + CHOOSE(CONTROL!$C$38, 0.0256, 0)</f>
        <v>44.347699999999996</v>
      </c>
      <c r="G626" s="14">
        <f>42.0242 * CHOOSE(CONTROL!$C$15, $E$9, 100%, $G$9) + CHOOSE(CONTROL!$C$38, 0.0347, 0)</f>
        <v>42.058900000000001</v>
      </c>
      <c r="H626" s="14">
        <f>42.0242 * CHOOSE(CONTROL!$C$15, $E$9, 100%, $G$9) + CHOOSE(CONTROL!$C$38, 0.0347, 0)</f>
        <v>42.058900000000001</v>
      </c>
      <c r="I626" s="14">
        <f>42.0258 * CHOOSE(CONTROL!$C$15, $E$9, 100%, $G$9) + CHOOSE(CONTROL!$C$38, 0.0347, 0)</f>
        <v>42.060499999999998</v>
      </c>
      <c r="J626" s="44">
        <f>356.4285</f>
        <v>356.42849999999999</v>
      </c>
    </row>
    <row r="627" spans="1:10" ht="15.75" x14ac:dyDescent="0.25">
      <c r="A627" s="32">
        <v>60022</v>
      </c>
      <c r="B627" s="14">
        <f>47.326 * CHOOSE(CONTROL!$C$15, $E$9, 100%, $G$9) + CHOOSE(CONTROL!$C$38, 0.0256, 0)</f>
        <v>47.351599999999998</v>
      </c>
      <c r="C627" s="14">
        <f>44.7244 * CHOOSE(CONTROL!$C$15, $E$9, 100%, $G$9) + CHOOSE(CONTROL!$C$38, 0.0347, 0)</f>
        <v>44.759100000000004</v>
      </c>
      <c r="D627" s="14">
        <f>44.7166 * CHOOSE(CONTROL!$C$15, $E$9, 100%, $G$9) + CHOOSE(CONTROL!$C$38, 0.0347, 0)</f>
        <v>44.751300000000001</v>
      </c>
      <c r="E627" s="46">
        <f>47.1697 * CHOOSE(CONTROL!$C$15, $E$9, 100%, $G$9) + CHOOSE(CONTROL!$C$38, 0.0347, 0)</f>
        <v>47.2044</v>
      </c>
      <c r="F627" s="45">
        <f>47.1697 * CHOOSE(CONTROL!$C$15, $E$9, 100%, $G$9) + CHOOSE(CONTROL!$C$38, 0.0256, 0)</f>
        <v>47.195299999999996</v>
      </c>
      <c r="G627" s="14">
        <f>44.7228 * CHOOSE(CONTROL!$C$15, $E$9, 100%, $G$9) + CHOOSE(CONTROL!$C$38, 0.0347, 0)</f>
        <v>44.7575</v>
      </c>
      <c r="H627" s="14">
        <f>44.7228 * CHOOSE(CONTROL!$C$15, $E$9, 100%, $G$9) + CHOOSE(CONTROL!$C$38, 0.0347, 0)</f>
        <v>44.7575</v>
      </c>
      <c r="I627" s="14">
        <f>44.7244 * CHOOSE(CONTROL!$C$15, $E$9, 100%, $G$9) + CHOOSE(CONTROL!$C$38, 0.0347, 0)</f>
        <v>44.759100000000004</v>
      </c>
      <c r="J627" s="44">
        <f>379.5696</f>
        <v>379.56959999999998</v>
      </c>
    </row>
    <row r="628" spans="1:10" ht="15.75" x14ac:dyDescent="0.25">
      <c r="A628" s="32">
        <v>60053</v>
      </c>
      <c r="B628" s="14">
        <f>48.8934 * CHOOSE(CONTROL!$C$15, $E$9, 100%, $G$9) + CHOOSE(CONTROL!$C$38, 0.0278, 0)</f>
        <v>48.921199999999999</v>
      </c>
      <c r="C628" s="14">
        <f>46.2098 * CHOOSE(CONTROL!$C$15, $E$9, 100%, $G$9) + CHOOSE(CONTROL!$C$38, 0.0369, 0)</f>
        <v>46.246700000000004</v>
      </c>
      <c r="D628" s="14">
        <f>46.2019 * CHOOSE(CONTROL!$C$15, $E$9, 100%, $G$9) + CHOOSE(CONTROL!$C$38, 0.0369, 0)</f>
        <v>46.238800000000005</v>
      </c>
      <c r="E628" s="46">
        <f>48.7372 * CHOOSE(CONTROL!$C$15, $E$9, 100%, $G$9) + CHOOSE(CONTROL!$C$38, 0.0369, 0)</f>
        <v>48.774100000000004</v>
      </c>
      <c r="F628" s="45">
        <f>48.7372 * CHOOSE(CONTROL!$C$15, $E$9, 100%, $G$9) + CHOOSE(CONTROL!$C$38, 0.0278, 0)</f>
        <v>48.765000000000001</v>
      </c>
      <c r="G628" s="14">
        <f>46.2082 * CHOOSE(CONTROL!$C$15, $E$9, 100%, $G$9) + CHOOSE(CONTROL!$C$38, 0.0369, 0)</f>
        <v>46.245100000000001</v>
      </c>
      <c r="H628" s="14">
        <f>46.2082 * CHOOSE(CONTROL!$C$15, $E$9, 100%, $G$9) + CHOOSE(CONTROL!$C$38, 0.0369, 0)</f>
        <v>46.245100000000001</v>
      </c>
      <c r="I628" s="14">
        <f>46.2098 * CHOOSE(CONTROL!$C$15, $E$9, 100%, $G$9) + CHOOSE(CONTROL!$C$38, 0.0369, 0)</f>
        <v>46.246700000000004</v>
      </c>
      <c r="J628" s="44">
        <f>392.3072</f>
        <v>392.30720000000002</v>
      </c>
    </row>
    <row r="629" spans="1:10" ht="15.75" x14ac:dyDescent="0.25">
      <c r="A629" s="32">
        <v>60083</v>
      </c>
      <c r="B629" s="14">
        <f>49.589 * CHOOSE(CONTROL!$C$15, $E$9, 100%, $G$9) + CHOOSE(CONTROL!$C$38, 0.0278, 0)</f>
        <v>49.616799999999998</v>
      </c>
      <c r="C629" s="14">
        <f>46.8689 * CHOOSE(CONTROL!$C$15, $E$9, 100%, $G$9) + CHOOSE(CONTROL!$C$38, 0.0369, 0)</f>
        <v>46.905799999999999</v>
      </c>
      <c r="D629" s="14">
        <f>46.8611 * CHOOSE(CONTROL!$C$15, $E$9, 100%, $G$9) + CHOOSE(CONTROL!$C$38, 0.0369, 0)</f>
        <v>46.898000000000003</v>
      </c>
      <c r="E629" s="46">
        <f>49.4328 * CHOOSE(CONTROL!$C$15, $E$9, 100%, $G$9) + CHOOSE(CONTROL!$C$38, 0.0369, 0)</f>
        <v>49.469700000000003</v>
      </c>
      <c r="F629" s="45">
        <f>49.4328 * CHOOSE(CONTROL!$C$15, $E$9, 100%, $G$9) + CHOOSE(CONTROL!$C$38, 0.0278, 0)</f>
        <v>49.460599999999999</v>
      </c>
      <c r="G629" s="14">
        <f>46.8674 * CHOOSE(CONTROL!$C$15, $E$9, 100%, $G$9) + CHOOSE(CONTROL!$C$38, 0.0369, 0)</f>
        <v>46.904300000000006</v>
      </c>
      <c r="H629" s="14">
        <f>46.8674 * CHOOSE(CONTROL!$C$15, $E$9, 100%, $G$9) + CHOOSE(CONTROL!$C$38, 0.0369, 0)</f>
        <v>46.904300000000006</v>
      </c>
      <c r="I629" s="14">
        <f>46.8689 * CHOOSE(CONTROL!$C$15, $E$9, 100%, $G$9) + CHOOSE(CONTROL!$C$38, 0.0369, 0)</f>
        <v>46.905799999999999</v>
      </c>
      <c r="J629" s="44">
        <f>397.9599</f>
        <v>397.9599</v>
      </c>
    </row>
    <row r="630" spans="1:10" ht="15.75" x14ac:dyDescent="0.25">
      <c r="A630" s="32">
        <v>60114</v>
      </c>
      <c r="B630" s="14">
        <f>49.36 * CHOOSE(CONTROL!$C$15, $E$9, 100%, $G$9) + CHOOSE(CONTROL!$C$38, 0.0278, 0)</f>
        <v>49.387799999999999</v>
      </c>
      <c r="C630" s="14">
        <f>46.6519 * CHOOSE(CONTROL!$C$15, $E$9, 100%, $G$9) + CHOOSE(CONTROL!$C$38, 0.0369, 0)</f>
        <v>46.688800000000001</v>
      </c>
      <c r="D630" s="14">
        <f>46.6441 * CHOOSE(CONTROL!$C$15, $E$9, 100%, $G$9) + CHOOSE(CONTROL!$C$38, 0.0369, 0)</f>
        <v>46.681000000000004</v>
      </c>
      <c r="E630" s="46">
        <f>49.2038 * CHOOSE(CONTROL!$C$15, $E$9, 100%, $G$9) + CHOOSE(CONTROL!$C$38, 0.0369, 0)</f>
        <v>49.240700000000004</v>
      </c>
      <c r="F630" s="45">
        <f>49.2038 * CHOOSE(CONTROL!$C$15, $E$9, 100%, $G$9) + CHOOSE(CONTROL!$C$38, 0.0278, 0)</f>
        <v>49.2316</v>
      </c>
      <c r="G630" s="14">
        <f>46.6503 * CHOOSE(CONTROL!$C$15, $E$9, 100%, $G$9) + CHOOSE(CONTROL!$C$38, 0.0369, 0)</f>
        <v>46.687200000000004</v>
      </c>
      <c r="H630" s="14">
        <f>46.6503 * CHOOSE(CONTROL!$C$15, $E$9, 100%, $G$9) + CHOOSE(CONTROL!$C$38, 0.0369, 0)</f>
        <v>46.687200000000004</v>
      </c>
      <c r="I630" s="14">
        <f>46.6519 * CHOOSE(CONTROL!$C$15, $E$9, 100%, $G$9) + CHOOSE(CONTROL!$C$38, 0.0369, 0)</f>
        <v>46.688800000000001</v>
      </c>
      <c r="J630" s="44">
        <f>396.0988</f>
        <v>396.09879999999998</v>
      </c>
    </row>
    <row r="631" spans="1:10" ht="15.75" x14ac:dyDescent="0.25">
      <c r="A631" s="32">
        <v>60145</v>
      </c>
      <c r="B631" s="14">
        <f>48.2253 * CHOOSE(CONTROL!$C$15, $E$9, 100%, $G$9) + CHOOSE(CONTROL!$C$38, 0.0278, 0)</f>
        <v>48.253099999999996</v>
      </c>
      <c r="C631" s="14">
        <f>45.5766 * CHOOSE(CONTROL!$C$15, $E$9, 100%, $G$9) + CHOOSE(CONTROL!$C$38, 0.0369, 0)</f>
        <v>45.613500000000002</v>
      </c>
      <c r="D631" s="14">
        <f>45.5688 * CHOOSE(CONTROL!$C$15, $E$9, 100%, $G$9) + CHOOSE(CONTROL!$C$38, 0.0369, 0)</f>
        <v>45.605700000000006</v>
      </c>
      <c r="E631" s="46">
        <f>48.0691 * CHOOSE(CONTROL!$C$15, $E$9, 100%, $G$9) + CHOOSE(CONTROL!$C$38, 0.0369, 0)</f>
        <v>48.106000000000002</v>
      </c>
      <c r="F631" s="45">
        <f>48.0691 * CHOOSE(CONTROL!$C$15, $E$9, 100%, $G$9) + CHOOSE(CONTROL!$C$38, 0.0278, 0)</f>
        <v>48.096899999999998</v>
      </c>
      <c r="G631" s="14">
        <f>45.575 * CHOOSE(CONTROL!$C$15, $E$9, 100%, $G$9) + CHOOSE(CONTROL!$C$38, 0.0369, 0)</f>
        <v>45.611900000000006</v>
      </c>
      <c r="H631" s="14">
        <f>45.575 * CHOOSE(CONTROL!$C$15, $E$9, 100%, $G$9) + CHOOSE(CONTROL!$C$38, 0.0369, 0)</f>
        <v>45.611900000000006</v>
      </c>
      <c r="I631" s="14">
        <f>45.5766 * CHOOSE(CONTROL!$C$15, $E$9, 100%, $G$9) + CHOOSE(CONTROL!$C$38, 0.0369, 0)</f>
        <v>45.613500000000002</v>
      </c>
      <c r="J631" s="44">
        <f>386.8778</f>
        <v>386.87779999999998</v>
      </c>
    </row>
    <row r="632" spans="1:10" ht="15.75" x14ac:dyDescent="0.25">
      <c r="A632" s="32">
        <v>60175</v>
      </c>
      <c r="B632" s="14">
        <f>46.6429 * CHOOSE(CONTROL!$C$15, $E$9, 100%, $G$9) + CHOOSE(CONTROL!$C$38, 0.0278, 0)</f>
        <v>46.670699999999997</v>
      </c>
      <c r="C632" s="14">
        <f>44.077 * CHOOSE(CONTROL!$C$15, $E$9, 100%, $G$9) + CHOOSE(CONTROL!$C$38, 0.0369, 0)</f>
        <v>44.113900000000001</v>
      </c>
      <c r="D632" s="14">
        <f>44.0692 * CHOOSE(CONTROL!$C$15, $E$9, 100%, $G$9) + CHOOSE(CONTROL!$C$38, 0.0369, 0)</f>
        <v>44.106100000000005</v>
      </c>
      <c r="E632" s="46">
        <f>46.4866 * CHOOSE(CONTROL!$C$15, $E$9, 100%, $G$9) + CHOOSE(CONTROL!$C$38, 0.0369, 0)</f>
        <v>46.523500000000006</v>
      </c>
      <c r="F632" s="45">
        <f>46.4866 * CHOOSE(CONTROL!$C$15, $E$9, 100%, $G$9) + CHOOSE(CONTROL!$C$38, 0.0278, 0)</f>
        <v>46.514400000000002</v>
      </c>
      <c r="G632" s="14">
        <f>44.0755 * CHOOSE(CONTROL!$C$15, $E$9, 100%, $G$9) + CHOOSE(CONTROL!$C$38, 0.0369, 0)</f>
        <v>44.112400000000001</v>
      </c>
      <c r="H632" s="14">
        <f>44.0755 * CHOOSE(CONTROL!$C$15, $E$9, 100%, $G$9) + CHOOSE(CONTROL!$C$38, 0.0369, 0)</f>
        <v>44.112400000000001</v>
      </c>
      <c r="I632" s="14">
        <f>44.077 * CHOOSE(CONTROL!$C$15, $E$9, 100%, $G$9) + CHOOSE(CONTROL!$C$38, 0.0369, 0)</f>
        <v>44.113900000000001</v>
      </c>
      <c r="J632" s="44">
        <f>374.0186</f>
        <v>374.01859999999999</v>
      </c>
    </row>
    <row r="633" spans="1:10" ht="15.75" x14ac:dyDescent="0.25">
      <c r="A633" s="32">
        <v>60206</v>
      </c>
      <c r="B633" s="14">
        <f>45.0513 * CHOOSE(CONTROL!$C$15, $E$9, 100%, $G$9) + CHOOSE(CONTROL!$C$38, 0.0256, 0)</f>
        <v>45.076899999999995</v>
      </c>
      <c r="C633" s="14">
        <f>42.5687 * CHOOSE(CONTROL!$C$15, $E$9, 100%, $G$9) + CHOOSE(CONTROL!$C$38, 0.0347, 0)</f>
        <v>42.603400000000001</v>
      </c>
      <c r="D633" s="14">
        <f>42.5609 * CHOOSE(CONTROL!$C$15, $E$9, 100%, $G$9) + CHOOSE(CONTROL!$C$38, 0.0347, 0)</f>
        <v>42.595599999999997</v>
      </c>
      <c r="E633" s="46">
        <f>44.895 * CHOOSE(CONTROL!$C$15, $E$9, 100%, $G$9) + CHOOSE(CONTROL!$C$38, 0.0347, 0)</f>
        <v>44.929700000000004</v>
      </c>
      <c r="F633" s="45">
        <f>44.895 * CHOOSE(CONTROL!$C$15, $E$9, 100%, $G$9) + CHOOSE(CONTROL!$C$38, 0.0256, 0)</f>
        <v>44.9206</v>
      </c>
      <c r="G633" s="14">
        <f>42.5672 * CHOOSE(CONTROL!$C$15, $E$9, 100%, $G$9) + CHOOSE(CONTROL!$C$38, 0.0347, 0)</f>
        <v>42.601900000000001</v>
      </c>
      <c r="H633" s="14">
        <f>42.5672 * CHOOSE(CONTROL!$C$15, $E$9, 100%, $G$9) + CHOOSE(CONTROL!$C$38, 0.0347, 0)</f>
        <v>42.601900000000001</v>
      </c>
      <c r="I633" s="14">
        <f>42.5687 * CHOOSE(CONTROL!$C$15, $E$9, 100%, $G$9) + CHOOSE(CONTROL!$C$38, 0.0347, 0)</f>
        <v>42.603400000000001</v>
      </c>
      <c r="J633" s="44">
        <f>361.0847</f>
        <v>361.0847</v>
      </c>
    </row>
    <row r="634" spans="1:10" ht="15.75" x14ac:dyDescent="0.25">
      <c r="A634" s="32">
        <v>60236</v>
      </c>
      <c r="B634" s="14">
        <f>44.7347 * CHOOSE(CONTROL!$C$15, $E$9, 100%, $G$9) + CHOOSE(CONTROL!$C$38, 0.0256, 0)</f>
        <v>44.760299999999994</v>
      </c>
      <c r="C634" s="14">
        <f>42.2687 * CHOOSE(CONTROL!$C$15, $E$9, 100%, $G$9) + CHOOSE(CONTROL!$C$38, 0.0347, 0)</f>
        <v>42.303400000000003</v>
      </c>
      <c r="D634" s="14">
        <f>42.2609 * CHOOSE(CONTROL!$C$15, $E$9, 100%, $G$9) + CHOOSE(CONTROL!$C$38, 0.0347, 0)</f>
        <v>42.2956</v>
      </c>
      <c r="E634" s="46">
        <f>44.5784 * CHOOSE(CONTROL!$C$15, $E$9, 100%, $G$9) + CHOOSE(CONTROL!$C$38, 0.0347, 0)</f>
        <v>44.613100000000003</v>
      </c>
      <c r="F634" s="45">
        <f>44.5784 * CHOOSE(CONTROL!$C$15, $E$9, 100%, $G$9) + CHOOSE(CONTROL!$C$38, 0.0256, 0)</f>
        <v>44.603999999999999</v>
      </c>
      <c r="G634" s="14">
        <f>42.2672 * CHOOSE(CONTROL!$C$15, $E$9, 100%, $G$9) + CHOOSE(CONTROL!$C$38, 0.0347, 0)</f>
        <v>42.301900000000003</v>
      </c>
      <c r="H634" s="14">
        <f>42.2672 * CHOOSE(CONTROL!$C$15, $E$9, 100%, $G$9) + CHOOSE(CONTROL!$C$38, 0.0347, 0)</f>
        <v>42.301900000000003</v>
      </c>
      <c r="I634" s="14">
        <f>42.2687 * CHOOSE(CONTROL!$C$15, $E$9, 100%, $G$9) + CHOOSE(CONTROL!$C$38, 0.0347, 0)</f>
        <v>42.303400000000003</v>
      </c>
      <c r="J634" s="44">
        <f>358.5119</f>
        <v>358.51190000000003</v>
      </c>
    </row>
    <row r="635" spans="1:10" ht="15.75" x14ac:dyDescent="0.25">
      <c r="A635" s="32">
        <v>60267</v>
      </c>
      <c r="B635" s="14">
        <f>43.4255 * CHOOSE(CONTROL!$C$15, $E$9, 100%, $G$9) + CHOOSE(CONTROL!$C$38, 0.0256, 0)</f>
        <v>43.451099999999997</v>
      </c>
      <c r="C635" s="14">
        <f>41.0281 * CHOOSE(CONTROL!$C$15, $E$9, 100%, $G$9) + CHOOSE(CONTROL!$C$38, 0.0347, 0)</f>
        <v>41.062800000000003</v>
      </c>
      <c r="D635" s="14">
        <f>41.0203 * CHOOSE(CONTROL!$C$15, $E$9, 100%, $G$9) + CHOOSE(CONTROL!$C$38, 0.0347, 0)</f>
        <v>41.055</v>
      </c>
      <c r="E635" s="46">
        <f>43.2692 * CHOOSE(CONTROL!$C$15, $E$9, 100%, $G$9) + CHOOSE(CONTROL!$C$38, 0.0347, 0)</f>
        <v>43.303899999999999</v>
      </c>
      <c r="F635" s="45">
        <f>43.2692 * CHOOSE(CONTROL!$C$15, $E$9, 100%, $G$9) + CHOOSE(CONTROL!$C$38, 0.0256, 0)</f>
        <v>43.294799999999995</v>
      </c>
      <c r="G635" s="14">
        <f>41.0265 * CHOOSE(CONTROL!$C$15, $E$9, 100%, $G$9) + CHOOSE(CONTROL!$C$38, 0.0347, 0)</f>
        <v>41.061199999999999</v>
      </c>
      <c r="H635" s="14">
        <f>41.0265 * CHOOSE(CONTROL!$C$15, $E$9, 100%, $G$9) + CHOOSE(CONTROL!$C$38, 0.0347, 0)</f>
        <v>41.061199999999999</v>
      </c>
      <c r="I635" s="14">
        <f>41.0281 * CHOOSE(CONTROL!$C$15, $E$9, 100%, $G$9) + CHOOSE(CONTROL!$C$38, 0.0347, 0)</f>
        <v>41.062800000000003</v>
      </c>
      <c r="J635" s="44">
        <f>347.873</f>
        <v>347.87299999999999</v>
      </c>
    </row>
    <row r="636" spans="1:10" ht="15.75" x14ac:dyDescent="0.25">
      <c r="A636" s="32">
        <v>60298</v>
      </c>
      <c r="B636" s="14">
        <f>43.1004 * CHOOSE(CONTROL!$C$15, $E$9, 100%, $G$9) + CHOOSE(CONTROL!$C$38, 0.0256, 0)</f>
        <v>43.125999999999998</v>
      </c>
      <c r="C636" s="14">
        <f>40.72 * CHOOSE(CONTROL!$C$15, $E$9, 100%, $G$9) + CHOOSE(CONTROL!$C$38, 0.0347, 0)</f>
        <v>40.7547</v>
      </c>
      <c r="D636" s="14">
        <f>40.7122 * CHOOSE(CONTROL!$C$15, $E$9, 100%, $G$9) + CHOOSE(CONTROL!$C$38, 0.0347, 0)</f>
        <v>40.746900000000004</v>
      </c>
      <c r="E636" s="46">
        <f>42.9441 * CHOOSE(CONTROL!$C$15, $E$9, 100%, $G$9) + CHOOSE(CONTROL!$C$38, 0.0347, 0)</f>
        <v>42.9788</v>
      </c>
      <c r="F636" s="45">
        <f>42.9441 * CHOOSE(CONTROL!$C$15, $E$9, 100%, $G$9) + CHOOSE(CONTROL!$C$38, 0.0256, 0)</f>
        <v>42.969699999999996</v>
      </c>
      <c r="G636" s="14">
        <f>40.7184 * CHOOSE(CONTROL!$C$15, $E$9, 100%, $G$9) + CHOOSE(CONTROL!$C$38, 0.0347, 0)</f>
        <v>40.753100000000003</v>
      </c>
      <c r="H636" s="14">
        <f>40.7184 * CHOOSE(CONTROL!$C$15, $E$9, 100%, $G$9) + CHOOSE(CONTROL!$C$38, 0.0347, 0)</f>
        <v>40.753100000000003</v>
      </c>
      <c r="I636" s="14">
        <f>40.72 * CHOOSE(CONTROL!$C$15, $E$9, 100%, $G$9) + CHOOSE(CONTROL!$C$38, 0.0347, 0)</f>
        <v>40.7547</v>
      </c>
      <c r="J636" s="44">
        <f>347.4244</f>
        <v>347.42439999999999</v>
      </c>
    </row>
    <row r="637" spans="1:10" ht="15.75" x14ac:dyDescent="0.25">
      <c r="A637" s="32">
        <v>60326</v>
      </c>
      <c r="B637" s="14">
        <f>42.9823 * CHOOSE(CONTROL!$C$15, $E$9, 100%, $G$9) + CHOOSE(CONTROL!$C$38, 0.0256, 0)</f>
        <v>43.007899999999999</v>
      </c>
      <c r="C637" s="14">
        <f>40.6081 * CHOOSE(CONTROL!$C$15, $E$9, 100%, $G$9) + CHOOSE(CONTROL!$C$38, 0.0347, 0)</f>
        <v>40.642800000000001</v>
      </c>
      <c r="D637" s="14">
        <f>40.6003 * CHOOSE(CONTROL!$C$15, $E$9, 100%, $G$9) + CHOOSE(CONTROL!$C$38, 0.0347, 0)</f>
        <v>40.634999999999998</v>
      </c>
      <c r="E637" s="46">
        <f>42.826 * CHOOSE(CONTROL!$C$15, $E$9, 100%, $G$9) + CHOOSE(CONTROL!$C$38, 0.0347, 0)</f>
        <v>42.860700000000001</v>
      </c>
      <c r="F637" s="45">
        <f>42.826 * CHOOSE(CONTROL!$C$15, $E$9, 100%, $G$9) + CHOOSE(CONTROL!$C$38, 0.0256, 0)</f>
        <v>42.851599999999998</v>
      </c>
      <c r="G637" s="14">
        <f>40.6065 * CHOOSE(CONTROL!$C$15, $E$9, 100%, $G$9) + CHOOSE(CONTROL!$C$38, 0.0347, 0)</f>
        <v>40.641199999999998</v>
      </c>
      <c r="H637" s="14">
        <f>40.6065 * CHOOSE(CONTROL!$C$15, $E$9, 100%, $G$9) + CHOOSE(CONTROL!$C$38, 0.0347, 0)</f>
        <v>40.641199999999998</v>
      </c>
      <c r="I637" s="14">
        <f>40.6081 * CHOOSE(CONTROL!$C$15, $E$9, 100%, $G$9) + CHOOSE(CONTROL!$C$38, 0.0347, 0)</f>
        <v>40.642800000000001</v>
      </c>
      <c r="J637" s="44">
        <f>346.4587</f>
        <v>346.45870000000002</v>
      </c>
    </row>
    <row r="638" spans="1:10" ht="15.75" x14ac:dyDescent="0.25">
      <c r="A638" s="32">
        <v>60357</v>
      </c>
      <c r="B638" s="14">
        <f>45.2152 * CHOOSE(CONTROL!$C$15, $E$9, 100%, $G$9) + CHOOSE(CONTROL!$C$38, 0.0256, 0)</f>
        <v>45.2408</v>
      </c>
      <c r="C638" s="14">
        <f>42.7241 * CHOOSE(CONTROL!$C$15, $E$9, 100%, $G$9) + CHOOSE(CONTROL!$C$38, 0.0347, 0)</f>
        <v>42.758800000000001</v>
      </c>
      <c r="D638" s="14">
        <f>42.7162 * CHOOSE(CONTROL!$C$15, $E$9, 100%, $G$9) + CHOOSE(CONTROL!$C$38, 0.0347, 0)</f>
        <v>42.750900000000001</v>
      </c>
      <c r="E638" s="46">
        <f>45.0589 * CHOOSE(CONTROL!$C$15, $E$9, 100%, $G$9) + CHOOSE(CONTROL!$C$38, 0.0347, 0)</f>
        <v>45.093600000000002</v>
      </c>
      <c r="F638" s="45">
        <f>45.0589 * CHOOSE(CONTROL!$C$15, $E$9, 100%, $G$9) + CHOOSE(CONTROL!$C$38, 0.0256, 0)</f>
        <v>45.084499999999998</v>
      </c>
      <c r="G638" s="14">
        <f>42.7225 * CHOOSE(CONTROL!$C$15, $E$9, 100%, $G$9) + CHOOSE(CONTROL!$C$38, 0.0347, 0)</f>
        <v>42.757199999999997</v>
      </c>
      <c r="H638" s="14">
        <f>42.7225 * CHOOSE(CONTROL!$C$15, $E$9, 100%, $G$9) + CHOOSE(CONTROL!$C$38, 0.0347, 0)</f>
        <v>42.757199999999997</v>
      </c>
      <c r="I638" s="14">
        <f>42.7241 * CHOOSE(CONTROL!$C$15, $E$9, 100%, $G$9) + CHOOSE(CONTROL!$C$38, 0.0347, 0)</f>
        <v>42.758800000000001</v>
      </c>
      <c r="J638" s="44">
        <f>364.7191</f>
        <v>364.71910000000003</v>
      </c>
    </row>
    <row r="639" spans="1:10" ht="15.75" x14ac:dyDescent="0.25">
      <c r="A639" s="32">
        <v>60387</v>
      </c>
      <c r="B639" s="14">
        <f>48.1107 * CHOOSE(CONTROL!$C$15, $E$9, 100%, $G$9) + CHOOSE(CONTROL!$C$38, 0.0256, 0)</f>
        <v>48.136299999999999</v>
      </c>
      <c r="C639" s="14">
        <f>45.468 * CHOOSE(CONTROL!$C$15, $E$9, 100%, $G$9) + CHOOSE(CONTROL!$C$38, 0.0347, 0)</f>
        <v>45.502700000000004</v>
      </c>
      <c r="D639" s="14">
        <f>45.4602 * CHOOSE(CONTROL!$C$15, $E$9, 100%, $G$9) + CHOOSE(CONTROL!$C$38, 0.0347, 0)</f>
        <v>45.494900000000001</v>
      </c>
      <c r="E639" s="46">
        <f>47.9544 * CHOOSE(CONTROL!$C$15, $E$9, 100%, $G$9) + CHOOSE(CONTROL!$C$38, 0.0347, 0)</f>
        <v>47.989100000000001</v>
      </c>
      <c r="F639" s="45">
        <f>47.9544 * CHOOSE(CONTROL!$C$15, $E$9, 100%, $G$9) + CHOOSE(CONTROL!$C$38, 0.0256, 0)</f>
        <v>47.98</v>
      </c>
      <c r="G639" s="14">
        <f>45.4664 * CHOOSE(CONTROL!$C$15, $E$9, 100%, $G$9) + CHOOSE(CONTROL!$C$38, 0.0347, 0)</f>
        <v>45.501100000000001</v>
      </c>
      <c r="H639" s="14">
        <f>45.4664 * CHOOSE(CONTROL!$C$15, $E$9, 100%, $G$9) + CHOOSE(CONTROL!$C$38, 0.0347, 0)</f>
        <v>45.501100000000001</v>
      </c>
      <c r="I639" s="14">
        <f>45.468 * CHOOSE(CONTROL!$C$15, $E$9, 100%, $G$9) + CHOOSE(CONTROL!$C$38, 0.0347, 0)</f>
        <v>45.502700000000004</v>
      </c>
      <c r="J639" s="44">
        <f>388.3984</f>
        <v>388.39839999999998</v>
      </c>
    </row>
    <row r="640" spans="1:10" ht="15.75" x14ac:dyDescent="0.25">
      <c r="A640" s="32">
        <v>60418</v>
      </c>
      <c r="B640" s="14">
        <f>49.7045 * CHOOSE(CONTROL!$C$15, $E$9, 100%, $G$9) + CHOOSE(CONTROL!$C$38, 0.0278, 0)</f>
        <v>49.732300000000002</v>
      </c>
      <c r="C640" s="14">
        <f>46.9783 * CHOOSE(CONTROL!$C$15, $E$9, 100%, $G$9) + CHOOSE(CONTROL!$C$38, 0.0369, 0)</f>
        <v>47.0152</v>
      </c>
      <c r="D640" s="14">
        <f>46.9705 * CHOOSE(CONTROL!$C$15, $E$9, 100%, $G$9) + CHOOSE(CONTROL!$C$38, 0.0369, 0)</f>
        <v>47.007400000000004</v>
      </c>
      <c r="E640" s="46">
        <f>49.5482 * CHOOSE(CONTROL!$C$15, $E$9, 100%, $G$9) + CHOOSE(CONTROL!$C$38, 0.0369, 0)</f>
        <v>49.585100000000004</v>
      </c>
      <c r="F640" s="45">
        <f>49.5482 * CHOOSE(CONTROL!$C$15, $E$9, 100%, $G$9) + CHOOSE(CONTROL!$C$38, 0.0278, 0)</f>
        <v>49.576000000000001</v>
      </c>
      <c r="G640" s="14">
        <f>46.9768 * CHOOSE(CONTROL!$C$15, $E$9, 100%, $G$9) + CHOOSE(CONTROL!$C$38, 0.0369, 0)</f>
        <v>47.0137</v>
      </c>
      <c r="H640" s="14">
        <f>46.9768 * CHOOSE(CONTROL!$C$15, $E$9, 100%, $G$9) + CHOOSE(CONTROL!$C$38, 0.0369, 0)</f>
        <v>47.0137</v>
      </c>
      <c r="I640" s="14">
        <f>46.9783 * CHOOSE(CONTROL!$C$15, $E$9, 100%, $G$9) + CHOOSE(CONTROL!$C$38, 0.0369, 0)</f>
        <v>47.0152</v>
      </c>
      <c r="J640" s="44">
        <f>401.4323</f>
        <v>401.4323</v>
      </c>
    </row>
    <row r="641" spans="1:10" ht="15.75" x14ac:dyDescent="0.25">
      <c r="A641" s="32">
        <v>60448</v>
      </c>
      <c r="B641" s="14">
        <f>50.4118 * CHOOSE(CONTROL!$C$15, $E$9, 100%, $G$9) + CHOOSE(CONTROL!$C$38, 0.0278, 0)</f>
        <v>50.439599999999999</v>
      </c>
      <c r="C641" s="14">
        <f>47.6486 * CHOOSE(CONTROL!$C$15, $E$9, 100%, $G$9) + CHOOSE(CONTROL!$C$38, 0.0369, 0)</f>
        <v>47.685500000000005</v>
      </c>
      <c r="D641" s="14">
        <f>47.6408 * CHOOSE(CONTROL!$C$15, $E$9, 100%, $G$9) + CHOOSE(CONTROL!$C$38, 0.0369, 0)</f>
        <v>47.677700000000002</v>
      </c>
      <c r="E641" s="46">
        <f>50.2555 * CHOOSE(CONTROL!$C$15, $E$9, 100%, $G$9) + CHOOSE(CONTROL!$C$38, 0.0369, 0)</f>
        <v>50.292400000000001</v>
      </c>
      <c r="F641" s="45">
        <f>50.2555 * CHOOSE(CONTROL!$C$15, $E$9, 100%, $G$9) + CHOOSE(CONTROL!$C$38, 0.0278, 0)</f>
        <v>50.283299999999997</v>
      </c>
      <c r="G641" s="14">
        <f>47.647 * CHOOSE(CONTROL!$C$15, $E$9, 100%, $G$9) + CHOOSE(CONTROL!$C$38, 0.0369, 0)</f>
        <v>47.683900000000001</v>
      </c>
      <c r="H641" s="14">
        <f>47.647 * CHOOSE(CONTROL!$C$15, $E$9, 100%, $G$9) + CHOOSE(CONTROL!$C$38, 0.0369, 0)</f>
        <v>47.683900000000001</v>
      </c>
      <c r="I641" s="14">
        <f>47.6486 * CHOOSE(CONTROL!$C$15, $E$9, 100%, $G$9) + CHOOSE(CONTROL!$C$38, 0.0369, 0)</f>
        <v>47.685500000000005</v>
      </c>
      <c r="J641" s="44">
        <f>407.2165</f>
        <v>407.2165</v>
      </c>
    </row>
    <row r="642" spans="1:10" ht="15.75" x14ac:dyDescent="0.25">
      <c r="A642" s="32">
        <v>60479</v>
      </c>
      <c r="B642" s="14">
        <f>50.1789 * CHOOSE(CONTROL!$C$15, $E$9, 100%, $G$9) + CHOOSE(CONTROL!$C$38, 0.0278, 0)</f>
        <v>50.206699999999998</v>
      </c>
      <c r="C642" s="14">
        <f>47.4279 * CHOOSE(CONTROL!$C$15, $E$9, 100%, $G$9) + CHOOSE(CONTROL!$C$38, 0.0369, 0)</f>
        <v>47.464800000000004</v>
      </c>
      <c r="D642" s="14">
        <f>47.4201 * CHOOSE(CONTROL!$C$15, $E$9, 100%, $G$9) + CHOOSE(CONTROL!$C$38, 0.0369, 0)</f>
        <v>47.457000000000001</v>
      </c>
      <c r="E642" s="46">
        <f>50.0226 * CHOOSE(CONTROL!$C$15, $E$9, 100%, $G$9) + CHOOSE(CONTROL!$C$38, 0.0369, 0)</f>
        <v>50.0595</v>
      </c>
      <c r="F642" s="45">
        <f>50.0226 * CHOOSE(CONTROL!$C$15, $E$9, 100%, $G$9) + CHOOSE(CONTROL!$C$38, 0.0278, 0)</f>
        <v>50.050399999999996</v>
      </c>
      <c r="G642" s="14">
        <f>47.4263 * CHOOSE(CONTROL!$C$15, $E$9, 100%, $G$9) + CHOOSE(CONTROL!$C$38, 0.0369, 0)</f>
        <v>47.463200000000001</v>
      </c>
      <c r="H642" s="14">
        <f>47.4263 * CHOOSE(CONTROL!$C$15, $E$9, 100%, $G$9) + CHOOSE(CONTROL!$C$38, 0.0369, 0)</f>
        <v>47.463200000000001</v>
      </c>
      <c r="I642" s="14">
        <f>47.4279 * CHOOSE(CONTROL!$C$15, $E$9, 100%, $G$9) + CHOOSE(CONTROL!$C$38, 0.0369, 0)</f>
        <v>47.464800000000004</v>
      </c>
      <c r="J642" s="44">
        <f>405.3121</f>
        <v>405.31209999999999</v>
      </c>
    </row>
    <row r="643" spans="1:10" ht="15.75" x14ac:dyDescent="0.25">
      <c r="A643" s="32">
        <v>60510</v>
      </c>
      <c r="B643" s="14">
        <f>49.0251 * CHOOSE(CONTROL!$C$15, $E$9, 100%, $G$9) + CHOOSE(CONTROL!$C$38, 0.0278, 0)</f>
        <v>49.052900000000001</v>
      </c>
      <c r="C643" s="14">
        <f>46.3345 * CHOOSE(CONTROL!$C$15, $E$9, 100%, $G$9) + CHOOSE(CONTROL!$C$38, 0.0369, 0)</f>
        <v>46.371400000000001</v>
      </c>
      <c r="D643" s="14">
        <f>46.3267 * CHOOSE(CONTROL!$C$15, $E$9, 100%, $G$9) + CHOOSE(CONTROL!$C$38, 0.0369, 0)</f>
        <v>46.363600000000005</v>
      </c>
      <c r="E643" s="46">
        <f>48.8689 * CHOOSE(CONTROL!$C$15, $E$9, 100%, $G$9) + CHOOSE(CONTROL!$C$38, 0.0369, 0)</f>
        <v>48.905799999999999</v>
      </c>
      <c r="F643" s="45">
        <f>48.8689 * CHOOSE(CONTROL!$C$15, $E$9, 100%, $G$9) + CHOOSE(CONTROL!$C$38, 0.0278, 0)</f>
        <v>48.896699999999996</v>
      </c>
      <c r="G643" s="14">
        <f>46.333 * CHOOSE(CONTROL!$C$15, $E$9, 100%, $G$9) + CHOOSE(CONTROL!$C$38, 0.0369, 0)</f>
        <v>46.369900000000001</v>
      </c>
      <c r="H643" s="14">
        <f>46.333 * CHOOSE(CONTROL!$C$15, $E$9, 100%, $G$9) + CHOOSE(CONTROL!$C$38, 0.0369, 0)</f>
        <v>46.369900000000001</v>
      </c>
      <c r="I643" s="14">
        <f>46.3345 * CHOOSE(CONTROL!$C$15, $E$9, 100%, $G$9) + CHOOSE(CONTROL!$C$38, 0.0369, 0)</f>
        <v>46.371400000000001</v>
      </c>
      <c r="J643" s="44">
        <f>395.8766</f>
        <v>395.8766</v>
      </c>
    </row>
    <row r="644" spans="1:10" ht="15.75" x14ac:dyDescent="0.25">
      <c r="A644" s="32">
        <v>60540</v>
      </c>
      <c r="B644" s="14">
        <f>47.4161 * CHOOSE(CONTROL!$C$15, $E$9, 100%, $G$9) + CHOOSE(CONTROL!$C$38, 0.0278, 0)</f>
        <v>47.443899999999999</v>
      </c>
      <c r="C644" s="14">
        <f>44.8098 * CHOOSE(CONTROL!$C$15, $E$9, 100%, $G$9) + CHOOSE(CONTROL!$C$38, 0.0369, 0)</f>
        <v>44.846700000000006</v>
      </c>
      <c r="D644" s="14">
        <f>44.802 * CHOOSE(CONTROL!$C$15, $E$9, 100%, $G$9) + CHOOSE(CONTROL!$C$38, 0.0369, 0)</f>
        <v>44.838900000000002</v>
      </c>
      <c r="E644" s="46">
        <f>47.2599 * CHOOSE(CONTROL!$C$15, $E$9, 100%, $G$9) + CHOOSE(CONTROL!$C$38, 0.0369, 0)</f>
        <v>47.296800000000005</v>
      </c>
      <c r="F644" s="45">
        <f>47.2599 * CHOOSE(CONTROL!$C$15, $E$9, 100%, $G$9) + CHOOSE(CONTROL!$C$38, 0.0278, 0)</f>
        <v>47.287700000000001</v>
      </c>
      <c r="G644" s="14">
        <f>44.8082 * CHOOSE(CONTROL!$C$15, $E$9, 100%, $G$9) + CHOOSE(CONTROL!$C$38, 0.0369, 0)</f>
        <v>44.845100000000002</v>
      </c>
      <c r="H644" s="14">
        <f>44.8082 * CHOOSE(CONTROL!$C$15, $E$9, 100%, $G$9) + CHOOSE(CONTROL!$C$38, 0.0369, 0)</f>
        <v>44.845100000000002</v>
      </c>
      <c r="I644" s="14">
        <f>44.8098 * CHOOSE(CONTROL!$C$15, $E$9, 100%, $G$9) + CHOOSE(CONTROL!$C$38, 0.0369, 0)</f>
        <v>44.846700000000006</v>
      </c>
      <c r="J644" s="44">
        <f>382.7183</f>
        <v>382.7183</v>
      </c>
    </row>
    <row r="645" spans="1:10" ht="15.75" x14ac:dyDescent="0.25">
      <c r="A645" s="32">
        <v>60571</v>
      </c>
      <c r="B645" s="14">
        <f>45.7978 * CHOOSE(CONTROL!$C$15, $E$9, 100%, $G$9) + CHOOSE(CONTROL!$C$38, 0.0256, 0)</f>
        <v>45.823399999999999</v>
      </c>
      <c r="C645" s="14">
        <f>43.2761 * CHOOSE(CONTROL!$C$15, $E$9, 100%, $G$9) + CHOOSE(CONTROL!$C$38, 0.0347, 0)</f>
        <v>43.3108</v>
      </c>
      <c r="D645" s="14">
        <f>43.2683 * CHOOSE(CONTROL!$C$15, $E$9, 100%, $G$9) + CHOOSE(CONTROL!$C$38, 0.0347, 0)</f>
        <v>43.303000000000004</v>
      </c>
      <c r="E645" s="46">
        <f>45.6415 * CHOOSE(CONTROL!$C$15, $E$9, 100%, $G$9) + CHOOSE(CONTROL!$C$38, 0.0347, 0)</f>
        <v>45.676200000000001</v>
      </c>
      <c r="F645" s="45">
        <f>45.6415 * CHOOSE(CONTROL!$C$15, $E$9, 100%, $G$9) + CHOOSE(CONTROL!$C$38, 0.0256, 0)</f>
        <v>45.667099999999998</v>
      </c>
      <c r="G645" s="14">
        <f>43.2746 * CHOOSE(CONTROL!$C$15, $E$9, 100%, $G$9) + CHOOSE(CONTROL!$C$38, 0.0347, 0)</f>
        <v>43.3093</v>
      </c>
      <c r="H645" s="14">
        <f>43.2746 * CHOOSE(CONTROL!$C$15, $E$9, 100%, $G$9) + CHOOSE(CONTROL!$C$38, 0.0347, 0)</f>
        <v>43.3093</v>
      </c>
      <c r="I645" s="14">
        <f>43.2761 * CHOOSE(CONTROL!$C$15, $E$9, 100%, $G$9) + CHOOSE(CONTROL!$C$38, 0.0347, 0)</f>
        <v>43.3108</v>
      </c>
      <c r="J645" s="44">
        <f>369.4835</f>
        <v>369.48349999999999</v>
      </c>
    </row>
    <row r="646" spans="1:10" ht="15.75" x14ac:dyDescent="0.25">
      <c r="A646" s="32">
        <v>60601</v>
      </c>
      <c r="B646" s="14">
        <f>45.4758 * CHOOSE(CONTROL!$C$15, $E$9, 100%, $G$9) + CHOOSE(CONTROL!$C$38, 0.0256, 0)</f>
        <v>45.501399999999997</v>
      </c>
      <c r="C646" s="14">
        <f>42.9711 * CHOOSE(CONTROL!$C$15, $E$9, 100%, $G$9) + CHOOSE(CONTROL!$C$38, 0.0347, 0)</f>
        <v>43.005800000000001</v>
      </c>
      <c r="D646" s="14">
        <f>42.9633 * CHOOSE(CONTROL!$C$15, $E$9, 100%, $G$9) + CHOOSE(CONTROL!$C$38, 0.0347, 0)</f>
        <v>42.997999999999998</v>
      </c>
      <c r="E646" s="46">
        <f>45.3196 * CHOOSE(CONTROL!$C$15, $E$9, 100%, $G$9) + CHOOSE(CONTROL!$C$38, 0.0347, 0)</f>
        <v>45.354300000000002</v>
      </c>
      <c r="F646" s="45">
        <f>45.3196 * CHOOSE(CONTROL!$C$15, $E$9, 100%, $G$9) + CHOOSE(CONTROL!$C$38, 0.0256, 0)</f>
        <v>45.345199999999998</v>
      </c>
      <c r="G646" s="14">
        <f>42.9695 * CHOOSE(CONTROL!$C$15, $E$9, 100%, $G$9) + CHOOSE(CONTROL!$C$38, 0.0347, 0)</f>
        <v>43.004199999999997</v>
      </c>
      <c r="H646" s="14">
        <f>42.9695 * CHOOSE(CONTROL!$C$15, $E$9, 100%, $G$9) + CHOOSE(CONTROL!$C$38, 0.0347, 0)</f>
        <v>43.004199999999997</v>
      </c>
      <c r="I646" s="14">
        <f>42.9711 * CHOOSE(CONTROL!$C$15, $E$9, 100%, $G$9) + CHOOSE(CONTROL!$C$38, 0.0347, 0)</f>
        <v>43.005800000000001</v>
      </c>
      <c r="J646" s="44">
        <f>366.8508</f>
        <v>366.85079999999999</v>
      </c>
    </row>
    <row r="647" spans="1:10" ht="15.75" x14ac:dyDescent="0.25">
      <c r="A647" s="32">
        <v>60632</v>
      </c>
      <c r="B647" s="14">
        <f>44.1447 * CHOOSE(CONTROL!$C$15, $E$9, 100%, $G$9) + CHOOSE(CONTROL!$C$38, 0.0256, 0)</f>
        <v>44.170299999999997</v>
      </c>
      <c r="C647" s="14">
        <f>41.7096 * CHOOSE(CONTROL!$C$15, $E$9, 100%, $G$9) + CHOOSE(CONTROL!$C$38, 0.0347, 0)</f>
        <v>41.744300000000003</v>
      </c>
      <c r="D647" s="14">
        <f>41.7018 * CHOOSE(CONTROL!$C$15, $E$9, 100%, $G$9) + CHOOSE(CONTROL!$C$38, 0.0347, 0)</f>
        <v>41.736499999999999</v>
      </c>
      <c r="E647" s="46">
        <f>43.9884 * CHOOSE(CONTROL!$C$15, $E$9, 100%, $G$9) + CHOOSE(CONTROL!$C$38, 0.0347, 0)</f>
        <v>44.023099999999999</v>
      </c>
      <c r="F647" s="45">
        <f>43.9884 * CHOOSE(CONTROL!$C$15, $E$9, 100%, $G$9) + CHOOSE(CONTROL!$C$38, 0.0256, 0)</f>
        <v>44.013999999999996</v>
      </c>
      <c r="G647" s="14">
        <f>41.708 * CHOOSE(CONTROL!$C$15, $E$9, 100%, $G$9) + CHOOSE(CONTROL!$C$38, 0.0347, 0)</f>
        <v>41.742699999999999</v>
      </c>
      <c r="H647" s="14">
        <f>41.708 * CHOOSE(CONTROL!$C$15, $E$9, 100%, $G$9) + CHOOSE(CONTROL!$C$38, 0.0347, 0)</f>
        <v>41.742699999999999</v>
      </c>
      <c r="I647" s="14">
        <f>41.7096 * CHOOSE(CONTROL!$C$15, $E$9, 100%, $G$9) + CHOOSE(CONTROL!$C$38, 0.0347, 0)</f>
        <v>41.744300000000003</v>
      </c>
      <c r="J647" s="44">
        <f>355.9645</f>
        <v>355.96449999999999</v>
      </c>
    </row>
    <row r="648" spans="1:10" ht="15.75" x14ac:dyDescent="0.25">
      <c r="A648" s="32">
        <v>60663</v>
      </c>
      <c r="B648" s="14">
        <f>43.8141 * CHOOSE(CONTROL!$C$15, $E$9, 100%, $G$9) + CHOOSE(CONTROL!$C$38, 0.0256, 0)</f>
        <v>43.839700000000001</v>
      </c>
      <c r="C648" s="14">
        <f>41.3963 * CHOOSE(CONTROL!$C$15, $E$9, 100%, $G$9) + CHOOSE(CONTROL!$C$38, 0.0347, 0)</f>
        <v>41.430999999999997</v>
      </c>
      <c r="D648" s="14">
        <f>41.3885 * CHOOSE(CONTROL!$C$15, $E$9, 100%, $G$9) + CHOOSE(CONTROL!$C$38, 0.0347, 0)</f>
        <v>41.423200000000001</v>
      </c>
      <c r="E648" s="46">
        <f>43.6578 * CHOOSE(CONTROL!$C$15, $E$9, 100%, $G$9) + CHOOSE(CONTROL!$C$38, 0.0347, 0)</f>
        <v>43.692500000000003</v>
      </c>
      <c r="F648" s="45">
        <f>43.6578 * CHOOSE(CONTROL!$C$15, $E$9, 100%, $G$9) + CHOOSE(CONTROL!$C$38, 0.0256, 0)</f>
        <v>43.683399999999999</v>
      </c>
      <c r="G648" s="14">
        <f>41.3948 * CHOOSE(CONTROL!$C$15, $E$9, 100%, $G$9) + CHOOSE(CONTROL!$C$38, 0.0347, 0)</f>
        <v>41.429499999999997</v>
      </c>
      <c r="H648" s="14">
        <f>41.3948 * CHOOSE(CONTROL!$C$15, $E$9, 100%, $G$9) + CHOOSE(CONTROL!$C$38, 0.0347, 0)</f>
        <v>41.429499999999997</v>
      </c>
      <c r="I648" s="14">
        <f>41.3963 * CHOOSE(CONTROL!$C$15, $E$9, 100%, $G$9) + CHOOSE(CONTROL!$C$38, 0.0347, 0)</f>
        <v>41.430999999999997</v>
      </c>
      <c r="J648" s="44">
        <f>355.5055</f>
        <v>355.50549999999998</v>
      </c>
    </row>
    <row r="649" spans="1:10" ht="15.75" x14ac:dyDescent="0.25">
      <c r="A649" s="32">
        <v>60691</v>
      </c>
      <c r="B649" s="14">
        <f>43.694 * CHOOSE(CONTROL!$C$15, $E$9, 100%, $G$9) + CHOOSE(CONTROL!$C$38, 0.0256, 0)</f>
        <v>43.7196</v>
      </c>
      <c r="C649" s="14">
        <f>41.2825 * CHOOSE(CONTROL!$C$15, $E$9, 100%, $G$9) + CHOOSE(CONTROL!$C$38, 0.0347, 0)</f>
        <v>41.3172</v>
      </c>
      <c r="D649" s="14">
        <f>41.2747 * CHOOSE(CONTROL!$C$15, $E$9, 100%, $G$9) + CHOOSE(CONTROL!$C$38, 0.0347, 0)</f>
        <v>41.309400000000004</v>
      </c>
      <c r="E649" s="46">
        <f>43.5377 * CHOOSE(CONTROL!$C$15, $E$9, 100%, $G$9) + CHOOSE(CONTROL!$C$38, 0.0347, 0)</f>
        <v>43.572400000000002</v>
      </c>
      <c r="F649" s="45">
        <f>43.5377 * CHOOSE(CONTROL!$C$15, $E$9, 100%, $G$9) + CHOOSE(CONTROL!$C$38, 0.0256, 0)</f>
        <v>43.563299999999998</v>
      </c>
      <c r="G649" s="14">
        <f>41.281 * CHOOSE(CONTROL!$C$15, $E$9, 100%, $G$9) + CHOOSE(CONTROL!$C$38, 0.0347, 0)</f>
        <v>41.3157</v>
      </c>
      <c r="H649" s="14">
        <f>41.281 * CHOOSE(CONTROL!$C$15, $E$9, 100%, $G$9) + CHOOSE(CONTROL!$C$38, 0.0347, 0)</f>
        <v>41.3157</v>
      </c>
      <c r="I649" s="14">
        <f>41.2825 * CHOOSE(CONTROL!$C$15, $E$9, 100%, $G$9) + CHOOSE(CONTROL!$C$38, 0.0347, 0)</f>
        <v>41.3172</v>
      </c>
      <c r="J649" s="44">
        <f>354.5173</f>
        <v>354.51729999999998</v>
      </c>
    </row>
    <row r="650" spans="1:10" ht="15.75" x14ac:dyDescent="0.25">
      <c r="A650" s="32">
        <v>60722</v>
      </c>
      <c r="B650" s="14">
        <f>45.9644 * CHOOSE(CONTROL!$C$15, $E$9, 100%, $G$9) + CHOOSE(CONTROL!$C$38, 0.0256, 0)</f>
        <v>45.989999999999995</v>
      </c>
      <c r="C650" s="14">
        <f>43.4341 * CHOOSE(CONTROL!$C$15, $E$9, 100%, $G$9) + CHOOSE(CONTROL!$C$38, 0.0347, 0)</f>
        <v>43.468800000000002</v>
      </c>
      <c r="D650" s="14">
        <f>43.4262 * CHOOSE(CONTROL!$C$15, $E$9, 100%, $G$9) + CHOOSE(CONTROL!$C$38, 0.0347, 0)</f>
        <v>43.460900000000002</v>
      </c>
      <c r="E650" s="46">
        <f>45.8081 * CHOOSE(CONTROL!$C$15, $E$9, 100%, $G$9) + CHOOSE(CONTROL!$C$38, 0.0347, 0)</f>
        <v>45.842800000000004</v>
      </c>
      <c r="F650" s="45">
        <f>45.8081 * CHOOSE(CONTROL!$C$15, $E$9, 100%, $G$9) + CHOOSE(CONTROL!$C$38, 0.0256, 0)</f>
        <v>45.8337</v>
      </c>
      <c r="G650" s="14">
        <f>43.4325 * CHOOSE(CONTROL!$C$15, $E$9, 100%, $G$9) + CHOOSE(CONTROL!$C$38, 0.0347, 0)</f>
        <v>43.467199999999998</v>
      </c>
      <c r="H650" s="14">
        <f>43.4325 * CHOOSE(CONTROL!$C$15, $E$9, 100%, $G$9) + CHOOSE(CONTROL!$C$38, 0.0347, 0)</f>
        <v>43.467199999999998</v>
      </c>
      <c r="I650" s="14">
        <f>43.4341 * CHOOSE(CONTROL!$C$15, $E$9, 100%, $G$9) + CHOOSE(CONTROL!$C$38, 0.0347, 0)</f>
        <v>43.468800000000002</v>
      </c>
      <c r="J650" s="44">
        <f>373.2024</f>
        <v>373.20240000000001</v>
      </c>
    </row>
    <row r="651" spans="1:10" ht="15.75" x14ac:dyDescent="0.25">
      <c r="A651" s="32">
        <v>60752</v>
      </c>
      <c r="B651" s="14">
        <f>48.9086 * CHOOSE(CONTROL!$C$15, $E$9, 100%, $G$9) + CHOOSE(CONTROL!$C$38, 0.0256, 0)</f>
        <v>48.934199999999997</v>
      </c>
      <c r="C651" s="14">
        <f>46.2241 * CHOOSE(CONTROL!$C$15, $E$9, 100%, $G$9) + CHOOSE(CONTROL!$C$38, 0.0347, 0)</f>
        <v>46.258800000000001</v>
      </c>
      <c r="D651" s="14">
        <f>46.2163 * CHOOSE(CONTROL!$C$15, $E$9, 100%, $G$9) + CHOOSE(CONTROL!$C$38, 0.0347, 0)</f>
        <v>46.250999999999998</v>
      </c>
      <c r="E651" s="46">
        <f>48.7523 * CHOOSE(CONTROL!$C$15, $E$9, 100%, $G$9) + CHOOSE(CONTROL!$C$38, 0.0347, 0)</f>
        <v>48.786999999999999</v>
      </c>
      <c r="F651" s="45">
        <f>48.7523 * CHOOSE(CONTROL!$C$15, $E$9, 100%, $G$9) + CHOOSE(CONTROL!$C$38, 0.0256, 0)</f>
        <v>48.777899999999995</v>
      </c>
      <c r="G651" s="14">
        <f>46.2225 * CHOOSE(CONTROL!$C$15, $E$9, 100%, $G$9) + CHOOSE(CONTROL!$C$38, 0.0347, 0)</f>
        <v>46.257199999999997</v>
      </c>
      <c r="H651" s="14">
        <f>46.2225 * CHOOSE(CONTROL!$C$15, $E$9, 100%, $G$9) + CHOOSE(CONTROL!$C$38, 0.0347, 0)</f>
        <v>46.257199999999997</v>
      </c>
      <c r="I651" s="14">
        <f>46.2241 * CHOOSE(CONTROL!$C$15, $E$9, 100%, $G$9) + CHOOSE(CONTROL!$C$38, 0.0347, 0)</f>
        <v>46.258800000000001</v>
      </c>
      <c r="J651" s="44">
        <f>397.4325</f>
        <v>397.4325</v>
      </c>
    </row>
    <row r="652" spans="1:10" ht="15.75" x14ac:dyDescent="0.25">
      <c r="A652" s="32">
        <v>60783</v>
      </c>
      <c r="B652" s="14">
        <f>50.5291 * CHOOSE(CONTROL!$C$15, $E$9, 100%, $G$9) + CHOOSE(CONTROL!$C$38, 0.0278, 0)</f>
        <v>50.556899999999999</v>
      </c>
      <c r="C652" s="14">
        <f>47.7598 * CHOOSE(CONTROL!$C$15, $E$9, 100%, $G$9) + CHOOSE(CONTROL!$C$38, 0.0369, 0)</f>
        <v>47.796700000000001</v>
      </c>
      <c r="D652" s="14">
        <f>47.752 * CHOOSE(CONTROL!$C$15, $E$9, 100%, $G$9) + CHOOSE(CONTROL!$C$38, 0.0369, 0)</f>
        <v>47.788900000000005</v>
      </c>
      <c r="E652" s="46">
        <f>50.3729 * CHOOSE(CONTROL!$C$15, $E$9, 100%, $G$9) + CHOOSE(CONTROL!$C$38, 0.0369, 0)</f>
        <v>50.409800000000004</v>
      </c>
      <c r="F652" s="45">
        <f>50.3729 * CHOOSE(CONTROL!$C$15, $E$9, 100%, $G$9) + CHOOSE(CONTROL!$C$38, 0.0278, 0)</f>
        <v>50.400700000000001</v>
      </c>
      <c r="G652" s="14">
        <f>47.7582 * CHOOSE(CONTROL!$C$15, $E$9, 100%, $G$9) + CHOOSE(CONTROL!$C$38, 0.0369, 0)</f>
        <v>47.795100000000005</v>
      </c>
      <c r="H652" s="14">
        <f>47.7582 * CHOOSE(CONTROL!$C$15, $E$9, 100%, $G$9) + CHOOSE(CONTROL!$C$38, 0.0369, 0)</f>
        <v>47.795100000000005</v>
      </c>
      <c r="I652" s="14">
        <f>47.7598 * CHOOSE(CONTROL!$C$15, $E$9, 100%, $G$9) + CHOOSE(CONTROL!$C$38, 0.0369, 0)</f>
        <v>47.796700000000001</v>
      </c>
      <c r="J652" s="44">
        <f>410.7696</f>
        <v>410.76960000000003</v>
      </c>
    </row>
    <row r="653" spans="1:10" ht="15.75" x14ac:dyDescent="0.25">
      <c r="A653" s="32">
        <v>60813</v>
      </c>
      <c r="B653" s="14">
        <f>51.2483 * CHOOSE(CONTROL!$C$15, $E$9, 100%, $G$9) + CHOOSE(CONTROL!$C$38, 0.0278, 0)</f>
        <v>51.2761</v>
      </c>
      <c r="C653" s="14">
        <f>48.4413 * CHOOSE(CONTROL!$C$15, $E$9, 100%, $G$9) + CHOOSE(CONTROL!$C$38, 0.0369, 0)</f>
        <v>48.478200000000001</v>
      </c>
      <c r="D653" s="14">
        <f>48.4335 * CHOOSE(CONTROL!$C$15, $E$9, 100%, $G$9) + CHOOSE(CONTROL!$C$38, 0.0369, 0)</f>
        <v>48.470400000000005</v>
      </c>
      <c r="E653" s="46">
        <f>51.092 * CHOOSE(CONTROL!$C$15, $E$9, 100%, $G$9) + CHOOSE(CONTROL!$C$38, 0.0369, 0)</f>
        <v>51.128900000000002</v>
      </c>
      <c r="F653" s="45">
        <f>51.092 * CHOOSE(CONTROL!$C$15, $E$9, 100%, $G$9) + CHOOSE(CONTROL!$C$38, 0.0278, 0)</f>
        <v>51.119799999999998</v>
      </c>
      <c r="G653" s="14">
        <f>48.4398 * CHOOSE(CONTROL!$C$15, $E$9, 100%, $G$9) + CHOOSE(CONTROL!$C$38, 0.0369, 0)</f>
        <v>48.476700000000001</v>
      </c>
      <c r="H653" s="14">
        <f>48.4398 * CHOOSE(CONTROL!$C$15, $E$9, 100%, $G$9) + CHOOSE(CONTROL!$C$38, 0.0369, 0)</f>
        <v>48.476700000000001</v>
      </c>
      <c r="I653" s="14">
        <f>48.4413 * CHOOSE(CONTROL!$C$15, $E$9, 100%, $G$9) + CHOOSE(CONTROL!$C$38, 0.0369, 0)</f>
        <v>48.478200000000001</v>
      </c>
      <c r="J653" s="44">
        <f>416.6883</f>
        <v>416.68830000000003</v>
      </c>
    </row>
    <row r="654" spans="1:10" ht="15.75" x14ac:dyDescent="0.25">
      <c r="A654" s="32">
        <v>60844</v>
      </c>
      <c r="B654" s="14">
        <f>51.0115 * CHOOSE(CONTROL!$C$15, $E$9, 100%, $G$9) + CHOOSE(CONTROL!$C$38, 0.0278, 0)</f>
        <v>51.039299999999997</v>
      </c>
      <c r="C654" s="14">
        <f>48.2169 * CHOOSE(CONTROL!$C$15, $E$9, 100%, $G$9) + CHOOSE(CONTROL!$C$38, 0.0369, 0)</f>
        <v>48.253800000000005</v>
      </c>
      <c r="D654" s="14">
        <f>48.2091 * CHOOSE(CONTROL!$C$15, $E$9, 100%, $G$9) + CHOOSE(CONTROL!$C$38, 0.0369, 0)</f>
        <v>48.246000000000002</v>
      </c>
      <c r="E654" s="46">
        <f>50.8553 * CHOOSE(CONTROL!$C$15, $E$9, 100%, $G$9) + CHOOSE(CONTROL!$C$38, 0.0369, 0)</f>
        <v>50.892200000000003</v>
      </c>
      <c r="F654" s="45">
        <f>50.8553 * CHOOSE(CONTROL!$C$15, $E$9, 100%, $G$9) + CHOOSE(CONTROL!$C$38, 0.0278, 0)</f>
        <v>50.883099999999999</v>
      </c>
      <c r="G654" s="14">
        <f>48.2154 * CHOOSE(CONTROL!$C$15, $E$9, 100%, $G$9) + CHOOSE(CONTROL!$C$38, 0.0369, 0)</f>
        <v>48.252300000000005</v>
      </c>
      <c r="H654" s="14">
        <f>48.2154 * CHOOSE(CONTROL!$C$15, $E$9, 100%, $G$9) + CHOOSE(CONTROL!$C$38, 0.0369, 0)</f>
        <v>48.252300000000005</v>
      </c>
      <c r="I654" s="14">
        <f>48.2169 * CHOOSE(CONTROL!$C$15, $E$9, 100%, $G$9) + CHOOSE(CONTROL!$C$38, 0.0369, 0)</f>
        <v>48.253800000000005</v>
      </c>
      <c r="J654" s="44">
        <f>414.7396</f>
        <v>414.7396</v>
      </c>
    </row>
    <row r="655" spans="1:10" ht="15.75" x14ac:dyDescent="0.25">
      <c r="A655" s="32">
        <v>60875</v>
      </c>
      <c r="B655" s="14">
        <f>49.8384 * CHOOSE(CONTROL!$C$15, $E$9, 100%, $G$9) + CHOOSE(CONTROL!$C$38, 0.0278, 0)</f>
        <v>49.866199999999999</v>
      </c>
      <c r="C655" s="14">
        <f>47.1052 * CHOOSE(CONTROL!$C$15, $E$9, 100%, $G$9) + CHOOSE(CONTROL!$C$38, 0.0369, 0)</f>
        <v>47.142100000000006</v>
      </c>
      <c r="D655" s="14">
        <f>47.0974 * CHOOSE(CONTROL!$C$15, $E$9, 100%, $G$9) + CHOOSE(CONTROL!$C$38, 0.0369, 0)</f>
        <v>47.134300000000003</v>
      </c>
      <c r="E655" s="46">
        <f>49.6821 * CHOOSE(CONTROL!$C$15, $E$9, 100%, $G$9) + CHOOSE(CONTROL!$C$38, 0.0369, 0)</f>
        <v>49.719000000000001</v>
      </c>
      <c r="F655" s="45">
        <f>49.6821 * CHOOSE(CONTROL!$C$15, $E$9, 100%, $G$9) + CHOOSE(CONTROL!$C$38, 0.0278, 0)</f>
        <v>49.709899999999998</v>
      </c>
      <c r="G655" s="14">
        <f>47.1036 * CHOOSE(CONTROL!$C$15, $E$9, 100%, $G$9) + CHOOSE(CONTROL!$C$38, 0.0369, 0)</f>
        <v>47.140500000000003</v>
      </c>
      <c r="H655" s="14">
        <f>47.1036 * CHOOSE(CONTROL!$C$15, $E$9, 100%, $G$9) + CHOOSE(CONTROL!$C$38, 0.0369, 0)</f>
        <v>47.140500000000003</v>
      </c>
      <c r="I655" s="14">
        <f>47.1052 * CHOOSE(CONTROL!$C$15, $E$9, 100%, $G$9) + CHOOSE(CONTROL!$C$38, 0.0369, 0)</f>
        <v>47.142100000000006</v>
      </c>
      <c r="J655" s="44">
        <f>405.0846</f>
        <v>405.08460000000002</v>
      </c>
    </row>
    <row r="656" spans="1:10" ht="15.75" x14ac:dyDescent="0.25">
      <c r="A656" s="32">
        <v>60905</v>
      </c>
      <c r="B656" s="14">
        <f>48.2023 * CHOOSE(CONTROL!$C$15, $E$9, 100%, $G$9) + CHOOSE(CONTROL!$C$38, 0.0278, 0)</f>
        <v>48.2301</v>
      </c>
      <c r="C656" s="14">
        <f>45.5548 * CHOOSE(CONTROL!$C$15, $E$9, 100%, $G$9) + CHOOSE(CONTROL!$C$38, 0.0369, 0)</f>
        <v>45.591700000000003</v>
      </c>
      <c r="D656" s="14">
        <f>45.547 * CHOOSE(CONTROL!$C$15, $E$9, 100%, $G$9) + CHOOSE(CONTROL!$C$38, 0.0369, 0)</f>
        <v>45.5839</v>
      </c>
      <c r="E656" s="46">
        <f>48.0461 * CHOOSE(CONTROL!$C$15, $E$9, 100%, $G$9) + CHOOSE(CONTROL!$C$38, 0.0369, 0)</f>
        <v>48.083000000000006</v>
      </c>
      <c r="F656" s="45">
        <f>48.0461 * CHOOSE(CONTROL!$C$15, $E$9, 100%, $G$9) + CHOOSE(CONTROL!$C$38, 0.0278, 0)</f>
        <v>48.073900000000002</v>
      </c>
      <c r="G656" s="14">
        <f>45.5533 * CHOOSE(CONTROL!$C$15, $E$9, 100%, $G$9) + CHOOSE(CONTROL!$C$38, 0.0369, 0)</f>
        <v>45.590200000000003</v>
      </c>
      <c r="H656" s="14">
        <f>45.5533 * CHOOSE(CONTROL!$C$15, $E$9, 100%, $G$9) + CHOOSE(CONTROL!$C$38, 0.0369, 0)</f>
        <v>45.590200000000003</v>
      </c>
      <c r="I656" s="14">
        <f>45.5548 * CHOOSE(CONTROL!$C$15, $E$9, 100%, $G$9) + CHOOSE(CONTROL!$C$38, 0.0369, 0)</f>
        <v>45.591700000000003</v>
      </c>
      <c r="J656" s="44">
        <f>391.6203</f>
        <v>391.62029999999999</v>
      </c>
    </row>
    <row r="657" spans="1:10" ht="15.75" x14ac:dyDescent="0.25">
      <c r="A657" s="32">
        <v>60936</v>
      </c>
      <c r="B657" s="14">
        <f>46.5568 * CHOOSE(CONTROL!$C$15, $E$9, 100%, $G$9) + CHOOSE(CONTROL!$C$38, 0.0256, 0)</f>
        <v>46.5824</v>
      </c>
      <c r="C657" s="14">
        <f>43.9954 * CHOOSE(CONTROL!$C$15, $E$9, 100%, $G$9) + CHOOSE(CONTROL!$C$38, 0.0347, 0)</f>
        <v>44.030099999999997</v>
      </c>
      <c r="D657" s="14">
        <f>43.9876 * CHOOSE(CONTROL!$C$15, $E$9, 100%, $G$9) + CHOOSE(CONTROL!$C$38, 0.0347, 0)</f>
        <v>44.022300000000001</v>
      </c>
      <c r="E657" s="46">
        <f>46.4005 * CHOOSE(CONTROL!$C$15, $E$9, 100%, $G$9) + CHOOSE(CONTROL!$C$38, 0.0347, 0)</f>
        <v>46.435200000000002</v>
      </c>
      <c r="F657" s="45">
        <f>46.4005 * CHOOSE(CONTROL!$C$15, $E$9, 100%, $G$9) + CHOOSE(CONTROL!$C$38, 0.0256, 0)</f>
        <v>46.426099999999998</v>
      </c>
      <c r="G657" s="14">
        <f>43.9939 * CHOOSE(CONTROL!$C$15, $E$9, 100%, $G$9) + CHOOSE(CONTROL!$C$38, 0.0347, 0)</f>
        <v>44.028599999999997</v>
      </c>
      <c r="H657" s="14">
        <f>43.9939 * CHOOSE(CONTROL!$C$15, $E$9, 100%, $G$9) + CHOOSE(CONTROL!$C$38, 0.0347, 0)</f>
        <v>44.028599999999997</v>
      </c>
      <c r="I657" s="14">
        <f>43.9954 * CHOOSE(CONTROL!$C$15, $E$9, 100%, $G$9) + CHOOSE(CONTROL!$C$38, 0.0347, 0)</f>
        <v>44.030099999999997</v>
      </c>
      <c r="J657" s="44">
        <f>378.0777</f>
        <v>378.07769999999999</v>
      </c>
    </row>
    <row r="658" spans="1:10" ht="15.75" x14ac:dyDescent="0.25">
      <c r="A658" s="32">
        <v>60966</v>
      </c>
      <c r="B658" s="14">
        <f>46.2295 * CHOOSE(CONTROL!$C$15, $E$9, 100%, $G$9) + CHOOSE(CONTROL!$C$38, 0.0256, 0)</f>
        <v>46.255099999999999</v>
      </c>
      <c r="C658" s="14">
        <f>43.6852 * CHOOSE(CONTROL!$C$15, $E$9, 100%, $G$9) + CHOOSE(CONTROL!$C$38, 0.0347, 0)</f>
        <v>43.719900000000003</v>
      </c>
      <c r="D658" s="14">
        <f>43.6774 * CHOOSE(CONTROL!$C$15, $E$9, 100%, $G$9) + CHOOSE(CONTROL!$C$38, 0.0347, 0)</f>
        <v>43.7121</v>
      </c>
      <c r="E658" s="46">
        <f>46.0732 * CHOOSE(CONTROL!$C$15, $E$9, 100%, $G$9) + CHOOSE(CONTROL!$C$38, 0.0347, 0)</f>
        <v>46.107900000000001</v>
      </c>
      <c r="F658" s="45">
        <f>46.0732 * CHOOSE(CONTROL!$C$15, $E$9, 100%, $G$9) + CHOOSE(CONTROL!$C$38, 0.0256, 0)</f>
        <v>46.098799999999997</v>
      </c>
      <c r="G658" s="14">
        <f>43.6837 * CHOOSE(CONTROL!$C$15, $E$9, 100%, $G$9) + CHOOSE(CONTROL!$C$38, 0.0347, 0)</f>
        <v>43.718400000000003</v>
      </c>
      <c r="H658" s="14">
        <f>43.6837 * CHOOSE(CONTROL!$C$15, $E$9, 100%, $G$9) + CHOOSE(CONTROL!$C$38, 0.0347, 0)</f>
        <v>43.718400000000003</v>
      </c>
      <c r="I658" s="14">
        <f>43.6852 * CHOOSE(CONTROL!$C$15, $E$9, 100%, $G$9) + CHOOSE(CONTROL!$C$38, 0.0347, 0)</f>
        <v>43.719900000000003</v>
      </c>
      <c r="J658" s="44">
        <f>375.3838</f>
        <v>375.38380000000001</v>
      </c>
    </row>
    <row r="659" spans="1:10" ht="15.75" x14ac:dyDescent="0.25">
      <c r="A659" s="32">
        <v>60997</v>
      </c>
      <c r="B659" s="14">
        <f>44.8759 * CHOOSE(CONTROL!$C$15, $E$9, 100%, $G$9) + CHOOSE(CONTROL!$C$38, 0.0256, 0)</f>
        <v>44.901499999999999</v>
      </c>
      <c r="C659" s="14">
        <f>42.4026 * CHOOSE(CONTROL!$C$15, $E$9, 100%, $G$9) + CHOOSE(CONTROL!$C$38, 0.0347, 0)</f>
        <v>42.4373</v>
      </c>
      <c r="D659" s="14">
        <f>42.3947 * CHOOSE(CONTROL!$C$15, $E$9, 100%, $G$9) + CHOOSE(CONTROL!$C$38, 0.0347, 0)</f>
        <v>42.429400000000001</v>
      </c>
      <c r="E659" s="46">
        <f>44.7197 * CHOOSE(CONTROL!$C$15, $E$9, 100%, $G$9) + CHOOSE(CONTROL!$C$38, 0.0347, 0)</f>
        <v>44.754400000000004</v>
      </c>
      <c r="F659" s="45">
        <f>44.7197 * CHOOSE(CONTROL!$C$15, $E$9, 100%, $G$9) + CHOOSE(CONTROL!$C$38, 0.0256, 0)</f>
        <v>44.7453</v>
      </c>
      <c r="G659" s="14">
        <f>42.401 * CHOOSE(CONTROL!$C$15, $E$9, 100%, $G$9) + CHOOSE(CONTROL!$C$38, 0.0347, 0)</f>
        <v>42.435700000000004</v>
      </c>
      <c r="H659" s="14">
        <f>42.401 * CHOOSE(CONTROL!$C$15, $E$9, 100%, $G$9) + CHOOSE(CONTROL!$C$38, 0.0347, 0)</f>
        <v>42.435700000000004</v>
      </c>
      <c r="I659" s="14">
        <f>42.4026 * CHOOSE(CONTROL!$C$15, $E$9, 100%, $G$9) + CHOOSE(CONTROL!$C$38, 0.0347, 0)</f>
        <v>42.4373</v>
      </c>
      <c r="J659" s="44">
        <f>364.2443</f>
        <v>364.24430000000001</v>
      </c>
    </row>
    <row r="660" spans="1:10" ht="15.75" x14ac:dyDescent="0.25">
      <c r="A660" s="32">
        <v>61028</v>
      </c>
      <c r="B660" s="14">
        <f>44.5398 * CHOOSE(CONTROL!$C$15, $E$9, 100%, $G$9) + CHOOSE(CONTROL!$C$38, 0.0256, 0)</f>
        <v>44.565399999999997</v>
      </c>
      <c r="C660" s="14">
        <f>42.084 * CHOOSE(CONTROL!$C$15, $E$9, 100%, $G$9) + CHOOSE(CONTROL!$C$38, 0.0347, 0)</f>
        <v>42.118700000000004</v>
      </c>
      <c r="D660" s="14">
        <f>42.0762 * CHOOSE(CONTROL!$C$15, $E$9, 100%, $G$9) + CHOOSE(CONTROL!$C$38, 0.0347, 0)</f>
        <v>42.110900000000001</v>
      </c>
      <c r="E660" s="46">
        <f>44.3835 * CHOOSE(CONTROL!$C$15, $E$9, 100%, $G$9) + CHOOSE(CONTROL!$C$38, 0.0347, 0)</f>
        <v>44.418199999999999</v>
      </c>
      <c r="F660" s="45">
        <f>44.3835 * CHOOSE(CONTROL!$C$15, $E$9, 100%, $G$9) + CHOOSE(CONTROL!$C$38, 0.0256, 0)</f>
        <v>44.409099999999995</v>
      </c>
      <c r="G660" s="14">
        <f>42.0825 * CHOOSE(CONTROL!$C$15, $E$9, 100%, $G$9) + CHOOSE(CONTROL!$C$38, 0.0347, 0)</f>
        <v>42.117200000000004</v>
      </c>
      <c r="H660" s="14">
        <f>42.0825 * CHOOSE(CONTROL!$C$15, $E$9, 100%, $G$9) + CHOOSE(CONTROL!$C$38, 0.0347, 0)</f>
        <v>42.117200000000004</v>
      </c>
      <c r="I660" s="14">
        <f>42.084 * CHOOSE(CONTROL!$C$15, $E$9, 100%, $G$9) + CHOOSE(CONTROL!$C$38, 0.0347, 0)</f>
        <v>42.118700000000004</v>
      </c>
      <c r="J660" s="44">
        <f>363.7745</f>
        <v>363.77449999999999</v>
      </c>
    </row>
    <row r="661" spans="1:10" ht="15.75" x14ac:dyDescent="0.25">
      <c r="A661" s="32">
        <v>61056</v>
      </c>
      <c r="B661" s="14">
        <f>44.4177 * CHOOSE(CONTROL!$C$15, $E$9, 100%, $G$9) + CHOOSE(CONTROL!$C$38, 0.0256, 0)</f>
        <v>44.443300000000001</v>
      </c>
      <c r="C661" s="14">
        <f>41.9683 * CHOOSE(CONTROL!$C$15, $E$9, 100%, $G$9) + CHOOSE(CONTROL!$C$38, 0.0347, 0)</f>
        <v>42.003</v>
      </c>
      <c r="D661" s="14">
        <f>41.9605 * CHOOSE(CONTROL!$C$15, $E$9, 100%, $G$9) + CHOOSE(CONTROL!$C$38, 0.0347, 0)</f>
        <v>41.995200000000004</v>
      </c>
      <c r="E661" s="46">
        <f>44.2614 * CHOOSE(CONTROL!$C$15, $E$9, 100%, $G$9) + CHOOSE(CONTROL!$C$38, 0.0347, 0)</f>
        <v>44.296100000000003</v>
      </c>
      <c r="F661" s="45">
        <f>44.2614 * CHOOSE(CONTROL!$C$15, $E$9, 100%, $G$9) + CHOOSE(CONTROL!$C$38, 0.0256, 0)</f>
        <v>44.286999999999999</v>
      </c>
      <c r="G661" s="14">
        <f>41.9668 * CHOOSE(CONTROL!$C$15, $E$9, 100%, $G$9) + CHOOSE(CONTROL!$C$38, 0.0347, 0)</f>
        <v>42.0015</v>
      </c>
      <c r="H661" s="14">
        <f>41.9668 * CHOOSE(CONTROL!$C$15, $E$9, 100%, $G$9) + CHOOSE(CONTROL!$C$38, 0.0347, 0)</f>
        <v>42.0015</v>
      </c>
      <c r="I661" s="14">
        <f>41.9683 * CHOOSE(CONTROL!$C$15, $E$9, 100%, $G$9) + CHOOSE(CONTROL!$C$38, 0.0347, 0)</f>
        <v>42.003</v>
      </c>
      <c r="J661" s="44">
        <f>362.7634</f>
        <v>362.76339999999999</v>
      </c>
    </row>
    <row r="662" spans="1:10" ht="15.75" x14ac:dyDescent="0.25">
      <c r="A662" s="32">
        <v>61087</v>
      </c>
      <c r="B662" s="14">
        <f>46.7262 * CHOOSE(CONTROL!$C$15, $E$9, 100%, $G$9) + CHOOSE(CONTROL!$C$38, 0.0256, 0)</f>
        <v>46.751799999999996</v>
      </c>
      <c r="C662" s="14">
        <f>44.156 * CHOOSE(CONTROL!$C$15, $E$9, 100%, $G$9) + CHOOSE(CONTROL!$C$38, 0.0347, 0)</f>
        <v>44.1907</v>
      </c>
      <c r="D662" s="14">
        <f>44.1482 * CHOOSE(CONTROL!$C$15, $E$9, 100%, $G$9) + CHOOSE(CONTROL!$C$38, 0.0347, 0)</f>
        <v>44.182900000000004</v>
      </c>
      <c r="E662" s="46">
        <f>46.57 * CHOOSE(CONTROL!$C$15, $E$9, 100%, $G$9) + CHOOSE(CONTROL!$C$38, 0.0347, 0)</f>
        <v>46.604700000000001</v>
      </c>
      <c r="F662" s="45">
        <f>46.57 * CHOOSE(CONTROL!$C$15, $E$9, 100%, $G$9) + CHOOSE(CONTROL!$C$38, 0.0256, 0)</f>
        <v>46.595599999999997</v>
      </c>
      <c r="G662" s="14">
        <f>44.1544 * CHOOSE(CONTROL!$C$15, $E$9, 100%, $G$9) + CHOOSE(CONTROL!$C$38, 0.0347, 0)</f>
        <v>44.189100000000003</v>
      </c>
      <c r="H662" s="14">
        <f>44.1544 * CHOOSE(CONTROL!$C$15, $E$9, 100%, $G$9) + CHOOSE(CONTROL!$C$38, 0.0347, 0)</f>
        <v>44.189100000000003</v>
      </c>
      <c r="I662" s="14">
        <f>44.156 * CHOOSE(CONTROL!$C$15, $E$9, 100%, $G$9) + CHOOSE(CONTROL!$C$38, 0.0347, 0)</f>
        <v>44.1907</v>
      </c>
      <c r="J662" s="44">
        <f>381.8831</f>
        <v>381.88310000000001</v>
      </c>
    </row>
    <row r="663" spans="1:10" ht="15.75" x14ac:dyDescent="0.25">
      <c r="A663" s="32">
        <v>61117</v>
      </c>
      <c r="B663" s="14">
        <f>49.7198 * CHOOSE(CONTROL!$C$15, $E$9, 100%, $G$9) + CHOOSE(CONTROL!$C$38, 0.0256, 0)</f>
        <v>49.745399999999997</v>
      </c>
      <c r="C663" s="14">
        <f>46.9929 * CHOOSE(CONTROL!$C$15, $E$9, 100%, $G$9) + CHOOSE(CONTROL!$C$38, 0.0347, 0)</f>
        <v>47.0276</v>
      </c>
      <c r="D663" s="14">
        <f>46.9851 * CHOOSE(CONTROL!$C$15, $E$9, 100%, $G$9) + CHOOSE(CONTROL!$C$38, 0.0347, 0)</f>
        <v>47.019800000000004</v>
      </c>
      <c r="E663" s="46">
        <f>49.5636 * CHOOSE(CONTROL!$C$15, $E$9, 100%, $G$9) + CHOOSE(CONTROL!$C$38, 0.0347, 0)</f>
        <v>49.598300000000002</v>
      </c>
      <c r="F663" s="45">
        <f>49.5636 * CHOOSE(CONTROL!$C$15, $E$9, 100%, $G$9) + CHOOSE(CONTROL!$C$38, 0.0256, 0)</f>
        <v>49.589199999999998</v>
      </c>
      <c r="G663" s="14">
        <f>46.9913 * CHOOSE(CONTROL!$C$15, $E$9, 100%, $G$9) + CHOOSE(CONTROL!$C$38, 0.0347, 0)</f>
        <v>47.026000000000003</v>
      </c>
      <c r="H663" s="14">
        <f>46.9913 * CHOOSE(CONTROL!$C$15, $E$9, 100%, $G$9) + CHOOSE(CONTROL!$C$38, 0.0347, 0)</f>
        <v>47.026000000000003</v>
      </c>
      <c r="I663" s="14">
        <f>46.9929 * CHOOSE(CONTROL!$C$15, $E$9, 100%, $G$9) + CHOOSE(CONTROL!$C$38, 0.0347, 0)</f>
        <v>47.0276</v>
      </c>
      <c r="J663" s="44">
        <f>406.6768</f>
        <v>406.67680000000001</v>
      </c>
    </row>
    <row r="664" spans="1:10" ht="15.75" x14ac:dyDescent="0.25">
      <c r="A664" s="32">
        <v>61148</v>
      </c>
      <c r="B664" s="14">
        <f>51.3676 * CHOOSE(CONTROL!$C$15, $E$9, 100%, $G$9) + CHOOSE(CONTROL!$C$38, 0.0278, 0)</f>
        <v>51.395400000000002</v>
      </c>
      <c r="C664" s="14">
        <f>48.5544 * CHOOSE(CONTROL!$C$15, $E$9, 100%, $G$9) + CHOOSE(CONTROL!$C$38, 0.0369, 0)</f>
        <v>48.591300000000004</v>
      </c>
      <c r="D664" s="14">
        <f>48.5466 * CHOOSE(CONTROL!$C$15, $E$9, 100%, $G$9) + CHOOSE(CONTROL!$C$38, 0.0369, 0)</f>
        <v>48.583500000000001</v>
      </c>
      <c r="E664" s="46">
        <f>51.2114 * CHOOSE(CONTROL!$C$15, $E$9, 100%, $G$9) + CHOOSE(CONTROL!$C$38, 0.0369, 0)</f>
        <v>51.2483</v>
      </c>
      <c r="F664" s="45">
        <f>51.2114 * CHOOSE(CONTROL!$C$15, $E$9, 100%, $G$9) + CHOOSE(CONTROL!$C$38, 0.0278, 0)</f>
        <v>51.239199999999997</v>
      </c>
      <c r="G664" s="14">
        <f>48.5529 * CHOOSE(CONTROL!$C$15, $E$9, 100%, $G$9) + CHOOSE(CONTROL!$C$38, 0.0369, 0)</f>
        <v>48.589800000000004</v>
      </c>
      <c r="H664" s="14">
        <f>48.5529 * CHOOSE(CONTROL!$C$15, $E$9, 100%, $G$9) + CHOOSE(CONTROL!$C$38, 0.0369, 0)</f>
        <v>48.589800000000004</v>
      </c>
      <c r="I664" s="14">
        <f>48.5544 * CHOOSE(CONTROL!$C$15, $E$9, 100%, $G$9) + CHOOSE(CONTROL!$C$38, 0.0369, 0)</f>
        <v>48.591300000000004</v>
      </c>
      <c r="J664" s="44">
        <f>420.3241</f>
        <v>420.32409999999999</v>
      </c>
    </row>
    <row r="665" spans="1:10" ht="15.75" x14ac:dyDescent="0.25">
      <c r="A665" s="32">
        <v>61178</v>
      </c>
      <c r="B665" s="14">
        <f>52.0989 * CHOOSE(CONTROL!$C$15, $E$9, 100%, $G$9) + CHOOSE(CONTROL!$C$38, 0.0278, 0)</f>
        <v>52.1267</v>
      </c>
      <c r="C665" s="14">
        <f>49.2474 * CHOOSE(CONTROL!$C$15, $E$9, 100%, $G$9) + CHOOSE(CONTROL!$C$38, 0.0369, 0)</f>
        <v>49.284300000000002</v>
      </c>
      <c r="D665" s="14">
        <f>49.2396 * CHOOSE(CONTROL!$C$15, $E$9, 100%, $G$9) + CHOOSE(CONTROL!$C$38, 0.0369, 0)</f>
        <v>49.276500000000006</v>
      </c>
      <c r="E665" s="46">
        <f>51.9426 * CHOOSE(CONTROL!$C$15, $E$9, 100%, $G$9) + CHOOSE(CONTROL!$C$38, 0.0369, 0)</f>
        <v>51.979500000000002</v>
      </c>
      <c r="F665" s="45">
        <f>51.9426 * CHOOSE(CONTROL!$C$15, $E$9, 100%, $G$9) + CHOOSE(CONTROL!$C$38, 0.0278, 0)</f>
        <v>51.970399999999998</v>
      </c>
      <c r="G665" s="14">
        <f>49.2458 * CHOOSE(CONTROL!$C$15, $E$9, 100%, $G$9) + CHOOSE(CONTROL!$C$38, 0.0369, 0)</f>
        <v>49.282700000000006</v>
      </c>
      <c r="H665" s="14">
        <f>49.2458 * CHOOSE(CONTROL!$C$15, $E$9, 100%, $G$9) + CHOOSE(CONTROL!$C$38, 0.0369, 0)</f>
        <v>49.282700000000006</v>
      </c>
      <c r="I665" s="14">
        <f>49.2474 * CHOOSE(CONTROL!$C$15, $E$9, 100%, $G$9) + CHOOSE(CONTROL!$C$38, 0.0369, 0)</f>
        <v>49.284300000000002</v>
      </c>
      <c r="J665" s="44">
        <f>426.3805</f>
        <v>426.38049999999998</v>
      </c>
    </row>
    <row r="666" spans="1:10" ht="15.75" x14ac:dyDescent="0.25">
      <c r="A666" s="32">
        <v>61209</v>
      </c>
      <c r="B666" s="14">
        <f>51.8581 * CHOOSE(CONTROL!$C$15, $E$9, 100%, $G$9) + CHOOSE(CONTROL!$C$38, 0.0278, 0)</f>
        <v>51.885899999999999</v>
      </c>
      <c r="C666" s="14">
        <f>49.0192 * CHOOSE(CONTROL!$C$15, $E$9, 100%, $G$9) + CHOOSE(CONTROL!$C$38, 0.0369, 0)</f>
        <v>49.056100000000001</v>
      </c>
      <c r="D666" s="14">
        <f>49.0114 * CHOOSE(CONTROL!$C$15, $E$9, 100%, $G$9) + CHOOSE(CONTROL!$C$38, 0.0369, 0)</f>
        <v>49.048300000000005</v>
      </c>
      <c r="E666" s="46">
        <f>51.7019 * CHOOSE(CONTROL!$C$15, $E$9, 100%, $G$9) + CHOOSE(CONTROL!$C$38, 0.0369, 0)</f>
        <v>51.738800000000005</v>
      </c>
      <c r="F666" s="45">
        <f>51.7019 * CHOOSE(CONTROL!$C$15, $E$9, 100%, $G$9) + CHOOSE(CONTROL!$C$38, 0.0278, 0)</f>
        <v>51.729700000000001</v>
      </c>
      <c r="G666" s="14">
        <f>49.0177 * CHOOSE(CONTROL!$C$15, $E$9, 100%, $G$9) + CHOOSE(CONTROL!$C$38, 0.0369, 0)</f>
        <v>49.054600000000001</v>
      </c>
      <c r="H666" s="14">
        <f>49.0177 * CHOOSE(CONTROL!$C$15, $E$9, 100%, $G$9) + CHOOSE(CONTROL!$C$38, 0.0369, 0)</f>
        <v>49.054600000000001</v>
      </c>
      <c r="I666" s="14">
        <f>49.0192 * CHOOSE(CONTROL!$C$15, $E$9, 100%, $G$9) + CHOOSE(CONTROL!$C$38, 0.0369, 0)</f>
        <v>49.056100000000001</v>
      </c>
      <c r="J666" s="44">
        <f>424.3865</f>
        <v>424.38650000000001</v>
      </c>
    </row>
    <row r="667" spans="1:10" ht="15.75" x14ac:dyDescent="0.25">
      <c r="A667" s="32">
        <v>61240</v>
      </c>
      <c r="B667" s="14">
        <f>50.6653 * CHOOSE(CONTROL!$C$15, $E$9, 100%, $G$9) + CHOOSE(CONTROL!$C$38, 0.0278, 0)</f>
        <v>50.693100000000001</v>
      </c>
      <c r="C667" s="14">
        <f>47.8888 * CHOOSE(CONTROL!$C$15, $E$9, 100%, $G$9) + CHOOSE(CONTROL!$C$38, 0.0369, 0)</f>
        <v>47.925700000000006</v>
      </c>
      <c r="D667" s="14">
        <f>47.881 * CHOOSE(CONTROL!$C$15, $E$9, 100%, $G$9) + CHOOSE(CONTROL!$C$38, 0.0369, 0)</f>
        <v>47.917900000000003</v>
      </c>
      <c r="E667" s="46">
        <f>50.509 * CHOOSE(CONTROL!$C$15, $E$9, 100%, $G$9) + CHOOSE(CONTROL!$C$38, 0.0369, 0)</f>
        <v>50.545900000000003</v>
      </c>
      <c r="F667" s="45">
        <f>50.509 * CHOOSE(CONTROL!$C$15, $E$9, 100%, $G$9) + CHOOSE(CONTROL!$C$38, 0.0278, 0)</f>
        <v>50.536799999999999</v>
      </c>
      <c r="G667" s="14">
        <f>47.8873 * CHOOSE(CONTROL!$C$15, $E$9, 100%, $G$9) + CHOOSE(CONTROL!$C$38, 0.0369, 0)</f>
        <v>47.924200000000006</v>
      </c>
      <c r="H667" s="14">
        <f>47.8873 * CHOOSE(CONTROL!$C$15, $E$9, 100%, $G$9) + CHOOSE(CONTROL!$C$38, 0.0369, 0)</f>
        <v>47.924200000000006</v>
      </c>
      <c r="I667" s="14">
        <f>47.8888 * CHOOSE(CONTROL!$C$15, $E$9, 100%, $G$9) + CHOOSE(CONTROL!$C$38, 0.0369, 0)</f>
        <v>47.925700000000006</v>
      </c>
      <c r="J667" s="44">
        <f>414.5069</f>
        <v>414.50689999999997</v>
      </c>
    </row>
    <row r="668" spans="1:10" ht="15.75" x14ac:dyDescent="0.25">
      <c r="A668" s="32">
        <v>61270</v>
      </c>
      <c r="B668" s="14">
        <f>49.0017 * CHOOSE(CONTROL!$C$15, $E$9, 100%, $G$9) + CHOOSE(CONTROL!$C$38, 0.0278, 0)</f>
        <v>49.029499999999999</v>
      </c>
      <c r="C668" s="14">
        <f>46.3124 * CHOOSE(CONTROL!$C$15, $E$9, 100%, $G$9) + CHOOSE(CONTROL!$C$38, 0.0369, 0)</f>
        <v>46.349299999999999</v>
      </c>
      <c r="D668" s="14">
        <f>46.3046 * CHOOSE(CONTROL!$C$15, $E$9, 100%, $G$9) + CHOOSE(CONTROL!$C$38, 0.0369, 0)</f>
        <v>46.341500000000003</v>
      </c>
      <c r="E668" s="46">
        <f>48.8455 * CHOOSE(CONTROL!$C$15, $E$9, 100%, $G$9) + CHOOSE(CONTROL!$C$38, 0.0369, 0)</f>
        <v>48.882400000000004</v>
      </c>
      <c r="F668" s="45">
        <f>48.8455 * CHOOSE(CONTROL!$C$15, $E$9, 100%, $G$9) + CHOOSE(CONTROL!$C$38, 0.0278, 0)</f>
        <v>48.8733</v>
      </c>
      <c r="G668" s="14">
        <f>46.3108 * CHOOSE(CONTROL!$C$15, $E$9, 100%, $G$9) + CHOOSE(CONTROL!$C$38, 0.0369, 0)</f>
        <v>46.347700000000003</v>
      </c>
      <c r="H668" s="14">
        <f>46.3108 * CHOOSE(CONTROL!$C$15, $E$9, 100%, $G$9) + CHOOSE(CONTROL!$C$38, 0.0369, 0)</f>
        <v>46.347700000000003</v>
      </c>
      <c r="I668" s="14">
        <f>46.3124 * CHOOSE(CONTROL!$C$15, $E$9, 100%, $G$9) + CHOOSE(CONTROL!$C$38, 0.0369, 0)</f>
        <v>46.349299999999999</v>
      </c>
      <c r="J668" s="44">
        <f>400.7294</f>
        <v>400.7294</v>
      </c>
    </row>
    <row r="669" spans="1:10" ht="15.75" x14ac:dyDescent="0.25">
      <c r="A669" s="32">
        <v>61301</v>
      </c>
      <c r="B669" s="14">
        <f>47.3286 * CHOOSE(CONTROL!$C$15, $E$9, 100%, $G$9) + CHOOSE(CONTROL!$C$38, 0.0256, 0)</f>
        <v>47.354199999999999</v>
      </c>
      <c r="C669" s="14">
        <f>44.7268 * CHOOSE(CONTROL!$C$15, $E$9, 100%, $G$9) + CHOOSE(CONTROL!$C$38, 0.0347, 0)</f>
        <v>44.761499999999998</v>
      </c>
      <c r="D669" s="14">
        <f>44.719 * CHOOSE(CONTROL!$C$15, $E$9, 100%, $G$9) + CHOOSE(CONTROL!$C$38, 0.0347, 0)</f>
        <v>44.753700000000002</v>
      </c>
      <c r="E669" s="46">
        <f>47.1723 * CHOOSE(CONTROL!$C$15, $E$9, 100%, $G$9) + CHOOSE(CONTROL!$C$38, 0.0347, 0)</f>
        <v>47.207000000000001</v>
      </c>
      <c r="F669" s="45">
        <f>47.1723 * CHOOSE(CONTROL!$C$15, $E$9, 100%, $G$9) + CHOOSE(CONTROL!$C$38, 0.0256, 0)</f>
        <v>47.197899999999997</v>
      </c>
      <c r="G669" s="14">
        <f>44.7252 * CHOOSE(CONTROL!$C$15, $E$9, 100%, $G$9) + CHOOSE(CONTROL!$C$38, 0.0347, 0)</f>
        <v>44.759900000000002</v>
      </c>
      <c r="H669" s="14">
        <f>44.7252 * CHOOSE(CONTROL!$C$15, $E$9, 100%, $G$9) + CHOOSE(CONTROL!$C$38, 0.0347, 0)</f>
        <v>44.759900000000002</v>
      </c>
      <c r="I669" s="14">
        <f>44.7268 * CHOOSE(CONTROL!$C$15, $E$9, 100%, $G$9) + CHOOSE(CONTROL!$C$38, 0.0347, 0)</f>
        <v>44.761499999999998</v>
      </c>
      <c r="J669" s="44">
        <f>386.8718</f>
        <v>386.87180000000001</v>
      </c>
    </row>
    <row r="670" spans="1:10" ht="15.75" x14ac:dyDescent="0.25">
      <c r="A670" s="32">
        <v>61331</v>
      </c>
      <c r="B670" s="14">
        <f>46.9957 * CHOOSE(CONTROL!$C$15, $E$9, 100%, $G$9) + CHOOSE(CONTROL!$C$38, 0.0256, 0)</f>
        <v>47.021299999999997</v>
      </c>
      <c r="C670" s="14">
        <f>44.4114 * CHOOSE(CONTROL!$C$15, $E$9, 100%, $G$9) + CHOOSE(CONTROL!$C$38, 0.0347, 0)</f>
        <v>44.446100000000001</v>
      </c>
      <c r="D670" s="14">
        <f>44.4036 * CHOOSE(CONTROL!$C$15, $E$9, 100%, $G$9) + CHOOSE(CONTROL!$C$38, 0.0347, 0)</f>
        <v>44.438299999999998</v>
      </c>
      <c r="E670" s="46">
        <f>46.8395 * CHOOSE(CONTROL!$C$15, $E$9, 100%, $G$9) + CHOOSE(CONTROL!$C$38, 0.0347, 0)</f>
        <v>46.874200000000002</v>
      </c>
      <c r="F670" s="45">
        <f>46.8395 * CHOOSE(CONTROL!$C$15, $E$9, 100%, $G$9) + CHOOSE(CONTROL!$C$38, 0.0256, 0)</f>
        <v>46.865099999999998</v>
      </c>
      <c r="G670" s="14">
        <f>44.4098 * CHOOSE(CONTROL!$C$15, $E$9, 100%, $G$9) + CHOOSE(CONTROL!$C$38, 0.0347, 0)</f>
        <v>44.444499999999998</v>
      </c>
      <c r="H670" s="14">
        <f>44.4098 * CHOOSE(CONTROL!$C$15, $E$9, 100%, $G$9) + CHOOSE(CONTROL!$C$38, 0.0347, 0)</f>
        <v>44.444499999999998</v>
      </c>
      <c r="I670" s="14">
        <f>44.4114 * CHOOSE(CONTROL!$C$15, $E$9, 100%, $G$9) + CHOOSE(CONTROL!$C$38, 0.0347, 0)</f>
        <v>44.446100000000001</v>
      </c>
      <c r="J670" s="44">
        <f>384.1152</f>
        <v>384.11520000000002</v>
      </c>
    </row>
    <row r="671" spans="1:10" ht="15.75" x14ac:dyDescent="0.25">
      <c r="A671" s="32">
        <v>61362</v>
      </c>
      <c r="B671" s="14">
        <f>45.6194 * CHOOSE(CONTROL!$C$15, $E$9, 100%, $G$9) + CHOOSE(CONTROL!$C$38, 0.0256, 0)</f>
        <v>45.644999999999996</v>
      </c>
      <c r="C671" s="14">
        <f>43.1072 * CHOOSE(CONTROL!$C$15, $E$9, 100%, $G$9) + CHOOSE(CONTROL!$C$38, 0.0347, 0)</f>
        <v>43.1419</v>
      </c>
      <c r="D671" s="14">
        <f>43.0994 * CHOOSE(CONTROL!$C$15, $E$9, 100%, $G$9) + CHOOSE(CONTROL!$C$38, 0.0347, 0)</f>
        <v>43.134100000000004</v>
      </c>
      <c r="E671" s="46">
        <f>45.4632 * CHOOSE(CONTROL!$C$15, $E$9, 100%, $G$9) + CHOOSE(CONTROL!$C$38, 0.0347, 0)</f>
        <v>45.497900000000001</v>
      </c>
      <c r="F671" s="45">
        <f>45.4632 * CHOOSE(CONTROL!$C$15, $E$9, 100%, $G$9) + CHOOSE(CONTROL!$C$38, 0.0256, 0)</f>
        <v>45.488799999999998</v>
      </c>
      <c r="G671" s="14">
        <f>43.1056 * CHOOSE(CONTROL!$C$15, $E$9, 100%, $G$9) + CHOOSE(CONTROL!$C$38, 0.0347, 0)</f>
        <v>43.140300000000003</v>
      </c>
      <c r="H671" s="14">
        <f>43.1056 * CHOOSE(CONTROL!$C$15, $E$9, 100%, $G$9) + CHOOSE(CONTROL!$C$38, 0.0347, 0)</f>
        <v>43.140300000000003</v>
      </c>
      <c r="I671" s="14">
        <f>43.1072 * CHOOSE(CONTROL!$C$15, $E$9, 100%, $G$9) + CHOOSE(CONTROL!$C$38, 0.0347, 0)</f>
        <v>43.1419</v>
      </c>
      <c r="J671" s="44">
        <f>372.7166</f>
        <v>372.71660000000003</v>
      </c>
    </row>
    <row r="672" spans="1:10" ht="15.75" x14ac:dyDescent="0.25">
      <c r="A672" s="32">
        <v>61393</v>
      </c>
      <c r="B672" s="14">
        <f>45.2777 * CHOOSE(CONTROL!$C$15, $E$9, 100%, $G$9) + CHOOSE(CONTROL!$C$38, 0.0256, 0)</f>
        <v>45.3033</v>
      </c>
      <c r="C672" s="14">
        <f>42.7833 * CHOOSE(CONTROL!$C$15, $E$9, 100%, $G$9) + CHOOSE(CONTROL!$C$38, 0.0347, 0)</f>
        <v>42.817999999999998</v>
      </c>
      <c r="D672" s="14">
        <f>42.7755 * CHOOSE(CONTROL!$C$15, $E$9, 100%, $G$9) + CHOOSE(CONTROL!$C$38, 0.0347, 0)</f>
        <v>42.810200000000002</v>
      </c>
      <c r="E672" s="46">
        <f>45.1214 * CHOOSE(CONTROL!$C$15, $E$9, 100%, $G$9) + CHOOSE(CONTROL!$C$38, 0.0347, 0)</f>
        <v>45.156100000000002</v>
      </c>
      <c r="F672" s="45">
        <f>45.1214 * CHOOSE(CONTROL!$C$15, $E$9, 100%, $G$9) + CHOOSE(CONTROL!$C$38, 0.0256, 0)</f>
        <v>45.146999999999998</v>
      </c>
      <c r="G672" s="14">
        <f>42.7817 * CHOOSE(CONTROL!$C$15, $E$9, 100%, $G$9) + CHOOSE(CONTROL!$C$38, 0.0347, 0)</f>
        <v>42.816400000000002</v>
      </c>
      <c r="H672" s="14">
        <f>42.7817 * CHOOSE(CONTROL!$C$15, $E$9, 100%, $G$9) + CHOOSE(CONTROL!$C$38, 0.0347, 0)</f>
        <v>42.816400000000002</v>
      </c>
      <c r="I672" s="14">
        <f>42.7833 * CHOOSE(CONTROL!$C$15, $E$9, 100%, $G$9) + CHOOSE(CONTROL!$C$38, 0.0347, 0)</f>
        <v>42.817999999999998</v>
      </c>
      <c r="J672" s="44">
        <f>372.2359</f>
        <v>372.23590000000002</v>
      </c>
    </row>
    <row r="673" spans="1:10" ht="15.75" x14ac:dyDescent="0.25">
      <c r="A673" s="32">
        <v>61422</v>
      </c>
      <c r="B673" s="14">
        <f>45.1535 * CHOOSE(CONTROL!$C$15, $E$9, 100%, $G$9) + CHOOSE(CONTROL!$C$38, 0.0256, 0)</f>
        <v>45.179099999999998</v>
      </c>
      <c r="C673" s="14">
        <f>42.6656 * CHOOSE(CONTROL!$C$15, $E$9, 100%, $G$9) + CHOOSE(CONTROL!$C$38, 0.0347, 0)</f>
        <v>42.700299999999999</v>
      </c>
      <c r="D673" s="14">
        <f>42.6578 * CHOOSE(CONTROL!$C$15, $E$9, 100%, $G$9) + CHOOSE(CONTROL!$C$38, 0.0347, 0)</f>
        <v>42.692500000000003</v>
      </c>
      <c r="E673" s="46">
        <f>44.9973 * CHOOSE(CONTROL!$C$15, $E$9, 100%, $G$9) + CHOOSE(CONTROL!$C$38, 0.0347, 0)</f>
        <v>45.032000000000004</v>
      </c>
      <c r="F673" s="45">
        <f>44.9973 * CHOOSE(CONTROL!$C$15, $E$9, 100%, $G$9) + CHOOSE(CONTROL!$C$38, 0.0256, 0)</f>
        <v>45.0229</v>
      </c>
      <c r="G673" s="14">
        <f>42.6641 * CHOOSE(CONTROL!$C$15, $E$9, 100%, $G$9) + CHOOSE(CONTROL!$C$38, 0.0347, 0)</f>
        <v>42.698799999999999</v>
      </c>
      <c r="H673" s="14">
        <f>42.6641 * CHOOSE(CONTROL!$C$15, $E$9, 100%, $G$9) + CHOOSE(CONTROL!$C$38, 0.0347, 0)</f>
        <v>42.698799999999999</v>
      </c>
      <c r="I673" s="14">
        <f>42.6656 * CHOOSE(CONTROL!$C$15, $E$9, 100%, $G$9) + CHOOSE(CONTROL!$C$38, 0.0347, 0)</f>
        <v>42.700299999999999</v>
      </c>
      <c r="J673" s="44">
        <f>371.2013</f>
        <v>371.2013</v>
      </c>
    </row>
    <row r="674" spans="1:10" ht="15.75" x14ac:dyDescent="0.25">
      <c r="A674" s="32">
        <v>61453</v>
      </c>
      <c r="B674" s="14">
        <f>47.5008 * CHOOSE(CONTROL!$C$15, $E$9, 100%, $G$9) + CHOOSE(CONTROL!$C$38, 0.0256, 0)</f>
        <v>47.526399999999995</v>
      </c>
      <c r="C674" s="14">
        <f>44.8901 * CHOOSE(CONTROL!$C$15, $E$9, 100%, $G$9) + CHOOSE(CONTROL!$C$38, 0.0347, 0)</f>
        <v>44.924799999999998</v>
      </c>
      <c r="D674" s="14">
        <f>44.8823 * CHOOSE(CONTROL!$C$15, $E$9, 100%, $G$9) + CHOOSE(CONTROL!$C$38, 0.0347, 0)</f>
        <v>44.917000000000002</v>
      </c>
      <c r="E674" s="46">
        <f>47.3446 * CHOOSE(CONTROL!$C$15, $E$9, 100%, $G$9) + CHOOSE(CONTROL!$C$38, 0.0347, 0)</f>
        <v>47.379300000000001</v>
      </c>
      <c r="F674" s="45">
        <f>47.3446 * CHOOSE(CONTROL!$C$15, $E$9, 100%, $G$9) + CHOOSE(CONTROL!$C$38, 0.0256, 0)</f>
        <v>47.370199999999997</v>
      </c>
      <c r="G674" s="14">
        <f>44.8885 * CHOOSE(CONTROL!$C$15, $E$9, 100%, $G$9) + CHOOSE(CONTROL!$C$38, 0.0347, 0)</f>
        <v>44.923200000000001</v>
      </c>
      <c r="H674" s="14">
        <f>44.8885 * CHOOSE(CONTROL!$C$15, $E$9, 100%, $G$9) + CHOOSE(CONTROL!$C$38, 0.0347, 0)</f>
        <v>44.923200000000001</v>
      </c>
      <c r="I674" s="14">
        <f>44.8901 * CHOOSE(CONTROL!$C$15, $E$9, 100%, $G$9) + CHOOSE(CONTROL!$C$38, 0.0347, 0)</f>
        <v>44.924799999999998</v>
      </c>
      <c r="J674" s="44">
        <f>390.7657</f>
        <v>390.76569999999998</v>
      </c>
    </row>
    <row r="675" spans="1:10" ht="15.75" x14ac:dyDescent="0.25">
      <c r="A675" s="32">
        <v>61483</v>
      </c>
      <c r="B675" s="14">
        <f>50.5448 * CHOOSE(CONTROL!$C$15, $E$9, 100%, $G$9) + CHOOSE(CONTROL!$C$38, 0.0256, 0)</f>
        <v>50.570399999999999</v>
      </c>
      <c r="C675" s="14">
        <f>47.7746 * CHOOSE(CONTROL!$C$15, $E$9, 100%, $G$9) + CHOOSE(CONTROL!$C$38, 0.0347, 0)</f>
        <v>47.8093</v>
      </c>
      <c r="D675" s="14">
        <f>47.7668 * CHOOSE(CONTROL!$C$15, $E$9, 100%, $G$9) + CHOOSE(CONTROL!$C$38, 0.0347, 0)</f>
        <v>47.801500000000004</v>
      </c>
      <c r="E675" s="46">
        <f>50.3885 * CHOOSE(CONTROL!$C$15, $E$9, 100%, $G$9) + CHOOSE(CONTROL!$C$38, 0.0347, 0)</f>
        <v>50.423200000000001</v>
      </c>
      <c r="F675" s="45">
        <f>50.3885 * CHOOSE(CONTROL!$C$15, $E$9, 100%, $G$9) + CHOOSE(CONTROL!$C$38, 0.0256, 0)</f>
        <v>50.414099999999998</v>
      </c>
      <c r="G675" s="14">
        <f>47.7731 * CHOOSE(CONTROL!$C$15, $E$9, 100%, $G$9) + CHOOSE(CONTROL!$C$38, 0.0347, 0)</f>
        <v>47.8078</v>
      </c>
      <c r="H675" s="14">
        <f>47.7731 * CHOOSE(CONTROL!$C$15, $E$9, 100%, $G$9) + CHOOSE(CONTROL!$C$38, 0.0347, 0)</f>
        <v>47.8078</v>
      </c>
      <c r="I675" s="14">
        <f>47.7746 * CHOOSE(CONTROL!$C$15, $E$9, 100%, $G$9) + CHOOSE(CONTROL!$C$38, 0.0347, 0)</f>
        <v>47.8093</v>
      </c>
      <c r="J675" s="44">
        <f>416.1361</f>
        <v>416.1361</v>
      </c>
    </row>
    <row r="676" spans="1:10" ht="15.75" x14ac:dyDescent="0.25">
      <c r="A676" s="32">
        <v>61514</v>
      </c>
      <c r="B676" s="14">
        <f>52.2202 * CHOOSE(CONTROL!$C$15, $E$9, 100%, $G$9) + CHOOSE(CONTROL!$C$38, 0.0278, 0)</f>
        <v>52.247999999999998</v>
      </c>
      <c r="C676" s="14">
        <f>49.3624 * CHOOSE(CONTROL!$C$15, $E$9, 100%, $G$9) + CHOOSE(CONTROL!$C$38, 0.0369, 0)</f>
        <v>49.399300000000004</v>
      </c>
      <c r="D676" s="14">
        <f>49.3546 * CHOOSE(CONTROL!$C$15, $E$9, 100%, $G$9) + CHOOSE(CONTROL!$C$38, 0.0369, 0)</f>
        <v>49.391500000000001</v>
      </c>
      <c r="E676" s="46">
        <f>52.064 * CHOOSE(CONTROL!$C$15, $E$9, 100%, $G$9) + CHOOSE(CONTROL!$C$38, 0.0369, 0)</f>
        <v>52.100900000000003</v>
      </c>
      <c r="F676" s="45">
        <f>52.064 * CHOOSE(CONTROL!$C$15, $E$9, 100%, $G$9) + CHOOSE(CONTROL!$C$38, 0.0278, 0)</f>
        <v>52.091799999999999</v>
      </c>
      <c r="G676" s="14">
        <f>49.3608 * CHOOSE(CONTROL!$C$15, $E$9, 100%, $G$9) + CHOOSE(CONTROL!$C$38, 0.0369, 0)</f>
        <v>49.3977</v>
      </c>
      <c r="H676" s="14">
        <f>49.3608 * CHOOSE(CONTROL!$C$15, $E$9, 100%, $G$9) + CHOOSE(CONTROL!$C$38, 0.0369, 0)</f>
        <v>49.3977</v>
      </c>
      <c r="I676" s="14">
        <f>49.3624 * CHOOSE(CONTROL!$C$15, $E$9, 100%, $G$9) + CHOOSE(CONTROL!$C$38, 0.0369, 0)</f>
        <v>49.399300000000004</v>
      </c>
      <c r="J676" s="44">
        <f>430.1008</f>
        <v>430.10079999999999</v>
      </c>
    </row>
    <row r="677" spans="1:10" ht="15.75" x14ac:dyDescent="0.25">
      <c r="A677" s="32">
        <v>61544</v>
      </c>
      <c r="B677" s="14">
        <f>52.9638 * CHOOSE(CONTROL!$C$15, $E$9, 100%, $G$9) + CHOOSE(CONTROL!$C$38, 0.0278, 0)</f>
        <v>52.991599999999998</v>
      </c>
      <c r="C677" s="14">
        <f>50.067 * CHOOSE(CONTROL!$C$15, $E$9, 100%, $G$9) + CHOOSE(CONTROL!$C$38, 0.0369, 0)</f>
        <v>50.103900000000003</v>
      </c>
      <c r="D677" s="14">
        <f>50.0592 * CHOOSE(CONTROL!$C$15, $E$9, 100%, $G$9) + CHOOSE(CONTROL!$C$38, 0.0369, 0)</f>
        <v>50.0961</v>
      </c>
      <c r="E677" s="46">
        <f>52.8075 * CHOOSE(CONTROL!$C$15, $E$9, 100%, $G$9) + CHOOSE(CONTROL!$C$38, 0.0369, 0)</f>
        <v>52.8444</v>
      </c>
      <c r="F677" s="45">
        <f>52.8075 * CHOOSE(CONTROL!$C$15, $E$9, 100%, $G$9) + CHOOSE(CONTROL!$C$38, 0.0278, 0)</f>
        <v>52.835299999999997</v>
      </c>
      <c r="G677" s="14">
        <f>50.0654 * CHOOSE(CONTROL!$C$15, $E$9, 100%, $G$9) + CHOOSE(CONTROL!$C$38, 0.0369, 0)</f>
        <v>50.1023</v>
      </c>
      <c r="H677" s="14">
        <f>50.0654 * CHOOSE(CONTROL!$C$15, $E$9, 100%, $G$9) + CHOOSE(CONTROL!$C$38, 0.0369, 0)</f>
        <v>50.1023</v>
      </c>
      <c r="I677" s="14">
        <f>50.067 * CHOOSE(CONTROL!$C$15, $E$9, 100%, $G$9) + CHOOSE(CONTROL!$C$38, 0.0369, 0)</f>
        <v>50.103900000000003</v>
      </c>
      <c r="J677" s="44">
        <f>436.2981</f>
        <v>436.29809999999998</v>
      </c>
    </row>
    <row r="678" spans="1:10" ht="15.75" x14ac:dyDescent="0.25">
      <c r="A678" s="32">
        <v>61575</v>
      </c>
      <c r="B678" s="14">
        <f>52.719 * CHOOSE(CONTROL!$C$15, $E$9, 100%, $G$9) + CHOOSE(CONTROL!$C$38, 0.0278, 0)</f>
        <v>52.7468</v>
      </c>
      <c r="C678" s="14">
        <f>49.835 * CHOOSE(CONTROL!$C$15, $E$9, 100%, $G$9) + CHOOSE(CONTROL!$C$38, 0.0369, 0)</f>
        <v>49.871900000000004</v>
      </c>
      <c r="D678" s="14">
        <f>49.8272 * CHOOSE(CONTROL!$C$15, $E$9, 100%, $G$9) + CHOOSE(CONTROL!$C$38, 0.0369, 0)</f>
        <v>49.864100000000001</v>
      </c>
      <c r="E678" s="46">
        <f>52.5627 * CHOOSE(CONTROL!$C$15, $E$9, 100%, $G$9) + CHOOSE(CONTROL!$C$38, 0.0369, 0)</f>
        <v>52.599600000000002</v>
      </c>
      <c r="F678" s="45">
        <f>52.5627 * CHOOSE(CONTROL!$C$15, $E$9, 100%, $G$9) + CHOOSE(CONTROL!$C$38, 0.0278, 0)</f>
        <v>52.590499999999999</v>
      </c>
      <c r="G678" s="14">
        <f>49.8334 * CHOOSE(CONTROL!$C$15, $E$9, 100%, $G$9) + CHOOSE(CONTROL!$C$38, 0.0369, 0)</f>
        <v>49.8703</v>
      </c>
      <c r="H678" s="14">
        <f>49.8334 * CHOOSE(CONTROL!$C$15, $E$9, 100%, $G$9) + CHOOSE(CONTROL!$C$38, 0.0369, 0)</f>
        <v>49.8703</v>
      </c>
      <c r="I678" s="14">
        <f>49.835 * CHOOSE(CONTROL!$C$15, $E$9, 100%, $G$9) + CHOOSE(CONTROL!$C$38, 0.0369, 0)</f>
        <v>49.871900000000004</v>
      </c>
      <c r="J678" s="44">
        <f>434.2577</f>
        <v>434.2577</v>
      </c>
    </row>
    <row r="679" spans="1:10" ht="15.75" x14ac:dyDescent="0.25">
      <c r="A679" s="32">
        <v>61606</v>
      </c>
      <c r="B679" s="14">
        <f>51.506 * CHOOSE(CONTROL!$C$15, $E$9, 100%, $G$9) + CHOOSE(CONTROL!$C$38, 0.0278, 0)</f>
        <v>51.533799999999999</v>
      </c>
      <c r="C679" s="14">
        <f>48.6856 * CHOOSE(CONTROL!$C$15, $E$9, 100%, $G$9) + CHOOSE(CONTROL!$C$38, 0.0369, 0)</f>
        <v>48.722500000000004</v>
      </c>
      <c r="D679" s="14">
        <f>48.6778 * CHOOSE(CONTROL!$C$15, $E$9, 100%, $G$9) + CHOOSE(CONTROL!$C$38, 0.0369, 0)</f>
        <v>48.714700000000001</v>
      </c>
      <c r="E679" s="46">
        <f>51.3498 * CHOOSE(CONTROL!$C$15, $E$9, 100%, $G$9) + CHOOSE(CONTROL!$C$38, 0.0369, 0)</f>
        <v>51.386700000000005</v>
      </c>
      <c r="F679" s="45">
        <f>51.3498 * CHOOSE(CONTROL!$C$15, $E$9, 100%, $G$9) + CHOOSE(CONTROL!$C$38, 0.0278, 0)</f>
        <v>51.377600000000001</v>
      </c>
      <c r="G679" s="14">
        <f>48.684 * CHOOSE(CONTROL!$C$15, $E$9, 100%, $G$9) + CHOOSE(CONTROL!$C$38, 0.0369, 0)</f>
        <v>48.7209</v>
      </c>
      <c r="H679" s="14">
        <f>48.684 * CHOOSE(CONTROL!$C$15, $E$9, 100%, $G$9) + CHOOSE(CONTROL!$C$38, 0.0369, 0)</f>
        <v>48.7209</v>
      </c>
      <c r="I679" s="14">
        <f>48.6856 * CHOOSE(CONTROL!$C$15, $E$9, 100%, $G$9) + CHOOSE(CONTROL!$C$38, 0.0369, 0)</f>
        <v>48.722500000000004</v>
      </c>
      <c r="J679" s="44">
        <f>424.1483</f>
        <v>424.14830000000001</v>
      </c>
    </row>
    <row r="680" spans="1:10" ht="15.75" x14ac:dyDescent="0.25">
      <c r="A680" s="32">
        <v>61636</v>
      </c>
      <c r="B680" s="14">
        <f>49.8146 * CHOOSE(CONTROL!$C$15, $E$9, 100%, $G$9) + CHOOSE(CONTROL!$C$38, 0.0278, 0)</f>
        <v>49.842399999999998</v>
      </c>
      <c r="C680" s="14">
        <f>47.0827 * CHOOSE(CONTROL!$C$15, $E$9, 100%, $G$9) + CHOOSE(CONTROL!$C$38, 0.0369, 0)</f>
        <v>47.119600000000005</v>
      </c>
      <c r="D680" s="14">
        <f>47.0749 * CHOOSE(CONTROL!$C$15, $E$9, 100%, $G$9) + CHOOSE(CONTROL!$C$38, 0.0369, 0)</f>
        <v>47.111800000000002</v>
      </c>
      <c r="E680" s="46">
        <f>49.6583 * CHOOSE(CONTROL!$C$15, $E$9, 100%, $G$9) + CHOOSE(CONTROL!$C$38, 0.0369, 0)</f>
        <v>49.6952</v>
      </c>
      <c r="F680" s="45">
        <f>49.6583 * CHOOSE(CONTROL!$C$15, $E$9, 100%, $G$9) + CHOOSE(CONTROL!$C$38, 0.0278, 0)</f>
        <v>49.686099999999996</v>
      </c>
      <c r="G680" s="14">
        <f>47.0811 * CHOOSE(CONTROL!$C$15, $E$9, 100%, $G$9) + CHOOSE(CONTROL!$C$38, 0.0369, 0)</f>
        <v>47.118000000000002</v>
      </c>
      <c r="H680" s="14">
        <f>47.0811 * CHOOSE(CONTROL!$C$15, $E$9, 100%, $G$9) + CHOOSE(CONTROL!$C$38, 0.0369, 0)</f>
        <v>47.118000000000002</v>
      </c>
      <c r="I680" s="14">
        <f>47.0827 * CHOOSE(CONTROL!$C$15, $E$9, 100%, $G$9) + CHOOSE(CONTROL!$C$38, 0.0369, 0)</f>
        <v>47.119600000000005</v>
      </c>
      <c r="J680" s="44">
        <f>410.0504</f>
        <v>410.05040000000002</v>
      </c>
    </row>
    <row r="681" spans="1:10" ht="15.75" x14ac:dyDescent="0.25">
      <c r="A681" s="32">
        <v>61667</v>
      </c>
      <c r="B681" s="14">
        <f>48.1133 * CHOOSE(CONTROL!$C$15, $E$9, 100%, $G$9) + CHOOSE(CONTROL!$C$38, 0.0256, 0)</f>
        <v>48.1389</v>
      </c>
      <c r="C681" s="14">
        <f>45.4705 * CHOOSE(CONTROL!$C$15, $E$9, 100%, $G$9) + CHOOSE(CONTROL!$C$38, 0.0347, 0)</f>
        <v>45.505200000000002</v>
      </c>
      <c r="D681" s="14">
        <f>45.4626 * CHOOSE(CONTROL!$C$15, $E$9, 100%, $G$9) + CHOOSE(CONTROL!$C$38, 0.0347, 0)</f>
        <v>45.497300000000003</v>
      </c>
      <c r="E681" s="46">
        <f>47.957 * CHOOSE(CONTROL!$C$15, $E$9, 100%, $G$9) + CHOOSE(CONTROL!$C$38, 0.0347, 0)</f>
        <v>47.991700000000002</v>
      </c>
      <c r="F681" s="45">
        <f>47.957 * CHOOSE(CONTROL!$C$15, $E$9, 100%, $G$9) + CHOOSE(CONTROL!$C$38, 0.0256, 0)</f>
        <v>47.982599999999998</v>
      </c>
      <c r="G681" s="14">
        <f>45.4689 * CHOOSE(CONTROL!$C$15, $E$9, 100%, $G$9) + CHOOSE(CONTROL!$C$38, 0.0347, 0)</f>
        <v>45.503599999999999</v>
      </c>
      <c r="H681" s="14">
        <f>45.4689 * CHOOSE(CONTROL!$C$15, $E$9, 100%, $G$9) + CHOOSE(CONTROL!$C$38, 0.0347, 0)</f>
        <v>45.503599999999999</v>
      </c>
      <c r="I681" s="14">
        <f>45.4705 * CHOOSE(CONTROL!$C$15, $E$9, 100%, $G$9) + CHOOSE(CONTROL!$C$38, 0.0347, 0)</f>
        <v>45.505200000000002</v>
      </c>
      <c r="J681" s="44">
        <f>395.8704</f>
        <v>395.87040000000002</v>
      </c>
    </row>
    <row r="682" spans="1:10" ht="15.75" x14ac:dyDescent="0.25">
      <c r="A682" s="32">
        <v>61697</v>
      </c>
      <c r="B682" s="14">
        <f>47.7749 * CHOOSE(CONTROL!$C$15, $E$9, 100%, $G$9) + CHOOSE(CONTROL!$C$38, 0.0256, 0)</f>
        <v>47.8005</v>
      </c>
      <c r="C682" s="14">
        <f>45.1498 * CHOOSE(CONTROL!$C$15, $E$9, 100%, $G$9) + CHOOSE(CONTROL!$C$38, 0.0347, 0)</f>
        <v>45.1845</v>
      </c>
      <c r="D682" s="14">
        <f>45.1419 * CHOOSE(CONTROL!$C$15, $E$9, 100%, $G$9) + CHOOSE(CONTROL!$C$38, 0.0347, 0)</f>
        <v>45.176600000000001</v>
      </c>
      <c r="E682" s="46">
        <f>47.6186 * CHOOSE(CONTROL!$C$15, $E$9, 100%, $G$9) + CHOOSE(CONTROL!$C$38, 0.0347, 0)</f>
        <v>47.653300000000002</v>
      </c>
      <c r="F682" s="45">
        <f>47.6186 * CHOOSE(CONTROL!$C$15, $E$9, 100%, $G$9) + CHOOSE(CONTROL!$C$38, 0.0256, 0)</f>
        <v>47.644199999999998</v>
      </c>
      <c r="G682" s="14">
        <f>45.1482 * CHOOSE(CONTROL!$C$15, $E$9, 100%, $G$9) + CHOOSE(CONTROL!$C$38, 0.0347, 0)</f>
        <v>45.182900000000004</v>
      </c>
      <c r="H682" s="14">
        <f>45.1482 * CHOOSE(CONTROL!$C$15, $E$9, 100%, $G$9) + CHOOSE(CONTROL!$C$38, 0.0347, 0)</f>
        <v>45.182900000000004</v>
      </c>
      <c r="I682" s="14">
        <f>45.1498 * CHOOSE(CONTROL!$C$15, $E$9, 100%, $G$9) + CHOOSE(CONTROL!$C$38, 0.0347, 0)</f>
        <v>45.1845</v>
      </c>
      <c r="J682" s="44">
        <f>393.0497</f>
        <v>393.04969999999997</v>
      </c>
    </row>
    <row r="683" spans="1:10" ht="15.75" x14ac:dyDescent="0.25">
      <c r="A683" s="32">
        <v>61728</v>
      </c>
      <c r="B683" s="14">
        <f>46.3755 * CHOOSE(CONTROL!$C$15, $E$9, 100%, $G$9) + CHOOSE(CONTROL!$C$38, 0.0256, 0)</f>
        <v>46.4011</v>
      </c>
      <c r="C683" s="14">
        <f>43.8236 * CHOOSE(CONTROL!$C$15, $E$9, 100%, $G$9) + CHOOSE(CONTROL!$C$38, 0.0347, 0)</f>
        <v>43.8583</v>
      </c>
      <c r="D683" s="14">
        <f>43.8158 * CHOOSE(CONTROL!$C$15, $E$9, 100%, $G$9) + CHOOSE(CONTROL!$C$38, 0.0347, 0)</f>
        <v>43.850500000000004</v>
      </c>
      <c r="E683" s="46">
        <f>46.2192 * CHOOSE(CONTROL!$C$15, $E$9, 100%, $G$9) + CHOOSE(CONTROL!$C$38, 0.0347, 0)</f>
        <v>46.253900000000002</v>
      </c>
      <c r="F683" s="45">
        <f>46.2192 * CHOOSE(CONTROL!$C$15, $E$9, 100%, $G$9) + CHOOSE(CONTROL!$C$38, 0.0256, 0)</f>
        <v>46.244799999999998</v>
      </c>
      <c r="G683" s="14">
        <f>43.822 * CHOOSE(CONTROL!$C$15, $E$9, 100%, $G$9) + CHOOSE(CONTROL!$C$38, 0.0347, 0)</f>
        <v>43.856700000000004</v>
      </c>
      <c r="H683" s="14">
        <f>43.822 * CHOOSE(CONTROL!$C$15, $E$9, 100%, $G$9) + CHOOSE(CONTROL!$C$38, 0.0347, 0)</f>
        <v>43.856700000000004</v>
      </c>
      <c r="I683" s="14">
        <f>43.8236 * CHOOSE(CONTROL!$C$15, $E$9, 100%, $G$9) + CHOOSE(CONTROL!$C$38, 0.0347, 0)</f>
        <v>43.8583</v>
      </c>
      <c r="J683" s="44">
        <f>381.386</f>
        <v>381.38600000000002</v>
      </c>
    </row>
    <row r="684" spans="1:10" ht="15.75" x14ac:dyDescent="0.25">
      <c r="A684" s="32">
        <v>61759</v>
      </c>
      <c r="B684" s="14">
        <f>46.0279 * CHOOSE(CONTROL!$C$15, $E$9, 100%, $G$9) + CHOOSE(CONTROL!$C$38, 0.0256, 0)</f>
        <v>46.0535</v>
      </c>
      <c r="C684" s="14">
        <f>43.4943 * CHOOSE(CONTROL!$C$15, $E$9, 100%, $G$9) + CHOOSE(CONTROL!$C$38, 0.0347, 0)</f>
        <v>43.529000000000003</v>
      </c>
      <c r="D684" s="14">
        <f>43.4865 * CHOOSE(CONTROL!$C$15, $E$9, 100%, $G$9) + CHOOSE(CONTROL!$C$38, 0.0347, 0)</f>
        <v>43.5212</v>
      </c>
      <c r="E684" s="46">
        <f>45.8717 * CHOOSE(CONTROL!$C$15, $E$9, 100%, $G$9) + CHOOSE(CONTROL!$C$38, 0.0347, 0)</f>
        <v>45.906399999999998</v>
      </c>
      <c r="F684" s="45">
        <f>45.8717 * CHOOSE(CONTROL!$C$15, $E$9, 100%, $G$9) + CHOOSE(CONTROL!$C$38, 0.0256, 0)</f>
        <v>45.897299999999994</v>
      </c>
      <c r="G684" s="14">
        <f>43.4927 * CHOOSE(CONTROL!$C$15, $E$9, 100%, $G$9) + CHOOSE(CONTROL!$C$38, 0.0347, 0)</f>
        <v>43.5274</v>
      </c>
      <c r="H684" s="14">
        <f>43.4927 * CHOOSE(CONTROL!$C$15, $E$9, 100%, $G$9) + CHOOSE(CONTROL!$C$38, 0.0347, 0)</f>
        <v>43.5274</v>
      </c>
      <c r="I684" s="14">
        <f>43.4943 * CHOOSE(CONTROL!$C$15, $E$9, 100%, $G$9) + CHOOSE(CONTROL!$C$38, 0.0347, 0)</f>
        <v>43.529000000000003</v>
      </c>
      <c r="J684" s="44">
        <f>380.8942</f>
        <v>380.89420000000001</v>
      </c>
    </row>
    <row r="685" spans="1:10" ht="15.75" x14ac:dyDescent="0.25">
      <c r="A685" s="32">
        <v>61787</v>
      </c>
      <c r="B685" s="14">
        <f>45.9017 * CHOOSE(CONTROL!$C$15, $E$9, 100%, $G$9) + CHOOSE(CONTROL!$C$38, 0.0256, 0)</f>
        <v>45.927299999999995</v>
      </c>
      <c r="C685" s="14">
        <f>43.3747 * CHOOSE(CONTROL!$C$15, $E$9, 100%, $G$9) + CHOOSE(CONTROL!$C$38, 0.0347, 0)</f>
        <v>43.409399999999998</v>
      </c>
      <c r="D685" s="14">
        <f>43.3668 * CHOOSE(CONTROL!$C$15, $E$9, 100%, $G$9) + CHOOSE(CONTROL!$C$38, 0.0347, 0)</f>
        <v>43.401499999999999</v>
      </c>
      <c r="E685" s="46">
        <f>45.7455 * CHOOSE(CONTROL!$C$15, $E$9, 100%, $G$9) + CHOOSE(CONTROL!$C$38, 0.0347, 0)</f>
        <v>45.780200000000001</v>
      </c>
      <c r="F685" s="45">
        <f>45.7455 * CHOOSE(CONTROL!$C$15, $E$9, 100%, $G$9) + CHOOSE(CONTROL!$C$38, 0.0256, 0)</f>
        <v>45.771099999999997</v>
      </c>
      <c r="G685" s="14">
        <f>43.3731 * CHOOSE(CONTROL!$C$15, $E$9, 100%, $G$9) + CHOOSE(CONTROL!$C$38, 0.0347, 0)</f>
        <v>43.407800000000002</v>
      </c>
      <c r="H685" s="14">
        <f>43.3731 * CHOOSE(CONTROL!$C$15, $E$9, 100%, $G$9) + CHOOSE(CONTROL!$C$38, 0.0347, 0)</f>
        <v>43.407800000000002</v>
      </c>
      <c r="I685" s="14">
        <f>43.3747 * CHOOSE(CONTROL!$C$15, $E$9, 100%, $G$9) + CHOOSE(CONTROL!$C$38, 0.0347, 0)</f>
        <v>43.409399999999998</v>
      </c>
      <c r="J685" s="44">
        <f>379.8354</f>
        <v>379.83539999999999</v>
      </c>
    </row>
    <row r="686" spans="1:10" ht="15.75" x14ac:dyDescent="0.25">
      <c r="A686" s="32">
        <v>61818</v>
      </c>
      <c r="B686" s="14">
        <f>48.2885 * CHOOSE(CONTROL!$C$15, $E$9, 100%, $G$9) + CHOOSE(CONTROL!$C$38, 0.0256, 0)</f>
        <v>48.314099999999996</v>
      </c>
      <c r="C686" s="14">
        <f>45.6365 * CHOOSE(CONTROL!$C$15, $E$9, 100%, $G$9) + CHOOSE(CONTROL!$C$38, 0.0347, 0)</f>
        <v>45.671199999999999</v>
      </c>
      <c r="D686" s="14">
        <f>45.6286 * CHOOSE(CONTROL!$C$15, $E$9, 100%, $G$9) + CHOOSE(CONTROL!$C$38, 0.0347, 0)</f>
        <v>45.6633</v>
      </c>
      <c r="E686" s="46">
        <f>48.1322 * CHOOSE(CONTROL!$C$15, $E$9, 100%, $G$9) + CHOOSE(CONTROL!$C$38, 0.0347, 0)</f>
        <v>48.166899999999998</v>
      </c>
      <c r="F686" s="45">
        <f>48.1322 * CHOOSE(CONTROL!$C$15, $E$9, 100%, $G$9) + CHOOSE(CONTROL!$C$38, 0.0256, 0)</f>
        <v>48.157799999999995</v>
      </c>
      <c r="G686" s="14">
        <f>45.6349 * CHOOSE(CONTROL!$C$15, $E$9, 100%, $G$9) + CHOOSE(CONTROL!$C$38, 0.0347, 0)</f>
        <v>45.669600000000003</v>
      </c>
      <c r="H686" s="14">
        <f>45.6349 * CHOOSE(CONTROL!$C$15, $E$9, 100%, $G$9) + CHOOSE(CONTROL!$C$38, 0.0347, 0)</f>
        <v>45.669600000000003</v>
      </c>
      <c r="I686" s="14">
        <f>45.6365 * CHOOSE(CONTROL!$C$15, $E$9, 100%, $G$9) + CHOOSE(CONTROL!$C$38, 0.0347, 0)</f>
        <v>45.671199999999999</v>
      </c>
      <c r="J686" s="44">
        <f>399.8549</f>
        <v>399.85489999999999</v>
      </c>
    </row>
    <row r="687" spans="1:10" ht="15.75" x14ac:dyDescent="0.25">
      <c r="A687" s="32">
        <v>61848</v>
      </c>
      <c r="B687" s="14">
        <f>51.3835 * CHOOSE(CONTROL!$C$15, $E$9, 100%, $G$9) + CHOOSE(CONTROL!$C$38, 0.0256, 0)</f>
        <v>51.409099999999995</v>
      </c>
      <c r="C687" s="14">
        <f>48.5695 * CHOOSE(CONTROL!$C$15, $E$9, 100%, $G$9) + CHOOSE(CONTROL!$C$38, 0.0347, 0)</f>
        <v>48.604199999999999</v>
      </c>
      <c r="D687" s="14">
        <f>48.5617 * CHOOSE(CONTROL!$C$15, $E$9, 100%, $G$9) + CHOOSE(CONTROL!$C$38, 0.0347, 0)</f>
        <v>48.596400000000003</v>
      </c>
      <c r="E687" s="46">
        <f>51.2273 * CHOOSE(CONTROL!$C$15, $E$9, 100%, $G$9) + CHOOSE(CONTROL!$C$38, 0.0347, 0)</f>
        <v>51.262</v>
      </c>
      <c r="F687" s="45">
        <f>51.2273 * CHOOSE(CONTROL!$C$15, $E$9, 100%, $G$9) + CHOOSE(CONTROL!$C$38, 0.0256, 0)</f>
        <v>51.252899999999997</v>
      </c>
      <c r="G687" s="14">
        <f>48.5679 * CHOOSE(CONTROL!$C$15, $E$9, 100%, $G$9) + CHOOSE(CONTROL!$C$38, 0.0347, 0)</f>
        <v>48.602600000000002</v>
      </c>
      <c r="H687" s="14">
        <f>48.5679 * CHOOSE(CONTROL!$C$15, $E$9, 100%, $G$9) + CHOOSE(CONTROL!$C$38, 0.0347, 0)</f>
        <v>48.602600000000002</v>
      </c>
      <c r="I687" s="14">
        <f>48.5695 * CHOOSE(CONTROL!$C$15, $E$9, 100%, $G$9) + CHOOSE(CONTROL!$C$38, 0.0347, 0)</f>
        <v>48.604199999999999</v>
      </c>
      <c r="J687" s="44">
        <f>425.8155</f>
        <v>425.81549999999999</v>
      </c>
    </row>
    <row r="688" spans="1:10" ht="15.75" x14ac:dyDescent="0.25">
      <c r="A688" s="32">
        <v>61879</v>
      </c>
      <c r="B688" s="14">
        <f>53.0871 * CHOOSE(CONTROL!$C$15, $E$9, 100%, $G$9) + CHOOSE(CONTROL!$C$38, 0.0278, 0)</f>
        <v>53.114899999999999</v>
      </c>
      <c r="C688" s="14">
        <f>50.1839 * CHOOSE(CONTROL!$C$15, $E$9, 100%, $G$9) + CHOOSE(CONTROL!$C$38, 0.0369, 0)</f>
        <v>50.220800000000004</v>
      </c>
      <c r="D688" s="14">
        <f>50.1761 * CHOOSE(CONTROL!$C$15, $E$9, 100%, $G$9) + CHOOSE(CONTROL!$C$38, 0.0369, 0)</f>
        <v>50.213000000000001</v>
      </c>
      <c r="E688" s="46">
        <f>52.9309 * CHOOSE(CONTROL!$C$15, $E$9, 100%, $G$9) + CHOOSE(CONTROL!$C$38, 0.0369, 0)</f>
        <v>52.967800000000004</v>
      </c>
      <c r="F688" s="45">
        <f>52.9309 * CHOOSE(CONTROL!$C$15, $E$9, 100%, $G$9) + CHOOSE(CONTROL!$C$38, 0.0278, 0)</f>
        <v>52.9587</v>
      </c>
      <c r="G688" s="14">
        <f>50.1823 * CHOOSE(CONTROL!$C$15, $E$9, 100%, $G$9) + CHOOSE(CONTROL!$C$38, 0.0369, 0)</f>
        <v>50.219200000000001</v>
      </c>
      <c r="H688" s="14">
        <f>50.1823 * CHOOSE(CONTROL!$C$15, $E$9, 100%, $G$9) + CHOOSE(CONTROL!$C$38, 0.0369, 0)</f>
        <v>50.219200000000001</v>
      </c>
      <c r="I688" s="14">
        <f>50.1839 * CHOOSE(CONTROL!$C$15, $E$9, 100%, $G$9) + CHOOSE(CONTROL!$C$38, 0.0369, 0)</f>
        <v>50.220800000000004</v>
      </c>
      <c r="J688" s="44">
        <f>440.105</f>
        <v>440.10500000000002</v>
      </c>
    </row>
    <row r="689" spans="1:10" ht="15.75" x14ac:dyDescent="0.25">
      <c r="A689" s="32">
        <v>61909</v>
      </c>
      <c r="B689" s="14">
        <f>53.8432 * CHOOSE(CONTROL!$C$15, $E$9, 100%, $G$9) + CHOOSE(CONTROL!$C$38, 0.0278, 0)</f>
        <v>53.871000000000002</v>
      </c>
      <c r="C689" s="14">
        <f>50.9004 * CHOOSE(CONTROL!$C$15, $E$9, 100%, $G$9) + CHOOSE(CONTROL!$C$38, 0.0369, 0)</f>
        <v>50.9373</v>
      </c>
      <c r="D689" s="14">
        <f>50.8925 * CHOOSE(CONTROL!$C$15, $E$9, 100%, $G$9) + CHOOSE(CONTROL!$C$38, 0.0369, 0)</f>
        <v>50.929400000000001</v>
      </c>
      <c r="E689" s="46">
        <f>53.6869 * CHOOSE(CONTROL!$C$15, $E$9, 100%, $G$9) + CHOOSE(CONTROL!$C$38, 0.0369, 0)</f>
        <v>53.723800000000004</v>
      </c>
      <c r="F689" s="45">
        <f>53.6869 * CHOOSE(CONTROL!$C$15, $E$9, 100%, $G$9) + CHOOSE(CONTROL!$C$38, 0.0278, 0)</f>
        <v>53.714700000000001</v>
      </c>
      <c r="G689" s="14">
        <f>50.8988 * CHOOSE(CONTROL!$C$15, $E$9, 100%, $G$9) + CHOOSE(CONTROL!$C$38, 0.0369, 0)</f>
        <v>50.935700000000004</v>
      </c>
      <c r="H689" s="14">
        <f>50.8988 * CHOOSE(CONTROL!$C$15, $E$9, 100%, $G$9) + CHOOSE(CONTROL!$C$38, 0.0369, 0)</f>
        <v>50.935700000000004</v>
      </c>
      <c r="I689" s="14">
        <f>50.9004 * CHOOSE(CONTROL!$C$15, $E$9, 100%, $G$9) + CHOOSE(CONTROL!$C$38, 0.0369, 0)</f>
        <v>50.9373</v>
      </c>
      <c r="J689" s="44">
        <f>446.4464</f>
        <v>446.44639999999998</v>
      </c>
    </row>
    <row r="690" spans="1:10" ht="15.75" x14ac:dyDescent="0.25">
      <c r="A690" s="32">
        <v>61940</v>
      </c>
      <c r="B690" s="14">
        <f>53.5943 * CHOOSE(CONTROL!$C$15, $E$9, 100%, $G$9) + CHOOSE(CONTROL!$C$38, 0.0278, 0)</f>
        <v>53.622099999999996</v>
      </c>
      <c r="C690" s="14">
        <f>50.6645 * CHOOSE(CONTROL!$C$15, $E$9, 100%, $G$9) + CHOOSE(CONTROL!$C$38, 0.0369, 0)</f>
        <v>50.7014</v>
      </c>
      <c r="D690" s="14">
        <f>50.6567 * CHOOSE(CONTROL!$C$15, $E$9, 100%, $G$9) + CHOOSE(CONTROL!$C$38, 0.0369, 0)</f>
        <v>50.693600000000004</v>
      </c>
      <c r="E690" s="46">
        <f>53.438 * CHOOSE(CONTROL!$C$15, $E$9, 100%, $G$9) + CHOOSE(CONTROL!$C$38, 0.0369, 0)</f>
        <v>53.474900000000005</v>
      </c>
      <c r="F690" s="45">
        <f>53.438 * CHOOSE(CONTROL!$C$15, $E$9, 100%, $G$9) + CHOOSE(CONTROL!$C$38, 0.0278, 0)</f>
        <v>53.465800000000002</v>
      </c>
      <c r="G690" s="14">
        <f>50.6629 * CHOOSE(CONTROL!$C$15, $E$9, 100%, $G$9) + CHOOSE(CONTROL!$C$38, 0.0369, 0)</f>
        <v>50.699800000000003</v>
      </c>
      <c r="H690" s="14">
        <f>50.6629 * CHOOSE(CONTROL!$C$15, $E$9, 100%, $G$9) + CHOOSE(CONTROL!$C$38, 0.0369, 0)</f>
        <v>50.699800000000003</v>
      </c>
      <c r="I690" s="14">
        <f>50.6645 * CHOOSE(CONTROL!$C$15, $E$9, 100%, $G$9) + CHOOSE(CONTROL!$C$38, 0.0369, 0)</f>
        <v>50.7014</v>
      </c>
      <c r="J690" s="44">
        <f>444.3585</f>
        <v>444.35849999999999</v>
      </c>
    </row>
    <row r="691" spans="1:10" ht="15.75" x14ac:dyDescent="0.25">
      <c r="A691" s="32">
        <v>61971</v>
      </c>
      <c r="B691" s="14">
        <f>52.361 * CHOOSE(CONTROL!$C$15, $E$9, 100%, $G$9) + CHOOSE(CONTROL!$C$38, 0.0278, 0)</f>
        <v>52.388799999999996</v>
      </c>
      <c r="C691" s="14">
        <f>49.4958 * CHOOSE(CONTROL!$C$15, $E$9, 100%, $G$9) + CHOOSE(CONTROL!$C$38, 0.0369, 0)</f>
        <v>49.532700000000006</v>
      </c>
      <c r="D691" s="14">
        <f>49.4879 * CHOOSE(CONTROL!$C$15, $E$9, 100%, $G$9) + CHOOSE(CONTROL!$C$38, 0.0369, 0)</f>
        <v>49.524800000000006</v>
      </c>
      <c r="E691" s="46">
        <f>52.2047 * CHOOSE(CONTROL!$C$15, $E$9, 100%, $G$9) + CHOOSE(CONTROL!$C$38, 0.0369, 0)</f>
        <v>52.241600000000005</v>
      </c>
      <c r="F691" s="45">
        <f>52.2047 * CHOOSE(CONTROL!$C$15, $E$9, 100%, $G$9) + CHOOSE(CONTROL!$C$38, 0.0278, 0)</f>
        <v>52.232500000000002</v>
      </c>
      <c r="G691" s="14">
        <f>49.4942 * CHOOSE(CONTROL!$C$15, $E$9, 100%, $G$9) + CHOOSE(CONTROL!$C$38, 0.0369, 0)</f>
        <v>49.531100000000002</v>
      </c>
      <c r="H691" s="14">
        <f>49.4942 * CHOOSE(CONTROL!$C$15, $E$9, 100%, $G$9) + CHOOSE(CONTROL!$C$38, 0.0369, 0)</f>
        <v>49.531100000000002</v>
      </c>
      <c r="I691" s="14">
        <f>49.4958 * CHOOSE(CONTROL!$C$15, $E$9, 100%, $G$9) + CHOOSE(CONTROL!$C$38, 0.0369, 0)</f>
        <v>49.532700000000006</v>
      </c>
      <c r="J691" s="44">
        <f>434.014</f>
        <v>434.01400000000001</v>
      </c>
    </row>
    <row r="692" spans="1:10" ht="15.75" x14ac:dyDescent="0.25">
      <c r="A692" s="32">
        <v>62001</v>
      </c>
      <c r="B692" s="14">
        <f>50.6411 * CHOOSE(CONTROL!$C$15, $E$9, 100%, $G$9) + CHOOSE(CONTROL!$C$38, 0.0278, 0)</f>
        <v>50.668900000000001</v>
      </c>
      <c r="C692" s="14">
        <f>47.8659 * CHOOSE(CONTROL!$C$15, $E$9, 100%, $G$9) + CHOOSE(CONTROL!$C$38, 0.0369, 0)</f>
        <v>47.902800000000006</v>
      </c>
      <c r="D692" s="14">
        <f>47.8581 * CHOOSE(CONTROL!$C$15, $E$9, 100%, $G$9) + CHOOSE(CONTROL!$C$38, 0.0369, 0)</f>
        <v>47.895000000000003</v>
      </c>
      <c r="E692" s="46">
        <f>50.4848 * CHOOSE(CONTROL!$C$15, $E$9, 100%, $G$9) + CHOOSE(CONTROL!$C$38, 0.0369, 0)</f>
        <v>50.521700000000003</v>
      </c>
      <c r="F692" s="45">
        <f>50.4848 * CHOOSE(CONTROL!$C$15, $E$9, 100%, $G$9) + CHOOSE(CONTROL!$C$38, 0.0278, 0)</f>
        <v>50.512599999999999</v>
      </c>
      <c r="G692" s="14">
        <f>47.8644 * CHOOSE(CONTROL!$C$15, $E$9, 100%, $G$9) + CHOOSE(CONTROL!$C$38, 0.0369, 0)</f>
        <v>47.901300000000006</v>
      </c>
      <c r="H692" s="14">
        <f>47.8644 * CHOOSE(CONTROL!$C$15, $E$9, 100%, $G$9) + CHOOSE(CONTROL!$C$38, 0.0369, 0)</f>
        <v>47.901300000000006</v>
      </c>
      <c r="I692" s="14">
        <f>47.8659 * CHOOSE(CONTROL!$C$15, $E$9, 100%, $G$9) + CHOOSE(CONTROL!$C$38, 0.0369, 0)</f>
        <v>47.902800000000006</v>
      </c>
      <c r="J692" s="44">
        <f>419.5882</f>
        <v>419.58819999999997</v>
      </c>
    </row>
    <row r="693" spans="1:10" ht="15.75" x14ac:dyDescent="0.25">
      <c r="A693" s="32">
        <v>62032</v>
      </c>
      <c r="B693" s="14">
        <f>48.9112 * CHOOSE(CONTROL!$C$15, $E$9, 100%, $G$9) + CHOOSE(CONTROL!$C$38, 0.0256, 0)</f>
        <v>48.936799999999998</v>
      </c>
      <c r="C693" s="14">
        <f>46.2266 * CHOOSE(CONTROL!$C$15, $E$9, 100%, $G$9) + CHOOSE(CONTROL!$C$38, 0.0347, 0)</f>
        <v>46.261299999999999</v>
      </c>
      <c r="D693" s="14">
        <f>46.2188 * CHOOSE(CONTROL!$C$15, $E$9, 100%, $G$9) + CHOOSE(CONTROL!$C$38, 0.0347, 0)</f>
        <v>46.253500000000003</v>
      </c>
      <c r="E693" s="46">
        <f>48.755 * CHOOSE(CONTROL!$C$15, $E$9, 100%, $G$9) + CHOOSE(CONTROL!$C$38, 0.0347, 0)</f>
        <v>48.789700000000003</v>
      </c>
      <c r="F693" s="45">
        <f>48.755 * CHOOSE(CONTROL!$C$15, $E$9, 100%, $G$9) + CHOOSE(CONTROL!$C$38, 0.0256, 0)</f>
        <v>48.7806</v>
      </c>
      <c r="G693" s="14">
        <f>46.225 * CHOOSE(CONTROL!$C$15, $E$9, 100%, $G$9) + CHOOSE(CONTROL!$C$38, 0.0347, 0)</f>
        <v>46.259700000000002</v>
      </c>
      <c r="H693" s="14">
        <f>46.225 * CHOOSE(CONTROL!$C$15, $E$9, 100%, $G$9) + CHOOSE(CONTROL!$C$38, 0.0347, 0)</f>
        <v>46.259700000000002</v>
      </c>
      <c r="I693" s="14">
        <f>46.2266 * CHOOSE(CONTROL!$C$15, $E$9, 100%, $G$9) + CHOOSE(CONTROL!$C$38, 0.0347, 0)</f>
        <v>46.261299999999999</v>
      </c>
      <c r="J693" s="44">
        <f>405.0784</f>
        <v>405.07839999999999</v>
      </c>
    </row>
    <row r="694" spans="1:10" ht="15.75" x14ac:dyDescent="0.25">
      <c r="A694" s="32">
        <v>62062</v>
      </c>
      <c r="B694" s="14">
        <f>48.5671 * CHOOSE(CONTROL!$C$15, $E$9, 100%, $G$9) + CHOOSE(CONTROL!$C$38, 0.0256, 0)</f>
        <v>48.592700000000001</v>
      </c>
      <c r="C694" s="14">
        <f>45.9005 * CHOOSE(CONTROL!$C$15, $E$9, 100%, $G$9) + CHOOSE(CONTROL!$C$38, 0.0347, 0)</f>
        <v>45.935200000000002</v>
      </c>
      <c r="D694" s="14">
        <f>45.8927 * CHOOSE(CONTROL!$C$15, $E$9, 100%, $G$9) + CHOOSE(CONTROL!$C$38, 0.0347, 0)</f>
        <v>45.927399999999999</v>
      </c>
      <c r="E694" s="46">
        <f>48.4109 * CHOOSE(CONTROL!$C$15, $E$9, 100%, $G$9) + CHOOSE(CONTROL!$C$38, 0.0347, 0)</f>
        <v>48.445599999999999</v>
      </c>
      <c r="F694" s="45">
        <f>48.4109 * CHOOSE(CONTROL!$C$15, $E$9, 100%, $G$9) + CHOOSE(CONTROL!$C$38, 0.0256, 0)</f>
        <v>48.436499999999995</v>
      </c>
      <c r="G694" s="14">
        <f>45.899 * CHOOSE(CONTROL!$C$15, $E$9, 100%, $G$9) + CHOOSE(CONTROL!$C$38, 0.0347, 0)</f>
        <v>45.933700000000002</v>
      </c>
      <c r="H694" s="14">
        <f>45.899 * CHOOSE(CONTROL!$C$15, $E$9, 100%, $G$9) + CHOOSE(CONTROL!$C$38, 0.0347, 0)</f>
        <v>45.933700000000002</v>
      </c>
      <c r="I694" s="14">
        <f>45.9005 * CHOOSE(CONTROL!$C$15, $E$9, 100%, $G$9) + CHOOSE(CONTROL!$C$38, 0.0347, 0)</f>
        <v>45.935200000000002</v>
      </c>
      <c r="J694" s="44">
        <f>402.1921</f>
        <v>402.19209999999998</v>
      </c>
    </row>
    <row r="695" spans="1:10" ht="15.75" x14ac:dyDescent="0.25">
      <c r="A695" s="32">
        <v>62093</v>
      </c>
      <c r="B695" s="14">
        <f>47.1442 * CHOOSE(CONTROL!$C$15, $E$9, 100%, $G$9) + CHOOSE(CONTROL!$C$38, 0.0256, 0)</f>
        <v>47.169799999999995</v>
      </c>
      <c r="C695" s="14">
        <f>44.5521 * CHOOSE(CONTROL!$C$15, $E$9, 100%, $G$9) + CHOOSE(CONTROL!$C$38, 0.0347, 0)</f>
        <v>44.586800000000004</v>
      </c>
      <c r="D695" s="14">
        <f>44.5443 * CHOOSE(CONTROL!$C$15, $E$9, 100%, $G$9) + CHOOSE(CONTROL!$C$38, 0.0347, 0)</f>
        <v>44.579000000000001</v>
      </c>
      <c r="E695" s="46">
        <f>46.9879 * CHOOSE(CONTROL!$C$15, $E$9, 100%, $G$9) + CHOOSE(CONTROL!$C$38, 0.0347, 0)</f>
        <v>47.022600000000004</v>
      </c>
      <c r="F695" s="45">
        <f>46.9879 * CHOOSE(CONTROL!$C$15, $E$9, 100%, $G$9) + CHOOSE(CONTROL!$C$38, 0.0256, 0)</f>
        <v>47.013500000000001</v>
      </c>
      <c r="G695" s="14">
        <f>44.5505 * CHOOSE(CONTROL!$C$15, $E$9, 100%, $G$9) + CHOOSE(CONTROL!$C$38, 0.0347, 0)</f>
        <v>44.5852</v>
      </c>
      <c r="H695" s="14">
        <f>44.5505 * CHOOSE(CONTROL!$C$15, $E$9, 100%, $G$9) + CHOOSE(CONTROL!$C$38, 0.0347, 0)</f>
        <v>44.5852</v>
      </c>
      <c r="I695" s="14">
        <f>44.5521 * CHOOSE(CONTROL!$C$15, $E$9, 100%, $G$9) + CHOOSE(CONTROL!$C$38, 0.0347, 0)</f>
        <v>44.586800000000004</v>
      </c>
      <c r="J695" s="44">
        <f>390.257</f>
        <v>390.25700000000001</v>
      </c>
    </row>
    <row r="696" spans="1:10" ht="15.75" x14ac:dyDescent="0.25">
      <c r="A696" s="32">
        <v>62124</v>
      </c>
      <c r="B696" s="14">
        <f>46.7908 * CHOOSE(CONTROL!$C$15, $E$9, 100%, $G$9) + CHOOSE(CONTROL!$C$38, 0.0256, 0)</f>
        <v>46.816399999999994</v>
      </c>
      <c r="C696" s="14">
        <f>44.2172 * CHOOSE(CONTROL!$C$15, $E$9, 100%, $G$9) + CHOOSE(CONTROL!$C$38, 0.0347, 0)</f>
        <v>44.251899999999999</v>
      </c>
      <c r="D696" s="14">
        <f>44.2094 * CHOOSE(CONTROL!$C$15, $E$9, 100%, $G$9) + CHOOSE(CONTROL!$C$38, 0.0347, 0)</f>
        <v>44.244100000000003</v>
      </c>
      <c r="E696" s="46">
        <f>46.6346 * CHOOSE(CONTROL!$C$15, $E$9, 100%, $G$9) + CHOOSE(CONTROL!$C$38, 0.0347, 0)</f>
        <v>46.6693</v>
      </c>
      <c r="F696" s="45">
        <f>46.6346 * CHOOSE(CONTROL!$C$15, $E$9, 100%, $G$9) + CHOOSE(CONTROL!$C$38, 0.0256, 0)</f>
        <v>46.660199999999996</v>
      </c>
      <c r="G696" s="14">
        <f>44.2157 * CHOOSE(CONTROL!$C$15, $E$9, 100%, $G$9) + CHOOSE(CONTROL!$C$38, 0.0347, 0)</f>
        <v>44.250399999999999</v>
      </c>
      <c r="H696" s="14">
        <f>44.2157 * CHOOSE(CONTROL!$C$15, $E$9, 100%, $G$9) + CHOOSE(CONTROL!$C$38, 0.0347, 0)</f>
        <v>44.250399999999999</v>
      </c>
      <c r="I696" s="14">
        <f>44.2172 * CHOOSE(CONTROL!$C$15, $E$9, 100%, $G$9) + CHOOSE(CONTROL!$C$38, 0.0347, 0)</f>
        <v>44.251899999999999</v>
      </c>
      <c r="J696" s="44">
        <f>389.7538</f>
        <v>389.75380000000001</v>
      </c>
    </row>
    <row r="697" spans="1:10" ht="15.75" x14ac:dyDescent="0.25">
      <c r="A697" s="32">
        <v>62152</v>
      </c>
      <c r="B697" s="14">
        <f>46.6625 * CHOOSE(CONTROL!$C$15, $E$9, 100%, $G$9) + CHOOSE(CONTROL!$C$38, 0.0256, 0)</f>
        <v>46.688099999999999</v>
      </c>
      <c r="C697" s="14">
        <f>44.0956 * CHOOSE(CONTROL!$C$15, $E$9, 100%, $G$9) + CHOOSE(CONTROL!$C$38, 0.0347, 0)</f>
        <v>44.130299999999998</v>
      </c>
      <c r="D697" s="14">
        <f>44.0878 * CHOOSE(CONTROL!$C$15, $E$9, 100%, $G$9) + CHOOSE(CONTROL!$C$38, 0.0347, 0)</f>
        <v>44.122500000000002</v>
      </c>
      <c r="E697" s="46">
        <f>46.5062 * CHOOSE(CONTROL!$C$15, $E$9, 100%, $G$9) + CHOOSE(CONTROL!$C$38, 0.0347, 0)</f>
        <v>46.540900000000001</v>
      </c>
      <c r="F697" s="45">
        <f>46.5062 * CHOOSE(CONTROL!$C$15, $E$9, 100%, $G$9) + CHOOSE(CONTROL!$C$38, 0.0256, 0)</f>
        <v>46.531799999999997</v>
      </c>
      <c r="G697" s="14">
        <f>44.094 * CHOOSE(CONTROL!$C$15, $E$9, 100%, $G$9) + CHOOSE(CONTROL!$C$38, 0.0347, 0)</f>
        <v>44.128700000000002</v>
      </c>
      <c r="H697" s="14">
        <f>44.094 * CHOOSE(CONTROL!$C$15, $E$9, 100%, $G$9) + CHOOSE(CONTROL!$C$38, 0.0347, 0)</f>
        <v>44.128700000000002</v>
      </c>
      <c r="I697" s="14">
        <f>44.0956 * CHOOSE(CONTROL!$C$15, $E$9, 100%, $G$9) + CHOOSE(CONTROL!$C$38, 0.0347, 0)</f>
        <v>44.130299999999998</v>
      </c>
      <c r="J697" s="44">
        <f>388.6704</f>
        <v>388.67039999999997</v>
      </c>
    </row>
    <row r="698" spans="1:10" ht="15.75" x14ac:dyDescent="0.25">
      <c r="A698" s="32">
        <v>62183</v>
      </c>
      <c r="B698" s="14">
        <f>49.0893 * CHOOSE(CONTROL!$C$15, $E$9, 100%, $G$9) + CHOOSE(CONTROL!$C$38, 0.0256, 0)</f>
        <v>49.114899999999999</v>
      </c>
      <c r="C698" s="14">
        <f>46.3954 * CHOOSE(CONTROL!$C$15, $E$9, 100%, $G$9) + CHOOSE(CONTROL!$C$38, 0.0347, 0)</f>
        <v>46.430100000000003</v>
      </c>
      <c r="D698" s="14">
        <f>46.3876 * CHOOSE(CONTROL!$C$15, $E$9, 100%, $G$9) + CHOOSE(CONTROL!$C$38, 0.0347, 0)</f>
        <v>46.4223</v>
      </c>
      <c r="E698" s="46">
        <f>48.9331 * CHOOSE(CONTROL!$C$15, $E$9, 100%, $G$9) + CHOOSE(CONTROL!$C$38, 0.0347, 0)</f>
        <v>48.967800000000004</v>
      </c>
      <c r="F698" s="45">
        <f>48.9331 * CHOOSE(CONTROL!$C$15, $E$9, 100%, $G$9) + CHOOSE(CONTROL!$C$38, 0.0256, 0)</f>
        <v>48.9587</v>
      </c>
      <c r="G698" s="14">
        <f>46.3938 * CHOOSE(CONTROL!$C$15, $E$9, 100%, $G$9) + CHOOSE(CONTROL!$C$38, 0.0347, 0)</f>
        <v>46.4285</v>
      </c>
      <c r="H698" s="14">
        <f>46.3938 * CHOOSE(CONTROL!$C$15, $E$9, 100%, $G$9) + CHOOSE(CONTROL!$C$38, 0.0347, 0)</f>
        <v>46.4285</v>
      </c>
      <c r="I698" s="14">
        <f>46.3954 * CHOOSE(CONTROL!$C$15, $E$9, 100%, $G$9) + CHOOSE(CONTROL!$C$38, 0.0347, 0)</f>
        <v>46.430100000000003</v>
      </c>
      <c r="J698" s="44">
        <f>409.1555</f>
        <v>409.15550000000002</v>
      </c>
    </row>
    <row r="699" spans="1:10" ht="15.75" x14ac:dyDescent="0.25">
      <c r="A699" s="32">
        <v>62213</v>
      </c>
      <c r="B699" s="14">
        <f>52.2364 * CHOOSE(CONTROL!$C$15, $E$9, 100%, $G$9) + CHOOSE(CONTROL!$C$38, 0.0256, 0)</f>
        <v>52.262</v>
      </c>
      <c r="C699" s="14">
        <f>49.3777 * CHOOSE(CONTROL!$C$15, $E$9, 100%, $G$9) + CHOOSE(CONTROL!$C$38, 0.0347, 0)</f>
        <v>49.412399999999998</v>
      </c>
      <c r="D699" s="14">
        <f>49.3699 * CHOOSE(CONTROL!$C$15, $E$9, 100%, $G$9) + CHOOSE(CONTROL!$C$38, 0.0347, 0)</f>
        <v>49.404600000000002</v>
      </c>
      <c r="E699" s="46">
        <f>52.0801 * CHOOSE(CONTROL!$C$15, $E$9, 100%, $G$9) + CHOOSE(CONTROL!$C$38, 0.0347, 0)</f>
        <v>52.114800000000002</v>
      </c>
      <c r="F699" s="45">
        <f>52.0801 * CHOOSE(CONTROL!$C$15, $E$9, 100%, $G$9) + CHOOSE(CONTROL!$C$38, 0.0256, 0)</f>
        <v>52.105699999999999</v>
      </c>
      <c r="G699" s="14">
        <f>49.3761 * CHOOSE(CONTROL!$C$15, $E$9, 100%, $G$9) + CHOOSE(CONTROL!$C$38, 0.0347, 0)</f>
        <v>49.410800000000002</v>
      </c>
      <c r="H699" s="14">
        <f>49.3761 * CHOOSE(CONTROL!$C$15, $E$9, 100%, $G$9) + CHOOSE(CONTROL!$C$38, 0.0347, 0)</f>
        <v>49.410800000000002</v>
      </c>
      <c r="I699" s="14">
        <f>49.3777 * CHOOSE(CONTROL!$C$15, $E$9, 100%, $G$9) + CHOOSE(CONTROL!$C$38, 0.0347, 0)</f>
        <v>49.412399999999998</v>
      </c>
      <c r="J699" s="44">
        <f>435.7199</f>
        <v>435.7199</v>
      </c>
    </row>
    <row r="700" spans="1:10" ht="15.75" x14ac:dyDescent="0.25">
      <c r="A700" s="32">
        <v>62244</v>
      </c>
      <c r="B700" s="14">
        <f>53.9686 * CHOOSE(CONTROL!$C$15, $E$9, 100%, $G$9) + CHOOSE(CONTROL!$C$38, 0.0278, 0)</f>
        <v>53.996400000000001</v>
      </c>
      <c r="C700" s="14">
        <f>51.0192 * CHOOSE(CONTROL!$C$15, $E$9, 100%, $G$9) + CHOOSE(CONTROL!$C$38, 0.0369, 0)</f>
        <v>51.056100000000001</v>
      </c>
      <c r="D700" s="14">
        <f>51.0114 * CHOOSE(CONTROL!$C$15, $E$9, 100%, $G$9) + CHOOSE(CONTROL!$C$38, 0.0369, 0)</f>
        <v>51.048300000000005</v>
      </c>
      <c r="E700" s="46">
        <f>53.8124 * CHOOSE(CONTROL!$C$15, $E$9, 100%, $G$9) + CHOOSE(CONTROL!$C$38, 0.0369, 0)</f>
        <v>53.849299999999999</v>
      </c>
      <c r="F700" s="45">
        <f>53.8124 * CHOOSE(CONTROL!$C$15, $E$9, 100%, $G$9) + CHOOSE(CONTROL!$C$38, 0.0278, 0)</f>
        <v>53.840199999999996</v>
      </c>
      <c r="G700" s="14">
        <f>51.0177 * CHOOSE(CONTROL!$C$15, $E$9, 100%, $G$9) + CHOOSE(CONTROL!$C$38, 0.0369, 0)</f>
        <v>51.054600000000001</v>
      </c>
      <c r="H700" s="14">
        <f>51.0177 * CHOOSE(CONTROL!$C$15, $E$9, 100%, $G$9) + CHOOSE(CONTROL!$C$38, 0.0369, 0)</f>
        <v>51.054600000000001</v>
      </c>
      <c r="I700" s="14">
        <f>51.0192 * CHOOSE(CONTROL!$C$15, $E$9, 100%, $G$9) + CHOOSE(CONTROL!$C$38, 0.0369, 0)</f>
        <v>51.056100000000001</v>
      </c>
      <c r="J700" s="44">
        <f>450.3418</f>
        <v>450.34179999999998</v>
      </c>
    </row>
    <row r="701" spans="1:10" ht="15.75" x14ac:dyDescent="0.25">
      <c r="A701" s="32">
        <v>62274</v>
      </c>
      <c r="B701" s="14">
        <f>54.7374 * CHOOSE(CONTROL!$C$15, $E$9, 100%, $G$9) + CHOOSE(CONTROL!$C$38, 0.0278, 0)</f>
        <v>54.7652</v>
      </c>
      <c r="C701" s="14">
        <f>51.7477 * CHOOSE(CONTROL!$C$15, $E$9, 100%, $G$9) + CHOOSE(CONTROL!$C$38, 0.0369, 0)</f>
        <v>51.784600000000005</v>
      </c>
      <c r="D701" s="14">
        <f>51.7399 * CHOOSE(CONTROL!$C$15, $E$9, 100%, $G$9) + CHOOSE(CONTROL!$C$38, 0.0369, 0)</f>
        <v>51.776800000000001</v>
      </c>
      <c r="E701" s="46">
        <f>54.5811 * CHOOSE(CONTROL!$C$15, $E$9, 100%, $G$9) + CHOOSE(CONTROL!$C$38, 0.0369, 0)</f>
        <v>54.618000000000002</v>
      </c>
      <c r="F701" s="45">
        <f>54.5811 * CHOOSE(CONTROL!$C$15, $E$9, 100%, $G$9) + CHOOSE(CONTROL!$C$38, 0.0278, 0)</f>
        <v>54.608899999999998</v>
      </c>
      <c r="G701" s="14">
        <f>51.7462 * CHOOSE(CONTROL!$C$15, $E$9, 100%, $G$9) + CHOOSE(CONTROL!$C$38, 0.0369, 0)</f>
        <v>51.783100000000005</v>
      </c>
      <c r="H701" s="14">
        <f>51.7462 * CHOOSE(CONTROL!$C$15, $E$9, 100%, $G$9) + CHOOSE(CONTROL!$C$38, 0.0369, 0)</f>
        <v>51.783100000000005</v>
      </c>
      <c r="I701" s="14">
        <f>51.7477 * CHOOSE(CONTROL!$C$15, $E$9, 100%, $G$9) + CHOOSE(CONTROL!$C$38, 0.0369, 0)</f>
        <v>51.784600000000005</v>
      </c>
      <c r="J701" s="44">
        <f>456.8308</f>
        <v>456.83080000000001</v>
      </c>
    </row>
    <row r="702" spans="1:10" ht="15.75" x14ac:dyDescent="0.25">
      <c r="A702" s="32">
        <v>62305</v>
      </c>
      <c r="B702" s="14">
        <f>54.4843 * CHOOSE(CONTROL!$C$15, $E$9, 100%, $G$9) + CHOOSE(CONTROL!$C$38, 0.0278, 0)</f>
        <v>54.512099999999997</v>
      </c>
      <c r="C702" s="14">
        <f>51.5079 * CHOOSE(CONTROL!$C$15, $E$9, 100%, $G$9) + CHOOSE(CONTROL!$C$38, 0.0369, 0)</f>
        <v>51.544800000000002</v>
      </c>
      <c r="D702" s="14">
        <f>51.5001 * CHOOSE(CONTROL!$C$15, $E$9, 100%, $G$9) + CHOOSE(CONTROL!$C$38, 0.0369, 0)</f>
        <v>51.537000000000006</v>
      </c>
      <c r="E702" s="46">
        <f>54.328 * CHOOSE(CONTROL!$C$15, $E$9, 100%, $G$9) + CHOOSE(CONTROL!$C$38, 0.0369, 0)</f>
        <v>54.364900000000006</v>
      </c>
      <c r="F702" s="45">
        <f>54.328 * CHOOSE(CONTROL!$C$15, $E$9, 100%, $G$9) + CHOOSE(CONTROL!$C$38, 0.0278, 0)</f>
        <v>54.355800000000002</v>
      </c>
      <c r="G702" s="14">
        <f>51.5063 * CHOOSE(CONTROL!$C$15, $E$9, 100%, $G$9) + CHOOSE(CONTROL!$C$38, 0.0369, 0)</f>
        <v>51.543200000000006</v>
      </c>
      <c r="H702" s="14">
        <f>51.5063 * CHOOSE(CONTROL!$C$15, $E$9, 100%, $G$9) + CHOOSE(CONTROL!$C$38, 0.0369, 0)</f>
        <v>51.543200000000006</v>
      </c>
      <c r="I702" s="14">
        <f>51.5079 * CHOOSE(CONTROL!$C$15, $E$9, 100%, $G$9) + CHOOSE(CONTROL!$C$38, 0.0369, 0)</f>
        <v>51.544800000000002</v>
      </c>
      <c r="J702" s="44">
        <f>454.6943</f>
        <v>454.6943</v>
      </c>
    </row>
    <row r="703" spans="1:10" ht="15.75" x14ac:dyDescent="0.25">
      <c r="A703" s="32">
        <v>62336</v>
      </c>
      <c r="B703" s="14">
        <f>53.2303 * CHOOSE(CONTROL!$C$15, $E$9, 100%, $G$9) + CHOOSE(CONTROL!$C$38, 0.0278, 0)</f>
        <v>53.258099999999999</v>
      </c>
      <c r="C703" s="14">
        <f>50.3195 * CHOOSE(CONTROL!$C$15, $E$9, 100%, $G$9) + CHOOSE(CONTROL!$C$38, 0.0369, 0)</f>
        <v>50.356400000000001</v>
      </c>
      <c r="D703" s="14">
        <f>50.3117 * CHOOSE(CONTROL!$C$15, $E$9, 100%, $G$9) + CHOOSE(CONTROL!$C$38, 0.0369, 0)</f>
        <v>50.348600000000005</v>
      </c>
      <c r="E703" s="46">
        <f>53.074 * CHOOSE(CONTROL!$C$15, $E$9, 100%, $G$9) + CHOOSE(CONTROL!$C$38, 0.0369, 0)</f>
        <v>53.110900000000001</v>
      </c>
      <c r="F703" s="45">
        <f>53.074 * CHOOSE(CONTROL!$C$15, $E$9, 100%, $G$9) + CHOOSE(CONTROL!$C$38, 0.0278, 0)</f>
        <v>53.101799999999997</v>
      </c>
      <c r="G703" s="14">
        <f>50.318 * CHOOSE(CONTROL!$C$15, $E$9, 100%, $G$9) + CHOOSE(CONTROL!$C$38, 0.0369, 0)</f>
        <v>50.354900000000001</v>
      </c>
      <c r="H703" s="14">
        <f>50.318 * CHOOSE(CONTROL!$C$15, $E$9, 100%, $G$9) + CHOOSE(CONTROL!$C$38, 0.0369, 0)</f>
        <v>50.354900000000001</v>
      </c>
      <c r="I703" s="14">
        <f>50.3195 * CHOOSE(CONTROL!$C$15, $E$9, 100%, $G$9) + CHOOSE(CONTROL!$C$38, 0.0369, 0)</f>
        <v>50.356400000000001</v>
      </c>
      <c r="J703" s="44">
        <f>444.1092</f>
        <v>444.10919999999999</v>
      </c>
    </row>
    <row r="704" spans="1:10" ht="15.75" x14ac:dyDescent="0.25">
      <c r="A704" s="32">
        <v>62366</v>
      </c>
      <c r="B704" s="14">
        <f>51.4815 * CHOOSE(CONTROL!$C$15, $E$9, 100%, $G$9) + CHOOSE(CONTROL!$C$38, 0.0278, 0)</f>
        <v>51.509299999999996</v>
      </c>
      <c r="C704" s="14">
        <f>48.6623 * CHOOSE(CONTROL!$C$15, $E$9, 100%, $G$9) + CHOOSE(CONTROL!$C$38, 0.0369, 0)</f>
        <v>48.699200000000005</v>
      </c>
      <c r="D704" s="14">
        <f>48.6545 * CHOOSE(CONTROL!$C$15, $E$9, 100%, $G$9) + CHOOSE(CONTROL!$C$38, 0.0369, 0)</f>
        <v>48.691400000000002</v>
      </c>
      <c r="E704" s="46">
        <f>51.3252 * CHOOSE(CONTROL!$C$15, $E$9, 100%, $G$9) + CHOOSE(CONTROL!$C$38, 0.0369, 0)</f>
        <v>51.362100000000005</v>
      </c>
      <c r="F704" s="45">
        <f>51.3252 * CHOOSE(CONTROL!$C$15, $E$9, 100%, $G$9) + CHOOSE(CONTROL!$C$38, 0.0278, 0)</f>
        <v>51.353000000000002</v>
      </c>
      <c r="G704" s="14">
        <f>48.6607 * CHOOSE(CONTROL!$C$15, $E$9, 100%, $G$9) + CHOOSE(CONTROL!$C$38, 0.0369, 0)</f>
        <v>48.697600000000001</v>
      </c>
      <c r="H704" s="14">
        <f>48.6607 * CHOOSE(CONTROL!$C$15, $E$9, 100%, $G$9) + CHOOSE(CONTROL!$C$38, 0.0369, 0)</f>
        <v>48.697600000000001</v>
      </c>
      <c r="I704" s="14">
        <f>48.6623 * CHOOSE(CONTROL!$C$15, $E$9, 100%, $G$9) + CHOOSE(CONTROL!$C$38, 0.0369, 0)</f>
        <v>48.699200000000005</v>
      </c>
      <c r="J704" s="44">
        <f>429.3478</f>
        <v>429.34780000000001</v>
      </c>
    </row>
    <row r="705" spans="1:10" ht="15.75" x14ac:dyDescent="0.25">
      <c r="A705" s="32">
        <v>62397</v>
      </c>
      <c r="B705" s="14">
        <f>49.7225 * CHOOSE(CONTROL!$C$15, $E$9, 100%, $G$9) + CHOOSE(CONTROL!$C$38, 0.0256, 0)</f>
        <v>49.748099999999994</v>
      </c>
      <c r="C705" s="14">
        <f>46.9955 * CHOOSE(CONTROL!$C$15, $E$9, 100%, $G$9) + CHOOSE(CONTROL!$C$38, 0.0347, 0)</f>
        <v>47.030200000000001</v>
      </c>
      <c r="D705" s="14">
        <f>46.9876 * CHOOSE(CONTROL!$C$15, $E$9, 100%, $G$9) + CHOOSE(CONTROL!$C$38, 0.0347, 0)</f>
        <v>47.022300000000001</v>
      </c>
      <c r="E705" s="46">
        <f>49.5663 * CHOOSE(CONTROL!$C$15, $E$9, 100%, $G$9) + CHOOSE(CONTROL!$C$38, 0.0347, 0)</f>
        <v>49.600999999999999</v>
      </c>
      <c r="F705" s="45">
        <f>49.5663 * CHOOSE(CONTROL!$C$15, $E$9, 100%, $G$9) + CHOOSE(CONTROL!$C$38, 0.0256, 0)</f>
        <v>49.591899999999995</v>
      </c>
      <c r="G705" s="14">
        <f>46.9939 * CHOOSE(CONTROL!$C$15, $E$9, 100%, $G$9) + CHOOSE(CONTROL!$C$38, 0.0347, 0)</f>
        <v>47.028599999999997</v>
      </c>
      <c r="H705" s="14">
        <f>46.9939 * CHOOSE(CONTROL!$C$15, $E$9, 100%, $G$9) + CHOOSE(CONTROL!$C$38, 0.0347, 0)</f>
        <v>47.028599999999997</v>
      </c>
      <c r="I705" s="14">
        <f>46.9955 * CHOOSE(CONTROL!$C$15, $E$9, 100%, $G$9) + CHOOSE(CONTROL!$C$38, 0.0347, 0)</f>
        <v>47.030200000000001</v>
      </c>
      <c r="J705" s="44">
        <f>414.5005</f>
        <v>414.50049999999999</v>
      </c>
    </row>
    <row r="706" spans="1:10" ht="15.75" x14ac:dyDescent="0.25">
      <c r="A706" s="32">
        <v>62427</v>
      </c>
      <c r="B706" s="14">
        <f>49.3727 * CHOOSE(CONTROL!$C$15, $E$9, 100%, $G$9) + CHOOSE(CONTROL!$C$38, 0.0256, 0)</f>
        <v>49.398299999999999</v>
      </c>
      <c r="C706" s="14">
        <f>46.6639 * CHOOSE(CONTROL!$C$15, $E$9, 100%, $G$9) + CHOOSE(CONTROL!$C$38, 0.0347, 0)</f>
        <v>46.698599999999999</v>
      </c>
      <c r="D706" s="14">
        <f>46.6561 * CHOOSE(CONTROL!$C$15, $E$9, 100%, $G$9) + CHOOSE(CONTROL!$C$38, 0.0347, 0)</f>
        <v>46.690800000000003</v>
      </c>
      <c r="E706" s="46">
        <f>49.2164 * CHOOSE(CONTROL!$C$15, $E$9, 100%, $G$9) + CHOOSE(CONTROL!$C$38, 0.0347, 0)</f>
        <v>49.251100000000001</v>
      </c>
      <c r="F706" s="45">
        <f>49.2164 * CHOOSE(CONTROL!$C$15, $E$9, 100%, $G$9) + CHOOSE(CONTROL!$C$38, 0.0256, 0)</f>
        <v>49.241999999999997</v>
      </c>
      <c r="G706" s="14">
        <f>46.6623 * CHOOSE(CONTROL!$C$15, $E$9, 100%, $G$9) + CHOOSE(CONTROL!$C$38, 0.0347, 0)</f>
        <v>46.697000000000003</v>
      </c>
      <c r="H706" s="14">
        <f>46.6623 * CHOOSE(CONTROL!$C$15, $E$9, 100%, $G$9) + CHOOSE(CONTROL!$C$38, 0.0347, 0)</f>
        <v>46.697000000000003</v>
      </c>
      <c r="I706" s="14">
        <f>46.6639 * CHOOSE(CONTROL!$C$15, $E$9, 100%, $G$9) + CHOOSE(CONTROL!$C$38, 0.0347, 0)</f>
        <v>46.698599999999999</v>
      </c>
      <c r="J706" s="44">
        <f>411.5471</f>
        <v>411.5471</v>
      </c>
    </row>
    <row r="707" spans="1:10" ht="15.75" x14ac:dyDescent="0.25">
      <c r="A707" s="32">
        <v>62458</v>
      </c>
      <c r="B707" s="14">
        <f>47.9258 * CHOOSE(CONTROL!$C$15, $E$9, 100%, $G$9) + CHOOSE(CONTROL!$C$38, 0.0256, 0)</f>
        <v>47.9514</v>
      </c>
      <c r="C707" s="14">
        <f>45.2928 * CHOOSE(CONTROL!$C$15, $E$9, 100%, $G$9) + CHOOSE(CONTROL!$C$38, 0.0347, 0)</f>
        <v>45.327500000000001</v>
      </c>
      <c r="D707" s="14">
        <f>45.285 * CHOOSE(CONTROL!$C$15, $E$9, 100%, $G$9) + CHOOSE(CONTROL!$C$38, 0.0347, 0)</f>
        <v>45.319699999999997</v>
      </c>
      <c r="E707" s="46">
        <f>47.7696 * CHOOSE(CONTROL!$C$15, $E$9, 100%, $G$9) + CHOOSE(CONTROL!$C$38, 0.0347, 0)</f>
        <v>47.804299999999998</v>
      </c>
      <c r="F707" s="45">
        <f>47.7696 * CHOOSE(CONTROL!$C$15, $E$9, 100%, $G$9) + CHOOSE(CONTROL!$C$38, 0.0256, 0)</f>
        <v>47.795199999999994</v>
      </c>
      <c r="G707" s="14">
        <f>45.2912 * CHOOSE(CONTROL!$C$15, $E$9, 100%, $G$9) + CHOOSE(CONTROL!$C$38, 0.0347, 0)</f>
        <v>45.325900000000004</v>
      </c>
      <c r="H707" s="14">
        <f>45.2912 * CHOOSE(CONTROL!$C$15, $E$9, 100%, $G$9) + CHOOSE(CONTROL!$C$38, 0.0347, 0)</f>
        <v>45.325900000000004</v>
      </c>
      <c r="I707" s="14">
        <f>45.2928 * CHOOSE(CONTROL!$C$15, $E$9, 100%, $G$9) + CHOOSE(CONTROL!$C$38, 0.0347, 0)</f>
        <v>45.327500000000001</v>
      </c>
      <c r="J707" s="44">
        <f>399.3344</f>
        <v>399.33440000000002</v>
      </c>
    </row>
    <row r="708" spans="1:10" ht="15.75" x14ac:dyDescent="0.25">
      <c r="A708" s="32">
        <v>62489</v>
      </c>
      <c r="B708" s="14">
        <f>47.5665 * CHOOSE(CONTROL!$C$15, $E$9, 100%, $G$9) + CHOOSE(CONTROL!$C$38, 0.0256, 0)</f>
        <v>47.592099999999995</v>
      </c>
      <c r="C708" s="14">
        <f>44.9523 * CHOOSE(CONTROL!$C$15, $E$9, 100%, $G$9) + CHOOSE(CONTROL!$C$38, 0.0347, 0)</f>
        <v>44.987000000000002</v>
      </c>
      <c r="D708" s="14">
        <f>44.9445 * CHOOSE(CONTROL!$C$15, $E$9, 100%, $G$9) + CHOOSE(CONTROL!$C$38, 0.0347, 0)</f>
        <v>44.979199999999999</v>
      </c>
      <c r="E708" s="46">
        <f>47.4103 * CHOOSE(CONTROL!$C$15, $E$9, 100%, $G$9) + CHOOSE(CONTROL!$C$38, 0.0347, 0)</f>
        <v>47.445</v>
      </c>
      <c r="F708" s="45">
        <f>47.4103 * CHOOSE(CONTROL!$C$15, $E$9, 100%, $G$9) + CHOOSE(CONTROL!$C$38, 0.0256, 0)</f>
        <v>47.435899999999997</v>
      </c>
      <c r="G708" s="14">
        <f>44.9508 * CHOOSE(CONTROL!$C$15, $E$9, 100%, $G$9) + CHOOSE(CONTROL!$C$38, 0.0347, 0)</f>
        <v>44.985500000000002</v>
      </c>
      <c r="H708" s="14">
        <f>44.9508 * CHOOSE(CONTROL!$C$15, $E$9, 100%, $G$9) + CHOOSE(CONTROL!$C$38, 0.0347, 0)</f>
        <v>44.985500000000002</v>
      </c>
      <c r="I708" s="14">
        <f>44.9523 * CHOOSE(CONTROL!$C$15, $E$9, 100%, $G$9) + CHOOSE(CONTROL!$C$38, 0.0347, 0)</f>
        <v>44.987000000000002</v>
      </c>
      <c r="J708" s="44">
        <f>398.8194</f>
        <v>398.81939999999997</v>
      </c>
    </row>
    <row r="709" spans="1:10" ht="15.75" x14ac:dyDescent="0.25">
      <c r="A709" s="32">
        <v>62517</v>
      </c>
      <c r="B709" s="14">
        <f>47.436 * CHOOSE(CONTROL!$C$15, $E$9, 100%, $G$9) + CHOOSE(CONTROL!$C$38, 0.0256, 0)</f>
        <v>47.461599999999997</v>
      </c>
      <c r="C709" s="14">
        <f>44.8287 * CHOOSE(CONTROL!$C$15, $E$9, 100%, $G$9) + CHOOSE(CONTROL!$C$38, 0.0347, 0)</f>
        <v>44.863399999999999</v>
      </c>
      <c r="D709" s="14">
        <f>44.8208 * CHOOSE(CONTROL!$C$15, $E$9, 100%, $G$9) + CHOOSE(CONTROL!$C$38, 0.0347, 0)</f>
        <v>44.855499999999999</v>
      </c>
      <c r="E709" s="46">
        <f>47.2798 * CHOOSE(CONTROL!$C$15, $E$9, 100%, $G$9) + CHOOSE(CONTROL!$C$38, 0.0347, 0)</f>
        <v>47.314500000000002</v>
      </c>
      <c r="F709" s="45">
        <f>47.2798 * CHOOSE(CONTROL!$C$15, $E$9, 100%, $G$9) + CHOOSE(CONTROL!$C$38, 0.0256, 0)</f>
        <v>47.305399999999999</v>
      </c>
      <c r="G709" s="14">
        <f>44.8271 * CHOOSE(CONTROL!$C$15, $E$9, 100%, $G$9) + CHOOSE(CONTROL!$C$38, 0.0347, 0)</f>
        <v>44.861800000000002</v>
      </c>
      <c r="H709" s="14">
        <f>44.8271 * CHOOSE(CONTROL!$C$15, $E$9, 100%, $G$9) + CHOOSE(CONTROL!$C$38, 0.0347, 0)</f>
        <v>44.861800000000002</v>
      </c>
      <c r="I709" s="14">
        <f>44.8287 * CHOOSE(CONTROL!$C$15, $E$9, 100%, $G$9) + CHOOSE(CONTROL!$C$38, 0.0347, 0)</f>
        <v>44.863399999999999</v>
      </c>
      <c r="J709" s="44">
        <f>397.7108</f>
        <v>397.71080000000001</v>
      </c>
    </row>
    <row r="710" spans="1:10" ht="15.75" x14ac:dyDescent="0.25">
      <c r="A710" s="32">
        <v>62548</v>
      </c>
      <c r="B710" s="14">
        <f>49.9037 * CHOOSE(CONTROL!$C$15, $E$9, 100%, $G$9) + CHOOSE(CONTROL!$C$38, 0.0256, 0)</f>
        <v>49.929299999999998</v>
      </c>
      <c r="C710" s="14">
        <f>47.1671 * CHOOSE(CONTROL!$C$15, $E$9, 100%, $G$9) + CHOOSE(CONTROL!$C$38, 0.0347, 0)</f>
        <v>47.201799999999999</v>
      </c>
      <c r="D710" s="14">
        <f>47.1593 * CHOOSE(CONTROL!$C$15, $E$9, 100%, $G$9) + CHOOSE(CONTROL!$C$38, 0.0347, 0)</f>
        <v>47.194000000000003</v>
      </c>
      <c r="E710" s="46">
        <f>49.7474 * CHOOSE(CONTROL!$C$15, $E$9, 100%, $G$9) + CHOOSE(CONTROL!$C$38, 0.0347, 0)</f>
        <v>49.7821</v>
      </c>
      <c r="F710" s="45">
        <f>49.7474 * CHOOSE(CONTROL!$C$15, $E$9, 100%, $G$9) + CHOOSE(CONTROL!$C$38, 0.0256, 0)</f>
        <v>49.772999999999996</v>
      </c>
      <c r="G710" s="14">
        <f>47.1655 * CHOOSE(CONTROL!$C$15, $E$9, 100%, $G$9) + CHOOSE(CONTROL!$C$38, 0.0347, 0)</f>
        <v>47.200200000000002</v>
      </c>
      <c r="H710" s="14">
        <f>47.1655 * CHOOSE(CONTROL!$C$15, $E$9, 100%, $G$9) + CHOOSE(CONTROL!$C$38, 0.0347, 0)</f>
        <v>47.200200000000002</v>
      </c>
      <c r="I710" s="14">
        <f>47.1671 * CHOOSE(CONTROL!$C$15, $E$9, 100%, $G$9) + CHOOSE(CONTROL!$C$38, 0.0347, 0)</f>
        <v>47.201799999999999</v>
      </c>
      <c r="J710" s="44">
        <f>418.6725</f>
        <v>418.67250000000001</v>
      </c>
    </row>
    <row r="711" spans="1:10" ht="15.75" x14ac:dyDescent="0.25">
      <c r="A711" s="32">
        <v>62578</v>
      </c>
      <c r="B711" s="14">
        <f>53.1036 * CHOOSE(CONTROL!$C$15, $E$9, 100%, $G$9) + CHOOSE(CONTROL!$C$38, 0.0256, 0)</f>
        <v>53.129199999999997</v>
      </c>
      <c r="C711" s="14">
        <f>50.1995 * CHOOSE(CONTROL!$C$15, $E$9, 100%, $G$9) + CHOOSE(CONTROL!$C$38, 0.0347, 0)</f>
        <v>50.234200000000001</v>
      </c>
      <c r="D711" s="14">
        <f>50.1917 * CHOOSE(CONTROL!$C$15, $E$9, 100%, $G$9) + CHOOSE(CONTROL!$C$38, 0.0347, 0)</f>
        <v>50.226399999999998</v>
      </c>
      <c r="E711" s="46">
        <f>52.9473 * CHOOSE(CONTROL!$C$15, $E$9, 100%, $G$9) + CHOOSE(CONTROL!$C$38, 0.0347, 0)</f>
        <v>52.981999999999999</v>
      </c>
      <c r="F711" s="45">
        <f>52.9473 * CHOOSE(CONTROL!$C$15, $E$9, 100%, $G$9) + CHOOSE(CONTROL!$C$38, 0.0256, 0)</f>
        <v>52.972899999999996</v>
      </c>
      <c r="G711" s="14">
        <f>50.1979 * CHOOSE(CONTROL!$C$15, $E$9, 100%, $G$9) + CHOOSE(CONTROL!$C$38, 0.0347, 0)</f>
        <v>50.232599999999998</v>
      </c>
      <c r="H711" s="14">
        <f>50.1979 * CHOOSE(CONTROL!$C$15, $E$9, 100%, $G$9) + CHOOSE(CONTROL!$C$38, 0.0347, 0)</f>
        <v>50.232599999999998</v>
      </c>
      <c r="I711" s="14">
        <f>50.1995 * CHOOSE(CONTROL!$C$15, $E$9, 100%, $G$9) + CHOOSE(CONTROL!$C$38, 0.0347, 0)</f>
        <v>50.234200000000001</v>
      </c>
      <c r="J711" s="44">
        <f>445.8548</f>
        <v>445.85480000000001</v>
      </c>
    </row>
    <row r="712" spans="1:10" ht="15.75" x14ac:dyDescent="0.25">
      <c r="A712" s="32">
        <v>62609</v>
      </c>
      <c r="B712" s="14">
        <f>54.8649 * CHOOSE(CONTROL!$C$15, $E$9, 100%, $G$9) + CHOOSE(CONTROL!$C$38, 0.0278, 0)</f>
        <v>54.892699999999998</v>
      </c>
      <c r="C712" s="14">
        <f>51.8686 * CHOOSE(CONTROL!$C$15, $E$9, 100%, $G$9) + CHOOSE(CONTROL!$C$38, 0.0369, 0)</f>
        <v>51.905500000000004</v>
      </c>
      <c r="D712" s="14">
        <f>51.8608 * CHOOSE(CONTROL!$C$15, $E$9, 100%, $G$9) + CHOOSE(CONTROL!$C$38, 0.0369, 0)</f>
        <v>51.8977</v>
      </c>
      <c r="E712" s="46">
        <f>54.7087 * CHOOSE(CONTROL!$C$15, $E$9, 100%, $G$9) + CHOOSE(CONTROL!$C$38, 0.0369, 0)</f>
        <v>54.745600000000003</v>
      </c>
      <c r="F712" s="45">
        <f>54.7087 * CHOOSE(CONTROL!$C$15, $E$9, 100%, $G$9) + CHOOSE(CONTROL!$C$38, 0.0278, 0)</f>
        <v>54.736499999999999</v>
      </c>
      <c r="G712" s="14">
        <f>51.867 * CHOOSE(CONTROL!$C$15, $E$9, 100%, $G$9) + CHOOSE(CONTROL!$C$38, 0.0369, 0)</f>
        <v>51.9039</v>
      </c>
      <c r="H712" s="14">
        <f>51.867 * CHOOSE(CONTROL!$C$15, $E$9, 100%, $G$9) + CHOOSE(CONTROL!$C$38, 0.0369, 0)</f>
        <v>51.9039</v>
      </c>
      <c r="I712" s="14">
        <f>51.8686 * CHOOSE(CONTROL!$C$15, $E$9, 100%, $G$9) + CHOOSE(CONTROL!$C$38, 0.0369, 0)</f>
        <v>51.905500000000004</v>
      </c>
      <c r="J712" s="44">
        <f>460.8168</f>
        <v>460.8168</v>
      </c>
    </row>
    <row r="713" spans="1:10" ht="15.75" x14ac:dyDescent="0.25">
      <c r="A713" s="32">
        <v>62639</v>
      </c>
      <c r="B713" s="14">
        <f>55.6466 * CHOOSE(CONTROL!$C$15, $E$9, 100%, $G$9) + CHOOSE(CONTROL!$C$38, 0.0278, 0)</f>
        <v>55.674399999999999</v>
      </c>
      <c r="C713" s="14">
        <f>52.6093 * CHOOSE(CONTROL!$C$15, $E$9, 100%, $G$9) + CHOOSE(CONTROL!$C$38, 0.0369, 0)</f>
        <v>52.6462</v>
      </c>
      <c r="D713" s="14">
        <f>52.6015 * CHOOSE(CONTROL!$C$15, $E$9, 100%, $G$9) + CHOOSE(CONTROL!$C$38, 0.0369, 0)</f>
        <v>52.638400000000004</v>
      </c>
      <c r="E713" s="46">
        <f>55.4903 * CHOOSE(CONTROL!$C$15, $E$9, 100%, $G$9) + CHOOSE(CONTROL!$C$38, 0.0369, 0)</f>
        <v>55.527200000000001</v>
      </c>
      <c r="F713" s="45">
        <f>55.4903 * CHOOSE(CONTROL!$C$15, $E$9, 100%, $G$9) + CHOOSE(CONTROL!$C$38, 0.0278, 0)</f>
        <v>55.518099999999997</v>
      </c>
      <c r="G713" s="14">
        <f>52.6078 * CHOOSE(CONTROL!$C$15, $E$9, 100%, $G$9) + CHOOSE(CONTROL!$C$38, 0.0369, 0)</f>
        <v>52.6447</v>
      </c>
      <c r="H713" s="14">
        <f>52.6078 * CHOOSE(CONTROL!$C$15, $E$9, 100%, $G$9) + CHOOSE(CONTROL!$C$38, 0.0369, 0)</f>
        <v>52.6447</v>
      </c>
      <c r="I713" s="14">
        <f>52.6093 * CHOOSE(CONTROL!$C$15, $E$9, 100%, $G$9) + CHOOSE(CONTROL!$C$38, 0.0369, 0)</f>
        <v>52.6462</v>
      </c>
      <c r="J713" s="44">
        <f>467.4566</f>
        <v>467.45659999999998</v>
      </c>
    </row>
    <row r="714" spans="1:10" ht="15.75" x14ac:dyDescent="0.25">
      <c r="A714" s="32">
        <v>62670</v>
      </c>
      <c r="B714" s="14">
        <f>55.3892 * CHOOSE(CONTROL!$C$15, $E$9, 100%, $G$9) + CHOOSE(CONTROL!$C$38, 0.0278, 0)</f>
        <v>55.417000000000002</v>
      </c>
      <c r="C714" s="14">
        <f>52.3655 * CHOOSE(CONTROL!$C$15, $E$9, 100%, $G$9) + CHOOSE(CONTROL!$C$38, 0.0369, 0)</f>
        <v>52.4024</v>
      </c>
      <c r="D714" s="14">
        <f>52.3576 * CHOOSE(CONTROL!$C$15, $E$9, 100%, $G$9) + CHOOSE(CONTROL!$C$38, 0.0369, 0)</f>
        <v>52.394500000000001</v>
      </c>
      <c r="E714" s="46">
        <f>55.233 * CHOOSE(CONTROL!$C$15, $E$9, 100%, $G$9) + CHOOSE(CONTROL!$C$38, 0.0369, 0)</f>
        <v>55.2699</v>
      </c>
      <c r="F714" s="45">
        <f>55.233 * CHOOSE(CONTROL!$C$15, $E$9, 100%, $G$9) + CHOOSE(CONTROL!$C$38, 0.0278, 0)</f>
        <v>55.260799999999996</v>
      </c>
      <c r="G714" s="14">
        <f>52.3639 * CHOOSE(CONTROL!$C$15, $E$9, 100%, $G$9) + CHOOSE(CONTROL!$C$38, 0.0369, 0)</f>
        <v>52.400800000000004</v>
      </c>
      <c r="H714" s="14">
        <f>52.3639 * CHOOSE(CONTROL!$C$15, $E$9, 100%, $G$9) + CHOOSE(CONTROL!$C$38, 0.0369, 0)</f>
        <v>52.400800000000004</v>
      </c>
      <c r="I714" s="14">
        <f>52.3655 * CHOOSE(CONTROL!$C$15, $E$9, 100%, $G$9) + CHOOSE(CONTROL!$C$38, 0.0369, 0)</f>
        <v>52.4024</v>
      </c>
      <c r="J714" s="44">
        <f>465.2705</f>
        <v>465.27050000000003</v>
      </c>
    </row>
    <row r="715" spans="1:10" ht="15.75" x14ac:dyDescent="0.25">
      <c r="A715" s="32">
        <v>62701</v>
      </c>
      <c r="B715" s="14">
        <f>54.1141 * CHOOSE(CONTROL!$C$15, $E$9, 100%, $G$9) + CHOOSE(CONTROL!$C$38, 0.0278, 0)</f>
        <v>54.1419</v>
      </c>
      <c r="C715" s="14">
        <f>51.1571 * CHOOSE(CONTROL!$C$15, $E$9, 100%, $G$9) + CHOOSE(CONTROL!$C$38, 0.0369, 0)</f>
        <v>51.194000000000003</v>
      </c>
      <c r="D715" s="14">
        <f>51.1493 * CHOOSE(CONTROL!$C$15, $E$9, 100%, $G$9) + CHOOSE(CONTROL!$C$38, 0.0369, 0)</f>
        <v>51.186199999999999</v>
      </c>
      <c r="E715" s="46">
        <f>53.9579 * CHOOSE(CONTROL!$C$15, $E$9, 100%, $G$9) + CHOOSE(CONTROL!$C$38, 0.0369, 0)</f>
        <v>53.994800000000005</v>
      </c>
      <c r="F715" s="45">
        <f>53.9579 * CHOOSE(CONTROL!$C$15, $E$9, 100%, $G$9) + CHOOSE(CONTROL!$C$38, 0.0278, 0)</f>
        <v>53.985700000000001</v>
      </c>
      <c r="G715" s="14">
        <f>51.1556 * CHOOSE(CONTROL!$C$15, $E$9, 100%, $G$9) + CHOOSE(CONTROL!$C$38, 0.0369, 0)</f>
        <v>51.192500000000003</v>
      </c>
      <c r="H715" s="14">
        <f>51.1556 * CHOOSE(CONTROL!$C$15, $E$9, 100%, $G$9) + CHOOSE(CONTROL!$C$38, 0.0369, 0)</f>
        <v>51.192500000000003</v>
      </c>
      <c r="I715" s="14">
        <f>51.1571 * CHOOSE(CONTROL!$C$15, $E$9, 100%, $G$9) + CHOOSE(CONTROL!$C$38, 0.0369, 0)</f>
        <v>51.194000000000003</v>
      </c>
      <c r="J715" s="44">
        <f>454.4392</f>
        <v>454.43920000000003</v>
      </c>
    </row>
    <row r="716" spans="1:10" ht="15.75" x14ac:dyDescent="0.25">
      <c r="A716" s="32">
        <v>62731</v>
      </c>
      <c r="B716" s="14">
        <f>52.336 * CHOOSE(CONTROL!$C$15, $E$9, 100%, $G$9) + CHOOSE(CONTROL!$C$38, 0.0278, 0)</f>
        <v>52.363799999999998</v>
      </c>
      <c r="C716" s="14">
        <f>49.4721 * CHOOSE(CONTROL!$C$15, $E$9, 100%, $G$9) + CHOOSE(CONTROL!$C$38, 0.0369, 0)</f>
        <v>49.509</v>
      </c>
      <c r="D716" s="14">
        <f>49.4643 * CHOOSE(CONTROL!$C$15, $E$9, 100%, $G$9) + CHOOSE(CONTROL!$C$38, 0.0369, 0)</f>
        <v>49.501200000000004</v>
      </c>
      <c r="E716" s="46">
        <f>52.1797 * CHOOSE(CONTROL!$C$15, $E$9, 100%, $G$9) + CHOOSE(CONTROL!$C$38, 0.0369, 0)</f>
        <v>52.2166</v>
      </c>
      <c r="F716" s="45">
        <f>52.1797 * CHOOSE(CONTROL!$C$15, $E$9, 100%, $G$9) + CHOOSE(CONTROL!$C$38, 0.0278, 0)</f>
        <v>52.207499999999996</v>
      </c>
      <c r="G716" s="14">
        <f>49.4705 * CHOOSE(CONTROL!$C$15, $E$9, 100%, $G$9) + CHOOSE(CONTROL!$C$38, 0.0369, 0)</f>
        <v>49.507400000000004</v>
      </c>
      <c r="H716" s="14">
        <f>49.4705 * CHOOSE(CONTROL!$C$15, $E$9, 100%, $G$9) + CHOOSE(CONTROL!$C$38, 0.0369, 0)</f>
        <v>49.507400000000004</v>
      </c>
      <c r="I716" s="14">
        <f>49.4721 * CHOOSE(CONTROL!$C$15, $E$9, 100%, $G$9) + CHOOSE(CONTROL!$C$38, 0.0369, 0)</f>
        <v>49.509</v>
      </c>
      <c r="J716" s="44">
        <f>439.3344</f>
        <v>439.33440000000002</v>
      </c>
    </row>
    <row r="717" spans="1:10" ht="15.75" x14ac:dyDescent="0.25">
      <c r="A717" s="32">
        <v>62762</v>
      </c>
      <c r="B717" s="14">
        <f>50.5475 * CHOOSE(CONTROL!$C$15, $E$9, 100%, $G$9) + CHOOSE(CONTROL!$C$38, 0.0256, 0)</f>
        <v>50.573099999999997</v>
      </c>
      <c r="C717" s="14">
        <f>47.7772 * CHOOSE(CONTROL!$C$15, $E$9, 100%, $G$9) + CHOOSE(CONTROL!$C$38, 0.0347, 0)</f>
        <v>47.811900000000001</v>
      </c>
      <c r="D717" s="14">
        <f>47.7694 * CHOOSE(CONTROL!$C$15, $E$9, 100%, $G$9) + CHOOSE(CONTROL!$C$38, 0.0347, 0)</f>
        <v>47.804099999999998</v>
      </c>
      <c r="E717" s="46">
        <f>50.3913 * CHOOSE(CONTROL!$C$15, $E$9, 100%, $G$9) + CHOOSE(CONTROL!$C$38, 0.0347, 0)</f>
        <v>50.426000000000002</v>
      </c>
      <c r="F717" s="45">
        <f>50.3913 * CHOOSE(CONTROL!$C$15, $E$9, 100%, $G$9) + CHOOSE(CONTROL!$C$38, 0.0256, 0)</f>
        <v>50.416899999999998</v>
      </c>
      <c r="G717" s="14">
        <f>47.7757 * CHOOSE(CONTROL!$C$15, $E$9, 100%, $G$9) + CHOOSE(CONTROL!$C$38, 0.0347, 0)</f>
        <v>47.810400000000001</v>
      </c>
      <c r="H717" s="14">
        <f>47.7757 * CHOOSE(CONTROL!$C$15, $E$9, 100%, $G$9) + CHOOSE(CONTROL!$C$38, 0.0347, 0)</f>
        <v>47.810400000000001</v>
      </c>
      <c r="I717" s="14">
        <f>47.7772 * CHOOSE(CONTROL!$C$15, $E$9, 100%, $G$9) + CHOOSE(CONTROL!$C$38, 0.0347, 0)</f>
        <v>47.811900000000001</v>
      </c>
      <c r="J717" s="44">
        <f>424.1418</f>
        <v>424.14179999999999</v>
      </c>
    </row>
    <row r="718" spans="1:10" ht="15.75" x14ac:dyDescent="0.25">
      <c r="A718" s="32">
        <v>62792</v>
      </c>
      <c r="B718" s="14">
        <f>50.1917 * CHOOSE(CONTROL!$C$15, $E$9, 100%, $G$9) + CHOOSE(CONTROL!$C$38, 0.0256, 0)</f>
        <v>50.217299999999994</v>
      </c>
      <c r="C718" s="14">
        <f>47.4401 * CHOOSE(CONTROL!$C$15, $E$9, 100%, $G$9) + CHOOSE(CONTROL!$C$38, 0.0347, 0)</f>
        <v>47.474800000000002</v>
      </c>
      <c r="D718" s="14">
        <f>47.4323 * CHOOSE(CONTROL!$C$15, $E$9, 100%, $G$9) + CHOOSE(CONTROL!$C$38, 0.0347, 0)</f>
        <v>47.466999999999999</v>
      </c>
      <c r="E718" s="46">
        <f>50.0355 * CHOOSE(CONTROL!$C$15, $E$9, 100%, $G$9) + CHOOSE(CONTROL!$C$38, 0.0347, 0)</f>
        <v>50.0702</v>
      </c>
      <c r="F718" s="45">
        <f>50.0355 * CHOOSE(CONTROL!$C$15, $E$9, 100%, $G$9) + CHOOSE(CONTROL!$C$38, 0.0256, 0)</f>
        <v>50.061099999999996</v>
      </c>
      <c r="G718" s="14">
        <f>47.4385 * CHOOSE(CONTROL!$C$15, $E$9, 100%, $G$9) + CHOOSE(CONTROL!$C$38, 0.0347, 0)</f>
        <v>47.473199999999999</v>
      </c>
      <c r="H718" s="14">
        <f>47.4385 * CHOOSE(CONTROL!$C$15, $E$9, 100%, $G$9) + CHOOSE(CONTROL!$C$38, 0.0347, 0)</f>
        <v>47.473199999999999</v>
      </c>
      <c r="I718" s="14">
        <f>47.4401 * CHOOSE(CONTROL!$C$15, $E$9, 100%, $G$9) + CHOOSE(CONTROL!$C$38, 0.0347, 0)</f>
        <v>47.474800000000002</v>
      </c>
      <c r="J718" s="44">
        <f>421.1197</f>
        <v>421.11970000000002</v>
      </c>
    </row>
    <row r="719" spans="1:10" ht="15.75" x14ac:dyDescent="0.25">
      <c r="A719" s="32">
        <v>62823</v>
      </c>
      <c r="B719" s="14">
        <f>48.7206 * CHOOSE(CONTROL!$C$15, $E$9, 100%, $G$9) + CHOOSE(CONTROL!$C$38, 0.0256, 0)</f>
        <v>48.746199999999995</v>
      </c>
      <c r="C719" s="14">
        <f>46.046 * CHOOSE(CONTROL!$C$15, $E$9, 100%, $G$9) + CHOOSE(CONTROL!$C$38, 0.0347, 0)</f>
        <v>46.0807</v>
      </c>
      <c r="D719" s="14">
        <f>46.0382 * CHOOSE(CONTROL!$C$15, $E$9, 100%, $G$9) + CHOOSE(CONTROL!$C$38, 0.0347, 0)</f>
        <v>46.072900000000004</v>
      </c>
      <c r="E719" s="46">
        <f>48.5644 * CHOOSE(CONTROL!$C$15, $E$9, 100%, $G$9) + CHOOSE(CONTROL!$C$38, 0.0347, 0)</f>
        <v>48.5991</v>
      </c>
      <c r="F719" s="45">
        <f>48.5644 * CHOOSE(CONTROL!$C$15, $E$9, 100%, $G$9) + CHOOSE(CONTROL!$C$38, 0.0256, 0)</f>
        <v>48.589999999999996</v>
      </c>
      <c r="G719" s="14">
        <f>46.0444 * CHOOSE(CONTROL!$C$15, $E$9, 100%, $G$9) + CHOOSE(CONTROL!$C$38, 0.0347, 0)</f>
        <v>46.079100000000004</v>
      </c>
      <c r="H719" s="14">
        <f>46.0444 * CHOOSE(CONTROL!$C$15, $E$9, 100%, $G$9) + CHOOSE(CONTROL!$C$38, 0.0347, 0)</f>
        <v>46.079100000000004</v>
      </c>
      <c r="I719" s="14">
        <f>46.046 * CHOOSE(CONTROL!$C$15, $E$9, 100%, $G$9) + CHOOSE(CONTROL!$C$38, 0.0347, 0)</f>
        <v>46.0807</v>
      </c>
      <c r="J719" s="44">
        <f>408.6229</f>
        <v>408.62290000000002</v>
      </c>
    </row>
    <row r="720" spans="1:10" ht="15.75" x14ac:dyDescent="0.25">
      <c r="A720" s="32">
        <v>62854</v>
      </c>
      <c r="B720" s="14">
        <f>48.3553 * CHOOSE(CONTROL!$C$15, $E$9, 100%, $G$9) + CHOOSE(CONTROL!$C$38, 0.0256, 0)</f>
        <v>48.380899999999997</v>
      </c>
      <c r="C720" s="14">
        <f>45.6998 * CHOOSE(CONTROL!$C$15, $E$9, 100%, $G$9) + CHOOSE(CONTROL!$C$38, 0.0347, 0)</f>
        <v>45.734500000000004</v>
      </c>
      <c r="D720" s="14">
        <f>45.692 * CHOOSE(CONTROL!$C$15, $E$9, 100%, $G$9) + CHOOSE(CONTROL!$C$38, 0.0347, 0)</f>
        <v>45.726700000000001</v>
      </c>
      <c r="E720" s="46">
        <f>48.199 * CHOOSE(CONTROL!$C$15, $E$9, 100%, $G$9) + CHOOSE(CONTROL!$C$38, 0.0347, 0)</f>
        <v>48.233699999999999</v>
      </c>
      <c r="F720" s="45">
        <f>48.199 * CHOOSE(CONTROL!$C$15, $E$9, 100%, $G$9) + CHOOSE(CONTROL!$C$38, 0.0256, 0)</f>
        <v>48.224599999999995</v>
      </c>
      <c r="G720" s="14">
        <f>45.6982 * CHOOSE(CONTROL!$C$15, $E$9, 100%, $G$9) + CHOOSE(CONTROL!$C$38, 0.0347, 0)</f>
        <v>45.732900000000001</v>
      </c>
      <c r="H720" s="14">
        <f>45.6982 * CHOOSE(CONTROL!$C$15, $E$9, 100%, $G$9) + CHOOSE(CONTROL!$C$38, 0.0347, 0)</f>
        <v>45.732900000000001</v>
      </c>
      <c r="I720" s="14">
        <f>45.6998 * CHOOSE(CONTROL!$C$15, $E$9, 100%, $G$9) + CHOOSE(CONTROL!$C$38, 0.0347, 0)</f>
        <v>45.734500000000004</v>
      </c>
      <c r="J720" s="44">
        <f>408.096</f>
        <v>408.096</v>
      </c>
    </row>
    <row r="721" spans="1:10" ht="15.75" x14ac:dyDescent="0.25">
      <c r="A721" s="32">
        <v>62883</v>
      </c>
      <c r="B721" s="14">
        <f>48.2226 * CHOOSE(CONTROL!$C$15, $E$9, 100%, $G$9) + CHOOSE(CONTROL!$C$38, 0.0256, 0)</f>
        <v>48.248199999999997</v>
      </c>
      <c r="C721" s="14">
        <f>45.574 * CHOOSE(CONTROL!$C$15, $E$9, 100%, $G$9) + CHOOSE(CONTROL!$C$38, 0.0347, 0)</f>
        <v>45.608699999999999</v>
      </c>
      <c r="D721" s="14">
        <f>45.5662 * CHOOSE(CONTROL!$C$15, $E$9, 100%, $G$9) + CHOOSE(CONTROL!$C$38, 0.0347, 0)</f>
        <v>45.600900000000003</v>
      </c>
      <c r="E721" s="46">
        <f>48.0663 * CHOOSE(CONTROL!$C$15, $E$9, 100%, $G$9) + CHOOSE(CONTROL!$C$38, 0.0347, 0)</f>
        <v>48.100999999999999</v>
      </c>
      <c r="F721" s="45">
        <f>48.0663 * CHOOSE(CONTROL!$C$15, $E$9, 100%, $G$9) + CHOOSE(CONTROL!$C$38, 0.0256, 0)</f>
        <v>48.091899999999995</v>
      </c>
      <c r="G721" s="14">
        <f>45.5725 * CHOOSE(CONTROL!$C$15, $E$9, 100%, $G$9) + CHOOSE(CONTROL!$C$38, 0.0347, 0)</f>
        <v>45.607199999999999</v>
      </c>
      <c r="H721" s="14">
        <f>45.5725 * CHOOSE(CONTROL!$C$15, $E$9, 100%, $G$9) + CHOOSE(CONTROL!$C$38, 0.0347, 0)</f>
        <v>45.607199999999999</v>
      </c>
      <c r="I721" s="14">
        <f>45.574 * CHOOSE(CONTROL!$C$15, $E$9, 100%, $G$9) + CHOOSE(CONTROL!$C$38, 0.0347, 0)</f>
        <v>45.608699999999999</v>
      </c>
      <c r="J721" s="44">
        <f>406.9616</f>
        <v>406.96159999999998</v>
      </c>
    </row>
    <row r="722" spans="1:10" ht="15.75" x14ac:dyDescent="0.25">
      <c r="A722" s="32">
        <v>62914</v>
      </c>
      <c r="B722" s="14">
        <f>50.7317 * CHOOSE(CONTROL!$C$15, $E$9, 100%, $G$9) + CHOOSE(CONTROL!$C$38, 0.0256, 0)</f>
        <v>50.757299999999994</v>
      </c>
      <c r="C722" s="14">
        <f>47.9517 * CHOOSE(CONTROL!$C$15, $E$9, 100%, $G$9) + CHOOSE(CONTROL!$C$38, 0.0347, 0)</f>
        <v>47.986400000000003</v>
      </c>
      <c r="D722" s="14">
        <f>47.9439 * CHOOSE(CONTROL!$C$15, $E$9, 100%, $G$9) + CHOOSE(CONTROL!$C$38, 0.0347, 0)</f>
        <v>47.9786</v>
      </c>
      <c r="E722" s="46">
        <f>50.5754 * CHOOSE(CONTROL!$C$15, $E$9, 100%, $G$9) + CHOOSE(CONTROL!$C$38, 0.0347, 0)</f>
        <v>50.610100000000003</v>
      </c>
      <c r="F722" s="45">
        <f>50.5754 * CHOOSE(CONTROL!$C$15, $E$9, 100%, $G$9) + CHOOSE(CONTROL!$C$38, 0.0256, 0)</f>
        <v>50.600999999999999</v>
      </c>
      <c r="G722" s="14">
        <f>47.9502 * CHOOSE(CONTROL!$C$15, $E$9, 100%, $G$9) + CHOOSE(CONTROL!$C$38, 0.0347, 0)</f>
        <v>47.984900000000003</v>
      </c>
      <c r="H722" s="14">
        <f>47.9502 * CHOOSE(CONTROL!$C$15, $E$9, 100%, $G$9) + CHOOSE(CONTROL!$C$38, 0.0347, 0)</f>
        <v>47.984900000000003</v>
      </c>
      <c r="I722" s="14">
        <f>47.9517 * CHOOSE(CONTROL!$C$15, $E$9, 100%, $G$9) + CHOOSE(CONTROL!$C$38, 0.0347, 0)</f>
        <v>47.986400000000003</v>
      </c>
      <c r="J722" s="44">
        <f>428.4108</f>
        <v>428.41079999999999</v>
      </c>
    </row>
    <row r="723" spans="1:10" ht="15.75" x14ac:dyDescent="0.25">
      <c r="A723" s="32">
        <v>62944</v>
      </c>
      <c r="B723" s="14">
        <f>53.9853 * CHOOSE(CONTROL!$C$15, $E$9, 100%, $G$9) + CHOOSE(CONTROL!$C$38, 0.0256, 0)</f>
        <v>54.010899999999999</v>
      </c>
      <c r="C723" s="14">
        <f>51.0351 * CHOOSE(CONTROL!$C$15, $E$9, 100%, $G$9) + CHOOSE(CONTROL!$C$38, 0.0347, 0)</f>
        <v>51.069800000000001</v>
      </c>
      <c r="D723" s="14">
        <f>51.0273 * CHOOSE(CONTROL!$C$15, $E$9, 100%, $G$9) + CHOOSE(CONTROL!$C$38, 0.0347, 0)</f>
        <v>51.061999999999998</v>
      </c>
      <c r="E723" s="46">
        <f>53.8291 * CHOOSE(CONTROL!$C$15, $E$9, 100%, $G$9) + CHOOSE(CONTROL!$C$38, 0.0347, 0)</f>
        <v>53.863799999999998</v>
      </c>
      <c r="F723" s="45">
        <f>53.8291 * CHOOSE(CONTROL!$C$15, $E$9, 100%, $G$9) + CHOOSE(CONTROL!$C$38, 0.0256, 0)</f>
        <v>53.854699999999994</v>
      </c>
      <c r="G723" s="14">
        <f>51.0335 * CHOOSE(CONTROL!$C$15, $E$9, 100%, $G$9) + CHOOSE(CONTROL!$C$38, 0.0347, 0)</f>
        <v>51.068199999999997</v>
      </c>
      <c r="H723" s="14">
        <f>51.0335 * CHOOSE(CONTROL!$C$15, $E$9, 100%, $G$9) + CHOOSE(CONTROL!$C$38, 0.0347, 0)</f>
        <v>51.068199999999997</v>
      </c>
      <c r="I723" s="14">
        <f>51.0351 * CHOOSE(CONTROL!$C$15, $E$9, 100%, $G$9) + CHOOSE(CONTROL!$C$38, 0.0347, 0)</f>
        <v>51.069800000000001</v>
      </c>
      <c r="J723" s="44">
        <f>456.2253</f>
        <v>456.2253</v>
      </c>
    </row>
    <row r="724" spans="1:10" ht="15.75" x14ac:dyDescent="0.25">
      <c r="A724" s="32">
        <v>62975</v>
      </c>
      <c r="B724" s="14">
        <f>55.7763 * CHOOSE(CONTROL!$C$15, $E$9, 100%, $G$9) + CHOOSE(CONTROL!$C$38, 0.0278, 0)</f>
        <v>55.804099999999998</v>
      </c>
      <c r="C724" s="14">
        <f>52.7322 * CHOOSE(CONTROL!$C$15, $E$9, 100%, $G$9) + CHOOSE(CONTROL!$C$38, 0.0369, 0)</f>
        <v>52.769100000000002</v>
      </c>
      <c r="D724" s="14">
        <f>52.7244 * CHOOSE(CONTROL!$C$15, $E$9, 100%, $G$9) + CHOOSE(CONTROL!$C$38, 0.0369, 0)</f>
        <v>52.761300000000006</v>
      </c>
      <c r="E724" s="46">
        <f>55.62 * CHOOSE(CONTROL!$C$15, $E$9, 100%, $G$9) + CHOOSE(CONTROL!$C$38, 0.0369, 0)</f>
        <v>55.6569</v>
      </c>
      <c r="F724" s="45">
        <f>55.62 * CHOOSE(CONTROL!$C$15, $E$9, 100%, $G$9) + CHOOSE(CONTROL!$C$38, 0.0278, 0)</f>
        <v>55.647799999999997</v>
      </c>
      <c r="G724" s="14">
        <f>52.7307 * CHOOSE(CONTROL!$C$15, $E$9, 100%, $G$9) + CHOOSE(CONTROL!$C$38, 0.0369, 0)</f>
        <v>52.767600000000002</v>
      </c>
      <c r="H724" s="14">
        <f>52.7307 * CHOOSE(CONTROL!$C$15, $E$9, 100%, $G$9) + CHOOSE(CONTROL!$C$38, 0.0369, 0)</f>
        <v>52.767600000000002</v>
      </c>
      <c r="I724" s="14">
        <f>52.7322 * CHOOSE(CONTROL!$C$15, $E$9, 100%, $G$9) + CHOOSE(CONTROL!$C$38, 0.0369, 0)</f>
        <v>52.769100000000002</v>
      </c>
      <c r="J724" s="44">
        <f>471.5354</f>
        <v>471.53539999999998</v>
      </c>
    </row>
    <row r="725" spans="1:10" ht="15.75" x14ac:dyDescent="0.25">
      <c r="A725" s="32">
        <v>63005</v>
      </c>
      <c r="B725" s="14">
        <f>56.571 * CHOOSE(CONTROL!$C$15, $E$9, 100%, $G$9) + CHOOSE(CONTROL!$C$38, 0.0278, 0)</f>
        <v>56.598799999999997</v>
      </c>
      <c r="C725" s="14">
        <f>53.4854 * CHOOSE(CONTROL!$C$15, $E$9, 100%, $G$9) + CHOOSE(CONTROL!$C$38, 0.0369, 0)</f>
        <v>53.522300000000001</v>
      </c>
      <c r="D725" s="14">
        <f>53.4776 * CHOOSE(CONTROL!$C$15, $E$9, 100%, $G$9) + CHOOSE(CONTROL!$C$38, 0.0369, 0)</f>
        <v>53.514500000000005</v>
      </c>
      <c r="E725" s="46">
        <f>56.4148 * CHOOSE(CONTROL!$C$15, $E$9, 100%, $G$9) + CHOOSE(CONTROL!$C$38, 0.0369, 0)</f>
        <v>56.451700000000002</v>
      </c>
      <c r="F725" s="45">
        <f>56.4148 * CHOOSE(CONTROL!$C$15, $E$9, 100%, $G$9) + CHOOSE(CONTROL!$C$38, 0.0278, 0)</f>
        <v>56.442599999999999</v>
      </c>
      <c r="G725" s="14">
        <f>53.4839 * CHOOSE(CONTROL!$C$15, $E$9, 100%, $G$9) + CHOOSE(CONTROL!$C$38, 0.0369, 0)</f>
        <v>53.520800000000001</v>
      </c>
      <c r="H725" s="14">
        <f>53.4839 * CHOOSE(CONTROL!$C$15, $E$9, 100%, $G$9) + CHOOSE(CONTROL!$C$38, 0.0369, 0)</f>
        <v>53.520800000000001</v>
      </c>
      <c r="I725" s="14">
        <f>53.4854 * CHOOSE(CONTROL!$C$15, $E$9, 100%, $G$9) + CHOOSE(CONTROL!$C$38, 0.0369, 0)</f>
        <v>53.522300000000001</v>
      </c>
      <c r="J725" s="44">
        <f>478.3297</f>
        <v>478.3297</v>
      </c>
    </row>
    <row r="726" spans="1:10" ht="15.75" x14ac:dyDescent="0.25">
      <c r="A726" s="32">
        <v>63036</v>
      </c>
      <c r="B726" s="14">
        <f>56.3094 * CHOOSE(CONTROL!$C$15, $E$9, 100%, $G$9) + CHOOSE(CONTROL!$C$38, 0.0278, 0)</f>
        <v>56.337199999999996</v>
      </c>
      <c r="C726" s="14">
        <f>53.2374 * CHOOSE(CONTROL!$C$15, $E$9, 100%, $G$9) + CHOOSE(CONTROL!$C$38, 0.0369, 0)</f>
        <v>53.274300000000004</v>
      </c>
      <c r="D726" s="14">
        <f>53.2296 * CHOOSE(CONTROL!$C$15, $E$9, 100%, $G$9) + CHOOSE(CONTROL!$C$38, 0.0369, 0)</f>
        <v>53.266500000000001</v>
      </c>
      <c r="E726" s="46">
        <f>56.1531 * CHOOSE(CONTROL!$C$15, $E$9, 100%, $G$9) + CHOOSE(CONTROL!$C$38, 0.0369, 0)</f>
        <v>56.190000000000005</v>
      </c>
      <c r="F726" s="45">
        <f>56.1531 * CHOOSE(CONTROL!$C$15, $E$9, 100%, $G$9) + CHOOSE(CONTROL!$C$38, 0.0278, 0)</f>
        <v>56.180900000000001</v>
      </c>
      <c r="G726" s="14">
        <f>53.2359 * CHOOSE(CONTROL!$C$15, $E$9, 100%, $G$9) + CHOOSE(CONTROL!$C$38, 0.0369, 0)</f>
        <v>53.272800000000004</v>
      </c>
      <c r="H726" s="14">
        <f>53.2359 * CHOOSE(CONTROL!$C$15, $E$9, 100%, $G$9) + CHOOSE(CONTROL!$C$38, 0.0369, 0)</f>
        <v>53.272800000000004</v>
      </c>
      <c r="I726" s="14">
        <f>53.2374 * CHOOSE(CONTROL!$C$15, $E$9, 100%, $G$9) + CHOOSE(CONTROL!$C$38, 0.0369, 0)</f>
        <v>53.274300000000004</v>
      </c>
      <c r="J726" s="44">
        <f>476.0927</f>
        <v>476.09269999999998</v>
      </c>
    </row>
    <row r="727" spans="1:10" ht="15.75" x14ac:dyDescent="0.25">
      <c r="A727" s="32">
        <v>63067</v>
      </c>
      <c r="B727" s="14">
        <f>55.0129 * CHOOSE(CONTROL!$C$15, $E$9, 100%, $G$9) + CHOOSE(CONTROL!$C$38, 0.0278, 0)</f>
        <v>55.040700000000001</v>
      </c>
      <c r="C727" s="14">
        <f>52.0088 * CHOOSE(CONTROL!$C$15, $E$9, 100%, $G$9) + CHOOSE(CONTROL!$C$38, 0.0369, 0)</f>
        <v>52.045700000000004</v>
      </c>
      <c r="D727" s="14">
        <f>52.001 * CHOOSE(CONTROL!$C$15, $E$9, 100%, $G$9) + CHOOSE(CONTROL!$C$38, 0.0369, 0)</f>
        <v>52.0379</v>
      </c>
      <c r="E727" s="46">
        <f>54.8566 * CHOOSE(CONTROL!$C$15, $E$9, 100%, $G$9) + CHOOSE(CONTROL!$C$38, 0.0369, 0)</f>
        <v>54.893500000000003</v>
      </c>
      <c r="F727" s="45">
        <f>54.8566 * CHOOSE(CONTROL!$C$15, $E$9, 100%, $G$9) + CHOOSE(CONTROL!$C$38, 0.0278, 0)</f>
        <v>54.884399999999999</v>
      </c>
      <c r="G727" s="14">
        <f>52.0073 * CHOOSE(CONTROL!$C$15, $E$9, 100%, $G$9) + CHOOSE(CONTROL!$C$38, 0.0369, 0)</f>
        <v>52.044200000000004</v>
      </c>
      <c r="H727" s="14">
        <f>52.0073 * CHOOSE(CONTROL!$C$15, $E$9, 100%, $G$9) + CHOOSE(CONTROL!$C$38, 0.0369, 0)</f>
        <v>52.044200000000004</v>
      </c>
      <c r="I727" s="14">
        <f>52.0088 * CHOOSE(CONTROL!$C$15, $E$9, 100%, $G$9) + CHOOSE(CONTROL!$C$38, 0.0369, 0)</f>
        <v>52.045700000000004</v>
      </c>
      <c r="J727" s="44">
        <f>465.0094</f>
        <v>465.00940000000003</v>
      </c>
    </row>
    <row r="728" spans="1:10" ht="15.75" x14ac:dyDescent="0.25">
      <c r="A728" s="32">
        <v>63097</v>
      </c>
      <c r="B728" s="14">
        <f>53.2049 * CHOOSE(CONTROL!$C$15, $E$9, 100%, $G$9) + CHOOSE(CONTROL!$C$38, 0.0278, 0)</f>
        <v>53.232700000000001</v>
      </c>
      <c r="C728" s="14">
        <f>50.2955 * CHOOSE(CONTROL!$C$15, $E$9, 100%, $G$9) + CHOOSE(CONTROL!$C$38, 0.0369, 0)</f>
        <v>50.3324</v>
      </c>
      <c r="D728" s="14">
        <f>50.2876 * CHOOSE(CONTROL!$C$15, $E$9, 100%, $G$9) + CHOOSE(CONTROL!$C$38, 0.0369, 0)</f>
        <v>50.3245</v>
      </c>
      <c r="E728" s="46">
        <f>53.0486 * CHOOSE(CONTROL!$C$15, $E$9, 100%, $G$9) + CHOOSE(CONTROL!$C$38, 0.0369, 0)</f>
        <v>53.085500000000003</v>
      </c>
      <c r="F728" s="45">
        <f>53.0486 * CHOOSE(CONTROL!$C$15, $E$9, 100%, $G$9) + CHOOSE(CONTROL!$C$38, 0.0278, 0)</f>
        <v>53.0764</v>
      </c>
      <c r="G728" s="14">
        <f>50.2939 * CHOOSE(CONTROL!$C$15, $E$9, 100%, $G$9) + CHOOSE(CONTROL!$C$38, 0.0369, 0)</f>
        <v>50.330800000000004</v>
      </c>
      <c r="H728" s="14">
        <f>50.2939 * CHOOSE(CONTROL!$C$15, $E$9, 100%, $G$9) + CHOOSE(CONTROL!$C$38, 0.0369, 0)</f>
        <v>50.330800000000004</v>
      </c>
      <c r="I728" s="14">
        <f>50.2955 * CHOOSE(CONTROL!$C$15, $E$9, 100%, $G$9) + CHOOSE(CONTROL!$C$38, 0.0369, 0)</f>
        <v>50.3324</v>
      </c>
      <c r="J728" s="44">
        <f>449.5533</f>
        <v>449.55329999999998</v>
      </c>
    </row>
    <row r="729" spans="1:10" ht="15.75" x14ac:dyDescent="0.25">
      <c r="A729" s="32">
        <v>63128</v>
      </c>
      <c r="B729" s="14">
        <f>51.3863 * CHOOSE(CONTROL!$C$15, $E$9, 100%, $G$9) + CHOOSE(CONTROL!$C$38, 0.0256, 0)</f>
        <v>51.411899999999996</v>
      </c>
      <c r="C729" s="14">
        <f>48.5721 * CHOOSE(CONTROL!$C$15, $E$9, 100%, $G$9) + CHOOSE(CONTROL!$C$38, 0.0347, 0)</f>
        <v>48.6068</v>
      </c>
      <c r="D729" s="14">
        <f>48.5643 * CHOOSE(CONTROL!$C$15, $E$9, 100%, $G$9) + CHOOSE(CONTROL!$C$38, 0.0347, 0)</f>
        <v>48.599000000000004</v>
      </c>
      <c r="E729" s="46">
        <f>51.2301 * CHOOSE(CONTROL!$C$15, $E$9, 100%, $G$9) + CHOOSE(CONTROL!$C$38, 0.0347, 0)</f>
        <v>51.264800000000001</v>
      </c>
      <c r="F729" s="45">
        <f>51.2301 * CHOOSE(CONTROL!$C$15, $E$9, 100%, $G$9) + CHOOSE(CONTROL!$C$38, 0.0256, 0)</f>
        <v>51.255699999999997</v>
      </c>
      <c r="G729" s="14">
        <f>48.5706 * CHOOSE(CONTROL!$C$15, $E$9, 100%, $G$9) + CHOOSE(CONTROL!$C$38, 0.0347, 0)</f>
        <v>48.6053</v>
      </c>
      <c r="H729" s="14">
        <f>48.5706 * CHOOSE(CONTROL!$C$15, $E$9, 100%, $G$9) + CHOOSE(CONTROL!$C$38, 0.0347, 0)</f>
        <v>48.6053</v>
      </c>
      <c r="I729" s="14">
        <f>48.5721 * CHOOSE(CONTROL!$C$15, $E$9, 100%, $G$9) + CHOOSE(CONTROL!$C$38, 0.0347, 0)</f>
        <v>48.6068</v>
      </c>
      <c r="J729" s="44">
        <f>434.0073</f>
        <v>434.00729999999999</v>
      </c>
    </row>
    <row r="730" spans="1:10" ht="15.75" x14ac:dyDescent="0.25">
      <c r="A730" s="32">
        <v>63158</v>
      </c>
      <c r="B730" s="14">
        <f>51.0246 * CHOOSE(CONTROL!$C$15, $E$9, 100%, $G$9) + CHOOSE(CONTROL!$C$38, 0.0256, 0)</f>
        <v>51.050199999999997</v>
      </c>
      <c r="C730" s="14">
        <f>48.2293 * CHOOSE(CONTROL!$C$15, $E$9, 100%, $G$9) + CHOOSE(CONTROL!$C$38, 0.0347, 0)</f>
        <v>48.264000000000003</v>
      </c>
      <c r="D730" s="14">
        <f>48.2215 * CHOOSE(CONTROL!$C$15, $E$9, 100%, $G$9) + CHOOSE(CONTROL!$C$38, 0.0347, 0)</f>
        <v>48.2562</v>
      </c>
      <c r="E730" s="46">
        <f>50.8683 * CHOOSE(CONTROL!$C$15, $E$9, 100%, $G$9) + CHOOSE(CONTROL!$C$38, 0.0347, 0)</f>
        <v>50.902999999999999</v>
      </c>
      <c r="F730" s="45">
        <f>50.8683 * CHOOSE(CONTROL!$C$15, $E$9, 100%, $G$9) + CHOOSE(CONTROL!$C$38, 0.0256, 0)</f>
        <v>50.893899999999995</v>
      </c>
      <c r="G730" s="14">
        <f>48.2278 * CHOOSE(CONTROL!$C$15, $E$9, 100%, $G$9) + CHOOSE(CONTROL!$C$38, 0.0347, 0)</f>
        <v>48.262500000000003</v>
      </c>
      <c r="H730" s="14">
        <f>48.2278 * CHOOSE(CONTROL!$C$15, $E$9, 100%, $G$9) + CHOOSE(CONTROL!$C$38, 0.0347, 0)</f>
        <v>48.262500000000003</v>
      </c>
      <c r="I730" s="14">
        <f>48.2293 * CHOOSE(CONTROL!$C$15, $E$9, 100%, $G$9) + CHOOSE(CONTROL!$C$38, 0.0347, 0)</f>
        <v>48.264000000000003</v>
      </c>
      <c r="J730" s="44">
        <f>430.9149</f>
        <v>430.91489999999999</v>
      </c>
    </row>
    <row r="731" spans="1:10" ht="15.75" x14ac:dyDescent="0.25">
      <c r="A731" s="32">
        <v>63189</v>
      </c>
      <c r="B731" s="14">
        <f>49.5287 * CHOOSE(CONTROL!$C$15, $E$9, 100%, $G$9) + CHOOSE(CONTROL!$C$38, 0.0256, 0)</f>
        <v>49.554299999999998</v>
      </c>
      <c r="C731" s="14">
        <f>46.8118 * CHOOSE(CONTROL!$C$15, $E$9, 100%, $G$9) + CHOOSE(CONTROL!$C$38, 0.0347, 0)</f>
        <v>46.846499999999999</v>
      </c>
      <c r="D731" s="14">
        <f>46.804 * CHOOSE(CONTROL!$C$15, $E$9, 100%, $G$9) + CHOOSE(CONTROL!$C$38, 0.0347, 0)</f>
        <v>46.838700000000003</v>
      </c>
      <c r="E731" s="46">
        <f>49.3725 * CHOOSE(CONTROL!$C$15, $E$9, 100%, $G$9) + CHOOSE(CONTROL!$C$38, 0.0347, 0)</f>
        <v>49.407200000000003</v>
      </c>
      <c r="F731" s="45">
        <f>49.3725 * CHOOSE(CONTROL!$C$15, $E$9, 100%, $G$9) + CHOOSE(CONTROL!$C$38, 0.0256, 0)</f>
        <v>49.398099999999999</v>
      </c>
      <c r="G731" s="14">
        <f>46.8102 * CHOOSE(CONTROL!$C$15, $E$9, 100%, $G$9) + CHOOSE(CONTROL!$C$38, 0.0347, 0)</f>
        <v>46.844900000000003</v>
      </c>
      <c r="H731" s="14">
        <f>46.8102 * CHOOSE(CONTROL!$C$15, $E$9, 100%, $G$9) + CHOOSE(CONTROL!$C$38, 0.0347, 0)</f>
        <v>46.844900000000003</v>
      </c>
      <c r="I731" s="14">
        <f>46.8118 * CHOOSE(CONTROL!$C$15, $E$9, 100%, $G$9) + CHOOSE(CONTROL!$C$38, 0.0347, 0)</f>
        <v>46.846499999999999</v>
      </c>
      <c r="J731" s="44">
        <f>418.1275</f>
        <v>418.1275</v>
      </c>
    </row>
    <row r="732" spans="1:10" ht="15.75" x14ac:dyDescent="0.25">
      <c r="A732" s="32">
        <v>63220</v>
      </c>
      <c r="B732" s="14">
        <f>49.1573 * CHOOSE(CONTROL!$C$15, $E$9, 100%, $G$9) + CHOOSE(CONTROL!$C$38, 0.0256, 0)</f>
        <v>49.182899999999997</v>
      </c>
      <c r="C732" s="14">
        <f>46.4598 * CHOOSE(CONTROL!$C$15, $E$9, 100%, $G$9) + CHOOSE(CONTROL!$C$38, 0.0347, 0)</f>
        <v>46.494500000000002</v>
      </c>
      <c r="D732" s="14">
        <f>46.452 * CHOOSE(CONTROL!$C$15, $E$9, 100%, $G$9) + CHOOSE(CONTROL!$C$38, 0.0347, 0)</f>
        <v>46.486699999999999</v>
      </c>
      <c r="E732" s="46">
        <f>49.001 * CHOOSE(CONTROL!$C$15, $E$9, 100%, $G$9) + CHOOSE(CONTROL!$C$38, 0.0347, 0)</f>
        <v>49.035699999999999</v>
      </c>
      <c r="F732" s="45">
        <f>49.001 * CHOOSE(CONTROL!$C$15, $E$9, 100%, $G$9) + CHOOSE(CONTROL!$C$38, 0.0256, 0)</f>
        <v>49.026599999999995</v>
      </c>
      <c r="G732" s="14">
        <f>46.4582 * CHOOSE(CONTROL!$C$15, $E$9, 100%, $G$9) + CHOOSE(CONTROL!$C$38, 0.0347, 0)</f>
        <v>46.492899999999999</v>
      </c>
      <c r="H732" s="14">
        <f>46.4582 * CHOOSE(CONTROL!$C$15, $E$9, 100%, $G$9) + CHOOSE(CONTROL!$C$38, 0.0347, 0)</f>
        <v>46.492899999999999</v>
      </c>
      <c r="I732" s="14">
        <f>46.4598 * CHOOSE(CONTROL!$C$15, $E$9, 100%, $G$9) + CHOOSE(CONTROL!$C$38, 0.0347, 0)</f>
        <v>46.494500000000002</v>
      </c>
      <c r="J732" s="44">
        <f>417.5883</f>
        <v>417.5883</v>
      </c>
    </row>
    <row r="733" spans="1:10" ht="15.75" x14ac:dyDescent="0.25">
      <c r="A733" s="32">
        <v>63248</v>
      </c>
      <c r="B733" s="14">
        <f>49.0223 * CHOOSE(CONTROL!$C$15, $E$9, 100%, $G$9) + CHOOSE(CONTROL!$C$38, 0.0256, 0)</f>
        <v>49.047899999999998</v>
      </c>
      <c r="C733" s="14">
        <f>46.3319 * CHOOSE(CONTROL!$C$15, $E$9, 100%, $G$9) + CHOOSE(CONTROL!$C$38, 0.0347, 0)</f>
        <v>46.366599999999998</v>
      </c>
      <c r="D733" s="14">
        <f>46.3241 * CHOOSE(CONTROL!$C$15, $E$9, 100%, $G$9) + CHOOSE(CONTROL!$C$38, 0.0347, 0)</f>
        <v>46.358800000000002</v>
      </c>
      <c r="E733" s="46">
        <f>48.8661 * CHOOSE(CONTROL!$C$15, $E$9, 100%, $G$9) + CHOOSE(CONTROL!$C$38, 0.0347, 0)</f>
        <v>48.900800000000004</v>
      </c>
      <c r="F733" s="45">
        <f>48.8661 * CHOOSE(CONTROL!$C$15, $E$9, 100%, $G$9) + CHOOSE(CONTROL!$C$38, 0.0256, 0)</f>
        <v>48.8917</v>
      </c>
      <c r="G733" s="14">
        <f>46.3303 * CHOOSE(CONTROL!$C$15, $E$9, 100%, $G$9) + CHOOSE(CONTROL!$C$38, 0.0347, 0)</f>
        <v>46.365000000000002</v>
      </c>
      <c r="H733" s="14">
        <f>46.3303 * CHOOSE(CONTROL!$C$15, $E$9, 100%, $G$9) + CHOOSE(CONTROL!$C$38, 0.0347, 0)</f>
        <v>46.365000000000002</v>
      </c>
      <c r="I733" s="14">
        <f>46.3319 * CHOOSE(CONTROL!$C$15, $E$9, 100%, $G$9) + CHOOSE(CONTROL!$C$38, 0.0347, 0)</f>
        <v>46.366599999999998</v>
      </c>
      <c r="J733" s="44">
        <f>416.4275</f>
        <v>416.42750000000001</v>
      </c>
    </row>
    <row r="734" spans="1:10" ht="15.75" x14ac:dyDescent="0.25">
      <c r="A734" s="32">
        <v>63279</v>
      </c>
      <c r="B734" s="14">
        <f>51.5736 * CHOOSE(CONTROL!$C$15, $E$9, 100%, $G$9) + CHOOSE(CONTROL!$C$38, 0.0256, 0)</f>
        <v>51.599199999999996</v>
      </c>
      <c r="C734" s="14">
        <f>48.7496 * CHOOSE(CONTROL!$C$15, $E$9, 100%, $G$9) + CHOOSE(CONTROL!$C$38, 0.0347, 0)</f>
        <v>48.784300000000002</v>
      </c>
      <c r="D734" s="14">
        <f>48.7418 * CHOOSE(CONTROL!$C$15, $E$9, 100%, $G$9) + CHOOSE(CONTROL!$C$38, 0.0347, 0)</f>
        <v>48.776499999999999</v>
      </c>
      <c r="E734" s="46">
        <f>51.4173 * CHOOSE(CONTROL!$C$15, $E$9, 100%, $G$9) + CHOOSE(CONTROL!$C$38, 0.0347, 0)</f>
        <v>51.451999999999998</v>
      </c>
      <c r="F734" s="45">
        <f>51.4173 * CHOOSE(CONTROL!$C$15, $E$9, 100%, $G$9) + CHOOSE(CONTROL!$C$38, 0.0256, 0)</f>
        <v>51.442899999999995</v>
      </c>
      <c r="G734" s="14">
        <f>48.748 * CHOOSE(CONTROL!$C$15, $E$9, 100%, $G$9) + CHOOSE(CONTROL!$C$38, 0.0347, 0)</f>
        <v>48.782699999999998</v>
      </c>
      <c r="H734" s="14">
        <f>48.748 * CHOOSE(CONTROL!$C$15, $E$9, 100%, $G$9) + CHOOSE(CONTROL!$C$38, 0.0347, 0)</f>
        <v>48.782699999999998</v>
      </c>
      <c r="I734" s="14">
        <f>48.7496 * CHOOSE(CONTROL!$C$15, $E$9, 100%, $G$9) + CHOOSE(CONTROL!$C$38, 0.0347, 0)</f>
        <v>48.784300000000002</v>
      </c>
      <c r="J734" s="44">
        <f>438.3757</f>
        <v>438.37569999999999</v>
      </c>
    </row>
    <row r="735" spans="1:10" ht="15.75" x14ac:dyDescent="0.25">
      <c r="A735" s="32">
        <v>63309</v>
      </c>
      <c r="B735" s="14">
        <f>54.8819 * CHOOSE(CONTROL!$C$15, $E$9, 100%, $G$9) + CHOOSE(CONTROL!$C$38, 0.0256, 0)</f>
        <v>54.907499999999999</v>
      </c>
      <c r="C735" s="14">
        <f>51.8847 * CHOOSE(CONTROL!$C$15, $E$9, 100%, $G$9) + CHOOSE(CONTROL!$C$38, 0.0347, 0)</f>
        <v>51.919400000000003</v>
      </c>
      <c r="D735" s="14">
        <f>51.8769 * CHOOSE(CONTROL!$C$15, $E$9, 100%, $G$9) + CHOOSE(CONTROL!$C$38, 0.0347, 0)</f>
        <v>51.9116</v>
      </c>
      <c r="E735" s="46">
        <f>54.7257 * CHOOSE(CONTROL!$C$15, $E$9, 100%, $G$9) + CHOOSE(CONTROL!$C$38, 0.0347, 0)</f>
        <v>54.760400000000004</v>
      </c>
      <c r="F735" s="45">
        <f>54.7257 * CHOOSE(CONTROL!$C$15, $E$9, 100%, $G$9) + CHOOSE(CONTROL!$C$38, 0.0256, 0)</f>
        <v>54.751300000000001</v>
      </c>
      <c r="G735" s="14">
        <f>51.8831 * CHOOSE(CONTROL!$C$15, $E$9, 100%, $G$9) + CHOOSE(CONTROL!$C$38, 0.0347, 0)</f>
        <v>51.9178</v>
      </c>
      <c r="H735" s="14">
        <f>51.8831 * CHOOSE(CONTROL!$C$15, $E$9, 100%, $G$9) + CHOOSE(CONTROL!$C$38, 0.0347, 0)</f>
        <v>51.9178</v>
      </c>
      <c r="I735" s="14">
        <f>51.8847 * CHOOSE(CONTROL!$C$15, $E$9, 100%, $G$9) + CHOOSE(CONTROL!$C$38, 0.0347, 0)</f>
        <v>51.919400000000003</v>
      </c>
      <c r="J735" s="44">
        <f>466.8371</f>
        <v>466.83710000000002</v>
      </c>
    </row>
    <row r="736" spans="1:10" ht="15.75" x14ac:dyDescent="0.25">
      <c r="A736" s="32">
        <v>63340</v>
      </c>
      <c r="B736" s="14">
        <f>56.7029 * CHOOSE(CONTROL!$C$15, $E$9, 100%, $G$9) + CHOOSE(CONTROL!$C$38, 0.0278, 0)</f>
        <v>56.730699999999999</v>
      </c>
      <c r="C736" s="14">
        <f>53.6104 * CHOOSE(CONTROL!$C$15, $E$9, 100%, $G$9) + CHOOSE(CONTROL!$C$38, 0.0369, 0)</f>
        <v>53.647300000000001</v>
      </c>
      <c r="D736" s="14">
        <f>53.6026 * CHOOSE(CONTROL!$C$15, $E$9, 100%, $G$9) + CHOOSE(CONTROL!$C$38, 0.0369, 0)</f>
        <v>53.639500000000005</v>
      </c>
      <c r="E736" s="46">
        <f>56.5467 * CHOOSE(CONTROL!$C$15, $E$9, 100%, $G$9) + CHOOSE(CONTROL!$C$38, 0.0369, 0)</f>
        <v>56.583600000000004</v>
      </c>
      <c r="F736" s="45">
        <f>56.5467 * CHOOSE(CONTROL!$C$15, $E$9, 100%, $G$9) + CHOOSE(CONTROL!$C$38, 0.0278, 0)</f>
        <v>56.5745</v>
      </c>
      <c r="G736" s="14">
        <f>53.6088 * CHOOSE(CONTROL!$C$15, $E$9, 100%, $G$9) + CHOOSE(CONTROL!$C$38, 0.0369, 0)</f>
        <v>53.645700000000005</v>
      </c>
      <c r="H736" s="14">
        <f>53.6088 * CHOOSE(CONTROL!$C$15, $E$9, 100%, $G$9) + CHOOSE(CONTROL!$C$38, 0.0369, 0)</f>
        <v>53.645700000000005</v>
      </c>
      <c r="I736" s="14">
        <f>53.6104 * CHOOSE(CONTROL!$C$15, $E$9, 100%, $G$9) + CHOOSE(CONTROL!$C$38, 0.0369, 0)</f>
        <v>53.647300000000001</v>
      </c>
      <c r="J736" s="44">
        <f>482.5033</f>
        <v>482.50330000000002</v>
      </c>
    </row>
    <row r="737" spans="1:10" ht="15.75" x14ac:dyDescent="0.25">
      <c r="A737" s="32">
        <v>63370</v>
      </c>
      <c r="B737" s="14">
        <f>57.5111 * CHOOSE(CONTROL!$C$15, $E$9, 100%, $G$9) + CHOOSE(CONTROL!$C$38, 0.0278, 0)</f>
        <v>57.538899999999998</v>
      </c>
      <c r="C737" s="14">
        <f>54.3762 * CHOOSE(CONTROL!$C$15, $E$9, 100%, $G$9) + CHOOSE(CONTROL!$C$38, 0.0369, 0)</f>
        <v>54.4131</v>
      </c>
      <c r="D737" s="14">
        <f>54.3684 * CHOOSE(CONTROL!$C$15, $E$9, 100%, $G$9) + CHOOSE(CONTROL!$C$38, 0.0369, 0)</f>
        <v>54.405300000000004</v>
      </c>
      <c r="E737" s="46">
        <f>57.3548 * CHOOSE(CONTROL!$C$15, $E$9, 100%, $G$9) + CHOOSE(CONTROL!$C$38, 0.0369, 0)</f>
        <v>57.3917</v>
      </c>
      <c r="F737" s="45">
        <f>57.3548 * CHOOSE(CONTROL!$C$15, $E$9, 100%, $G$9) + CHOOSE(CONTROL!$C$38, 0.0278, 0)</f>
        <v>57.382599999999996</v>
      </c>
      <c r="G737" s="14">
        <f>54.3747 * CHOOSE(CONTROL!$C$15, $E$9, 100%, $G$9) + CHOOSE(CONTROL!$C$38, 0.0369, 0)</f>
        <v>54.4116</v>
      </c>
      <c r="H737" s="14">
        <f>54.3747 * CHOOSE(CONTROL!$C$15, $E$9, 100%, $G$9) + CHOOSE(CONTROL!$C$38, 0.0369, 0)</f>
        <v>54.4116</v>
      </c>
      <c r="I737" s="14">
        <f>54.3762 * CHOOSE(CONTROL!$C$15, $E$9, 100%, $G$9) + CHOOSE(CONTROL!$C$38, 0.0369, 0)</f>
        <v>54.4131</v>
      </c>
      <c r="J737" s="44">
        <f>489.4556</f>
        <v>489.4556</v>
      </c>
    </row>
    <row r="738" spans="1:10" ht="15.75" x14ac:dyDescent="0.25">
      <c r="A738" s="32">
        <v>63401</v>
      </c>
      <c r="B738" s="14">
        <f>57.245 * CHOOSE(CONTROL!$C$15, $E$9, 100%, $G$9) + CHOOSE(CONTROL!$C$38, 0.0278, 0)</f>
        <v>57.272799999999997</v>
      </c>
      <c r="C738" s="14">
        <f>54.1241 * CHOOSE(CONTROL!$C$15, $E$9, 100%, $G$9) + CHOOSE(CONTROL!$C$38, 0.0369, 0)</f>
        <v>54.161000000000001</v>
      </c>
      <c r="D738" s="14">
        <f>54.1163 * CHOOSE(CONTROL!$C$15, $E$9, 100%, $G$9) + CHOOSE(CONTROL!$C$38, 0.0369, 0)</f>
        <v>54.153200000000005</v>
      </c>
      <c r="E738" s="46">
        <f>57.0887 * CHOOSE(CONTROL!$C$15, $E$9, 100%, $G$9) + CHOOSE(CONTROL!$C$38, 0.0369, 0)</f>
        <v>57.125600000000006</v>
      </c>
      <c r="F738" s="45">
        <f>57.0887 * CHOOSE(CONTROL!$C$15, $E$9, 100%, $G$9) + CHOOSE(CONTROL!$C$38, 0.0278, 0)</f>
        <v>57.116500000000002</v>
      </c>
      <c r="G738" s="14">
        <f>54.1225 * CHOOSE(CONTROL!$C$15, $E$9, 100%, $G$9) + CHOOSE(CONTROL!$C$38, 0.0369, 0)</f>
        <v>54.159400000000005</v>
      </c>
      <c r="H738" s="14">
        <f>54.1225 * CHOOSE(CONTROL!$C$15, $E$9, 100%, $G$9) + CHOOSE(CONTROL!$C$38, 0.0369, 0)</f>
        <v>54.159400000000005</v>
      </c>
      <c r="I738" s="14">
        <f>54.1241 * CHOOSE(CONTROL!$C$15, $E$9, 100%, $G$9) + CHOOSE(CONTROL!$C$38, 0.0369, 0)</f>
        <v>54.161000000000001</v>
      </c>
      <c r="J738" s="44">
        <f>487.1666</f>
        <v>487.16660000000002</v>
      </c>
    </row>
    <row r="739" spans="1:10" ht="15.75" x14ac:dyDescent="0.25">
      <c r="A739" s="32">
        <v>63432</v>
      </c>
      <c r="B739" s="14">
        <f>55.9267 * CHOOSE(CONTROL!$C$15, $E$9, 100%, $G$9) + CHOOSE(CONTROL!$C$38, 0.0278, 0)</f>
        <v>55.954499999999996</v>
      </c>
      <c r="C739" s="14">
        <f>52.8748 * CHOOSE(CONTROL!$C$15, $E$9, 100%, $G$9) + CHOOSE(CONTROL!$C$38, 0.0369, 0)</f>
        <v>52.911700000000003</v>
      </c>
      <c r="D739" s="14">
        <f>52.867 * CHOOSE(CONTROL!$C$15, $E$9, 100%, $G$9) + CHOOSE(CONTROL!$C$38, 0.0369, 0)</f>
        <v>52.9039</v>
      </c>
      <c r="E739" s="46">
        <f>55.7705 * CHOOSE(CONTROL!$C$15, $E$9, 100%, $G$9) + CHOOSE(CONTROL!$C$38, 0.0369, 0)</f>
        <v>55.807400000000001</v>
      </c>
      <c r="F739" s="45">
        <f>55.7705 * CHOOSE(CONTROL!$C$15, $E$9, 100%, $G$9) + CHOOSE(CONTROL!$C$38, 0.0278, 0)</f>
        <v>55.798299999999998</v>
      </c>
      <c r="G739" s="14">
        <f>52.8732 * CHOOSE(CONTROL!$C$15, $E$9, 100%, $G$9) + CHOOSE(CONTROL!$C$38, 0.0369, 0)</f>
        <v>52.9101</v>
      </c>
      <c r="H739" s="14">
        <f>52.8732 * CHOOSE(CONTROL!$C$15, $E$9, 100%, $G$9) + CHOOSE(CONTROL!$C$38, 0.0369, 0)</f>
        <v>52.9101</v>
      </c>
      <c r="I739" s="14">
        <f>52.8748 * CHOOSE(CONTROL!$C$15, $E$9, 100%, $G$9) + CHOOSE(CONTROL!$C$38, 0.0369, 0)</f>
        <v>52.911700000000003</v>
      </c>
      <c r="J739" s="44">
        <f>475.8256</f>
        <v>475.82560000000001</v>
      </c>
    </row>
    <row r="740" spans="1:10" ht="15.75" x14ac:dyDescent="0.25">
      <c r="A740" s="32">
        <v>63462</v>
      </c>
      <c r="B740" s="14">
        <f>54.0883 * CHOOSE(CONTROL!$C$15, $E$9, 100%, $G$9) + CHOOSE(CONTROL!$C$38, 0.0278, 0)</f>
        <v>54.116099999999996</v>
      </c>
      <c r="C740" s="14">
        <f>51.1327 * CHOOSE(CONTROL!$C$15, $E$9, 100%, $G$9) + CHOOSE(CONTROL!$C$38, 0.0369, 0)</f>
        <v>51.169600000000003</v>
      </c>
      <c r="D740" s="14">
        <f>51.1249 * CHOOSE(CONTROL!$C$15, $E$9, 100%, $G$9) + CHOOSE(CONTROL!$C$38, 0.0369, 0)</f>
        <v>51.161799999999999</v>
      </c>
      <c r="E740" s="46">
        <f>53.9321 * CHOOSE(CONTROL!$C$15, $E$9, 100%, $G$9) + CHOOSE(CONTROL!$C$38, 0.0369, 0)</f>
        <v>53.969000000000001</v>
      </c>
      <c r="F740" s="45">
        <f>53.9321 * CHOOSE(CONTROL!$C$15, $E$9, 100%, $G$9) + CHOOSE(CONTROL!$C$38, 0.0278, 0)</f>
        <v>53.959899999999998</v>
      </c>
      <c r="G740" s="14">
        <f>51.1311 * CHOOSE(CONTROL!$C$15, $E$9, 100%, $G$9) + CHOOSE(CONTROL!$C$38, 0.0369, 0)</f>
        <v>51.168000000000006</v>
      </c>
      <c r="H740" s="14">
        <f>51.1311 * CHOOSE(CONTROL!$C$15, $E$9, 100%, $G$9) + CHOOSE(CONTROL!$C$38, 0.0369, 0)</f>
        <v>51.168000000000006</v>
      </c>
      <c r="I740" s="14">
        <f>51.1327 * CHOOSE(CONTROL!$C$15, $E$9, 100%, $G$9) + CHOOSE(CONTROL!$C$38, 0.0369, 0)</f>
        <v>51.169600000000003</v>
      </c>
      <c r="J740" s="44">
        <f>460.0099</f>
        <v>460.00990000000002</v>
      </c>
    </row>
    <row r="741" spans="1:10" ht="15.75" x14ac:dyDescent="0.25">
      <c r="A741" s="32">
        <v>63493</v>
      </c>
      <c r="B741" s="14">
        <f>52.2392 * CHOOSE(CONTROL!$C$15, $E$9, 100%, $G$9) + CHOOSE(CONTROL!$C$38, 0.0256, 0)</f>
        <v>52.264799999999994</v>
      </c>
      <c r="C741" s="14">
        <f>49.3804 * CHOOSE(CONTROL!$C$15, $E$9, 100%, $G$9) + CHOOSE(CONTROL!$C$38, 0.0347, 0)</f>
        <v>49.415100000000002</v>
      </c>
      <c r="D741" s="14">
        <f>49.3726 * CHOOSE(CONTROL!$C$15, $E$9, 100%, $G$9) + CHOOSE(CONTROL!$C$38, 0.0347, 0)</f>
        <v>49.407299999999999</v>
      </c>
      <c r="E741" s="46">
        <f>52.083 * CHOOSE(CONTROL!$C$15, $E$9, 100%, $G$9) + CHOOSE(CONTROL!$C$38, 0.0347, 0)</f>
        <v>52.117699999999999</v>
      </c>
      <c r="F741" s="45">
        <f>52.083 * CHOOSE(CONTROL!$C$15, $E$9, 100%, $G$9) + CHOOSE(CONTROL!$C$38, 0.0256, 0)</f>
        <v>52.108599999999996</v>
      </c>
      <c r="G741" s="14">
        <f>49.3788 * CHOOSE(CONTROL!$C$15, $E$9, 100%, $G$9) + CHOOSE(CONTROL!$C$38, 0.0347, 0)</f>
        <v>49.413499999999999</v>
      </c>
      <c r="H741" s="14">
        <f>49.3788 * CHOOSE(CONTROL!$C$15, $E$9, 100%, $G$9) + CHOOSE(CONTROL!$C$38, 0.0347, 0)</f>
        <v>49.413499999999999</v>
      </c>
      <c r="I741" s="14">
        <f>49.3804 * CHOOSE(CONTROL!$C$15, $E$9, 100%, $G$9) + CHOOSE(CONTROL!$C$38, 0.0347, 0)</f>
        <v>49.415100000000002</v>
      </c>
      <c r="J741" s="44">
        <f>444.1023</f>
        <v>444.10230000000001</v>
      </c>
    </row>
    <row r="742" spans="1:10" ht="15.75" x14ac:dyDescent="0.25">
      <c r="A742" s="32">
        <v>63523</v>
      </c>
      <c r="B742" s="14">
        <f>51.8714 * CHOOSE(CONTROL!$C$15, $E$9, 100%, $G$9) + CHOOSE(CONTROL!$C$38, 0.0256, 0)</f>
        <v>51.896999999999998</v>
      </c>
      <c r="C742" s="14">
        <f>49.0318 * CHOOSE(CONTROL!$C$15, $E$9, 100%, $G$9) + CHOOSE(CONTROL!$C$38, 0.0347, 0)</f>
        <v>49.066499999999998</v>
      </c>
      <c r="D742" s="14">
        <f>49.024 * CHOOSE(CONTROL!$C$15, $E$9, 100%, $G$9) + CHOOSE(CONTROL!$C$38, 0.0347, 0)</f>
        <v>49.058700000000002</v>
      </c>
      <c r="E742" s="46">
        <f>51.7152 * CHOOSE(CONTROL!$C$15, $E$9, 100%, $G$9) + CHOOSE(CONTROL!$C$38, 0.0347, 0)</f>
        <v>51.749900000000004</v>
      </c>
      <c r="F742" s="45">
        <f>51.7152 * CHOOSE(CONTROL!$C$15, $E$9, 100%, $G$9) + CHOOSE(CONTROL!$C$38, 0.0256, 0)</f>
        <v>51.7408</v>
      </c>
      <c r="G742" s="14">
        <f>49.0303 * CHOOSE(CONTROL!$C$15, $E$9, 100%, $G$9) + CHOOSE(CONTROL!$C$38, 0.0347, 0)</f>
        <v>49.064999999999998</v>
      </c>
      <c r="H742" s="14">
        <f>49.0303 * CHOOSE(CONTROL!$C$15, $E$9, 100%, $G$9) + CHOOSE(CONTROL!$C$38, 0.0347, 0)</f>
        <v>49.064999999999998</v>
      </c>
      <c r="I742" s="14">
        <f>49.0318 * CHOOSE(CONTROL!$C$15, $E$9, 100%, $G$9) + CHOOSE(CONTROL!$C$38, 0.0347, 0)</f>
        <v>49.066499999999998</v>
      </c>
      <c r="J742" s="44">
        <f>440.938</f>
        <v>440.93799999999999</v>
      </c>
    </row>
    <row r="743" spans="1:10" ht="15.75" x14ac:dyDescent="0.25">
      <c r="A743" s="32">
        <v>63554</v>
      </c>
      <c r="B743" s="14">
        <f>50.3504 * CHOOSE(CONTROL!$C$15, $E$9, 100%, $G$9) + CHOOSE(CONTROL!$C$38, 0.0256, 0)</f>
        <v>50.375999999999998</v>
      </c>
      <c r="C743" s="14">
        <f>47.5905 * CHOOSE(CONTROL!$C$15, $E$9, 100%, $G$9) + CHOOSE(CONTROL!$C$38, 0.0347, 0)</f>
        <v>47.6252</v>
      </c>
      <c r="D743" s="14">
        <f>47.5827 * CHOOSE(CONTROL!$C$15, $E$9, 100%, $G$9) + CHOOSE(CONTROL!$C$38, 0.0347, 0)</f>
        <v>47.617400000000004</v>
      </c>
      <c r="E743" s="46">
        <f>50.1942 * CHOOSE(CONTROL!$C$15, $E$9, 100%, $G$9) + CHOOSE(CONTROL!$C$38, 0.0347, 0)</f>
        <v>50.228900000000003</v>
      </c>
      <c r="F743" s="45">
        <f>50.1942 * CHOOSE(CONTROL!$C$15, $E$9, 100%, $G$9) + CHOOSE(CONTROL!$C$38, 0.0256, 0)</f>
        <v>50.219799999999999</v>
      </c>
      <c r="G743" s="14">
        <f>47.5889 * CHOOSE(CONTROL!$C$15, $E$9, 100%, $G$9) + CHOOSE(CONTROL!$C$38, 0.0347, 0)</f>
        <v>47.623600000000003</v>
      </c>
      <c r="H743" s="14">
        <f>47.5889 * CHOOSE(CONTROL!$C$15, $E$9, 100%, $G$9) + CHOOSE(CONTROL!$C$38, 0.0347, 0)</f>
        <v>47.623600000000003</v>
      </c>
      <c r="I743" s="14">
        <f>47.5905 * CHOOSE(CONTROL!$C$15, $E$9, 100%, $G$9) + CHOOSE(CONTROL!$C$38, 0.0347, 0)</f>
        <v>47.6252</v>
      </c>
      <c r="J743" s="44">
        <f>427.8531</f>
        <v>427.85309999999998</v>
      </c>
    </row>
    <row r="744" spans="1:10" ht="15.75" x14ac:dyDescent="0.25">
      <c r="A744" s="32">
        <v>63585</v>
      </c>
      <c r="B744" s="14">
        <f>49.9727 * CHOOSE(CONTROL!$C$15, $E$9, 100%, $G$9) + CHOOSE(CONTROL!$C$38, 0.0256, 0)</f>
        <v>49.9983</v>
      </c>
      <c r="C744" s="14">
        <f>47.2325 * CHOOSE(CONTROL!$C$15, $E$9, 100%, $G$9) + CHOOSE(CONTROL!$C$38, 0.0347, 0)</f>
        <v>47.267200000000003</v>
      </c>
      <c r="D744" s="14">
        <f>47.2247 * CHOOSE(CONTROL!$C$15, $E$9, 100%, $G$9) + CHOOSE(CONTROL!$C$38, 0.0347, 0)</f>
        <v>47.259399999999999</v>
      </c>
      <c r="E744" s="46">
        <f>49.8165 * CHOOSE(CONTROL!$C$15, $E$9, 100%, $G$9) + CHOOSE(CONTROL!$C$38, 0.0347, 0)</f>
        <v>49.851199999999999</v>
      </c>
      <c r="F744" s="45">
        <f>49.8165 * CHOOSE(CONTROL!$C$15, $E$9, 100%, $G$9) + CHOOSE(CONTROL!$C$38, 0.0256, 0)</f>
        <v>49.842099999999995</v>
      </c>
      <c r="G744" s="14">
        <f>47.231 * CHOOSE(CONTROL!$C$15, $E$9, 100%, $G$9) + CHOOSE(CONTROL!$C$38, 0.0347, 0)</f>
        <v>47.265700000000002</v>
      </c>
      <c r="H744" s="14">
        <f>47.231 * CHOOSE(CONTROL!$C$15, $E$9, 100%, $G$9) + CHOOSE(CONTROL!$C$38, 0.0347, 0)</f>
        <v>47.265700000000002</v>
      </c>
      <c r="I744" s="14">
        <f>47.2325 * CHOOSE(CONTROL!$C$15, $E$9, 100%, $G$9) + CHOOSE(CONTROL!$C$38, 0.0347, 0)</f>
        <v>47.267200000000003</v>
      </c>
      <c r="J744" s="44">
        <f>427.3014</f>
        <v>427.3014</v>
      </c>
    </row>
    <row r="745" spans="1:10" ht="15.75" x14ac:dyDescent="0.25">
      <c r="A745" s="32">
        <v>63613</v>
      </c>
      <c r="B745" s="14">
        <f>49.8355 * CHOOSE(CONTROL!$C$15, $E$9, 100%, $G$9) + CHOOSE(CONTROL!$C$38, 0.0256, 0)</f>
        <v>49.8611</v>
      </c>
      <c r="C745" s="14">
        <f>47.1025 * CHOOSE(CONTROL!$C$15, $E$9, 100%, $G$9) + CHOOSE(CONTROL!$C$38, 0.0347, 0)</f>
        <v>47.1372</v>
      </c>
      <c r="D745" s="14">
        <f>47.0947 * CHOOSE(CONTROL!$C$15, $E$9, 100%, $G$9) + CHOOSE(CONTROL!$C$38, 0.0347, 0)</f>
        <v>47.129400000000004</v>
      </c>
      <c r="E745" s="46">
        <f>49.6793 * CHOOSE(CONTROL!$C$15, $E$9, 100%, $G$9) + CHOOSE(CONTROL!$C$38, 0.0347, 0)</f>
        <v>49.713999999999999</v>
      </c>
      <c r="F745" s="45">
        <f>49.6793 * CHOOSE(CONTROL!$C$15, $E$9, 100%, $G$9) + CHOOSE(CONTROL!$C$38, 0.0256, 0)</f>
        <v>49.704899999999995</v>
      </c>
      <c r="G745" s="14">
        <f>47.101 * CHOOSE(CONTROL!$C$15, $E$9, 100%, $G$9) + CHOOSE(CONTROL!$C$38, 0.0347, 0)</f>
        <v>47.1357</v>
      </c>
      <c r="H745" s="14">
        <f>47.101 * CHOOSE(CONTROL!$C$15, $E$9, 100%, $G$9) + CHOOSE(CONTROL!$C$38, 0.0347, 0)</f>
        <v>47.1357</v>
      </c>
      <c r="I745" s="14">
        <f>47.1025 * CHOOSE(CONTROL!$C$15, $E$9, 100%, $G$9) + CHOOSE(CONTROL!$C$38, 0.0347, 0)</f>
        <v>47.1372</v>
      </c>
      <c r="J745" s="44">
        <f>426.1136</f>
        <v>426.11360000000002</v>
      </c>
    </row>
    <row r="746" spans="1:10" ht="15.75" x14ac:dyDescent="0.25">
      <c r="A746" s="32">
        <v>63644</v>
      </c>
      <c r="B746" s="14">
        <f>52.4296 * CHOOSE(CONTROL!$C$15, $E$9, 100%, $G$9) + CHOOSE(CONTROL!$C$38, 0.0256, 0)</f>
        <v>52.455199999999998</v>
      </c>
      <c r="C746" s="14">
        <f>49.5608 * CHOOSE(CONTROL!$C$15, $E$9, 100%, $G$9) + CHOOSE(CONTROL!$C$38, 0.0347, 0)</f>
        <v>49.595500000000001</v>
      </c>
      <c r="D746" s="14">
        <f>49.553 * CHOOSE(CONTROL!$C$15, $E$9, 100%, $G$9) + CHOOSE(CONTROL!$C$38, 0.0347, 0)</f>
        <v>49.587699999999998</v>
      </c>
      <c r="E746" s="46">
        <f>52.2734 * CHOOSE(CONTROL!$C$15, $E$9, 100%, $G$9) + CHOOSE(CONTROL!$C$38, 0.0347, 0)</f>
        <v>52.308100000000003</v>
      </c>
      <c r="F746" s="45">
        <f>52.2734 * CHOOSE(CONTROL!$C$15, $E$9, 100%, $G$9) + CHOOSE(CONTROL!$C$38, 0.0256, 0)</f>
        <v>52.298999999999999</v>
      </c>
      <c r="G746" s="14">
        <f>49.5592 * CHOOSE(CONTROL!$C$15, $E$9, 100%, $G$9) + CHOOSE(CONTROL!$C$38, 0.0347, 0)</f>
        <v>49.593899999999998</v>
      </c>
      <c r="H746" s="14">
        <f>49.5592 * CHOOSE(CONTROL!$C$15, $E$9, 100%, $G$9) + CHOOSE(CONTROL!$C$38, 0.0347, 0)</f>
        <v>49.593899999999998</v>
      </c>
      <c r="I746" s="14">
        <f>49.5608 * CHOOSE(CONTROL!$C$15, $E$9, 100%, $G$9) + CHOOSE(CONTROL!$C$38, 0.0347, 0)</f>
        <v>49.595500000000001</v>
      </c>
      <c r="J746" s="44">
        <f>448.5723</f>
        <v>448.57229999999998</v>
      </c>
    </row>
    <row r="747" spans="1:10" ht="15.75" x14ac:dyDescent="0.25">
      <c r="A747" s="32">
        <v>63674</v>
      </c>
      <c r="B747" s="14">
        <f>55.7935 * CHOOSE(CONTROL!$C$15, $E$9, 100%, $G$9) + CHOOSE(CONTROL!$C$38, 0.0256, 0)</f>
        <v>55.819099999999999</v>
      </c>
      <c r="C747" s="14">
        <f>52.7486 * CHOOSE(CONTROL!$C$15, $E$9, 100%, $G$9) + CHOOSE(CONTROL!$C$38, 0.0347, 0)</f>
        <v>52.783300000000004</v>
      </c>
      <c r="D747" s="14">
        <f>52.7408 * CHOOSE(CONTROL!$C$15, $E$9, 100%, $G$9) + CHOOSE(CONTROL!$C$38, 0.0347, 0)</f>
        <v>52.775500000000001</v>
      </c>
      <c r="E747" s="46">
        <f>55.6373 * CHOOSE(CONTROL!$C$15, $E$9, 100%, $G$9) + CHOOSE(CONTROL!$C$38, 0.0347, 0)</f>
        <v>55.672000000000004</v>
      </c>
      <c r="F747" s="45">
        <f>55.6373 * CHOOSE(CONTROL!$C$15, $E$9, 100%, $G$9) + CHOOSE(CONTROL!$C$38, 0.0256, 0)</f>
        <v>55.6629</v>
      </c>
      <c r="G747" s="14">
        <f>52.7471 * CHOOSE(CONTROL!$C$15, $E$9, 100%, $G$9) + CHOOSE(CONTROL!$C$38, 0.0347, 0)</f>
        <v>52.781800000000004</v>
      </c>
      <c r="H747" s="14">
        <f>52.7471 * CHOOSE(CONTROL!$C$15, $E$9, 100%, $G$9) + CHOOSE(CONTROL!$C$38, 0.0347, 0)</f>
        <v>52.781800000000004</v>
      </c>
      <c r="I747" s="14">
        <f>52.7486 * CHOOSE(CONTROL!$C$15, $E$9, 100%, $G$9) + CHOOSE(CONTROL!$C$38, 0.0347, 0)</f>
        <v>52.783300000000004</v>
      </c>
      <c r="J747" s="44">
        <f>477.6958</f>
        <v>477.69580000000002</v>
      </c>
    </row>
    <row r="748" spans="1:10" ht="15.75" x14ac:dyDescent="0.25">
      <c r="A748" s="32">
        <v>63705</v>
      </c>
      <c r="B748" s="14">
        <f>57.6451 * CHOOSE(CONTROL!$C$15, $E$9, 100%, $G$9) + CHOOSE(CONTROL!$C$38, 0.0278, 0)</f>
        <v>57.672899999999998</v>
      </c>
      <c r="C748" s="14">
        <f>54.5033 * CHOOSE(CONTROL!$C$15, $E$9, 100%, $G$9) + CHOOSE(CONTROL!$C$38, 0.0369, 0)</f>
        <v>54.540200000000006</v>
      </c>
      <c r="D748" s="14">
        <f>54.4955 * CHOOSE(CONTROL!$C$15, $E$9, 100%, $G$9) + CHOOSE(CONTROL!$C$38, 0.0369, 0)</f>
        <v>54.532400000000003</v>
      </c>
      <c r="E748" s="46">
        <f>57.4889 * CHOOSE(CONTROL!$C$15, $E$9, 100%, $G$9) + CHOOSE(CONTROL!$C$38, 0.0369, 0)</f>
        <v>57.525800000000004</v>
      </c>
      <c r="F748" s="45">
        <f>57.4889 * CHOOSE(CONTROL!$C$15, $E$9, 100%, $G$9) + CHOOSE(CONTROL!$C$38, 0.0278, 0)</f>
        <v>57.5167</v>
      </c>
      <c r="G748" s="14">
        <f>54.5017 * CHOOSE(CONTROL!$C$15, $E$9, 100%, $G$9) + CHOOSE(CONTROL!$C$38, 0.0369, 0)</f>
        <v>54.538600000000002</v>
      </c>
      <c r="H748" s="14">
        <f>54.5017 * CHOOSE(CONTROL!$C$15, $E$9, 100%, $G$9) + CHOOSE(CONTROL!$C$38, 0.0369, 0)</f>
        <v>54.538600000000002</v>
      </c>
      <c r="I748" s="14">
        <f>54.5033 * CHOOSE(CONTROL!$C$15, $E$9, 100%, $G$9) + CHOOSE(CONTROL!$C$38, 0.0369, 0)</f>
        <v>54.540200000000006</v>
      </c>
      <c r="J748" s="44">
        <f>493.7263</f>
        <v>493.72629999999998</v>
      </c>
    </row>
    <row r="749" spans="1:10" ht="15.75" x14ac:dyDescent="0.25">
      <c r="A749" s="32">
        <v>63735</v>
      </c>
      <c r="B749" s="14">
        <f>58.4669 * CHOOSE(CONTROL!$C$15, $E$9, 100%, $G$9) + CHOOSE(CONTROL!$C$38, 0.0278, 0)</f>
        <v>58.494700000000002</v>
      </c>
      <c r="C749" s="14">
        <f>55.282 * CHOOSE(CONTROL!$C$15, $E$9, 100%, $G$9) + CHOOSE(CONTROL!$C$38, 0.0369, 0)</f>
        <v>55.318899999999999</v>
      </c>
      <c r="D749" s="14">
        <f>55.2742 * CHOOSE(CONTROL!$C$15, $E$9, 100%, $G$9) + CHOOSE(CONTROL!$C$38, 0.0369, 0)</f>
        <v>55.311100000000003</v>
      </c>
      <c r="E749" s="46">
        <f>58.3106 * CHOOSE(CONTROL!$C$15, $E$9, 100%, $G$9) + CHOOSE(CONTROL!$C$38, 0.0369, 0)</f>
        <v>58.347500000000004</v>
      </c>
      <c r="F749" s="45">
        <f>58.3106 * CHOOSE(CONTROL!$C$15, $E$9, 100%, $G$9) + CHOOSE(CONTROL!$C$38, 0.0278, 0)</f>
        <v>58.3384</v>
      </c>
      <c r="G749" s="14">
        <f>55.2804 * CHOOSE(CONTROL!$C$15, $E$9, 100%, $G$9) + CHOOSE(CONTROL!$C$38, 0.0369, 0)</f>
        <v>55.317300000000003</v>
      </c>
      <c r="H749" s="14">
        <f>55.2804 * CHOOSE(CONTROL!$C$15, $E$9, 100%, $G$9) + CHOOSE(CONTROL!$C$38, 0.0369, 0)</f>
        <v>55.317300000000003</v>
      </c>
      <c r="I749" s="14">
        <f>55.282 * CHOOSE(CONTROL!$C$15, $E$9, 100%, $G$9) + CHOOSE(CONTROL!$C$38, 0.0369, 0)</f>
        <v>55.318899999999999</v>
      </c>
      <c r="J749" s="44">
        <f>500.8404</f>
        <v>500.84039999999999</v>
      </c>
    </row>
    <row r="750" spans="1:10" ht="15.75" x14ac:dyDescent="0.25">
      <c r="A750" s="32">
        <v>63766</v>
      </c>
      <c r="B750" s="14">
        <f>58.1963 * CHOOSE(CONTROL!$C$15, $E$9, 100%, $G$9) + CHOOSE(CONTROL!$C$38, 0.0278, 0)</f>
        <v>58.2241</v>
      </c>
      <c r="C750" s="14">
        <f>55.0256 * CHOOSE(CONTROL!$C$15, $E$9, 100%, $G$9) + CHOOSE(CONTROL!$C$38, 0.0369, 0)</f>
        <v>55.0625</v>
      </c>
      <c r="D750" s="14">
        <f>55.0178 * CHOOSE(CONTROL!$C$15, $E$9, 100%, $G$9) + CHOOSE(CONTROL!$C$38, 0.0369, 0)</f>
        <v>55.054700000000004</v>
      </c>
      <c r="E750" s="46">
        <f>58.0401 * CHOOSE(CONTROL!$C$15, $E$9, 100%, $G$9) + CHOOSE(CONTROL!$C$38, 0.0369, 0)</f>
        <v>58.077000000000005</v>
      </c>
      <c r="F750" s="45">
        <f>58.0401 * CHOOSE(CONTROL!$C$15, $E$9, 100%, $G$9) + CHOOSE(CONTROL!$C$38, 0.0278, 0)</f>
        <v>58.067900000000002</v>
      </c>
      <c r="G750" s="14">
        <f>55.024 * CHOOSE(CONTROL!$C$15, $E$9, 100%, $G$9) + CHOOSE(CONTROL!$C$38, 0.0369, 0)</f>
        <v>55.060900000000004</v>
      </c>
      <c r="H750" s="14">
        <f>55.024 * CHOOSE(CONTROL!$C$15, $E$9, 100%, $G$9) + CHOOSE(CONTROL!$C$38, 0.0369, 0)</f>
        <v>55.060900000000004</v>
      </c>
      <c r="I750" s="14">
        <f>55.0256 * CHOOSE(CONTROL!$C$15, $E$9, 100%, $G$9) + CHOOSE(CONTROL!$C$38, 0.0369, 0)</f>
        <v>55.0625</v>
      </c>
      <c r="J750" s="44">
        <f>498.4981</f>
        <v>498.49810000000002</v>
      </c>
    </row>
    <row r="751" spans="1:10" ht="15.75" x14ac:dyDescent="0.25">
      <c r="A751" s="32">
        <v>63797</v>
      </c>
      <c r="B751" s="14">
        <f>56.8559 * CHOOSE(CONTROL!$C$15, $E$9, 100%, $G$9) + CHOOSE(CONTROL!$C$38, 0.0278, 0)</f>
        <v>56.883699999999997</v>
      </c>
      <c r="C751" s="14">
        <f>53.7554 * CHOOSE(CONTROL!$C$15, $E$9, 100%, $G$9) + CHOOSE(CONTROL!$C$38, 0.0369, 0)</f>
        <v>53.792300000000004</v>
      </c>
      <c r="D751" s="14">
        <f>53.7475 * CHOOSE(CONTROL!$C$15, $E$9, 100%, $G$9) + CHOOSE(CONTROL!$C$38, 0.0369, 0)</f>
        <v>53.784400000000005</v>
      </c>
      <c r="E751" s="46">
        <f>56.6996 * CHOOSE(CONTROL!$C$15, $E$9, 100%, $G$9) + CHOOSE(CONTROL!$C$38, 0.0369, 0)</f>
        <v>56.736499999999999</v>
      </c>
      <c r="F751" s="45">
        <f>56.6996 * CHOOSE(CONTROL!$C$15, $E$9, 100%, $G$9) + CHOOSE(CONTROL!$C$38, 0.0278, 0)</f>
        <v>56.727399999999996</v>
      </c>
      <c r="G751" s="14">
        <f>53.7538 * CHOOSE(CONTROL!$C$15, $E$9, 100%, $G$9) + CHOOSE(CONTROL!$C$38, 0.0369, 0)</f>
        <v>53.790700000000001</v>
      </c>
      <c r="H751" s="14">
        <f>53.7538 * CHOOSE(CONTROL!$C$15, $E$9, 100%, $G$9) + CHOOSE(CONTROL!$C$38, 0.0369, 0)</f>
        <v>53.790700000000001</v>
      </c>
      <c r="I751" s="14">
        <f>53.7554 * CHOOSE(CONTROL!$C$15, $E$9, 100%, $G$9) + CHOOSE(CONTROL!$C$38, 0.0369, 0)</f>
        <v>53.792300000000004</v>
      </c>
      <c r="J751" s="44">
        <f>486.8933</f>
        <v>486.89330000000001</v>
      </c>
    </row>
    <row r="752" spans="1:10" ht="15.75" x14ac:dyDescent="0.25">
      <c r="A752" s="32">
        <v>63827</v>
      </c>
      <c r="B752" s="14">
        <f>54.9866 * CHOOSE(CONTROL!$C$15, $E$9, 100%, $G$9) + CHOOSE(CONTROL!$C$38, 0.0278, 0)</f>
        <v>55.014400000000002</v>
      </c>
      <c r="C752" s="14">
        <f>51.9839 * CHOOSE(CONTROL!$C$15, $E$9, 100%, $G$9) + CHOOSE(CONTROL!$C$38, 0.0369, 0)</f>
        <v>52.020800000000001</v>
      </c>
      <c r="D752" s="14">
        <f>51.9761 * CHOOSE(CONTROL!$C$15, $E$9, 100%, $G$9) + CHOOSE(CONTROL!$C$38, 0.0369, 0)</f>
        <v>52.013000000000005</v>
      </c>
      <c r="E752" s="46">
        <f>54.8304 * CHOOSE(CONTROL!$C$15, $E$9, 100%, $G$9) + CHOOSE(CONTROL!$C$38, 0.0369, 0)</f>
        <v>54.8673</v>
      </c>
      <c r="F752" s="45">
        <f>54.8304 * CHOOSE(CONTROL!$C$15, $E$9, 100%, $G$9) + CHOOSE(CONTROL!$C$38, 0.0278, 0)</f>
        <v>54.858199999999997</v>
      </c>
      <c r="G752" s="14">
        <f>51.9824 * CHOOSE(CONTROL!$C$15, $E$9, 100%, $G$9) + CHOOSE(CONTROL!$C$38, 0.0369, 0)</f>
        <v>52.019300000000001</v>
      </c>
      <c r="H752" s="14">
        <f>51.9824 * CHOOSE(CONTROL!$C$15, $E$9, 100%, $G$9) + CHOOSE(CONTROL!$C$38, 0.0369, 0)</f>
        <v>52.019300000000001</v>
      </c>
      <c r="I752" s="14">
        <f>51.9839 * CHOOSE(CONTROL!$C$15, $E$9, 100%, $G$9) + CHOOSE(CONTROL!$C$38, 0.0369, 0)</f>
        <v>52.020800000000001</v>
      </c>
      <c r="J752" s="44">
        <f>470.7098</f>
        <v>470.70979999999997</v>
      </c>
    </row>
    <row r="753" spans="1:10" ht="15.75" x14ac:dyDescent="0.25">
      <c r="A753" s="32">
        <v>63858</v>
      </c>
      <c r="B753" s="14">
        <f>53.1065 * CHOOSE(CONTROL!$C$15, $E$9, 100%, $G$9) + CHOOSE(CONTROL!$C$38, 0.0256, 0)</f>
        <v>53.132099999999994</v>
      </c>
      <c r="C753" s="14">
        <f>50.2022 * CHOOSE(CONTROL!$C$15, $E$9, 100%, $G$9) + CHOOSE(CONTROL!$C$38, 0.0347, 0)</f>
        <v>50.236899999999999</v>
      </c>
      <c r="D753" s="14">
        <f>50.1944 * CHOOSE(CONTROL!$C$15, $E$9, 100%, $G$9) + CHOOSE(CONTROL!$C$38, 0.0347, 0)</f>
        <v>50.229100000000003</v>
      </c>
      <c r="E753" s="46">
        <f>52.9502 * CHOOSE(CONTROL!$C$15, $E$9, 100%, $G$9) + CHOOSE(CONTROL!$C$38, 0.0347, 0)</f>
        <v>52.984900000000003</v>
      </c>
      <c r="F753" s="45">
        <f>52.9502 * CHOOSE(CONTROL!$C$15, $E$9, 100%, $G$9) + CHOOSE(CONTROL!$C$38, 0.0256, 0)</f>
        <v>52.9758</v>
      </c>
      <c r="G753" s="14">
        <f>50.2007 * CHOOSE(CONTROL!$C$15, $E$9, 100%, $G$9) + CHOOSE(CONTROL!$C$38, 0.0347, 0)</f>
        <v>50.235399999999998</v>
      </c>
      <c r="H753" s="14">
        <f>50.2007 * CHOOSE(CONTROL!$C$15, $E$9, 100%, $G$9) + CHOOSE(CONTROL!$C$38, 0.0347, 0)</f>
        <v>50.235399999999998</v>
      </c>
      <c r="I753" s="14">
        <f>50.2022 * CHOOSE(CONTROL!$C$15, $E$9, 100%, $G$9) + CHOOSE(CONTROL!$C$38, 0.0347, 0)</f>
        <v>50.236899999999999</v>
      </c>
      <c r="J753" s="44">
        <f>454.4321</f>
        <v>454.43209999999999</v>
      </c>
    </row>
    <row r="754" spans="1:10" ht="15.75" x14ac:dyDescent="0.25">
      <c r="A754" s="32">
        <v>63888</v>
      </c>
      <c r="B754" s="14">
        <f>52.7325 * CHOOSE(CONTROL!$C$15, $E$9, 100%, $G$9) + CHOOSE(CONTROL!$C$38, 0.0256, 0)</f>
        <v>52.758099999999999</v>
      </c>
      <c r="C754" s="14">
        <f>49.8478 * CHOOSE(CONTROL!$C$15, $E$9, 100%, $G$9) + CHOOSE(CONTROL!$C$38, 0.0347, 0)</f>
        <v>49.8825</v>
      </c>
      <c r="D754" s="14">
        <f>49.84 * CHOOSE(CONTROL!$C$15, $E$9, 100%, $G$9) + CHOOSE(CONTROL!$C$38, 0.0347, 0)</f>
        <v>49.874700000000004</v>
      </c>
      <c r="E754" s="46">
        <f>52.5762 * CHOOSE(CONTROL!$C$15, $E$9, 100%, $G$9) + CHOOSE(CONTROL!$C$38, 0.0347, 0)</f>
        <v>52.610900000000001</v>
      </c>
      <c r="F754" s="45">
        <f>52.5762 * CHOOSE(CONTROL!$C$15, $E$9, 100%, $G$9) + CHOOSE(CONTROL!$C$38, 0.0256, 0)</f>
        <v>52.601799999999997</v>
      </c>
      <c r="G754" s="14">
        <f>49.8462 * CHOOSE(CONTROL!$C$15, $E$9, 100%, $G$9) + CHOOSE(CONTROL!$C$38, 0.0347, 0)</f>
        <v>49.880900000000004</v>
      </c>
      <c r="H754" s="14">
        <f>49.8462 * CHOOSE(CONTROL!$C$15, $E$9, 100%, $G$9) + CHOOSE(CONTROL!$C$38, 0.0347, 0)</f>
        <v>49.880900000000004</v>
      </c>
      <c r="I754" s="14">
        <f>49.8478 * CHOOSE(CONTROL!$C$15, $E$9, 100%, $G$9) + CHOOSE(CONTROL!$C$38, 0.0347, 0)</f>
        <v>49.8825</v>
      </c>
      <c r="J754" s="44">
        <f>451.1942</f>
        <v>451.19420000000002</v>
      </c>
    </row>
    <row r="755" spans="1:10" ht="15.75" x14ac:dyDescent="0.25">
      <c r="A755" s="32">
        <v>63919</v>
      </c>
      <c r="B755" s="14">
        <f>51.1859 * CHOOSE(CONTROL!$C$15, $E$9, 100%, $G$9) + CHOOSE(CONTROL!$C$38, 0.0256, 0)</f>
        <v>51.211499999999994</v>
      </c>
      <c r="C755" s="14">
        <f>48.3822 * CHOOSE(CONTROL!$C$15, $E$9, 100%, $G$9) + CHOOSE(CONTROL!$C$38, 0.0347, 0)</f>
        <v>48.416899999999998</v>
      </c>
      <c r="D755" s="14">
        <f>48.3744 * CHOOSE(CONTROL!$C$15, $E$9, 100%, $G$9) + CHOOSE(CONTROL!$C$38, 0.0347, 0)</f>
        <v>48.409100000000002</v>
      </c>
      <c r="E755" s="46">
        <f>51.0297 * CHOOSE(CONTROL!$C$15, $E$9, 100%, $G$9) + CHOOSE(CONTROL!$C$38, 0.0347, 0)</f>
        <v>51.064399999999999</v>
      </c>
      <c r="F755" s="45">
        <f>51.0297 * CHOOSE(CONTROL!$C$15, $E$9, 100%, $G$9) + CHOOSE(CONTROL!$C$38, 0.0256, 0)</f>
        <v>51.055299999999995</v>
      </c>
      <c r="G755" s="14">
        <f>48.3807 * CHOOSE(CONTROL!$C$15, $E$9, 100%, $G$9) + CHOOSE(CONTROL!$C$38, 0.0347, 0)</f>
        <v>48.415399999999998</v>
      </c>
      <c r="H755" s="14">
        <f>48.3807 * CHOOSE(CONTROL!$C$15, $E$9, 100%, $G$9) + CHOOSE(CONTROL!$C$38, 0.0347, 0)</f>
        <v>48.415399999999998</v>
      </c>
      <c r="I755" s="14">
        <f>48.3822 * CHOOSE(CONTROL!$C$15, $E$9, 100%, $G$9) + CHOOSE(CONTROL!$C$38, 0.0347, 0)</f>
        <v>48.416899999999998</v>
      </c>
      <c r="J755" s="44">
        <f>437.805</f>
        <v>437.80500000000001</v>
      </c>
    </row>
    <row r="756" spans="1:10" ht="15.75" x14ac:dyDescent="0.25">
      <c r="A756" s="32">
        <v>63950</v>
      </c>
      <c r="B756" s="14">
        <f>50.8019 * CHOOSE(CONTROL!$C$15, $E$9, 100%, $G$9) + CHOOSE(CONTROL!$C$38, 0.0256, 0)</f>
        <v>50.827500000000001</v>
      </c>
      <c r="C756" s="14">
        <f>48.0183 * CHOOSE(CONTROL!$C$15, $E$9, 100%, $G$9) + CHOOSE(CONTROL!$C$38, 0.0347, 0)</f>
        <v>48.053000000000004</v>
      </c>
      <c r="D756" s="14">
        <f>48.0105 * CHOOSE(CONTROL!$C$15, $E$9, 100%, $G$9) + CHOOSE(CONTROL!$C$38, 0.0347, 0)</f>
        <v>48.045200000000001</v>
      </c>
      <c r="E756" s="46">
        <f>50.6456 * CHOOSE(CONTROL!$C$15, $E$9, 100%, $G$9) + CHOOSE(CONTROL!$C$38, 0.0347, 0)</f>
        <v>50.680300000000003</v>
      </c>
      <c r="F756" s="45">
        <f>50.6456 * CHOOSE(CONTROL!$C$15, $E$9, 100%, $G$9) + CHOOSE(CONTROL!$C$38, 0.0256, 0)</f>
        <v>50.671199999999999</v>
      </c>
      <c r="G756" s="14">
        <f>48.0167 * CHOOSE(CONTROL!$C$15, $E$9, 100%, $G$9) + CHOOSE(CONTROL!$C$38, 0.0347, 0)</f>
        <v>48.051400000000001</v>
      </c>
      <c r="H756" s="14">
        <f>48.0167 * CHOOSE(CONTROL!$C$15, $E$9, 100%, $G$9) + CHOOSE(CONTROL!$C$38, 0.0347, 0)</f>
        <v>48.051400000000001</v>
      </c>
      <c r="I756" s="14">
        <f>48.0183 * CHOOSE(CONTROL!$C$15, $E$9, 100%, $G$9) + CHOOSE(CONTROL!$C$38, 0.0347, 0)</f>
        <v>48.053000000000004</v>
      </c>
      <c r="J756" s="44">
        <f>437.2404</f>
        <v>437.24040000000002</v>
      </c>
    </row>
    <row r="757" spans="1:10" ht="15.75" x14ac:dyDescent="0.25">
      <c r="A757" s="32">
        <v>63978</v>
      </c>
      <c r="B757" s="14">
        <f>50.6624 * CHOOSE(CONTROL!$C$15, $E$9, 100%, $G$9) + CHOOSE(CONTROL!$C$38, 0.0256, 0)</f>
        <v>50.687999999999995</v>
      </c>
      <c r="C757" s="14">
        <f>47.8861 * CHOOSE(CONTROL!$C$15, $E$9, 100%, $G$9) + CHOOSE(CONTROL!$C$38, 0.0347, 0)</f>
        <v>47.9208</v>
      </c>
      <c r="D757" s="14">
        <f>47.8783 * CHOOSE(CONTROL!$C$15, $E$9, 100%, $G$9) + CHOOSE(CONTROL!$C$38, 0.0347, 0)</f>
        <v>47.913000000000004</v>
      </c>
      <c r="E757" s="46">
        <f>50.5061 * CHOOSE(CONTROL!$C$15, $E$9, 100%, $G$9) + CHOOSE(CONTROL!$C$38, 0.0347, 0)</f>
        <v>50.540800000000004</v>
      </c>
      <c r="F757" s="45">
        <f>50.5061 * CHOOSE(CONTROL!$C$15, $E$9, 100%, $G$9) + CHOOSE(CONTROL!$C$38, 0.0256, 0)</f>
        <v>50.531700000000001</v>
      </c>
      <c r="G757" s="14">
        <f>47.8845 * CHOOSE(CONTROL!$C$15, $E$9, 100%, $G$9) + CHOOSE(CONTROL!$C$38, 0.0347, 0)</f>
        <v>47.919200000000004</v>
      </c>
      <c r="H757" s="14">
        <f>47.8845 * CHOOSE(CONTROL!$C$15, $E$9, 100%, $G$9) + CHOOSE(CONTROL!$C$38, 0.0347, 0)</f>
        <v>47.919200000000004</v>
      </c>
      <c r="I757" s="14">
        <f>47.8861 * CHOOSE(CONTROL!$C$15, $E$9, 100%, $G$9) + CHOOSE(CONTROL!$C$38, 0.0347, 0)</f>
        <v>47.9208</v>
      </c>
      <c r="J757" s="44">
        <f>436.025</f>
        <v>436.02499999999998</v>
      </c>
    </row>
    <row r="758" spans="1:10" ht="15.75" x14ac:dyDescent="0.25">
      <c r="A758" s="32">
        <v>64009</v>
      </c>
      <c r="B758" s="14">
        <f>53.3001 * CHOOSE(CONTROL!$C$15, $E$9, 100%, $G$9) + CHOOSE(CONTROL!$C$38, 0.0256, 0)</f>
        <v>53.325699999999998</v>
      </c>
      <c r="C758" s="14">
        <f>50.3857 * CHOOSE(CONTROL!$C$15, $E$9, 100%, $G$9) + CHOOSE(CONTROL!$C$38, 0.0347, 0)</f>
        <v>50.420400000000001</v>
      </c>
      <c r="D758" s="14">
        <f>50.3779 * CHOOSE(CONTROL!$C$15, $E$9, 100%, $G$9) + CHOOSE(CONTROL!$C$38, 0.0347, 0)</f>
        <v>50.412599999999998</v>
      </c>
      <c r="E758" s="46">
        <f>53.1438 * CHOOSE(CONTROL!$C$15, $E$9, 100%, $G$9) + CHOOSE(CONTROL!$C$38, 0.0347, 0)</f>
        <v>53.1785</v>
      </c>
      <c r="F758" s="45">
        <f>53.1438 * CHOOSE(CONTROL!$C$15, $E$9, 100%, $G$9) + CHOOSE(CONTROL!$C$38, 0.0256, 0)</f>
        <v>53.169399999999996</v>
      </c>
      <c r="G758" s="14">
        <f>50.3841 * CHOOSE(CONTROL!$C$15, $E$9, 100%, $G$9) + CHOOSE(CONTROL!$C$38, 0.0347, 0)</f>
        <v>50.418799999999997</v>
      </c>
      <c r="H758" s="14">
        <f>50.3841 * CHOOSE(CONTROL!$C$15, $E$9, 100%, $G$9) + CHOOSE(CONTROL!$C$38, 0.0347, 0)</f>
        <v>50.418799999999997</v>
      </c>
      <c r="I758" s="14">
        <f>50.3857 * CHOOSE(CONTROL!$C$15, $E$9, 100%, $G$9) + CHOOSE(CONTROL!$C$38, 0.0347, 0)</f>
        <v>50.420400000000001</v>
      </c>
      <c r="J758" s="44">
        <f>459.0061</f>
        <v>459.0061</v>
      </c>
    </row>
    <row r="759" spans="1:10" ht="15.75" x14ac:dyDescent="0.25">
      <c r="A759" s="32">
        <v>64039</v>
      </c>
      <c r="B759" s="14">
        <f>56.7205 * CHOOSE(CONTROL!$C$15, $E$9, 100%, $G$9) + CHOOSE(CONTROL!$C$38, 0.0256, 0)</f>
        <v>56.746099999999998</v>
      </c>
      <c r="C759" s="14">
        <f>53.627 * CHOOSE(CONTROL!$C$15, $E$9, 100%, $G$9) + CHOOSE(CONTROL!$C$38, 0.0347, 0)</f>
        <v>53.661700000000003</v>
      </c>
      <c r="D759" s="14">
        <f>53.6192 * CHOOSE(CONTROL!$C$15, $E$9, 100%, $G$9) + CHOOSE(CONTROL!$C$38, 0.0347, 0)</f>
        <v>53.6539</v>
      </c>
      <c r="E759" s="46">
        <f>56.5642 * CHOOSE(CONTROL!$C$15, $E$9, 100%, $G$9) + CHOOSE(CONTROL!$C$38, 0.0347, 0)</f>
        <v>56.5989</v>
      </c>
      <c r="F759" s="45">
        <f>56.5642 * CHOOSE(CONTROL!$C$15, $E$9, 100%, $G$9) + CHOOSE(CONTROL!$C$38, 0.0256, 0)</f>
        <v>56.589799999999997</v>
      </c>
      <c r="G759" s="14">
        <f>53.6255 * CHOOSE(CONTROL!$C$15, $E$9, 100%, $G$9) + CHOOSE(CONTROL!$C$38, 0.0347, 0)</f>
        <v>53.660200000000003</v>
      </c>
      <c r="H759" s="14">
        <f>53.6255 * CHOOSE(CONTROL!$C$15, $E$9, 100%, $G$9) + CHOOSE(CONTROL!$C$38, 0.0347, 0)</f>
        <v>53.660200000000003</v>
      </c>
      <c r="I759" s="14">
        <f>53.627 * CHOOSE(CONTROL!$C$15, $E$9, 100%, $G$9) + CHOOSE(CONTROL!$C$38, 0.0347, 0)</f>
        <v>53.661700000000003</v>
      </c>
      <c r="J759" s="44">
        <f>488.807</f>
        <v>488.80700000000002</v>
      </c>
    </row>
    <row r="760" spans="1:10" ht="15.75" x14ac:dyDescent="0.25">
      <c r="A760" s="32">
        <v>64070</v>
      </c>
      <c r="B760" s="14">
        <f>58.6032 * CHOOSE(CONTROL!$C$15, $E$9, 100%, $G$9) + CHOOSE(CONTROL!$C$38, 0.0278, 0)</f>
        <v>58.631</v>
      </c>
      <c r="C760" s="14">
        <f>55.4112 * CHOOSE(CONTROL!$C$15, $E$9, 100%, $G$9) + CHOOSE(CONTROL!$C$38, 0.0369, 0)</f>
        <v>55.448100000000004</v>
      </c>
      <c r="D760" s="14">
        <f>55.4034 * CHOOSE(CONTROL!$C$15, $E$9, 100%, $G$9) + CHOOSE(CONTROL!$C$38, 0.0369, 0)</f>
        <v>55.440300000000001</v>
      </c>
      <c r="E760" s="46">
        <f>58.447 * CHOOSE(CONTROL!$C$15, $E$9, 100%, $G$9) + CHOOSE(CONTROL!$C$38, 0.0369, 0)</f>
        <v>58.483900000000006</v>
      </c>
      <c r="F760" s="45">
        <f>58.447 * CHOOSE(CONTROL!$C$15, $E$9, 100%, $G$9) + CHOOSE(CONTROL!$C$38, 0.0278, 0)</f>
        <v>58.474800000000002</v>
      </c>
      <c r="G760" s="14">
        <f>55.4096 * CHOOSE(CONTROL!$C$15, $E$9, 100%, $G$9) + CHOOSE(CONTROL!$C$38, 0.0369, 0)</f>
        <v>55.4465</v>
      </c>
      <c r="H760" s="14">
        <f>55.4096 * CHOOSE(CONTROL!$C$15, $E$9, 100%, $G$9) + CHOOSE(CONTROL!$C$38, 0.0369, 0)</f>
        <v>55.4465</v>
      </c>
      <c r="I760" s="14">
        <f>55.4112 * CHOOSE(CONTROL!$C$15, $E$9, 100%, $G$9) + CHOOSE(CONTROL!$C$38, 0.0369, 0)</f>
        <v>55.448100000000004</v>
      </c>
      <c r="J760" s="44">
        <f>505.2104</f>
        <v>505.21039999999999</v>
      </c>
    </row>
    <row r="761" spans="1:10" ht="15.75" x14ac:dyDescent="0.25">
      <c r="A761" s="32">
        <v>64100</v>
      </c>
      <c r="B761" s="14">
        <f>59.4387 * CHOOSE(CONTROL!$C$15, $E$9, 100%, $G$9) + CHOOSE(CONTROL!$C$38, 0.0278, 0)</f>
        <v>59.466499999999996</v>
      </c>
      <c r="C761" s="14">
        <f>56.203 * CHOOSE(CONTROL!$C$15, $E$9, 100%, $G$9) + CHOOSE(CONTROL!$C$38, 0.0369, 0)</f>
        <v>56.239900000000006</v>
      </c>
      <c r="D761" s="14">
        <f>56.1951 * CHOOSE(CONTROL!$C$15, $E$9, 100%, $G$9) + CHOOSE(CONTROL!$C$38, 0.0369, 0)</f>
        <v>56.231999999999999</v>
      </c>
      <c r="E761" s="46">
        <f>59.2825 * CHOOSE(CONTROL!$C$15, $E$9, 100%, $G$9) + CHOOSE(CONTROL!$C$38, 0.0369, 0)</f>
        <v>59.319400000000002</v>
      </c>
      <c r="F761" s="45">
        <f>59.2825 * CHOOSE(CONTROL!$C$15, $E$9, 100%, $G$9) + CHOOSE(CONTROL!$C$38, 0.0278, 0)</f>
        <v>59.310299999999998</v>
      </c>
      <c r="G761" s="14">
        <f>56.2014 * CHOOSE(CONTROL!$C$15, $E$9, 100%, $G$9) + CHOOSE(CONTROL!$C$38, 0.0369, 0)</f>
        <v>56.238300000000002</v>
      </c>
      <c r="H761" s="14">
        <f>56.2014 * CHOOSE(CONTROL!$C$15, $E$9, 100%, $G$9) + CHOOSE(CONTROL!$C$38, 0.0369, 0)</f>
        <v>56.238300000000002</v>
      </c>
      <c r="I761" s="14">
        <f>56.203 * CHOOSE(CONTROL!$C$15, $E$9, 100%, $G$9) + CHOOSE(CONTROL!$C$38, 0.0369, 0)</f>
        <v>56.239900000000006</v>
      </c>
      <c r="J761" s="44">
        <f>512.4899</f>
        <v>512.48990000000003</v>
      </c>
    </row>
    <row r="762" spans="1:10" ht="15.75" x14ac:dyDescent="0.25">
      <c r="A762" s="32">
        <v>64131</v>
      </c>
      <c r="B762" s="14">
        <f>59.1636 * CHOOSE(CONTROL!$C$15, $E$9, 100%, $G$9) + CHOOSE(CONTROL!$C$38, 0.0278, 0)</f>
        <v>59.191400000000002</v>
      </c>
      <c r="C762" s="14">
        <f>55.9423 * CHOOSE(CONTROL!$C$15, $E$9, 100%, $G$9) + CHOOSE(CONTROL!$C$38, 0.0369, 0)</f>
        <v>55.979200000000006</v>
      </c>
      <c r="D762" s="14">
        <f>55.9345 * CHOOSE(CONTROL!$C$15, $E$9, 100%, $G$9) + CHOOSE(CONTROL!$C$38, 0.0369, 0)</f>
        <v>55.971400000000003</v>
      </c>
      <c r="E762" s="46">
        <f>59.0074 * CHOOSE(CONTROL!$C$15, $E$9, 100%, $G$9) + CHOOSE(CONTROL!$C$38, 0.0369, 0)</f>
        <v>59.0443</v>
      </c>
      <c r="F762" s="45">
        <f>59.0074 * CHOOSE(CONTROL!$C$15, $E$9, 100%, $G$9) + CHOOSE(CONTROL!$C$38, 0.0278, 0)</f>
        <v>59.035199999999996</v>
      </c>
      <c r="G762" s="14">
        <f>55.9407 * CHOOSE(CONTROL!$C$15, $E$9, 100%, $G$9) + CHOOSE(CONTROL!$C$38, 0.0369, 0)</f>
        <v>55.977600000000002</v>
      </c>
      <c r="H762" s="14">
        <f>55.9407 * CHOOSE(CONTROL!$C$15, $E$9, 100%, $G$9) + CHOOSE(CONTROL!$C$38, 0.0369, 0)</f>
        <v>55.977600000000002</v>
      </c>
      <c r="I762" s="14">
        <f>55.9423 * CHOOSE(CONTROL!$C$15, $E$9, 100%, $G$9) + CHOOSE(CONTROL!$C$38, 0.0369, 0)</f>
        <v>55.979200000000006</v>
      </c>
      <c r="J762" s="44">
        <f>510.0932</f>
        <v>510.09320000000002</v>
      </c>
    </row>
    <row r="763" spans="1:10" ht="15.75" x14ac:dyDescent="0.25">
      <c r="A763" s="32">
        <v>64162</v>
      </c>
      <c r="B763" s="14">
        <f>57.8007 * CHOOSE(CONTROL!$C$15, $E$9, 100%, $G$9) + CHOOSE(CONTROL!$C$38, 0.0278, 0)</f>
        <v>57.828499999999998</v>
      </c>
      <c r="C763" s="14">
        <f>54.6507 * CHOOSE(CONTROL!$C$15, $E$9, 100%, $G$9) + CHOOSE(CONTROL!$C$38, 0.0369, 0)</f>
        <v>54.687600000000003</v>
      </c>
      <c r="D763" s="14">
        <f>54.6429 * CHOOSE(CONTROL!$C$15, $E$9, 100%, $G$9) + CHOOSE(CONTROL!$C$38, 0.0369, 0)</f>
        <v>54.6798</v>
      </c>
      <c r="E763" s="46">
        <f>57.6444 * CHOOSE(CONTROL!$C$15, $E$9, 100%, $G$9) + CHOOSE(CONTROL!$C$38, 0.0369, 0)</f>
        <v>57.6813</v>
      </c>
      <c r="F763" s="45">
        <f>57.6444 * CHOOSE(CONTROL!$C$15, $E$9, 100%, $G$9) + CHOOSE(CONTROL!$C$38, 0.0278, 0)</f>
        <v>57.672199999999997</v>
      </c>
      <c r="G763" s="14">
        <f>54.6491 * CHOOSE(CONTROL!$C$15, $E$9, 100%, $G$9) + CHOOSE(CONTROL!$C$38, 0.0369, 0)</f>
        <v>54.686</v>
      </c>
      <c r="H763" s="14">
        <f>54.6491 * CHOOSE(CONTROL!$C$15, $E$9, 100%, $G$9) + CHOOSE(CONTROL!$C$38, 0.0369, 0)</f>
        <v>54.686</v>
      </c>
      <c r="I763" s="14">
        <f>54.6507 * CHOOSE(CONTROL!$C$15, $E$9, 100%, $G$9) + CHOOSE(CONTROL!$C$38, 0.0369, 0)</f>
        <v>54.687600000000003</v>
      </c>
      <c r="J763" s="44">
        <f>498.2184</f>
        <v>498.21839999999997</v>
      </c>
    </row>
    <row r="764" spans="1:10" ht="15.75" x14ac:dyDescent="0.25">
      <c r="A764" s="32">
        <v>64192</v>
      </c>
      <c r="B764" s="14">
        <f>55.9 * CHOOSE(CONTROL!$C$15, $E$9, 100%, $G$9) + CHOOSE(CONTROL!$C$38, 0.0278, 0)</f>
        <v>55.927799999999998</v>
      </c>
      <c r="C764" s="14">
        <f>52.8495 * CHOOSE(CONTROL!$C$15, $E$9, 100%, $G$9) + CHOOSE(CONTROL!$C$38, 0.0369, 0)</f>
        <v>52.886400000000002</v>
      </c>
      <c r="D764" s="14">
        <f>52.8417 * CHOOSE(CONTROL!$C$15, $E$9, 100%, $G$9) + CHOOSE(CONTROL!$C$38, 0.0369, 0)</f>
        <v>52.878600000000006</v>
      </c>
      <c r="E764" s="46">
        <f>55.7438 * CHOOSE(CONTROL!$C$15, $E$9, 100%, $G$9) + CHOOSE(CONTROL!$C$38, 0.0369, 0)</f>
        <v>55.780700000000003</v>
      </c>
      <c r="F764" s="45">
        <f>55.7438 * CHOOSE(CONTROL!$C$15, $E$9, 100%, $G$9) + CHOOSE(CONTROL!$C$38, 0.0278, 0)</f>
        <v>55.771599999999999</v>
      </c>
      <c r="G764" s="14">
        <f>52.8479 * CHOOSE(CONTROL!$C$15, $E$9, 100%, $G$9) + CHOOSE(CONTROL!$C$38, 0.0369, 0)</f>
        <v>52.884800000000006</v>
      </c>
      <c r="H764" s="14">
        <f>52.8479 * CHOOSE(CONTROL!$C$15, $E$9, 100%, $G$9) + CHOOSE(CONTROL!$C$38, 0.0369, 0)</f>
        <v>52.884800000000006</v>
      </c>
      <c r="I764" s="14">
        <f>52.8495 * CHOOSE(CONTROL!$C$15, $E$9, 100%, $G$9) + CHOOSE(CONTROL!$C$38, 0.0369, 0)</f>
        <v>52.886400000000002</v>
      </c>
      <c r="J764" s="44">
        <f>481.6585</f>
        <v>481.6585</v>
      </c>
    </row>
    <row r="765" spans="1:10" ht="15.75" x14ac:dyDescent="0.25">
      <c r="A765" s="32">
        <v>64223</v>
      </c>
      <c r="B765" s="14">
        <f>53.9883 * CHOOSE(CONTROL!$C$15, $E$9, 100%, $G$9) + CHOOSE(CONTROL!$C$38, 0.0256, 0)</f>
        <v>54.0139</v>
      </c>
      <c r="C765" s="14">
        <f>51.0379 * CHOOSE(CONTROL!$C$15, $E$9, 100%, $G$9) + CHOOSE(CONTROL!$C$38, 0.0347, 0)</f>
        <v>51.072600000000001</v>
      </c>
      <c r="D765" s="14">
        <f>51.03 * CHOOSE(CONTROL!$C$15, $E$9, 100%, $G$9) + CHOOSE(CONTROL!$C$38, 0.0347, 0)</f>
        <v>51.064700000000002</v>
      </c>
      <c r="E765" s="46">
        <f>53.832 * CHOOSE(CONTROL!$C$15, $E$9, 100%, $G$9) + CHOOSE(CONTROL!$C$38, 0.0347, 0)</f>
        <v>53.866700000000002</v>
      </c>
      <c r="F765" s="45">
        <f>53.832 * CHOOSE(CONTROL!$C$15, $E$9, 100%, $G$9) + CHOOSE(CONTROL!$C$38, 0.0256, 0)</f>
        <v>53.857599999999998</v>
      </c>
      <c r="G765" s="14">
        <f>51.0363 * CHOOSE(CONTROL!$C$15, $E$9, 100%, $G$9) + CHOOSE(CONTROL!$C$38, 0.0347, 0)</f>
        <v>51.070999999999998</v>
      </c>
      <c r="H765" s="14">
        <f>51.0363 * CHOOSE(CONTROL!$C$15, $E$9, 100%, $G$9) + CHOOSE(CONTROL!$C$38, 0.0347, 0)</f>
        <v>51.070999999999998</v>
      </c>
      <c r="I765" s="14">
        <f>51.0379 * CHOOSE(CONTROL!$C$15, $E$9, 100%, $G$9) + CHOOSE(CONTROL!$C$38, 0.0347, 0)</f>
        <v>51.072600000000001</v>
      </c>
      <c r="J765" s="44">
        <f>465.0022</f>
        <v>465.00220000000002</v>
      </c>
    </row>
    <row r="766" spans="1:10" ht="15.75" x14ac:dyDescent="0.25">
      <c r="A766" s="32">
        <v>64253</v>
      </c>
      <c r="B766" s="14">
        <f>53.608 * CHOOSE(CONTROL!$C$15, $E$9, 100%, $G$9) + CHOOSE(CONTROL!$C$38, 0.0256, 0)</f>
        <v>53.633599999999994</v>
      </c>
      <c r="C766" s="14">
        <f>50.6775 * CHOOSE(CONTROL!$C$15, $E$9, 100%, $G$9) + CHOOSE(CONTROL!$C$38, 0.0347, 0)</f>
        <v>50.712200000000003</v>
      </c>
      <c r="D766" s="14">
        <f>50.6697 * CHOOSE(CONTROL!$C$15, $E$9, 100%, $G$9) + CHOOSE(CONTROL!$C$38, 0.0347, 0)</f>
        <v>50.7044</v>
      </c>
      <c r="E766" s="46">
        <f>53.4517 * CHOOSE(CONTROL!$C$15, $E$9, 100%, $G$9) + CHOOSE(CONTROL!$C$38, 0.0347, 0)</f>
        <v>53.486400000000003</v>
      </c>
      <c r="F766" s="45">
        <f>53.4517 * CHOOSE(CONTROL!$C$15, $E$9, 100%, $G$9) + CHOOSE(CONTROL!$C$38, 0.0256, 0)</f>
        <v>53.4773</v>
      </c>
      <c r="G766" s="14">
        <f>50.6759 * CHOOSE(CONTROL!$C$15, $E$9, 100%, $G$9) + CHOOSE(CONTROL!$C$38, 0.0347, 0)</f>
        <v>50.710599999999999</v>
      </c>
      <c r="H766" s="14">
        <f>50.6759 * CHOOSE(CONTROL!$C$15, $E$9, 100%, $G$9) + CHOOSE(CONTROL!$C$38, 0.0347, 0)</f>
        <v>50.710599999999999</v>
      </c>
      <c r="I766" s="14">
        <f>50.6775 * CHOOSE(CONTROL!$C$15, $E$9, 100%, $G$9) + CHOOSE(CONTROL!$C$38, 0.0347, 0)</f>
        <v>50.712200000000003</v>
      </c>
      <c r="J766" s="44">
        <f>461.689</f>
        <v>461.68900000000002</v>
      </c>
    </row>
    <row r="767" spans="1:10" ht="15.75" x14ac:dyDescent="0.25">
      <c r="A767" s="32">
        <v>64284</v>
      </c>
      <c r="B767" s="14">
        <f>52.0355 * CHOOSE(CONTROL!$C$15, $E$9, 100%, $G$9) + CHOOSE(CONTROL!$C$38, 0.0256, 0)</f>
        <v>52.061099999999996</v>
      </c>
      <c r="C767" s="14">
        <f>49.1873 * CHOOSE(CONTROL!$C$15, $E$9, 100%, $G$9) + CHOOSE(CONTROL!$C$38, 0.0347, 0)</f>
        <v>49.222000000000001</v>
      </c>
      <c r="D767" s="14">
        <f>49.1795 * CHOOSE(CONTROL!$C$15, $E$9, 100%, $G$9) + CHOOSE(CONTROL!$C$38, 0.0347, 0)</f>
        <v>49.214199999999998</v>
      </c>
      <c r="E767" s="46">
        <f>51.8792 * CHOOSE(CONTROL!$C$15, $E$9, 100%, $G$9) + CHOOSE(CONTROL!$C$38, 0.0347, 0)</f>
        <v>51.913899999999998</v>
      </c>
      <c r="F767" s="45">
        <f>51.8792 * CHOOSE(CONTROL!$C$15, $E$9, 100%, $G$9) + CHOOSE(CONTROL!$C$38, 0.0256, 0)</f>
        <v>51.904799999999994</v>
      </c>
      <c r="G767" s="14">
        <f>49.1857 * CHOOSE(CONTROL!$C$15, $E$9, 100%, $G$9) + CHOOSE(CONTROL!$C$38, 0.0347, 0)</f>
        <v>49.220399999999998</v>
      </c>
      <c r="H767" s="14">
        <f>49.1857 * CHOOSE(CONTROL!$C$15, $E$9, 100%, $G$9) + CHOOSE(CONTROL!$C$38, 0.0347, 0)</f>
        <v>49.220399999999998</v>
      </c>
      <c r="I767" s="14">
        <f>49.1873 * CHOOSE(CONTROL!$C$15, $E$9, 100%, $G$9) + CHOOSE(CONTROL!$C$38, 0.0347, 0)</f>
        <v>49.222000000000001</v>
      </c>
      <c r="J767" s="44">
        <f>447.9883</f>
        <v>447.98829999999998</v>
      </c>
    </row>
    <row r="768" spans="1:10" ht="15.75" x14ac:dyDescent="0.25">
      <c r="A768" s="32">
        <v>64315</v>
      </c>
      <c r="B768" s="14">
        <f>51.645 * CHOOSE(CONTROL!$C$15, $E$9, 100%, $G$9) + CHOOSE(CONTROL!$C$38, 0.0256, 0)</f>
        <v>51.6706</v>
      </c>
      <c r="C768" s="14">
        <f>48.8172 * CHOOSE(CONTROL!$C$15, $E$9, 100%, $G$9) + CHOOSE(CONTROL!$C$38, 0.0347, 0)</f>
        <v>48.851900000000001</v>
      </c>
      <c r="D768" s="14">
        <f>48.8094 * CHOOSE(CONTROL!$C$15, $E$9, 100%, $G$9) + CHOOSE(CONTROL!$C$38, 0.0347, 0)</f>
        <v>48.844099999999997</v>
      </c>
      <c r="E768" s="46">
        <f>51.4887 * CHOOSE(CONTROL!$C$15, $E$9, 100%, $G$9) + CHOOSE(CONTROL!$C$38, 0.0347, 0)</f>
        <v>51.523400000000002</v>
      </c>
      <c r="F768" s="45">
        <f>51.4887 * CHOOSE(CONTROL!$C$15, $E$9, 100%, $G$9) + CHOOSE(CONTROL!$C$38, 0.0256, 0)</f>
        <v>51.514299999999999</v>
      </c>
      <c r="G768" s="14">
        <f>48.8157 * CHOOSE(CONTROL!$C$15, $E$9, 100%, $G$9) + CHOOSE(CONTROL!$C$38, 0.0347, 0)</f>
        <v>48.8504</v>
      </c>
      <c r="H768" s="14">
        <f>48.8157 * CHOOSE(CONTROL!$C$15, $E$9, 100%, $G$9) + CHOOSE(CONTROL!$C$38, 0.0347, 0)</f>
        <v>48.8504</v>
      </c>
      <c r="I768" s="14">
        <f>48.8172 * CHOOSE(CONTROL!$C$15, $E$9, 100%, $G$9) + CHOOSE(CONTROL!$C$38, 0.0347, 0)</f>
        <v>48.851900000000001</v>
      </c>
      <c r="J768" s="44">
        <f>447.4106</f>
        <v>447.41059999999999</v>
      </c>
    </row>
    <row r="769" spans="1:10" ht="15.75" x14ac:dyDescent="0.25">
      <c r="A769" s="32">
        <v>64344</v>
      </c>
      <c r="B769" s="14">
        <f>51.5031 * CHOOSE(CONTROL!$C$15, $E$9, 100%, $G$9) + CHOOSE(CONTROL!$C$38, 0.0256, 0)</f>
        <v>51.528700000000001</v>
      </c>
      <c r="C769" s="14">
        <f>48.6828 * CHOOSE(CONTROL!$C$15, $E$9, 100%, $G$9) + CHOOSE(CONTROL!$C$38, 0.0347, 0)</f>
        <v>48.717500000000001</v>
      </c>
      <c r="D769" s="14">
        <f>48.675 * CHOOSE(CONTROL!$C$15, $E$9, 100%, $G$9) + CHOOSE(CONTROL!$C$38, 0.0347, 0)</f>
        <v>48.709699999999998</v>
      </c>
      <c r="E769" s="46">
        <f>51.3469 * CHOOSE(CONTROL!$C$15, $E$9, 100%, $G$9) + CHOOSE(CONTROL!$C$38, 0.0347, 0)</f>
        <v>51.381599999999999</v>
      </c>
      <c r="F769" s="45">
        <f>51.3469 * CHOOSE(CONTROL!$C$15, $E$9, 100%, $G$9) + CHOOSE(CONTROL!$C$38, 0.0256, 0)</f>
        <v>51.372499999999995</v>
      </c>
      <c r="G769" s="14">
        <f>48.6813 * CHOOSE(CONTROL!$C$15, $E$9, 100%, $G$9) + CHOOSE(CONTROL!$C$38, 0.0347, 0)</f>
        <v>48.716000000000001</v>
      </c>
      <c r="H769" s="14">
        <f>48.6813 * CHOOSE(CONTROL!$C$15, $E$9, 100%, $G$9) + CHOOSE(CONTROL!$C$38, 0.0347, 0)</f>
        <v>48.716000000000001</v>
      </c>
      <c r="I769" s="14">
        <f>48.6828 * CHOOSE(CONTROL!$C$15, $E$9, 100%, $G$9) + CHOOSE(CONTROL!$C$38, 0.0347, 0)</f>
        <v>48.717500000000001</v>
      </c>
      <c r="J769" s="44">
        <f>446.167</f>
        <v>446.16699999999997</v>
      </c>
    </row>
    <row r="770" spans="1:10" ht="15.75" x14ac:dyDescent="0.25">
      <c r="A770" s="32">
        <v>64375</v>
      </c>
      <c r="B770" s="14">
        <f>54.1851 * CHOOSE(CONTROL!$C$15, $E$9, 100%, $G$9) + CHOOSE(CONTROL!$C$38, 0.0256, 0)</f>
        <v>54.210699999999996</v>
      </c>
      <c r="C770" s="14">
        <f>51.2244 * CHOOSE(CONTROL!$C$15, $E$9, 100%, $G$9) + CHOOSE(CONTROL!$C$38, 0.0347, 0)</f>
        <v>51.259100000000004</v>
      </c>
      <c r="D770" s="14">
        <f>51.2166 * CHOOSE(CONTROL!$C$15, $E$9, 100%, $G$9) + CHOOSE(CONTROL!$C$38, 0.0347, 0)</f>
        <v>51.251300000000001</v>
      </c>
      <c r="E770" s="46">
        <f>54.0289 * CHOOSE(CONTROL!$C$15, $E$9, 100%, $G$9) + CHOOSE(CONTROL!$C$38, 0.0347, 0)</f>
        <v>54.063600000000001</v>
      </c>
      <c r="F770" s="45">
        <f>54.0289 * CHOOSE(CONTROL!$C$15, $E$9, 100%, $G$9) + CHOOSE(CONTROL!$C$38, 0.0256, 0)</f>
        <v>54.054499999999997</v>
      </c>
      <c r="G770" s="14">
        <f>51.2228 * CHOOSE(CONTROL!$C$15, $E$9, 100%, $G$9) + CHOOSE(CONTROL!$C$38, 0.0347, 0)</f>
        <v>51.2575</v>
      </c>
      <c r="H770" s="14">
        <f>51.2228 * CHOOSE(CONTROL!$C$15, $E$9, 100%, $G$9) + CHOOSE(CONTROL!$C$38, 0.0347, 0)</f>
        <v>51.2575</v>
      </c>
      <c r="I770" s="14">
        <f>51.2244 * CHOOSE(CONTROL!$C$15, $E$9, 100%, $G$9) + CHOOSE(CONTROL!$C$38, 0.0347, 0)</f>
        <v>51.259100000000004</v>
      </c>
      <c r="J770" s="44">
        <f>469.6825</f>
        <v>469.6825</v>
      </c>
    </row>
    <row r="771" spans="1:10" ht="15.75" x14ac:dyDescent="0.25">
      <c r="A771" s="32">
        <v>64405</v>
      </c>
      <c r="B771" s="14">
        <f>57.663 * CHOOSE(CONTROL!$C$15, $E$9, 100%, $G$9) + CHOOSE(CONTROL!$C$38, 0.0256, 0)</f>
        <v>57.688599999999994</v>
      </c>
      <c r="C771" s="14">
        <f>54.5202 * CHOOSE(CONTROL!$C$15, $E$9, 100%, $G$9) + CHOOSE(CONTROL!$C$38, 0.0347, 0)</f>
        <v>54.554900000000004</v>
      </c>
      <c r="D771" s="14">
        <f>54.5124 * CHOOSE(CONTROL!$C$15, $E$9, 100%, $G$9) + CHOOSE(CONTROL!$C$38, 0.0347, 0)</f>
        <v>54.5471</v>
      </c>
      <c r="E771" s="46">
        <f>57.5068 * CHOOSE(CONTROL!$C$15, $E$9, 100%, $G$9) + CHOOSE(CONTROL!$C$38, 0.0347, 0)</f>
        <v>57.541499999999999</v>
      </c>
      <c r="F771" s="45">
        <f>57.5068 * CHOOSE(CONTROL!$C$15, $E$9, 100%, $G$9) + CHOOSE(CONTROL!$C$38, 0.0256, 0)</f>
        <v>57.532399999999996</v>
      </c>
      <c r="G771" s="14">
        <f>54.5186 * CHOOSE(CONTROL!$C$15, $E$9, 100%, $G$9) + CHOOSE(CONTROL!$C$38, 0.0347, 0)</f>
        <v>54.5533</v>
      </c>
      <c r="H771" s="14">
        <f>54.5186 * CHOOSE(CONTROL!$C$15, $E$9, 100%, $G$9) + CHOOSE(CONTROL!$C$38, 0.0347, 0)</f>
        <v>54.5533</v>
      </c>
      <c r="I771" s="14">
        <f>54.5202 * CHOOSE(CONTROL!$C$15, $E$9, 100%, $G$9) + CHOOSE(CONTROL!$C$38, 0.0347, 0)</f>
        <v>54.554900000000004</v>
      </c>
      <c r="J771" s="44">
        <f>500.1766</f>
        <v>500.17660000000001</v>
      </c>
    </row>
    <row r="772" spans="1:10" ht="15.75" x14ac:dyDescent="0.25">
      <c r="A772" s="32">
        <v>64436</v>
      </c>
      <c r="B772" s="14">
        <f>59.5774 * CHOOSE(CONTROL!$C$15, $E$9, 100%, $G$9) + CHOOSE(CONTROL!$C$38, 0.0278, 0)</f>
        <v>59.605199999999996</v>
      </c>
      <c r="C772" s="14">
        <f>56.3343 * CHOOSE(CONTROL!$C$15, $E$9, 100%, $G$9) + CHOOSE(CONTROL!$C$38, 0.0369, 0)</f>
        <v>56.371200000000002</v>
      </c>
      <c r="D772" s="14">
        <f>56.3265 * CHOOSE(CONTROL!$C$15, $E$9, 100%, $G$9) + CHOOSE(CONTROL!$C$38, 0.0369, 0)</f>
        <v>56.363400000000006</v>
      </c>
      <c r="E772" s="46">
        <f>59.4211 * CHOOSE(CONTROL!$C$15, $E$9, 100%, $G$9) + CHOOSE(CONTROL!$C$38, 0.0369, 0)</f>
        <v>59.458000000000006</v>
      </c>
      <c r="F772" s="45">
        <f>59.4211 * CHOOSE(CONTROL!$C$15, $E$9, 100%, $G$9) + CHOOSE(CONTROL!$C$38, 0.0278, 0)</f>
        <v>59.448900000000002</v>
      </c>
      <c r="G772" s="14">
        <f>56.3328 * CHOOSE(CONTROL!$C$15, $E$9, 100%, $G$9) + CHOOSE(CONTROL!$C$38, 0.0369, 0)</f>
        <v>56.369700000000002</v>
      </c>
      <c r="H772" s="14">
        <f>56.3328 * CHOOSE(CONTROL!$C$15, $E$9, 100%, $G$9) + CHOOSE(CONTROL!$C$38, 0.0369, 0)</f>
        <v>56.369700000000002</v>
      </c>
      <c r="I772" s="14">
        <f>56.3343 * CHOOSE(CONTROL!$C$15, $E$9, 100%, $G$9) + CHOOSE(CONTROL!$C$38, 0.0369, 0)</f>
        <v>56.371200000000002</v>
      </c>
      <c r="J772" s="44">
        <f>516.9616</f>
        <v>516.96159999999998</v>
      </c>
    </row>
    <row r="773" spans="1:10" ht="15.75" x14ac:dyDescent="0.25">
      <c r="A773" s="32">
        <v>64466</v>
      </c>
      <c r="B773" s="14">
        <f>60.4269 * CHOOSE(CONTROL!$C$15, $E$9, 100%, $G$9) + CHOOSE(CONTROL!$C$38, 0.0278, 0)</f>
        <v>60.454700000000003</v>
      </c>
      <c r="C773" s="14">
        <f>57.1394 * CHOOSE(CONTROL!$C$15, $E$9, 100%, $G$9) + CHOOSE(CONTROL!$C$38, 0.0369, 0)</f>
        <v>57.176300000000005</v>
      </c>
      <c r="D773" s="14">
        <f>57.1316 * CHOOSE(CONTROL!$C$15, $E$9, 100%, $G$9) + CHOOSE(CONTROL!$C$38, 0.0369, 0)</f>
        <v>57.168500000000002</v>
      </c>
      <c r="E773" s="46">
        <f>60.2707 * CHOOSE(CONTROL!$C$15, $E$9, 100%, $G$9) + CHOOSE(CONTROL!$C$38, 0.0369, 0)</f>
        <v>60.307600000000001</v>
      </c>
      <c r="F773" s="45">
        <f>60.2707 * CHOOSE(CONTROL!$C$15, $E$9, 100%, $G$9) + CHOOSE(CONTROL!$C$38, 0.0278, 0)</f>
        <v>60.298499999999997</v>
      </c>
      <c r="G773" s="14">
        <f>57.1378 * CHOOSE(CONTROL!$C$15, $E$9, 100%, $G$9) + CHOOSE(CONTROL!$C$38, 0.0369, 0)</f>
        <v>57.174700000000001</v>
      </c>
      <c r="H773" s="14">
        <f>57.1378 * CHOOSE(CONTROL!$C$15, $E$9, 100%, $G$9) + CHOOSE(CONTROL!$C$38, 0.0369, 0)</f>
        <v>57.174700000000001</v>
      </c>
      <c r="I773" s="14">
        <f>57.1394 * CHOOSE(CONTROL!$C$15, $E$9, 100%, $G$9) + CHOOSE(CONTROL!$C$38, 0.0369, 0)</f>
        <v>57.176300000000005</v>
      </c>
      <c r="J773" s="44">
        <f>524.4104</f>
        <v>524.41039999999998</v>
      </c>
    </row>
    <row r="774" spans="1:10" ht="15.75" x14ac:dyDescent="0.25">
      <c r="A774" s="32">
        <v>64497</v>
      </c>
      <c r="B774" s="14">
        <f>60.1472 * CHOOSE(CONTROL!$C$15, $E$9, 100%, $G$9) + CHOOSE(CONTROL!$C$38, 0.0278, 0)</f>
        <v>60.174999999999997</v>
      </c>
      <c r="C774" s="14">
        <f>56.8743 * CHOOSE(CONTROL!$C$15, $E$9, 100%, $G$9) + CHOOSE(CONTROL!$C$38, 0.0369, 0)</f>
        <v>56.911200000000001</v>
      </c>
      <c r="D774" s="14">
        <f>56.8665 * CHOOSE(CONTROL!$C$15, $E$9, 100%, $G$9) + CHOOSE(CONTROL!$C$38, 0.0369, 0)</f>
        <v>56.903400000000005</v>
      </c>
      <c r="E774" s="46">
        <f>59.9909 * CHOOSE(CONTROL!$C$15, $E$9, 100%, $G$9) + CHOOSE(CONTROL!$C$38, 0.0369, 0)</f>
        <v>60.027800000000006</v>
      </c>
      <c r="F774" s="45">
        <f>59.9909 * CHOOSE(CONTROL!$C$15, $E$9, 100%, $G$9) + CHOOSE(CONTROL!$C$38, 0.0278, 0)</f>
        <v>60.018700000000003</v>
      </c>
      <c r="G774" s="14">
        <f>56.8728 * CHOOSE(CONTROL!$C$15, $E$9, 100%, $G$9) + CHOOSE(CONTROL!$C$38, 0.0369, 0)</f>
        <v>56.909700000000001</v>
      </c>
      <c r="H774" s="14">
        <f>56.8728 * CHOOSE(CONTROL!$C$15, $E$9, 100%, $G$9) + CHOOSE(CONTROL!$C$38, 0.0369, 0)</f>
        <v>56.909700000000001</v>
      </c>
      <c r="I774" s="14">
        <f>56.8743 * CHOOSE(CONTROL!$C$15, $E$9, 100%, $G$9) + CHOOSE(CONTROL!$C$38, 0.0369, 0)</f>
        <v>56.911200000000001</v>
      </c>
      <c r="J774" s="44">
        <f>521.9579</f>
        <v>521.9579</v>
      </c>
    </row>
    <row r="775" spans="1:10" ht="15.75" x14ac:dyDescent="0.25">
      <c r="A775" s="32">
        <v>64528</v>
      </c>
      <c r="B775" s="14">
        <f>58.7614 * CHOOSE(CONTROL!$C$15, $E$9, 100%, $G$9) + CHOOSE(CONTROL!$C$38, 0.0278, 0)</f>
        <v>58.789200000000001</v>
      </c>
      <c r="C775" s="14">
        <f>55.5611 * CHOOSE(CONTROL!$C$15, $E$9, 100%, $G$9) + CHOOSE(CONTROL!$C$38, 0.0369, 0)</f>
        <v>55.598000000000006</v>
      </c>
      <c r="D775" s="14">
        <f>55.5532 * CHOOSE(CONTROL!$C$15, $E$9, 100%, $G$9) + CHOOSE(CONTROL!$C$38, 0.0369, 0)</f>
        <v>55.5901</v>
      </c>
      <c r="E775" s="46">
        <f>58.6051 * CHOOSE(CONTROL!$C$15, $E$9, 100%, $G$9) + CHOOSE(CONTROL!$C$38, 0.0369, 0)</f>
        <v>58.642000000000003</v>
      </c>
      <c r="F775" s="45">
        <f>58.6051 * CHOOSE(CONTROL!$C$15, $E$9, 100%, $G$9) + CHOOSE(CONTROL!$C$38, 0.0278, 0)</f>
        <v>58.632899999999999</v>
      </c>
      <c r="G775" s="14">
        <f>55.5595 * CHOOSE(CONTROL!$C$15, $E$9, 100%, $G$9) + CHOOSE(CONTROL!$C$38, 0.0369, 0)</f>
        <v>55.596400000000003</v>
      </c>
      <c r="H775" s="14">
        <f>55.5595 * CHOOSE(CONTROL!$C$15, $E$9, 100%, $G$9) + CHOOSE(CONTROL!$C$38, 0.0369, 0)</f>
        <v>55.596400000000003</v>
      </c>
      <c r="I775" s="14">
        <f>55.5611 * CHOOSE(CONTROL!$C$15, $E$9, 100%, $G$9) + CHOOSE(CONTROL!$C$38, 0.0369, 0)</f>
        <v>55.598000000000006</v>
      </c>
      <c r="J775" s="44">
        <f>509.807</f>
        <v>509.80700000000002</v>
      </c>
    </row>
    <row r="776" spans="1:10" ht="15.75" x14ac:dyDescent="0.25">
      <c r="A776" s="32">
        <v>64558</v>
      </c>
      <c r="B776" s="14">
        <f>56.8287 * CHOOSE(CONTROL!$C$15, $E$9, 100%, $G$9) + CHOOSE(CONTROL!$C$38, 0.0278, 0)</f>
        <v>56.856499999999997</v>
      </c>
      <c r="C776" s="14">
        <f>53.7296 * CHOOSE(CONTROL!$C$15, $E$9, 100%, $G$9) + CHOOSE(CONTROL!$C$38, 0.0369, 0)</f>
        <v>53.766500000000001</v>
      </c>
      <c r="D776" s="14">
        <f>53.7218 * CHOOSE(CONTROL!$C$15, $E$9, 100%, $G$9) + CHOOSE(CONTROL!$C$38, 0.0369, 0)</f>
        <v>53.758700000000005</v>
      </c>
      <c r="E776" s="46">
        <f>56.6725 * CHOOSE(CONTROL!$C$15, $E$9, 100%, $G$9) + CHOOSE(CONTROL!$C$38, 0.0369, 0)</f>
        <v>56.709400000000002</v>
      </c>
      <c r="F776" s="45">
        <f>56.6725 * CHOOSE(CONTROL!$C$15, $E$9, 100%, $G$9) + CHOOSE(CONTROL!$C$38, 0.0278, 0)</f>
        <v>56.700299999999999</v>
      </c>
      <c r="G776" s="14">
        <f>53.7281 * CHOOSE(CONTROL!$C$15, $E$9, 100%, $G$9) + CHOOSE(CONTROL!$C$38, 0.0369, 0)</f>
        <v>53.765000000000001</v>
      </c>
      <c r="H776" s="14">
        <f>53.7281 * CHOOSE(CONTROL!$C$15, $E$9, 100%, $G$9) + CHOOSE(CONTROL!$C$38, 0.0369, 0)</f>
        <v>53.765000000000001</v>
      </c>
      <c r="I776" s="14">
        <f>53.7296 * CHOOSE(CONTROL!$C$15, $E$9, 100%, $G$9) + CHOOSE(CONTROL!$C$38, 0.0369, 0)</f>
        <v>53.766500000000001</v>
      </c>
      <c r="J776" s="44">
        <f>492.8619</f>
        <v>492.86189999999999</v>
      </c>
    </row>
    <row r="777" spans="1:10" ht="15.75" x14ac:dyDescent="0.25">
      <c r="A777" s="32">
        <v>64589</v>
      </c>
      <c r="B777" s="14">
        <f>54.8849 * CHOOSE(CONTROL!$C$15, $E$9, 100%, $G$9) + CHOOSE(CONTROL!$C$38, 0.0256, 0)</f>
        <v>54.910499999999999</v>
      </c>
      <c r="C777" s="14">
        <f>51.8875 * CHOOSE(CONTROL!$C$15, $E$9, 100%, $G$9) + CHOOSE(CONTROL!$C$38, 0.0347, 0)</f>
        <v>51.922200000000004</v>
      </c>
      <c r="D777" s="14">
        <f>51.8797 * CHOOSE(CONTROL!$C$15, $E$9, 100%, $G$9) + CHOOSE(CONTROL!$C$38, 0.0347, 0)</f>
        <v>51.914400000000001</v>
      </c>
      <c r="E777" s="46">
        <f>54.7286 * CHOOSE(CONTROL!$C$15, $E$9, 100%, $G$9) + CHOOSE(CONTROL!$C$38, 0.0347, 0)</f>
        <v>54.763300000000001</v>
      </c>
      <c r="F777" s="45">
        <f>54.7286 * CHOOSE(CONTROL!$C$15, $E$9, 100%, $G$9) + CHOOSE(CONTROL!$C$38, 0.0256, 0)</f>
        <v>54.754199999999997</v>
      </c>
      <c r="G777" s="14">
        <f>51.886 * CHOOSE(CONTROL!$C$15, $E$9, 100%, $G$9) + CHOOSE(CONTROL!$C$38, 0.0347, 0)</f>
        <v>51.920700000000004</v>
      </c>
      <c r="H777" s="14">
        <f>51.886 * CHOOSE(CONTROL!$C$15, $E$9, 100%, $G$9) + CHOOSE(CONTROL!$C$38, 0.0347, 0)</f>
        <v>51.920700000000004</v>
      </c>
      <c r="I777" s="14">
        <f>51.8875 * CHOOSE(CONTROL!$C$15, $E$9, 100%, $G$9) + CHOOSE(CONTROL!$C$38, 0.0347, 0)</f>
        <v>51.922200000000004</v>
      </c>
      <c r="J777" s="44">
        <f>475.8182</f>
        <v>475.81819999999999</v>
      </c>
    </row>
    <row r="778" spans="1:10" ht="15.75" x14ac:dyDescent="0.25">
      <c r="A778" s="32">
        <v>64619</v>
      </c>
      <c r="B778" s="14">
        <f>54.4982 * CHOOSE(CONTROL!$C$15, $E$9, 100%, $G$9) + CHOOSE(CONTROL!$C$38, 0.0256, 0)</f>
        <v>54.523799999999994</v>
      </c>
      <c r="C778" s="14">
        <f>51.5211 * CHOOSE(CONTROL!$C$15, $E$9, 100%, $G$9) + CHOOSE(CONTROL!$C$38, 0.0347, 0)</f>
        <v>51.555799999999998</v>
      </c>
      <c r="D778" s="14">
        <f>51.5133 * CHOOSE(CONTROL!$C$15, $E$9, 100%, $G$9) + CHOOSE(CONTROL!$C$38, 0.0347, 0)</f>
        <v>51.548000000000002</v>
      </c>
      <c r="E778" s="46">
        <f>54.342 * CHOOSE(CONTROL!$C$15, $E$9, 100%, $G$9) + CHOOSE(CONTROL!$C$38, 0.0347, 0)</f>
        <v>54.3767</v>
      </c>
      <c r="F778" s="45">
        <f>54.342 * CHOOSE(CONTROL!$C$15, $E$9, 100%, $G$9) + CHOOSE(CONTROL!$C$38, 0.0256, 0)</f>
        <v>54.367599999999996</v>
      </c>
      <c r="G778" s="14">
        <f>51.5195 * CHOOSE(CONTROL!$C$15, $E$9, 100%, $G$9) + CHOOSE(CONTROL!$C$38, 0.0347, 0)</f>
        <v>51.554200000000002</v>
      </c>
      <c r="H778" s="14">
        <f>51.5195 * CHOOSE(CONTROL!$C$15, $E$9, 100%, $G$9) + CHOOSE(CONTROL!$C$38, 0.0347, 0)</f>
        <v>51.554200000000002</v>
      </c>
      <c r="I778" s="14">
        <f>51.5211 * CHOOSE(CONTROL!$C$15, $E$9, 100%, $G$9) + CHOOSE(CONTROL!$C$38, 0.0347, 0)</f>
        <v>51.555799999999998</v>
      </c>
      <c r="J778" s="44">
        <f>472.4279</f>
        <v>472.42790000000002</v>
      </c>
    </row>
    <row r="779" spans="1:10" ht="15.75" x14ac:dyDescent="0.25">
      <c r="A779" s="32">
        <v>64650</v>
      </c>
      <c r="B779" s="14">
        <f>52.8993 * CHOOSE(CONTROL!$C$15, $E$9, 100%, $G$9) + CHOOSE(CONTROL!$C$38, 0.0256, 0)</f>
        <v>52.924899999999994</v>
      </c>
      <c r="C779" s="14">
        <f>50.0059 * CHOOSE(CONTROL!$C$15, $E$9, 100%, $G$9) + CHOOSE(CONTROL!$C$38, 0.0347, 0)</f>
        <v>50.040599999999998</v>
      </c>
      <c r="D779" s="14">
        <f>49.9981 * CHOOSE(CONTROL!$C$15, $E$9, 100%, $G$9) + CHOOSE(CONTROL!$C$38, 0.0347, 0)</f>
        <v>50.032800000000002</v>
      </c>
      <c r="E779" s="46">
        <f>52.743 * CHOOSE(CONTROL!$C$15, $E$9, 100%, $G$9) + CHOOSE(CONTROL!$C$38, 0.0347, 0)</f>
        <v>52.777700000000003</v>
      </c>
      <c r="F779" s="45">
        <f>52.743 * CHOOSE(CONTROL!$C$15, $E$9, 100%, $G$9) + CHOOSE(CONTROL!$C$38, 0.0256, 0)</f>
        <v>52.768599999999999</v>
      </c>
      <c r="G779" s="14">
        <f>50.0043 * CHOOSE(CONTROL!$C$15, $E$9, 100%, $G$9) + CHOOSE(CONTROL!$C$38, 0.0347, 0)</f>
        <v>50.039000000000001</v>
      </c>
      <c r="H779" s="14">
        <f>50.0043 * CHOOSE(CONTROL!$C$15, $E$9, 100%, $G$9) + CHOOSE(CONTROL!$C$38, 0.0347, 0)</f>
        <v>50.039000000000001</v>
      </c>
      <c r="I779" s="14">
        <f>50.0059 * CHOOSE(CONTROL!$C$15, $E$9, 100%, $G$9) + CHOOSE(CONTROL!$C$38, 0.0347, 0)</f>
        <v>50.040599999999998</v>
      </c>
      <c r="J779" s="44">
        <f>458.4085</f>
        <v>458.4085</v>
      </c>
    </row>
    <row r="780" spans="1:10" ht="15.75" x14ac:dyDescent="0.25">
      <c r="A780" s="32">
        <v>64681</v>
      </c>
      <c r="B780" s="14">
        <f>52.5022 * CHOOSE(CONTROL!$C$15, $E$9, 100%, $G$9) + CHOOSE(CONTROL!$C$38, 0.0256, 0)</f>
        <v>52.527799999999999</v>
      </c>
      <c r="C780" s="14">
        <f>49.6296 * CHOOSE(CONTROL!$C$15, $E$9, 100%, $G$9) + CHOOSE(CONTROL!$C$38, 0.0347, 0)</f>
        <v>49.664300000000004</v>
      </c>
      <c r="D780" s="14">
        <f>49.6218 * CHOOSE(CONTROL!$C$15, $E$9, 100%, $G$9) + CHOOSE(CONTROL!$C$38, 0.0347, 0)</f>
        <v>49.656500000000001</v>
      </c>
      <c r="E780" s="46">
        <f>52.346 * CHOOSE(CONTROL!$C$15, $E$9, 100%, $G$9) + CHOOSE(CONTROL!$C$38, 0.0347, 0)</f>
        <v>52.380699999999997</v>
      </c>
      <c r="F780" s="45">
        <f>52.346 * CHOOSE(CONTROL!$C$15, $E$9, 100%, $G$9) + CHOOSE(CONTROL!$C$38, 0.0256, 0)</f>
        <v>52.371599999999994</v>
      </c>
      <c r="G780" s="14">
        <f>49.6281 * CHOOSE(CONTROL!$C$15, $E$9, 100%, $G$9) + CHOOSE(CONTROL!$C$38, 0.0347, 0)</f>
        <v>49.662800000000004</v>
      </c>
      <c r="H780" s="14">
        <f>49.6281 * CHOOSE(CONTROL!$C$15, $E$9, 100%, $G$9) + CHOOSE(CONTROL!$C$38, 0.0347, 0)</f>
        <v>49.662800000000004</v>
      </c>
      <c r="I780" s="14">
        <f>49.6296 * CHOOSE(CONTROL!$C$15, $E$9, 100%, $G$9) + CHOOSE(CONTROL!$C$38, 0.0347, 0)</f>
        <v>49.664300000000004</v>
      </c>
      <c r="J780" s="44">
        <f>457.8174</f>
        <v>457.81740000000002</v>
      </c>
    </row>
    <row r="781" spans="1:10" ht="15.75" x14ac:dyDescent="0.25">
      <c r="A781" s="32">
        <v>64709</v>
      </c>
      <c r="B781" s="14">
        <f>52.358 * CHOOSE(CONTROL!$C$15, $E$9, 100%, $G$9) + CHOOSE(CONTROL!$C$38, 0.0256, 0)</f>
        <v>52.383599999999994</v>
      </c>
      <c r="C781" s="14">
        <f>49.4929 * CHOOSE(CONTROL!$C$15, $E$9, 100%, $G$9) + CHOOSE(CONTROL!$C$38, 0.0347, 0)</f>
        <v>49.5276</v>
      </c>
      <c r="D781" s="14">
        <f>49.4851 * CHOOSE(CONTROL!$C$15, $E$9, 100%, $G$9) + CHOOSE(CONTROL!$C$38, 0.0347, 0)</f>
        <v>49.519800000000004</v>
      </c>
      <c r="E781" s="46">
        <f>52.2018 * CHOOSE(CONTROL!$C$15, $E$9, 100%, $G$9) + CHOOSE(CONTROL!$C$38, 0.0347, 0)</f>
        <v>52.236499999999999</v>
      </c>
      <c r="F781" s="45">
        <f>52.2018 * CHOOSE(CONTROL!$C$15, $E$9, 100%, $G$9) + CHOOSE(CONTROL!$C$38, 0.0256, 0)</f>
        <v>52.227399999999996</v>
      </c>
      <c r="G781" s="14">
        <f>49.4914 * CHOOSE(CONTROL!$C$15, $E$9, 100%, $G$9) + CHOOSE(CONTROL!$C$38, 0.0347, 0)</f>
        <v>49.5261</v>
      </c>
      <c r="H781" s="14">
        <f>49.4914 * CHOOSE(CONTROL!$C$15, $E$9, 100%, $G$9) + CHOOSE(CONTROL!$C$38, 0.0347, 0)</f>
        <v>49.5261</v>
      </c>
      <c r="I781" s="14">
        <f>49.4929 * CHOOSE(CONTROL!$C$15, $E$9, 100%, $G$9) + CHOOSE(CONTROL!$C$38, 0.0347, 0)</f>
        <v>49.5276</v>
      </c>
      <c r="J781" s="44">
        <f>456.5448</f>
        <v>456.54480000000001</v>
      </c>
    </row>
    <row r="782" spans="1:10" ht="15.75" x14ac:dyDescent="0.25">
      <c r="A782" s="32">
        <v>64740</v>
      </c>
      <c r="B782" s="14">
        <f>55.085 * CHOOSE(CONTROL!$C$15, $E$9, 100%, $G$9) + CHOOSE(CONTROL!$C$38, 0.0256, 0)</f>
        <v>55.110599999999998</v>
      </c>
      <c r="C782" s="14">
        <f>52.0772 * CHOOSE(CONTROL!$C$15, $E$9, 100%, $G$9) + CHOOSE(CONTROL!$C$38, 0.0347, 0)</f>
        <v>52.111899999999999</v>
      </c>
      <c r="D782" s="14">
        <f>52.0694 * CHOOSE(CONTROL!$C$15, $E$9, 100%, $G$9) + CHOOSE(CONTROL!$C$38, 0.0347, 0)</f>
        <v>52.104100000000003</v>
      </c>
      <c r="E782" s="46">
        <f>54.9288 * CHOOSE(CONTROL!$C$15, $E$9, 100%, $G$9) + CHOOSE(CONTROL!$C$38, 0.0347, 0)</f>
        <v>54.963500000000003</v>
      </c>
      <c r="F782" s="45">
        <f>54.9288 * CHOOSE(CONTROL!$C$15, $E$9, 100%, $G$9) + CHOOSE(CONTROL!$C$38, 0.0256, 0)</f>
        <v>54.9544</v>
      </c>
      <c r="G782" s="14">
        <f>52.0756 * CHOOSE(CONTROL!$C$15, $E$9, 100%, $G$9) + CHOOSE(CONTROL!$C$38, 0.0347, 0)</f>
        <v>52.110300000000002</v>
      </c>
      <c r="H782" s="14">
        <f>52.0756 * CHOOSE(CONTROL!$C$15, $E$9, 100%, $G$9) + CHOOSE(CONTROL!$C$38, 0.0347, 0)</f>
        <v>52.110300000000002</v>
      </c>
      <c r="I782" s="14">
        <f>52.0772 * CHOOSE(CONTROL!$C$15, $E$9, 100%, $G$9) + CHOOSE(CONTROL!$C$38, 0.0347, 0)</f>
        <v>52.111899999999999</v>
      </c>
      <c r="J782" s="44">
        <f>480.6074</f>
        <v>480.60739999999998</v>
      </c>
    </row>
    <row r="783" spans="1:10" ht="15.75" x14ac:dyDescent="0.25">
      <c r="A783" s="32">
        <v>64770</v>
      </c>
      <c r="B783" s="14">
        <f>58.6214 * CHOOSE(CONTROL!$C$15, $E$9, 100%, $G$9) + CHOOSE(CONTROL!$C$38, 0.0256, 0)</f>
        <v>58.646999999999998</v>
      </c>
      <c r="C783" s="14">
        <f>55.4284 * CHOOSE(CONTROL!$C$15, $E$9, 100%, $G$9) + CHOOSE(CONTROL!$C$38, 0.0347, 0)</f>
        <v>55.463100000000004</v>
      </c>
      <c r="D783" s="14">
        <f>55.4206 * CHOOSE(CONTROL!$C$15, $E$9, 100%, $G$9) + CHOOSE(CONTROL!$C$38, 0.0347, 0)</f>
        <v>55.455300000000001</v>
      </c>
      <c r="E783" s="46">
        <f>58.4651 * CHOOSE(CONTROL!$C$15, $E$9, 100%, $G$9) + CHOOSE(CONTROL!$C$38, 0.0347, 0)</f>
        <v>58.4998</v>
      </c>
      <c r="F783" s="45">
        <f>58.4651 * CHOOSE(CONTROL!$C$15, $E$9, 100%, $G$9) + CHOOSE(CONTROL!$C$38, 0.0256, 0)</f>
        <v>58.490699999999997</v>
      </c>
      <c r="G783" s="14">
        <f>55.4268 * CHOOSE(CONTROL!$C$15, $E$9, 100%, $G$9) + CHOOSE(CONTROL!$C$38, 0.0347, 0)</f>
        <v>55.461500000000001</v>
      </c>
      <c r="H783" s="14">
        <f>55.4268 * CHOOSE(CONTROL!$C$15, $E$9, 100%, $G$9) + CHOOSE(CONTROL!$C$38, 0.0347, 0)</f>
        <v>55.461500000000001</v>
      </c>
      <c r="I783" s="14">
        <f>55.4284 * CHOOSE(CONTROL!$C$15, $E$9, 100%, $G$9) + CHOOSE(CONTROL!$C$38, 0.0347, 0)</f>
        <v>55.463100000000004</v>
      </c>
      <c r="J783" s="44">
        <f>511.8107</f>
        <v>511.8107</v>
      </c>
    </row>
    <row r="784" spans="1:10" ht="15.75" x14ac:dyDescent="0.25">
      <c r="A784" s="32">
        <v>64801</v>
      </c>
      <c r="B784" s="14">
        <f>60.5679 * CHOOSE(CONTROL!$C$15, $E$9, 100%, $G$9) + CHOOSE(CONTROL!$C$38, 0.0278, 0)</f>
        <v>60.595700000000001</v>
      </c>
      <c r="C784" s="14">
        <f>57.273 * CHOOSE(CONTROL!$C$15, $E$9, 100%, $G$9) + CHOOSE(CONTROL!$C$38, 0.0369, 0)</f>
        <v>57.309900000000006</v>
      </c>
      <c r="D784" s="14">
        <f>57.2652 * CHOOSE(CONTROL!$C$15, $E$9, 100%, $G$9) + CHOOSE(CONTROL!$C$38, 0.0369, 0)</f>
        <v>57.302100000000003</v>
      </c>
      <c r="E784" s="46">
        <f>60.4116 * CHOOSE(CONTROL!$C$15, $E$9, 100%, $G$9) + CHOOSE(CONTROL!$C$38, 0.0369, 0)</f>
        <v>60.448500000000003</v>
      </c>
      <c r="F784" s="45">
        <f>60.4116 * CHOOSE(CONTROL!$C$15, $E$9, 100%, $G$9) + CHOOSE(CONTROL!$C$38, 0.0278, 0)</f>
        <v>60.439399999999999</v>
      </c>
      <c r="G784" s="14">
        <f>57.2714 * CHOOSE(CONTROL!$C$15, $E$9, 100%, $G$9) + CHOOSE(CONTROL!$C$38, 0.0369, 0)</f>
        <v>57.308300000000003</v>
      </c>
      <c r="H784" s="14">
        <f>57.2714 * CHOOSE(CONTROL!$C$15, $E$9, 100%, $G$9) + CHOOSE(CONTROL!$C$38, 0.0369, 0)</f>
        <v>57.308300000000003</v>
      </c>
      <c r="I784" s="14">
        <f>57.273 * CHOOSE(CONTROL!$C$15, $E$9, 100%, $G$9) + CHOOSE(CONTROL!$C$38, 0.0369, 0)</f>
        <v>57.309900000000006</v>
      </c>
      <c r="J784" s="44">
        <f>528.9861</f>
        <v>528.98609999999996</v>
      </c>
    </row>
    <row r="785" spans="1:10" ht="15.75" x14ac:dyDescent="0.25">
      <c r="A785" s="32">
        <v>64831</v>
      </c>
      <c r="B785" s="14">
        <f>61.4317 * CHOOSE(CONTROL!$C$15, $E$9, 100%, $G$9) + CHOOSE(CONTROL!$C$38, 0.0278, 0)</f>
        <v>61.459499999999998</v>
      </c>
      <c r="C785" s="14">
        <f>58.0916 * CHOOSE(CONTROL!$C$15, $E$9, 100%, $G$9) + CHOOSE(CONTROL!$C$38, 0.0369, 0)</f>
        <v>58.128500000000003</v>
      </c>
      <c r="D785" s="14">
        <f>58.0838 * CHOOSE(CONTROL!$C$15, $E$9, 100%, $G$9) + CHOOSE(CONTROL!$C$38, 0.0369, 0)</f>
        <v>58.120699999999999</v>
      </c>
      <c r="E785" s="46">
        <f>61.2754 * CHOOSE(CONTROL!$C$15, $E$9, 100%, $G$9) + CHOOSE(CONTROL!$C$38, 0.0369, 0)</f>
        <v>61.3123</v>
      </c>
      <c r="F785" s="45">
        <f>61.2754 * CHOOSE(CONTROL!$C$15, $E$9, 100%, $G$9) + CHOOSE(CONTROL!$C$38, 0.0278, 0)</f>
        <v>61.303199999999997</v>
      </c>
      <c r="G785" s="14">
        <f>58.09 * CHOOSE(CONTROL!$C$15, $E$9, 100%, $G$9) + CHOOSE(CONTROL!$C$38, 0.0369, 0)</f>
        <v>58.126900000000006</v>
      </c>
      <c r="H785" s="14">
        <f>58.09 * CHOOSE(CONTROL!$C$15, $E$9, 100%, $G$9) + CHOOSE(CONTROL!$C$38, 0.0369, 0)</f>
        <v>58.126900000000006</v>
      </c>
      <c r="I785" s="14">
        <f>58.0916 * CHOOSE(CONTROL!$C$15, $E$9, 100%, $G$9) + CHOOSE(CONTROL!$C$38, 0.0369, 0)</f>
        <v>58.128500000000003</v>
      </c>
      <c r="J785" s="44">
        <f>536.6082</f>
        <v>536.60820000000001</v>
      </c>
    </row>
    <row r="786" spans="1:10" ht="15.75" x14ac:dyDescent="0.25">
      <c r="A786" s="32">
        <v>64862</v>
      </c>
      <c r="B786" s="14">
        <f>61.1473 * CHOOSE(CONTROL!$C$15, $E$9, 100%, $G$9) + CHOOSE(CONTROL!$C$38, 0.0278, 0)</f>
        <v>61.1751</v>
      </c>
      <c r="C786" s="14">
        <f>57.8221 * CHOOSE(CONTROL!$C$15, $E$9, 100%, $G$9) + CHOOSE(CONTROL!$C$38, 0.0369, 0)</f>
        <v>57.859000000000002</v>
      </c>
      <c r="D786" s="14">
        <f>57.8143 * CHOOSE(CONTROL!$C$15, $E$9, 100%, $G$9) + CHOOSE(CONTROL!$C$38, 0.0369, 0)</f>
        <v>57.851200000000006</v>
      </c>
      <c r="E786" s="46">
        <f>60.991 * CHOOSE(CONTROL!$C$15, $E$9, 100%, $G$9) + CHOOSE(CONTROL!$C$38, 0.0369, 0)</f>
        <v>61.027900000000002</v>
      </c>
      <c r="F786" s="45">
        <f>60.991 * CHOOSE(CONTROL!$C$15, $E$9, 100%, $G$9) + CHOOSE(CONTROL!$C$38, 0.0278, 0)</f>
        <v>61.018799999999999</v>
      </c>
      <c r="G786" s="14">
        <f>57.8205 * CHOOSE(CONTROL!$C$15, $E$9, 100%, $G$9) + CHOOSE(CONTROL!$C$38, 0.0369, 0)</f>
        <v>57.857400000000005</v>
      </c>
      <c r="H786" s="14">
        <f>57.8205 * CHOOSE(CONTROL!$C$15, $E$9, 100%, $G$9) + CHOOSE(CONTROL!$C$38, 0.0369, 0)</f>
        <v>57.857400000000005</v>
      </c>
      <c r="I786" s="14">
        <f>57.8221 * CHOOSE(CONTROL!$C$15, $E$9, 100%, $G$9) + CHOOSE(CONTROL!$C$38, 0.0369, 0)</f>
        <v>57.859000000000002</v>
      </c>
      <c r="J786" s="44">
        <f>534.0987</f>
        <v>534.09870000000001</v>
      </c>
    </row>
    <row r="787" spans="1:10" ht="15.75" x14ac:dyDescent="0.25">
      <c r="A787" s="32">
        <v>64893</v>
      </c>
      <c r="B787" s="14">
        <f>59.7382 * CHOOSE(CONTROL!$C$15, $E$9, 100%, $G$9) + CHOOSE(CONTROL!$C$38, 0.0278, 0)</f>
        <v>59.765999999999998</v>
      </c>
      <c r="C787" s="14">
        <f>56.4867 * CHOOSE(CONTROL!$C$15, $E$9, 100%, $G$9) + CHOOSE(CONTROL!$C$38, 0.0369, 0)</f>
        <v>56.523600000000002</v>
      </c>
      <c r="D787" s="14">
        <f>56.4789 * CHOOSE(CONTROL!$C$15, $E$9, 100%, $G$9) + CHOOSE(CONTROL!$C$38, 0.0369, 0)</f>
        <v>56.515800000000006</v>
      </c>
      <c r="E787" s="46">
        <f>59.5819 * CHOOSE(CONTROL!$C$15, $E$9, 100%, $G$9) + CHOOSE(CONTROL!$C$38, 0.0369, 0)</f>
        <v>59.6188</v>
      </c>
      <c r="F787" s="45">
        <f>59.5819 * CHOOSE(CONTROL!$C$15, $E$9, 100%, $G$9) + CHOOSE(CONTROL!$C$38, 0.0278, 0)</f>
        <v>59.609699999999997</v>
      </c>
      <c r="G787" s="14">
        <f>56.4852 * CHOOSE(CONTROL!$C$15, $E$9, 100%, $G$9) + CHOOSE(CONTROL!$C$38, 0.0369, 0)</f>
        <v>56.522100000000002</v>
      </c>
      <c r="H787" s="14">
        <f>56.4852 * CHOOSE(CONTROL!$C$15, $E$9, 100%, $G$9) + CHOOSE(CONTROL!$C$38, 0.0369, 0)</f>
        <v>56.522100000000002</v>
      </c>
      <c r="I787" s="14">
        <f>56.4867 * CHOOSE(CONTROL!$C$15, $E$9, 100%, $G$9) + CHOOSE(CONTROL!$C$38, 0.0369, 0)</f>
        <v>56.523600000000002</v>
      </c>
      <c r="J787" s="44">
        <f>521.6651</f>
        <v>521.66510000000005</v>
      </c>
    </row>
    <row r="788" spans="1:10" ht="15.75" x14ac:dyDescent="0.25">
      <c r="A788" s="32">
        <v>64923</v>
      </c>
      <c r="B788" s="14">
        <f>57.7731 * CHOOSE(CONTROL!$C$15, $E$9, 100%, $G$9) + CHOOSE(CONTROL!$C$38, 0.0278, 0)</f>
        <v>57.800899999999999</v>
      </c>
      <c r="C788" s="14">
        <f>54.6245 * CHOOSE(CONTROL!$C$15, $E$9, 100%, $G$9) + CHOOSE(CONTROL!$C$38, 0.0369, 0)</f>
        <v>54.6614</v>
      </c>
      <c r="D788" s="14">
        <f>54.6167 * CHOOSE(CONTROL!$C$15, $E$9, 100%, $G$9) + CHOOSE(CONTROL!$C$38, 0.0369, 0)</f>
        <v>54.653600000000004</v>
      </c>
      <c r="E788" s="46">
        <f>57.6168 * CHOOSE(CONTROL!$C$15, $E$9, 100%, $G$9) + CHOOSE(CONTROL!$C$38, 0.0369, 0)</f>
        <v>57.653700000000001</v>
      </c>
      <c r="F788" s="45">
        <f>57.6168 * CHOOSE(CONTROL!$C$15, $E$9, 100%, $G$9) + CHOOSE(CONTROL!$C$38, 0.0278, 0)</f>
        <v>57.644599999999997</v>
      </c>
      <c r="G788" s="14">
        <f>54.623 * CHOOSE(CONTROL!$C$15, $E$9, 100%, $G$9) + CHOOSE(CONTROL!$C$38, 0.0369, 0)</f>
        <v>54.6599</v>
      </c>
      <c r="H788" s="14">
        <f>54.623 * CHOOSE(CONTROL!$C$15, $E$9, 100%, $G$9) + CHOOSE(CONTROL!$C$38, 0.0369, 0)</f>
        <v>54.6599</v>
      </c>
      <c r="I788" s="14">
        <f>54.6245 * CHOOSE(CONTROL!$C$15, $E$9, 100%, $G$9) + CHOOSE(CONTROL!$C$38, 0.0369, 0)</f>
        <v>54.6614</v>
      </c>
      <c r="J788" s="44">
        <f>504.3258</f>
        <v>504.32580000000002</v>
      </c>
    </row>
    <row r="789" spans="1:10" ht="15.75" x14ac:dyDescent="0.25">
      <c r="A789" s="32">
        <v>64954</v>
      </c>
      <c r="B789" s="14">
        <f>55.7966 * CHOOSE(CONTROL!$C$15, $E$9, 100%, $G$9) + CHOOSE(CONTROL!$C$38, 0.0256, 0)</f>
        <v>55.822199999999995</v>
      </c>
      <c r="C789" s="14">
        <f>52.7515 * CHOOSE(CONTROL!$C$15, $E$9, 100%, $G$9) + CHOOSE(CONTROL!$C$38, 0.0347, 0)</f>
        <v>52.786200000000001</v>
      </c>
      <c r="D789" s="14">
        <f>52.7437 * CHOOSE(CONTROL!$C$15, $E$9, 100%, $G$9) + CHOOSE(CONTROL!$C$38, 0.0347, 0)</f>
        <v>52.778399999999998</v>
      </c>
      <c r="E789" s="46">
        <f>55.6403 * CHOOSE(CONTROL!$C$15, $E$9, 100%, $G$9) + CHOOSE(CONTROL!$C$38, 0.0347, 0)</f>
        <v>55.675000000000004</v>
      </c>
      <c r="F789" s="45">
        <f>55.6403 * CHOOSE(CONTROL!$C$15, $E$9, 100%, $G$9) + CHOOSE(CONTROL!$C$38, 0.0256, 0)</f>
        <v>55.665900000000001</v>
      </c>
      <c r="G789" s="14">
        <f>52.7499 * CHOOSE(CONTROL!$C$15, $E$9, 100%, $G$9) + CHOOSE(CONTROL!$C$38, 0.0347, 0)</f>
        <v>52.784599999999998</v>
      </c>
      <c r="H789" s="14">
        <f>52.7499 * CHOOSE(CONTROL!$C$15, $E$9, 100%, $G$9) + CHOOSE(CONTROL!$C$38, 0.0347, 0)</f>
        <v>52.784599999999998</v>
      </c>
      <c r="I789" s="14">
        <f>52.7515 * CHOOSE(CONTROL!$C$15, $E$9, 100%, $G$9) + CHOOSE(CONTROL!$C$38, 0.0347, 0)</f>
        <v>52.786200000000001</v>
      </c>
      <c r="J789" s="44">
        <f>486.8857</f>
        <v>486.88569999999999</v>
      </c>
    </row>
    <row r="790" spans="1:10" ht="15.75" x14ac:dyDescent="0.25">
      <c r="A790" s="32">
        <v>64984</v>
      </c>
      <c r="B790" s="14">
        <f>55.4034 * CHOOSE(CONTROL!$C$15, $E$9, 100%, $G$9) + CHOOSE(CONTROL!$C$38, 0.0256, 0)</f>
        <v>55.428999999999995</v>
      </c>
      <c r="C790" s="14">
        <f>52.3789 * CHOOSE(CONTROL!$C$15, $E$9, 100%, $G$9) + CHOOSE(CONTROL!$C$38, 0.0347, 0)</f>
        <v>52.413600000000002</v>
      </c>
      <c r="D790" s="14">
        <f>52.3711 * CHOOSE(CONTROL!$C$15, $E$9, 100%, $G$9) + CHOOSE(CONTROL!$C$38, 0.0347, 0)</f>
        <v>52.405799999999999</v>
      </c>
      <c r="E790" s="46">
        <f>55.2472 * CHOOSE(CONTROL!$C$15, $E$9, 100%, $G$9) + CHOOSE(CONTROL!$C$38, 0.0347, 0)</f>
        <v>55.2819</v>
      </c>
      <c r="F790" s="45">
        <f>55.2472 * CHOOSE(CONTROL!$C$15, $E$9, 100%, $G$9) + CHOOSE(CONTROL!$C$38, 0.0256, 0)</f>
        <v>55.272799999999997</v>
      </c>
      <c r="G790" s="14">
        <f>52.3773 * CHOOSE(CONTROL!$C$15, $E$9, 100%, $G$9) + CHOOSE(CONTROL!$C$38, 0.0347, 0)</f>
        <v>52.411999999999999</v>
      </c>
      <c r="H790" s="14">
        <f>52.3773 * CHOOSE(CONTROL!$C$15, $E$9, 100%, $G$9) + CHOOSE(CONTROL!$C$38, 0.0347, 0)</f>
        <v>52.411999999999999</v>
      </c>
      <c r="I790" s="14">
        <f>52.3789 * CHOOSE(CONTROL!$C$15, $E$9, 100%, $G$9) + CHOOSE(CONTROL!$C$38, 0.0347, 0)</f>
        <v>52.413600000000002</v>
      </c>
      <c r="J790" s="44">
        <f>483.4165</f>
        <v>483.41649999999998</v>
      </c>
    </row>
    <row r="791" spans="1:10" ht="15.75" x14ac:dyDescent="0.25">
      <c r="A791" s="32">
        <v>65015</v>
      </c>
      <c r="B791" s="14">
        <f>53.7776 * CHOOSE(CONTROL!$C$15, $E$9, 100%, $G$9) + CHOOSE(CONTROL!$C$38, 0.0256, 0)</f>
        <v>53.803199999999997</v>
      </c>
      <c r="C791" s="14">
        <f>50.8382 * CHOOSE(CONTROL!$C$15, $E$9, 100%, $G$9) + CHOOSE(CONTROL!$C$38, 0.0347, 0)</f>
        <v>50.872900000000001</v>
      </c>
      <c r="D791" s="14">
        <f>50.8304 * CHOOSE(CONTROL!$C$15, $E$9, 100%, $G$9) + CHOOSE(CONTROL!$C$38, 0.0347, 0)</f>
        <v>50.865099999999998</v>
      </c>
      <c r="E791" s="46">
        <f>53.6214 * CHOOSE(CONTROL!$C$15, $E$9, 100%, $G$9) + CHOOSE(CONTROL!$C$38, 0.0347, 0)</f>
        <v>53.656100000000002</v>
      </c>
      <c r="F791" s="45">
        <f>53.6214 * CHOOSE(CONTROL!$C$15, $E$9, 100%, $G$9) + CHOOSE(CONTROL!$C$38, 0.0256, 0)</f>
        <v>53.646999999999998</v>
      </c>
      <c r="G791" s="14">
        <f>50.8367 * CHOOSE(CONTROL!$C$15, $E$9, 100%, $G$9) + CHOOSE(CONTROL!$C$38, 0.0347, 0)</f>
        <v>50.871400000000001</v>
      </c>
      <c r="H791" s="14">
        <f>50.8367 * CHOOSE(CONTROL!$C$15, $E$9, 100%, $G$9) + CHOOSE(CONTROL!$C$38, 0.0347, 0)</f>
        <v>50.871400000000001</v>
      </c>
      <c r="I791" s="14">
        <f>50.8382 * CHOOSE(CONTROL!$C$15, $E$9, 100%, $G$9) + CHOOSE(CONTROL!$C$38, 0.0347, 0)</f>
        <v>50.872900000000001</v>
      </c>
      <c r="J791" s="44">
        <f>469.0711</f>
        <v>469.0711</v>
      </c>
    </row>
    <row r="792" spans="1:10" ht="15.75" x14ac:dyDescent="0.25">
      <c r="A792" s="32">
        <v>65046</v>
      </c>
      <c r="B792" s="14">
        <f>53.3739 * CHOOSE(CONTROL!$C$15, $E$9, 100%, $G$9) + CHOOSE(CONTROL!$C$38, 0.0256, 0)</f>
        <v>53.399499999999996</v>
      </c>
      <c r="C792" s="14">
        <f>50.4556 * CHOOSE(CONTROL!$C$15, $E$9, 100%, $G$9) + CHOOSE(CONTROL!$C$38, 0.0347, 0)</f>
        <v>50.490299999999998</v>
      </c>
      <c r="D792" s="14">
        <f>50.4478 * CHOOSE(CONTROL!$C$15, $E$9, 100%, $G$9) + CHOOSE(CONTROL!$C$38, 0.0347, 0)</f>
        <v>50.482500000000002</v>
      </c>
      <c r="E792" s="46">
        <f>53.2176 * CHOOSE(CONTROL!$C$15, $E$9, 100%, $G$9) + CHOOSE(CONTROL!$C$38, 0.0347, 0)</f>
        <v>53.252299999999998</v>
      </c>
      <c r="F792" s="45">
        <f>53.2176 * CHOOSE(CONTROL!$C$15, $E$9, 100%, $G$9) + CHOOSE(CONTROL!$C$38, 0.0256, 0)</f>
        <v>53.243199999999995</v>
      </c>
      <c r="G792" s="14">
        <f>50.4541 * CHOOSE(CONTROL!$C$15, $E$9, 100%, $G$9) + CHOOSE(CONTROL!$C$38, 0.0347, 0)</f>
        <v>50.488799999999998</v>
      </c>
      <c r="H792" s="14">
        <f>50.4541 * CHOOSE(CONTROL!$C$15, $E$9, 100%, $G$9) + CHOOSE(CONTROL!$C$38, 0.0347, 0)</f>
        <v>50.488799999999998</v>
      </c>
      <c r="I792" s="14">
        <f>50.4556 * CHOOSE(CONTROL!$C$15, $E$9, 100%, $G$9) + CHOOSE(CONTROL!$C$38, 0.0347, 0)</f>
        <v>50.490299999999998</v>
      </c>
      <c r="J792" s="44">
        <f>468.4662</f>
        <v>468.46620000000001</v>
      </c>
    </row>
    <row r="793" spans="1:10" ht="15.75" x14ac:dyDescent="0.25">
      <c r="A793" s="32">
        <v>65074</v>
      </c>
      <c r="B793" s="14">
        <f>53.2272 * CHOOSE(CONTROL!$C$15, $E$9, 100%, $G$9) + CHOOSE(CONTROL!$C$38, 0.0256, 0)</f>
        <v>53.252800000000001</v>
      </c>
      <c r="C793" s="14">
        <f>50.3167 * CHOOSE(CONTROL!$C$15, $E$9, 100%, $G$9) + CHOOSE(CONTROL!$C$38, 0.0347, 0)</f>
        <v>50.351399999999998</v>
      </c>
      <c r="D793" s="14">
        <f>50.3089 * CHOOSE(CONTROL!$C$15, $E$9, 100%, $G$9) + CHOOSE(CONTROL!$C$38, 0.0347, 0)</f>
        <v>50.343600000000002</v>
      </c>
      <c r="E793" s="46">
        <f>53.071 * CHOOSE(CONTROL!$C$15, $E$9, 100%, $G$9) + CHOOSE(CONTROL!$C$38, 0.0347, 0)</f>
        <v>53.105699999999999</v>
      </c>
      <c r="F793" s="45">
        <f>53.071 * CHOOSE(CONTROL!$C$15, $E$9, 100%, $G$9) + CHOOSE(CONTROL!$C$38, 0.0256, 0)</f>
        <v>53.096599999999995</v>
      </c>
      <c r="G793" s="14">
        <f>50.3151 * CHOOSE(CONTROL!$C$15, $E$9, 100%, $G$9) + CHOOSE(CONTROL!$C$38, 0.0347, 0)</f>
        <v>50.349800000000002</v>
      </c>
      <c r="H793" s="14">
        <f>50.3151 * CHOOSE(CONTROL!$C$15, $E$9, 100%, $G$9) + CHOOSE(CONTROL!$C$38, 0.0347, 0)</f>
        <v>50.349800000000002</v>
      </c>
      <c r="I793" s="14">
        <f>50.3167 * CHOOSE(CONTROL!$C$15, $E$9, 100%, $G$9) + CHOOSE(CONTROL!$C$38, 0.0347, 0)</f>
        <v>50.351399999999998</v>
      </c>
      <c r="J793" s="44">
        <f>467.164</f>
        <v>467.16399999999999</v>
      </c>
    </row>
    <row r="794" spans="1:10" ht="15.75" x14ac:dyDescent="0.25">
      <c r="A794" s="32">
        <v>65105</v>
      </c>
      <c r="B794" s="14">
        <f>56.0001 * CHOOSE(CONTROL!$C$15, $E$9, 100%, $G$9) + CHOOSE(CONTROL!$C$38, 0.0256, 0)</f>
        <v>56.025700000000001</v>
      </c>
      <c r="C794" s="14">
        <f>52.9444 * CHOOSE(CONTROL!$C$15, $E$9, 100%, $G$9) + CHOOSE(CONTROL!$C$38, 0.0347, 0)</f>
        <v>52.979100000000003</v>
      </c>
      <c r="D794" s="14">
        <f>52.9365 * CHOOSE(CONTROL!$C$15, $E$9, 100%, $G$9) + CHOOSE(CONTROL!$C$38, 0.0347, 0)</f>
        <v>52.971200000000003</v>
      </c>
      <c r="E794" s="46">
        <f>55.8438 * CHOOSE(CONTROL!$C$15, $E$9, 100%, $G$9) + CHOOSE(CONTROL!$C$38, 0.0347, 0)</f>
        <v>55.878500000000003</v>
      </c>
      <c r="F794" s="45">
        <f>55.8438 * CHOOSE(CONTROL!$C$15, $E$9, 100%, $G$9) + CHOOSE(CONTROL!$C$38, 0.0256, 0)</f>
        <v>55.869399999999999</v>
      </c>
      <c r="G794" s="14">
        <f>52.9428 * CHOOSE(CONTROL!$C$15, $E$9, 100%, $G$9) + CHOOSE(CONTROL!$C$38, 0.0347, 0)</f>
        <v>52.977499999999999</v>
      </c>
      <c r="H794" s="14">
        <f>52.9428 * CHOOSE(CONTROL!$C$15, $E$9, 100%, $G$9) + CHOOSE(CONTROL!$C$38, 0.0347, 0)</f>
        <v>52.977499999999999</v>
      </c>
      <c r="I794" s="14">
        <f>52.9444 * CHOOSE(CONTROL!$C$15, $E$9, 100%, $G$9) + CHOOSE(CONTROL!$C$38, 0.0347, 0)</f>
        <v>52.979100000000003</v>
      </c>
      <c r="J794" s="44">
        <f>491.7863</f>
        <v>491.78629999999998</v>
      </c>
    </row>
    <row r="795" spans="1:10" ht="15.75" x14ac:dyDescent="0.25">
      <c r="A795" s="32">
        <v>65135</v>
      </c>
      <c r="B795" s="14">
        <f>59.5958 * CHOOSE(CONTROL!$C$15, $E$9, 100%, $G$9) + CHOOSE(CONTROL!$C$38, 0.0256, 0)</f>
        <v>59.621399999999994</v>
      </c>
      <c r="C795" s="14">
        <f>56.3518 * CHOOSE(CONTROL!$C$15, $E$9, 100%, $G$9) + CHOOSE(CONTROL!$C$38, 0.0347, 0)</f>
        <v>56.386499999999998</v>
      </c>
      <c r="D795" s="14">
        <f>56.344 * CHOOSE(CONTROL!$C$15, $E$9, 100%, $G$9) + CHOOSE(CONTROL!$C$38, 0.0347, 0)</f>
        <v>56.378700000000002</v>
      </c>
      <c r="E795" s="46">
        <f>59.4396 * CHOOSE(CONTROL!$C$15, $E$9, 100%, $G$9) + CHOOSE(CONTROL!$C$38, 0.0347, 0)</f>
        <v>59.474299999999999</v>
      </c>
      <c r="F795" s="45">
        <f>59.4396 * CHOOSE(CONTROL!$C$15, $E$9, 100%, $G$9) + CHOOSE(CONTROL!$C$38, 0.0256, 0)</f>
        <v>59.465199999999996</v>
      </c>
      <c r="G795" s="14">
        <f>56.3503 * CHOOSE(CONTROL!$C$15, $E$9, 100%, $G$9) + CHOOSE(CONTROL!$C$38, 0.0347, 0)</f>
        <v>56.384999999999998</v>
      </c>
      <c r="H795" s="14">
        <f>56.3503 * CHOOSE(CONTROL!$C$15, $E$9, 100%, $G$9) + CHOOSE(CONTROL!$C$38, 0.0347, 0)</f>
        <v>56.384999999999998</v>
      </c>
      <c r="I795" s="14">
        <f>56.3518 * CHOOSE(CONTROL!$C$15, $E$9, 100%, $G$9) + CHOOSE(CONTROL!$C$38, 0.0347, 0)</f>
        <v>56.386499999999998</v>
      </c>
      <c r="J795" s="44">
        <f>523.7155</f>
        <v>523.71550000000002</v>
      </c>
    </row>
    <row r="796" spans="1:10" ht="15.75" x14ac:dyDescent="0.25">
      <c r="A796" s="32">
        <v>65166</v>
      </c>
      <c r="B796" s="14">
        <f>61.575 * CHOOSE(CONTROL!$C$15, $E$9, 100%, $G$9) + CHOOSE(CONTROL!$C$38, 0.0278, 0)</f>
        <v>61.602800000000002</v>
      </c>
      <c r="C796" s="14">
        <f>58.2274 * CHOOSE(CONTROL!$C$15, $E$9, 100%, $G$9) + CHOOSE(CONTROL!$C$38, 0.0369, 0)</f>
        <v>58.264300000000006</v>
      </c>
      <c r="D796" s="14">
        <f>58.2196 * CHOOSE(CONTROL!$C$15, $E$9, 100%, $G$9) + CHOOSE(CONTROL!$C$38, 0.0369, 0)</f>
        <v>58.256500000000003</v>
      </c>
      <c r="E796" s="46">
        <f>61.4188 * CHOOSE(CONTROL!$C$15, $E$9, 100%, $G$9) + CHOOSE(CONTROL!$C$38, 0.0369, 0)</f>
        <v>61.4557</v>
      </c>
      <c r="F796" s="45">
        <f>61.4188 * CHOOSE(CONTROL!$C$15, $E$9, 100%, $G$9) + CHOOSE(CONTROL!$C$38, 0.0278, 0)</f>
        <v>61.446599999999997</v>
      </c>
      <c r="G796" s="14">
        <f>58.2259 * CHOOSE(CONTROL!$C$15, $E$9, 100%, $G$9) + CHOOSE(CONTROL!$C$38, 0.0369, 0)</f>
        <v>58.262800000000006</v>
      </c>
      <c r="H796" s="14">
        <f>58.2259 * CHOOSE(CONTROL!$C$15, $E$9, 100%, $G$9) + CHOOSE(CONTROL!$C$38, 0.0369, 0)</f>
        <v>58.262800000000006</v>
      </c>
      <c r="I796" s="14">
        <f>58.2274 * CHOOSE(CONTROL!$C$15, $E$9, 100%, $G$9) + CHOOSE(CONTROL!$C$38, 0.0369, 0)</f>
        <v>58.264300000000006</v>
      </c>
      <c r="J796" s="44">
        <f>541.2903</f>
        <v>541.2903</v>
      </c>
    </row>
    <row r="797" spans="1:10" ht="15.75" x14ac:dyDescent="0.25">
      <c r="A797" s="32">
        <v>65196</v>
      </c>
      <c r="B797" s="14">
        <f>62.4534 * CHOOSE(CONTROL!$C$15, $E$9, 100%, $G$9) + CHOOSE(CONTROL!$C$38, 0.0278, 0)</f>
        <v>62.481200000000001</v>
      </c>
      <c r="C797" s="14">
        <f>59.0598 * CHOOSE(CONTROL!$C$15, $E$9, 100%, $G$9) + CHOOSE(CONTROL!$C$38, 0.0369, 0)</f>
        <v>59.096700000000006</v>
      </c>
      <c r="D797" s="14">
        <f>59.052 * CHOOSE(CONTROL!$C$15, $E$9, 100%, $G$9) + CHOOSE(CONTROL!$C$38, 0.0369, 0)</f>
        <v>59.088900000000002</v>
      </c>
      <c r="E797" s="46">
        <f>62.2971 * CHOOSE(CONTROL!$C$15, $E$9, 100%, $G$9) + CHOOSE(CONTROL!$C$38, 0.0369, 0)</f>
        <v>62.334000000000003</v>
      </c>
      <c r="F797" s="45">
        <f>62.2971 * CHOOSE(CONTROL!$C$15, $E$9, 100%, $G$9) + CHOOSE(CONTROL!$C$38, 0.0278, 0)</f>
        <v>62.3249</v>
      </c>
      <c r="G797" s="14">
        <f>59.0582 * CHOOSE(CONTROL!$C$15, $E$9, 100%, $G$9) + CHOOSE(CONTROL!$C$38, 0.0369, 0)</f>
        <v>59.095100000000002</v>
      </c>
      <c r="H797" s="14">
        <f>59.0582 * CHOOSE(CONTROL!$C$15, $E$9, 100%, $G$9) + CHOOSE(CONTROL!$C$38, 0.0369, 0)</f>
        <v>59.095100000000002</v>
      </c>
      <c r="I797" s="14">
        <f>59.0598 * CHOOSE(CONTROL!$C$15, $E$9, 100%, $G$9) + CHOOSE(CONTROL!$C$38, 0.0369, 0)</f>
        <v>59.096700000000006</v>
      </c>
      <c r="J797" s="44">
        <f>549.0897</f>
        <v>549.08969999999999</v>
      </c>
    </row>
    <row r="798" spans="1:10" ht="15.75" x14ac:dyDescent="0.25">
      <c r="A798" s="32">
        <v>65227</v>
      </c>
      <c r="B798" s="14">
        <f>62.1642 * CHOOSE(CONTROL!$C$15, $E$9, 100%, $G$9) + CHOOSE(CONTROL!$C$38, 0.0278, 0)</f>
        <v>62.192</v>
      </c>
      <c r="C798" s="14">
        <f>58.7857 * CHOOSE(CONTROL!$C$15, $E$9, 100%, $G$9) + CHOOSE(CONTROL!$C$38, 0.0369, 0)</f>
        <v>58.822600000000001</v>
      </c>
      <c r="D798" s="14">
        <f>58.7779 * CHOOSE(CONTROL!$C$15, $E$9, 100%, $G$9) + CHOOSE(CONTROL!$C$38, 0.0369, 0)</f>
        <v>58.814800000000005</v>
      </c>
      <c r="E798" s="46">
        <f>62.0079 * CHOOSE(CONTROL!$C$15, $E$9, 100%, $G$9) + CHOOSE(CONTROL!$C$38, 0.0369, 0)</f>
        <v>62.044800000000002</v>
      </c>
      <c r="F798" s="45">
        <f>62.0079 * CHOOSE(CONTROL!$C$15, $E$9, 100%, $G$9) + CHOOSE(CONTROL!$C$38, 0.0278, 0)</f>
        <v>62.035699999999999</v>
      </c>
      <c r="G798" s="14">
        <f>58.7842 * CHOOSE(CONTROL!$C$15, $E$9, 100%, $G$9) + CHOOSE(CONTROL!$C$38, 0.0369, 0)</f>
        <v>58.821100000000001</v>
      </c>
      <c r="H798" s="14">
        <f>58.7842 * CHOOSE(CONTROL!$C$15, $E$9, 100%, $G$9) + CHOOSE(CONTROL!$C$38, 0.0369, 0)</f>
        <v>58.821100000000001</v>
      </c>
      <c r="I798" s="14">
        <f>58.7857 * CHOOSE(CONTROL!$C$15, $E$9, 100%, $G$9) + CHOOSE(CONTROL!$C$38, 0.0369, 0)</f>
        <v>58.822600000000001</v>
      </c>
      <c r="J798" s="44">
        <f>546.5218</f>
        <v>546.52179999999998</v>
      </c>
    </row>
    <row r="799" spans="1:10" ht="15.75" x14ac:dyDescent="0.25">
      <c r="A799" s="32">
        <v>65258</v>
      </c>
      <c r="B799" s="14">
        <f>60.7314 * CHOOSE(CONTROL!$C$15, $E$9, 100%, $G$9) + CHOOSE(CONTROL!$C$38, 0.0278, 0)</f>
        <v>60.7592</v>
      </c>
      <c r="C799" s="14">
        <f>57.4279 * CHOOSE(CONTROL!$C$15, $E$9, 100%, $G$9) + CHOOSE(CONTROL!$C$38, 0.0369, 0)</f>
        <v>57.464800000000004</v>
      </c>
      <c r="D799" s="14">
        <f>57.4201 * CHOOSE(CONTROL!$C$15, $E$9, 100%, $G$9) + CHOOSE(CONTROL!$C$38, 0.0369, 0)</f>
        <v>57.457000000000001</v>
      </c>
      <c r="E799" s="46">
        <f>60.5751 * CHOOSE(CONTROL!$C$15, $E$9, 100%, $G$9) + CHOOSE(CONTROL!$C$38, 0.0369, 0)</f>
        <v>60.612000000000002</v>
      </c>
      <c r="F799" s="45">
        <f>60.5751 * CHOOSE(CONTROL!$C$15, $E$9, 100%, $G$9) + CHOOSE(CONTROL!$C$38, 0.0278, 0)</f>
        <v>60.602899999999998</v>
      </c>
      <c r="G799" s="14">
        <f>57.4264 * CHOOSE(CONTROL!$C$15, $E$9, 100%, $G$9) + CHOOSE(CONTROL!$C$38, 0.0369, 0)</f>
        <v>57.463300000000004</v>
      </c>
      <c r="H799" s="14">
        <f>57.4264 * CHOOSE(CONTROL!$C$15, $E$9, 100%, $G$9) + CHOOSE(CONTROL!$C$38, 0.0369, 0)</f>
        <v>57.463300000000004</v>
      </c>
      <c r="I799" s="14">
        <f>57.4279 * CHOOSE(CONTROL!$C$15, $E$9, 100%, $G$9) + CHOOSE(CONTROL!$C$38, 0.0369, 0)</f>
        <v>57.464800000000004</v>
      </c>
      <c r="J799" s="44">
        <f>533.799</f>
        <v>533.79899999999998</v>
      </c>
    </row>
    <row r="800" spans="1:10" ht="15.75" x14ac:dyDescent="0.25">
      <c r="A800" s="32">
        <v>65288</v>
      </c>
      <c r="B800" s="14">
        <f>58.7333 * CHOOSE(CONTROL!$C$15, $E$9, 100%, $G$9) + CHOOSE(CONTROL!$C$38, 0.0278, 0)</f>
        <v>58.761099999999999</v>
      </c>
      <c r="C800" s="14">
        <f>55.5345 * CHOOSE(CONTROL!$C$15, $E$9, 100%, $G$9) + CHOOSE(CONTROL!$C$38, 0.0369, 0)</f>
        <v>55.571400000000004</v>
      </c>
      <c r="D800" s="14">
        <f>55.5266 * CHOOSE(CONTROL!$C$15, $E$9, 100%, $G$9) + CHOOSE(CONTROL!$C$38, 0.0369, 0)</f>
        <v>55.563500000000005</v>
      </c>
      <c r="E800" s="46">
        <f>58.577 * CHOOSE(CONTROL!$C$15, $E$9, 100%, $G$9) + CHOOSE(CONTROL!$C$38, 0.0369, 0)</f>
        <v>58.613900000000001</v>
      </c>
      <c r="F800" s="45">
        <f>58.577 * CHOOSE(CONTROL!$C$15, $E$9, 100%, $G$9) + CHOOSE(CONTROL!$C$38, 0.0278, 0)</f>
        <v>58.604799999999997</v>
      </c>
      <c r="G800" s="14">
        <f>55.5329 * CHOOSE(CONTROL!$C$15, $E$9, 100%, $G$9) + CHOOSE(CONTROL!$C$38, 0.0369, 0)</f>
        <v>55.569800000000001</v>
      </c>
      <c r="H800" s="14">
        <f>55.5329 * CHOOSE(CONTROL!$C$15, $E$9, 100%, $G$9) + CHOOSE(CONTROL!$C$38, 0.0369, 0)</f>
        <v>55.569800000000001</v>
      </c>
      <c r="I800" s="14">
        <f>55.5345 * CHOOSE(CONTROL!$C$15, $E$9, 100%, $G$9) + CHOOSE(CONTROL!$C$38, 0.0369, 0)</f>
        <v>55.571400000000004</v>
      </c>
      <c r="J800" s="44">
        <f>516.0564</f>
        <v>516.05640000000005</v>
      </c>
    </row>
    <row r="801" spans="1:10" ht="15.75" x14ac:dyDescent="0.25">
      <c r="A801" s="32">
        <v>65319</v>
      </c>
      <c r="B801" s="14">
        <f>56.7236 * CHOOSE(CONTROL!$C$15, $E$9, 100%, $G$9) + CHOOSE(CONTROL!$C$38, 0.0256, 0)</f>
        <v>56.749199999999995</v>
      </c>
      <c r="C801" s="14">
        <f>53.63 * CHOOSE(CONTROL!$C$15, $E$9, 100%, $G$9) + CHOOSE(CONTROL!$C$38, 0.0347, 0)</f>
        <v>53.664700000000003</v>
      </c>
      <c r="D801" s="14">
        <f>53.6221 * CHOOSE(CONTROL!$C$15, $E$9, 100%, $G$9) + CHOOSE(CONTROL!$C$38, 0.0347, 0)</f>
        <v>53.656800000000004</v>
      </c>
      <c r="E801" s="46">
        <f>56.5673 * CHOOSE(CONTROL!$C$15, $E$9, 100%, $G$9) + CHOOSE(CONTROL!$C$38, 0.0347, 0)</f>
        <v>56.602000000000004</v>
      </c>
      <c r="F801" s="45">
        <f>56.5673 * CHOOSE(CONTROL!$C$15, $E$9, 100%, $G$9) + CHOOSE(CONTROL!$C$38, 0.0256, 0)</f>
        <v>56.5929</v>
      </c>
      <c r="G801" s="14">
        <f>53.6284 * CHOOSE(CONTROL!$C$15, $E$9, 100%, $G$9) + CHOOSE(CONTROL!$C$38, 0.0347, 0)</f>
        <v>53.6631</v>
      </c>
      <c r="H801" s="14">
        <f>53.6284 * CHOOSE(CONTROL!$C$15, $E$9, 100%, $G$9) + CHOOSE(CONTROL!$C$38, 0.0347, 0)</f>
        <v>53.6631</v>
      </c>
      <c r="I801" s="14">
        <f>53.63 * CHOOSE(CONTROL!$C$15, $E$9, 100%, $G$9) + CHOOSE(CONTROL!$C$38, 0.0347, 0)</f>
        <v>53.664700000000003</v>
      </c>
      <c r="J801" s="44">
        <f>498.2107</f>
        <v>498.21069999999997</v>
      </c>
    </row>
    <row r="802" spans="1:10" ht="15.75" x14ac:dyDescent="0.25">
      <c r="A802" s="32">
        <v>65349</v>
      </c>
      <c r="B802" s="14">
        <f>56.3238 * CHOOSE(CONTROL!$C$15, $E$9, 100%, $G$9) + CHOOSE(CONTROL!$C$38, 0.0256, 0)</f>
        <v>56.349399999999996</v>
      </c>
      <c r="C802" s="14">
        <f>53.2511 * CHOOSE(CONTROL!$C$15, $E$9, 100%, $G$9) + CHOOSE(CONTROL!$C$38, 0.0347, 0)</f>
        <v>53.285800000000002</v>
      </c>
      <c r="D802" s="14">
        <f>53.2433 * CHOOSE(CONTROL!$C$15, $E$9, 100%, $G$9) + CHOOSE(CONTROL!$C$38, 0.0347, 0)</f>
        <v>53.277999999999999</v>
      </c>
      <c r="E802" s="46">
        <f>56.1676 * CHOOSE(CONTROL!$C$15, $E$9, 100%, $G$9) + CHOOSE(CONTROL!$C$38, 0.0347, 0)</f>
        <v>56.202300000000001</v>
      </c>
      <c r="F802" s="45">
        <f>56.1676 * CHOOSE(CONTROL!$C$15, $E$9, 100%, $G$9) + CHOOSE(CONTROL!$C$38, 0.0256, 0)</f>
        <v>56.193199999999997</v>
      </c>
      <c r="G802" s="14">
        <f>53.2496 * CHOOSE(CONTROL!$C$15, $E$9, 100%, $G$9) + CHOOSE(CONTROL!$C$38, 0.0347, 0)</f>
        <v>53.284300000000002</v>
      </c>
      <c r="H802" s="14">
        <f>53.2496 * CHOOSE(CONTROL!$C$15, $E$9, 100%, $G$9) + CHOOSE(CONTROL!$C$38, 0.0347, 0)</f>
        <v>53.284300000000002</v>
      </c>
      <c r="I802" s="14">
        <f>53.2511 * CHOOSE(CONTROL!$C$15, $E$9, 100%, $G$9) + CHOOSE(CONTROL!$C$38, 0.0347, 0)</f>
        <v>53.285800000000002</v>
      </c>
      <c r="J802" s="44">
        <f>494.6608</f>
        <v>494.66079999999999</v>
      </c>
    </row>
    <row r="803" spans="1:10" ht="15.75" x14ac:dyDescent="0.25">
      <c r="A803" s="32">
        <v>65380</v>
      </c>
      <c r="B803" s="14">
        <f>54.6707 * CHOOSE(CONTROL!$C$15, $E$9, 100%, $G$9) + CHOOSE(CONTROL!$C$38, 0.0256, 0)</f>
        <v>54.696299999999994</v>
      </c>
      <c r="C803" s="14">
        <f>51.6846 * CHOOSE(CONTROL!$C$15, $E$9, 100%, $G$9) + CHOOSE(CONTROL!$C$38, 0.0347, 0)</f>
        <v>51.719300000000004</v>
      </c>
      <c r="D803" s="14">
        <f>51.6768 * CHOOSE(CONTROL!$C$15, $E$9, 100%, $G$9) + CHOOSE(CONTROL!$C$38, 0.0347, 0)</f>
        <v>51.711500000000001</v>
      </c>
      <c r="E803" s="46">
        <f>54.5145 * CHOOSE(CONTROL!$C$15, $E$9, 100%, $G$9) + CHOOSE(CONTROL!$C$38, 0.0347, 0)</f>
        <v>54.549199999999999</v>
      </c>
      <c r="F803" s="45">
        <f>54.5145 * CHOOSE(CONTROL!$C$15, $E$9, 100%, $G$9) + CHOOSE(CONTROL!$C$38, 0.0256, 0)</f>
        <v>54.540099999999995</v>
      </c>
      <c r="G803" s="14">
        <f>51.683 * CHOOSE(CONTROL!$C$15, $E$9, 100%, $G$9) + CHOOSE(CONTROL!$C$38, 0.0347, 0)</f>
        <v>51.717700000000001</v>
      </c>
      <c r="H803" s="14">
        <f>51.683 * CHOOSE(CONTROL!$C$15, $E$9, 100%, $G$9) + CHOOSE(CONTROL!$C$38, 0.0347, 0)</f>
        <v>51.717700000000001</v>
      </c>
      <c r="I803" s="14">
        <f>51.6846 * CHOOSE(CONTROL!$C$15, $E$9, 100%, $G$9) + CHOOSE(CONTROL!$C$38, 0.0347, 0)</f>
        <v>51.719300000000004</v>
      </c>
      <c r="J803" s="44">
        <f>479.9817</f>
        <v>479.98169999999999</v>
      </c>
    </row>
    <row r="804" spans="1:10" ht="15.75" x14ac:dyDescent="0.25">
      <c r="A804" s="32">
        <v>65411</v>
      </c>
      <c r="B804" s="14">
        <f>54.2602 * CHOOSE(CONTROL!$C$15, $E$9, 100%, $G$9) + CHOOSE(CONTROL!$C$38, 0.0256, 0)</f>
        <v>54.285799999999995</v>
      </c>
      <c r="C804" s="14">
        <f>51.2955 * CHOOSE(CONTROL!$C$15, $E$9, 100%, $G$9) + CHOOSE(CONTROL!$C$38, 0.0347, 0)</f>
        <v>51.330199999999998</v>
      </c>
      <c r="D804" s="14">
        <f>51.2877 * CHOOSE(CONTROL!$C$15, $E$9, 100%, $G$9) + CHOOSE(CONTROL!$C$38, 0.0347, 0)</f>
        <v>51.322400000000002</v>
      </c>
      <c r="E804" s="46">
        <f>54.1039 * CHOOSE(CONTROL!$C$15, $E$9, 100%, $G$9) + CHOOSE(CONTROL!$C$38, 0.0347, 0)</f>
        <v>54.138600000000004</v>
      </c>
      <c r="F804" s="45">
        <f>54.1039 * CHOOSE(CONTROL!$C$15, $E$9, 100%, $G$9) + CHOOSE(CONTROL!$C$38, 0.0256, 0)</f>
        <v>54.1295</v>
      </c>
      <c r="G804" s="14">
        <f>51.294 * CHOOSE(CONTROL!$C$15, $E$9, 100%, $G$9) + CHOOSE(CONTROL!$C$38, 0.0347, 0)</f>
        <v>51.328699999999998</v>
      </c>
      <c r="H804" s="14">
        <f>51.294 * CHOOSE(CONTROL!$C$15, $E$9, 100%, $G$9) + CHOOSE(CONTROL!$C$38, 0.0347, 0)</f>
        <v>51.328699999999998</v>
      </c>
      <c r="I804" s="14">
        <f>51.2955 * CHOOSE(CONTROL!$C$15, $E$9, 100%, $G$9) + CHOOSE(CONTROL!$C$38, 0.0347, 0)</f>
        <v>51.330199999999998</v>
      </c>
      <c r="J804" s="44">
        <f>479.3627</f>
        <v>479.36270000000002</v>
      </c>
    </row>
    <row r="805" spans="1:10" ht="15.75" x14ac:dyDescent="0.25">
      <c r="A805" s="32">
        <v>65439</v>
      </c>
      <c r="B805" s="14">
        <f>54.1111 * CHOOSE(CONTROL!$C$15, $E$9, 100%, $G$9) + CHOOSE(CONTROL!$C$38, 0.0256, 0)</f>
        <v>54.136699999999998</v>
      </c>
      <c r="C805" s="14">
        <f>51.1542 * CHOOSE(CONTROL!$C$15, $E$9, 100%, $G$9) + CHOOSE(CONTROL!$C$38, 0.0347, 0)</f>
        <v>51.188900000000004</v>
      </c>
      <c r="D805" s="14">
        <f>51.1464 * CHOOSE(CONTROL!$C$15, $E$9, 100%, $G$9) + CHOOSE(CONTROL!$C$38, 0.0347, 0)</f>
        <v>51.181100000000001</v>
      </c>
      <c r="E805" s="46">
        <f>53.9548 * CHOOSE(CONTROL!$C$15, $E$9, 100%, $G$9) + CHOOSE(CONTROL!$C$38, 0.0347, 0)</f>
        <v>53.9895</v>
      </c>
      <c r="F805" s="45">
        <f>53.9548 * CHOOSE(CONTROL!$C$15, $E$9, 100%, $G$9) + CHOOSE(CONTROL!$C$38, 0.0256, 0)</f>
        <v>53.980399999999996</v>
      </c>
      <c r="G805" s="14">
        <f>51.1527 * CHOOSE(CONTROL!$C$15, $E$9, 100%, $G$9) + CHOOSE(CONTROL!$C$38, 0.0347, 0)</f>
        <v>51.187400000000004</v>
      </c>
      <c r="H805" s="14">
        <f>51.1527 * CHOOSE(CONTROL!$C$15, $E$9, 100%, $G$9) + CHOOSE(CONTROL!$C$38, 0.0347, 0)</f>
        <v>51.187400000000004</v>
      </c>
      <c r="I805" s="14">
        <f>51.1542 * CHOOSE(CONTROL!$C$15, $E$9, 100%, $G$9) + CHOOSE(CONTROL!$C$38, 0.0347, 0)</f>
        <v>51.188900000000004</v>
      </c>
      <c r="J805" s="44">
        <f>478.0303</f>
        <v>478.03030000000001</v>
      </c>
    </row>
    <row r="806" spans="1:10" ht="15.75" x14ac:dyDescent="0.25">
      <c r="A806" s="32">
        <v>65470</v>
      </c>
      <c r="B806" s="14">
        <f>56.9305 * CHOOSE(CONTROL!$C$15, $E$9, 100%, $G$9) + CHOOSE(CONTROL!$C$38, 0.0256, 0)</f>
        <v>56.956099999999999</v>
      </c>
      <c r="C806" s="14">
        <f>53.8261 * CHOOSE(CONTROL!$C$15, $E$9, 100%, $G$9) + CHOOSE(CONTROL!$C$38, 0.0347, 0)</f>
        <v>53.860799999999998</v>
      </c>
      <c r="D806" s="14">
        <f>53.8182 * CHOOSE(CONTROL!$C$15, $E$9, 100%, $G$9) + CHOOSE(CONTROL!$C$38, 0.0347, 0)</f>
        <v>53.852899999999998</v>
      </c>
      <c r="E806" s="46">
        <f>56.7743 * CHOOSE(CONTROL!$C$15, $E$9, 100%, $G$9) + CHOOSE(CONTROL!$C$38, 0.0347, 0)</f>
        <v>56.808999999999997</v>
      </c>
      <c r="F806" s="45">
        <f>56.7743 * CHOOSE(CONTROL!$C$15, $E$9, 100%, $G$9) + CHOOSE(CONTROL!$C$38, 0.0256, 0)</f>
        <v>56.799899999999994</v>
      </c>
      <c r="G806" s="14">
        <f>53.8245 * CHOOSE(CONTROL!$C$15, $E$9, 100%, $G$9) + CHOOSE(CONTROL!$C$38, 0.0347, 0)</f>
        <v>53.859200000000001</v>
      </c>
      <c r="H806" s="14">
        <f>53.8245 * CHOOSE(CONTROL!$C$15, $E$9, 100%, $G$9) + CHOOSE(CONTROL!$C$38, 0.0347, 0)</f>
        <v>53.859200000000001</v>
      </c>
      <c r="I806" s="14">
        <f>53.8261 * CHOOSE(CONTROL!$C$15, $E$9, 100%, $G$9) + CHOOSE(CONTROL!$C$38, 0.0347, 0)</f>
        <v>53.860799999999998</v>
      </c>
      <c r="J806" s="44">
        <f>503.2252</f>
        <v>503.22519999999997</v>
      </c>
    </row>
    <row r="807" spans="1:10" ht="15.75" x14ac:dyDescent="0.25">
      <c r="A807" s="32">
        <v>65500</v>
      </c>
      <c r="B807" s="14">
        <f>60.5866 * CHOOSE(CONTROL!$C$15, $E$9, 100%, $G$9) + CHOOSE(CONTROL!$C$38, 0.0256, 0)</f>
        <v>60.612199999999994</v>
      </c>
      <c r="C807" s="14">
        <f>57.2908 * CHOOSE(CONTROL!$C$15, $E$9, 100%, $G$9) + CHOOSE(CONTROL!$C$38, 0.0347, 0)</f>
        <v>57.325499999999998</v>
      </c>
      <c r="D807" s="14">
        <f>57.283 * CHOOSE(CONTROL!$C$15, $E$9, 100%, $G$9) + CHOOSE(CONTROL!$C$38, 0.0347, 0)</f>
        <v>57.317700000000002</v>
      </c>
      <c r="E807" s="46">
        <f>60.4304 * CHOOSE(CONTROL!$C$15, $E$9, 100%, $G$9) + CHOOSE(CONTROL!$C$38, 0.0347, 0)</f>
        <v>60.4651</v>
      </c>
      <c r="F807" s="45">
        <f>60.4304 * CHOOSE(CONTROL!$C$15, $E$9, 100%, $G$9) + CHOOSE(CONTROL!$C$38, 0.0256, 0)</f>
        <v>60.455999999999996</v>
      </c>
      <c r="G807" s="14">
        <f>57.2892 * CHOOSE(CONTROL!$C$15, $E$9, 100%, $G$9) + CHOOSE(CONTROL!$C$38, 0.0347, 0)</f>
        <v>57.323900000000002</v>
      </c>
      <c r="H807" s="14">
        <f>57.2892 * CHOOSE(CONTROL!$C$15, $E$9, 100%, $G$9) + CHOOSE(CONTROL!$C$38, 0.0347, 0)</f>
        <v>57.323900000000002</v>
      </c>
      <c r="I807" s="14">
        <f>57.2908 * CHOOSE(CONTROL!$C$15, $E$9, 100%, $G$9) + CHOOSE(CONTROL!$C$38, 0.0347, 0)</f>
        <v>57.325499999999998</v>
      </c>
      <c r="J807" s="44">
        <f>535.8971</f>
        <v>535.89710000000002</v>
      </c>
    </row>
    <row r="808" spans="1:10" ht="15.75" x14ac:dyDescent="0.25">
      <c r="A808" s="32">
        <v>65531</v>
      </c>
      <c r="B808" s="14">
        <f>62.5991 * CHOOSE(CONTROL!$C$15, $E$9, 100%, $G$9) + CHOOSE(CONTROL!$C$38, 0.0278, 0)</f>
        <v>62.626899999999999</v>
      </c>
      <c r="C808" s="14">
        <f>59.1979 * CHOOSE(CONTROL!$C$15, $E$9, 100%, $G$9) + CHOOSE(CONTROL!$C$38, 0.0369, 0)</f>
        <v>59.2348</v>
      </c>
      <c r="D808" s="14">
        <f>59.1901 * CHOOSE(CONTROL!$C$15, $E$9, 100%, $G$9) + CHOOSE(CONTROL!$C$38, 0.0369, 0)</f>
        <v>59.227000000000004</v>
      </c>
      <c r="E808" s="46">
        <f>62.4429 * CHOOSE(CONTROL!$C$15, $E$9, 100%, $G$9) + CHOOSE(CONTROL!$C$38, 0.0369, 0)</f>
        <v>62.479800000000004</v>
      </c>
      <c r="F808" s="45">
        <f>62.4429 * CHOOSE(CONTROL!$C$15, $E$9, 100%, $G$9) + CHOOSE(CONTROL!$C$38, 0.0278, 0)</f>
        <v>62.470700000000001</v>
      </c>
      <c r="G808" s="14">
        <f>59.1963 * CHOOSE(CONTROL!$C$15, $E$9, 100%, $G$9) + CHOOSE(CONTROL!$C$38, 0.0369, 0)</f>
        <v>59.233200000000004</v>
      </c>
      <c r="H808" s="14">
        <f>59.1963 * CHOOSE(CONTROL!$C$15, $E$9, 100%, $G$9) + CHOOSE(CONTROL!$C$38, 0.0369, 0)</f>
        <v>59.233200000000004</v>
      </c>
      <c r="I808" s="14">
        <f>59.1979 * CHOOSE(CONTROL!$C$15, $E$9, 100%, $G$9) + CHOOSE(CONTROL!$C$38, 0.0369, 0)</f>
        <v>59.2348</v>
      </c>
      <c r="J808" s="44">
        <f>553.8807</f>
        <v>553.88070000000005</v>
      </c>
    </row>
    <row r="809" spans="1:10" ht="15.75" x14ac:dyDescent="0.25">
      <c r="A809" s="32">
        <v>65561</v>
      </c>
      <c r="B809" s="14">
        <f>63.4922 * CHOOSE(CONTROL!$C$15, $E$9, 100%, $G$9) + CHOOSE(CONTROL!$C$38, 0.0278, 0)</f>
        <v>63.519999999999996</v>
      </c>
      <c r="C809" s="14">
        <f>60.0442 * CHOOSE(CONTROL!$C$15, $E$9, 100%, $G$9) + CHOOSE(CONTROL!$C$38, 0.0369, 0)</f>
        <v>60.081099999999999</v>
      </c>
      <c r="D809" s="14">
        <f>60.0364 * CHOOSE(CONTROL!$C$15, $E$9, 100%, $G$9) + CHOOSE(CONTROL!$C$38, 0.0369, 0)</f>
        <v>60.073300000000003</v>
      </c>
      <c r="E809" s="46">
        <f>63.3359 * CHOOSE(CONTROL!$C$15, $E$9, 100%, $G$9) + CHOOSE(CONTROL!$C$38, 0.0369, 0)</f>
        <v>63.372800000000005</v>
      </c>
      <c r="F809" s="45">
        <f>63.3359 * CHOOSE(CONTROL!$C$15, $E$9, 100%, $G$9) + CHOOSE(CONTROL!$C$38, 0.0278, 0)</f>
        <v>63.363700000000001</v>
      </c>
      <c r="G809" s="14">
        <f>60.0427 * CHOOSE(CONTROL!$C$15, $E$9, 100%, $G$9) + CHOOSE(CONTROL!$C$38, 0.0369, 0)</f>
        <v>60.079600000000006</v>
      </c>
      <c r="H809" s="14">
        <f>60.0427 * CHOOSE(CONTROL!$C$15, $E$9, 100%, $G$9) + CHOOSE(CONTROL!$C$38, 0.0369, 0)</f>
        <v>60.079600000000006</v>
      </c>
      <c r="I809" s="14">
        <f>60.0442 * CHOOSE(CONTROL!$C$15, $E$9, 100%, $G$9) + CHOOSE(CONTROL!$C$38, 0.0369, 0)</f>
        <v>60.081099999999999</v>
      </c>
      <c r="J809" s="44">
        <f>561.8616</f>
        <v>561.86159999999995</v>
      </c>
    </row>
    <row r="810" spans="1:10" ht="15.75" x14ac:dyDescent="0.25">
      <c r="A810" s="32">
        <v>65592</v>
      </c>
      <c r="B810" s="14">
        <f>63.1981 * CHOOSE(CONTROL!$C$15, $E$9, 100%, $G$9) + CHOOSE(CONTROL!$C$38, 0.0278, 0)</f>
        <v>63.225899999999996</v>
      </c>
      <c r="C810" s="14">
        <f>59.7656 * CHOOSE(CONTROL!$C$15, $E$9, 100%, $G$9) + CHOOSE(CONTROL!$C$38, 0.0369, 0)</f>
        <v>59.802500000000002</v>
      </c>
      <c r="D810" s="14">
        <f>59.7578 * CHOOSE(CONTROL!$C$15, $E$9, 100%, $G$9) + CHOOSE(CONTROL!$C$38, 0.0369, 0)</f>
        <v>59.794700000000006</v>
      </c>
      <c r="E810" s="46">
        <f>63.0419 * CHOOSE(CONTROL!$C$15, $E$9, 100%, $G$9) + CHOOSE(CONTROL!$C$38, 0.0369, 0)</f>
        <v>63.078800000000001</v>
      </c>
      <c r="F810" s="45">
        <f>63.0419 * CHOOSE(CONTROL!$C$15, $E$9, 100%, $G$9) + CHOOSE(CONTROL!$C$38, 0.0278, 0)</f>
        <v>63.069699999999997</v>
      </c>
      <c r="G810" s="14">
        <f>59.764 * CHOOSE(CONTROL!$C$15, $E$9, 100%, $G$9) + CHOOSE(CONTROL!$C$38, 0.0369, 0)</f>
        <v>59.800900000000006</v>
      </c>
      <c r="H810" s="14">
        <f>59.764 * CHOOSE(CONTROL!$C$15, $E$9, 100%, $G$9) + CHOOSE(CONTROL!$C$38, 0.0369, 0)</f>
        <v>59.800900000000006</v>
      </c>
      <c r="I810" s="14">
        <f>59.7656 * CHOOSE(CONTROL!$C$15, $E$9, 100%, $G$9) + CHOOSE(CONTROL!$C$38, 0.0369, 0)</f>
        <v>59.802500000000002</v>
      </c>
      <c r="J810" s="44">
        <f>559.2339</f>
        <v>559.23389999999995</v>
      </c>
    </row>
    <row r="811" spans="1:10" ht="15.75" x14ac:dyDescent="0.25">
      <c r="A811" s="32">
        <v>65623</v>
      </c>
      <c r="B811" s="14">
        <f>61.7413 * CHOOSE(CONTROL!$C$15, $E$9, 100%, $G$9) + CHOOSE(CONTROL!$C$38, 0.0278, 0)</f>
        <v>61.769100000000002</v>
      </c>
      <c r="C811" s="14">
        <f>58.385 * CHOOSE(CONTROL!$C$15, $E$9, 100%, $G$9) + CHOOSE(CONTROL!$C$38, 0.0369, 0)</f>
        <v>58.421900000000001</v>
      </c>
      <c r="D811" s="14">
        <f>58.3772 * CHOOSE(CONTROL!$C$15, $E$9, 100%, $G$9) + CHOOSE(CONTROL!$C$38, 0.0369, 0)</f>
        <v>58.414100000000005</v>
      </c>
      <c r="E811" s="46">
        <f>61.585 * CHOOSE(CONTROL!$C$15, $E$9, 100%, $G$9) + CHOOSE(CONTROL!$C$38, 0.0369, 0)</f>
        <v>61.621900000000004</v>
      </c>
      <c r="F811" s="45">
        <f>61.585 * CHOOSE(CONTROL!$C$15, $E$9, 100%, $G$9) + CHOOSE(CONTROL!$C$38, 0.0278, 0)</f>
        <v>61.6128</v>
      </c>
      <c r="G811" s="14">
        <f>58.3834 * CHOOSE(CONTROL!$C$15, $E$9, 100%, $G$9) + CHOOSE(CONTROL!$C$38, 0.0369, 0)</f>
        <v>58.420300000000005</v>
      </c>
      <c r="H811" s="14">
        <f>58.3834 * CHOOSE(CONTROL!$C$15, $E$9, 100%, $G$9) + CHOOSE(CONTROL!$C$38, 0.0369, 0)</f>
        <v>58.420300000000005</v>
      </c>
      <c r="I811" s="14">
        <f>58.385 * CHOOSE(CONTROL!$C$15, $E$9, 100%, $G$9) + CHOOSE(CONTROL!$C$38, 0.0369, 0)</f>
        <v>58.421900000000001</v>
      </c>
      <c r="J811" s="44">
        <f>546.2152</f>
        <v>546.21519999999998</v>
      </c>
    </row>
    <row r="812" spans="1:10" ht="15.75" x14ac:dyDescent="0.25">
      <c r="A812" s="32">
        <v>65653</v>
      </c>
      <c r="B812" s="14">
        <f>59.7096 * CHOOSE(CONTROL!$C$15, $E$9, 100%, $G$9) + CHOOSE(CONTROL!$C$38, 0.0278, 0)</f>
        <v>59.737400000000001</v>
      </c>
      <c r="C812" s="14">
        <f>56.4597 * CHOOSE(CONTROL!$C$15, $E$9, 100%, $G$9) + CHOOSE(CONTROL!$C$38, 0.0369, 0)</f>
        <v>56.496600000000001</v>
      </c>
      <c r="D812" s="14">
        <f>56.4519 * CHOOSE(CONTROL!$C$15, $E$9, 100%, $G$9) + CHOOSE(CONTROL!$C$38, 0.0369, 0)</f>
        <v>56.488800000000005</v>
      </c>
      <c r="E812" s="46">
        <f>59.5534 * CHOOSE(CONTROL!$C$15, $E$9, 100%, $G$9) + CHOOSE(CONTROL!$C$38, 0.0369, 0)</f>
        <v>59.590300000000006</v>
      </c>
      <c r="F812" s="45">
        <f>59.5534 * CHOOSE(CONTROL!$C$15, $E$9, 100%, $G$9) + CHOOSE(CONTROL!$C$38, 0.0278, 0)</f>
        <v>59.581200000000003</v>
      </c>
      <c r="G812" s="14">
        <f>56.4581 * CHOOSE(CONTROL!$C$15, $E$9, 100%, $G$9) + CHOOSE(CONTROL!$C$38, 0.0369, 0)</f>
        <v>56.495000000000005</v>
      </c>
      <c r="H812" s="14">
        <f>56.4581 * CHOOSE(CONTROL!$C$15, $E$9, 100%, $G$9) + CHOOSE(CONTROL!$C$38, 0.0369, 0)</f>
        <v>56.495000000000005</v>
      </c>
      <c r="I812" s="14">
        <f>56.4597 * CHOOSE(CONTROL!$C$15, $E$9, 100%, $G$9) + CHOOSE(CONTROL!$C$38, 0.0369, 0)</f>
        <v>56.496600000000001</v>
      </c>
      <c r="J812" s="44">
        <f>528.0599</f>
        <v>528.05989999999997</v>
      </c>
    </row>
    <row r="813" spans="1:10" ht="15.75" x14ac:dyDescent="0.25">
      <c r="A813" s="32">
        <v>65684</v>
      </c>
      <c r="B813" s="14">
        <f>57.6661 * CHOOSE(CONTROL!$C$15, $E$9, 100%, $G$9) + CHOOSE(CONTROL!$C$38, 0.0256, 0)</f>
        <v>57.691699999999997</v>
      </c>
      <c r="C813" s="14">
        <f>54.5232 * CHOOSE(CONTROL!$C$15, $E$9, 100%, $G$9) + CHOOSE(CONTROL!$C$38, 0.0347, 0)</f>
        <v>54.557900000000004</v>
      </c>
      <c r="D813" s="14">
        <f>54.5154 * CHOOSE(CONTROL!$C$15, $E$9, 100%, $G$9) + CHOOSE(CONTROL!$C$38, 0.0347, 0)</f>
        <v>54.5501</v>
      </c>
      <c r="E813" s="46">
        <f>57.5099 * CHOOSE(CONTROL!$C$15, $E$9, 100%, $G$9) + CHOOSE(CONTROL!$C$38, 0.0347, 0)</f>
        <v>57.544600000000003</v>
      </c>
      <c r="F813" s="45">
        <f>57.5099 * CHOOSE(CONTROL!$C$15, $E$9, 100%, $G$9) + CHOOSE(CONTROL!$C$38, 0.0256, 0)</f>
        <v>57.535499999999999</v>
      </c>
      <c r="G813" s="14">
        <f>54.5216 * CHOOSE(CONTROL!$C$15, $E$9, 100%, $G$9) + CHOOSE(CONTROL!$C$38, 0.0347, 0)</f>
        <v>54.5563</v>
      </c>
      <c r="H813" s="14">
        <f>54.5216 * CHOOSE(CONTROL!$C$15, $E$9, 100%, $G$9) + CHOOSE(CONTROL!$C$38, 0.0347, 0)</f>
        <v>54.5563</v>
      </c>
      <c r="I813" s="14">
        <f>54.5232 * CHOOSE(CONTROL!$C$15, $E$9, 100%, $G$9) + CHOOSE(CONTROL!$C$38, 0.0347, 0)</f>
        <v>54.557900000000004</v>
      </c>
      <c r="J813" s="44">
        <f>509.7991</f>
        <v>509.79910000000001</v>
      </c>
    </row>
    <row r="814" spans="1:10" ht="15.75" x14ac:dyDescent="0.25">
      <c r="A814" s="32">
        <v>65714</v>
      </c>
      <c r="B814" s="14">
        <f>57.2597 * CHOOSE(CONTROL!$C$15, $E$9, 100%, $G$9) + CHOOSE(CONTROL!$C$38, 0.0256, 0)</f>
        <v>57.285299999999999</v>
      </c>
      <c r="C814" s="14">
        <f>54.138 * CHOOSE(CONTROL!$C$15, $E$9, 100%, $G$9) + CHOOSE(CONTROL!$C$38, 0.0347, 0)</f>
        <v>54.172699999999999</v>
      </c>
      <c r="D814" s="14">
        <f>54.1302 * CHOOSE(CONTROL!$C$15, $E$9, 100%, $G$9) + CHOOSE(CONTROL!$C$38, 0.0347, 0)</f>
        <v>54.164900000000003</v>
      </c>
      <c r="E814" s="46">
        <f>57.1034 * CHOOSE(CONTROL!$C$15, $E$9, 100%, $G$9) + CHOOSE(CONTROL!$C$38, 0.0347, 0)</f>
        <v>57.138100000000001</v>
      </c>
      <c r="F814" s="45">
        <f>57.1034 * CHOOSE(CONTROL!$C$15, $E$9, 100%, $G$9) + CHOOSE(CONTROL!$C$38, 0.0256, 0)</f>
        <v>57.128999999999998</v>
      </c>
      <c r="G814" s="14">
        <f>54.1364 * CHOOSE(CONTROL!$C$15, $E$9, 100%, $G$9) + CHOOSE(CONTROL!$C$38, 0.0347, 0)</f>
        <v>54.171100000000003</v>
      </c>
      <c r="H814" s="14">
        <f>54.1364 * CHOOSE(CONTROL!$C$15, $E$9, 100%, $G$9) + CHOOSE(CONTROL!$C$38, 0.0347, 0)</f>
        <v>54.171100000000003</v>
      </c>
      <c r="I814" s="14">
        <f>54.138 * CHOOSE(CONTROL!$C$15, $E$9, 100%, $G$9) + CHOOSE(CONTROL!$C$38, 0.0347, 0)</f>
        <v>54.172699999999999</v>
      </c>
      <c r="J814" s="44">
        <f>506.1666</f>
        <v>506.16660000000002</v>
      </c>
    </row>
    <row r="815" spans="1:10" ht="15.75" x14ac:dyDescent="0.25">
      <c r="A815" s="32">
        <v>65745</v>
      </c>
      <c r="B815" s="14">
        <f>55.5788 * CHOOSE(CONTROL!$C$15, $E$9, 100%, $G$9) + CHOOSE(CONTROL!$C$38, 0.0256, 0)</f>
        <v>55.604399999999998</v>
      </c>
      <c r="C815" s="14">
        <f>52.5451 * CHOOSE(CONTROL!$C$15, $E$9, 100%, $G$9) + CHOOSE(CONTROL!$C$38, 0.0347, 0)</f>
        <v>52.579799999999999</v>
      </c>
      <c r="D815" s="14">
        <f>52.5373 * CHOOSE(CONTROL!$C$15, $E$9, 100%, $G$9) + CHOOSE(CONTROL!$C$38, 0.0347, 0)</f>
        <v>52.572000000000003</v>
      </c>
      <c r="E815" s="46">
        <f>55.4225 * CHOOSE(CONTROL!$C$15, $E$9, 100%, $G$9) + CHOOSE(CONTROL!$C$38, 0.0347, 0)</f>
        <v>55.4572</v>
      </c>
      <c r="F815" s="45">
        <f>55.4225 * CHOOSE(CONTROL!$C$15, $E$9, 100%, $G$9) + CHOOSE(CONTROL!$C$38, 0.0256, 0)</f>
        <v>55.448099999999997</v>
      </c>
      <c r="G815" s="14">
        <f>52.5435 * CHOOSE(CONTROL!$C$15, $E$9, 100%, $G$9) + CHOOSE(CONTROL!$C$38, 0.0347, 0)</f>
        <v>52.578200000000002</v>
      </c>
      <c r="H815" s="14">
        <f>52.5435 * CHOOSE(CONTROL!$C$15, $E$9, 100%, $G$9) + CHOOSE(CONTROL!$C$38, 0.0347, 0)</f>
        <v>52.578200000000002</v>
      </c>
      <c r="I815" s="14">
        <f>52.5451 * CHOOSE(CONTROL!$C$15, $E$9, 100%, $G$9) + CHOOSE(CONTROL!$C$38, 0.0347, 0)</f>
        <v>52.579799999999999</v>
      </c>
      <c r="J815" s="44">
        <f>491.1461</f>
        <v>491.14609999999999</v>
      </c>
    </row>
    <row r="816" spans="1:10" ht="15.75" x14ac:dyDescent="0.25">
      <c r="A816" s="32">
        <v>65776</v>
      </c>
      <c r="B816" s="14">
        <f>55.1614 * CHOOSE(CONTROL!$C$15, $E$9, 100%, $G$9) + CHOOSE(CONTROL!$C$38, 0.0256, 0)</f>
        <v>55.186999999999998</v>
      </c>
      <c r="C816" s="14">
        <f>52.1495 * CHOOSE(CONTROL!$C$15, $E$9, 100%, $G$9) + CHOOSE(CONTROL!$C$38, 0.0347, 0)</f>
        <v>52.184200000000004</v>
      </c>
      <c r="D816" s="14">
        <f>52.1417 * CHOOSE(CONTROL!$C$15, $E$9, 100%, $G$9) + CHOOSE(CONTROL!$C$38, 0.0347, 0)</f>
        <v>52.176400000000001</v>
      </c>
      <c r="E816" s="46">
        <f>55.0051 * CHOOSE(CONTROL!$C$15, $E$9, 100%, $G$9) + CHOOSE(CONTROL!$C$38, 0.0347, 0)</f>
        <v>55.0398</v>
      </c>
      <c r="F816" s="45">
        <f>55.0051 * CHOOSE(CONTROL!$C$15, $E$9, 100%, $G$9) + CHOOSE(CONTROL!$C$38, 0.0256, 0)</f>
        <v>55.030699999999996</v>
      </c>
      <c r="G816" s="14">
        <f>52.148 * CHOOSE(CONTROL!$C$15, $E$9, 100%, $G$9) + CHOOSE(CONTROL!$C$38, 0.0347, 0)</f>
        <v>52.182700000000004</v>
      </c>
      <c r="H816" s="14">
        <f>52.148 * CHOOSE(CONTROL!$C$15, $E$9, 100%, $G$9) + CHOOSE(CONTROL!$C$38, 0.0347, 0)</f>
        <v>52.182700000000004</v>
      </c>
      <c r="I816" s="14">
        <f>52.1495 * CHOOSE(CONTROL!$C$15, $E$9, 100%, $G$9) + CHOOSE(CONTROL!$C$38, 0.0347, 0)</f>
        <v>52.184200000000004</v>
      </c>
      <c r="J816" s="44">
        <f>490.5127</f>
        <v>490.5127</v>
      </c>
    </row>
    <row r="817" spans="1:10" ht="15.75" x14ac:dyDescent="0.25">
      <c r="A817" s="32">
        <v>65805</v>
      </c>
      <c r="B817" s="14">
        <f>55.0098 * CHOOSE(CONTROL!$C$15, $E$9, 100%, $G$9) + CHOOSE(CONTROL!$C$38, 0.0256, 0)</f>
        <v>55.035399999999996</v>
      </c>
      <c r="C817" s="14">
        <f>52.0059 * CHOOSE(CONTROL!$C$15, $E$9, 100%, $G$9) + CHOOSE(CONTROL!$C$38, 0.0347, 0)</f>
        <v>52.040599999999998</v>
      </c>
      <c r="D817" s="14">
        <f>51.9981 * CHOOSE(CONTROL!$C$15, $E$9, 100%, $G$9) + CHOOSE(CONTROL!$C$38, 0.0347, 0)</f>
        <v>52.032800000000002</v>
      </c>
      <c r="E817" s="46">
        <f>54.8535 * CHOOSE(CONTROL!$C$15, $E$9, 100%, $G$9) + CHOOSE(CONTROL!$C$38, 0.0347, 0)</f>
        <v>54.888199999999998</v>
      </c>
      <c r="F817" s="45">
        <f>54.8535 * CHOOSE(CONTROL!$C$15, $E$9, 100%, $G$9) + CHOOSE(CONTROL!$C$38, 0.0256, 0)</f>
        <v>54.879099999999994</v>
      </c>
      <c r="G817" s="14">
        <f>52.0043 * CHOOSE(CONTROL!$C$15, $E$9, 100%, $G$9) + CHOOSE(CONTROL!$C$38, 0.0347, 0)</f>
        <v>52.039000000000001</v>
      </c>
      <c r="H817" s="14">
        <f>52.0043 * CHOOSE(CONTROL!$C$15, $E$9, 100%, $G$9) + CHOOSE(CONTROL!$C$38, 0.0347, 0)</f>
        <v>52.039000000000001</v>
      </c>
      <c r="I817" s="14">
        <f>52.0059 * CHOOSE(CONTROL!$C$15, $E$9, 100%, $G$9) + CHOOSE(CONTROL!$C$38, 0.0347, 0)</f>
        <v>52.040599999999998</v>
      </c>
      <c r="J817" s="44">
        <f>489.1493</f>
        <v>489.14929999999998</v>
      </c>
    </row>
    <row r="818" spans="1:10" ht="15.75" x14ac:dyDescent="0.25">
      <c r="A818" s="32">
        <v>65836</v>
      </c>
      <c r="B818" s="14">
        <f>57.8766 * CHOOSE(CONTROL!$C$15, $E$9, 100%, $G$9) + CHOOSE(CONTROL!$C$38, 0.0256, 0)</f>
        <v>57.902200000000001</v>
      </c>
      <c r="C818" s="14">
        <f>54.7226 * CHOOSE(CONTROL!$C$15, $E$9, 100%, $G$9) + CHOOSE(CONTROL!$C$38, 0.0347, 0)</f>
        <v>54.757300000000001</v>
      </c>
      <c r="D818" s="14">
        <f>54.7148 * CHOOSE(CONTROL!$C$15, $E$9, 100%, $G$9) + CHOOSE(CONTROL!$C$38, 0.0347, 0)</f>
        <v>54.749499999999998</v>
      </c>
      <c r="E818" s="46">
        <f>57.7203 * CHOOSE(CONTROL!$C$15, $E$9, 100%, $G$9) + CHOOSE(CONTROL!$C$38, 0.0347, 0)</f>
        <v>57.755000000000003</v>
      </c>
      <c r="F818" s="45">
        <f>57.7203 * CHOOSE(CONTROL!$C$15, $E$9, 100%, $G$9) + CHOOSE(CONTROL!$C$38, 0.0256, 0)</f>
        <v>57.745899999999999</v>
      </c>
      <c r="G818" s="14">
        <f>54.721 * CHOOSE(CONTROL!$C$15, $E$9, 100%, $G$9) + CHOOSE(CONTROL!$C$38, 0.0347, 0)</f>
        <v>54.755699999999997</v>
      </c>
      <c r="H818" s="14">
        <f>54.721 * CHOOSE(CONTROL!$C$15, $E$9, 100%, $G$9) + CHOOSE(CONTROL!$C$38, 0.0347, 0)</f>
        <v>54.755699999999997</v>
      </c>
      <c r="I818" s="14">
        <f>54.7226 * CHOOSE(CONTROL!$C$15, $E$9, 100%, $G$9) + CHOOSE(CONTROL!$C$38, 0.0347, 0)</f>
        <v>54.757300000000001</v>
      </c>
      <c r="J818" s="44">
        <f>514.9303</f>
        <v>514.93029999999999</v>
      </c>
    </row>
    <row r="819" spans="1:10" ht="15.75" x14ac:dyDescent="0.25">
      <c r="A819" s="32">
        <v>65866</v>
      </c>
      <c r="B819" s="14">
        <f>61.5941 * CHOOSE(CONTROL!$C$15, $E$9, 100%, $G$9) + CHOOSE(CONTROL!$C$38, 0.0256, 0)</f>
        <v>61.619699999999995</v>
      </c>
      <c r="C819" s="14">
        <f>58.2455 * CHOOSE(CONTROL!$C$15, $E$9, 100%, $G$9) + CHOOSE(CONTROL!$C$38, 0.0347, 0)</f>
        <v>58.280200000000001</v>
      </c>
      <c r="D819" s="14">
        <f>58.2377 * CHOOSE(CONTROL!$C$15, $E$9, 100%, $G$9) + CHOOSE(CONTROL!$C$38, 0.0347, 0)</f>
        <v>58.272399999999998</v>
      </c>
      <c r="E819" s="46">
        <f>61.4379 * CHOOSE(CONTROL!$C$15, $E$9, 100%, $G$9) + CHOOSE(CONTROL!$C$38, 0.0347, 0)</f>
        <v>61.4726</v>
      </c>
      <c r="F819" s="45">
        <f>61.4379 * CHOOSE(CONTROL!$C$15, $E$9, 100%, $G$9) + CHOOSE(CONTROL!$C$38, 0.0256, 0)</f>
        <v>61.463499999999996</v>
      </c>
      <c r="G819" s="14">
        <f>58.2439 * CHOOSE(CONTROL!$C$15, $E$9, 100%, $G$9) + CHOOSE(CONTROL!$C$38, 0.0347, 0)</f>
        <v>58.278599999999997</v>
      </c>
      <c r="H819" s="14">
        <f>58.2439 * CHOOSE(CONTROL!$C$15, $E$9, 100%, $G$9) + CHOOSE(CONTROL!$C$38, 0.0347, 0)</f>
        <v>58.278599999999997</v>
      </c>
      <c r="I819" s="14">
        <f>58.2455 * CHOOSE(CONTROL!$C$15, $E$9, 100%, $G$9) + CHOOSE(CONTROL!$C$38, 0.0347, 0)</f>
        <v>58.280200000000001</v>
      </c>
      <c r="J819" s="44">
        <f>548.362</f>
        <v>548.36199999999997</v>
      </c>
    </row>
    <row r="820" spans="1:10" ht="15.75" x14ac:dyDescent="0.25">
      <c r="A820" s="32">
        <v>65897</v>
      </c>
      <c r="B820" s="14">
        <f>63.6404 * CHOOSE(CONTROL!$C$15, $E$9, 100%, $G$9) + CHOOSE(CONTROL!$C$38, 0.0278, 0)</f>
        <v>63.668199999999999</v>
      </c>
      <c r="C820" s="14">
        <f>60.1846 * CHOOSE(CONTROL!$C$15, $E$9, 100%, $G$9) + CHOOSE(CONTROL!$C$38, 0.0369, 0)</f>
        <v>60.221500000000006</v>
      </c>
      <c r="D820" s="14">
        <f>60.1768 * CHOOSE(CONTROL!$C$15, $E$9, 100%, $G$9) + CHOOSE(CONTROL!$C$38, 0.0369, 0)</f>
        <v>60.213700000000003</v>
      </c>
      <c r="E820" s="46">
        <f>63.4841 * CHOOSE(CONTROL!$C$15, $E$9, 100%, $G$9) + CHOOSE(CONTROL!$C$38, 0.0369, 0)</f>
        <v>63.521000000000001</v>
      </c>
      <c r="F820" s="45">
        <f>63.4841 * CHOOSE(CONTROL!$C$15, $E$9, 100%, $G$9) + CHOOSE(CONTROL!$C$38, 0.0278, 0)</f>
        <v>63.511899999999997</v>
      </c>
      <c r="G820" s="14">
        <f>60.1831 * CHOOSE(CONTROL!$C$15, $E$9, 100%, $G$9) + CHOOSE(CONTROL!$C$38, 0.0369, 0)</f>
        <v>60.220000000000006</v>
      </c>
      <c r="H820" s="14">
        <f>60.1831 * CHOOSE(CONTROL!$C$15, $E$9, 100%, $G$9) + CHOOSE(CONTROL!$C$38, 0.0369, 0)</f>
        <v>60.220000000000006</v>
      </c>
      <c r="I820" s="14">
        <f>60.1846 * CHOOSE(CONTROL!$C$15, $E$9, 100%, $G$9) + CHOOSE(CONTROL!$C$38, 0.0369, 0)</f>
        <v>60.221500000000006</v>
      </c>
      <c r="J820" s="44">
        <f>566.764</f>
        <v>566.76400000000001</v>
      </c>
    </row>
    <row r="821" spans="1:10" ht="15.75" x14ac:dyDescent="0.25">
      <c r="A821" s="32">
        <v>65927</v>
      </c>
      <c r="B821" s="14">
        <f>64.5485 * CHOOSE(CONTROL!$C$15, $E$9, 100%, $G$9) + CHOOSE(CONTROL!$C$38, 0.0278, 0)</f>
        <v>64.576300000000003</v>
      </c>
      <c r="C821" s="14">
        <f>61.0452 * CHOOSE(CONTROL!$C$15, $E$9, 100%, $G$9) + CHOOSE(CONTROL!$C$38, 0.0369, 0)</f>
        <v>61.082100000000004</v>
      </c>
      <c r="D821" s="14">
        <f>61.0374 * CHOOSE(CONTROL!$C$15, $E$9, 100%, $G$9) + CHOOSE(CONTROL!$C$38, 0.0369, 0)</f>
        <v>61.074300000000001</v>
      </c>
      <c r="E821" s="46">
        <f>64.3922 * CHOOSE(CONTROL!$C$15, $E$9, 100%, $G$9) + CHOOSE(CONTROL!$C$38, 0.0369, 0)</f>
        <v>64.429100000000005</v>
      </c>
      <c r="F821" s="45">
        <f>64.3922 * CHOOSE(CONTROL!$C$15, $E$9, 100%, $G$9) + CHOOSE(CONTROL!$C$38, 0.0278, 0)</f>
        <v>64.42</v>
      </c>
      <c r="G821" s="14">
        <f>61.0436 * CHOOSE(CONTROL!$C$15, $E$9, 100%, $G$9) + CHOOSE(CONTROL!$C$38, 0.0369, 0)</f>
        <v>61.080500000000001</v>
      </c>
      <c r="H821" s="14">
        <f>61.0436 * CHOOSE(CONTROL!$C$15, $E$9, 100%, $G$9) + CHOOSE(CONTROL!$C$38, 0.0369, 0)</f>
        <v>61.080500000000001</v>
      </c>
      <c r="I821" s="14">
        <f>61.0452 * CHOOSE(CONTROL!$C$15, $E$9, 100%, $G$9) + CHOOSE(CONTROL!$C$38, 0.0369, 0)</f>
        <v>61.082100000000004</v>
      </c>
      <c r="J821" s="44">
        <f>574.9305</f>
        <v>574.93050000000005</v>
      </c>
    </row>
    <row r="822" spans="1:10" ht="15.75" x14ac:dyDescent="0.25">
      <c r="A822" s="32">
        <v>65958</v>
      </c>
      <c r="B822" s="14">
        <f>64.2495 * CHOOSE(CONTROL!$C$15, $E$9, 100%, $G$9) + CHOOSE(CONTROL!$C$38, 0.0278, 0)</f>
        <v>64.277299999999997</v>
      </c>
      <c r="C822" s="14">
        <f>60.7619 * CHOOSE(CONTROL!$C$15, $E$9, 100%, $G$9) + CHOOSE(CONTROL!$C$38, 0.0369, 0)</f>
        <v>60.7988</v>
      </c>
      <c r="D822" s="14">
        <f>60.7541 * CHOOSE(CONTROL!$C$15, $E$9, 100%, $G$9) + CHOOSE(CONTROL!$C$38, 0.0369, 0)</f>
        <v>60.791000000000004</v>
      </c>
      <c r="E822" s="46">
        <f>64.0932 * CHOOSE(CONTROL!$C$15, $E$9, 100%, $G$9) + CHOOSE(CONTROL!$C$38, 0.0369, 0)</f>
        <v>64.130099999999999</v>
      </c>
      <c r="F822" s="45">
        <f>64.0932 * CHOOSE(CONTROL!$C$15, $E$9, 100%, $G$9) + CHOOSE(CONTROL!$C$38, 0.0278, 0)</f>
        <v>64.120999999999995</v>
      </c>
      <c r="G822" s="14">
        <f>60.7603 * CHOOSE(CONTROL!$C$15, $E$9, 100%, $G$9) + CHOOSE(CONTROL!$C$38, 0.0369, 0)</f>
        <v>60.797200000000004</v>
      </c>
      <c r="H822" s="14">
        <f>60.7603 * CHOOSE(CONTROL!$C$15, $E$9, 100%, $G$9) + CHOOSE(CONTROL!$C$38, 0.0369, 0)</f>
        <v>60.797200000000004</v>
      </c>
      <c r="I822" s="14">
        <f>60.7619 * CHOOSE(CONTROL!$C$15, $E$9, 100%, $G$9) + CHOOSE(CONTROL!$C$38, 0.0369, 0)</f>
        <v>60.7988</v>
      </c>
      <c r="J822" s="44">
        <f>572.2417</f>
        <v>572.24170000000004</v>
      </c>
    </row>
    <row r="823" spans="1:10" ht="15.75" x14ac:dyDescent="0.25">
      <c r="A823" s="32">
        <v>65989</v>
      </c>
      <c r="B823" s="14">
        <f>62.7682 * CHOOSE(CONTROL!$C$15, $E$9, 100%, $G$9) + CHOOSE(CONTROL!$C$38, 0.0278, 0)</f>
        <v>62.795999999999999</v>
      </c>
      <c r="C823" s="14">
        <f>59.3581 * CHOOSE(CONTROL!$C$15, $E$9, 100%, $G$9) + CHOOSE(CONTROL!$C$38, 0.0369, 0)</f>
        <v>59.395000000000003</v>
      </c>
      <c r="D823" s="14">
        <f>59.3503 * CHOOSE(CONTROL!$C$15, $E$9, 100%, $G$9) + CHOOSE(CONTROL!$C$38, 0.0369, 0)</f>
        <v>59.3872</v>
      </c>
      <c r="E823" s="46">
        <f>62.6119 * CHOOSE(CONTROL!$C$15, $E$9, 100%, $G$9) + CHOOSE(CONTROL!$C$38, 0.0369, 0)</f>
        <v>62.648800000000001</v>
      </c>
      <c r="F823" s="45">
        <f>62.6119 * CHOOSE(CONTROL!$C$15, $E$9, 100%, $G$9) + CHOOSE(CONTROL!$C$38, 0.0278, 0)</f>
        <v>62.639699999999998</v>
      </c>
      <c r="G823" s="14">
        <f>59.3565 * CHOOSE(CONTROL!$C$15, $E$9, 100%, $G$9) + CHOOSE(CONTROL!$C$38, 0.0369, 0)</f>
        <v>59.3934</v>
      </c>
      <c r="H823" s="14">
        <f>59.3565 * CHOOSE(CONTROL!$C$15, $E$9, 100%, $G$9) + CHOOSE(CONTROL!$C$38, 0.0369, 0)</f>
        <v>59.3934</v>
      </c>
      <c r="I823" s="14">
        <f>59.3581 * CHOOSE(CONTROL!$C$15, $E$9, 100%, $G$9) + CHOOSE(CONTROL!$C$38, 0.0369, 0)</f>
        <v>59.395000000000003</v>
      </c>
      <c r="J823" s="44">
        <f>558.9201</f>
        <v>558.92010000000005</v>
      </c>
    </row>
    <row r="824" spans="1:10" ht="15.75" x14ac:dyDescent="0.25">
      <c r="A824" s="32">
        <v>66019</v>
      </c>
      <c r="B824" s="14">
        <f>60.7024 * CHOOSE(CONTROL!$C$15, $E$9, 100%, $G$9) + CHOOSE(CONTROL!$C$38, 0.0278, 0)</f>
        <v>60.730199999999996</v>
      </c>
      <c r="C824" s="14">
        <f>57.4004 * CHOOSE(CONTROL!$C$15, $E$9, 100%, $G$9) + CHOOSE(CONTROL!$C$38, 0.0369, 0)</f>
        <v>57.4373</v>
      </c>
      <c r="D824" s="14">
        <f>57.3926 * CHOOSE(CONTROL!$C$15, $E$9, 100%, $G$9) + CHOOSE(CONTROL!$C$38, 0.0369, 0)</f>
        <v>57.429500000000004</v>
      </c>
      <c r="E824" s="46">
        <f>60.5461 * CHOOSE(CONTROL!$C$15, $E$9, 100%, $G$9) + CHOOSE(CONTROL!$C$38, 0.0369, 0)</f>
        <v>60.583000000000006</v>
      </c>
      <c r="F824" s="45">
        <f>60.5461 * CHOOSE(CONTROL!$C$15, $E$9, 100%, $G$9) + CHOOSE(CONTROL!$C$38, 0.0278, 0)</f>
        <v>60.573900000000002</v>
      </c>
      <c r="G824" s="14">
        <f>57.3989 * CHOOSE(CONTROL!$C$15, $E$9, 100%, $G$9) + CHOOSE(CONTROL!$C$38, 0.0369, 0)</f>
        <v>57.4358</v>
      </c>
      <c r="H824" s="14">
        <f>57.3989 * CHOOSE(CONTROL!$C$15, $E$9, 100%, $G$9) + CHOOSE(CONTROL!$C$38, 0.0369, 0)</f>
        <v>57.4358</v>
      </c>
      <c r="I824" s="14">
        <f>57.4004 * CHOOSE(CONTROL!$C$15, $E$9, 100%, $G$9) + CHOOSE(CONTROL!$C$38, 0.0369, 0)</f>
        <v>57.4373</v>
      </c>
      <c r="J824" s="44">
        <f>540.3426</f>
        <v>540.34259999999995</v>
      </c>
    </row>
    <row r="825" spans="1:10" ht="15.75" x14ac:dyDescent="0.25">
      <c r="A825" s="32">
        <v>66050</v>
      </c>
      <c r="B825" s="14">
        <f>58.6246 * CHOOSE(CONTROL!$C$15, $E$9, 100%, $G$9) + CHOOSE(CONTROL!$C$38, 0.0256, 0)</f>
        <v>58.650199999999998</v>
      </c>
      <c r="C825" s="14">
        <f>55.4314 * CHOOSE(CONTROL!$C$15, $E$9, 100%, $G$9) + CHOOSE(CONTROL!$C$38, 0.0347, 0)</f>
        <v>55.466099999999997</v>
      </c>
      <c r="D825" s="14">
        <f>55.4236 * CHOOSE(CONTROL!$C$15, $E$9, 100%, $G$9) + CHOOSE(CONTROL!$C$38, 0.0347, 0)</f>
        <v>55.458300000000001</v>
      </c>
      <c r="E825" s="46">
        <f>58.4683 * CHOOSE(CONTROL!$C$15, $E$9, 100%, $G$9) + CHOOSE(CONTROL!$C$38, 0.0347, 0)</f>
        <v>58.503</v>
      </c>
      <c r="F825" s="45">
        <f>58.4683 * CHOOSE(CONTROL!$C$15, $E$9, 100%, $G$9) + CHOOSE(CONTROL!$C$38, 0.0256, 0)</f>
        <v>58.493899999999996</v>
      </c>
      <c r="G825" s="14">
        <f>55.4299 * CHOOSE(CONTROL!$C$15, $E$9, 100%, $G$9) + CHOOSE(CONTROL!$C$38, 0.0347, 0)</f>
        <v>55.464600000000004</v>
      </c>
      <c r="H825" s="14">
        <f>55.4299 * CHOOSE(CONTROL!$C$15, $E$9, 100%, $G$9) + CHOOSE(CONTROL!$C$38, 0.0347, 0)</f>
        <v>55.464600000000004</v>
      </c>
      <c r="I825" s="14">
        <f>55.4314 * CHOOSE(CONTROL!$C$15, $E$9, 100%, $G$9) + CHOOSE(CONTROL!$C$38, 0.0347, 0)</f>
        <v>55.466099999999997</v>
      </c>
      <c r="J825" s="44">
        <f>521.657</f>
        <v>521.65700000000004</v>
      </c>
    </row>
    <row r="826" spans="1:10" ht="15.75" x14ac:dyDescent="0.25">
      <c r="A826" s="32">
        <v>66080</v>
      </c>
      <c r="B826" s="14">
        <f>58.2112 * CHOOSE(CONTROL!$C$15, $E$9, 100%, $G$9) + CHOOSE(CONTROL!$C$38, 0.0256, 0)</f>
        <v>58.236799999999995</v>
      </c>
      <c r="C826" s="14">
        <f>55.0397 * CHOOSE(CONTROL!$C$15, $E$9, 100%, $G$9) + CHOOSE(CONTROL!$C$38, 0.0347, 0)</f>
        <v>55.074400000000004</v>
      </c>
      <c r="D826" s="14">
        <f>55.0319 * CHOOSE(CONTROL!$C$15, $E$9, 100%, $G$9) + CHOOSE(CONTROL!$C$38, 0.0347, 0)</f>
        <v>55.066600000000001</v>
      </c>
      <c r="E826" s="46">
        <f>58.055 * CHOOSE(CONTROL!$C$15, $E$9, 100%, $G$9) + CHOOSE(CONTROL!$C$38, 0.0347, 0)</f>
        <v>58.089700000000001</v>
      </c>
      <c r="F826" s="45">
        <f>58.055 * CHOOSE(CONTROL!$C$15, $E$9, 100%, $G$9) + CHOOSE(CONTROL!$C$38, 0.0256, 0)</f>
        <v>58.080599999999997</v>
      </c>
      <c r="G826" s="14">
        <f>55.0382 * CHOOSE(CONTROL!$C$15, $E$9, 100%, $G$9) + CHOOSE(CONTROL!$C$38, 0.0347, 0)</f>
        <v>55.072900000000004</v>
      </c>
      <c r="H826" s="14">
        <f>55.0382 * CHOOSE(CONTROL!$C$15, $E$9, 100%, $G$9) + CHOOSE(CONTROL!$C$38, 0.0347, 0)</f>
        <v>55.072900000000004</v>
      </c>
      <c r="I826" s="14">
        <f>55.0397 * CHOOSE(CONTROL!$C$15, $E$9, 100%, $G$9) + CHOOSE(CONTROL!$C$38, 0.0347, 0)</f>
        <v>55.074400000000004</v>
      </c>
      <c r="J826" s="44">
        <f>517.94</f>
        <v>517.94000000000005</v>
      </c>
    </row>
    <row r="827" spans="1:10" ht="15.75" x14ac:dyDescent="0.25">
      <c r="A827" s="32">
        <v>66111</v>
      </c>
      <c r="B827" s="14">
        <f>56.5021 * CHOOSE(CONTROL!$C$15, $E$9, 100%, $G$9) + CHOOSE(CONTROL!$C$38, 0.0256, 0)</f>
        <v>56.527699999999996</v>
      </c>
      <c r="C827" s="14">
        <f>53.4201 * CHOOSE(CONTROL!$C$15, $E$9, 100%, $G$9) + CHOOSE(CONTROL!$C$38, 0.0347, 0)</f>
        <v>53.454799999999999</v>
      </c>
      <c r="D827" s="14">
        <f>53.4123 * CHOOSE(CONTROL!$C$15, $E$9, 100%, $G$9) + CHOOSE(CONTROL!$C$38, 0.0347, 0)</f>
        <v>53.447000000000003</v>
      </c>
      <c r="E827" s="46">
        <f>56.3459 * CHOOSE(CONTROL!$C$15, $E$9, 100%, $G$9) + CHOOSE(CONTROL!$C$38, 0.0347, 0)</f>
        <v>56.380600000000001</v>
      </c>
      <c r="F827" s="45">
        <f>56.3459 * CHOOSE(CONTROL!$C$15, $E$9, 100%, $G$9) + CHOOSE(CONTROL!$C$38, 0.0256, 0)</f>
        <v>56.371499999999997</v>
      </c>
      <c r="G827" s="14">
        <f>53.4185 * CHOOSE(CONTROL!$C$15, $E$9, 100%, $G$9) + CHOOSE(CONTROL!$C$38, 0.0347, 0)</f>
        <v>53.453200000000002</v>
      </c>
      <c r="H827" s="14">
        <f>53.4185 * CHOOSE(CONTROL!$C$15, $E$9, 100%, $G$9) + CHOOSE(CONTROL!$C$38, 0.0347, 0)</f>
        <v>53.453200000000002</v>
      </c>
      <c r="I827" s="14">
        <f>53.4201 * CHOOSE(CONTROL!$C$15, $E$9, 100%, $G$9) + CHOOSE(CONTROL!$C$38, 0.0347, 0)</f>
        <v>53.454799999999999</v>
      </c>
      <c r="J827" s="44">
        <f>502.5701</f>
        <v>502.57010000000002</v>
      </c>
    </row>
    <row r="828" spans="1:10" ht="15.75" x14ac:dyDescent="0.25">
      <c r="A828" s="32">
        <v>66142</v>
      </c>
      <c r="B828" s="14">
        <f>56.0777 * CHOOSE(CONTROL!$C$15, $E$9, 100%, $G$9) + CHOOSE(CONTROL!$C$38, 0.0256, 0)</f>
        <v>56.103299999999997</v>
      </c>
      <c r="C828" s="14">
        <f>53.0179 * CHOOSE(CONTROL!$C$15, $E$9, 100%, $G$9) + CHOOSE(CONTROL!$C$38, 0.0347, 0)</f>
        <v>53.052599999999998</v>
      </c>
      <c r="D828" s="14">
        <f>53.0101 * CHOOSE(CONTROL!$C$15, $E$9, 100%, $G$9) + CHOOSE(CONTROL!$C$38, 0.0347, 0)</f>
        <v>53.044800000000002</v>
      </c>
      <c r="E828" s="46">
        <f>55.9214 * CHOOSE(CONTROL!$C$15, $E$9, 100%, $G$9) + CHOOSE(CONTROL!$C$38, 0.0347, 0)</f>
        <v>55.956099999999999</v>
      </c>
      <c r="F828" s="45">
        <f>55.9214 * CHOOSE(CONTROL!$C$15, $E$9, 100%, $G$9) + CHOOSE(CONTROL!$C$38, 0.0256, 0)</f>
        <v>55.946999999999996</v>
      </c>
      <c r="G828" s="14">
        <f>53.0163 * CHOOSE(CONTROL!$C$15, $E$9, 100%, $G$9) + CHOOSE(CONTROL!$C$38, 0.0347, 0)</f>
        <v>53.051000000000002</v>
      </c>
      <c r="H828" s="14">
        <f>53.0163 * CHOOSE(CONTROL!$C$15, $E$9, 100%, $G$9) + CHOOSE(CONTROL!$C$38, 0.0347, 0)</f>
        <v>53.051000000000002</v>
      </c>
      <c r="I828" s="14">
        <f>53.0179 * CHOOSE(CONTROL!$C$15, $E$9, 100%, $G$9) + CHOOSE(CONTROL!$C$38, 0.0347, 0)</f>
        <v>53.052599999999998</v>
      </c>
      <c r="J828" s="44">
        <f>501.9221</f>
        <v>501.9221</v>
      </c>
    </row>
    <row r="829" spans="1:10" ht="15.75" x14ac:dyDescent="0.25">
      <c r="A829" s="32">
        <v>66170</v>
      </c>
      <c r="B829" s="14">
        <f>55.9235 * CHOOSE(CONTROL!$C$15, $E$9, 100%, $G$9) + CHOOSE(CONTROL!$C$38, 0.0256, 0)</f>
        <v>55.949099999999994</v>
      </c>
      <c r="C829" s="14">
        <f>52.8718 * CHOOSE(CONTROL!$C$15, $E$9, 100%, $G$9) + CHOOSE(CONTROL!$C$38, 0.0347, 0)</f>
        <v>52.906500000000001</v>
      </c>
      <c r="D829" s="14">
        <f>52.864 * CHOOSE(CONTROL!$C$15, $E$9, 100%, $G$9) + CHOOSE(CONTROL!$C$38, 0.0347, 0)</f>
        <v>52.898699999999998</v>
      </c>
      <c r="E829" s="46">
        <f>55.7673 * CHOOSE(CONTROL!$C$15, $E$9, 100%, $G$9) + CHOOSE(CONTROL!$C$38, 0.0347, 0)</f>
        <v>55.802</v>
      </c>
      <c r="F829" s="45">
        <f>55.7673 * CHOOSE(CONTROL!$C$15, $E$9, 100%, $G$9) + CHOOSE(CONTROL!$C$38, 0.0256, 0)</f>
        <v>55.792899999999996</v>
      </c>
      <c r="G829" s="14">
        <f>52.8702 * CHOOSE(CONTROL!$C$15, $E$9, 100%, $G$9) + CHOOSE(CONTROL!$C$38, 0.0347, 0)</f>
        <v>52.904899999999998</v>
      </c>
      <c r="H829" s="14">
        <f>52.8702 * CHOOSE(CONTROL!$C$15, $E$9, 100%, $G$9) + CHOOSE(CONTROL!$C$38, 0.0347, 0)</f>
        <v>52.904899999999998</v>
      </c>
      <c r="I829" s="14">
        <f>52.8718 * CHOOSE(CONTROL!$C$15, $E$9, 100%, $G$9) + CHOOSE(CONTROL!$C$38, 0.0347, 0)</f>
        <v>52.906500000000001</v>
      </c>
      <c r="J829" s="44">
        <f>500.5269</f>
        <v>500.52690000000001</v>
      </c>
    </row>
    <row r="830" spans="1:10" ht="15.75" x14ac:dyDescent="0.25">
      <c r="A830" s="32">
        <v>66201</v>
      </c>
      <c r="B830" s="14">
        <f>58.8385 * CHOOSE(CONTROL!$C$15, $E$9, 100%, $G$9) + CHOOSE(CONTROL!$C$38, 0.0256, 0)</f>
        <v>58.864100000000001</v>
      </c>
      <c r="C830" s="14">
        <f>55.6342 * CHOOSE(CONTROL!$C$15, $E$9, 100%, $G$9) + CHOOSE(CONTROL!$C$38, 0.0347, 0)</f>
        <v>55.668900000000001</v>
      </c>
      <c r="D830" s="14">
        <f>55.6264 * CHOOSE(CONTROL!$C$15, $E$9, 100%, $G$9) + CHOOSE(CONTROL!$C$38, 0.0347, 0)</f>
        <v>55.661099999999998</v>
      </c>
      <c r="E830" s="46">
        <f>58.6823 * CHOOSE(CONTROL!$C$15, $E$9, 100%, $G$9) + CHOOSE(CONTROL!$C$38, 0.0347, 0)</f>
        <v>58.716999999999999</v>
      </c>
      <c r="F830" s="45">
        <f>58.6823 * CHOOSE(CONTROL!$C$15, $E$9, 100%, $G$9) + CHOOSE(CONTROL!$C$38, 0.0256, 0)</f>
        <v>58.707899999999995</v>
      </c>
      <c r="G830" s="14">
        <f>55.6326 * CHOOSE(CONTROL!$C$15, $E$9, 100%, $G$9) + CHOOSE(CONTROL!$C$38, 0.0347, 0)</f>
        <v>55.667299999999997</v>
      </c>
      <c r="H830" s="14">
        <f>55.6326 * CHOOSE(CONTROL!$C$15, $E$9, 100%, $G$9) + CHOOSE(CONTROL!$C$38, 0.0347, 0)</f>
        <v>55.667299999999997</v>
      </c>
      <c r="I830" s="14">
        <f>55.6342 * CHOOSE(CONTROL!$C$15, $E$9, 100%, $G$9) + CHOOSE(CONTROL!$C$38, 0.0347, 0)</f>
        <v>55.668900000000001</v>
      </c>
      <c r="J830" s="44">
        <f>526.9075</f>
        <v>526.90750000000003</v>
      </c>
    </row>
    <row r="831" spans="1:10" ht="15.75" x14ac:dyDescent="0.25">
      <c r="A831" s="32">
        <v>66231</v>
      </c>
      <c r="B831" s="14">
        <f>62.6185 * CHOOSE(CONTROL!$C$15, $E$9, 100%, $G$9) + CHOOSE(CONTROL!$C$38, 0.0256, 0)</f>
        <v>62.644099999999995</v>
      </c>
      <c r="C831" s="14">
        <f>59.2163 * CHOOSE(CONTROL!$C$15, $E$9, 100%, $G$9) + CHOOSE(CONTROL!$C$38, 0.0347, 0)</f>
        <v>59.250999999999998</v>
      </c>
      <c r="D831" s="14">
        <f>59.2085 * CHOOSE(CONTROL!$C$15, $E$9, 100%, $G$9) + CHOOSE(CONTROL!$C$38, 0.0347, 0)</f>
        <v>59.243200000000002</v>
      </c>
      <c r="E831" s="46">
        <f>62.4623 * CHOOSE(CONTROL!$C$15, $E$9, 100%, $G$9) + CHOOSE(CONTROL!$C$38, 0.0347, 0)</f>
        <v>62.497</v>
      </c>
      <c r="F831" s="45">
        <f>62.4623 * CHOOSE(CONTROL!$C$15, $E$9, 100%, $G$9) + CHOOSE(CONTROL!$C$38, 0.0256, 0)</f>
        <v>62.487899999999996</v>
      </c>
      <c r="G831" s="14">
        <f>59.2147 * CHOOSE(CONTROL!$C$15, $E$9, 100%, $G$9) + CHOOSE(CONTROL!$C$38, 0.0347, 0)</f>
        <v>59.249400000000001</v>
      </c>
      <c r="H831" s="14">
        <f>59.2147 * CHOOSE(CONTROL!$C$15, $E$9, 100%, $G$9) + CHOOSE(CONTROL!$C$38, 0.0347, 0)</f>
        <v>59.249400000000001</v>
      </c>
      <c r="I831" s="14">
        <f>59.2163 * CHOOSE(CONTROL!$C$15, $E$9, 100%, $G$9) + CHOOSE(CONTROL!$C$38, 0.0347, 0)</f>
        <v>59.250999999999998</v>
      </c>
      <c r="J831" s="44">
        <f>561.117</f>
        <v>561.11699999999996</v>
      </c>
    </row>
    <row r="832" spans="1:10" ht="15.75" x14ac:dyDescent="0.25">
      <c r="A832" s="32">
        <v>66262</v>
      </c>
      <c r="B832" s="14">
        <f>64.6992 * CHOOSE(CONTROL!$C$15, $E$9, 100%, $G$9) + CHOOSE(CONTROL!$C$38, 0.0278, 0)</f>
        <v>64.727000000000004</v>
      </c>
      <c r="C832" s="14">
        <f>61.188 * CHOOSE(CONTROL!$C$15, $E$9, 100%, $G$9) + CHOOSE(CONTROL!$C$38, 0.0369, 0)</f>
        <v>61.224900000000005</v>
      </c>
      <c r="D832" s="14">
        <f>61.1802 * CHOOSE(CONTROL!$C$15, $E$9, 100%, $G$9) + CHOOSE(CONTROL!$C$38, 0.0369, 0)</f>
        <v>61.217100000000002</v>
      </c>
      <c r="E832" s="46">
        <f>64.5429 * CHOOSE(CONTROL!$C$15, $E$9, 100%, $G$9) + CHOOSE(CONTROL!$C$38, 0.0369, 0)</f>
        <v>64.579800000000006</v>
      </c>
      <c r="F832" s="45">
        <f>64.5429 * CHOOSE(CONTROL!$C$15, $E$9, 100%, $G$9) + CHOOSE(CONTROL!$C$38, 0.0278, 0)</f>
        <v>64.570700000000002</v>
      </c>
      <c r="G832" s="14">
        <f>61.1864 * CHOOSE(CONTROL!$C$15, $E$9, 100%, $G$9) + CHOOSE(CONTROL!$C$38, 0.0369, 0)</f>
        <v>61.223300000000002</v>
      </c>
      <c r="H832" s="14">
        <f>61.1864 * CHOOSE(CONTROL!$C$15, $E$9, 100%, $G$9) + CHOOSE(CONTROL!$C$38, 0.0369, 0)</f>
        <v>61.223300000000002</v>
      </c>
      <c r="I832" s="14">
        <f>61.188 * CHOOSE(CONTROL!$C$15, $E$9, 100%, $G$9) + CHOOSE(CONTROL!$C$38, 0.0369, 0)</f>
        <v>61.224900000000005</v>
      </c>
      <c r="J832" s="44">
        <f>579.9469</f>
        <v>579.94690000000003</v>
      </c>
    </row>
    <row r="833" spans="1:10" ht="15.75" x14ac:dyDescent="0.25">
      <c r="A833" s="32">
        <v>66292</v>
      </c>
      <c r="B833" s="14">
        <f>65.6225 * CHOOSE(CONTROL!$C$15, $E$9, 100%, $G$9) + CHOOSE(CONTROL!$C$38, 0.0278, 0)</f>
        <v>65.650300000000001</v>
      </c>
      <c r="C833" s="14">
        <f>62.063 * CHOOSE(CONTROL!$C$15, $E$9, 100%, $G$9) + CHOOSE(CONTROL!$C$38, 0.0369, 0)</f>
        <v>62.099900000000005</v>
      </c>
      <c r="D833" s="14">
        <f>62.0552 * CHOOSE(CONTROL!$C$15, $E$9, 100%, $G$9) + CHOOSE(CONTROL!$C$38, 0.0369, 0)</f>
        <v>62.092100000000002</v>
      </c>
      <c r="E833" s="46">
        <f>65.4663 * CHOOSE(CONTROL!$C$15, $E$9, 100%, $G$9) + CHOOSE(CONTROL!$C$38, 0.0369, 0)</f>
        <v>65.503200000000007</v>
      </c>
      <c r="F833" s="45">
        <f>65.4663 * CHOOSE(CONTROL!$C$15, $E$9, 100%, $G$9) + CHOOSE(CONTROL!$C$38, 0.0278, 0)</f>
        <v>65.494100000000003</v>
      </c>
      <c r="G833" s="14">
        <f>62.0614 * CHOOSE(CONTROL!$C$15, $E$9, 100%, $G$9) + CHOOSE(CONTROL!$C$38, 0.0369, 0)</f>
        <v>62.098300000000002</v>
      </c>
      <c r="H833" s="14">
        <f>62.0614 * CHOOSE(CONTROL!$C$15, $E$9, 100%, $G$9) + CHOOSE(CONTROL!$C$38, 0.0369, 0)</f>
        <v>62.098300000000002</v>
      </c>
      <c r="I833" s="14">
        <f>62.063 * CHOOSE(CONTROL!$C$15, $E$9, 100%, $G$9) + CHOOSE(CONTROL!$C$38, 0.0369, 0)</f>
        <v>62.099900000000005</v>
      </c>
      <c r="J833" s="44">
        <f>588.3033</f>
        <v>588.30330000000004</v>
      </c>
    </row>
    <row r="834" spans="1:10" ht="15.75" x14ac:dyDescent="0.25">
      <c r="A834" s="32">
        <v>66323</v>
      </c>
      <c r="B834" s="14">
        <f>65.3185 * CHOOSE(CONTROL!$C$15, $E$9, 100%, $G$9) + CHOOSE(CONTROL!$C$38, 0.0278, 0)</f>
        <v>65.346299999999999</v>
      </c>
      <c r="C834" s="14">
        <f>61.7749 * CHOOSE(CONTROL!$C$15, $E$9, 100%, $G$9) + CHOOSE(CONTROL!$C$38, 0.0369, 0)</f>
        <v>61.811800000000005</v>
      </c>
      <c r="D834" s="14">
        <f>61.7671 * CHOOSE(CONTROL!$C$15, $E$9, 100%, $G$9) + CHOOSE(CONTROL!$C$38, 0.0369, 0)</f>
        <v>61.804000000000002</v>
      </c>
      <c r="E834" s="46">
        <f>65.1622 * CHOOSE(CONTROL!$C$15, $E$9, 100%, $G$9) + CHOOSE(CONTROL!$C$38, 0.0369, 0)</f>
        <v>65.199100000000001</v>
      </c>
      <c r="F834" s="45">
        <f>65.1622 * CHOOSE(CONTROL!$C$15, $E$9, 100%, $G$9) + CHOOSE(CONTROL!$C$38, 0.0278, 0)</f>
        <v>65.19</v>
      </c>
      <c r="G834" s="14">
        <f>61.7733 * CHOOSE(CONTROL!$C$15, $E$9, 100%, $G$9) + CHOOSE(CONTROL!$C$38, 0.0369, 0)</f>
        <v>61.810200000000002</v>
      </c>
      <c r="H834" s="14">
        <f>61.7733 * CHOOSE(CONTROL!$C$15, $E$9, 100%, $G$9) + CHOOSE(CONTROL!$C$38, 0.0369, 0)</f>
        <v>61.810200000000002</v>
      </c>
      <c r="I834" s="14">
        <f>61.7749 * CHOOSE(CONTROL!$C$15, $E$9, 100%, $G$9) + CHOOSE(CONTROL!$C$38, 0.0369, 0)</f>
        <v>61.811800000000005</v>
      </c>
      <c r="J834" s="44">
        <f>585.552</f>
        <v>585.55200000000002</v>
      </c>
    </row>
    <row r="835" spans="1:10" ht="15.75" x14ac:dyDescent="0.25">
      <c r="A835" s="32">
        <v>66354</v>
      </c>
      <c r="B835" s="14">
        <f>63.8123 * CHOOSE(CONTROL!$C$15, $E$9, 100%, $G$9) + CHOOSE(CONTROL!$C$38, 0.0278, 0)</f>
        <v>63.8401</v>
      </c>
      <c r="C835" s="14">
        <f>60.3475 * CHOOSE(CONTROL!$C$15, $E$9, 100%, $G$9) + CHOOSE(CONTROL!$C$38, 0.0369, 0)</f>
        <v>60.384399999999999</v>
      </c>
      <c r="D835" s="14">
        <f>60.3397 * CHOOSE(CONTROL!$C$15, $E$9, 100%, $G$9) + CHOOSE(CONTROL!$C$38, 0.0369, 0)</f>
        <v>60.376600000000003</v>
      </c>
      <c r="E835" s="46">
        <f>63.656 * CHOOSE(CONTROL!$C$15, $E$9, 100%, $G$9) + CHOOSE(CONTROL!$C$38, 0.0369, 0)</f>
        <v>63.692900000000002</v>
      </c>
      <c r="F835" s="45">
        <f>63.656 * CHOOSE(CONTROL!$C$15, $E$9, 100%, $G$9) + CHOOSE(CONTROL!$C$38, 0.0278, 0)</f>
        <v>63.683799999999998</v>
      </c>
      <c r="G835" s="14">
        <f>60.346 * CHOOSE(CONTROL!$C$15, $E$9, 100%, $G$9) + CHOOSE(CONTROL!$C$38, 0.0369, 0)</f>
        <v>60.382899999999999</v>
      </c>
      <c r="H835" s="14">
        <f>60.346 * CHOOSE(CONTROL!$C$15, $E$9, 100%, $G$9) + CHOOSE(CONTROL!$C$38, 0.0369, 0)</f>
        <v>60.382899999999999</v>
      </c>
      <c r="I835" s="14">
        <f>60.3475 * CHOOSE(CONTROL!$C$15, $E$9, 100%, $G$9) + CHOOSE(CONTROL!$C$38, 0.0369, 0)</f>
        <v>60.384399999999999</v>
      </c>
      <c r="J835" s="44">
        <f>571.9206</f>
        <v>571.92060000000004</v>
      </c>
    </row>
    <row r="836" spans="1:10" ht="15.75" x14ac:dyDescent="0.25">
      <c r="A836" s="32">
        <v>66384</v>
      </c>
      <c r="B836" s="14">
        <f>61.7118 * CHOOSE(CONTROL!$C$15, $E$9, 100%, $G$9) + CHOOSE(CONTROL!$C$38, 0.0278, 0)</f>
        <v>61.739599999999996</v>
      </c>
      <c r="C836" s="14">
        <f>58.357 * CHOOSE(CONTROL!$C$15, $E$9, 100%, $G$9) + CHOOSE(CONTROL!$C$38, 0.0369, 0)</f>
        <v>58.393900000000002</v>
      </c>
      <c r="D836" s="14">
        <f>58.3492 * CHOOSE(CONTROL!$C$15, $E$9, 100%, $G$9) + CHOOSE(CONTROL!$C$38, 0.0369, 0)</f>
        <v>58.386100000000006</v>
      </c>
      <c r="E836" s="46">
        <f>61.5555 * CHOOSE(CONTROL!$C$15, $E$9, 100%, $G$9) + CHOOSE(CONTROL!$C$38, 0.0369, 0)</f>
        <v>61.592400000000005</v>
      </c>
      <c r="F836" s="45">
        <f>61.5555 * CHOOSE(CONTROL!$C$15, $E$9, 100%, $G$9) + CHOOSE(CONTROL!$C$38, 0.0278, 0)</f>
        <v>61.583300000000001</v>
      </c>
      <c r="G836" s="14">
        <f>58.3555 * CHOOSE(CONTROL!$C$15, $E$9, 100%, $G$9) + CHOOSE(CONTROL!$C$38, 0.0369, 0)</f>
        <v>58.392400000000002</v>
      </c>
      <c r="H836" s="14">
        <f>58.3555 * CHOOSE(CONTROL!$C$15, $E$9, 100%, $G$9) + CHOOSE(CONTROL!$C$38, 0.0369, 0)</f>
        <v>58.392400000000002</v>
      </c>
      <c r="I836" s="14">
        <f>58.357 * CHOOSE(CONTROL!$C$15, $E$9, 100%, $G$9) + CHOOSE(CONTROL!$C$38, 0.0369, 0)</f>
        <v>58.393900000000002</v>
      </c>
      <c r="J836" s="44">
        <f>552.911</f>
        <v>552.91099999999994</v>
      </c>
    </row>
    <row r="837" spans="1:10" ht="15.75" x14ac:dyDescent="0.25">
      <c r="A837" s="32">
        <v>66415</v>
      </c>
      <c r="B837" s="14">
        <f>59.5991 * CHOOSE(CONTROL!$C$15, $E$9, 100%, $G$9) + CHOOSE(CONTROL!$C$38, 0.0256, 0)</f>
        <v>59.624699999999997</v>
      </c>
      <c r="C837" s="14">
        <f>56.3549 * CHOOSE(CONTROL!$C$15, $E$9, 100%, $G$9) + CHOOSE(CONTROL!$C$38, 0.0347, 0)</f>
        <v>56.389600000000002</v>
      </c>
      <c r="D837" s="14">
        <f>56.3471 * CHOOSE(CONTROL!$C$15, $E$9, 100%, $G$9) + CHOOSE(CONTROL!$C$38, 0.0347, 0)</f>
        <v>56.381799999999998</v>
      </c>
      <c r="E837" s="46">
        <f>59.4428 * CHOOSE(CONTROL!$C$15, $E$9, 100%, $G$9) + CHOOSE(CONTROL!$C$38, 0.0347, 0)</f>
        <v>59.477499999999999</v>
      </c>
      <c r="F837" s="45">
        <f>59.4428 * CHOOSE(CONTROL!$C$15, $E$9, 100%, $G$9) + CHOOSE(CONTROL!$C$38, 0.0256, 0)</f>
        <v>59.468399999999995</v>
      </c>
      <c r="G837" s="14">
        <f>56.3533 * CHOOSE(CONTROL!$C$15, $E$9, 100%, $G$9) + CHOOSE(CONTROL!$C$38, 0.0347, 0)</f>
        <v>56.387999999999998</v>
      </c>
      <c r="H837" s="14">
        <f>56.3533 * CHOOSE(CONTROL!$C$15, $E$9, 100%, $G$9) + CHOOSE(CONTROL!$C$38, 0.0347, 0)</f>
        <v>56.387999999999998</v>
      </c>
      <c r="I837" s="14">
        <f>56.3549 * CHOOSE(CONTROL!$C$15, $E$9, 100%, $G$9) + CHOOSE(CONTROL!$C$38, 0.0347, 0)</f>
        <v>56.389600000000002</v>
      </c>
      <c r="J837" s="44">
        <f>533.7907</f>
        <v>533.79070000000002</v>
      </c>
    </row>
    <row r="838" spans="1:10" ht="15.75" x14ac:dyDescent="0.25">
      <c r="A838" s="32">
        <v>66445</v>
      </c>
      <c r="B838" s="14">
        <f>59.1788 * CHOOSE(CONTROL!$C$15, $E$9, 100%, $G$9) + CHOOSE(CONTROL!$C$38, 0.0256, 0)</f>
        <v>59.2044</v>
      </c>
      <c r="C838" s="14">
        <f>55.9567 * CHOOSE(CONTROL!$C$15, $E$9, 100%, $G$9) + CHOOSE(CONTROL!$C$38, 0.0347, 0)</f>
        <v>55.991399999999999</v>
      </c>
      <c r="D838" s="14">
        <f>55.9488 * CHOOSE(CONTROL!$C$15, $E$9, 100%, $G$9) + CHOOSE(CONTROL!$C$38, 0.0347, 0)</f>
        <v>55.983499999999999</v>
      </c>
      <c r="E838" s="46">
        <f>59.0226 * CHOOSE(CONTROL!$C$15, $E$9, 100%, $G$9) + CHOOSE(CONTROL!$C$38, 0.0347, 0)</f>
        <v>59.057299999999998</v>
      </c>
      <c r="F838" s="45">
        <f>59.0226 * CHOOSE(CONTROL!$C$15, $E$9, 100%, $G$9) + CHOOSE(CONTROL!$C$38, 0.0256, 0)</f>
        <v>59.048199999999994</v>
      </c>
      <c r="G838" s="14">
        <f>55.9551 * CHOOSE(CONTROL!$C$15, $E$9, 100%, $G$9) + CHOOSE(CONTROL!$C$38, 0.0347, 0)</f>
        <v>55.989800000000002</v>
      </c>
      <c r="H838" s="14">
        <f>55.9551 * CHOOSE(CONTROL!$C$15, $E$9, 100%, $G$9) + CHOOSE(CONTROL!$C$38, 0.0347, 0)</f>
        <v>55.989800000000002</v>
      </c>
      <c r="I838" s="14">
        <f>55.9567 * CHOOSE(CONTROL!$C$15, $E$9, 100%, $G$9) + CHOOSE(CONTROL!$C$38, 0.0347, 0)</f>
        <v>55.991399999999999</v>
      </c>
      <c r="J838" s="44">
        <f>529.9873</f>
        <v>529.9873</v>
      </c>
    </row>
    <row r="839" spans="1:10" ht="15.75" x14ac:dyDescent="0.25">
      <c r="A839" s="32">
        <v>66476</v>
      </c>
      <c r="B839" s="14">
        <f>57.441 * CHOOSE(CONTROL!$C$15, $E$9, 100%, $G$9) + CHOOSE(CONTROL!$C$38, 0.0256, 0)</f>
        <v>57.4666</v>
      </c>
      <c r="C839" s="14">
        <f>54.3098 * CHOOSE(CONTROL!$C$15, $E$9, 100%, $G$9) + CHOOSE(CONTROL!$C$38, 0.0347, 0)</f>
        <v>54.344500000000004</v>
      </c>
      <c r="D839" s="14">
        <f>54.302 * CHOOSE(CONTROL!$C$15, $E$9, 100%, $G$9) + CHOOSE(CONTROL!$C$38, 0.0347, 0)</f>
        <v>54.3367</v>
      </c>
      <c r="E839" s="46">
        <f>57.2847 * CHOOSE(CONTROL!$C$15, $E$9, 100%, $G$9) + CHOOSE(CONTROL!$C$38, 0.0347, 0)</f>
        <v>57.319400000000002</v>
      </c>
      <c r="F839" s="45">
        <f>57.2847 * CHOOSE(CONTROL!$C$15, $E$9, 100%, $G$9) + CHOOSE(CONTROL!$C$38, 0.0256, 0)</f>
        <v>57.310299999999998</v>
      </c>
      <c r="G839" s="14">
        <f>54.3082 * CHOOSE(CONTROL!$C$15, $E$9, 100%, $G$9) + CHOOSE(CONTROL!$C$38, 0.0347, 0)</f>
        <v>54.3429</v>
      </c>
      <c r="H839" s="14">
        <f>54.3082 * CHOOSE(CONTROL!$C$15, $E$9, 100%, $G$9) + CHOOSE(CONTROL!$C$38, 0.0347, 0)</f>
        <v>54.3429</v>
      </c>
      <c r="I839" s="14">
        <f>54.3098 * CHOOSE(CONTROL!$C$15, $E$9, 100%, $G$9) + CHOOSE(CONTROL!$C$38, 0.0347, 0)</f>
        <v>54.344500000000004</v>
      </c>
      <c r="J839" s="44">
        <f>514.2599</f>
        <v>514.25990000000002</v>
      </c>
    </row>
    <row r="840" spans="1:10" ht="15.75" x14ac:dyDescent="0.25">
      <c r="A840" s="32">
        <v>66507</v>
      </c>
      <c r="B840" s="14">
        <f>57.0094 * CHOOSE(CONTROL!$C$15, $E$9, 100%, $G$9) + CHOOSE(CONTROL!$C$38, 0.0256, 0)</f>
        <v>57.034999999999997</v>
      </c>
      <c r="C840" s="14">
        <f>53.9008 * CHOOSE(CONTROL!$C$15, $E$9, 100%, $G$9) + CHOOSE(CONTROL!$C$38, 0.0347, 0)</f>
        <v>53.935499999999998</v>
      </c>
      <c r="D840" s="14">
        <f>53.893 * CHOOSE(CONTROL!$C$15, $E$9, 100%, $G$9) + CHOOSE(CONTROL!$C$38, 0.0347, 0)</f>
        <v>53.927700000000002</v>
      </c>
      <c r="E840" s="46">
        <f>56.8532 * CHOOSE(CONTROL!$C$15, $E$9, 100%, $G$9) + CHOOSE(CONTROL!$C$38, 0.0347, 0)</f>
        <v>56.887900000000002</v>
      </c>
      <c r="F840" s="45">
        <f>56.8532 * CHOOSE(CONTROL!$C$15, $E$9, 100%, $G$9) + CHOOSE(CONTROL!$C$38, 0.0256, 0)</f>
        <v>56.878799999999998</v>
      </c>
      <c r="G840" s="14">
        <f>53.8993 * CHOOSE(CONTROL!$C$15, $E$9, 100%, $G$9) + CHOOSE(CONTROL!$C$38, 0.0347, 0)</f>
        <v>53.933999999999997</v>
      </c>
      <c r="H840" s="14">
        <f>53.8993 * CHOOSE(CONTROL!$C$15, $E$9, 100%, $G$9) + CHOOSE(CONTROL!$C$38, 0.0347, 0)</f>
        <v>53.933999999999997</v>
      </c>
      <c r="I840" s="14">
        <f>53.9008 * CHOOSE(CONTROL!$C$15, $E$9, 100%, $G$9) + CHOOSE(CONTROL!$C$38, 0.0347, 0)</f>
        <v>53.935499999999998</v>
      </c>
      <c r="J840" s="44">
        <f>513.5968</f>
        <v>513.59680000000003</v>
      </c>
    </row>
    <row r="841" spans="1:10" ht="15.75" x14ac:dyDescent="0.25">
      <c r="A841" s="32">
        <v>66535</v>
      </c>
      <c r="B841" s="14">
        <f>56.8527 * CHOOSE(CONTROL!$C$15, $E$9, 100%, $G$9) + CHOOSE(CONTROL!$C$38, 0.0256, 0)</f>
        <v>56.878299999999996</v>
      </c>
      <c r="C841" s="14">
        <f>53.7523 * CHOOSE(CONTROL!$C$15, $E$9, 100%, $G$9) + CHOOSE(CONTROL!$C$38, 0.0347, 0)</f>
        <v>53.786999999999999</v>
      </c>
      <c r="D841" s="14">
        <f>53.7445 * CHOOSE(CONTROL!$C$15, $E$9, 100%, $G$9) + CHOOSE(CONTROL!$C$38, 0.0347, 0)</f>
        <v>53.779200000000003</v>
      </c>
      <c r="E841" s="46">
        <f>56.6964 * CHOOSE(CONTROL!$C$15, $E$9, 100%, $G$9) + CHOOSE(CONTROL!$C$38, 0.0347, 0)</f>
        <v>56.731099999999998</v>
      </c>
      <c r="F841" s="45">
        <f>56.6964 * CHOOSE(CONTROL!$C$15, $E$9, 100%, $G$9) + CHOOSE(CONTROL!$C$38, 0.0256, 0)</f>
        <v>56.721999999999994</v>
      </c>
      <c r="G841" s="14">
        <f>53.7507 * CHOOSE(CONTROL!$C$15, $E$9, 100%, $G$9) + CHOOSE(CONTROL!$C$38, 0.0347, 0)</f>
        <v>53.785400000000003</v>
      </c>
      <c r="H841" s="14">
        <f>53.7507 * CHOOSE(CONTROL!$C$15, $E$9, 100%, $G$9) + CHOOSE(CONTROL!$C$38, 0.0347, 0)</f>
        <v>53.785400000000003</v>
      </c>
      <c r="I841" s="14">
        <f>53.7523 * CHOOSE(CONTROL!$C$15, $E$9, 100%, $G$9) + CHOOSE(CONTROL!$C$38, 0.0347, 0)</f>
        <v>53.786999999999999</v>
      </c>
      <c r="J841" s="44">
        <f>512.1691</f>
        <v>512.16909999999996</v>
      </c>
    </row>
    <row r="842" spans="1:10" ht="15.75" x14ac:dyDescent="0.25">
      <c r="A842" s="32">
        <v>66566</v>
      </c>
      <c r="B842" s="14">
        <f>59.8166 * CHOOSE(CONTROL!$C$15, $E$9, 100%, $G$9) + CHOOSE(CONTROL!$C$38, 0.0256, 0)</f>
        <v>59.842199999999998</v>
      </c>
      <c r="C842" s="14">
        <f>56.5611 * CHOOSE(CONTROL!$C$15, $E$9, 100%, $G$9) + CHOOSE(CONTROL!$C$38, 0.0347, 0)</f>
        <v>56.595800000000004</v>
      </c>
      <c r="D842" s="14">
        <f>56.5532 * CHOOSE(CONTROL!$C$15, $E$9, 100%, $G$9) + CHOOSE(CONTROL!$C$38, 0.0347, 0)</f>
        <v>56.587899999999998</v>
      </c>
      <c r="E842" s="46">
        <f>59.6604 * CHOOSE(CONTROL!$C$15, $E$9, 100%, $G$9) + CHOOSE(CONTROL!$C$38, 0.0347, 0)</f>
        <v>59.695100000000004</v>
      </c>
      <c r="F842" s="45">
        <f>59.6604 * CHOOSE(CONTROL!$C$15, $E$9, 100%, $G$9) + CHOOSE(CONTROL!$C$38, 0.0256, 0)</f>
        <v>59.686</v>
      </c>
      <c r="G842" s="14">
        <f>56.5595 * CHOOSE(CONTROL!$C$15, $E$9, 100%, $G$9) + CHOOSE(CONTROL!$C$38, 0.0347, 0)</f>
        <v>56.594200000000001</v>
      </c>
      <c r="H842" s="14">
        <f>56.5595 * CHOOSE(CONTROL!$C$15, $E$9, 100%, $G$9) + CHOOSE(CONTROL!$C$38, 0.0347, 0)</f>
        <v>56.594200000000001</v>
      </c>
      <c r="I842" s="14">
        <f>56.5611 * CHOOSE(CONTROL!$C$15, $E$9, 100%, $G$9) + CHOOSE(CONTROL!$C$38, 0.0347, 0)</f>
        <v>56.595800000000004</v>
      </c>
      <c r="J842" s="44">
        <f>539.1634</f>
        <v>539.16340000000002</v>
      </c>
    </row>
    <row r="843" spans="1:10" ht="15.75" x14ac:dyDescent="0.25">
      <c r="A843" s="32">
        <v>66596</v>
      </c>
      <c r="B843" s="14">
        <f>63.6601 * CHOOSE(CONTROL!$C$15, $E$9, 100%, $G$9) + CHOOSE(CONTROL!$C$38, 0.0256, 0)</f>
        <v>63.685699999999997</v>
      </c>
      <c r="C843" s="14">
        <f>60.2034 * CHOOSE(CONTROL!$C$15, $E$9, 100%, $G$9) + CHOOSE(CONTROL!$C$38, 0.0347, 0)</f>
        <v>60.238100000000003</v>
      </c>
      <c r="D843" s="14">
        <f>60.1955 * CHOOSE(CONTROL!$C$15, $E$9, 100%, $G$9) + CHOOSE(CONTROL!$C$38, 0.0347, 0)</f>
        <v>60.230200000000004</v>
      </c>
      <c r="E843" s="46">
        <f>63.5039 * CHOOSE(CONTROL!$C$15, $E$9, 100%, $G$9) + CHOOSE(CONTROL!$C$38, 0.0347, 0)</f>
        <v>63.538600000000002</v>
      </c>
      <c r="F843" s="45">
        <f>63.5039 * CHOOSE(CONTROL!$C$15, $E$9, 100%, $G$9) + CHOOSE(CONTROL!$C$38, 0.0256, 0)</f>
        <v>63.529499999999999</v>
      </c>
      <c r="G843" s="14">
        <f>60.2018 * CHOOSE(CONTROL!$C$15, $E$9, 100%, $G$9) + CHOOSE(CONTROL!$C$38, 0.0347, 0)</f>
        <v>60.236499999999999</v>
      </c>
      <c r="H843" s="14">
        <f>60.2018 * CHOOSE(CONTROL!$C$15, $E$9, 100%, $G$9) + CHOOSE(CONTROL!$C$38, 0.0347, 0)</f>
        <v>60.236499999999999</v>
      </c>
      <c r="I843" s="14">
        <f>60.2034 * CHOOSE(CONTROL!$C$15, $E$9, 100%, $G$9) + CHOOSE(CONTROL!$C$38, 0.0347, 0)</f>
        <v>60.238100000000003</v>
      </c>
      <c r="J843" s="44">
        <f>574.1685</f>
        <v>574.16849999999999</v>
      </c>
    </row>
    <row r="844" spans="1:10" ht="15.75" x14ac:dyDescent="0.25">
      <c r="A844" s="32">
        <v>66627</v>
      </c>
      <c r="B844" s="14">
        <f>65.7757 * CHOOSE(CONTROL!$C$15, $E$9, 100%, $G$9) + CHOOSE(CONTROL!$C$38, 0.0278, 0)</f>
        <v>65.8035</v>
      </c>
      <c r="C844" s="14">
        <f>62.2082 * CHOOSE(CONTROL!$C$15, $E$9, 100%, $G$9) + CHOOSE(CONTROL!$C$38, 0.0369, 0)</f>
        <v>62.245100000000001</v>
      </c>
      <c r="D844" s="14">
        <f>62.2004 * CHOOSE(CONTROL!$C$15, $E$9, 100%, $G$9) + CHOOSE(CONTROL!$C$38, 0.0369, 0)</f>
        <v>62.237300000000005</v>
      </c>
      <c r="E844" s="46">
        <f>65.6195 * CHOOSE(CONTROL!$C$15, $E$9, 100%, $G$9) + CHOOSE(CONTROL!$C$38, 0.0369, 0)</f>
        <v>65.656400000000005</v>
      </c>
      <c r="F844" s="45">
        <f>65.6195 * CHOOSE(CONTROL!$C$15, $E$9, 100%, $G$9) + CHOOSE(CONTROL!$C$38, 0.0278, 0)</f>
        <v>65.647300000000001</v>
      </c>
      <c r="G844" s="14">
        <f>62.2066 * CHOOSE(CONTROL!$C$15, $E$9, 100%, $G$9) + CHOOSE(CONTROL!$C$38, 0.0369, 0)</f>
        <v>62.243500000000004</v>
      </c>
      <c r="H844" s="14">
        <f>62.2066 * CHOOSE(CONTROL!$C$15, $E$9, 100%, $G$9) + CHOOSE(CONTROL!$C$38, 0.0369, 0)</f>
        <v>62.243500000000004</v>
      </c>
      <c r="I844" s="14">
        <f>62.2082 * CHOOSE(CONTROL!$C$15, $E$9, 100%, $G$9) + CHOOSE(CONTROL!$C$38, 0.0369, 0)</f>
        <v>62.245100000000001</v>
      </c>
      <c r="J844" s="44">
        <f>593.4365</f>
        <v>593.43650000000002</v>
      </c>
    </row>
    <row r="845" spans="1:10" ht="15.75" x14ac:dyDescent="0.25">
      <c r="A845" s="32">
        <v>66657</v>
      </c>
      <c r="B845" s="14">
        <f>66.7146 * CHOOSE(CONTROL!$C$15, $E$9, 100%, $G$9) + CHOOSE(CONTROL!$C$38, 0.0278, 0)</f>
        <v>66.742400000000004</v>
      </c>
      <c r="C845" s="14">
        <f>63.0979 * CHOOSE(CONTROL!$C$15, $E$9, 100%, $G$9) + CHOOSE(CONTROL!$C$38, 0.0369, 0)</f>
        <v>63.134800000000006</v>
      </c>
      <c r="D845" s="14">
        <f>63.0901 * CHOOSE(CONTROL!$C$15, $E$9, 100%, $G$9) + CHOOSE(CONTROL!$C$38, 0.0369, 0)</f>
        <v>63.127000000000002</v>
      </c>
      <c r="E845" s="46">
        <f>66.5583 * CHOOSE(CONTROL!$C$15, $E$9, 100%, $G$9) + CHOOSE(CONTROL!$C$38, 0.0369, 0)</f>
        <v>66.595200000000006</v>
      </c>
      <c r="F845" s="45">
        <f>66.5583 * CHOOSE(CONTROL!$C$15, $E$9, 100%, $G$9) + CHOOSE(CONTROL!$C$38, 0.0278, 0)</f>
        <v>66.586100000000002</v>
      </c>
      <c r="G845" s="14">
        <f>63.0963 * CHOOSE(CONTROL!$C$15, $E$9, 100%, $G$9) + CHOOSE(CONTROL!$C$38, 0.0369, 0)</f>
        <v>63.133200000000002</v>
      </c>
      <c r="H845" s="14">
        <f>63.0963 * CHOOSE(CONTROL!$C$15, $E$9, 100%, $G$9) + CHOOSE(CONTROL!$C$38, 0.0369, 0)</f>
        <v>63.133200000000002</v>
      </c>
      <c r="I845" s="14">
        <f>63.0979 * CHOOSE(CONTROL!$C$15, $E$9, 100%, $G$9) + CHOOSE(CONTROL!$C$38, 0.0369, 0)</f>
        <v>63.134800000000006</v>
      </c>
      <c r="J845" s="44">
        <f>601.9873</f>
        <v>601.9873</v>
      </c>
    </row>
    <row r="846" spans="1:10" ht="15.75" x14ac:dyDescent="0.25">
      <c r="A846" s="32">
        <v>66688</v>
      </c>
      <c r="B846" s="14">
        <f>66.4055 * CHOOSE(CONTROL!$C$15, $E$9, 100%, $G$9) + CHOOSE(CONTROL!$C$38, 0.0278, 0)</f>
        <v>66.433300000000003</v>
      </c>
      <c r="C846" s="14">
        <f>62.805 * CHOOSE(CONTROL!$C$15, $E$9, 100%, $G$9) + CHOOSE(CONTROL!$C$38, 0.0369, 0)</f>
        <v>62.841900000000003</v>
      </c>
      <c r="D846" s="14">
        <f>62.7972 * CHOOSE(CONTROL!$C$15, $E$9, 100%, $G$9) + CHOOSE(CONTROL!$C$38, 0.0369, 0)</f>
        <v>62.834099999999999</v>
      </c>
      <c r="E846" s="46">
        <f>66.2492 * CHOOSE(CONTROL!$C$15, $E$9, 100%, $G$9) + CHOOSE(CONTROL!$C$38, 0.0369, 0)</f>
        <v>66.286100000000005</v>
      </c>
      <c r="F846" s="45">
        <f>66.2492 * CHOOSE(CONTROL!$C$15, $E$9, 100%, $G$9) + CHOOSE(CONTROL!$C$38, 0.0278, 0)</f>
        <v>66.277000000000001</v>
      </c>
      <c r="G846" s="14">
        <f>62.8034 * CHOOSE(CONTROL!$C$15, $E$9, 100%, $G$9) + CHOOSE(CONTROL!$C$38, 0.0369, 0)</f>
        <v>62.840300000000006</v>
      </c>
      <c r="H846" s="14">
        <f>62.8034 * CHOOSE(CONTROL!$C$15, $E$9, 100%, $G$9) + CHOOSE(CONTROL!$C$38, 0.0369, 0)</f>
        <v>62.840300000000006</v>
      </c>
      <c r="I846" s="14">
        <f>62.805 * CHOOSE(CONTROL!$C$15, $E$9, 100%, $G$9) + CHOOSE(CONTROL!$C$38, 0.0369, 0)</f>
        <v>62.841900000000003</v>
      </c>
      <c r="J846" s="44">
        <f>599.172</f>
        <v>599.17200000000003</v>
      </c>
    </row>
    <row r="847" spans="1:10" ht="15.75" x14ac:dyDescent="0.25">
      <c r="A847" s="32">
        <v>66719</v>
      </c>
      <c r="B847" s="14">
        <f>64.8739 * CHOOSE(CONTROL!$C$15, $E$9, 100%, $G$9) + CHOOSE(CONTROL!$C$38, 0.0278, 0)</f>
        <v>64.901700000000005</v>
      </c>
      <c r="C847" s="14">
        <f>61.3536 * CHOOSE(CONTROL!$C$15, $E$9, 100%, $G$9) + CHOOSE(CONTROL!$C$38, 0.0369, 0)</f>
        <v>61.390500000000003</v>
      </c>
      <c r="D847" s="14">
        <f>61.3458 * CHOOSE(CONTROL!$C$15, $E$9, 100%, $G$9) + CHOOSE(CONTROL!$C$38, 0.0369, 0)</f>
        <v>61.3827</v>
      </c>
      <c r="E847" s="46">
        <f>64.7177 * CHOOSE(CONTROL!$C$15, $E$9, 100%, $G$9) + CHOOSE(CONTROL!$C$38, 0.0369, 0)</f>
        <v>64.754599999999996</v>
      </c>
      <c r="F847" s="45">
        <f>64.7177 * CHOOSE(CONTROL!$C$15, $E$9, 100%, $G$9) + CHOOSE(CONTROL!$C$38, 0.0278, 0)</f>
        <v>64.745499999999993</v>
      </c>
      <c r="G847" s="14">
        <f>61.3521 * CHOOSE(CONTROL!$C$15, $E$9, 100%, $G$9) + CHOOSE(CONTROL!$C$38, 0.0369, 0)</f>
        <v>61.389000000000003</v>
      </c>
      <c r="H847" s="14">
        <f>61.3521 * CHOOSE(CONTROL!$C$15, $E$9, 100%, $G$9) + CHOOSE(CONTROL!$C$38, 0.0369, 0)</f>
        <v>61.389000000000003</v>
      </c>
      <c r="I847" s="14">
        <f>61.3536 * CHOOSE(CONTROL!$C$15, $E$9, 100%, $G$9) + CHOOSE(CONTROL!$C$38, 0.0369, 0)</f>
        <v>61.390500000000003</v>
      </c>
      <c r="J847" s="44">
        <f>585.2235</f>
        <v>585.22349999999994</v>
      </c>
    </row>
    <row r="848" spans="1:10" ht="15.75" x14ac:dyDescent="0.25">
      <c r="A848" s="32">
        <v>66749</v>
      </c>
      <c r="B848" s="14">
        <f>62.7382 * CHOOSE(CONTROL!$C$15, $E$9, 100%, $G$9) + CHOOSE(CONTROL!$C$38, 0.0278, 0)</f>
        <v>62.765999999999998</v>
      </c>
      <c r="C848" s="14">
        <f>59.3297 * CHOOSE(CONTROL!$C$15, $E$9, 100%, $G$9) + CHOOSE(CONTROL!$C$38, 0.0369, 0)</f>
        <v>59.366600000000005</v>
      </c>
      <c r="D848" s="14">
        <f>59.3218 * CHOOSE(CONTROL!$C$15, $E$9, 100%, $G$9) + CHOOSE(CONTROL!$C$38, 0.0369, 0)</f>
        <v>59.358700000000006</v>
      </c>
      <c r="E848" s="46">
        <f>62.5819 * CHOOSE(CONTROL!$C$15, $E$9, 100%, $G$9) + CHOOSE(CONTROL!$C$38, 0.0369, 0)</f>
        <v>62.6188</v>
      </c>
      <c r="F848" s="45">
        <f>62.5819 * CHOOSE(CONTROL!$C$15, $E$9, 100%, $G$9) + CHOOSE(CONTROL!$C$38, 0.0278, 0)</f>
        <v>62.609699999999997</v>
      </c>
      <c r="G848" s="14">
        <f>59.3281 * CHOOSE(CONTROL!$C$15, $E$9, 100%, $G$9) + CHOOSE(CONTROL!$C$38, 0.0369, 0)</f>
        <v>59.365000000000002</v>
      </c>
      <c r="H848" s="14">
        <f>59.3281 * CHOOSE(CONTROL!$C$15, $E$9, 100%, $G$9) + CHOOSE(CONTROL!$C$38, 0.0369, 0)</f>
        <v>59.365000000000002</v>
      </c>
      <c r="I848" s="14">
        <f>59.3297 * CHOOSE(CONTROL!$C$15, $E$9, 100%, $G$9) + CHOOSE(CONTROL!$C$38, 0.0369, 0)</f>
        <v>59.366600000000005</v>
      </c>
      <c r="J848" s="44">
        <f>565.7717</f>
        <v>565.77170000000001</v>
      </c>
    </row>
    <row r="849" spans="1:10" ht="15.75" x14ac:dyDescent="0.25">
      <c r="A849" s="32">
        <v>66780</v>
      </c>
      <c r="B849" s="14">
        <f>60.5899 * CHOOSE(CONTROL!$C$15, $E$9, 100%, $G$9) + CHOOSE(CONTROL!$C$38, 0.0256, 0)</f>
        <v>60.615499999999997</v>
      </c>
      <c r="C849" s="14">
        <f>57.2939 * CHOOSE(CONTROL!$C$15, $E$9, 100%, $G$9) + CHOOSE(CONTROL!$C$38, 0.0347, 0)</f>
        <v>57.328600000000002</v>
      </c>
      <c r="D849" s="14">
        <f>57.2861 * CHOOSE(CONTROL!$C$15, $E$9, 100%, $G$9) + CHOOSE(CONTROL!$C$38, 0.0347, 0)</f>
        <v>57.320799999999998</v>
      </c>
      <c r="E849" s="46">
        <f>60.4337 * CHOOSE(CONTROL!$C$15, $E$9, 100%, $G$9) + CHOOSE(CONTROL!$C$38, 0.0347, 0)</f>
        <v>60.468400000000003</v>
      </c>
      <c r="F849" s="45">
        <f>60.4337 * CHOOSE(CONTROL!$C$15, $E$9, 100%, $G$9) + CHOOSE(CONTROL!$C$38, 0.0256, 0)</f>
        <v>60.459299999999999</v>
      </c>
      <c r="G849" s="14">
        <f>57.2924 * CHOOSE(CONTROL!$C$15, $E$9, 100%, $G$9) + CHOOSE(CONTROL!$C$38, 0.0347, 0)</f>
        <v>57.327100000000002</v>
      </c>
      <c r="H849" s="14">
        <f>57.2924 * CHOOSE(CONTROL!$C$15, $E$9, 100%, $G$9) + CHOOSE(CONTROL!$C$38, 0.0347, 0)</f>
        <v>57.327100000000002</v>
      </c>
      <c r="I849" s="14">
        <f>57.2939 * CHOOSE(CONTROL!$C$15, $E$9, 100%, $G$9) + CHOOSE(CONTROL!$C$38, 0.0347, 0)</f>
        <v>57.328600000000002</v>
      </c>
      <c r="J849" s="44">
        <f>546.2067</f>
        <v>546.20669999999996</v>
      </c>
    </row>
    <row r="850" spans="1:10" ht="15.75" x14ac:dyDescent="0.25">
      <c r="A850" s="32">
        <v>66810</v>
      </c>
      <c r="B850" s="14">
        <f>60.1626 * CHOOSE(CONTROL!$C$15, $E$9, 100%, $G$9) + CHOOSE(CONTROL!$C$38, 0.0256, 0)</f>
        <v>60.188199999999995</v>
      </c>
      <c r="C850" s="14">
        <f>56.889 * CHOOSE(CONTROL!$C$15, $E$9, 100%, $G$9) + CHOOSE(CONTROL!$C$38, 0.0347, 0)</f>
        <v>56.923700000000004</v>
      </c>
      <c r="D850" s="14">
        <f>56.8812 * CHOOSE(CONTROL!$C$15, $E$9, 100%, $G$9) + CHOOSE(CONTROL!$C$38, 0.0347, 0)</f>
        <v>56.915900000000001</v>
      </c>
      <c r="E850" s="46">
        <f>60.0064 * CHOOSE(CONTROL!$C$15, $E$9, 100%, $G$9) + CHOOSE(CONTROL!$C$38, 0.0347, 0)</f>
        <v>60.0411</v>
      </c>
      <c r="F850" s="45">
        <f>60.0064 * CHOOSE(CONTROL!$C$15, $E$9, 100%, $G$9) + CHOOSE(CONTROL!$C$38, 0.0256, 0)</f>
        <v>60.031999999999996</v>
      </c>
      <c r="G850" s="14">
        <f>56.8874 * CHOOSE(CONTROL!$C$15, $E$9, 100%, $G$9) + CHOOSE(CONTROL!$C$38, 0.0347, 0)</f>
        <v>56.9221</v>
      </c>
      <c r="H850" s="14">
        <f>56.8874 * CHOOSE(CONTROL!$C$15, $E$9, 100%, $G$9) + CHOOSE(CONTROL!$C$38, 0.0347, 0)</f>
        <v>56.9221</v>
      </c>
      <c r="I850" s="14">
        <f>56.889 * CHOOSE(CONTROL!$C$15, $E$9, 100%, $G$9) + CHOOSE(CONTROL!$C$38, 0.0347, 0)</f>
        <v>56.923700000000004</v>
      </c>
      <c r="J850" s="44">
        <f>542.3148</f>
        <v>542.31479999999999</v>
      </c>
    </row>
    <row r="851" spans="1:10" ht="15.75" x14ac:dyDescent="0.25">
      <c r="A851" s="32">
        <v>66841</v>
      </c>
      <c r="B851" s="14">
        <f>58.3956 * CHOOSE(CONTROL!$C$15, $E$9, 100%, $G$9) + CHOOSE(CONTROL!$C$38, 0.0256, 0)</f>
        <v>58.421199999999999</v>
      </c>
      <c r="C851" s="14">
        <f>55.2145 * CHOOSE(CONTROL!$C$15, $E$9, 100%, $G$9) + CHOOSE(CONTROL!$C$38, 0.0347, 0)</f>
        <v>55.249200000000002</v>
      </c>
      <c r="D851" s="14">
        <f>55.2066 * CHOOSE(CONTROL!$C$15, $E$9, 100%, $G$9) + CHOOSE(CONTROL!$C$38, 0.0347, 0)</f>
        <v>55.241300000000003</v>
      </c>
      <c r="E851" s="46">
        <f>58.2394 * CHOOSE(CONTROL!$C$15, $E$9, 100%, $G$9) + CHOOSE(CONTROL!$C$38, 0.0347, 0)</f>
        <v>58.274100000000004</v>
      </c>
      <c r="F851" s="45">
        <f>58.2394 * CHOOSE(CONTROL!$C$15, $E$9, 100%, $G$9) + CHOOSE(CONTROL!$C$38, 0.0256, 0)</f>
        <v>58.265000000000001</v>
      </c>
      <c r="G851" s="14">
        <f>55.2129 * CHOOSE(CONTROL!$C$15, $E$9, 100%, $G$9) + CHOOSE(CONTROL!$C$38, 0.0347, 0)</f>
        <v>55.247599999999998</v>
      </c>
      <c r="H851" s="14">
        <f>55.2129 * CHOOSE(CONTROL!$C$15, $E$9, 100%, $G$9) + CHOOSE(CONTROL!$C$38, 0.0347, 0)</f>
        <v>55.247599999999998</v>
      </c>
      <c r="I851" s="14">
        <f>55.2145 * CHOOSE(CONTROL!$C$15, $E$9, 100%, $G$9) + CHOOSE(CONTROL!$C$38, 0.0347, 0)</f>
        <v>55.249200000000002</v>
      </c>
      <c r="J851" s="44">
        <f>526.2216</f>
        <v>526.22159999999997</v>
      </c>
    </row>
    <row r="852" spans="1:10" ht="15.75" x14ac:dyDescent="0.25">
      <c r="A852" s="32">
        <v>66872</v>
      </c>
      <c r="B852" s="14">
        <f>57.9568 * CHOOSE(CONTROL!$C$15, $E$9, 100%, $G$9) + CHOOSE(CONTROL!$C$38, 0.0256, 0)</f>
        <v>57.982399999999998</v>
      </c>
      <c r="C852" s="14">
        <f>54.7986 * CHOOSE(CONTROL!$C$15, $E$9, 100%, $G$9) + CHOOSE(CONTROL!$C$38, 0.0347, 0)</f>
        <v>54.833300000000001</v>
      </c>
      <c r="D852" s="14">
        <f>54.7908 * CHOOSE(CONTROL!$C$15, $E$9, 100%, $G$9) + CHOOSE(CONTROL!$C$38, 0.0347, 0)</f>
        <v>54.825499999999998</v>
      </c>
      <c r="E852" s="46">
        <f>57.8005 * CHOOSE(CONTROL!$C$15, $E$9, 100%, $G$9) + CHOOSE(CONTROL!$C$38, 0.0347, 0)</f>
        <v>57.8352</v>
      </c>
      <c r="F852" s="45">
        <f>57.8005 * CHOOSE(CONTROL!$C$15, $E$9, 100%, $G$9) + CHOOSE(CONTROL!$C$38, 0.0256, 0)</f>
        <v>57.826099999999997</v>
      </c>
      <c r="G852" s="14">
        <f>54.7971 * CHOOSE(CONTROL!$C$15, $E$9, 100%, $G$9) + CHOOSE(CONTROL!$C$38, 0.0347, 0)</f>
        <v>54.831800000000001</v>
      </c>
      <c r="H852" s="14">
        <f>54.7971 * CHOOSE(CONTROL!$C$15, $E$9, 100%, $G$9) + CHOOSE(CONTROL!$C$38, 0.0347, 0)</f>
        <v>54.831800000000001</v>
      </c>
      <c r="I852" s="14">
        <f>54.7986 * CHOOSE(CONTROL!$C$15, $E$9, 100%, $G$9) + CHOOSE(CONTROL!$C$38, 0.0347, 0)</f>
        <v>54.833300000000001</v>
      </c>
      <c r="J852" s="44">
        <f>525.543</f>
        <v>525.54300000000001</v>
      </c>
    </row>
    <row r="853" spans="1:10" ht="15.75" x14ac:dyDescent="0.25">
      <c r="A853" s="32">
        <v>66900</v>
      </c>
      <c r="B853" s="14">
        <f>57.7974 * CHOOSE(CONTROL!$C$15, $E$9, 100%, $G$9) + CHOOSE(CONTROL!$C$38, 0.0256, 0)</f>
        <v>57.823</v>
      </c>
      <c r="C853" s="14">
        <f>54.6476 * CHOOSE(CONTROL!$C$15, $E$9, 100%, $G$9) + CHOOSE(CONTROL!$C$38, 0.0347, 0)</f>
        <v>54.682299999999998</v>
      </c>
      <c r="D853" s="14">
        <f>54.6398 * CHOOSE(CONTROL!$C$15, $E$9, 100%, $G$9) + CHOOSE(CONTROL!$C$38, 0.0347, 0)</f>
        <v>54.674500000000002</v>
      </c>
      <c r="E853" s="46">
        <f>57.6412 * CHOOSE(CONTROL!$C$15, $E$9, 100%, $G$9) + CHOOSE(CONTROL!$C$38, 0.0347, 0)</f>
        <v>57.675899999999999</v>
      </c>
      <c r="F853" s="45">
        <f>57.6412 * CHOOSE(CONTROL!$C$15, $E$9, 100%, $G$9) + CHOOSE(CONTROL!$C$38, 0.0256, 0)</f>
        <v>57.666799999999995</v>
      </c>
      <c r="G853" s="14">
        <f>54.646 * CHOOSE(CONTROL!$C$15, $E$9, 100%, $G$9) + CHOOSE(CONTROL!$C$38, 0.0347, 0)</f>
        <v>54.680700000000002</v>
      </c>
      <c r="H853" s="14">
        <f>54.646 * CHOOSE(CONTROL!$C$15, $E$9, 100%, $G$9) + CHOOSE(CONTROL!$C$38, 0.0347, 0)</f>
        <v>54.680700000000002</v>
      </c>
      <c r="I853" s="14">
        <f>54.6476 * CHOOSE(CONTROL!$C$15, $E$9, 100%, $G$9) + CHOOSE(CONTROL!$C$38, 0.0347, 0)</f>
        <v>54.682299999999998</v>
      </c>
      <c r="J853" s="44">
        <f>524.0822</f>
        <v>524.08219999999994</v>
      </c>
    </row>
    <row r="854" spans="1:10" ht="15.75" x14ac:dyDescent="0.25">
      <c r="A854" s="32">
        <v>66931</v>
      </c>
      <c r="B854" s="14">
        <f>60.8111 * CHOOSE(CONTROL!$C$15, $E$9, 100%, $G$9) + CHOOSE(CONTROL!$C$38, 0.0256, 0)</f>
        <v>60.8367</v>
      </c>
      <c r="C854" s="14">
        <f>57.5035 * CHOOSE(CONTROL!$C$15, $E$9, 100%, $G$9) + CHOOSE(CONTROL!$C$38, 0.0347, 0)</f>
        <v>57.538200000000003</v>
      </c>
      <c r="D854" s="14">
        <f>57.4957 * CHOOSE(CONTROL!$C$15, $E$9, 100%, $G$9) + CHOOSE(CONTROL!$C$38, 0.0347, 0)</f>
        <v>57.5304</v>
      </c>
      <c r="E854" s="46">
        <f>60.6549 * CHOOSE(CONTROL!$C$15, $E$9, 100%, $G$9) + CHOOSE(CONTROL!$C$38, 0.0347, 0)</f>
        <v>60.689599999999999</v>
      </c>
      <c r="F854" s="45">
        <f>60.6549 * CHOOSE(CONTROL!$C$15, $E$9, 100%, $G$9) + CHOOSE(CONTROL!$C$38, 0.0256, 0)</f>
        <v>60.680499999999995</v>
      </c>
      <c r="G854" s="14">
        <f>57.502 * CHOOSE(CONTROL!$C$15, $E$9, 100%, $G$9) + CHOOSE(CONTROL!$C$38, 0.0347, 0)</f>
        <v>57.536700000000003</v>
      </c>
      <c r="H854" s="14">
        <f>57.502 * CHOOSE(CONTROL!$C$15, $E$9, 100%, $G$9) + CHOOSE(CONTROL!$C$38, 0.0347, 0)</f>
        <v>57.536700000000003</v>
      </c>
      <c r="I854" s="14">
        <f>57.5035 * CHOOSE(CONTROL!$C$15, $E$9, 100%, $G$9) + CHOOSE(CONTROL!$C$38, 0.0347, 0)</f>
        <v>57.538200000000003</v>
      </c>
      <c r="J854" s="44">
        <f>551.7043</f>
        <v>551.70429999999999</v>
      </c>
    </row>
    <row r="855" spans="1:10" ht="15.75" x14ac:dyDescent="0.25">
      <c r="A855" s="32">
        <v>66961</v>
      </c>
      <c r="B855" s="14">
        <f>64.7192 * CHOOSE(CONTROL!$C$15, $E$9, 100%, $G$9) + CHOOSE(CONTROL!$C$38, 0.0256, 0)</f>
        <v>64.744799999999998</v>
      </c>
      <c r="C855" s="14">
        <f>61.207 * CHOOSE(CONTROL!$C$15, $E$9, 100%, $G$9) + CHOOSE(CONTROL!$C$38, 0.0347, 0)</f>
        <v>61.241700000000002</v>
      </c>
      <c r="D855" s="14">
        <f>61.1992 * CHOOSE(CONTROL!$C$15, $E$9, 100%, $G$9) + CHOOSE(CONTROL!$C$38, 0.0347, 0)</f>
        <v>61.233899999999998</v>
      </c>
      <c r="E855" s="46">
        <f>64.563 * CHOOSE(CONTROL!$C$15, $E$9, 100%, $G$9) + CHOOSE(CONTROL!$C$38, 0.0347, 0)</f>
        <v>64.597700000000003</v>
      </c>
      <c r="F855" s="45">
        <f>64.563 * CHOOSE(CONTROL!$C$15, $E$9, 100%, $G$9) + CHOOSE(CONTROL!$C$38, 0.0256, 0)</f>
        <v>64.5886</v>
      </c>
      <c r="G855" s="14">
        <f>61.2054 * CHOOSE(CONTROL!$C$15, $E$9, 100%, $G$9) + CHOOSE(CONTROL!$C$38, 0.0347, 0)</f>
        <v>61.240099999999998</v>
      </c>
      <c r="H855" s="14">
        <f>61.2054 * CHOOSE(CONTROL!$C$15, $E$9, 100%, $G$9) + CHOOSE(CONTROL!$C$38, 0.0347, 0)</f>
        <v>61.240099999999998</v>
      </c>
      <c r="I855" s="14">
        <f>61.207 * CHOOSE(CONTROL!$C$15, $E$9, 100%, $G$9) + CHOOSE(CONTROL!$C$38, 0.0347, 0)</f>
        <v>61.241700000000002</v>
      </c>
      <c r="J855" s="44">
        <f>587.5237</f>
        <v>587.52369999999996</v>
      </c>
    </row>
    <row r="856" spans="1:10" ht="15.75" x14ac:dyDescent="0.25">
      <c r="A856" s="32">
        <v>66992</v>
      </c>
      <c r="B856" s="14">
        <f>66.8704 * CHOOSE(CONTROL!$C$15, $E$9, 100%, $G$9) + CHOOSE(CONTROL!$C$38, 0.0278, 0)</f>
        <v>66.898200000000003</v>
      </c>
      <c r="C856" s="14">
        <f>63.2455 * CHOOSE(CONTROL!$C$15, $E$9, 100%, $G$9) + CHOOSE(CONTROL!$C$38, 0.0369, 0)</f>
        <v>63.282400000000003</v>
      </c>
      <c r="D856" s="14">
        <f>63.2377 * CHOOSE(CONTROL!$C$15, $E$9, 100%, $G$9) + CHOOSE(CONTROL!$C$38, 0.0369, 0)</f>
        <v>63.2746</v>
      </c>
      <c r="E856" s="46">
        <f>66.7141 * CHOOSE(CONTROL!$C$15, $E$9, 100%, $G$9) + CHOOSE(CONTROL!$C$38, 0.0369, 0)</f>
        <v>66.751000000000005</v>
      </c>
      <c r="F856" s="45">
        <f>66.7141 * CHOOSE(CONTROL!$C$15, $E$9, 100%, $G$9) + CHOOSE(CONTROL!$C$38, 0.0278, 0)</f>
        <v>66.741900000000001</v>
      </c>
      <c r="G856" s="14">
        <f>63.244 * CHOOSE(CONTROL!$C$15, $E$9, 100%, $G$9) + CHOOSE(CONTROL!$C$38, 0.0369, 0)</f>
        <v>63.280900000000003</v>
      </c>
      <c r="H856" s="14">
        <f>63.244 * CHOOSE(CONTROL!$C$15, $E$9, 100%, $G$9) + CHOOSE(CONTROL!$C$38, 0.0369, 0)</f>
        <v>63.280900000000003</v>
      </c>
      <c r="I856" s="14">
        <f>63.2455 * CHOOSE(CONTROL!$C$15, $E$9, 100%, $G$9) + CHOOSE(CONTROL!$C$38, 0.0369, 0)</f>
        <v>63.282400000000003</v>
      </c>
      <c r="J856" s="44">
        <f>607.2398</f>
        <v>607.23979999999995</v>
      </c>
    </row>
    <row r="857" spans="1:10" ht="15.75" x14ac:dyDescent="0.25">
      <c r="A857" s="32">
        <v>67022</v>
      </c>
      <c r="B857" s="14">
        <f>67.825 * CHOOSE(CONTROL!$C$15, $E$9, 100%, $G$9) + CHOOSE(CONTROL!$C$38, 0.0278, 0)</f>
        <v>67.852800000000002</v>
      </c>
      <c r="C857" s="14">
        <f>64.1502 * CHOOSE(CONTROL!$C$15, $E$9, 100%, $G$9) + CHOOSE(CONTROL!$C$38, 0.0369, 0)</f>
        <v>64.187100000000001</v>
      </c>
      <c r="D857" s="14">
        <f>64.1424 * CHOOSE(CONTROL!$C$15, $E$9, 100%, $G$9) + CHOOSE(CONTROL!$C$38, 0.0369, 0)</f>
        <v>64.179299999999998</v>
      </c>
      <c r="E857" s="46">
        <f>67.6688 * CHOOSE(CONTROL!$C$15, $E$9, 100%, $G$9) + CHOOSE(CONTROL!$C$38, 0.0369, 0)</f>
        <v>67.705700000000007</v>
      </c>
      <c r="F857" s="45">
        <f>67.6688 * CHOOSE(CONTROL!$C$15, $E$9, 100%, $G$9) + CHOOSE(CONTROL!$C$38, 0.0278, 0)</f>
        <v>67.696600000000004</v>
      </c>
      <c r="G857" s="14">
        <f>64.1486 * CHOOSE(CONTROL!$C$15, $E$9, 100%, $G$9) + CHOOSE(CONTROL!$C$38, 0.0369, 0)</f>
        <v>64.185500000000005</v>
      </c>
      <c r="H857" s="14">
        <f>64.1486 * CHOOSE(CONTROL!$C$15, $E$9, 100%, $G$9) + CHOOSE(CONTROL!$C$38, 0.0369, 0)</f>
        <v>64.185500000000005</v>
      </c>
      <c r="I857" s="14">
        <f>64.1502 * CHOOSE(CONTROL!$C$15, $E$9, 100%, $G$9) + CHOOSE(CONTROL!$C$38, 0.0369, 0)</f>
        <v>64.187100000000001</v>
      </c>
      <c r="J857" s="44">
        <f>615.9895</f>
        <v>615.98950000000002</v>
      </c>
    </row>
    <row r="858" spans="1:10" ht="15.75" x14ac:dyDescent="0.25">
      <c r="A858" s="32">
        <v>67053</v>
      </c>
      <c r="B858" s="14">
        <f>67.5107 * CHOOSE(CONTROL!$C$15, $E$9, 100%, $G$9) + CHOOSE(CONTROL!$C$38, 0.0278, 0)</f>
        <v>67.538499999999999</v>
      </c>
      <c r="C858" s="14">
        <f>63.8523 * CHOOSE(CONTROL!$C$15, $E$9, 100%, $G$9) + CHOOSE(CONTROL!$C$38, 0.0369, 0)</f>
        <v>63.889200000000002</v>
      </c>
      <c r="D858" s="14">
        <f>63.8445 * CHOOSE(CONTROL!$C$15, $E$9, 100%, $G$9) + CHOOSE(CONTROL!$C$38, 0.0369, 0)</f>
        <v>63.881399999999999</v>
      </c>
      <c r="E858" s="46">
        <f>67.3544 * CHOOSE(CONTROL!$C$15, $E$9, 100%, $G$9) + CHOOSE(CONTROL!$C$38, 0.0369, 0)</f>
        <v>67.391300000000001</v>
      </c>
      <c r="F858" s="45">
        <f>67.3544 * CHOOSE(CONTROL!$C$15, $E$9, 100%, $G$9) + CHOOSE(CONTROL!$C$38, 0.0278, 0)</f>
        <v>67.382199999999997</v>
      </c>
      <c r="G858" s="14">
        <f>63.8508 * CHOOSE(CONTROL!$C$15, $E$9, 100%, $G$9) + CHOOSE(CONTROL!$C$38, 0.0369, 0)</f>
        <v>63.887700000000002</v>
      </c>
      <c r="H858" s="14">
        <f>63.8508 * CHOOSE(CONTROL!$C$15, $E$9, 100%, $G$9) + CHOOSE(CONTROL!$C$38, 0.0369, 0)</f>
        <v>63.887700000000002</v>
      </c>
      <c r="I858" s="14">
        <f>63.8523 * CHOOSE(CONTROL!$C$15, $E$9, 100%, $G$9) + CHOOSE(CONTROL!$C$38, 0.0369, 0)</f>
        <v>63.889200000000002</v>
      </c>
      <c r="J858" s="44">
        <f>613.1087</f>
        <v>613.1087</v>
      </c>
    </row>
    <row r="859" spans="1:10" ht="15.75" x14ac:dyDescent="0.25">
      <c r="A859" s="32">
        <v>67084</v>
      </c>
      <c r="B859" s="14">
        <f>65.9534 * CHOOSE(CONTROL!$C$15, $E$9, 100%, $G$9) + CHOOSE(CONTROL!$C$38, 0.0278, 0)</f>
        <v>65.981200000000001</v>
      </c>
      <c r="C859" s="14">
        <f>62.3766 * CHOOSE(CONTROL!$C$15, $E$9, 100%, $G$9) + CHOOSE(CONTROL!$C$38, 0.0369, 0)</f>
        <v>62.413500000000006</v>
      </c>
      <c r="D859" s="14">
        <f>62.3688 * CHOOSE(CONTROL!$C$15, $E$9, 100%, $G$9) + CHOOSE(CONTROL!$C$38, 0.0369, 0)</f>
        <v>62.405700000000003</v>
      </c>
      <c r="E859" s="46">
        <f>65.7972 * CHOOSE(CONTROL!$C$15, $E$9, 100%, $G$9) + CHOOSE(CONTROL!$C$38, 0.0369, 0)</f>
        <v>65.834100000000007</v>
      </c>
      <c r="F859" s="45">
        <f>65.7972 * CHOOSE(CONTROL!$C$15, $E$9, 100%, $G$9) + CHOOSE(CONTROL!$C$38, 0.0278, 0)</f>
        <v>65.825000000000003</v>
      </c>
      <c r="G859" s="14">
        <f>62.375 * CHOOSE(CONTROL!$C$15, $E$9, 100%, $G$9) + CHOOSE(CONTROL!$C$38, 0.0369, 0)</f>
        <v>62.411900000000003</v>
      </c>
      <c r="H859" s="14">
        <f>62.375 * CHOOSE(CONTROL!$C$15, $E$9, 100%, $G$9) + CHOOSE(CONTROL!$C$38, 0.0369, 0)</f>
        <v>62.411900000000003</v>
      </c>
      <c r="I859" s="14">
        <f>62.3766 * CHOOSE(CONTROL!$C$15, $E$9, 100%, $G$9) + CHOOSE(CONTROL!$C$38, 0.0369, 0)</f>
        <v>62.413500000000006</v>
      </c>
      <c r="J859" s="44">
        <f>598.8358</f>
        <v>598.83579999999995</v>
      </c>
    </row>
    <row r="860" spans="1:10" ht="15.75" x14ac:dyDescent="0.25">
      <c r="A860" s="32">
        <v>67114</v>
      </c>
      <c r="B860" s="14">
        <f>63.7818 * CHOOSE(CONTROL!$C$15, $E$9, 100%, $G$9) + CHOOSE(CONTROL!$C$38, 0.0278, 0)</f>
        <v>63.809599999999996</v>
      </c>
      <c r="C860" s="14">
        <f>60.3186 * CHOOSE(CONTROL!$C$15, $E$9, 100%, $G$9) + CHOOSE(CONTROL!$C$38, 0.0369, 0)</f>
        <v>60.355500000000006</v>
      </c>
      <c r="D860" s="14">
        <f>60.3108 * CHOOSE(CONTROL!$C$15, $E$9, 100%, $G$9) + CHOOSE(CONTROL!$C$38, 0.0369, 0)</f>
        <v>60.347700000000003</v>
      </c>
      <c r="E860" s="46">
        <f>63.6255 * CHOOSE(CONTROL!$C$15, $E$9, 100%, $G$9) + CHOOSE(CONTROL!$C$38, 0.0369, 0)</f>
        <v>63.662400000000005</v>
      </c>
      <c r="F860" s="45">
        <f>63.6255 * CHOOSE(CONTROL!$C$15, $E$9, 100%, $G$9) + CHOOSE(CONTROL!$C$38, 0.0278, 0)</f>
        <v>63.653300000000002</v>
      </c>
      <c r="G860" s="14">
        <f>60.3171 * CHOOSE(CONTROL!$C$15, $E$9, 100%, $G$9) + CHOOSE(CONTROL!$C$38, 0.0369, 0)</f>
        <v>60.354000000000006</v>
      </c>
      <c r="H860" s="14">
        <f>60.3171 * CHOOSE(CONTROL!$C$15, $E$9, 100%, $G$9) + CHOOSE(CONTROL!$C$38, 0.0369, 0)</f>
        <v>60.354000000000006</v>
      </c>
      <c r="I860" s="14">
        <f>60.3186 * CHOOSE(CONTROL!$C$15, $E$9, 100%, $G$9) + CHOOSE(CONTROL!$C$38, 0.0369, 0)</f>
        <v>60.355500000000006</v>
      </c>
      <c r="J860" s="44">
        <f>578.9315</f>
        <v>578.93150000000003</v>
      </c>
    </row>
    <row r="861" spans="1:10" ht="15.75" x14ac:dyDescent="0.25">
      <c r="A861" s="32">
        <v>67145</v>
      </c>
      <c r="B861" s="14">
        <f>61.5975 * CHOOSE(CONTROL!$C$15, $E$9, 100%, $G$9) + CHOOSE(CONTROL!$C$38, 0.0256, 0)</f>
        <v>61.623099999999994</v>
      </c>
      <c r="C861" s="14">
        <f>58.2487 * CHOOSE(CONTROL!$C$15, $E$9, 100%, $G$9) + CHOOSE(CONTROL!$C$38, 0.0347, 0)</f>
        <v>58.2834</v>
      </c>
      <c r="D861" s="14">
        <f>58.2409 * CHOOSE(CONTROL!$C$15, $E$9, 100%, $G$9) + CHOOSE(CONTROL!$C$38, 0.0347, 0)</f>
        <v>58.275600000000004</v>
      </c>
      <c r="E861" s="46">
        <f>61.4412 * CHOOSE(CONTROL!$C$15, $E$9, 100%, $G$9) + CHOOSE(CONTROL!$C$38, 0.0347, 0)</f>
        <v>61.475900000000003</v>
      </c>
      <c r="F861" s="45">
        <f>61.4412 * CHOOSE(CONTROL!$C$15, $E$9, 100%, $G$9) + CHOOSE(CONTROL!$C$38, 0.0256, 0)</f>
        <v>61.466799999999999</v>
      </c>
      <c r="G861" s="14">
        <f>58.2471 * CHOOSE(CONTROL!$C$15, $E$9, 100%, $G$9) + CHOOSE(CONTROL!$C$38, 0.0347, 0)</f>
        <v>58.281800000000004</v>
      </c>
      <c r="H861" s="14">
        <f>58.2471 * CHOOSE(CONTROL!$C$15, $E$9, 100%, $G$9) + CHOOSE(CONTROL!$C$38, 0.0347, 0)</f>
        <v>58.281800000000004</v>
      </c>
      <c r="I861" s="14">
        <f>58.2487 * CHOOSE(CONTROL!$C$15, $E$9, 100%, $G$9) + CHOOSE(CONTROL!$C$38, 0.0347, 0)</f>
        <v>58.2834</v>
      </c>
      <c r="J861" s="44">
        <f>558.9115</f>
        <v>558.91150000000005</v>
      </c>
    </row>
    <row r="862" spans="1:10" ht="15.75" x14ac:dyDescent="0.25">
      <c r="A862" s="32">
        <v>67175</v>
      </c>
      <c r="B862" s="14">
        <f>61.163 * CHOOSE(CONTROL!$C$15, $E$9, 100%, $G$9) + CHOOSE(CONTROL!$C$38, 0.0256, 0)</f>
        <v>61.188599999999994</v>
      </c>
      <c r="C862" s="14">
        <f>57.8369 * CHOOSE(CONTROL!$C$15, $E$9, 100%, $G$9) + CHOOSE(CONTROL!$C$38, 0.0347, 0)</f>
        <v>57.871600000000001</v>
      </c>
      <c r="D862" s="14">
        <f>57.8291 * CHOOSE(CONTROL!$C$15, $E$9, 100%, $G$9) + CHOOSE(CONTROL!$C$38, 0.0347, 0)</f>
        <v>57.863799999999998</v>
      </c>
      <c r="E862" s="46">
        <f>61.0067 * CHOOSE(CONTROL!$C$15, $E$9, 100%, $G$9) + CHOOSE(CONTROL!$C$38, 0.0347, 0)</f>
        <v>61.041400000000003</v>
      </c>
      <c r="F862" s="45">
        <f>61.0067 * CHOOSE(CONTROL!$C$15, $E$9, 100%, $G$9) + CHOOSE(CONTROL!$C$38, 0.0256, 0)</f>
        <v>61.032299999999999</v>
      </c>
      <c r="G862" s="14">
        <f>57.8354 * CHOOSE(CONTROL!$C$15, $E$9, 100%, $G$9) + CHOOSE(CONTROL!$C$38, 0.0347, 0)</f>
        <v>57.870100000000001</v>
      </c>
      <c r="H862" s="14">
        <f>57.8354 * CHOOSE(CONTROL!$C$15, $E$9, 100%, $G$9) + CHOOSE(CONTROL!$C$38, 0.0347, 0)</f>
        <v>57.870100000000001</v>
      </c>
      <c r="I862" s="14">
        <f>57.8369 * CHOOSE(CONTROL!$C$15, $E$9, 100%, $G$9) + CHOOSE(CONTROL!$C$38, 0.0347, 0)</f>
        <v>57.871600000000001</v>
      </c>
      <c r="J862" s="44">
        <f>554.9291</f>
        <v>554.92909999999995</v>
      </c>
    </row>
    <row r="863" spans="1:10" ht="15.75" x14ac:dyDescent="0.25">
      <c r="A863" s="32">
        <v>67206</v>
      </c>
      <c r="B863" s="14">
        <f>59.3663 * CHOOSE(CONTROL!$C$15, $E$9, 100%, $G$9) + CHOOSE(CONTROL!$C$38, 0.0256, 0)</f>
        <v>59.3919</v>
      </c>
      <c r="C863" s="14">
        <f>56.1343 * CHOOSE(CONTROL!$C$15, $E$9, 100%, $G$9) + CHOOSE(CONTROL!$C$38, 0.0347, 0)</f>
        <v>56.169000000000004</v>
      </c>
      <c r="D863" s="14">
        <f>56.1265 * CHOOSE(CONTROL!$C$15, $E$9, 100%, $G$9) + CHOOSE(CONTROL!$C$38, 0.0347, 0)</f>
        <v>56.161200000000001</v>
      </c>
      <c r="E863" s="46">
        <f>59.21 * CHOOSE(CONTROL!$C$15, $E$9, 100%, $G$9) + CHOOSE(CONTROL!$C$38, 0.0347, 0)</f>
        <v>59.244700000000002</v>
      </c>
      <c r="F863" s="45">
        <f>59.21 * CHOOSE(CONTROL!$C$15, $E$9, 100%, $G$9) + CHOOSE(CONTROL!$C$38, 0.0256, 0)</f>
        <v>59.235599999999998</v>
      </c>
      <c r="G863" s="14">
        <f>56.1327 * CHOOSE(CONTROL!$C$15, $E$9, 100%, $G$9) + CHOOSE(CONTROL!$C$38, 0.0347, 0)</f>
        <v>56.167400000000001</v>
      </c>
      <c r="H863" s="14">
        <f>56.1327 * CHOOSE(CONTROL!$C$15, $E$9, 100%, $G$9) + CHOOSE(CONTROL!$C$38, 0.0347, 0)</f>
        <v>56.167400000000001</v>
      </c>
      <c r="I863" s="14">
        <f>56.1343 * CHOOSE(CONTROL!$C$15, $E$9, 100%, $G$9) + CHOOSE(CONTROL!$C$38, 0.0347, 0)</f>
        <v>56.169000000000004</v>
      </c>
      <c r="J863" s="44">
        <f>538.4615</f>
        <v>538.4615</v>
      </c>
    </row>
    <row r="864" spans="1:10" ht="15.75" x14ac:dyDescent="0.25">
      <c r="A864" s="32">
        <v>67237</v>
      </c>
      <c r="B864" s="14">
        <f>58.9201 * CHOOSE(CONTROL!$C$15, $E$9, 100%, $G$9) + CHOOSE(CONTROL!$C$38, 0.0256, 0)</f>
        <v>58.945699999999995</v>
      </c>
      <c r="C864" s="14">
        <f>55.7115 * CHOOSE(CONTROL!$C$15, $E$9, 100%, $G$9) + CHOOSE(CONTROL!$C$38, 0.0347, 0)</f>
        <v>55.746200000000002</v>
      </c>
      <c r="D864" s="14">
        <f>55.7037 * CHOOSE(CONTROL!$C$15, $E$9, 100%, $G$9) + CHOOSE(CONTROL!$C$38, 0.0347, 0)</f>
        <v>55.738399999999999</v>
      </c>
      <c r="E864" s="46">
        <f>58.7638 * CHOOSE(CONTROL!$C$15, $E$9, 100%, $G$9) + CHOOSE(CONTROL!$C$38, 0.0347, 0)</f>
        <v>58.798500000000004</v>
      </c>
      <c r="F864" s="45">
        <f>58.7638 * CHOOSE(CONTROL!$C$15, $E$9, 100%, $G$9) + CHOOSE(CONTROL!$C$38, 0.0256, 0)</f>
        <v>58.789400000000001</v>
      </c>
      <c r="G864" s="14">
        <f>55.7099 * CHOOSE(CONTROL!$C$15, $E$9, 100%, $G$9) + CHOOSE(CONTROL!$C$38, 0.0347, 0)</f>
        <v>55.744599999999998</v>
      </c>
      <c r="H864" s="14">
        <f>55.7099 * CHOOSE(CONTROL!$C$15, $E$9, 100%, $G$9) + CHOOSE(CONTROL!$C$38, 0.0347, 0)</f>
        <v>55.744599999999998</v>
      </c>
      <c r="I864" s="14">
        <f>55.7115 * CHOOSE(CONTROL!$C$15, $E$9, 100%, $G$9) + CHOOSE(CONTROL!$C$38, 0.0347, 0)</f>
        <v>55.746200000000002</v>
      </c>
      <c r="J864" s="44">
        <f>537.7671</f>
        <v>537.76710000000003</v>
      </c>
    </row>
    <row r="865" spans="1:10" ht="15.75" x14ac:dyDescent="0.25">
      <c r="A865" s="32">
        <v>67266</v>
      </c>
      <c r="B865" s="14">
        <f>58.758 * CHOOSE(CONTROL!$C$15, $E$9, 100%, $G$9) + CHOOSE(CONTROL!$C$38, 0.0256, 0)</f>
        <v>58.7836</v>
      </c>
      <c r="C865" s="14">
        <f>55.5579 * CHOOSE(CONTROL!$C$15, $E$9, 100%, $G$9) + CHOOSE(CONTROL!$C$38, 0.0347, 0)</f>
        <v>55.592599999999997</v>
      </c>
      <c r="D865" s="14">
        <f>55.5501 * CHOOSE(CONTROL!$C$15, $E$9, 100%, $G$9) + CHOOSE(CONTROL!$C$38, 0.0347, 0)</f>
        <v>55.584800000000001</v>
      </c>
      <c r="E865" s="46">
        <f>58.6018 * CHOOSE(CONTROL!$C$15, $E$9, 100%, $G$9) + CHOOSE(CONTROL!$C$38, 0.0347, 0)</f>
        <v>58.636499999999998</v>
      </c>
      <c r="F865" s="45">
        <f>58.6018 * CHOOSE(CONTROL!$C$15, $E$9, 100%, $G$9) + CHOOSE(CONTROL!$C$38, 0.0256, 0)</f>
        <v>58.627399999999994</v>
      </c>
      <c r="G865" s="14">
        <f>55.5563 * CHOOSE(CONTROL!$C$15, $E$9, 100%, $G$9) + CHOOSE(CONTROL!$C$38, 0.0347, 0)</f>
        <v>55.591000000000001</v>
      </c>
      <c r="H865" s="14">
        <f>55.5563 * CHOOSE(CONTROL!$C$15, $E$9, 100%, $G$9) + CHOOSE(CONTROL!$C$38, 0.0347, 0)</f>
        <v>55.591000000000001</v>
      </c>
      <c r="I865" s="14">
        <f>55.5579 * CHOOSE(CONTROL!$C$15, $E$9, 100%, $G$9) + CHOOSE(CONTROL!$C$38, 0.0347, 0)</f>
        <v>55.592599999999997</v>
      </c>
      <c r="J865" s="44">
        <f>536.2723</f>
        <v>536.27229999999997</v>
      </c>
    </row>
    <row r="866" spans="1:10" ht="15.75" x14ac:dyDescent="0.25">
      <c r="A866" s="32">
        <v>67297</v>
      </c>
      <c r="B866" s="14">
        <f>61.8224 * CHOOSE(CONTROL!$C$15, $E$9, 100%, $G$9) + CHOOSE(CONTROL!$C$38, 0.0256, 0)</f>
        <v>61.847999999999999</v>
      </c>
      <c r="C866" s="14">
        <f>58.4618 * CHOOSE(CONTROL!$C$15, $E$9, 100%, $G$9) + CHOOSE(CONTROL!$C$38, 0.0347, 0)</f>
        <v>58.496499999999997</v>
      </c>
      <c r="D866" s="14">
        <f>58.454 * CHOOSE(CONTROL!$C$15, $E$9, 100%, $G$9) + CHOOSE(CONTROL!$C$38, 0.0347, 0)</f>
        <v>58.488700000000001</v>
      </c>
      <c r="E866" s="46">
        <f>61.6661 * CHOOSE(CONTROL!$C$15, $E$9, 100%, $G$9) + CHOOSE(CONTROL!$C$38, 0.0347, 0)</f>
        <v>61.700800000000001</v>
      </c>
      <c r="F866" s="45">
        <f>61.6661 * CHOOSE(CONTROL!$C$15, $E$9, 100%, $G$9) + CHOOSE(CONTROL!$C$38, 0.0256, 0)</f>
        <v>61.691699999999997</v>
      </c>
      <c r="G866" s="14">
        <f>58.4603 * CHOOSE(CONTROL!$C$15, $E$9, 100%, $G$9) + CHOOSE(CONTROL!$C$38, 0.0347, 0)</f>
        <v>58.494999999999997</v>
      </c>
      <c r="H866" s="14">
        <f>58.4603 * CHOOSE(CONTROL!$C$15, $E$9, 100%, $G$9) + CHOOSE(CONTROL!$C$38, 0.0347, 0)</f>
        <v>58.494999999999997</v>
      </c>
      <c r="I866" s="14">
        <f>58.4618 * CHOOSE(CONTROL!$C$15, $E$9, 100%, $G$9) + CHOOSE(CONTROL!$C$38, 0.0347, 0)</f>
        <v>58.496499999999997</v>
      </c>
      <c r="J866" s="44">
        <f>564.537</f>
        <v>564.53700000000003</v>
      </c>
    </row>
    <row r="867" spans="1:10" ht="15.75" x14ac:dyDescent="0.25">
      <c r="A867" s="32">
        <v>67327</v>
      </c>
      <c r="B867" s="14">
        <f>65.7961 * CHOOSE(CONTROL!$C$15, $E$9, 100%, $G$9) + CHOOSE(CONTROL!$C$38, 0.0256, 0)</f>
        <v>65.821699999999993</v>
      </c>
      <c r="C867" s="14">
        <f>62.2275 * CHOOSE(CONTROL!$C$15, $E$9, 100%, $G$9) + CHOOSE(CONTROL!$C$38, 0.0347, 0)</f>
        <v>62.2622</v>
      </c>
      <c r="D867" s="14">
        <f>62.2197 * CHOOSE(CONTROL!$C$15, $E$9, 100%, $G$9) + CHOOSE(CONTROL!$C$38, 0.0347, 0)</f>
        <v>62.254400000000004</v>
      </c>
      <c r="E867" s="46">
        <f>65.6399 * CHOOSE(CONTROL!$C$15, $E$9, 100%, $G$9) + CHOOSE(CONTROL!$C$38, 0.0347, 0)</f>
        <v>65.674599999999998</v>
      </c>
      <c r="F867" s="45">
        <f>65.6399 * CHOOSE(CONTROL!$C$15, $E$9, 100%, $G$9) + CHOOSE(CONTROL!$C$38, 0.0256, 0)</f>
        <v>65.665499999999994</v>
      </c>
      <c r="G867" s="14">
        <f>62.226 * CHOOSE(CONTROL!$C$15, $E$9, 100%, $G$9) + CHOOSE(CONTROL!$C$38, 0.0347, 0)</f>
        <v>62.2607</v>
      </c>
      <c r="H867" s="14">
        <f>62.226 * CHOOSE(CONTROL!$C$15, $E$9, 100%, $G$9) + CHOOSE(CONTROL!$C$38, 0.0347, 0)</f>
        <v>62.2607</v>
      </c>
      <c r="I867" s="14">
        <f>62.2275 * CHOOSE(CONTROL!$C$15, $E$9, 100%, $G$9) + CHOOSE(CONTROL!$C$38, 0.0347, 0)</f>
        <v>62.2622</v>
      </c>
      <c r="J867" s="44">
        <f>601.1895</f>
        <v>601.18949999999995</v>
      </c>
    </row>
    <row r="868" spans="1:10" ht="15.75" x14ac:dyDescent="0.25">
      <c r="A868" s="32">
        <v>67358</v>
      </c>
      <c r="B868" s="14">
        <f>67.9834 * CHOOSE(CONTROL!$C$15, $E$9, 100%, $G$9) + CHOOSE(CONTROL!$C$38, 0.0278, 0)</f>
        <v>68.011200000000002</v>
      </c>
      <c r="C868" s="14">
        <f>64.3003 * CHOOSE(CONTROL!$C$15, $E$9, 100%, $G$9) + CHOOSE(CONTROL!$C$38, 0.0369, 0)</f>
        <v>64.337199999999996</v>
      </c>
      <c r="D868" s="14">
        <f>64.2925 * CHOOSE(CONTROL!$C$15, $E$9, 100%, $G$9) + CHOOSE(CONTROL!$C$38, 0.0369, 0)</f>
        <v>64.329400000000007</v>
      </c>
      <c r="E868" s="46">
        <f>67.8272 * CHOOSE(CONTROL!$C$15, $E$9, 100%, $G$9) + CHOOSE(CONTROL!$C$38, 0.0369, 0)</f>
        <v>67.864100000000008</v>
      </c>
      <c r="F868" s="45">
        <f>67.8272 * CHOOSE(CONTROL!$C$15, $E$9, 100%, $G$9) + CHOOSE(CONTROL!$C$38, 0.0278, 0)</f>
        <v>67.855000000000004</v>
      </c>
      <c r="G868" s="14">
        <f>64.2987 * CHOOSE(CONTROL!$C$15, $E$9, 100%, $G$9) + CHOOSE(CONTROL!$C$38, 0.0369, 0)</f>
        <v>64.335599999999999</v>
      </c>
      <c r="H868" s="14">
        <f>64.2987 * CHOOSE(CONTROL!$C$15, $E$9, 100%, $G$9) + CHOOSE(CONTROL!$C$38, 0.0369, 0)</f>
        <v>64.335599999999999</v>
      </c>
      <c r="I868" s="14">
        <f>64.3003 * CHOOSE(CONTROL!$C$15, $E$9, 100%, $G$9) + CHOOSE(CONTROL!$C$38, 0.0369, 0)</f>
        <v>64.337199999999996</v>
      </c>
      <c r="J868" s="44">
        <f>621.3642</f>
        <v>621.36419999999998</v>
      </c>
    </row>
    <row r="869" spans="1:10" ht="15.75" x14ac:dyDescent="0.25">
      <c r="A869" s="32">
        <v>67388</v>
      </c>
      <c r="B869" s="14">
        <f>68.9541 * CHOOSE(CONTROL!$C$15, $E$9, 100%, $G$9) + CHOOSE(CONTROL!$C$38, 0.0278, 0)</f>
        <v>68.981899999999996</v>
      </c>
      <c r="C869" s="14">
        <f>65.2202 * CHOOSE(CONTROL!$C$15, $E$9, 100%, $G$9) + CHOOSE(CONTROL!$C$38, 0.0369, 0)</f>
        <v>65.257100000000008</v>
      </c>
      <c r="D869" s="14">
        <f>65.2123 * CHOOSE(CONTROL!$C$15, $E$9, 100%, $G$9) + CHOOSE(CONTROL!$C$38, 0.0369, 0)</f>
        <v>65.249200000000002</v>
      </c>
      <c r="E869" s="46">
        <f>68.7978 * CHOOSE(CONTROL!$C$15, $E$9, 100%, $G$9) + CHOOSE(CONTROL!$C$38, 0.0369, 0)</f>
        <v>68.834699999999998</v>
      </c>
      <c r="F869" s="45">
        <f>68.7978 * CHOOSE(CONTROL!$C$15, $E$9, 100%, $G$9) + CHOOSE(CONTROL!$C$38, 0.0278, 0)</f>
        <v>68.825599999999994</v>
      </c>
      <c r="G869" s="14">
        <f>65.2186 * CHOOSE(CONTROL!$C$15, $E$9, 100%, $G$9) + CHOOSE(CONTROL!$C$38, 0.0369, 0)</f>
        <v>65.255499999999998</v>
      </c>
      <c r="H869" s="14">
        <f>65.2186 * CHOOSE(CONTROL!$C$15, $E$9, 100%, $G$9) + CHOOSE(CONTROL!$C$38, 0.0369, 0)</f>
        <v>65.255499999999998</v>
      </c>
      <c r="I869" s="14">
        <f>65.2202 * CHOOSE(CONTROL!$C$15, $E$9, 100%, $G$9) + CHOOSE(CONTROL!$C$38, 0.0369, 0)</f>
        <v>65.257100000000008</v>
      </c>
      <c r="J869" s="44">
        <f>630.3174</f>
        <v>630.31740000000002</v>
      </c>
    </row>
    <row r="870" spans="1:10" ht="15.75" x14ac:dyDescent="0.25">
      <c r="A870" s="32">
        <v>67419</v>
      </c>
      <c r="B870" s="14">
        <f>68.6345 * CHOOSE(CONTROL!$C$15, $E$9, 100%, $G$9) + CHOOSE(CONTROL!$C$38, 0.0278, 0)</f>
        <v>68.662300000000002</v>
      </c>
      <c r="C870" s="14">
        <f>64.9173 * CHOOSE(CONTROL!$C$15, $E$9, 100%, $G$9) + CHOOSE(CONTROL!$C$38, 0.0369, 0)</f>
        <v>64.9542</v>
      </c>
      <c r="D870" s="14">
        <f>64.9095 * CHOOSE(CONTROL!$C$15, $E$9, 100%, $G$9) + CHOOSE(CONTROL!$C$38, 0.0369, 0)</f>
        <v>64.946399999999997</v>
      </c>
      <c r="E870" s="46">
        <f>68.4782 * CHOOSE(CONTROL!$C$15, $E$9, 100%, $G$9) + CHOOSE(CONTROL!$C$38, 0.0369, 0)</f>
        <v>68.515100000000004</v>
      </c>
      <c r="F870" s="45">
        <f>68.4782 * CHOOSE(CONTROL!$C$15, $E$9, 100%, $G$9) + CHOOSE(CONTROL!$C$38, 0.0278, 0)</f>
        <v>68.506</v>
      </c>
      <c r="G870" s="14">
        <f>64.9157 * CHOOSE(CONTROL!$C$15, $E$9, 100%, $G$9) + CHOOSE(CONTROL!$C$38, 0.0369, 0)</f>
        <v>64.952600000000004</v>
      </c>
      <c r="H870" s="14">
        <f>64.9157 * CHOOSE(CONTROL!$C$15, $E$9, 100%, $G$9) + CHOOSE(CONTROL!$C$38, 0.0369, 0)</f>
        <v>64.952600000000004</v>
      </c>
      <c r="I870" s="14">
        <f>64.9173 * CHOOSE(CONTROL!$C$15, $E$9, 100%, $G$9) + CHOOSE(CONTROL!$C$38, 0.0369, 0)</f>
        <v>64.9542</v>
      </c>
      <c r="J870" s="44">
        <f>627.3696</f>
        <v>627.36959999999999</v>
      </c>
    </row>
    <row r="871" spans="1:10" ht="15.75" x14ac:dyDescent="0.25">
      <c r="A871" s="32">
        <v>67450</v>
      </c>
      <c r="B871" s="14">
        <f>67.0511 * CHOOSE(CONTROL!$C$15, $E$9, 100%, $G$9) + CHOOSE(CONTROL!$C$38, 0.0278, 0)</f>
        <v>67.078900000000004</v>
      </c>
      <c r="C871" s="14">
        <f>63.4168 * CHOOSE(CONTROL!$C$15, $E$9, 100%, $G$9) + CHOOSE(CONTROL!$C$38, 0.0369, 0)</f>
        <v>63.453700000000005</v>
      </c>
      <c r="D871" s="14">
        <f>63.409 * CHOOSE(CONTROL!$C$15, $E$9, 100%, $G$9) + CHOOSE(CONTROL!$C$38, 0.0369, 0)</f>
        <v>63.445900000000002</v>
      </c>
      <c r="E871" s="46">
        <f>66.8948 * CHOOSE(CONTROL!$C$15, $E$9, 100%, $G$9) + CHOOSE(CONTROL!$C$38, 0.0369, 0)</f>
        <v>66.931700000000006</v>
      </c>
      <c r="F871" s="45">
        <f>66.8948 * CHOOSE(CONTROL!$C$15, $E$9, 100%, $G$9) + CHOOSE(CONTROL!$C$38, 0.0278, 0)</f>
        <v>66.922600000000003</v>
      </c>
      <c r="G871" s="14">
        <f>63.4152 * CHOOSE(CONTROL!$C$15, $E$9, 100%, $G$9) + CHOOSE(CONTROL!$C$38, 0.0369, 0)</f>
        <v>63.452100000000002</v>
      </c>
      <c r="H871" s="14">
        <f>63.4152 * CHOOSE(CONTROL!$C$15, $E$9, 100%, $G$9) + CHOOSE(CONTROL!$C$38, 0.0369, 0)</f>
        <v>63.452100000000002</v>
      </c>
      <c r="I871" s="14">
        <f>63.4168 * CHOOSE(CONTROL!$C$15, $E$9, 100%, $G$9) + CHOOSE(CONTROL!$C$38, 0.0369, 0)</f>
        <v>63.453700000000005</v>
      </c>
      <c r="J871" s="44">
        <f>612.7647</f>
        <v>612.76469999999995</v>
      </c>
    </row>
    <row r="872" spans="1:10" ht="15.75" x14ac:dyDescent="0.25">
      <c r="A872" s="32">
        <v>67480</v>
      </c>
      <c r="B872" s="14">
        <f>64.8429 * CHOOSE(CONTROL!$C$15, $E$9, 100%, $G$9) + CHOOSE(CONTROL!$C$38, 0.0278, 0)</f>
        <v>64.870699999999999</v>
      </c>
      <c r="C872" s="14">
        <f>61.3242 * CHOOSE(CONTROL!$C$15, $E$9, 100%, $G$9) + CHOOSE(CONTROL!$C$38, 0.0369, 0)</f>
        <v>61.3611</v>
      </c>
      <c r="D872" s="14">
        <f>61.3164 * CHOOSE(CONTROL!$C$15, $E$9, 100%, $G$9) + CHOOSE(CONTROL!$C$38, 0.0369, 0)</f>
        <v>61.353300000000004</v>
      </c>
      <c r="E872" s="46">
        <f>64.6867 * CHOOSE(CONTROL!$C$15, $E$9, 100%, $G$9) + CHOOSE(CONTROL!$C$38, 0.0369, 0)</f>
        <v>64.723600000000005</v>
      </c>
      <c r="F872" s="45">
        <f>64.6867 * CHOOSE(CONTROL!$C$15, $E$9, 100%, $G$9) + CHOOSE(CONTROL!$C$38, 0.0278, 0)</f>
        <v>64.714500000000001</v>
      </c>
      <c r="G872" s="14">
        <f>61.3227 * CHOOSE(CONTROL!$C$15, $E$9, 100%, $G$9) + CHOOSE(CONTROL!$C$38, 0.0369, 0)</f>
        <v>61.3596</v>
      </c>
      <c r="H872" s="14">
        <f>61.3227 * CHOOSE(CONTROL!$C$15, $E$9, 100%, $G$9) + CHOOSE(CONTROL!$C$38, 0.0369, 0)</f>
        <v>61.3596</v>
      </c>
      <c r="I872" s="14">
        <f>61.3242 * CHOOSE(CONTROL!$C$15, $E$9, 100%, $G$9) + CHOOSE(CONTROL!$C$38, 0.0369, 0)</f>
        <v>61.3611</v>
      </c>
      <c r="J872" s="44">
        <f>592.3975</f>
        <v>592.39750000000004</v>
      </c>
    </row>
    <row r="873" spans="1:10" ht="15.75" x14ac:dyDescent="0.25">
      <c r="A873" s="32">
        <v>67511</v>
      </c>
      <c r="B873" s="14">
        <f>62.6219 * CHOOSE(CONTROL!$C$15, $E$9, 100%, $G$9) + CHOOSE(CONTROL!$C$38, 0.0256, 0)</f>
        <v>62.647499999999994</v>
      </c>
      <c r="C873" s="14">
        <f>59.2195 * CHOOSE(CONTROL!$C$15, $E$9, 100%, $G$9) + CHOOSE(CONTROL!$C$38, 0.0347, 0)</f>
        <v>59.254199999999997</v>
      </c>
      <c r="D873" s="14">
        <f>59.2117 * CHOOSE(CONTROL!$C$15, $E$9, 100%, $G$9) + CHOOSE(CONTROL!$C$38, 0.0347, 0)</f>
        <v>59.246400000000001</v>
      </c>
      <c r="E873" s="46">
        <f>62.4657 * CHOOSE(CONTROL!$C$15, $E$9, 100%, $G$9) + CHOOSE(CONTROL!$C$38, 0.0347, 0)</f>
        <v>62.500399999999999</v>
      </c>
      <c r="F873" s="45">
        <f>62.4657 * CHOOSE(CONTROL!$C$15, $E$9, 100%, $G$9) + CHOOSE(CONTROL!$C$38, 0.0256, 0)</f>
        <v>62.491299999999995</v>
      </c>
      <c r="G873" s="14">
        <f>59.218 * CHOOSE(CONTROL!$C$15, $E$9, 100%, $G$9) + CHOOSE(CONTROL!$C$38, 0.0347, 0)</f>
        <v>59.252700000000004</v>
      </c>
      <c r="H873" s="14">
        <f>59.218 * CHOOSE(CONTROL!$C$15, $E$9, 100%, $G$9) + CHOOSE(CONTROL!$C$38, 0.0347, 0)</f>
        <v>59.252700000000004</v>
      </c>
      <c r="I873" s="14">
        <f>59.2195 * CHOOSE(CONTROL!$C$15, $E$9, 100%, $G$9) + CHOOSE(CONTROL!$C$38, 0.0347, 0)</f>
        <v>59.254199999999997</v>
      </c>
      <c r="J873" s="44">
        <f>571.9117</f>
        <v>571.9117</v>
      </c>
    </row>
    <row r="874" spans="1:10" ht="15.75" x14ac:dyDescent="0.25">
      <c r="A874" s="32">
        <v>67541</v>
      </c>
      <c r="B874" s="14">
        <f>62.1801 * CHOOSE(CONTROL!$C$15, $E$9, 100%, $G$9) + CHOOSE(CONTROL!$C$38, 0.0256, 0)</f>
        <v>62.2057</v>
      </c>
      <c r="C874" s="14">
        <f>58.8008 * CHOOSE(CONTROL!$C$15, $E$9, 100%, $G$9) + CHOOSE(CONTROL!$C$38, 0.0347, 0)</f>
        <v>58.835500000000003</v>
      </c>
      <c r="D874" s="14">
        <f>58.793 * CHOOSE(CONTROL!$C$15, $E$9, 100%, $G$9) + CHOOSE(CONTROL!$C$38, 0.0347, 0)</f>
        <v>58.8277</v>
      </c>
      <c r="E874" s="46">
        <f>62.0239 * CHOOSE(CONTROL!$C$15, $E$9, 100%, $G$9) + CHOOSE(CONTROL!$C$38, 0.0347, 0)</f>
        <v>62.058599999999998</v>
      </c>
      <c r="F874" s="45">
        <f>62.0239 * CHOOSE(CONTROL!$C$15, $E$9, 100%, $G$9) + CHOOSE(CONTROL!$C$38, 0.0256, 0)</f>
        <v>62.049499999999995</v>
      </c>
      <c r="G874" s="14">
        <f>58.7993 * CHOOSE(CONTROL!$C$15, $E$9, 100%, $G$9) + CHOOSE(CONTROL!$C$38, 0.0347, 0)</f>
        <v>58.834000000000003</v>
      </c>
      <c r="H874" s="14">
        <f>58.7993 * CHOOSE(CONTROL!$C$15, $E$9, 100%, $G$9) + CHOOSE(CONTROL!$C$38, 0.0347, 0)</f>
        <v>58.834000000000003</v>
      </c>
      <c r="I874" s="14">
        <f>58.8008 * CHOOSE(CONTROL!$C$15, $E$9, 100%, $G$9) + CHOOSE(CONTROL!$C$38, 0.0347, 0)</f>
        <v>58.835500000000003</v>
      </c>
      <c r="J874" s="44">
        <f>567.8367</f>
        <v>567.83669999999995</v>
      </c>
    </row>
    <row r="875" spans="1:10" ht="15.75" x14ac:dyDescent="0.25">
      <c r="A875" s="32">
        <v>67572</v>
      </c>
      <c r="B875" s="14">
        <f>60.3532 * CHOOSE(CONTROL!$C$15, $E$9, 100%, $G$9) + CHOOSE(CONTROL!$C$38, 0.0256, 0)</f>
        <v>60.378799999999998</v>
      </c>
      <c r="C875" s="14">
        <f>57.0696 * CHOOSE(CONTROL!$C$15, $E$9, 100%, $G$9) + CHOOSE(CONTROL!$C$38, 0.0347, 0)</f>
        <v>57.104300000000002</v>
      </c>
      <c r="D875" s="14">
        <f>57.0618 * CHOOSE(CONTROL!$C$15, $E$9, 100%, $G$9) + CHOOSE(CONTROL!$C$38, 0.0347, 0)</f>
        <v>57.096499999999999</v>
      </c>
      <c r="E875" s="46">
        <f>60.197 * CHOOSE(CONTROL!$C$15, $E$9, 100%, $G$9) + CHOOSE(CONTROL!$C$38, 0.0347, 0)</f>
        <v>60.231700000000004</v>
      </c>
      <c r="F875" s="45">
        <f>60.197 * CHOOSE(CONTROL!$C$15, $E$9, 100%, $G$9) + CHOOSE(CONTROL!$C$38, 0.0256, 0)</f>
        <v>60.2226</v>
      </c>
      <c r="G875" s="14">
        <f>57.068 * CHOOSE(CONTROL!$C$15, $E$9, 100%, $G$9) + CHOOSE(CONTROL!$C$38, 0.0347, 0)</f>
        <v>57.102699999999999</v>
      </c>
      <c r="H875" s="14">
        <f>57.068 * CHOOSE(CONTROL!$C$15, $E$9, 100%, $G$9) + CHOOSE(CONTROL!$C$38, 0.0347, 0)</f>
        <v>57.102699999999999</v>
      </c>
      <c r="I875" s="14">
        <f>57.0696 * CHOOSE(CONTROL!$C$15, $E$9, 100%, $G$9) + CHOOSE(CONTROL!$C$38, 0.0347, 0)</f>
        <v>57.104300000000002</v>
      </c>
      <c r="J875" s="44">
        <f>550.9861</f>
        <v>550.98609999999996</v>
      </c>
    </row>
    <row r="876" spans="1:10" ht="15.75" x14ac:dyDescent="0.25">
      <c r="A876" s="32">
        <v>67603</v>
      </c>
      <c r="B876" s="14">
        <f>59.8996 * CHOOSE(CONTROL!$C$15, $E$9, 100%, $G$9) + CHOOSE(CONTROL!$C$38, 0.0256, 0)</f>
        <v>59.925199999999997</v>
      </c>
      <c r="C876" s="14">
        <f>56.6397 * CHOOSE(CONTROL!$C$15, $E$9, 100%, $G$9) + CHOOSE(CONTROL!$C$38, 0.0347, 0)</f>
        <v>56.674399999999999</v>
      </c>
      <c r="D876" s="14">
        <f>56.6319 * CHOOSE(CONTROL!$C$15, $E$9, 100%, $G$9) + CHOOSE(CONTROL!$C$38, 0.0347, 0)</f>
        <v>56.666600000000003</v>
      </c>
      <c r="E876" s="46">
        <f>59.7433 * CHOOSE(CONTROL!$C$15, $E$9, 100%, $G$9) + CHOOSE(CONTROL!$C$38, 0.0347, 0)</f>
        <v>59.777999999999999</v>
      </c>
      <c r="F876" s="45">
        <f>59.7433 * CHOOSE(CONTROL!$C$15, $E$9, 100%, $G$9) + CHOOSE(CONTROL!$C$38, 0.0256, 0)</f>
        <v>59.768899999999995</v>
      </c>
      <c r="G876" s="14">
        <f>56.6381 * CHOOSE(CONTROL!$C$15, $E$9, 100%, $G$9) + CHOOSE(CONTROL!$C$38, 0.0347, 0)</f>
        <v>56.672800000000002</v>
      </c>
      <c r="H876" s="14">
        <f>56.6381 * CHOOSE(CONTROL!$C$15, $E$9, 100%, $G$9) + CHOOSE(CONTROL!$C$38, 0.0347, 0)</f>
        <v>56.672800000000002</v>
      </c>
      <c r="I876" s="14">
        <f>56.6397 * CHOOSE(CONTROL!$C$15, $E$9, 100%, $G$9) + CHOOSE(CONTROL!$C$38, 0.0347, 0)</f>
        <v>56.674399999999999</v>
      </c>
      <c r="J876" s="44">
        <f>550.2756</f>
        <v>550.27560000000005</v>
      </c>
    </row>
    <row r="877" spans="1:10" ht="15.75" x14ac:dyDescent="0.25">
      <c r="A877" s="32">
        <v>67631</v>
      </c>
      <c r="B877" s="14">
        <f>59.7348 * CHOOSE(CONTROL!$C$15, $E$9, 100%, $G$9) + CHOOSE(CONTROL!$C$38, 0.0256, 0)</f>
        <v>59.760399999999997</v>
      </c>
      <c r="C877" s="14">
        <f>56.4835 * CHOOSE(CONTROL!$C$15, $E$9, 100%, $G$9) + CHOOSE(CONTROL!$C$38, 0.0347, 0)</f>
        <v>56.5182</v>
      </c>
      <c r="D877" s="14">
        <f>56.4757 * CHOOSE(CONTROL!$C$15, $E$9, 100%, $G$9) + CHOOSE(CONTROL!$C$38, 0.0347, 0)</f>
        <v>56.510400000000004</v>
      </c>
      <c r="E877" s="46">
        <f>59.5785 * CHOOSE(CONTROL!$C$15, $E$9, 100%, $G$9) + CHOOSE(CONTROL!$C$38, 0.0347, 0)</f>
        <v>59.613199999999999</v>
      </c>
      <c r="F877" s="45">
        <f>59.5785 * CHOOSE(CONTROL!$C$15, $E$9, 100%, $G$9) + CHOOSE(CONTROL!$C$38, 0.0256, 0)</f>
        <v>59.604099999999995</v>
      </c>
      <c r="G877" s="14">
        <f>56.482 * CHOOSE(CONTROL!$C$15, $E$9, 100%, $G$9) + CHOOSE(CONTROL!$C$38, 0.0347, 0)</f>
        <v>56.5167</v>
      </c>
      <c r="H877" s="14">
        <f>56.482 * CHOOSE(CONTROL!$C$15, $E$9, 100%, $G$9) + CHOOSE(CONTROL!$C$38, 0.0347, 0)</f>
        <v>56.5167</v>
      </c>
      <c r="I877" s="14">
        <f>56.4835 * CHOOSE(CONTROL!$C$15, $E$9, 100%, $G$9) + CHOOSE(CONTROL!$C$38, 0.0347, 0)</f>
        <v>56.5182</v>
      </c>
      <c r="J877" s="44">
        <f>548.746</f>
        <v>548.74599999999998</v>
      </c>
    </row>
    <row r="878" spans="1:10" ht="15.75" x14ac:dyDescent="0.25">
      <c r="A878" s="32">
        <v>67662</v>
      </c>
      <c r="B878" s="14">
        <f>62.8506 * CHOOSE(CONTROL!$C$15, $E$9, 100%, $G$9) + CHOOSE(CONTROL!$C$38, 0.0256, 0)</f>
        <v>62.876199999999997</v>
      </c>
      <c r="C878" s="14">
        <f>59.4362 * CHOOSE(CONTROL!$C$15, $E$9, 100%, $G$9) + CHOOSE(CONTROL!$C$38, 0.0347, 0)</f>
        <v>59.4709</v>
      </c>
      <c r="D878" s="14">
        <f>59.4284 * CHOOSE(CONTROL!$C$15, $E$9, 100%, $G$9) + CHOOSE(CONTROL!$C$38, 0.0347, 0)</f>
        <v>59.463100000000004</v>
      </c>
      <c r="E878" s="46">
        <f>62.6944 * CHOOSE(CONTROL!$C$15, $E$9, 100%, $G$9) + CHOOSE(CONTROL!$C$38, 0.0347, 0)</f>
        <v>62.729100000000003</v>
      </c>
      <c r="F878" s="45">
        <f>62.6944 * CHOOSE(CONTROL!$C$15, $E$9, 100%, $G$9) + CHOOSE(CONTROL!$C$38, 0.0256, 0)</f>
        <v>62.72</v>
      </c>
      <c r="G878" s="14">
        <f>59.4347 * CHOOSE(CONTROL!$C$15, $E$9, 100%, $G$9) + CHOOSE(CONTROL!$C$38, 0.0347, 0)</f>
        <v>59.4694</v>
      </c>
      <c r="H878" s="14">
        <f>59.4347 * CHOOSE(CONTROL!$C$15, $E$9, 100%, $G$9) + CHOOSE(CONTROL!$C$38, 0.0347, 0)</f>
        <v>59.4694</v>
      </c>
      <c r="I878" s="14">
        <f>59.4362 * CHOOSE(CONTROL!$C$15, $E$9, 100%, $G$9) + CHOOSE(CONTROL!$C$38, 0.0347, 0)</f>
        <v>59.4709</v>
      </c>
      <c r="J878" s="44">
        <f>577.6681</f>
        <v>577.66809999999998</v>
      </c>
    </row>
    <row r="879" spans="1:10" ht="15.75" x14ac:dyDescent="0.25">
      <c r="A879" s="32">
        <v>67692</v>
      </c>
      <c r="B879" s="14">
        <f>66.8911 * CHOOSE(CONTROL!$C$15, $E$9, 100%, $G$9) + CHOOSE(CONTROL!$C$38, 0.0256, 0)</f>
        <v>66.916699999999992</v>
      </c>
      <c r="C879" s="14">
        <f>63.2652 * CHOOSE(CONTROL!$C$15, $E$9, 100%, $G$9) + CHOOSE(CONTROL!$C$38, 0.0347, 0)</f>
        <v>63.299900000000001</v>
      </c>
      <c r="D879" s="14">
        <f>63.2574 * CHOOSE(CONTROL!$C$15, $E$9, 100%, $G$9) + CHOOSE(CONTROL!$C$38, 0.0347, 0)</f>
        <v>63.292099999999998</v>
      </c>
      <c r="E879" s="46">
        <f>66.7349 * CHOOSE(CONTROL!$C$15, $E$9, 100%, $G$9) + CHOOSE(CONTROL!$C$38, 0.0347, 0)</f>
        <v>66.769599999999997</v>
      </c>
      <c r="F879" s="45">
        <f>66.7349 * CHOOSE(CONTROL!$C$15, $E$9, 100%, $G$9) + CHOOSE(CONTROL!$C$38, 0.0256, 0)</f>
        <v>66.760499999999993</v>
      </c>
      <c r="G879" s="14">
        <f>63.2636 * CHOOSE(CONTROL!$C$15, $E$9, 100%, $G$9) + CHOOSE(CONTROL!$C$38, 0.0347, 0)</f>
        <v>63.298299999999998</v>
      </c>
      <c r="H879" s="14">
        <f>63.2636 * CHOOSE(CONTROL!$C$15, $E$9, 100%, $G$9) + CHOOSE(CONTROL!$C$38, 0.0347, 0)</f>
        <v>63.298299999999998</v>
      </c>
      <c r="I879" s="14">
        <f>63.2652 * CHOOSE(CONTROL!$C$15, $E$9, 100%, $G$9) + CHOOSE(CONTROL!$C$38, 0.0347, 0)</f>
        <v>63.299900000000001</v>
      </c>
      <c r="J879" s="44">
        <f>615.1732</f>
        <v>615.17319999999995</v>
      </c>
    </row>
    <row r="880" spans="1:10" ht="15.75" x14ac:dyDescent="0.25">
      <c r="A880" s="32">
        <v>67723</v>
      </c>
      <c r="B880" s="14">
        <f>69.1151 * CHOOSE(CONTROL!$C$15, $E$9, 100%, $G$9) + CHOOSE(CONTROL!$C$38, 0.0278, 0)</f>
        <v>69.142899999999997</v>
      </c>
      <c r="C880" s="14">
        <f>65.3728 * CHOOSE(CONTROL!$C$15, $E$9, 100%, $G$9) + CHOOSE(CONTROL!$C$38, 0.0369, 0)</f>
        <v>65.409700000000001</v>
      </c>
      <c r="D880" s="14">
        <f>65.365 * CHOOSE(CONTROL!$C$15, $E$9, 100%, $G$9) + CHOOSE(CONTROL!$C$38, 0.0369, 0)</f>
        <v>65.401899999999998</v>
      </c>
      <c r="E880" s="46">
        <f>68.9589 * CHOOSE(CONTROL!$C$15, $E$9, 100%, $G$9) + CHOOSE(CONTROL!$C$38, 0.0369, 0)</f>
        <v>68.995800000000003</v>
      </c>
      <c r="F880" s="45">
        <f>68.9589 * CHOOSE(CONTROL!$C$15, $E$9, 100%, $G$9) + CHOOSE(CONTROL!$C$38, 0.0278, 0)</f>
        <v>68.986699999999999</v>
      </c>
      <c r="G880" s="14">
        <f>65.3712 * CHOOSE(CONTROL!$C$15, $E$9, 100%, $G$9) + CHOOSE(CONTROL!$C$38, 0.0369, 0)</f>
        <v>65.408100000000005</v>
      </c>
      <c r="H880" s="14">
        <f>65.3712 * CHOOSE(CONTROL!$C$15, $E$9, 100%, $G$9) + CHOOSE(CONTROL!$C$38, 0.0369, 0)</f>
        <v>65.408100000000005</v>
      </c>
      <c r="I880" s="14">
        <f>65.3728 * CHOOSE(CONTROL!$C$15, $E$9, 100%, $G$9) + CHOOSE(CONTROL!$C$38, 0.0369, 0)</f>
        <v>65.409700000000001</v>
      </c>
      <c r="J880" s="44">
        <f>635.8172</f>
        <v>635.81719999999996</v>
      </c>
    </row>
    <row r="881" spans="1:10" ht="15.75" x14ac:dyDescent="0.25">
      <c r="A881" s="32">
        <v>67753</v>
      </c>
      <c r="B881" s="14">
        <f>70.1021 * CHOOSE(CONTROL!$C$15, $E$9, 100%, $G$9) + CHOOSE(CONTROL!$C$38, 0.0278, 0)</f>
        <v>70.129899999999992</v>
      </c>
      <c r="C881" s="14">
        <f>66.3081 * CHOOSE(CONTROL!$C$15, $E$9, 100%, $G$9) + CHOOSE(CONTROL!$C$38, 0.0369, 0)</f>
        <v>66.344999999999999</v>
      </c>
      <c r="D881" s="14">
        <f>66.3003 * CHOOSE(CONTROL!$C$15, $E$9, 100%, $G$9) + CHOOSE(CONTROL!$C$38, 0.0369, 0)</f>
        <v>66.337199999999996</v>
      </c>
      <c r="E881" s="46">
        <f>69.9459 * CHOOSE(CONTROL!$C$15, $E$9, 100%, $G$9) + CHOOSE(CONTROL!$C$38, 0.0369, 0)</f>
        <v>69.982799999999997</v>
      </c>
      <c r="F881" s="45">
        <f>69.9459 * CHOOSE(CONTROL!$C$15, $E$9, 100%, $G$9) + CHOOSE(CONTROL!$C$38, 0.0278, 0)</f>
        <v>69.973699999999994</v>
      </c>
      <c r="G881" s="14">
        <f>66.3065 * CHOOSE(CONTROL!$C$15, $E$9, 100%, $G$9) + CHOOSE(CONTROL!$C$38, 0.0369, 0)</f>
        <v>66.343400000000003</v>
      </c>
      <c r="H881" s="14">
        <f>66.3065 * CHOOSE(CONTROL!$C$15, $E$9, 100%, $G$9) + CHOOSE(CONTROL!$C$38, 0.0369, 0)</f>
        <v>66.343400000000003</v>
      </c>
      <c r="I881" s="14">
        <f>66.3081 * CHOOSE(CONTROL!$C$15, $E$9, 100%, $G$9) + CHOOSE(CONTROL!$C$38, 0.0369, 0)</f>
        <v>66.344999999999999</v>
      </c>
      <c r="J881" s="44">
        <f>644.9786</f>
        <v>644.97860000000003</v>
      </c>
    </row>
    <row r="882" spans="1:10" ht="15.75" x14ac:dyDescent="0.25">
      <c r="A882" s="32">
        <v>67784</v>
      </c>
      <c r="B882" s="14">
        <f>69.7772 * CHOOSE(CONTROL!$C$15, $E$9, 100%, $G$9) + CHOOSE(CONTROL!$C$38, 0.0278, 0)</f>
        <v>69.804999999999993</v>
      </c>
      <c r="C882" s="14">
        <f>66.0001 * CHOOSE(CONTROL!$C$15, $E$9, 100%, $G$9) + CHOOSE(CONTROL!$C$38, 0.0369, 0)</f>
        <v>66.037000000000006</v>
      </c>
      <c r="D882" s="14">
        <f>65.9923 * CHOOSE(CONTROL!$C$15, $E$9, 100%, $G$9) + CHOOSE(CONTROL!$C$38, 0.0369, 0)</f>
        <v>66.029200000000003</v>
      </c>
      <c r="E882" s="46">
        <f>69.6209 * CHOOSE(CONTROL!$C$15, $E$9, 100%, $G$9) + CHOOSE(CONTROL!$C$38, 0.0369, 0)</f>
        <v>69.657800000000009</v>
      </c>
      <c r="F882" s="45">
        <f>69.6209 * CHOOSE(CONTROL!$C$15, $E$9, 100%, $G$9) + CHOOSE(CONTROL!$C$38, 0.0278, 0)</f>
        <v>69.648700000000005</v>
      </c>
      <c r="G882" s="14">
        <f>65.9986 * CHOOSE(CONTROL!$C$15, $E$9, 100%, $G$9) + CHOOSE(CONTROL!$C$38, 0.0369, 0)</f>
        <v>66.035499999999999</v>
      </c>
      <c r="H882" s="14">
        <f>65.9986 * CHOOSE(CONTROL!$C$15, $E$9, 100%, $G$9) + CHOOSE(CONTROL!$C$38, 0.0369, 0)</f>
        <v>66.035499999999999</v>
      </c>
      <c r="I882" s="14">
        <f>66.0001 * CHOOSE(CONTROL!$C$15, $E$9, 100%, $G$9) + CHOOSE(CONTROL!$C$38, 0.0369, 0)</f>
        <v>66.037000000000006</v>
      </c>
      <c r="J882" s="44">
        <f>641.9622</f>
        <v>641.96220000000005</v>
      </c>
    </row>
    <row r="883" spans="1:10" ht="15.75" x14ac:dyDescent="0.25">
      <c r="A883" s="32">
        <v>67815</v>
      </c>
      <c r="B883" s="14">
        <f>68.1671 * CHOOSE(CONTROL!$C$15, $E$9, 100%, $G$9) + CHOOSE(CONTROL!$C$38, 0.0278, 0)</f>
        <v>68.194900000000004</v>
      </c>
      <c r="C883" s="14">
        <f>64.4744 * CHOOSE(CONTROL!$C$15, $E$9, 100%, $G$9) + CHOOSE(CONTROL!$C$38, 0.0369, 0)</f>
        <v>64.511300000000006</v>
      </c>
      <c r="D883" s="14">
        <f>64.4666 * CHOOSE(CONTROL!$C$15, $E$9, 100%, $G$9) + CHOOSE(CONTROL!$C$38, 0.0369, 0)</f>
        <v>64.503500000000003</v>
      </c>
      <c r="E883" s="46">
        <f>68.0109 * CHOOSE(CONTROL!$C$15, $E$9, 100%, $G$9) + CHOOSE(CONTROL!$C$38, 0.0369, 0)</f>
        <v>68.047800000000009</v>
      </c>
      <c r="F883" s="45">
        <f>68.0109 * CHOOSE(CONTROL!$C$15, $E$9, 100%, $G$9) + CHOOSE(CONTROL!$C$38, 0.0278, 0)</f>
        <v>68.038700000000006</v>
      </c>
      <c r="G883" s="14">
        <f>64.4729 * CHOOSE(CONTROL!$C$15, $E$9, 100%, $G$9) + CHOOSE(CONTROL!$C$38, 0.0369, 0)</f>
        <v>64.509799999999998</v>
      </c>
      <c r="H883" s="14">
        <f>64.4729 * CHOOSE(CONTROL!$C$15, $E$9, 100%, $G$9) + CHOOSE(CONTROL!$C$38, 0.0369, 0)</f>
        <v>64.509799999999998</v>
      </c>
      <c r="I883" s="14">
        <f>64.4744 * CHOOSE(CONTROL!$C$15, $E$9, 100%, $G$9) + CHOOSE(CONTROL!$C$38, 0.0369, 0)</f>
        <v>64.511300000000006</v>
      </c>
      <c r="J883" s="44">
        <f>627.0176</f>
        <v>627.01760000000002</v>
      </c>
    </row>
    <row r="884" spans="1:10" ht="15.75" x14ac:dyDescent="0.25">
      <c r="A884" s="32">
        <v>67845</v>
      </c>
      <c r="B884" s="14">
        <f>65.9219 * CHOOSE(CONTROL!$C$15, $E$9, 100%, $G$9) + CHOOSE(CONTROL!$C$38, 0.0278, 0)</f>
        <v>65.949699999999993</v>
      </c>
      <c r="C884" s="14">
        <f>62.3467 * CHOOSE(CONTROL!$C$15, $E$9, 100%, $G$9) + CHOOSE(CONTROL!$C$38, 0.0369, 0)</f>
        <v>62.383600000000001</v>
      </c>
      <c r="D884" s="14">
        <f>62.3389 * CHOOSE(CONTROL!$C$15, $E$9, 100%, $G$9) + CHOOSE(CONTROL!$C$38, 0.0369, 0)</f>
        <v>62.375800000000005</v>
      </c>
      <c r="E884" s="46">
        <f>65.7656 * CHOOSE(CONTROL!$C$15, $E$9, 100%, $G$9) + CHOOSE(CONTROL!$C$38, 0.0369, 0)</f>
        <v>65.802500000000009</v>
      </c>
      <c r="F884" s="45">
        <f>65.7656 * CHOOSE(CONTROL!$C$15, $E$9, 100%, $G$9) + CHOOSE(CONTROL!$C$38, 0.0278, 0)</f>
        <v>65.793400000000005</v>
      </c>
      <c r="G884" s="14">
        <f>62.3452 * CHOOSE(CONTROL!$C$15, $E$9, 100%, $G$9) + CHOOSE(CONTROL!$C$38, 0.0369, 0)</f>
        <v>62.382100000000001</v>
      </c>
      <c r="H884" s="14">
        <f>62.3452 * CHOOSE(CONTROL!$C$15, $E$9, 100%, $G$9) + CHOOSE(CONTROL!$C$38, 0.0369, 0)</f>
        <v>62.382100000000001</v>
      </c>
      <c r="I884" s="14">
        <f>62.3467 * CHOOSE(CONTROL!$C$15, $E$9, 100%, $G$9) + CHOOSE(CONTROL!$C$38, 0.0369, 0)</f>
        <v>62.383600000000001</v>
      </c>
      <c r="J884" s="44">
        <f>606.1766</f>
        <v>606.17660000000001</v>
      </c>
    </row>
    <row r="885" spans="1:10" ht="15.75" x14ac:dyDescent="0.25">
      <c r="A885" s="32">
        <v>67876</v>
      </c>
      <c r="B885" s="14">
        <f>63.6636 * CHOOSE(CONTROL!$C$15, $E$9, 100%, $G$9) + CHOOSE(CONTROL!$C$38, 0.0256, 0)</f>
        <v>63.6892</v>
      </c>
      <c r="C885" s="14">
        <f>60.2066 * CHOOSE(CONTROL!$C$15, $E$9, 100%, $G$9) + CHOOSE(CONTROL!$C$38, 0.0347, 0)</f>
        <v>60.241300000000003</v>
      </c>
      <c r="D885" s="14">
        <f>60.1988 * CHOOSE(CONTROL!$C$15, $E$9, 100%, $G$9) + CHOOSE(CONTROL!$C$38, 0.0347, 0)</f>
        <v>60.233499999999999</v>
      </c>
      <c r="E885" s="46">
        <f>63.5073 * CHOOSE(CONTROL!$C$15, $E$9, 100%, $G$9) + CHOOSE(CONTROL!$C$38, 0.0347, 0)</f>
        <v>63.542000000000002</v>
      </c>
      <c r="F885" s="45">
        <f>63.5073 * CHOOSE(CONTROL!$C$15, $E$9, 100%, $G$9) + CHOOSE(CONTROL!$C$38, 0.0256, 0)</f>
        <v>63.532899999999998</v>
      </c>
      <c r="G885" s="14">
        <f>60.2051 * CHOOSE(CONTROL!$C$15, $E$9, 100%, $G$9) + CHOOSE(CONTROL!$C$38, 0.0347, 0)</f>
        <v>60.239800000000002</v>
      </c>
      <c r="H885" s="14">
        <f>60.2051 * CHOOSE(CONTROL!$C$15, $E$9, 100%, $G$9) + CHOOSE(CONTROL!$C$38, 0.0347, 0)</f>
        <v>60.239800000000002</v>
      </c>
      <c r="I885" s="14">
        <f>60.2066 * CHOOSE(CONTROL!$C$15, $E$9, 100%, $G$9) + CHOOSE(CONTROL!$C$38, 0.0347, 0)</f>
        <v>60.241300000000003</v>
      </c>
      <c r="J885" s="44">
        <f>585.2144</f>
        <v>585.21439999999996</v>
      </c>
    </row>
    <row r="886" spans="1:10" ht="15.75" x14ac:dyDescent="0.25">
      <c r="A886" s="32">
        <v>67906</v>
      </c>
      <c r="B886" s="14">
        <f>63.2144 * CHOOSE(CONTROL!$C$15, $E$9, 100%, $G$9) + CHOOSE(CONTROL!$C$38, 0.0256, 0)</f>
        <v>63.239999999999995</v>
      </c>
      <c r="C886" s="14">
        <f>59.7809 * CHOOSE(CONTROL!$C$15, $E$9, 100%, $G$9) + CHOOSE(CONTROL!$C$38, 0.0347, 0)</f>
        <v>59.815600000000003</v>
      </c>
      <c r="D886" s="14">
        <f>59.7731 * CHOOSE(CONTROL!$C$15, $E$9, 100%, $G$9) + CHOOSE(CONTROL!$C$38, 0.0347, 0)</f>
        <v>59.8078</v>
      </c>
      <c r="E886" s="46">
        <f>63.0581 * CHOOSE(CONTROL!$C$15, $E$9, 100%, $G$9) + CHOOSE(CONTROL!$C$38, 0.0347, 0)</f>
        <v>63.092800000000004</v>
      </c>
      <c r="F886" s="45">
        <f>63.0581 * CHOOSE(CONTROL!$C$15, $E$9, 100%, $G$9) + CHOOSE(CONTROL!$C$38, 0.0256, 0)</f>
        <v>63.0837</v>
      </c>
      <c r="G886" s="14">
        <f>59.7794 * CHOOSE(CONTROL!$C$15, $E$9, 100%, $G$9) + CHOOSE(CONTROL!$C$38, 0.0347, 0)</f>
        <v>59.814100000000003</v>
      </c>
      <c r="H886" s="14">
        <f>59.7794 * CHOOSE(CONTROL!$C$15, $E$9, 100%, $G$9) + CHOOSE(CONTROL!$C$38, 0.0347, 0)</f>
        <v>59.814100000000003</v>
      </c>
      <c r="I886" s="14">
        <f>59.7809 * CHOOSE(CONTROL!$C$15, $E$9, 100%, $G$9) + CHOOSE(CONTROL!$C$38, 0.0347, 0)</f>
        <v>59.815600000000003</v>
      </c>
      <c r="J886" s="44">
        <f>581.0446</f>
        <v>581.04459999999995</v>
      </c>
    </row>
    <row r="887" spans="1:10" ht="15.75" x14ac:dyDescent="0.25">
      <c r="A887" s="32">
        <v>67937</v>
      </c>
      <c r="B887" s="14">
        <f>61.3568 * CHOOSE(CONTROL!$C$15, $E$9, 100%, $G$9) + CHOOSE(CONTROL!$C$38, 0.0256, 0)</f>
        <v>61.382399999999997</v>
      </c>
      <c r="C887" s="14">
        <f>58.0206 * CHOOSE(CONTROL!$C$15, $E$9, 100%, $G$9) + CHOOSE(CONTROL!$C$38, 0.0347, 0)</f>
        <v>58.055300000000003</v>
      </c>
      <c r="D887" s="14">
        <f>58.0128 * CHOOSE(CONTROL!$C$15, $E$9, 100%, $G$9) + CHOOSE(CONTROL!$C$38, 0.0347, 0)</f>
        <v>58.047499999999999</v>
      </c>
      <c r="E887" s="46">
        <f>61.2005 * CHOOSE(CONTROL!$C$15, $E$9, 100%, $G$9) + CHOOSE(CONTROL!$C$38, 0.0347, 0)</f>
        <v>61.235199999999999</v>
      </c>
      <c r="F887" s="45">
        <f>61.2005 * CHOOSE(CONTROL!$C$15, $E$9, 100%, $G$9) + CHOOSE(CONTROL!$C$38, 0.0256, 0)</f>
        <v>61.226099999999995</v>
      </c>
      <c r="G887" s="14">
        <f>58.0191 * CHOOSE(CONTROL!$C$15, $E$9, 100%, $G$9) + CHOOSE(CONTROL!$C$38, 0.0347, 0)</f>
        <v>58.053800000000003</v>
      </c>
      <c r="H887" s="14">
        <f>58.0191 * CHOOSE(CONTROL!$C$15, $E$9, 100%, $G$9) + CHOOSE(CONTROL!$C$38, 0.0347, 0)</f>
        <v>58.053800000000003</v>
      </c>
      <c r="I887" s="14">
        <f>58.0206 * CHOOSE(CONTROL!$C$15, $E$9, 100%, $G$9) + CHOOSE(CONTROL!$C$38, 0.0347, 0)</f>
        <v>58.055300000000003</v>
      </c>
      <c r="J887" s="44">
        <f>563.8021</f>
        <v>563.8021</v>
      </c>
    </row>
    <row r="888" spans="1:10" ht="15.75" x14ac:dyDescent="0.25">
      <c r="A888" s="32">
        <v>67968</v>
      </c>
      <c r="B888" s="14">
        <f>60.8955 * CHOOSE(CONTROL!$C$15, $E$9, 100%, $G$9) + CHOOSE(CONTROL!$C$38, 0.0256, 0)</f>
        <v>60.921099999999996</v>
      </c>
      <c r="C888" s="14">
        <f>57.5835 * CHOOSE(CONTROL!$C$15, $E$9, 100%, $G$9) + CHOOSE(CONTROL!$C$38, 0.0347, 0)</f>
        <v>57.618200000000002</v>
      </c>
      <c r="D888" s="14">
        <f>57.5756 * CHOOSE(CONTROL!$C$15, $E$9, 100%, $G$9) + CHOOSE(CONTROL!$C$38, 0.0347, 0)</f>
        <v>57.610300000000002</v>
      </c>
      <c r="E888" s="46">
        <f>60.7392 * CHOOSE(CONTROL!$C$15, $E$9, 100%, $G$9) + CHOOSE(CONTROL!$C$38, 0.0347, 0)</f>
        <v>60.773899999999998</v>
      </c>
      <c r="F888" s="45">
        <f>60.7392 * CHOOSE(CONTROL!$C$15, $E$9, 100%, $G$9) + CHOOSE(CONTROL!$C$38, 0.0256, 0)</f>
        <v>60.764799999999994</v>
      </c>
      <c r="G888" s="14">
        <f>57.5819 * CHOOSE(CONTROL!$C$15, $E$9, 100%, $G$9) + CHOOSE(CONTROL!$C$38, 0.0347, 0)</f>
        <v>57.616599999999998</v>
      </c>
      <c r="H888" s="14">
        <f>57.5819 * CHOOSE(CONTROL!$C$15, $E$9, 100%, $G$9) + CHOOSE(CONTROL!$C$38, 0.0347, 0)</f>
        <v>57.616599999999998</v>
      </c>
      <c r="I888" s="14">
        <f>57.5835 * CHOOSE(CONTROL!$C$15, $E$9, 100%, $G$9) + CHOOSE(CONTROL!$C$38, 0.0347, 0)</f>
        <v>57.618200000000002</v>
      </c>
      <c r="J888" s="44">
        <f>563.075</f>
        <v>563.07500000000005</v>
      </c>
    </row>
    <row r="889" spans="1:10" ht="15.75" x14ac:dyDescent="0.25">
      <c r="A889" s="32">
        <v>67996</v>
      </c>
      <c r="B889" s="14">
        <f>60.7279 * CHOOSE(CONTROL!$C$15, $E$9, 100%, $G$9) + CHOOSE(CONTROL!$C$38, 0.0256, 0)</f>
        <v>60.753499999999995</v>
      </c>
      <c r="C889" s="14">
        <f>57.4247 * CHOOSE(CONTROL!$C$15, $E$9, 100%, $G$9) + CHOOSE(CONTROL!$C$38, 0.0347, 0)</f>
        <v>57.459400000000002</v>
      </c>
      <c r="D889" s="14">
        <f>57.4169 * CHOOSE(CONTROL!$C$15, $E$9, 100%, $G$9) + CHOOSE(CONTROL!$C$38, 0.0347, 0)</f>
        <v>57.451599999999999</v>
      </c>
      <c r="E889" s="46">
        <f>60.5717 * CHOOSE(CONTROL!$C$15, $E$9, 100%, $G$9) + CHOOSE(CONTROL!$C$38, 0.0347, 0)</f>
        <v>60.606400000000001</v>
      </c>
      <c r="F889" s="45">
        <f>60.5717 * CHOOSE(CONTROL!$C$15, $E$9, 100%, $G$9) + CHOOSE(CONTROL!$C$38, 0.0256, 0)</f>
        <v>60.597299999999997</v>
      </c>
      <c r="G889" s="14">
        <f>57.4231 * CHOOSE(CONTROL!$C$15, $E$9, 100%, $G$9) + CHOOSE(CONTROL!$C$38, 0.0347, 0)</f>
        <v>57.457799999999999</v>
      </c>
      <c r="H889" s="14">
        <f>57.4231 * CHOOSE(CONTROL!$C$15, $E$9, 100%, $G$9) + CHOOSE(CONTROL!$C$38, 0.0347, 0)</f>
        <v>57.457799999999999</v>
      </c>
      <c r="I889" s="14">
        <f>57.4247 * CHOOSE(CONTROL!$C$15, $E$9, 100%, $G$9) + CHOOSE(CONTROL!$C$38, 0.0347, 0)</f>
        <v>57.459400000000002</v>
      </c>
      <c r="J889" s="44">
        <f>561.5099</f>
        <v>561.50990000000002</v>
      </c>
    </row>
    <row r="890" spans="1:10" ht="15.75" x14ac:dyDescent="0.25">
      <c r="A890" s="32">
        <v>68027</v>
      </c>
      <c r="B890" s="14">
        <f>63.8961 * CHOOSE(CONTROL!$C$15, $E$9, 100%, $G$9) + CHOOSE(CONTROL!$C$38, 0.0256, 0)</f>
        <v>63.921699999999994</v>
      </c>
      <c r="C890" s="14">
        <f>60.427 * CHOOSE(CONTROL!$C$15, $E$9, 100%, $G$9) + CHOOSE(CONTROL!$C$38, 0.0347, 0)</f>
        <v>60.4617</v>
      </c>
      <c r="D890" s="14">
        <f>60.4192 * CHOOSE(CONTROL!$C$15, $E$9, 100%, $G$9) + CHOOSE(CONTROL!$C$38, 0.0347, 0)</f>
        <v>60.453899999999997</v>
      </c>
      <c r="E890" s="46">
        <f>63.7399 * CHOOSE(CONTROL!$C$15, $E$9, 100%, $G$9) + CHOOSE(CONTROL!$C$38, 0.0347, 0)</f>
        <v>63.7746</v>
      </c>
      <c r="F890" s="45">
        <f>63.7399 * CHOOSE(CONTROL!$C$15, $E$9, 100%, $G$9) + CHOOSE(CONTROL!$C$38, 0.0256, 0)</f>
        <v>63.765499999999996</v>
      </c>
      <c r="G890" s="14">
        <f>60.4254 * CHOOSE(CONTROL!$C$15, $E$9, 100%, $G$9) + CHOOSE(CONTROL!$C$38, 0.0347, 0)</f>
        <v>60.460100000000004</v>
      </c>
      <c r="H890" s="14">
        <f>60.4254 * CHOOSE(CONTROL!$C$15, $E$9, 100%, $G$9) + CHOOSE(CONTROL!$C$38, 0.0347, 0)</f>
        <v>60.460100000000004</v>
      </c>
      <c r="I890" s="14">
        <f>60.427 * CHOOSE(CONTROL!$C$15, $E$9, 100%, $G$9) + CHOOSE(CONTROL!$C$38, 0.0347, 0)</f>
        <v>60.4617</v>
      </c>
      <c r="J890" s="44">
        <f>591.1047</f>
        <v>591.10469999999998</v>
      </c>
    </row>
    <row r="891" spans="1:10" ht="15.75" x14ac:dyDescent="0.25">
      <c r="A891" s="32">
        <v>68057</v>
      </c>
      <c r="B891" s="14">
        <f>68.0045 * CHOOSE(CONTROL!$C$15, $E$9, 100%, $G$9) + CHOOSE(CONTROL!$C$38, 0.0256, 0)</f>
        <v>68.03009999999999</v>
      </c>
      <c r="C891" s="14">
        <f>64.3203 * CHOOSE(CONTROL!$C$15, $E$9, 100%, $G$9) + CHOOSE(CONTROL!$C$38, 0.0347, 0)</f>
        <v>64.355000000000004</v>
      </c>
      <c r="D891" s="14">
        <f>64.3125 * CHOOSE(CONTROL!$C$15, $E$9, 100%, $G$9) + CHOOSE(CONTROL!$C$38, 0.0347, 0)</f>
        <v>64.347200000000001</v>
      </c>
      <c r="E891" s="46">
        <f>67.8482 * CHOOSE(CONTROL!$C$15, $E$9, 100%, $G$9) + CHOOSE(CONTROL!$C$38, 0.0347, 0)</f>
        <v>67.882900000000006</v>
      </c>
      <c r="F891" s="45">
        <f>67.8482 * CHOOSE(CONTROL!$C$15, $E$9, 100%, $G$9) + CHOOSE(CONTROL!$C$38, 0.0256, 0)</f>
        <v>67.873800000000003</v>
      </c>
      <c r="G891" s="14">
        <f>64.3187 * CHOOSE(CONTROL!$C$15, $E$9, 100%, $G$9) + CHOOSE(CONTROL!$C$38, 0.0347, 0)</f>
        <v>64.353400000000008</v>
      </c>
      <c r="H891" s="14">
        <f>64.3187 * CHOOSE(CONTROL!$C$15, $E$9, 100%, $G$9) + CHOOSE(CONTROL!$C$38, 0.0347, 0)</f>
        <v>64.353400000000008</v>
      </c>
      <c r="I891" s="14">
        <f>64.3203 * CHOOSE(CONTROL!$C$15, $E$9, 100%, $G$9) + CHOOSE(CONTROL!$C$38, 0.0347, 0)</f>
        <v>64.355000000000004</v>
      </c>
      <c r="J891" s="44">
        <f>629.4821</f>
        <v>629.48209999999995</v>
      </c>
    </row>
    <row r="892" spans="1:10" ht="15.75" x14ac:dyDescent="0.25">
      <c r="A892" s="32">
        <v>68088</v>
      </c>
      <c r="B892" s="14">
        <f>70.2659 * CHOOSE(CONTROL!$C$15, $E$9, 100%, $G$9) + CHOOSE(CONTROL!$C$38, 0.0278, 0)</f>
        <v>70.293700000000001</v>
      </c>
      <c r="C892" s="14">
        <f>66.4633 * CHOOSE(CONTROL!$C$15, $E$9, 100%, $G$9) + CHOOSE(CONTROL!$C$38, 0.0369, 0)</f>
        <v>66.500200000000007</v>
      </c>
      <c r="D892" s="14">
        <f>66.4555 * CHOOSE(CONTROL!$C$15, $E$9, 100%, $G$9) + CHOOSE(CONTROL!$C$38, 0.0369, 0)</f>
        <v>66.492400000000004</v>
      </c>
      <c r="E892" s="46">
        <f>70.1096 * CHOOSE(CONTROL!$C$15, $E$9, 100%, $G$9) + CHOOSE(CONTROL!$C$38, 0.0369, 0)</f>
        <v>70.146500000000003</v>
      </c>
      <c r="F892" s="45">
        <f>70.1096 * CHOOSE(CONTROL!$C$15, $E$9, 100%, $G$9) + CHOOSE(CONTROL!$C$38, 0.0278, 0)</f>
        <v>70.1374</v>
      </c>
      <c r="G892" s="14">
        <f>66.4617 * CHOOSE(CONTROL!$C$15, $E$9, 100%, $G$9) + CHOOSE(CONTROL!$C$38, 0.0369, 0)</f>
        <v>66.498599999999996</v>
      </c>
      <c r="H892" s="14">
        <f>66.4617 * CHOOSE(CONTROL!$C$15, $E$9, 100%, $G$9) + CHOOSE(CONTROL!$C$38, 0.0369, 0)</f>
        <v>66.498599999999996</v>
      </c>
      <c r="I892" s="14">
        <f>66.4633 * CHOOSE(CONTROL!$C$15, $E$9, 100%, $G$9) + CHOOSE(CONTROL!$C$38, 0.0369, 0)</f>
        <v>66.500200000000007</v>
      </c>
      <c r="J892" s="44">
        <f>650.6063</f>
        <v>650.60630000000003</v>
      </c>
    </row>
    <row r="893" spans="1:10" ht="15.75" x14ac:dyDescent="0.25">
      <c r="A893" s="32">
        <v>68118</v>
      </c>
      <c r="B893" s="14">
        <f>71.2694 * CHOOSE(CONTROL!$C$15, $E$9, 100%, $G$9) + CHOOSE(CONTROL!$C$38, 0.0278, 0)</f>
        <v>71.297200000000004</v>
      </c>
      <c r="C893" s="14">
        <f>67.4143 * CHOOSE(CONTROL!$C$15, $E$9, 100%, $G$9) + CHOOSE(CONTROL!$C$38, 0.0369, 0)</f>
        <v>67.4512</v>
      </c>
      <c r="D893" s="14">
        <f>67.4065 * CHOOSE(CONTROL!$C$15, $E$9, 100%, $G$9) + CHOOSE(CONTROL!$C$38, 0.0369, 0)</f>
        <v>67.443399999999997</v>
      </c>
      <c r="E893" s="46">
        <f>71.1132 * CHOOSE(CONTROL!$C$15, $E$9, 100%, $G$9) + CHOOSE(CONTROL!$C$38, 0.0369, 0)</f>
        <v>71.150100000000009</v>
      </c>
      <c r="F893" s="45">
        <f>71.1132 * CHOOSE(CONTROL!$C$15, $E$9, 100%, $G$9) + CHOOSE(CONTROL!$C$38, 0.0278, 0)</f>
        <v>71.141000000000005</v>
      </c>
      <c r="G893" s="14">
        <f>67.4127 * CHOOSE(CONTROL!$C$15, $E$9, 100%, $G$9) + CHOOSE(CONTROL!$C$38, 0.0369, 0)</f>
        <v>67.449600000000004</v>
      </c>
      <c r="H893" s="14">
        <f>67.4127 * CHOOSE(CONTROL!$C$15, $E$9, 100%, $G$9) + CHOOSE(CONTROL!$C$38, 0.0369, 0)</f>
        <v>67.449600000000004</v>
      </c>
      <c r="I893" s="14">
        <f>67.4143 * CHOOSE(CONTROL!$C$15, $E$9, 100%, $G$9) + CHOOSE(CONTROL!$C$38, 0.0369, 0)</f>
        <v>67.4512</v>
      </c>
      <c r="J893" s="44">
        <f>659.9808</f>
        <v>659.98080000000004</v>
      </c>
    </row>
    <row r="894" spans="1:10" ht="15.75" x14ac:dyDescent="0.25">
      <c r="A894" s="32">
        <v>68149</v>
      </c>
      <c r="B894" s="14">
        <f>70.939 * CHOOSE(CONTROL!$C$15, $E$9, 100%, $G$9) + CHOOSE(CONTROL!$C$38, 0.0278, 0)</f>
        <v>70.966799999999992</v>
      </c>
      <c r="C894" s="14">
        <f>67.1012 * CHOOSE(CONTROL!$C$15, $E$9, 100%, $G$9) + CHOOSE(CONTROL!$C$38, 0.0369, 0)</f>
        <v>67.138100000000009</v>
      </c>
      <c r="D894" s="14">
        <f>67.0934 * CHOOSE(CONTROL!$C$15, $E$9, 100%, $G$9) + CHOOSE(CONTROL!$C$38, 0.0369, 0)</f>
        <v>67.130300000000005</v>
      </c>
      <c r="E894" s="46">
        <f>70.7828 * CHOOSE(CONTROL!$C$15, $E$9, 100%, $G$9) + CHOOSE(CONTROL!$C$38, 0.0369, 0)</f>
        <v>70.819699999999997</v>
      </c>
      <c r="F894" s="45">
        <f>70.7828 * CHOOSE(CONTROL!$C$15, $E$9, 100%, $G$9) + CHOOSE(CONTROL!$C$38, 0.0278, 0)</f>
        <v>70.810599999999994</v>
      </c>
      <c r="G894" s="14">
        <f>67.0996 * CHOOSE(CONTROL!$C$15, $E$9, 100%, $G$9) + CHOOSE(CONTROL!$C$38, 0.0369, 0)</f>
        <v>67.136499999999998</v>
      </c>
      <c r="H894" s="14">
        <f>67.0996 * CHOOSE(CONTROL!$C$15, $E$9, 100%, $G$9) + CHOOSE(CONTROL!$C$38, 0.0369, 0)</f>
        <v>67.136499999999998</v>
      </c>
      <c r="I894" s="14">
        <f>67.1012 * CHOOSE(CONTROL!$C$15, $E$9, 100%, $G$9) + CHOOSE(CONTROL!$C$38, 0.0369, 0)</f>
        <v>67.138100000000009</v>
      </c>
      <c r="J894" s="44">
        <f>656.8943</f>
        <v>656.89430000000004</v>
      </c>
    </row>
    <row r="895" spans="1:10" ht="15.75" x14ac:dyDescent="0.25">
      <c r="A895" s="32">
        <v>68180</v>
      </c>
      <c r="B895" s="14">
        <f>69.302 * CHOOSE(CONTROL!$C$15, $E$9, 100%, $G$9) + CHOOSE(CONTROL!$C$38, 0.0278, 0)</f>
        <v>69.329800000000006</v>
      </c>
      <c r="C895" s="14">
        <f>65.5498 * CHOOSE(CONTROL!$C$15, $E$9, 100%, $G$9) + CHOOSE(CONTROL!$C$38, 0.0369, 0)</f>
        <v>65.586700000000008</v>
      </c>
      <c r="D895" s="14">
        <f>65.542 * CHOOSE(CONTROL!$C$15, $E$9, 100%, $G$9) + CHOOSE(CONTROL!$C$38, 0.0369, 0)</f>
        <v>65.578900000000004</v>
      </c>
      <c r="E895" s="46">
        <f>69.1457 * CHOOSE(CONTROL!$C$15, $E$9, 100%, $G$9) + CHOOSE(CONTROL!$C$38, 0.0369, 0)</f>
        <v>69.182600000000008</v>
      </c>
      <c r="F895" s="45">
        <f>69.1457 * CHOOSE(CONTROL!$C$15, $E$9, 100%, $G$9) + CHOOSE(CONTROL!$C$38, 0.0278, 0)</f>
        <v>69.173500000000004</v>
      </c>
      <c r="G895" s="14">
        <f>65.5483 * CHOOSE(CONTROL!$C$15, $E$9, 100%, $G$9) + CHOOSE(CONTROL!$C$38, 0.0369, 0)</f>
        <v>65.5852</v>
      </c>
      <c r="H895" s="14">
        <f>65.5483 * CHOOSE(CONTROL!$C$15, $E$9, 100%, $G$9) + CHOOSE(CONTROL!$C$38, 0.0369, 0)</f>
        <v>65.5852</v>
      </c>
      <c r="I895" s="14">
        <f>65.5498 * CHOOSE(CONTROL!$C$15, $E$9, 100%, $G$9) + CHOOSE(CONTROL!$C$38, 0.0369, 0)</f>
        <v>65.586700000000008</v>
      </c>
      <c r="J895" s="44">
        <f>641.602</f>
        <v>641.60199999999998</v>
      </c>
    </row>
    <row r="896" spans="1:10" ht="15.75" x14ac:dyDescent="0.25">
      <c r="A896" s="32">
        <v>68210</v>
      </c>
      <c r="B896" s="14">
        <f>67.019 * CHOOSE(CONTROL!$C$15, $E$9, 100%, $G$9) + CHOOSE(CONTROL!$C$38, 0.0278, 0)</f>
        <v>67.046800000000005</v>
      </c>
      <c r="C896" s="14">
        <f>63.3864 * CHOOSE(CONTROL!$C$15, $E$9, 100%, $G$9) + CHOOSE(CONTROL!$C$38, 0.0369, 0)</f>
        <v>63.423300000000005</v>
      </c>
      <c r="D896" s="14">
        <f>63.3786 * CHOOSE(CONTROL!$C$15, $E$9, 100%, $G$9) + CHOOSE(CONTROL!$C$38, 0.0369, 0)</f>
        <v>63.415500000000002</v>
      </c>
      <c r="E896" s="46">
        <f>66.8628 * CHOOSE(CONTROL!$C$15, $E$9, 100%, $G$9) + CHOOSE(CONTROL!$C$38, 0.0369, 0)</f>
        <v>66.899699999999996</v>
      </c>
      <c r="F896" s="45">
        <f>66.8628 * CHOOSE(CONTROL!$C$15, $E$9, 100%, $G$9) + CHOOSE(CONTROL!$C$38, 0.0278, 0)</f>
        <v>66.890599999999992</v>
      </c>
      <c r="G896" s="14">
        <f>63.3848 * CHOOSE(CONTROL!$C$15, $E$9, 100%, $G$9) + CHOOSE(CONTROL!$C$38, 0.0369, 0)</f>
        <v>63.421700000000001</v>
      </c>
      <c r="H896" s="14">
        <f>63.3848 * CHOOSE(CONTROL!$C$15, $E$9, 100%, $G$9) + CHOOSE(CONTROL!$C$38, 0.0369, 0)</f>
        <v>63.421700000000001</v>
      </c>
      <c r="I896" s="14">
        <f>63.3864 * CHOOSE(CONTROL!$C$15, $E$9, 100%, $G$9) + CHOOSE(CONTROL!$C$38, 0.0369, 0)</f>
        <v>63.423300000000005</v>
      </c>
      <c r="J896" s="44">
        <f>620.2763</f>
        <v>620.27629999999999</v>
      </c>
    </row>
    <row r="897" spans="1:10" ht="15.75" x14ac:dyDescent="0.25">
      <c r="A897" s="32">
        <v>68241</v>
      </c>
      <c r="B897" s="14">
        <f>64.7228 * CHOOSE(CONTROL!$C$15, $E$9, 100%, $G$9) + CHOOSE(CONTROL!$C$38, 0.0256, 0)</f>
        <v>64.748400000000004</v>
      </c>
      <c r="C897" s="14">
        <f>61.2104 * CHOOSE(CONTROL!$C$15, $E$9, 100%, $G$9) + CHOOSE(CONTROL!$C$38, 0.0347, 0)</f>
        <v>61.245100000000001</v>
      </c>
      <c r="D897" s="14">
        <f>61.2025 * CHOOSE(CONTROL!$C$15, $E$9, 100%, $G$9) + CHOOSE(CONTROL!$C$38, 0.0347, 0)</f>
        <v>61.237200000000001</v>
      </c>
      <c r="E897" s="46">
        <f>64.5665 * CHOOSE(CONTROL!$C$15, $E$9, 100%, $G$9) + CHOOSE(CONTROL!$C$38, 0.0347, 0)</f>
        <v>64.601200000000006</v>
      </c>
      <c r="F897" s="45">
        <f>64.5665 * CHOOSE(CONTROL!$C$15, $E$9, 100%, $G$9) + CHOOSE(CONTROL!$C$38, 0.0256, 0)</f>
        <v>64.592100000000002</v>
      </c>
      <c r="G897" s="14">
        <f>61.2088 * CHOOSE(CONTROL!$C$15, $E$9, 100%, $G$9) + CHOOSE(CONTROL!$C$38, 0.0347, 0)</f>
        <v>61.243499999999997</v>
      </c>
      <c r="H897" s="14">
        <f>61.2088 * CHOOSE(CONTROL!$C$15, $E$9, 100%, $G$9) + CHOOSE(CONTROL!$C$38, 0.0347, 0)</f>
        <v>61.243499999999997</v>
      </c>
      <c r="I897" s="14">
        <f>61.2104 * CHOOSE(CONTROL!$C$15, $E$9, 100%, $G$9) + CHOOSE(CONTROL!$C$38, 0.0347, 0)</f>
        <v>61.245100000000001</v>
      </c>
      <c r="J897" s="44">
        <f>598.8265</f>
        <v>598.82650000000001</v>
      </c>
    </row>
    <row r="898" spans="1:10" ht="15.75" x14ac:dyDescent="0.25">
      <c r="A898" s="32">
        <v>68271</v>
      </c>
      <c r="B898" s="14">
        <f>64.266 * CHOOSE(CONTROL!$C$15, $E$9, 100%, $G$9) + CHOOSE(CONTROL!$C$38, 0.0256, 0)</f>
        <v>64.291600000000003</v>
      </c>
      <c r="C898" s="14">
        <f>60.7775 * CHOOSE(CONTROL!$C$15, $E$9, 100%, $G$9) + CHOOSE(CONTROL!$C$38, 0.0347, 0)</f>
        <v>60.812200000000004</v>
      </c>
      <c r="D898" s="14">
        <f>60.7697 * CHOOSE(CONTROL!$C$15, $E$9, 100%, $G$9) + CHOOSE(CONTROL!$C$38, 0.0347, 0)</f>
        <v>60.804400000000001</v>
      </c>
      <c r="E898" s="46">
        <f>64.1097 * CHOOSE(CONTROL!$C$15, $E$9, 100%, $G$9) + CHOOSE(CONTROL!$C$38, 0.0347, 0)</f>
        <v>64.144400000000005</v>
      </c>
      <c r="F898" s="45">
        <f>64.1097 * CHOOSE(CONTROL!$C$15, $E$9, 100%, $G$9) + CHOOSE(CONTROL!$C$38, 0.0256, 0)</f>
        <v>64.135300000000001</v>
      </c>
      <c r="G898" s="14">
        <f>60.7759 * CHOOSE(CONTROL!$C$15, $E$9, 100%, $G$9) + CHOOSE(CONTROL!$C$38, 0.0347, 0)</f>
        <v>60.810600000000001</v>
      </c>
      <c r="H898" s="14">
        <f>60.7759 * CHOOSE(CONTROL!$C$15, $E$9, 100%, $G$9) + CHOOSE(CONTROL!$C$38, 0.0347, 0)</f>
        <v>60.810600000000001</v>
      </c>
      <c r="I898" s="14">
        <f>60.7775 * CHOOSE(CONTROL!$C$15, $E$9, 100%, $G$9) + CHOOSE(CONTROL!$C$38, 0.0347, 0)</f>
        <v>60.812200000000004</v>
      </c>
      <c r="J898" s="44">
        <f>594.5597</f>
        <v>594.55970000000002</v>
      </c>
    </row>
    <row r="899" spans="1:10" ht="15.75" x14ac:dyDescent="0.25">
      <c r="A899" s="32">
        <v>68302</v>
      </c>
      <c r="B899" s="14">
        <f>62.3772 * CHOOSE(CONTROL!$C$15, $E$9, 100%, $G$9) + CHOOSE(CONTROL!$C$38, 0.0256, 0)</f>
        <v>62.402799999999999</v>
      </c>
      <c r="C899" s="14">
        <f>58.9876 * CHOOSE(CONTROL!$C$15, $E$9, 100%, $G$9) + CHOOSE(CONTROL!$C$38, 0.0347, 0)</f>
        <v>59.022300000000001</v>
      </c>
      <c r="D899" s="14">
        <f>58.9798 * CHOOSE(CONTROL!$C$15, $E$9, 100%, $G$9) + CHOOSE(CONTROL!$C$38, 0.0347, 0)</f>
        <v>59.014499999999998</v>
      </c>
      <c r="E899" s="46">
        <f>62.221 * CHOOSE(CONTROL!$C$15, $E$9, 100%, $G$9) + CHOOSE(CONTROL!$C$38, 0.0347, 0)</f>
        <v>62.255699999999997</v>
      </c>
      <c r="F899" s="45">
        <f>62.221 * CHOOSE(CONTROL!$C$15, $E$9, 100%, $G$9) + CHOOSE(CONTROL!$C$38, 0.0256, 0)</f>
        <v>62.246599999999994</v>
      </c>
      <c r="G899" s="14">
        <f>58.986 * CHOOSE(CONTROL!$C$15, $E$9, 100%, $G$9) + CHOOSE(CONTROL!$C$38, 0.0347, 0)</f>
        <v>59.020699999999998</v>
      </c>
      <c r="H899" s="14">
        <f>58.986 * CHOOSE(CONTROL!$C$15, $E$9, 100%, $G$9) + CHOOSE(CONTROL!$C$38, 0.0347, 0)</f>
        <v>59.020699999999998</v>
      </c>
      <c r="I899" s="14">
        <f>58.9876 * CHOOSE(CONTROL!$C$15, $E$9, 100%, $G$9) + CHOOSE(CONTROL!$C$38, 0.0347, 0)</f>
        <v>59.022300000000001</v>
      </c>
      <c r="J899" s="44">
        <f>576.9161</f>
        <v>576.91610000000003</v>
      </c>
    </row>
    <row r="900" spans="1:10" ht="15.75" x14ac:dyDescent="0.25">
      <c r="A900" s="32">
        <v>68333</v>
      </c>
      <c r="B900" s="14">
        <f>61.9082 * CHOOSE(CONTROL!$C$15, $E$9, 100%, $G$9) + CHOOSE(CONTROL!$C$38, 0.0256, 0)</f>
        <v>61.933799999999998</v>
      </c>
      <c r="C900" s="14">
        <f>58.5431 * CHOOSE(CONTROL!$C$15, $E$9, 100%, $G$9) + CHOOSE(CONTROL!$C$38, 0.0347, 0)</f>
        <v>58.577800000000003</v>
      </c>
      <c r="D900" s="14">
        <f>58.5353 * CHOOSE(CONTROL!$C$15, $E$9, 100%, $G$9) + CHOOSE(CONTROL!$C$38, 0.0347, 0)</f>
        <v>58.57</v>
      </c>
      <c r="E900" s="46">
        <f>61.7519 * CHOOSE(CONTROL!$C$15, $E$9, 100%, $G$9) + CHOOSE(CONTROL!$C$38, 0.0347, 0)</f>
        <v>61.7866</v>
      </c>
      <c r="F900" s="45">
        <f>61.7519 * CHOOSE(CONTROL!$C$15, $E$9, 100%, $G$9) + CHOOSE(CONTROL!$C$38, 0.0256, 0)</f>
        <v>61.777499999999996</v>
      </c>
      <c r="G900" s="14">
        <f>58.5415 * CHOOSE(CONTROL!$C$15, $E$9, 100%, $G$9) + CHOOSE(CONTROL!$C$38, 0.0347, 0)</f>
        <v>58.5762</v>
      </c>
      <c r="H900" s="14">
        <f>58.5415 * CHOOSE(CONTROL!$C$15, $E$9, 100%, $G$9) + CHOOSE(CONTROL!$C$38, 0.0347, 0)</f>
        <v>58.5762</v>
      </c>
      <c r="I900" s="14">
        <f>58.5431 * CHOOSE(CONTROL!$C$15, $E$9, 100%, $G$9) + CHOOSE(CONTROL!$C$38, 0.0347, 0)</f>
        <v>58.577800000000003</v>
      </c>
      <c r="J900" s="44">
        <f>576.1721</f>
        <v>576.1721</v>
      </c>
    </row>
    <row r="901" spans="1:10" ht="15.75" x14ac:dyDescent="0.25">
      <c r="A901" s="32">
        <v>68361</v>
      </c>
      <c r="B901" s="14">
        <f>61.7378 * CHOOSE(CONTROL!$C$15, $E$9, 100%, $G$9) + CHOOSE(CONTROL!$C$38, 0.0256, 0)</f>
        <v>61.763399999999997</v>
      </c>
      <c r="C901" s="14">
        <f>58.3817 * CHOOSE(CONTROL!$C$15, $E$9, 100%, $G$9) + CHOOSE(CONTROL!$C$38, 0.0347, 0)</f>
        <v>58.416400000000003</v>
      </c>
      <c r="D901" s="14">
        <f>58.3738 * CHOOSE(CONTROL!$C$15, $E$9, 100%, $G$9) + CHOOSE(CONTROL!$C$38, 0.0347, 0)</f>
        <v>58.408500000000004</v>
      </c>
      <c r="E901" s="46">
        <f>61.5815 * CHOOSE(CONTROL!$C$15, $E$9, 100%, $G$9) + CHOOSE(CONTROL!$C$38, 0.0347, 0)</f>
        <v>61.616199999999999</v>
      </c>
      <c r="F901" s="45">
        <f>61.5815 * CHOOSE(CONTROL!$C$15, $E$9, 100%, $G$9) + CHOOSE(CONTROL!$C$38, 0.0256, 0)</f>
        <v>61.607099999999996</v>
      </c>
      <c r="G901" s="14">
        <f>58.3801 * CHOOSE(CONTROL!$C$15, $E$9, 100%, $G$9) + CHOOSE(CONTROL!$C$38, 0.0347, 0)</f>
        <v>58.4148</v>
      </c>
      <c r="H901" s="14">
        <f>58.3801 * CHOOSE(CONTROL!$C$15, $E$9, 100%, $G$9) + CHOOSE(CONTROL!$C$38, 0.0347, 0)</f>
        <v>58.4148</v>
      </c>
      <c r="I901" s="14">
        <f>58.3817 * CHOOSE(CONTROL!$C$15, $E$9, 100%, $G$9) + CHOOSE(CONTROL!$C$38, 0.0347, 0)</f>
        <v>58.416400000000003</v>
      </c>
      <c r="J901" s="44">
        <f>574.5706</f>
        <v>574.57060000000001</v>
      </c>
    </row>
    <row r="902" spans="1:10" ht="15.75" x14ac:dyDescent="0.25">
      <c r="A902" s="32">
        <v>68392</v>
      </c>
      <c r="B902" s="14">
        <f>64.9592 * CHOOSE(CONTROL!$C$15, $E$9, 100%, $G$9) + CHOOSE(CONTROL!$C$38, 0.0256, 0)</f>
        <v>64.984799999999993</v>
      </c>
      <c r="C902" s="14">
        <f>61.4344 * CHOOSE(CONTROL!$C$15, $E$9, 100%, $G$9) + CHOOSE(CONTROL!$C$38, 0.0347, 0)</f>
        <v>61.469099999999997</v>
      </c>
      <c r="D902" s="14">
        <f>61.4266 * CHOOSE(CONTROL!$C$15, $E$9, 100%, $G$9) + CHOOSE(CONTROL!$C$38, 0.0347, 0)</f>
        <v>61.461300000000001</v>
      </c>
      <c r="E902" s="46">
        <f>64.8029 * CHOOSE(CONTROL!$C$15, $E$9, 100%, $G$9) + CHOOSE(CONTROL!$C$38, 0.0347, 0)</f>
        <v>64.837599999999995</v>
      </c>
      <c r="F902" s="45">
        <f>64.8029 * CHOOSE(CONTROL!$C$15, $E$9, 100%, $G$9) + CHOOSE(CONTROL!$C$38, 0.0256, 0)</f>
        <v>64.828499999999991</v>
      </c>
      <c r="G902" s="14">
        <f>61.4329 * CHOOSE(CONTROL!$C$15, $E$9, 100%, $G$9) + CHOOSE(CONTROL!$C$38, 0.0347, 0)</f>
        <v>61.467599999999997</v>
      </c>
      <c r="H902" s="14">
        <f>61.4329 * CHOOSE(CONTROL!$C$15, $E$9, 100%, $G$9) + CHOOSE(CONTROL!$C$38, 0.0347, 0)</f>
        <v>61.467599999999997</v>
      </c>
      <c r="I902" s="14">
        <f>61.4344 * CHOOSE(CONTROL!$C$15, $E$9, 100%, $G$9) + CHOOSE(CONTROL!$C$38, 0.0347, 0)</f>
        <v>61.469099999999997</v>
      </c>
      <c r="J902" s="44">
        <f>604.8538</f>
        <v>604.85379999999998</v>
      </c>
    </row>
    <row r="903" spans="1:10" ht="15.75" x14ac:dyDescent="0.25">
      <c r="A903" s="32">
        <v>68422</v>
      </c>
      <c r="B903" s="14">
        <f>69.1366 * CHOOSE(CONTROL!$C$15, $E$9, 100%, $G$9) + CHOOSE(CONTROL!$C$38, 0.0256, 0)</f>
        <v>69.162199999999999</v>
      </c>
      <c r="C903" s="14">
        <f>65.3931 * CHOOSE(CONTROL!$C$15, $E$9, 100%, $G$9) + CHOOSE(CONTROL!$C$38, 0.0347, 0)</f>
        <v>65.427800000000005</v>
      </c>
      <c r="D903" s="14">
        <f>65.3853 * CHOOSE(CONTROL!$C$15, $E$9, 100%, $G$9) + CHOOSE(CONTROL!$C$38, 0.0347, 0)</f>
        <v>65.42</v>
      </c>
      <c r="E903" s="46">
        <f>68.9803 * CHOOSE(CONTROL!$C$15, $E$9, 100%, $G$9) + CHOOSE(CONTROL!$C$38, 0.0347, 0)</f>
        <v>69.015000000000001</v>
      </c>
      <c r="F903" s="45">
        <f>68.9803 * CHOOSE(CONTROL!$C$15, $E$9, 100%, $G$9) + CHOOSE(CONTROL!$C$38, 0.0256, 0)</f>
        <v>69.005899999999997</v>
      </c>
      <c r="G903" s="14">
        <f>65.3915 * CHOOSE(CONTROL!$C$15, $E$9, 100%, $G$9) + CHOOSE(CONTROL!$C$38, 0.0347, 0)</f>
        <v>65.426199999999994</v>
      </c>
      <c r="H903" s="14">
        <f>65.3915 * CHOOSE(CONTROL!$C$15, $E$9, 100%, $G$9) + CHOOSE(CONTROL!$C$38, 0.0347, 0)</f>
        <v>65.426199999999994</v>
      </c>
      <c r="I903" s="14">
        <f>65.3931 * CHOOSE(CONTROL!$C$15, $E$9, 100%, $G$9) + CHOOSE(CONTROL!$C$38, 0.0347, 0)</f>
        <v>65.427800000000005</v>
      </c>
      <c r="J903" s="44">
        <f>644.1238</f>
        <v>644.12379999999996</v>
      </c>
    </row>
    <row r="904" spans="1:10" ht="15.75" x14ac:dyDescent="0.25">
      <c r="A904" s="32">
        <v>68453</v>
      </c>
      <c r="B904" s="14">
        <f>71.436 * CHOOSE(CONTROL!$C$15, $E$9, 100%, $G$9) + CHOOSE(CONTROL!$C$38, 0.0278, 0)</f>
        <v>71.463800000000006</v>
      </c>
      <c r="C904" s="14">
        <f>67.5721 * CHOOSE(CONTROL!$C$15, $E$9, 100%, $G$9) + CHOOSE(CONTROL!$C$38, 0.0369, 0)</f>
        <v>67.609000000000009</v>
      </c>
      <c r="D904" s="14">
        <f>67.5643 * CHOOSE(CONTROL!$C$15, $E$9, 100%, $G$9) + CHOOSE(CONTROL!$C$38, 0.0369, 0)</f>
        <v>67.601200000000006</v>
      </c>
      <c r="E904" s="46">
        <f>71.2797 * CHOOSE(CONTROL!$C$15, $E$9, 100%, $G$9) + CHOOSE(CONTROL!$C$38, 0.0369, 0)</f>
        <v>71.316600000000008</v>
      </c>
      <c r="F904" s="45">
        <f>71.2797 * CHOOSE(CONTROL!$C$15, $E$9, 100%, $G$9) + CHOOSE(CONTROL!$C$38, 0.0278, 0)</f>
        <v>71.307500000000005</v>
      </c>
      <c r="G904" s="14">
        <f>67.5705 * CHOOSE(CONTROL!$C$15, $E$9, 100%, $G$9) + CHOOSE(CONTROL!$C$38, 0.0369, 0)</f>
        <v>67.607399999999998</v>
      </c>
      <c r="H904" s="14">
        <f>67.5705 * CHOOSE(CONTROL!$C$15, $E$9, 100%, $G$9) + CHOOSE(CONTROL!$C$38, 0.0369, 0)</f>
        <v>67.607399999999998</v>
      </c>
      <c r="I904" s="14">
        <f>67.5721 * CHOOSE(CONTROL!$C$15, $E$9, 100%, $G$9) + CHOOSE(CONTROL!$C$38, 0.0369, 0)</f>
        <v>67.609000000000009</v>
      </c>
      <c r="J904" s="44">
        <f>665.7394</f>
        <v>665.73940000000005</v>
      </c>
    </row>
    <row r="905" spans="1:10" ht="15.75" x14ac:dyDescent="0.25">
      <c r="A905" s="32">
        <v>68483</v>
      </c>
      <c r="B905" s="14">
        <f>72.4564 * CHOOSE(CONTROL!$C$15, $E$9, 100%, $G$9) + CHOOSE(CONTROL!$C$38, 0.0278, 0)</f>
        <v>72.484200000000001</v>
      </c>
      <c r="C905" s="14">
        <f>68.5391 * CHOOSE(CONTROL!$C$15, $E$9, 100%, $G$9) + CHOOSE(CONTROL!$C$38, 0.0369, 0)</f>
        <v>68.576000000000008</v>
      </c>
      <c r="D905" s="14">
        <f>68.5313 * CHOOSE(CONTROL!$C$15, $E$9, 100%, $G$9) + CHOOSE(CONTROL!$C$38, 0.0369, 0)</f>
        <v>68.568200000000004</v>
      </c>
      <c r="E905" s="46">
        <f>72.3001 * CHOOSE(CONTROL!$C$15, $E$9, 100%, $G$9) + CHOOSE(CONTROL!$C$38, 0.0369, 0)</f>
        <v>72.337000000000003</v>
      </c>
      <c r="F905" s="45">
        <f>72.3001 * CHOOSE(CONTROL!$C$15, $E$9, 100%, $G$9) + CHOOSE(CONTROL!$C$38, 0.0278, 0)</f>
        <v>72.3279</v>
      </c>
      <c r="G905" s="14">
        <f>68.5375 * CHOOSE(CONTROL!$C$15, $E$9, 100%, $G$9) + CHOOSE(CONTROL!$C$38, 0.0369, 0)</f>
        <v>68.574399999999997</v>
      </c>
      <c r="H905" s="14">
        <f>68.5375 * CHOOSE(CONTROL!$C$15, $E$9, 100%, $G$9) + CHOOSE(CONTROL!$C$38, 0.0369, 0)</f>
        <v>68.574399999999997</v>
      </c>
      <c r="I905" s="14">
        <f>68.5391 * CHOOSE(CONTROL!$C$15, $E$9, 100%, $G$9) + CHOOSE(CONTROL!$C$38, 0.0369, 0)</f>
        <v>68.576000000000008</v>
      </c>
      <c r="J905" s="44">
        <f>675.3319</f>
        <v>675.33190000000002</v>
      </c>
    </row>
    <row r="906" spans="1:10" ht="15.75" x14ac:dyDescent="0.25">
      <c r="A906" s="32">
        <v>68514</v>
      </c>
      <c r="B906" s="14">
        <f>72.1204 * CHOOSE(CONTROL!$C$15, $E$9, 100%, $G$9) + CHOOSE(CONTROL!$C$38, 0.0278, 0)</f>
        <v>72.148200000000003</v>
      </c>
      <c r="C906" s="14">
        <f>68.2207 * CHOOSE(CONTROL!$C$15, $E$9, 100%, $G$9) + CHOOSE(CONTROL!$C$38, 0.0369, 0)</f>
        <v>68.257599999999996</v>
      </c>
      <c r="D906" s="14">
        <f>68.2129 * CHOOSE(CONTROL!$C$15, $E$9, 100%, $G$9) + CHOOSE(CONTROL!$C$38, 0.0369, 0)</f>
        <v>68.249800000000008</v>
      </c>
      <c r="E906" s="46">
        <f>71.9642 * CHOOSE(CONTROL!$C$15, $E$9, 100%, $G$9) + CHOOSE(CONTROL!$C$38, 0.0369, 0)</f>
        <v>72.001100000000008</v>
      </c>
      <c r="F906" s="45">
        <f>71.9642 * CHOOSE(CONTROL!$C$15, $E$9, 100%, $G$9) + CHOOSE(CONTROL!$C$38, 0.0278, 0)</f>
        <v>71.992000000000004</v>
      </c>
      <c r="G906" s="14">
        <f>68.2192 * CHOOSE(CONTROL!$C$15, $E$9, 100%, $G$9) + CHOOSE(CONTROL!$C$38, 0.0369, 0)</f>
        <v>68.256100000000004</v>
      </c>
      <c r="H906" s="14">
        <f>68.2192 * CHOOSE(CONTROL!$C$15, $E$9, 100%, $G$9) + CHOOSE(CONTROL!$C$38, 0.0369, 0)</f>
        <v>68.256100000000004</v>
      </c>
      <c r="I906" s="14">
        <f>68.2207 * CHOOSE(CONTROL!$C$15, $E$9, 100%, $G$9) + CHOOSE(CONTROL!$C$38, 0.0369, 0)</f>
        <v>68.257599999999996</v>
      </c>
      <c r="J906" s="44">
        <f>672.1736</f>
        <v>672.17359999999996</v>
      </c>
    </row>
    <row r="907" spans="1:10" ht="15.75" x14ac:dyDescent="0.25">
      <c r="A907" s="32">
        <v>68545</v>
      </c>
      <c r="B907" s="14">
        <f>70.4559 * CHOOSE(CONTROL!$C$15, $E$9, 100%, $G$9) + CHOOSE(CONTROL!$C$38, 0.0278, 0)</f>
        <v>70.483699999999999</v>
      </c>
      <c r="C907" s="14">
        <f>66.6433 * CHOOSE(CONTROL!$C$15, $E$9, 100%, $G$9) + CHOOSE(CONTROL!$C$38, 0.0369, 0)</f>
        <v>66.680199999999999</v>
      </c>
      <c r="D907" s="14">
        <f>66.6355 * CHOOSE(CONTROL!$C$15, $E$9, 100%, $G$9) + CHOOSE(CONTROL!$C$38, 0.0369, 0)</f>
        <v>66.672399999999996</v>
      </c>
      <c r="E907" s="46">
        <f>70.2996 * CHOOSE(CONTROL!$C$15, $E$9, 100%, $G$9) + CHOOSE(CONTROL!$C$38, 0.0369, 0)</f>
        <v>70.336500000000001</v>
      </c>
      <c r="F907" s="45">
        <f>70.2996 * CHOOSE(CONTROL!$C$15, $E$9, 100%, $G$9) + CHOOSE(CONTROL!$C$38, 0.0278, 0)</f>
        <v>70.327399999999997</v>
      </c>
      <c r="G907" s="14">
        <f>66.6417 * CHOOSE(CONTROL!$C$15, $E$9, 100%, $G$9) + CHOOSE(CONTROL!$C$38, 0.0369, 0)</f>
        <v>66.678600000000003</v>
      </c>
      <c r="H907" s="14">
        <f>66.6417 * CHOOSE(CONTROL!$C$15, $E$9, 100%, $G$9) + CHOOSE(CONTROL!$C$38, 0.0369, 0)</f>
        <v>66.678600000000003</v>
      </c>
      <c r="I907" s="14">
        <f>66.6433 * CHOOSE(CONTROL!$C$15, $E$9, 100%, $G$9) + CHOOSE(CONTROL!$C$38, 0.0369, 0)</f>
        <v>66.680199999999999</v>
      </c>
      <c r="J907" s="44">
        <f>656.5257</f>
        <v>656.52570000000003</v>
      </c>
    </row>
    <row r="908" spans="1:10" ht="15.75" x14ac:dyDescent="0.25">
      <c r="A908" s="32">
        <v>68575</v>
      </c>
      <c r="B908" s="14">
        <f>68.1345 * CHOOSE(CONTROL!$C$15, $E$9, 100%, $G$9) + CHOOSE(CONTROL!$C$38, 0.0278, 0)</f>
        <v>68.162300000000002</v>
      </c>
      <c r="C908" s="14">
        <f>64.4435 * CHOOSE(CONTROL!$C$15, $E$9, 100%, $G$9) + CHOOSE(CONTROL!$C$38, 0.0369, 0)</f>
        <v>64.480400000000003</v>
      </c>
      <c r="D908" s="14">
        <f>64.4357 * CHOOSE(CONTROL!$C$15, $E$9, 100%, $G$9) + CHOOSE(CONTROL!$C$38, 0.0369, 0)</f>
        <v>64.4726</v>
      </c>
      <c r="E908" s="46">
        <f>67.9783 * CHOOSE(CONTROL!$C$15, $E$9, 100%, $G$9) + CHOOSE(CONTROL!$C$38, 0.0369, 0)</f>
        <v>68.015200000000007</v>
      </c>
      <c r="F908" s="45">
        <f>67.9783 * CHOOSE(CONTROL!$C$15, $E$9, 100%, $G$9) + CHOOSE(CONTROL!$C$38, 0.0278, 0)</f>
        <v>68.006100000000004</v>
      </c>
      <c r="G908" s="14">
        <f>64.442 * CHOOSE(CONTROL!$C$15, $E$9, 100%, $G$9) + CHOOSE(CONTROL!$C$38, 0.0369, 0)</f>
        <v>64.478899999999996</v>
      </c>
      <c r="H908" s="14">
        <f>64.442 * CHOOSE(CONTROL!$C$15, $E$9, 100%, $G$9) + CHOOSE(CONTROL!$C$38, 0.0369, 0)</f>
        <v>64.478899999999996</v>
      </c>
      <c r="I908" s="14">
        <f>64.4435 * CHOOSE(CONTROL!$C$15, $E$9, 100%, $G$9) + CHOOSE(CONTROL!$C$38, 0.0369, 0)</f>
        <v>64.480400000000003</v>
      </c>
      <c r="J908" s="44">
        <f>634.7039</f>
        <v>634.70389999999998</v>
      </c>
    </row>
    <row r="909" spans="1:10" ht="15.75" x14ac:dyDescent="0.25">
      <c r="A909" s="32">
        <v>68606</v>
      </c>
      <c r="B909" s="14">
        <f>65.7997 * CHOOSE(CONTROL!$C$15, $E$9, 100%, $G$9) + CHOOSE(CONTROL!$C$38, 0.0256, 0)</f>
        <v>65.825299999999999</v>
      </c>
      <c r="C909" s="14">
        <f>62.2309 * CHOOSE(CONTROL!$C$15, $E$9, 100%, $G$9) + CHOOSE(CONTROL!$C$38, 0.0347, 0)</f>
        <v>62.265599999999999</v>
      </c>
      <c r="D909" s="14">
        <f>62.2231 * CHOOSE(CONTROL!$C$15, $E$9, 100%, $G$9) + CHOOSE(CONTROL!$C$38, 0.0347, 0)</f>
        <v>62.257800000000003</v>
      </c>
      <c r="E909" s="46">
        <f>65.6435 * CHOOSE(CONTROL!$C$15, $E$9, 100%, $G$9) + CHOOSE(CONTROL!$C$38, 0.0347, 0)</f>
        <v>65.678200000000004</v>
      </c>
      <c r="F909" s="45">
        <f>65.6435 * CHOOSE(CONTROL!$C$15, $E$9, 100%, $G$9) + CHOOSE(CONTROL!$C$38, 0.0256, 0)</f>
        <v>65.6691</v>
      </c>
      <c r="G909" s="14">
        <f>62.2294 * CHOOSE(CONTROL!$C$15, $E$9, 100%, $G$9) + CHOOSE(CONTROL!$C$38, 0.0347, 0)</f>
        <v>62.264099999999999</v>
      </c>
      <c r="H909" s="14">
        <f>62.2294 * CHOOSE(CONTROL!$C$15, $E$9, 100%, $G$9) + CHOOSE(CONTROL!$C$38, 0.0347, 0)</f>
        <v>62.264099999999999</v>
      </c>
      <c r="I909" s="14">
        <f>62.2309 * CHOOSE(CONTROL!$C$15, $E$9, 100%, $G$9) + CHOOSE(CONTROL!$C$38, 0.0347, 0)</f>
        <v>62.265599999999999</v>
      </c>
      <c r="J909" s="44">
        <f>612.7552</f>
        <v>612.75519999999995</v>
      </c>
    </row>
    <row r="910" spans="1:10" ht="15.75" x14ac:dyDescent="0.25">
      <c r="A910" s="32">
        <v>68636</v>
      </c>
      <c r="B910" s="14">
        <f>65.3353 * CHOOSE(CONTROL!$C$15, $E$9, 100%, $G$9) + CHOOSE(CONTROL!$C$38, 0.0256, 0)</f>
        <v>65.360900000000001</v>
      </c>
      <c r="C910" s="14">
        <f>61.7908 * CHOOSE(CONTROL!$C$15, $E$9, 100%, $G$9) + CHOOSE(CONTROL!$C$38, 0.0347, 0)</f>
        <v>61.825499999999998</v>
      </c>
      <c r="D910" s="14">
        <f>61.783 * CHOOSE(CONTROL!$C$15, $E$9, 100%, $G$9) + CHOOSE(CONTROL!$C$38, 0.0347, 0)</f>
        <v>61.817700000000002</v>
      </c>
      <c r="E910" s="46">
        <f>65.179 * CHOOSE(CONTROL!$C$15, $E$9, 100%, $G$9) + CHOOSE(CONTROL!$C$38, 0.0347, 0)</f>
        <v>65.213700000000003</v>
      </c>
      <c r="F910" s="45">
        <f>65.179 * CHOOSE(CONTROL!$C$15, $E$9, 100%, $G$9) + CHOOSE(CONTROL!$C$38, 0.0256, 0)</f>
        <v>65.204599999999999</v>
      </c>
      <c r="G910" s="14">
        <f>61.7892 * CHOOSE(CONTROL!$C$15, $E$9, 100%, $G$9) + CHOOSE(CONTROL!$C$38, 0.0347, 0)</f>
        <v>61.823900000000002</v>
      </c>
      <c r="H910" s="14">
        <f>61.7892 * CHOOSE(CONTROL!$C$15, $E$9, 100%, $G$9) + CHOOSE(CONTROL!$C$38, 0.0347, 0)</f>
        <v>61.823900000000002</v>
      </c>
      <c r="I910" s="14">
        <f>61.7908 * CHOOSE(CONTROL!$C$15, $E$9, 100%, $G$9) + CHOOSE(CONTROL!$C$38, 0.0347, 0)</f>
        <v>61.825499999999998</v>
      </c>
      <c r="J910" s="44">
        <f>608.3892</f>
        <v>608.38919999999996</v>
      </c>
    </row>
    <row r="911" spans="1:10" ht="15.75" x14ac:dyDescent="0.25">
      <c r="A911" s="32">
        <v>68667</v>
      </c>
      <c r="B911" s="14">
        <f>63.4148 * CHOOSE(CONTROL!$C$15, $E$9, 100%, $G$9) + CHOOSE(CONTROL!$C$38, 0.0256, 0)</f>
        <v>63.440399999999997</v>
      </c>
      <c r="C911" s="14">
        <f>59.9708 * CHOOSE(CONTROL!$C$15, $E$9, 100%, $G$9) + CHOOSE(CONTROL!$C$38, 0.0347, 0)</f>
        <v>60.005499999999998</v>
      </c>
      <c r="D911" s="14">
        <f>59.963 * CHOOSE(CONTROL!$C$15, $E$9, 100%, $G$9) + CHOOSE(CONTROL!$C$38, 0.0347, 0)</f>
        <v>59.997700000000002</v>
      </c>
      <c r="E911" s="46">
        <f>63.2585 * CHOOSE(CONTROL!$C$15, $E$9, 100%, $G$9) + CHOOSE(CONTROL!$C$38, 0.0347, 0)</f>
        <v>63.293199999999999</v>
      </c>
      <c r="F911" s="45">
        <f>63.2585 * CHOOSE(CONTROL!$C$15, $E$9, 100%, $G$9) + CHOOSE(CONTROL!$C$38, 0.0256, 0)</f>
        <v>63.284099999999995</v>
      </c>
      <c r="G911" s="14">
        <f>59.9693 * CHOOSE(CONTROL!$C$15, $E$9, 100%, $G$9) + CHOOSE(CONTROL!$C$38, 0.0347, 0)</f>
        <v>60.003999999999998</v>
      </c>
      <c r="H911" s="14">
        <f>59.9693 * CHOOSE(CONTROL!$C$15, $E$9, 100%, $G$9) + CHOOSE(CONTROL!$C$38, 0.0347, 0)</f>
        <v>60.003999999999998</v>
      </c>
      <c r="I911" s="14">
        <f>59.9708 * CHOOSE(CONTROL!$C$15, $E$9, 100%, $G$9) + CHOOSE(CONTROL!$C$38, 0.0347, 0)</f>
        <v>60.005499999999998</v>
      </c>
      <c r="J911" s="44">
        <f>590.3352</f>
        <v>590.33519999999999</v>
      </c>
    </row>
    <row r="912" spans="1:10" ht="15.75" x14ac:dyDescent="0.25">
      <c r="A912" s="32">
        <v>68698</v>
      </c>
      <c r="B912" s="14">
        <f>62.9378 * CHOOSE(CONTROL!$C$15, $E$9, 100%, $G$9) + CHOOSE(CONTROL!$C$38, 0.0256, 0)</f>
        <v>62.9634</v>
      </c>
      <c r="C912" s="14">
        <f>59.5189 * CHOOSE(CONTROL!$C$15, $E$9, 100%, $G$9) + CHOOSE(CONTROL!$C$38, 0.0347, 0)</f>
        <v>59.553600000000003</v>
      </c>
      <c r="D912" s="14">
        <f>59.5111 * CHOOSE(CONTROL!$C$15, $E$9, 100%, $G$9) + CHOOSE(CONTROL!$C$38, 0.0347, 0)</f>
        <v>59.5458</v>
      </c>
      <c r="E912" s="46">
        <f>62.7816 * CHOOSE(CONTROL!$C$15, $E$9, 100%, $G$9) + CHOOSE(CONTROL!$C$38, 0.0347, 0)</f>
        <v>62.816299999999998</v>
      </c>
      <c r="F912" s="45">
        <f>62.7816 * CHOOSE(CONTROL!$C$15, $E$9, 100%, $G$9) + CHOOSE(CONTROL!$C$38, 0.0256, 0)</f>
        <v>62.807199999999995</v>
      </c>
      <c r="G912" s="14">
        <f>59.5173 * CHOOSE(CONTROL!$C$15, $E$9, 100%, $G$9) + CHOOSE(CONTROL!$C$38, 0.0347, 0)</f>
        <v>59.552</v>
      </c>
      <c r="H912" s="14">
        <f>59.5173 * CHOOSE(CONTROL!$C$15, $E$9, 100%, $G$9) + CHOOSE(CONTROL!$C$38, 0.0347, 0)</f>
        <v>59.552</v>
      </c>
      <c r="I912" s="14">
        <f>59.5189 * CHOOSE(CONTROL!$C$15, $E$9, 100%, $G$9) + CHOOSE(CONTROL!$C$38, 0.0347, 0)</f>
        <v>59.553600000000003</v>
      </c>
      <c r="J912" s="44">
        <f>589.5739</f>
        <v>589.57389999999998</v>
      </c>
    </row>
    <row r="913" spans="1:10" ht="15.75" x14ac:dyDescent="0.25">
      <c r="A913" s="32">
        <v>68727</v>
      </c>
      <c r="B913" s="14">
        <f>62.7646 * CHOOSE(CONTROL!$C$15, $E$9, 100%, $G$9) + CHOOSE(CONTROL!$C$38, 0.0256, 0)</f>
        <v>62.790199999999999</v>
      </c>
      <c r="C913" s="14">
        <f>59.3547 * CHOOSE(CONTROL!$C$15, $E$9, 100%, $G$9) + CHOOSE(CONTROL!$C$38, 0.0347, 0)</f>
        <v>59.389400000000002</v>
      </c>
      <c r="D913" s="14">
        <f>59.3469 * CHOOSE(CONTROL!$C$15, $E$9, 100%, $G$9) + CHOOSE(CONTROL!$C$38, 0.0347, 0)</f>
        <v>59.381599999999999</v>
      </c>
      <c r="E913" s="46">
        <f>62.6083 * CHOOSE(CONTROL!$C$15, $E$9, 100%, $G$9) + CHOOSE(CONTROL!$C$38, 0.0347, 0)</f>
        <v>62.643000000000001</v>
      </c>
      <c r="F913" s="45">
        <f>62.6083 * CHOOSE(CONTROL!$C$15, $E$9, 100%, $G$9) + CHOOSE(CONTROL!$C$38, 0.0256, 0)</f>
        <v>62.633899999999997</v>
      </c>
      <c r="G913" s="14">
        <f>59.3531 * CHOOSE(CONTROL!$C$15, $E$9, 100%, $G$9) + CHOOSE(CONTROL!$C$38, 0.0347, 0)</f>
        <v>59.387799999999999</v>
      </c>
      <c r="H913" s="14">
        <f>59.3531 * CHOOSE(CONTROL!$C$15, $E$9, 100%, $G$9) + CHOOSE(CONTROL!$C$38, 0.0347, 0)</f>
        <v>59.387799999999999</v>
      </c>
      <c r="I913" s="14">
        <f>59.3547 * CHOOSE(CONTROL!$C$15, $E$9, 100%, $G$9) + CHOOSE(CONTROL!$C$38, 0.0347, 0)</f>
        <v>59.389400000000002</v>
      </c>
      <c r="J913" s="44">
        <f>587.9351</f>
        <v>587.93510000000003</v>
      </c>
    </row>
    <row r="914" spans="1:10" ht="15.75" x14ac:dyDescent="0.25">
      <c r="A914" s="32">
        <v>68758</v>
      </c>
      <c r="B914" s="14">
        <f>66.0401 * CHOOSE(CONTROL!$C$15, $E$9, 100%, $G$9) + CHOOSE(CONTROL!$C$38, 0.0256, 0)</f>
        <v>66.065699999999993</v>
      </c>
      <c r="C914" s="14">
        <f>62.4588 * CHOOSE(CONTROL!$C$15, $E$9, 100%, $G$9) + CHOOSE(CONTROL!$C$38, 0.0347, 0)</f>
        <v>62.493499999999997</v>
      </c>
      <c r="D914" s="14">
        <f>62.4509 * CHOOSE(CONTROL!$C$15, $E$9, 100%, $G$9) + CHOOSE(CONTROL!$C$38, 0.0347, 0)</f>
        <v>62.485599999999998</v>
      </c>
      <c r="E914" s="46">
        <f>65.8839 * CHOOSE(CONTROL!$C$15, $E$9, 100%, $G$9) + CHOOSE(CONTROL!$C$38, 0.0347, 0)</f>
        <v>65.918599999999998</v>
      </c>
      <c r="F914" s="45">
        <f>65.8839 * CHOOSE(CONTROL!$C$15, $E$9, 100%, $G$9) + CHOOSE(CONTROL!$C$38, 0.0256, 0)</f>
        <v>65.909499999999994</v>
      </c>
      <c r="G914" s="14">
        <f>62.4572 * CHOOSE(CONTROL!$C$15, $E$9, 100%, $G$9) + CHOOSE(CONTROL!$C$38, 0.0347, 0)</f>
        <v>62.491900000000001</v>
      </c>
      <c r="H914" s="14">
        <f>62.4572 * CHOOSE(CONTROL!$C$15, $E$9, 100%, $G$9) + CHOOSE(CONTROL!$C$38, 0.0347, 0)</f>
        <v>62.491900000000001</v>
      </c>
      <c r="I914" s="14">
        <f>62.4588 * CHOOSE(CONTROL!$C$15, $E$9, 100%, $G$9) + CHOOSE(CONTROL!$C$38, 0.0347, 0)</f>
        <v>62.493499999999997</v>
      </c>
      <c r="J914" s="44">
        <f>618.9227</f>
        <v>618.92269999999996</v>
      </c>
    </row>
    <row r="915" spans="1:10" ht="15.75" x14ac:dyDescent="0.25">
      <c r="A915" s="32">
        <v>68788</v>
      </c>
      <c r="B915" s="14">
        <f>70.2877 * CHOOSE(CONTROL!$C$15, $E$9, 100%, $G$9) + CHOOSE(CONTROL!$C$38, 0.0256, 0)</f>
        <v>70.313299999999998</v>
      </c>
      <c r="C915" s="14">
        <f>66.484 * CHOOSE(CONTROL!$C$15, $E$9, 100%, $G$9) + CHOOSE(CONTROL!$C$38, 0.0347, 0)</f>
        <v>66.518699999999995</v>
      </c>
      <c r="D915" s="14">
        <f>66.4761 * CHOOSE(CONTROL!$C$15, $E$9, 100%, $G$9) + CHOOSE(CONTROL!$C$38, 0.0347, 0)</f>
        <v>66.510800000000003</v>
      </c>
      <c r="E915" s="46">
        <f>70.1314 * CHOOSE(CONTROL!$C$15, $E$9, 100%, $G$9) + CHOOSE(CONTROL!$C$38, 0.0347, 0)</f>
        <v>70.1661</v>
      </c>
      <c r="F915" s="45">
        <f>70.1314 * CHOOSE(CONTROL!$C$15, $E$9, 100%, $G$9) + CHOOSE(CONTROL!$C$38, 0.0256, 0)</f>
        <v>70.156999999999996</v>
      </c>
      <c r="G915" s="14">
        <f>66.4824 * CHOOSE(CONTROL!$C$15, $E$9, 100%, $G$9) + CHOOSE(CONTROL!$C$38, 0.0347, 0)</f>
        <v>66.517099999999999</v>
      </c>
      <c r="H915" s="14">
        <f>66.4824 * CHOOSE(CONTROL!$C$15, $E$9, 100%, $G$9) + CHOOSE(CONTROL!$C$38, 0.0347, 0)</f>
        <v>66.517099999999999</v>
      </c>
      <c r="I915" s="14">
        <f>66.484 * CHOOSE(CONTROL!$C$15, $E$9, 100%, $G$9) + CHOOSE(CONTROL!$C$38, 0.0347, 0)</f>
        <v>66.518699999999995</v>
      </c>
      <c r="J915" s="44">
        <f>659.1062</f>
        <v>659.10619999999994</v>
      </c>
    </row>
    <row r="916" spans="1:10" ht="15.75" x14ac:dyDescent="0.25">
      <c r="A916" s="32">
        <v>68819</v>
      </c>
      <c r="B916" s="14">
        <f>72.6257 * CHOOSE(CONTROL!$C$15, $E$9, 100%, $G$9) + CHOOSE(CONTROL!$C$38, 0.0278, 0)</f>
        <v>72.653499999999994</v>
      </c>
      <c r="C916" s="14">
        <f>68.6996 * CHOOSE(CONTROL!$C$15, $E$9, 100%, $G$9) + CHOOSE(CONTROL!$C$38, 0.0369, 0)</f>
        <v>68.736500000000007</v>
      </c>
      <c r="D916" s="14">
        <f>68.6917 * CHOOSE(CONTROL!$C$15, $E$9, 100%, $G$9) + CHOOSE(CONTROL!$C$38, 0.0369, 0)</f>
        <v>68.7286</v>
      </c>
      <c r="E916" s="46">
        <f>72.4695 * CHOOSE(CONTROL!$C$15, $E$9, 100%, $G$9) + CHOOSE(CONTROL!$C$38, 0.0369, 0)</f>
        <v>72.506399999999999</v>
      </c>
      <c r="F916" s="45">
        <f>72.4695 * CHOOSE(CONTROL!$C$15, $E$9, 100%, $G$9) + CHOOSE(CONTROL!$C$38, 0.0278, 0)</f>
        <v>72.497299999999996</v>
      </c>
      <c r="G916" s="14">
        <f>68.698 * CHOOSE(CONTROL!$C$15, $E$9, 100%, $G$9) + CHOOSE(CONTROL!$C$38, 0.0369, 0)</f>
        <v>68.734899999999996</v>
      </c>
      <c r="H916" s="14">
        <f>68.698 * CHOOSE(CONTROL!$C$15, $E$9, 100%, $G$9) + CHOOSE(CONTROL!$C$38, 0.0369, 0)</f>
        <v>68.734899999999996</v>
      </c>
      <c r="I916" s="14">
        <f>68.6996 * CHOOSE(CONTROL!$C$15, $E$9, 100%, $G$9) + CHOOSE(CONTROL!$C$38, 0.0369, 0)</f>
        <v>68.736500000000007</v>
      </c>
      <c r="J916" s="44">
        <f>681.2245</f>
        <v>681.22450000000003</v>
      </c>
    </row>
    <row r="917" spans="1:10" ht="15.75" x14ac:dyDescent="0.25">
      <c r="A917" s="32">
        <v>68849</v>
      </c>
      <c r="B917" s="14">
        <f>73.6633 * CHOOSE(CONTROL!$C$15, $E$9, 100%, $G$9) + CHOOSE(CONTROL!$C$38, 0.0278, 0)</f>
        <v>73.691100000000006</v>
      </c>
      <c r="C917" s="14">
        <f>69.6828 * CHOOSE(CONTROL!$C$15, $E$9, 100%, $G$9) + CHOOSE(CONTROL!$C$38, 0.0369, 0)</f>
        <v>69.719700000000003</v>
      </c>
      <c r="D917" s="14">
        <f>69.675 * CHOOSE(CONTROL!$C$15, $E$9, 100%, $G$9) + CHOOSE(CONTROL!$C$38, 0.0369, 0)</f>
        <v>69.7119</v>
      </c>
      <c r="E917" s="46">
        <f>73.507 * CHOOSE(CONTROL!$C$15, $E$9, 100%, $G$9) + CHOOSE(CONTROL!$C$38, 0.0369, 0)</f>
        <v>73.543900000000008</v>
      </c>
      <c r="F917" s="45">
        <f>73.507 * CHOOSE(CONTROL!$C$15, $E$9, 100%, $G$9) + CHOOSE(CONTROL!$C$38, 0.0278, 0)</f>
        <v>73.534800000000004</v>
      </c>
      <c r="G917" s="14">
        <f>69.6812 * CHOOSE(CONTROL!$C$15, $E$9, 100%, $G$9) + CHOOSE(CONTROL!$C$38, 0.0369, 0)</f>
        <v>69.718100000000007</v>
      </c>
      <c r="H917" s="14">
        <f>69.6812 * CHOOSE(CONTROL!$C$15, $E$9, 100%, $G$9) + CHOOSE(CONTROL!$C$38, 0.0369, 0)</f>
        <v>69.718100000000007</v>
      </c>
      <c r="I917" s="14">
        <f>69.6828 * CHOOSE(CONTROL!$C$15, $E$9, 100%, $G$9) + CHOOSE(CONTROL!$C$38, 0.0369, 0)</f>
        <v>69.719700000000003</v>
      </c>
      <c r="J917" s="44">
        <f>691.0402</f>
        <v>691.04020000000003</v>
      </c>
    </row>
    <row r="918" spans="1:10" ht="15.75" x14ac:dyDescent="0.25">
      <c r="A918" s="32">
        <v>68880</v>
      </c>
      <c r="B918" s="14">
        <f>73.3217 * CHOOSE(CONTROL!$C$15, $E$9, 100%, $G$9) + CHOOSE(CONTROL!$C$38, 0.0278, 0)</f>
        <v>73.349500000000006</v>
      </c>
      <c r="C918" s="14">
        <f>69.3591 * CHOOSE(CONTROL!$C$15, $E$9, 100%, $G$9) + CHOOSE(CONTROL!$C$38, 0.0369, 0)</f>
        <v>69.396000000000001</v>
      </c>
      <c r="D918" s="14">
        <f>69.3513 * CHOOSE(CONTROL!$C$15, $E$9, 100%, $G$9) + CHOOSE(CONTROL!$C$38, 0.0369, 0)</f>
        <v>69.388199999999998</v>
      </c>
      <c r="E918" s="46">
        <f>73.1654 * CHOOSE(CONTROL!$C$15, $E$9, 100%, $G$9) + CHOOSE(CONTROL!$C$38, 0.0369, 0)</f>
        <v>73.202300000000008</v>
      </c>
      <c r="F918" s="45">
        <f>73.1654 * CHOOSE(CONTROL!$C$15, $E$9, 100%, $G$9) + CHOOSE(CONTROL!$C$38, 0.0278, 0)</f>
        <v>73.193200000000004</v>
      </c>
      <c r="G918" s="14">
        <f>69.3575 * CHOOSE(CONTROL!$C$15, $E$9, 100%, $G$9) + CHOOSE(CONTROL!$C$38, 0.0369, 0)</f>
        <v>69.394400000000005</v>
      </c>
      <c r="H918" s="14">
        <f>69.3575 * CHOOSE(CONTROL!$C$15, $E$9, 100%, $G$9) + CHOOSE(CONTROL!$C$38, 0.0369, 0)</f>
        <v>69.394400000000005</v>
      </c>
      <c r="I918" s="14">
        <f>69.3591 * CHOOSE(CONTROL!$C$15, $E$9, 100%, $G$9) + CHOOSE(CONTROL!$C$38, 0.0369, 0)</f>
        <v>69.396000000000001</v>
      </c>
      <c r="J918" s="44">
        <f>687.8084</f>
        <v>687.80840000000001</v>
      </c>
    </row>
    <row r="919" spans="1:10" ht="15.75" x14ac:dyDescent="0.25">
      <c r="A919" s="32">
        <v>68911</v>
      </c>
      <c r="B919" s="14">
        <f>71.6291 * CHOOSE(CONTROL!$C$15, $E$9, 100%, $G$9) + CHOOSE(CONTROL!$C$38, 0.0278, 0)</f>
        <v>71.656899999999993</v>
      </c>
      <c r="C919" s="14">
        <f>67.7552 * CHOOSE(CONTROL!$C$15, $E$9, 100%, $G$9) + CHOOSE(CONTROL!$C$38, 0.0369, 0)</f>
        <v>67.792100000000005</v>
      </c>
      <c r="D919" s="14">
        <f>67.7473 * CHOOSE(CONTROL!$C$15, $E$9, 100%, $G$9) + CHOOSE(CONTROL!$C$38, 0.0369, 0)</f>
        <v>67.784199999999998</v>
      </c>
      <c r="E919" s="46">
        <f>71.4729 * CHOOSE(CONTROL!$C$15, $E$9, 100%, $G$9) + CHOOSE(CONTROL!$C$38, 0.0369, 0)</f>
        <v>71.509799999999998</v>
      </c>
      <c r="F919" s="45">
        <f>71.4729 * CHOOSE(CONTROL!$C$15, $E$9, 100%, $G$9) + CHOOSE(CONTROL!$C$38, 0.0278, 0)</f>
        <v>71.500699999999995</v>
      </c>
      <c r="G919" s="14">
        <f>67.7536 * CHOOSE(CONTROL!$C$15, $E$9, 100%, $G$9) + CHOOSE(CONTROL!$C$38, 0.0369, 0)</f>
        <v>67.790500000000009</v>
      </c>
      <c r="H919" s="14">
        <f>67.7536 * CHOOSE(CONTROL!$C$15, $E$9, 100%, $G$9) + CHOOSE(CONTROL!$C$38, 0.0369, 0)</f>
        <v>67.790500000000009</v>
      </c>
      <c r="I919" s="14">
        <f>67.7552 * CHOOSE(CONTROL!$C$15, $E$9, 100%, $G$9) + CHOOSE(CONTROL!$C$38, 0.0369, 0)</f>
        <v>67.792100000000005</v>
      </c>
      <c r="J919" s="44">
        <f>671.7965</f>
        <v>671.79650000000004</v>
      </c>
    </row>
    <row r="920" spans="1:10" ht="15.75" x14ac:dyDescent="0.25">
      <c r="A920" s="32">
        <v>68941</v>
      </c>
      <c r="B920" s="14">
        <f>69.2688 * CHOOSE(CONTROL!$C$15, $E$9, 100%, $G$9) + CHOOSE(CONTROL!$C$38, 0.0278, 0)</f>
        <v>69.296599999999998</v>
      </c>
      <c r="C920" s="14">
        <f>65.5184 * CHOOSE(CONTROL!$C$15, $E$9, 100%, $G$9) + CHOOSE(CONTROL!$C$38, 0.0369, 0)</f>
        <v>65.555300000000003</v>
      </c>
      <c r="D920" s="14">
        <f>65.5106 * CHOOSE(CONTROL!$C$15, $E$9, 100%, $G$9) + CHOOSE(CONTROL!$C$38, 0.0369, 0)</f>
        <v>65.547499999999999</v>
      </c>
      <c r="E920" s="46">
        <f>69.1126 * CHOOSE(CONTROL!$C$15, $E$9, 100%, $G$9) + CHOOSE(CONTROL!$C$38, 0.0369, 0)</f>
        <v>69.149500000000003</v>
      </c>
      <c r="F920" s="45">
        <f>69.1126 * CHOOSE(CONTROL!$C$15, $E$9, 100%, $G$9) + CHOOSE(CONTROL!$C$38, 0.0278, 0)</f>
        <v>69.1404</v>
      </c>
      <c r="G920" s="14">
        <f>65.5168 * CHOOSE(CONTROL!$C$15, $E$9, 100%, $G$9) + CHOOSE(CONTROL!$C$38, 0.0369, 0)</f>
        <v>65.553700000000006</v>
      </c>
      <c r="H920" s="14">
        <f>65.5168 * CHOOSE(CONTROL!$C$15, $E$9, 100%, $G$9) + CHOOSE(CONTROL!$C$38, 0.0369, 0)</f>
        <v>65.553700000000006</v>
      </c>
      <c r="I920" s="14">
        <f>65.5184 * CHOOSE(CONTROL!$C$15, $E$9, 100%, $G$9) + CHOOSE(CONTROL!$C$38, 0.0369, 0)</f>
        <v>65.555300000000003</v>
      </c>
      <c r="J920" s="44">
        <f>649.4671</f>
        <v>649.46709999999996</v>
      </c>
    </row>
    <row r="921" spans="1:10" ht="15.75" x14ac:dyDescent="0.25">
      <c r="A921" s="32">
        <v>68972</v>
      </c>
      <c r="B921" s="14">
        <f>66.8948 * CHOOSE(CONTROL!$C$15, $E$9, 100%, $G$9) + CHOOSE(CONTROL!$C$38, 0.0256, 0)</f>
        <v>66.920400000000001</v>
      </c>
      <c r="C921" s="14">
        <f>63.2687 * CHOOSE(CONTROL!$C$15, $E$9, 100%, $G$9) + CHOOSE(CONTROL!$C$38, 0.0347, 0)</f>
        <v>63.303400000000003</v>
      </c>
      <c r="D921" s="14">
        <f>63.2608 * CHOOSE(CONTROL!$C$15, $E$9, 100%, $G$9) + CHOOSE(CONTROL!$C$38, 0.0347, 0)</f>
        <v>63.295500000000004</v>
      </c>
      <c r="E921" s="46">
        <f>66.7385 * CHOOSE(CONTROL!$C$15, $E$9, 100%, $G$9) + CHOOSE(CONTROL!$C$38, 0.0347, 0)</f>
        <v>66.773200000000003</v>
      </c>
      <c r="F921" s="45">
        <f>66.7385 * CHOOSE(CONTROL!$C$15, $E$9, 100%, $G$9) + CHOOSE(CONTROL!$C$38, 0.0256, 0)</f>
        <v>66.764099999999999</v>
      </c>
      <c r="G921" s="14">
        <f>63.2671 * CHOOSE(CONTROL!$C$15, $E$9, 100%, $G$9) + CHOOSE(CONTROL!$C$38, 0.0347, 0)</f>
        <v>63.3018</v>
      </c>
      <c r="H921" s="14">
        <f>63.2671 * CHOOSE(CONTROL!$C$15, $E$9, 100%, $G$9) + CHOOSE(CONTROL!$C$38, 0.0347, 0)</f>
        <v>63.3018</v>
      </c>
      <c r="I921" s="14">
        <f>63.2687 * CHOOSE(CONTROL!$C$15, $E$9, 100%, $G$9) + CHOOSE(CONTROL!$C$38, 0.0347, 0)</f>
        <v>63.303400000000003</v>
      </c>
      <c r="J921" s="44">
        <f>627.0079</f>
        <v>627.00789999999995</v>
      </c>
    </row>
    <row r="922" spans="1:10" ht="15.75" x14ac:dyDescent="0.25">
      <c r="A922" s="32">
        <v>69002</v>
      </c>
      <c r="B922" s="14">
        <f>66.4225 * CHOOSE(CONTROL!$C$15, $E$9, 100%, $G$9) + CHOOSE(CONTROL!$C$38, 0.0256, 0)</f>
        <v>66.448099999999997</v>
      </c>
      <c r="C922" s="14">
        <f>62.8211 * CHOOSE(CONTROL!$C$15, $E$9, 100%, $G$9) + CHOOSE(CONTROL!$C$38, 0.0347, 0)</f>
        <v>62.855800000000002</v>
      </c>
      <c r="D922" s="14">
        <f>62.8133 * CHOOSE(CONTROL!$C$15, $E$9, 100%, $G$9) + CHOOSE(CONTROL!$C$38, 0.0347, 0)</f>
        <v>62.847999999999999</v>
      </c>
      <c r="E922" s="46">
        <f>66.2663 * CHOOSE(CONTROL!$C$15, $E$9, 100%, $G$9) + CHOOSE(CONTROL!$C$38, 0.0347, 0)</f>
        <v>66.301000000000002</v>
      </c>
      <c r="F922" s="45">
        <f>66.2663 * CHOOSE(CONTROL!$C$15, $E$9, 100%, $G$9) + CHOOSE(CONTROL!$C$38, 0.0256, 0)</f>
        <v>66.291899999999998</v>
      </c>
      <c r="G922" s="14">
        <f>62.8196 * CHOOSE(CONTROL!$C$15, $E$9, 100%, $G$9) + CHOOSE(CONTROL!$C$38, 0.0347, 0)</f>
        <v>62.854300000000002</v>
      </c>
      <c r="H922" s="14">
        <f>62.8196 * CHOOSE(CONTROL!$C$15, $E$9, 100%, $G$9) + CHOOSE(CONTROL!$C$38, 0.0347, 0)</f>
        <v>62.854300000000002</v>
      </c>
      <c r="I922" s="14">
        <f>62.8211 * CHOOSE(CONTROL!$C$15, $E$9, 100%, $G$9) + CHOOSE(CONTROL!$C$38, 0.0347, 0)</f>
        <v>62.855800000000002</v>
      </c>
      <c r="J922" s="44">
        <f>622.5403</f>
        <v>622.5403</v>
      </c>
    </row>
    <row r="923" spans="1:10" ht="15.75" x14ac:dyDescent="0.25">
      <c r="A923" s="32">
        <v>69033</v>
      </c>
      <c r="B923" s="14">
        <f>64.4697 * CHOOSE(CONTROL!$C$15, $E$9, 100%, $G$9) + CHOOSE(CONTROL!$C$38, 0.0256, 0)</f>
        <v>64.4953</v>
      </c>
      <c r="C923" s="14">
        <f>60.9706 * CHOOSE(CONTROL!$C$15, $E$9, 100%, $G$9) + CHOOSE(CONTROL!$C$38, 0.0347, 0)</f>
        <v>61.005299999999998</v>
      </c>
      <c r="D923" s="14">
        <f>60.9628 * CHOOSE(CONTROL!$C$15, $E$9, 100%, $G$9) + CHOOSE(CONTROL!$C$38, 0.0347, 0)</f>
        <v>60.997500000000002</v>
      </c>
      <c r="E923" s="46">
        <f>64.3135 * CHOOSE(CONTROL!$C$15, $E$9, 100%, $G$9) + CHOOSE(CONTROL!$C$38, 0.0347, 0)</f>
        <v>64.348200000000006</v>
      </c>
      <c r="F923" s="45">
        <f>64.3135 * CHOOSE(CONTROL!$C$15, $E$9, 100%, $G$9) + CHOOSE(CONTROL!$C$38, 0.0256, 0)</f>
        <v>64.339100000000002</v>
      </c>
      <c r="G923" s="14">
        <f>60.969 * CHOOSE(CONTROL!$C$15, $E$9, 100%, $G$9) + CHOOSE(CONTROL!$C$38, 0.0347, 0)</f>
        <v>61.003700000000002</v>
      </c>
      <c r="H923" s="14">
        <f>60.969 * CHOOSE(CONTROL!$C$15, $E$9, 100%, $G$9) + CHOOSE(CONTROL!$C$38, 0.0347, 0)</f>
        <v>61.003700000000002</v>
      </c>
      <c r="I923" s="14">
        <f>60.9706 * CHOOSE(CONTROL!$C$15, $E$9, 100%, $G$9) + CHOOSE(CONTROL!$C$38, 0.0347, 0)</f>
        <v>61.005299999999998</v>
      </c>
      <c r="J923" s="44">
        <f>604.0664</f>
        <v>604.06640000000004</v>
      </c>
    </row>
    <row r="924" spans="1:10" ht="15.75" x14ac:dyDescent="0.25">
      <c r="A924" s="32">
        <v>69064</v>
      </c>
      <c r="B924" s="14">
        <f>63.9848 * CHOOSE(CONTROL!$C$15, $E$9, 100%, $G$9) + CHOOSE(CONTROL!$C$38, 0.0256, 0)</f>
        <v>64.010400000000004</v>
      </c>
      <c r="C924" s="14">
        <f>60.511 * CHOOSE(CONTROL!$C$15, $E$9, 100%, $G$9) + CHOOSE(CONTROL!$C$38, 0.0347, 0)</f>
        <v>60.545700000000004</v>
      </c>
      <c r="D924" s="14">
        <f>60.5032 * CHOOSE(CONTROL!$C$15, $E$9, 100%, $G$9) + CHOOSE(CONTROL!$C$38, 0.0347, 0)</f>
        <v>60.5379</v>
      </c>
      <c r="E924" s="46">
        <f>63.8285 * CHOOSE(CONTROL!$C$15, $E$9, 100%, $G$9) + CHOOSE(CONTROL!$C$38, 0.0347, 0)</f>
        <v>63.863199999999999</v>
      </c>
      <c r="F924" s="45">
        <f>63.8285 * CHOOSE(CONTROL!$C$15, $E$9, 100%, $G$9) + CHOOSE(CONTROL!$C$38, 0.0256, 0)</f>
        <v>63.854099999999995</v>
      </c>
      <c r="G924" s="14">
        <f>60.5095 * CHOOSE(CONTROL!$C$15, $E$9, 100%, $G$9) + CHOOSE(CONTROL!$C$38, 0.0347, 0)</f>
        <v>60.544200000000004</v>
      </c>
      <c r="H924" s="14">
        <f>60.5095 * CHOOSE(CONTROL!$C$15, $E$9, 100%, $G$9) + CHOOSE(CONTROL!$C$38, 0.0347, 0)</f>
        <v>60.544200000000004</v>
      </c>
      <c r="I924" s="14">
        <f>60.511 * CHOOSE(CONTROL!$C$15, $E$9, 100%, $G$9) + CHOOSE(CONTROL!$C$38, 0.0347, 0)</f>
        <v>60.545700000000004</v>
      </c>
      <c r="J924" s="44">
        <f>603.2874</f>
        <v>603.28740000000005</v>
      </c>
    </row>
    <row r="925" spans="1:10" ht="15.75" x14ac:dyDescent="0.25">
      <c r="A925" s="32">
        <v>69092</v>
      </c>
      <c r="B925" s="14">
        <f>63.8087 * CHOOSE(CONTROL!$C$15, $E$9, 100%, $G$9) + CHOOSE(CONTROL!$C$38, 0.0256, 0)</f>
        <v>63.834299999999999</v>
      </c>
      <c r="C925" s="14">
        <f>60.3441 * CHOOSE(CONTROL!$C$15, $E$9, 100%, $G$9) + CHOOSE(CONTROL!$C$38, 0.0347, 0)</f>
        <v>60.378799999999998</v>
      </c>
      <c r="D925" s="14">
        <f>60.3363 * CHOOSE(CONTROL!$C$15, $E$9, 100%, $G$9) + CHOOSE(CONTROL!$C$38, 0.0347, 0)</f>
        <v>60.371000000000002</v>
      </c>
      <c r="E925" s="46">
        <f>63.6524 * CHOOSE(CONTROL!$C$15, $E$9, 100%, $G$9) + CHOOSE(CONTROL!$C$38, 0.0347, 0)</f>
        <v>63.687100000000001</v>
      </c>
      <c r="F925" s="45">
        <f>63.6524 * CHOOSE(CONTROL!$C$15, $E$9, 100%, $G$9) + CHOOSE(CONTROL!$C$38, 0.0256, 0)</f>
        <v>63.677999999999997</v>
      </c>
      <c r="G925" s="14">
        <f>60.3425 * CHOOSE(CONTROL!$C$15, $E$9, 100%, $G$9) + CHOOSE(CONTROL!$C$38, 0.0347, 0)</f>
        <v>60.377200000000002</v>
      </c>
      <c r="H925" s="14">
        <f>60.3425 * CHOOSE(CONTROL!$C$15, $E$9, 100%, $G$9) + CHOOSE(CONTROL!$C$38, 0.0347, 0)</f>
        <v>60.377200000000002</v>
      </c>
      <c r="I925" s="14">
        <f>60.3441 * CHOOSE(CONTROL!$C$15, $E$9, 100%, $G$9) + CHOOSE(CONTROL!$C$38, 0.0347, 0)</f>
        <v>60.378799999999998</v>
      </c>
      <c r="J925" s="44">
        <f>601.6105</f>
        <v>601.6105</v>
      </c>
    </row>
    <row r="926" spans="1:10" ht="15.75" x14ac:dyDescent="0.25">
      <c r="A926" s="32">
        <v>69123</v>
      </c>
      <c r="B926" s="14">
        <f>67.1392 * CHOOSE(CONTROL!$C$15, $E$9, 100%, $G$9) + CHOOSE(CONTROL!$C$38, 0.0256, 0)</f>
        <v>67.1648</v>
      </c>
      <c r="C926" s="14">
        <f>63.5003 * CHOOSE(CONTROL!$C$15, $E$9, 100%, $G$9) + CHOOSE(CONTROL!$C$38, 0.0347, 0)</f>
        <v>63.535000000000004</v>
      </c>
      <c r="D926" s="14">
        <f>63.4925 * CHOOSE(CONTROL!$C$15, $E$9, 100%, $G$9) + CHOOSE(CONTROL!$C$38, 0.0347, 0)</f>
        <v>63.527200000000001</v>
      </c>
      <c r="E926" s="46">
        <f>66.983 * CHOOSE(CONTROL!$C$15, $E$9, 100%, $G$9) + CHOOSE(CONTROL!$C$38, 0.0347, 0)</f>
        <v>67.017700000000005</v>
      </c>
      <c r="F926" s="45">
        <f>66.983 * CHOOSE(CONTROL!$C$15, $E$9, 100%, $G$9) + CHOOSE(CONTROL!$C$38, 0.0256, 0)</f>
        <v>67.008600000000001</v>
      </c>
      <c r="G926" s="14">
        <f>63.4987 * CHOOSE(CONTROL!$C$15, $E$9, 100%, $G$9) + CHOOSE(CONTROL!$C$38, 0.0347, 0)</f>
        <v>63.5334</v>
      </c>
      <c r="H926" s="14">
        <f>63.4987 * CHOOSE(CONTROL!$C$15, $E$9, 100%, $G$9) + CHOOSE(CONTROL!$C$38, 0.0347, 0)</f>
        <v>63.5334</v>
      </c>
      <c r="I926" s="14">
        <f>63.5003 * CHOOSE(CONTROL!$C$15, $E$9, 100%, $G$9) + CHOOSE(CONTROL!$C$38, 0.0347, 0)</f>
        <v>63.535000000000004</v>
      </c>
      <c r="J926" s="44">
        <f>633.3188</f>
        <v>633.31880000000001</v>
      </c>
    </row>
    <row r="927" spans="1:10" ht="15.75" x14ac:dyDescent="0.25">
      <c r="A927" s="32">
        <v>69153</v>
      </c>
      <c r="B927" s="14">
        <f>71.4581 * CHOOSE(CONTROL!$C$15, $E$9, 100%, $G$9) + CHOOSE(CONTROL!$C$38, 0.0256, 0)</f>
        <v>71.483699999999999</v>
      </c>
      <c r="C927" s="14">
        <f>67.5931 * CHOOSE(CONTROL!$C$15, $E$9, 100%, $G$9) + CHOOSE(CONTROL!$C$38, 0.0347, 0)</f>
        <v>67.627800000000008</v>
      </c>
      <c r="D927" s="14">
        <f>67.5853 * CHOOSE(CONTROL!$C$15, $E$9, 100%, $G$9) + CHOOSE(CONTROL!$C$38, 0.0347, 0)</f>
        <v>67.62</v>
      </c>
      <c r="E927" s="46">
        <f>71.3019 * CHOOSE(CONTROL!$C$15, $E$9, 100%, $G$9) + CHOOSE(CONTROL!$C$38, 0.0347, 0)</f>
        <v>71.336600000000004</v>
      </c>
      <c r="F927" s="45">
        <f>71.3019 * CHOOSE(CONTROL!$C$15, $E$9, 100%, $G$9) + CHOOSE(CONTROL!$C$38, 0.0256, 0)</f>
        <v>71.327500000000001</v>
      </c>
      <c r="G927" s="14">
        <f>67.5916 * CHOOSE(CONTROL!$C$15, $E$9, 100%, $G$9) + CHOOSE(CONTROL!$C$38, 0.0347, 0)</f>
        <v>67.626300000000001</v>
      </c>
      <c r="H927" s="14">
        <f>67.5916 * CHOOSE(CONTROL!$C$15, $E$9, 100%, $G$9) + CHOOSE(CONTROL!$C$38, 0.0347, 0)</f>
        <v>67.626300000000001</v>
      </c>
      <c r="I927" s="14">
        <f>67.5931 * CHOOSE(CONTROL!$C$15, $E$9, 100%, $G$9) + CHOOSE(CONTROL!$C$38, 0.0347, 0)</f>
        <v>67.627800000000008</v>
      </c>
      <c r="J927" s="44">
        <f>674.437</f>
        <v>674.43700000000001</v>
      </c>
    </row>
    <row r="928" spans="1:10" ht="15.75" x14ac:dyDescent="0.25">
      <c r="A928" s="32">
        <v>69184</v>
      </c>
      <c r="B928" s="14">
        <f>73.8354 * CHOOSE(CONTROL!$C$15, $E$9, 100%, $G$9) + CHOOSE(CONTROL!$C$38, 0.0278, 0)</f>
        <v>73.863200000000006</v>
      </c>
      <c r="C928" s="14">
        <f>69.8459 * CHOOSE(CONTROL!$C$15, $E$9, 100%, $G$9) + CHOOSE(CONTROL!$C$38, 0.0369, 0)</f>
        <v>69.882800000000003</v>
      </c>
      <c r="D928" s="14">
        <f>69.8381 * CHOOSE(CONTROL!$C$15, $E$9, 100%, $G$9) + CHOOSE(CONTROL!$C$38, 0.0369, 0)</f>
        <v>69.875</v>
      </c>
      <c r="E928" s="46">
        <f>73.6792 * CHOOSE(CONTROL!$C$15, $E$9, 100%, $G$9) + CHOOSE(CONTROL!$C$38, 0.0369, 0)</f>
        <v>73.716099999999997</v>
      </c>
      <c r="F928" s="45">
        <f>73.6792 * CHOOSE(CONTROL!$C$15, $E$9, 100%, $G$9) + CHOOSE(CONTROL!$C$38, 0.0278, 0)</f>
        <v>73.706999999999994</v>
      </c>
      <c r="G928" s="14">
        <f>69.8444 * CHOOSE(CONTROL!$C$15, $E$9, 100%, $G$9) + CHOOSE(CONTROL!$C$38, 0.0369, 0)</f>
        <v>69.881299999999996</v>
      </c>
      <c r="H928" s="14">
        <f>69.8444 * CHOOSE(CONTROL!$C$15, $E$9, 100%, $G$9) + CHOOSE(CONTROL!$C$38, 0.0369, 0)</f>
        <v>69.881299999999996</v>
      </c>
      <c r="I928" s="14">
        <f>69.8459 * CHOOSE(CONTROL!$C$15, $E$9, 100%, $G$9) + CHOOSE(CONTROL!$C$38, 0.0369, 0)</f>
        <v>69.882800000000003</v>
      </c>
      <c r="J928" s="44">
        <f>697.0697</f>
        <v>697.06970000000001</v>
      </c>
    </row>
    <row r="929" spans="1:10" ht="15.75" x14ac:dyDescent="0.25">
      <c r="A929" s="32">
        <v>69214</v>
      </c>
      <c r="B929" s="14">
        <f>74.8904 * CHOOSE(CONTROL!$C$15, $E$9, 100%, $G$9) + CHOOSE(CONTROL!$C$38, 0.0278, 0)</f>
        <v>74.918199999999999</v>
      </c>
      <c r="C929" s="14">
        <f>70.8457 * CHOOSE(CONTROL!$C$15, $E$9, 100%, $G$9) + CHOOSE(CONTROL!$C$38, 0.0369, 0)</f>
        <v>70.882599999999996</v>
      </c>
      <c r="D929" s="14">
        <f>70.8379 * CHOOSE(CONTROL!$C$15, $E$9, 100%, $G$9) + CHOOSE(CONTROL!$C$38, 0.0369, 0)</f>
        <v>70.874800000000008</v>
      </c>
      <c r="E929" s="46">
        <f>74.7342 * CHOOSE(CONTROL!$C$15, $E$9, 100%, $G$9) + CHOOSE(CONTROL!$C$38, 0.0369, 0)</f>
        <v>74.771100000000004</v>
      </c>
      <c r="F929" s="45">
        <f>74.7342 * CHOOSE(CONTROL!$C$15, $E$9, 100%, $G$9) + CHOOSE(CONTROL!$C$38, 0.0278, 0)</f>
        <v>74.762</v>
      </c>
      <c r="G929" s="14">
        <f>70.8441 * CHOOSE(CONTROL!$C$15, $E$9, 100%, $G$9) + CHOOSE(CONTROL!$C$38, 0.0369, 0)</f>
        <v>70.881</v>
      </c>
      <c r="H929" s="14">
        <f>70.8441 * CHOOSE(CONTROL!$C$15, $E$9, 100%, $G$9) + CHOOSE(CONTROL!$C$38, 0.0369, 0)</f>
        <v>70.881</v>
      </c>
      <c r="I929" s="14">
        <f>70.8457 * CHOOSE(CONTROL!$C$15, $E$9, 100%, $G$9) + CHOOSE(CONTROL!$C$38, 0.0369, 0)</f>
        <v>70.882599999999996</v>
      </c>
      <c r="J929" s="44">
        <f>707.1138</f>
        <v>707.11379999999997</v>
      </c>
    </row>
    <row r="930" spans="1:10" ht="15.75" x14ac:dyDescent="0.25">
      <c r="A930" s="32">
        <v>69245</v>
      </c>
      <c r="B930" s="14">
        <f>74.5431 * CHOOSE(CONTROL!$C$15, $E$9, 100%, $G$9) + CHOOSE(CONTROL!$C$38, 0.0278, 0)</f>
        <v>74.570899999999995</v>
      </c>
      <c r="C930" s="14">
        <f>70.5165 * CHOOSE(CONTROL!$C$15, $E$9, 100%, $G$9) + CHOOSE(CONTROL!$C$38, 0.0369, 0)</f>
        <v>70.553399999999996</v>
      </c>
      <c r="D930" s="14">
        <f>70.5087 * CHOOSE(CONTROL!$C$15, $E$9, 100%, $G$9) + CHOOSE(CONTROL!$C$38, 0.0369, 0)</f>
        <v>70.545600000000007</v>
      </c>
      <c r="E930" s="46">
        <f>74.3868 * CHOOSE(CONTROL!$C$15, $E$9, 100%, $G$9) + CHOOSE(CONTROL!$C$38, 0.0369, 0)</f>
        <v>74.423699999999997</v>
      </c>
      <c r="F930" s="45">
        <f>74.3868 * CHOOSE(CONTROL!$C$15, $E$9, 100%, $G$9) + CHOOSE(CONTROL!$C$38, 0.0278, 0)</f>
        <v>74.414599999999993</v>
      </c>
      <c r="G930" s="14">
        <f>70.515 * CHOOSE(CONTROL!$C$15, $E$9, 100%, $G$9) + CHOOSE(CONTROL!$C$38, 0.0369, 0)</f>
        <v>70.551900000000003</v>
      </c>
      <c r="H930" s="14">
        <f>70.515 * CHOOSE(CONTROL!$C$15, $E$9, 100%, $G$9) + CHOOSE(CONTROL!$C$38, 0.0369, 0)</f>
        <v>70.551900000000003</v>
      </c>
      <c r="I930" s="14">
        <f>70.5165 * CHOOSE(CONTROL!$C$15, $E$9, 100%, $G$9) + CHOOSE(CONTROL!$C$38, 0.0369, 0)</f>
        <v>70.553399999999996</v>
      </c>
      <c r="J930" s="44">
        <f>703.8068</f>
        <v>703.80679999999995</v>
      </c>
    </row>
    <row r="931" spans="1:10" ht="15.75" x14ac:dyDescent="0.25">
      <c r="A931" s="32">
        <v>69276</v>
      </c>
      <c r="B931" s="14">
        <f>72.8221 * CHOOSE(CONTROL!$C$15, $E$9, 100%, $G$9) + CHOOSE(CONTROL!$C$38, 0.0278, 0)</f>
        <v>72.849900000000005</v>
      </c>
      <c r="C931" s="14">
        <f>68.8857 * CHOOSE(CONTROL!$C$15, $E$9, 100%, $G$9) + CHOOSE(CONTROL!$C$38, 0.0369, 0)</f>
        <v>68.922600000000003</v>
      </c>
      <c r="D931" s="14">
        <f>68.8779 * CHOOSE(CONTROL!$C$15, $E$9, 100%, $G$9) + CHOOSE(CONTROL!$C$38, 0.0369, 0)</f>
        <v>68.9148</v>
      </c>
      <c r="E931" s="46">
        <f>72.6659 * CHOOSE(CONTROL!$C$15, $E$9, 100%, $G$9) + CHOOSE(CONTROL!$C$38, 0.0369, 0)</f>
        <v>72.702799999999996</v>
      </c>
      <c r="F931" s="45">
        <f>72.6659 * CHOOSE(CONTROL!$C$15, $E$9, 100%, $G$9) + CHOOSE(CONTROL!$C$38, 0.0278, 0)</f>
        <v>72.693699999999993</v>
      </c>
      <c r="G931" s="14">
        <f>68.8841 * CHOOSE(CONTROL!$C$15, $E$9, 100%, $G$9) + CHOOSE(CONTROL!$C$38, 0.0369, 0)</f>
        <v>68.921000000000006</v>
      </c>
      <c r="H931" s="14">
        <f>68.8841 * CHOOSE(CONTROL!$C$15, $E$9, 100%, $G$9) + CHOOSE(CONTROL!$C$38, 0.0369, 0)</f>
        <v>68.921000000000006</v>
      </c>
      <c r="I931" s="14">
        <f>68.8857 * CHOOSE(CONTROL!$C$15, $E$9, 100%, $G$9) + CHOOSE(CONTROL!$C$38, 0.0369, 0)</f>
        <v>68.922600000000003</v>
      </c>
      <c r="J931" s="44">
        <f>687.4225</f>
        <v>687.42250000000001</v>
      </c>
    </row>
    <row r="932" spans="1:10" ht="15.75" x14ac:dyDescent="0.25">
      <c r="A932" s="32">
        <v>69306</v>
      </c>
      <c r="B932" s="14">
        <f>70.4221 * CHOOSE(CONTROL!$C$15, $E$9, 100%, $G$9) + CHOOSE(CONTROL!$C$38, 0.0278, 0)</f>
        <v>70.4499</v>
      </c>
      <c r="C932" s="14">
        <f>66.6114 * CHOOSE(CONTROL!$C$15, $E$9, 100%, $G$9) + CHOOSE(CONTROL!$C$38, 0.0369, 0)</f>
        <v>66.648300000000006</v>
      </c>
      <c r="D932" s="14">
        <f>66.6035 * CHOOSE(CONTROL!$C$15, $E$9, 100%, $G$9) + CHOOSE(CONTROL!$C$38, 0.0369, 0)</f>
        <v>66.6404</v>
      </c>
      <c r="E932" s="46">
        <f>70.2659 * CHOOSE(CONTROL!$C$15, $E$9, 100%, $G$9) + CHOOSE(CONTROL!$C$38, 0.0369, 0)</f>
        <v>70.302800000000005</v>
      </c>
      <c r="F932" s="45">
        <f>70.2659 * CHOOSE(CONTROL!$C$15, $E$9, 100%, $G$9) + CHOOSE(CONTROL!$C$38, 0.0278, 0)</f>
        <v>70.293700000000001</v>
      </c>
      <c r="G932" s="14">
        <f>66.6098 * CHOOSE(CONTROL!$C$15, $E$9, 100%, $G$9) + CHOOSE(CONTROL!$C$38, 0.0369, 0)</f>
        <v>66.64670000000001</v>
      </c>
      <c r="H932" s="14">
        <f>66.6098 * CHOOSE(CONTROL!$C$15, $E$9, 100%, $G$9) + CHOOSE(CONTROL!$C$38, 0.0369, 0)</f>
        <v>66.64670000000001</v>
      </c>
      <c r="I932" s="14">
        <f>66.6114 * CHOOSE(CONTROL!$C$15, $E$9, 100%, $G$9) + CHOOSE(CONTROL!$C$38, 0.0369, 0)</f>
        <v>66.648300000000006</v>
      </c>
      <c r="J932" s="44">
        <f>664.5737</f>
        <v>664.57370000000003</v>
      </c>
    </row>
    <row r="933" spans="1:10" ht="15.75" x14ac:dyDescent="0.25">
      <c r="A933" s="32">
        <v>69337</v>
      </c>
      <c r="B933" s="14">
        <f>68.0082 * CHOOSE(CONTROL!$C$15, $E$9, 100%, $G$9) + CHOOSE(CONTROL!$C$38, 0.0256, 0)</f>
        <v>68.033799999999999</v>
      </c>
      <c r="C933" s="14">
        <f>64.3238 * CHOOSE(CONTROL!$C$15, $E$9, 100%, $G$9) + CHOOSE(CONTROL!$C$38, 0.0347, 0)</f>
        <v>64.358500000000006</v>
      </c>
      <c r="D933" s="14">
        <f>64.316 * CHOOSE(CONTROL!$C$15, $E$9, 100%, $G$9) + CHOOSE(CONTROL!$C$38, 0.0347, 0)</f>
        <v>64.350700000000003</v>
      </c>
      <c r="E933" s="46">
        <f>67.852 * CHOOSE(CONTROL!$C$15, $E$9, 100%, $G$9) + CHOOSE(CONTROL!$C$38, 0.0347, 0)</f>
        <v>67.886700000000005</v>
      </c>
      <c r="F933" s="45">
        <f>67.852 * CHOOSE(CONTROL!$C$15, $E$9, 100%, $G$9) + CHOOSE(CONTROL!$C$38, 0.0256, 0)</f>
        <v>67.877600000000001</v>
      </c>
      <c r="G933" s="14">
        <f>64.3222 * CHOOSE(CONTROL!$C$15, $E$9, 100%, $G$9) + CHOOSE(CONTROL!$C$38, 0.0347, 0)</f>
        <v>64.356899999999996</v>
      </c>
      <c r="H933" s="14">
        <f>64.3222 * CHOOSE(CONTROL!$C$15, $E$9, 100%, $G$9) + CHOOSE(CONTROL!$C$38, 0.0347, 0)</f>
        <v>64.356899999999996</v>
      </c>
      <c r="I933" s="14">
        <f>64.3238 * CHOOSE(CONTROL!$C$15, $E$9, 100%, $G$9) + CHOOSE(CONTROL!$C$38, 0.0347, 0)</f>
        <v>64.358500000000006</v>
      </c>
      <c r="J933" s="44">
        <f>641.5921</f>
        <v>641.59209999999996</v>
      </c>
    </row>
    <row r="934" spans="1:10" ht="15.75" x14ac:dyDescent="0.25">
      <c r="A934" s="32">
        <v>69367</v>
      </c>
      <c r="B934" s="14">
        <f>67.528 * CHOOSE(CONTROL!$C$15, $E$9, 100%, $G$9) + CHOOSE(CONTROL!$C$38, 0.0256, 0)</f>
        <v>67.553600000000003</v>
      </c>
      <c r="C934" s="14">
        <f>63.8688 * CHOOSE(CONTROL!$C$15, $E$9, 100%, $G$9) + CHOOSE(CONTROL!$C$38, 0.0347, 0)</f>
        <v>63.903500000000001</v>
      </c>
      <c r="D934" s="14">
        <f>63.861 * CHOOSE(CONTROL!$C$15, $E$9, 100%, $G$9) + CHOOSE(CONTROL!$C$38, 0.0347, 0)</f>
        <v>63.895699999999998</v>
      </c>
      <c r="E934" s="46">
        <f>67.3718 * CHOOSE(CONTROL!$C$15, $E$9, 100%, $G$9) + CHOOSE(CONTROL!$C$38, 0.0347, 0)</f>
        <v>67.406499999999994</v>
      </c>
      <c r="F934" s="45">
        <f>67.3718 * CHOOSE(CONTROL!$C$15, $E$9, 100%, $G$9) + CHOOSE(CONTROL!$C$38, 0.0256, 0)</f>
        <v>67.39739999999999</v>
      </c>
      <c r="G934" s="14">
        <f>63.8672 * CHOOSE(CONTROL!$C$15, $E$9, 100%, $G$9) + CHOOSE(CONTROL!$C$38, 0.0347, 0)</f>
        <v>63.901899999999998</v>
      </c>
      <c r="H934" s="14">
        <f>63.8672 * CHOOSE(CONTROL!$C$15, $E$9, 100%, $G$9) + CHOOSE(CONTROL!$C$38, 0.0347, 0)</f>
        <v>63.901899999999998</v>
      </c>
      <c r="I934" s="14">
        <f>63.8688 * CHOOSE(CONTROL!$C$15, $E$9, 100%, $G$9) + CHOOSE(CONTROL!$C$38, 0.0347, 0)</f>
        <v>63.903500000000001</v>
      </c>
      <c r="J934" s="44">
        <f>637.0206</f>
        <v>637.02059999999994</v>
      </c>
    </row>
    <row r="935" spans="1:10" ht="15.75" x14ac:dyDescent="0.25">
      <c r="A935" s="32">
        <v>69398</v>
      </c>
      <c r="B935" s="14">
        <f>65.5424 * CHOOSE(CONTROL!$C$15, $E$9, 100%, $G$9) + CHOOSE(CONTROL!$C$38, 0.0256, 0)</f>
        <v>65.567999999999998</v>
      </c>
      <c r="C935" s="14">
        <f>61.9871 * CHOOSE(CONTROL!$C$15, $E$9, 100%, $G$9) + CHOOSE(CONTROL!$C$38, 0.0347, 0)</f>
        <v>62.021799999999999</v>
      </c>
      <c r="D935" s="14">
        <f>61.9793 * CHOOSE(CONTROL!$C$15, $E$9, 100%, $G$9) + CHOOSE(CONTROL!$C$38, 0.0347, 0)</f>
        <v>62.014000000000003</v>
      </c>
      <c r="E935" s="46">
        <f>65.3862 * CHOOSE(CONTROL!$C$15, $E$9, 100%, $G$9) + CHOOSE(CONTROL!$C$38, 0.0347, 0)</f>
        <v>65.420900000000003</v>
      </c>
      <c r="F935" s="45">
        <f>65.3862 * CHOOSE(CONTROL!$C$15, $E$9, 100%, $G$9) + CHOOSE(CONTROL!$C$38, 0.0256, 0)</f>
        <v>65.411799999999999</v>
      </c>
      <c r="G935" s="14">
        <f>61.9856 * CHOOSE(CONTROL!$C$15, $E$9, 100%, $G$9) + CHOOSE(CONTROL!$C$38, 0.0347, 0)</f>
        <v>62.020299999999999</v>
      </c>
      <c r="H935" s="14">
        <f>61.9856 * CHOOSE(CONTROL!$C$15, $E$9, 100%, $G$9) + CHOOSE(CONTROL!$C$38, 0.0347, 0)</f>
        <v>62.020299999999999</v>
      </c>
      <c r="I935" s="14">
        <f>61.9871 * CHOOSE(CONTROL!$C$15, $E$9, 100%, $G$9) + CHOOSE(CONTROL!$C$38, 0.0347, 0)</f>
        <v>62.021799999999999</v>
      </c>
      <c r="J935" s="44">
        <f>618.1169</f>
        <v>618.11689999999999</v>
      </c>
    </row>
    <row r="936" spans="1:10" ht="15.75" x14ac:dyDescent="0.25">
      <c r="A936" s="32">
        <v>69429</v>
      </c>
      <c r="B936" s="14">
        <f>65.0494 * CHOOSE(CONTROL!$C$15, $E$9, 100%, $G$9) + CHOOSE(CONTROL!$C$38, 0.0256, 0)</f>
        <v>65.075000000000003</v>
      </c>
      <c r="C936" s="14">
        <f>61.5199 * CHOOSE(CONTROL!$C$15, $E$9, 100%, $G$9) + CHOOSE(CONTROL!$C$38, 0.0347, 0)</f>
        <v>61.554600000000001</v>
      </c>
      <c r="D936" s="14">
        <f>61.512 * CHOOSE(CONTROL!$C$15, $E$9, 100%, $G$9) + CHOOSE(CONTROL!$C$38, 0.0347, 0)</f>
        <v>61.546700000000001</v>
      </c>
      <c r="E936" s="46">
        <f>64.8931 * CHOOSE(CONTROL!$C$15, $E$9, 100%, $G$9) + CHOOSE(CONTROL!$C$38, 0.0347, 0)</f>
        <v>64.927800000000005</v>
      </c>
      <c r="F936" s="45">
        <f>64.8931 * CHOOSE(CONTROL!$C$15, $E$9, 100%, $G$9) + CHOOSE(CONTROL!$C$38, 0.0256, 0)</f>
        <v>64.918700000000001</v>
      </c>
      <c r="G936" s="14">
        <f>61.5183 * CHOOSE(CONTROL!$C$15, $E$9, 100%, $G$9) + CHOOSE(CONTROL!$C$38, 0.0347, 0)</f>
        <v>61.553000000000004</v>
      </c>
      <c r="H936" s="14">
        <f>61.5183 * CHOOSE(CONTROL!$C$15, $E$9, 100%, $G$9) + CHOOSE(CONTROL!$C$38, 0.0347, 0)</f>
        <v>61.553000000000004</v>
      </c>
      <c r="I936" s="14">
        <f>61.5199 * CHOOSE(CONTROL!$C$15, $E$9, 100%, $G$9) + CHOOSE(CONTROL!$C$38, 0.0347, 0)</f>
        <v>61.554600000000001</v>
      </c>
      <c r="J936" s="44">
        <f>617.3199</f>
        <v>617.31989999999996</v>
      </c>
    </row>
    <row r="937" spans="1:10" ht="15.75" x14ac:dyDescent="0.25">
      <c r="A937" s="32">
        <v>69457</v>
      </c>
      <c r="B937" s="14">
        <f>64.8703 * CHOOSE(CONTROL!$C$15, $E$9, 100%, $G$9) + CHOOSE(CONTROL!$C$38, 0.0256, 0)</f>
        <v>64.895899999999997</v>
      </c>
      <c r="C937" s="14">
        <f>61.3501 * CHOOSE(CONTROL!$C$15, $E$9, 100%, $G$9) + CHOOSE(CONTROL!$C$38, 0.0347, 0)</f>
        <v>61.384799999999998</v>
      </c>
      <c r="D937" s="14">
        <f>61.3423 * CHOOSE(CONTROL!$C$15, $E$9, 100%, $G$9) + CHOOSE(CONTROL!$C$38, 0.0347, 0)</f>
        <v>61.377000000000002</v>
      </c>
      <c r="E937" s="46">
        <f>64.714 * CHOOSE(CONTROL!$C$15, $E$9, 100%, $G$9) + CHOOSE(CONTROL!$C$38, 0.0347, 0)</f>
        <v>64.748699999999999</v>
      </c>
      <c r="F937" s="45">
        <f>64.714 * CHOOSE(CONTROL!$C$15, $E$9, 100%, $G$9) + CHOOSE(CONTROL!$C$38, 0.0256, 0)</f>
        <v>64.739599999999996</v>
      </c>
      <c r="G937" s="14">
        <f>61.3486 * CHOOSE(CONTROL!$C$15, $E$9, 100%, $G$9) + CHOOSE(CONTROL!$C$38, 0.0347, 0)</f>
        <v>61.383299999999998</v>
      </c>
      <c r="H937" s="14">
        <f>61.3486 * CHOOSE(CONTROL!$C$15, $E$9, 100%, $G$9) + CHOOSE(CONTROL!$C$38, 0.0347, 0)</f>
        <v>61.383299999999998</v>
      </c>
      <c r="I937" s="14">
        <f>61.3501 * CHOOSE(CONTROL!$C$15, $E$9, 100%, $G$9) + CHOOSE(CONTROL!$C$38, 0.0347, 0)</f>
        <v>61.384799999999998</v>
      </c>
      <c r="J937" s="44">
        <f>615.6039</f>
        <v>615.60389999999995</v>
      </c>
    </row>
    <row r="938" spans="1:10" ht="15.75" x14ac:dyDescent="0.25">
      <c r="A938" s="32">
        <v>69488</v>
      </c>
      <c r="B938" s="14">
        <f>68.2568 * CHOOSE(CONTROL!$C$15, $E$9, 100%, $G$9) + CHOOSE(CONTROL!$C$38, 0.0256, 0)</f>
        <v>68.282399999999996</v>
      </c>
      <c r="C938" s="14">
        <f>64.5593 * CHOOSE(CONTROL!$C$15, $E$9, 100%, $G$9) + CHOOSE(CONTROL!$C$38, 0.0347, 0)</f>
        <v>64.593999999999994</v>
      </c>
      <c r="D938" s="14">
        <f>64.5515 * CHOOSE(CONTROL!$C$15, $E$9, 100%, $G$9) + CHOOSE(CONTROL!$C$38, 0.0347, 0)</f>
        <v>64.586200000000005</v>
      </c>
      <c r="E938" s="46">
        <f>68.1005 * CHOOSE(CONTROL!$C$15, $E$9, 100%, $G$9) + CHOOSE(CONTROL!$C$38, 0.0347, 0)</f>
        <v>68.135199999999998</v>
      </c>
      <c r="F938" s="45">
        <f>68.1005 * CHOOSE(CONTROL!$C$15, $E$9, 100%, $G$9) + CHOOSE(CONTROL!$C$38, 0.0256, 0)</f>
        <v>68.126099999999994</v>
      </c>
      <c r="G938" s="14">
        <f>64.5578 * CHOOSE(CONTROL!$C$15, $E$9, 100%, $G$9) + CHOOSE(CONTROL!$C$38, 0.0347, 0)</f>
        <v>64.592500000000001</v>
      </c>
      <c r="H938" s="14">
        <f>64.5578 * CHOOSE(CONTROL!$C$15, $E$9, 100%, $G$9) + CHOOSE(CONTROL!$C$38, 0.0347, 0)</f>
        <v>64.592500000000001</v>
      </c>
      <c r="I938" s="14">
        <f>64.5593 * CHOOSE(CONTROL!$C$15, $E$9, 100%, $G$9) + CHOOSE(CONTROL!$C$38, 0.0347, 0)</f>
        <v>64.593999999999994</v>
      </c>
      <c r="J938" s="44">
        <f>648.0498</f>
        <v>648.0498</v>
      </c>
    </row>
    <row r="939" spans="1:10" ht="15.75" x14ac:dyDescent="0.25">
      <c r="A939" s="32">
        <v>69518</v>
      </c>
      <c r="B939" s="14">
        <f>72.6483 * CHOOSE(CONTROL!$C$15, $E$9, 100%, $G$9) + CHOOSE(CONTROL!$C$38, 0.0256, 0)</f>
        <v>72.673900000000003</v>
      </c>
      <c r="C939" s="14">
        <f>68.7209 * CHOOSE(CONTROL!$C$15, $E$9, 100%, $G$9) + CHOOSE(CONTROL!$C$38, 0.0347, 0)</f>
        <v>68.755600000000001</v>
      </c>
      <c r="D939" s="14">
        <f>68.7131 * CHOOSE(CONTROL!$C$15, $E$9, 100%, $G$9) + CHOOSE(CONTROL!$C$38, 0.0347, 0)</f>
        <v>68.747799999999998</v>
      </c>
      <c r="E939" s="46">
        <f>72.492 * CHOOSE(CONTROL!$C$15, $E$9, 100%, $G$9) + CHOOSE(CONTROL!$C$38, 0.0347, 0)</f>
        <v>72.526700000000005</v>
      </c>
      <c r="F939" s="45">
        <f>72.492 * CHOOSE(CONTROL!$C$15, $E$9, 100%, $G$9) + CHOOSE(CONTROL!$C$38, 0.0256, 0)</f>
        <v>72.517600000000002</v>
      </c>
      <c r="G939" s="14">
        <f>68.7194 * CHOOSE(CONTROL!$C$15, $E$9, 100%, $G$9) + CHOOSE(CONTROL!$C$38, 0.0347, 0)</f>
        <v>68.754099999999994</v>
      </c>
      <c r="H939" s="14">
        <f>68.7194 * CHOOSE(CONTROL!$C$15, $E$9, 100%, $G$9) + CHOOSE(CONTROL!$C$38, 0.0347, 0)</f>
        <v>68.754099999999994</v>
      </c>
      <c r="I939" s="14">
        <f>68.7209 * CHOOSE(CONTROL!$C$15, $E$9, 100%, $G$9) + CHOOSE(CONTROL!$C$38, 0.0347, 0)</f>
        <v>68.755600000000001</v>
      </c>
      <c r="J939" s="44">
        <f>690.1244</f>
        <v>690.12440000000004</v>
      </c>
    </row>
    <row r="940" spans="1:10" ht="15.75" x14ac:dyDescent="0.25">
      <c r="A940" s="32">
        <v>69549</v>
      </c>
      <c r="B940" s="14">
        <f>75.0655 * CHOOSE(CONTROL!$C$15, $E$9, 100%, $G$9) + CHOOSE(CONTROL!$C$38, 0.0278, 0)</f>
        <v>75.093299999999999</v>
      </c>
      <c r="C940" s="14">
        <f>71.0116 * CHOOSE(CONTROL!$C$15, $E$9, 100%, $G$9) + CHOOSE(CONTROL!$C$38, 0.0369, 0)</f>
        <v>71.048500000000004</v>
      </c>
      <c r="D940" s="14">
        <f>71.0038 * CHOOSE(CONTROL!$C$15, $E$9, 100%, $G$9) + CHOOSE(CONTROL!$C$38, 0.0369, 0)</f>
        <v>71.040700000000001</v>
      </c>
      <c r="E940" s="46">
        <f>74.9092 * CHOOSE(CONTROL!$C$15, $E$9, 100%, $G$9) + CHOOSE(CONTROL!$C$38, 0.0369, 0)</f>
        <v>74.946100000000001</v>
      </c>
      <c r="F940" s="45">
        <f>74.9092 * CHOOSE(CONTROL!$C$15, $E$9, 100%, $G$9) + CHOOSE(CONTROL!$C$38, 0.0278, 0)</f>
        <v>74.936999999999998</v>
      </c>
      <c r="G940" s="14">
        <f>71.01 * CHOOSE(CONTROL!$C$15, $E$9, 100%, $G$9) + CHOOSE(CONTROL!$C$38, 0.0369, 0)</f>
        <v>71.046900000000008</v>
      </c>
      <c r="H940" s="14">
        <f>71.01 * CHOOSE(CONTROL!$C$15, $E$9, 100%, $G$9) + CHOOSE(CONTROL!$C$38, 0.0369, 0)</f>
        <v>71.046900000000008</v>
      </c>
      <c r="I940" s="14">
        <f>71.0116 * CHOOSE(CONTROL!$C$15, $E$9, 100%, $G$9) + CHOOSE(CONTROL!$C$38, 0.0369, 0)</f>
        <v>71.048500000000004</v>
      </c>
      <c r="J940" s="44">
        <f>713.2836</f>
        <v>713.28359999999998</v>
      </c>
    </row>
    <row r="941" spans="1:10" ht="15.75" x14ac:dyDescent="0.25">
      <c r="A941" s="32">
        <v>69579</v>
      </c>
      <c r="B941" s="14">
        <f>76.1382 * CHOOSE(CONTROL!$C$15, $E$9, 100%, $G$9) + CHOOSE(CONTROL!$C$38, 0.0278, 0)</f>
        <v>76.165999999999997</v>
      </c>
      <c r="C941" s="14">
        <f>72.0282 * CHOOSE(CONTROL!$C$15, $E$9, 100%, $G$9) + CHOOSE(CONTROL!$C$38, 0.0369, 0)</f>
        <v>72.065100000000001</v>
      </c>
      <c r="D941" s="14">
        <f>72.0203 * CHOOSE(CONTROL!$C$15, $E$9, 100%, $G$9) + CHOOSE(CONTROL!$C$38, 0.0369, 0)</f>
        <v>72.057200000000009</v>
      </c>
      <c r="E941" s="46">
        <f>75.9819 * CHOOSE(CONTROL!$C$15, $E$9, 100%, $G$9) + CHOOSE(CONTROL!$C$38, 0.0369, 0)</f>
        <v>76.018799999999999</v>
      </c>
      <c r="F941" s="45">
        <f>75.9819 * CHOOSE(CONTROL!$C$15, $E$9, 100%, $G$9) + CHOOSE(CONTROL!$C$38, 0.0278, 0)</f>
        <v>76.009699999999995</v>
      </c>
      <c r="G941" s="14">
        <f>72.0266 * CHOOSE(CONTROL!$C$15, $E$9, 100%, $G$9) + CHOOSE(CONTROL!$C$38, 0.0369, 0)</f>
        <v>72.063500000000005</v>
      </c>
      <c r="H941" s="14">
        <f>72.0266 * CHOOSE(CONTROL!$C$15, $E$9, 100%, $G$9) + CHOOSE(CONTROL!$C$38, 0.0369, 0)</f>
        <v>72.063500000000005</v>
      </c>
      <c r="I941" s="14">
        <f>72.0282 * CHOOSE(CONTROL!$C$15, $E$9, 100%, $G$9) + CHOOSE(CONTROL!$C$38, 0.0369, 0)</f>
        <v>72.065100000000001</v>
      </c>
      <c r="J941" s="44">
        <f>723.5612</f>
        <v>723.56119999999999</v>
      </c>
    </row>
    <row r="942" spans="1:10" ht="15.75" x14ac:dyDescent="0.25">
      <c r="A942" s="32">
        <v>69610</v>
      </c>
      <c r="B942" s="14">
        <f>75.785 * CHOOSE(CONTROL!$C$15, $E$9, 100%, $G$9) + CHOOSE(CONTROL!$C$38, 0.0278, 0)</f>
        <v>75.812799999999996</v>
      </c>
      <c r="C942" s="14">
        <f>71.6935 * CHOOSE(CONTROL!$C$15, $E$9, 100%, $G$9) + CHOOSE(CONTROL!$C$38, 0.0369, 0)</f>
        <v>71.730400000000003</v>
      </c>
      <c r="D942" s="14">
        <f>71.6856 * CHOOSE(CONTROL!$C$15, $E$9, 100%, $G$9) + CHOOSE(CONTROL!$C$38, 0.0369, 0)</f>
        <v>71.722499999999997</v>
      </c>
      <c r="E942" s="46">
        <f>75.6288 * CHOOSE(CONTROL!$C$15, $E$9, 100%, $G$9) + CHOOSE(CONTROL!$C$38, 0.0369, 0)</f>
        <v>75.665700000000001</v>
      </c>
      <c r="F942" s="45">
        <f>75.6288 * CHOOSE(CONTROL!$C$15, $E$9, 100%, $G$9) + CHOOSE(CONTROL!$C$38, 0.0278, 0)</f>
        <v>75.656599999999997</v>
      </c>
      <c r="G942" s="14">
        <f>71.6919 * CHOOSE(CONTROL!$C$15, $E$9, 100%, $G$9) + CHOOSE(CONTROL!$C$38, 0.0369, 0)</f>
        <v>71.728800000000007</v>
      </c>
      <c r="H942" s="14">
        <f>71.6919 * CHOOSE(CONTROL!$C$15, $E$9, 100%, $G$9) + CHOOSE(CONTROL!$C$38, 0.0369, 0)</f>
        <v>71.728800000000007</v>
      </c>
      <c r="I942" s="14">
        <f>71.6935 * CHOOSE(CONTROL!$C$15, $E$9, 100%, $G$9) + CHOOSE(CONTROL!$C$38, 0.0369, 0)</f>
        <v>71.730400000000003</v>
      </c>
      <c r="J942" s="44">
        <f>720.1773</f>
        <v>720.17729999999995</v>
      </c>
    </row>
    <row r="943" spans="1:10" ht="15.75" x14ac:dyDescent="0.25">
      <c r="A943" s="32">
        <v>69641</v>
      </c>
      <c r="B943" s="14">
        <f>74.0351 * CHOOSE(CONTROL!$C$15, $E$9, 100%, $G$9) + CHOOSE(CONTROL!$C$38, 0.0278, 0)</f>
        <v>74.062899999999999</v>
      </c>
      <c r="C943" s="14">
        <f>70.0352 * CHOOSE(CONTROL!$C$15, $E$9, 100%, $G$9) + CHOOSE(CONTROL!$C$38, 0.0369, 0)</f>
        <v>70.072100000000006</v>
      </c>
      <c r="D943" s="14">
        <f>70.0274 * CHOOSE(CONTROL!$C$15, $E$9, 100%, $G$9) + CHOOSE(CONTROL!$C$38, 0.0369, 0)</f>
        <v>70.064300000000003</v>
      </c>
      <c r="E943" s="46">
        <f>73.8789 * CHOOSE(CONTROL!$C$15, $E$9, 100%, $G$9) + CHOOSE(CONTROL!$C$38, 0.0369, 0)</f>
        <v>73.915800000000004</v>
      </c>
      <c r="F943" s="45">
        <f>73.8789 * CHOOSE(CONTROL!$C$15, $E$9, 100%, $G$9) + CHOOSE(CONTROL!$C$38, 0.0278, 0)</f>
        <v>73.906700000000001</v>
      </c>
      <c r="G943" s="14">
        <f>70.0336 * CHOOSE(CONTROL!$C$15, $E$9, 100%, $G$9) + CHOOSE(CONTROL!$C$38, 0.0369, 0)</f>
        <v>70.07050000000001</v>
      </c>
      <c r="H943" s="14">
        <f>70.0336 * CHOOSE(CONTROL!$C$15, $E$9, 100%, $G$9) + CHOOSE(CONTROL!$C$38, 0.0369, 0)</f>
        <v>70.07050000000001</v>
      </c>
      <c r="I943" s="14">
        <f>70.0352 * CHOOSE(CONTROL!$C$15, $E$9, 100%, $G$9) + CHOOSE(CONTROL!$C$38, 0.0369, 0)</f>
        <v>70.072100000000006</v>
      </c>
      <c r="J943" s="44">
        <f>703.4119</f>
        <v>703.41189999999995</v>
      </c>
    </row>
    <row r="944" spans="1:10" ht="15.75" x14ac:dyDescent="0.25">
      <c r="A944" s="32">
        <v>69671</v>
      </c>
      <c r="B944" s="14">
        <f>71.5948 * CHOOSE(CONTROL!$C$15, $E$9, 100%, $G$9) + CHOOSE(CONTROL!$C$38, 0.0278, 0)</f>
        <v>71.622600000000006</v>
      </c>
      <c r="C944" s="14">
        <f>67.7227 * CHOOSE(CONTROL!$C$15, $E$9, 100%, $G$9) + CHOOSE(CONTROL!$C$38, 0.0369, 0)</f>
        <v>67.759600000000006</v>
      </c>
      <c r="D944" s="14">
        <f>67.7149 * CHOOSE(CONTROL!$C$15, $E$9, 100%, $G$9) + CHOOSE(CONTROL!$C$38, 0.0369, 0)</f>
        <v>67.751800000000003</v>
      </c>
      <c r="E944" s="46">
        <f>71.4386 * CHOOSE(CONTROL!$C$15, $E$9, 100%, $G$9) + CHOOSE(CONTROL!$C$38, 0.0369, 0)</f>
        <v>71.475499999999997</v>
      </c>
      <c r="F944" s="45">
        <f>71.4386 * CHOOSE(CONTROL!$C$15, $E$9, 100%, $G$9) + CHOOSE(CONTROL!$C$38, 0.0278, 0)</f>
        <v>71.466399999999993</v>
      </c>
      <c r="G944" s="14">
        <f>67.7211 * CHOOSE(CONTROL!$C$15, $E$9, 100%, $G$9) + CHOOSE(CONTROL!$C$38, 0.0369, 0)</f>
        <v>67.75800000000001</v>
      </c>
      <c r="H944" s="14">
        <f>67.7211 * CHOOSE(CONTROL!$C$15, $E$9, 100%, $G$9) + CHOOSE(CONTROL!$C$38, 0.0369, 0)</f>
        <v>67.75800000000001</v>
      </c>
      <c r="I944" s="14">
        <f>67.7227 * CHOOSE(CONTROL!$C$15, $E$9, 100%, $G$9) + CHOOSE(CONTROL!$C$38, 0.0369, 0)</f>
        <v>67.759600000000006</v>
      </c>
      <c r="J944" s="44">
        <f>680.0317</f>
        <v>680.0317</v>
      </c>
    </row>
    <row r="945" spans="1:10" ht="15.75" x14ac:dyDescent="0.25">
      <c r="A945" s="32">
        <v>69702</v>
      </c>
      <c r="B945" s="14">
        <f>69.1404 * CHOOSE(CONTROL!$C$15, $E$9, 100%, $G$9) + CHOOSE(CONTROL!$C$38, 0.0256, 0)</f>
        <v>69.165999999999997</v>
      </c>
      <c r="C945" s="14">
        <f>65.3967 * CHOOSE(CONTROL!$C$15, $E$9, 100%, $G$9) + CHOOSE(CONTROL!$C$38, 0.0347, 0)</f>
        <v>65.431399999999996</v>
      </c>
      <c r="D945" s="14">
        <f>65.3889 * CHOOSE(CONTROL!$C$15, $E$9, 100%, $G$9) + CHOOSE(CONTROL!$C$38, 0.0347, 0)</f>
        <v>65.423600000000008</v>
      </c>
      <c r="E945" s="46">
        <f>68.9841 * CHOOSE(CONTROL!$C$15, $E$9, 100%, $G$9) + CHOOSE(CONTROL!$C$38, 0.0347, 0)</f>
        <v>69.018799999999999</v>
      </c>
      <c r="F945" s="45">
        <f>68.9841 * CHOOSE(CONTROL!$C$15, $E$9, 100%, $G$9) + CHOOSE(CONTROL!$C$38, 0.0256, 0)</f>
        <v>69.009699999999995</v>
      </c>
      <c r="G945" s="14">
        <f>65.3951 * CHOOSE(CONTROL!$C$15, $E$9, 100%, $G$9) + CHOOSE(CONTROL!$C$38, 0.0347, 0)</f>
        <v>65.4298</v>
      </c>
      <c r="H945" s="14">
        <f>65.3951 * CHOOSE(CONTROL!$C$15, $E$9, 100%, $G$9) + CHOOSE(CONTROL!$C$38, 0.0347, 0)</f>
        <v>65.4298</v>
      </c>
      <c r="I945" s="14">
        <f>65.3967 * CHOOSE(CONTROL!$C$15, $E$9, 100%, $G$9) + CHOOSE(CONTROL!$C$38, 0.0347, 0)</f>
        <v>65.431399999999996</v>
      </c>
      <c r="J945" s="44">
        <f>656.5155</f>
        <v>656.51549999999997</v>
      </c>
    </row>
    <row r="946" spans="1:10" ht="15.75" x14ac:dyDescent="0.25">
      <c r="A946" s="32">
        <v>69732</v>
      </c>
      <c r="B946" s="14">
        <f>68.6521 * CHOOSE(CONTROL!$C$15, $E$9, 100%, $G$9) + CHOOSE(CONTROL!$C$38, 0.0256, 0)</f>
        <v>68.677700000000002</v>
      </c>
      <c r="C946" s="14">
        <f>64.934 * CHOOSE(CONTROL!$C$15, $E$9, 100%, $G$9) + CHOOSE(CONTROL!$C$38, 0.0347, 0)</f>
        <v>64.968699999999998</v>
      </c>
      <c r="D946" s="14">
        <f>64.9262 * CHOOSE(CONTROL!$C$15, $E$9, 100%, $G$9) + CHOOSE(CONTROL!$C$38, 0.0347, 0)</f>
        <v>64.960899999999995</v>
      </c>
      <c r="E946" s="46">
        <f>68.4959 * CHOOSE(CONTROL!$C$15, $E$9, 100%, $G$9) + CHOOSE(CONTROL!$C$38, 0.0347, 0)</f>
        <v>68.530600000000007</v>
      </c>
      <c r="F946" s="45">
        <f>68.4959 * CHOOSE(CONTROL!$C$15, $E$9, 100%, $G$9) + CHOOSE(CONTROL!$C$38, 0.0256, 0)</f>
        <v>68.521500000000003</v>
      </c>
      <c r="G946" s="14">
        <f>64.9324 * CHOOSE(CONTROL!$C$15, $E$9, 100%, $G$9) + CHOOSE(CONTROL!$C$38, 0.0347, 0)</f>
        <v>64.967100000000002</v>
      </c>
      <c r="H946" s="14">
        <f>64.9324 * CHOOSE(CONTROL!$C$15, $E$9, 100%, $G$9) + CHOOSE(CONTROL!$C$38, 0.0347, 0)</f>
        <v>64.967100000000002</v>
      </c>
      <c r="I946" s="14">
        <f>64.934 * CHOOSE(CONTROL!$C$15, $E$9, 100%, $G$9) + CHOOSE(CONTROL!$C$38, 0.0347, 0)</f>
        <v>64.968699999999998</v>
      </c>
      <c r="J946" s="44">
        <f>651.8377</f>
        <v>651.83770000000004</v>
      </c>
    </row>
    <row r="947" spans="1:10" ht="15.75" x14ac:dyDescent="0.25">
      <c r="A947" s="32">
        <v>69763</v>
      </c>
      <c r="B947" s="14">
        <f>66.6332 * CHOOSE(CONTROL!$C$15, $E$9, 100%, $G$9) + CHOOSE(CONTROL!$C$38, 0.0256, 0)</f>
        <v>66.658799999999999</v>
      </c>
      <c r="C947" s="14">
        <f>63.0208 * CHOOSE(CONTROL!$C$15, $E$9, 100%, $G$9) + CHOOSE(CONTROL!$C$38, 0.0347, 0)</f>
        <v>63.055500000000002</v>
      </c>
      <c r="D947" s="14">
        <f>63.0129 * CHOOSE(CONTROL!$C$15, $E$9, 100%, $G$9) + CHOOSE(CONTROL!$C$38, 0.0347, 0)</f>
        <v>63.047600000000003</v>
      </c>
      <c r="E947" s="46">
        <f>66.4769 * CHOOSE(CONTROL!$C$15, $E$9, 100%, $G$9) + CHOOSE(CONTROL!$C$38, 0.0347, 0)</f>
        <v>66.511600000000001</v>
      </c>
      <c r="F947" s="45">
        <f>66.4769 * CHOOSE(CONTROL!$C$15, $E$9, 100%, $G$9) + CHOOSE(CONTROL!$C$38, 0.0256, 0)</f>
        <v>66.502499999999998</v>
      </c>
      <c r="G947" s="14">
        <f>63.0192 * CHOOSE(CONTROL!$C$15, $E$9, 100%, $G$9) + CHOOSE(CONTROL!$C$38, 0.0347, 0)</f>
        <v>63.053899999999999</v>
      </c>
      <c r="H947" s="14">
        <f>63.0192 * CHOOSE(CONTROL!$C$15, $E$9, 100%, $G$9) + CHOOSE(CONTROL!$C$38, 0.0347, 0)</f>
        <v>63.053899999999999</v>
      </c>
      <c r="I947" s="14">
        <f>63.0208 * CHOOSE(CONTROL!$C$15, $E$9, 100%, $G$9) + CHOOSE(CONTROL!$C$38, 0.0347, 0)</f>
        <v>63.055500000000002</v>
      </c>
      <c r="J947" s="44">
        <f>632.4943</f>
        <v>632.49429999999995</v>
      </c>
    </row>
    <row r="948" spans="1:10" ht="15.75" x14ac:dyDescent="0.25">
      <c r="A948" s="32">
        <v>69794</v>
      </c>
      <c r="B948" s="14">
        <f>66.1318 * CHOOSE(CONTROL!$C$15, $E$9, 100%, $G$9) + CHOOSE(CONTROL!$C$38, 0.0256, 0)</f>
        <v>66.157399999999996</v>
      </c>
      <c r="C948" s="14">
        <f>62.5456 * CHOOSE(CONTROL!$C$15, $E$9, 100%, $G$9) + CHOOSE(CONTROL!$C$38, 0.0347, 0)</f>
        <v>62.580300000000001</v>
      </c>
      <c r="D948" s="14">
        <f>62.5378 * CHOOSE(CONTROL!$C$15, $E$9, 100%, $G$9) + CHOOSE(CONTROL!$C$38, 0.0347, 0)</f>
        <v>62.572499999999998</v>
      </c>
      <c r="E948" s="46">
        <f>65.9755 * CHOOSE(CONTROL!$C$15, $E$9, 100%, $G$9) + CHOOSE(CONTROL!$C$38, 0.0347, 0)</f>
        <v>66.010199999999998</v>
      </c>
      <c r="F948" s="45">
        <f>65.9755 * CHOOSE(CONTROL!$C$15, $E$9, 100%, $G$9) + CHOOSE(CONTROL!$C$38, 0.0256, 0)</f>
        <v>66.001099999999994</v>
      </c>
      <c r="G948" s="14">
        <f>62.5441 * CHOOSE(CONTROL!$C$15, $E$9, 100%, $G$9) + CHOOSE(CONTROL!$C$38, 0.0347, 0)</f>
        <v>62.578800000000001</v>
      </c>
      <c r="H948" s="14">
        <f>62.5441 * CHOOSE(CONTROL!$C$15, $E$9, 100%, $G$9) + CHOOSE(CONTROL!$C$38, 0.0347, 0)</f>
        <v>62.578800000000001</v>
      </c>
      <c r="I948" s="14">
        <f>62.5456 * CHOOSE(CONTROL!$C$15, $E$9, 100%, $G$9) + CHOOSE(CONTROL!$C$38, 0.0347, 0)</f>
        <v>62.580300000000001</v>
      </c>
      <c r="J948" s="44">
        <f>631.6787</f>
        <v>631.67870000000005</v>
      </c>
    </row>
    <row r="949" spans="1:10" ht="15.75" x14ac:dyDescent="0.25">
      <c r="A949" s="32">
        <v>69822</v>
      </c>
      <c r="B949" s="14">
        <f>65.9497 * CHOOSE(CONTROL!$C$15, $E$9, 100%, $G$9) + CHOOSE(CONTROL!$C$38, 0.0256, 0)</f>
        <v>65.975300000000004</v>
      </c>
      <c r="C949" s="14">
        <f>62.3731 * CHOOSE(CONTROL!$C$15, $E$9, 100%, $G$9) + CHOOSE(CONTROL!$C$38, 0.0347, 0)</f>
        <v>62.407800000000002</v>
      </c>
      <c r="D949" s="14">
        <f>62.3652 * CHOOSE(CONTROL!$C$15, $E$9, 100%, $G$9) + CHOOSE(CONTROL!$C$38, 0.0347, 0)</f>
        <v>62.399900000000002</v>
      </c>
      <c r="E949" s="46">
        <f>65.7934 * CHOOSE(CONTROL!$C$15, $E$9, 100%, $G$9) + CHOOSE(CONTROL!$C$38, 0.0347, 0)</f>
        <v>65.828100000000006</v>
      </c>
      <c r="F949" s="45">
        <f>65.7934 * CHOOSE(CONTROL!$C$15, $E$9, 100%, $G$9) + CHOOSE(CONTROL!$C$38, 0.0256, 0)</f>
        <v>65.819000000000003</v>
      </c>
      <c r="G949" s="14">
        <f>62.3715 * CHOOSE(CONTROL!$C$15, $E$9, 100%, $G$9) + CHOOSE(CONTROL!$C$38, 0.0347, 0)</f>
        <v>62.406199999999998</v>
      </c>
      <c r="H949" s="14">
        <f>62.3715 * CHOOSE(CONTROL!$C$15, $E$9, 100%, $G$9) + CHOOSE(CONTROL!$C$38, 0.0347, 0)</f>
        <v>62.406199999999998</v>
      </c>
      <c r="I949" s="14">
        <f>62.3731 * CHOOSE(CONTROL!$C$15, $E$9, 100%, $G$9) + CHOOSE(CONTROL!$C$38, 0.0347, 0)</f>
        <v>62.407800000000002</v>
      </c>
      <c r="J949" s="44">
        <f>629.9229</f>
        <v>629.92290000000003</v>
      </c>
    </row>
    <row r="950" spans="1:10" ht="15.75" x14ac:dyDescent="0.25">
      <c r="A950" s="32">
        <v>69853</v>
      </c>
      <c r="B950" s="14">
        <f>69.3931 * CHOOSE(CONTROL!$C$15, $E$9, 100%, $G$9) + CHOOSE(CONTROL!$C$38, 0.0256, 0)</f>
        <v>69.418700000000001</v>
      </c>
      <c r="C950" s="14">
        <f>65.6362 * CHOOSE(CONTROL!$C$15, $E$9, 100%, $G$9) + CHOOSE(CONTROL!$C$38, 0.0347, 0)</f>
        <v>65.670900000000003</v>
      </c>
      <c r="D950" s="14">
        <f>65.6284 * CHOOSE(CONTROL!$C$15, $E$9, 100%, $G$9) + CHOOSE(CONTROL!$C$38, 0.0347, 0)</f>
        <v>65.6631</v>
      </c>
      <c r="E950" s="46">
        <f>69.2368 * CHOOSE(CONTROL!$C$15, $E$9, 100%, $G$9) + CHOOSE(CONTROL!$C$38, 0.0347, 0)</f>
        <v>69.271500000000003</v>
      </c>
      <c r="F950" s="45">
        <f>69.2368 * CHOOSE(CONTROL!$C$15, $E$9, 100%, $G$9) + CHOOSE(CONTROL!$C$38, 0.0256, 0)</f>
        <v>69.2624</v>
      </c>
      <c r="G950" s="14">
        <f>65.6346 * CHOOSE(CONTROL!$C$15, $E$9, 100%, $G$9) + CHOOSE(CONTROL!$C$38, 0.0347, 0)</f>
        <v>65.669300000000007</v>
      </c>
      <c r="H950" s="14">
        <f>65.6346 * CHOOSE(CONTROL!$C$15, $E$9, 100%, $G$9) + CHOOSE(CONTROL!$C$38, 0.0347, 0)</f>
        <v>65.669300000000007</v>
      </c>
      <c r="I950" s="14">
        <f>65.6362 * CHOOSE(CONTROL!$C$15, $E$9, 100%, $G$9) + CHOOSE(CONTROL!$C$38, 0.0347, 0)</f>
        <v>65.670900000000003</v>
      </c>
      <c r="J950" s="44">
        <f>663.1235</f>
        <v>663.12350000000004</v>
      </c>
    </row>
    <row r="951" spans="1:10" ht="15.75" x14ac:dyDescent="0.25">
      <c r="A951" s="32">
        <v>69883</v>
      </c>
      <c r="B951" s="14">
        <f>73.8584 * CHOOSE(CONTROL!$C$15, $E$9, 100%, $G$9) + CHOOSE(CONTROL!$C$38, 0.0256, 0)</f>
        <v>73.884</v>
      </c>
      <c r="C951" s="14">
        <f>69.8677 * CHOOSE(CONTROL!$C$15, $E$9, 100%, $G$9) + CHOOSE(CONTROL!$C$38, 0.0347, 0)</f>
        <v>69.9024</v>
      </c>
      <c r="D951" s="14">
        <f>69.8599 * CHOOSE(CONTROL!$C$15, $E$9, 100%, $G$9) + CHOOSE(CONTROL!$C$38, 0.0347, 0)</f>
        <v>69.894599999999997</v>
      </c>
      <c r="E951" s="46">
        <f>73.7021 * CHOOSE(CONTROL!$C$15, $E$9, 100%, $G$9) + CHOOSE(CONTROL!$C$38, 0.0347, 0)</f>
        <v>73.736800000000002</v>
      </c>
      <c r="F951" s="45">
        <f>73.7021 * CHOOSE(CONTROL!$C$15, $E$9, 100%, $G$9) + CHOOSE(CONTROL!$C$38, 0.0256, 0)</f>
        <v>73.727699999999999</v>
      </c>
      <c r="G951" s="14">
        <f>69.8661 * CHOOSE(CONTROL!$C$15, $E$9, 100%, $G$9) + CHOOSE(CONTROL!$C$38, 0.0347, 0)</f>
        <v>69.900800000000004</v>
      </c>
      <c r="H951" s="14">
        <f>69.8661 * CHOOSE(CONTROL!$C$15, $E$9, 100%, $G$9) + CHOOSE(CONTROL!$C$38, 0.0347, 0)</f>
        <v>69.900800000000004</v>
      </c>
      <c r="I951" s="14">
        <f>69.8677 * CHOOSE(CONTROL!$C$15, $E$9, 100%, $G$9) + CHOOSE(CONTROL!$C$38, 0.0347, 0)</f>
        <v>69.9024</v>
      </c>
      <c r="J951" s="44">
        <f>706.1767</f>
        <v>706.17669999999998</v>
      </c>
    </row>
    <row r="952" spans="1:10" ht="15.75" x14ac:dyDescent="0.25">
      <c r="A952" s="32">
        <v>69914</v>
      </c>
      <c r="B952" s="14">
        <f>76.3162 * CHOOSE(CONTROL!$C$15, $E$9, 100%, $G$9) + CHOOSE(CONTROL!$C$38, 0.0278, 0)</f>
        <v>76.343999999999994</v>
      </c>
      <c r="C952" s="14">
        <f>72.1968 * CHOOSE(CONTROL!$C$15, $E$9, 100%, $G$9) + CHOOSE(CONTROL!$C$38, 0.0369, 0)</f>
        <v>72.233699999999999</v>
      </c>
      <c r="D952" s="14">
        <f>72.189 * CHOOSE(CONTROL!$C$15, $E$9, 100%, $G$9) + CHOOSE(CONTROL!$C$38, 0.0369, 0)</f>
        <v>72.225899999999996</v>
      </c>
      <c r="E952" s="46">
        <f>76.1599 * CHOOSE(CONTROL!$C$15, $E$9, 100%, $G$9) + CHOOSE(CONTROL!$C$38, 0.0369, 0)</f>
        <v>76.196799999999996</v>
      </c>
      <c r="F952" s="45">
        <f>76.1599 * CHOOSE(CONTROL!$C$15, $E$9, 100%, $G$9) + CHOOSE(CONTROL!$C$38, 0.0278, 0)</f>
        <v>76.187699999999992</v>
      </c>
      <c r="G952" s="14">
        <f>72.1953 * CHOOSE(CONTROL!$C$15, $E$9, 100%, $G$9) + CHOOSE(CONTROL!$C$38, 0.0369, 0)</f>
        <v>72.232200000000006</v>
      </c>
      <c r="H952" s="14">
        <f>72.1953 * CHOOSE(CONTROL!$C$15, $E$9, 100%, $G$9) + CHOOSE(CONTROL!$C$38, 0.0369, 0)</f>
        <v>72.232200000000006</v>
      </c>
      <c r="I952" s="14">
        <f>72.1968 * CHOOSE(CONTROL!$C$15, $E$9, 100%, $G$9) + CHOOSE(CONTROL!$C$38, 0.0369, 0)</f>
        <v>72.233699999999999</v>
      </c>
      <c r="J952" s="44">
        <f>729.8746</f>
        <v>729.87459999999999</v>
      </c>
    </row>
    <row r="953" spans="1:10" ht="15.75" x14ac:dyDescent="0.25">
      <c r="A953" s="32">
        <v>69944</v>
      </c>
      <c r="B953" s="14">
        <f>77.4069 * CHOOSE(CONTROL!$C$15, $E$9, 100%, $G$9) + CHOOSE(CONTROL!$C$38, 0.0278, 0)</f>
        <v>77.434699999999992</v>
      </c>
      <c r="C953" s="14">
        <f>73.2305 * CHOOSE(CONTROL!$C$15, $E$9, 100%, $G$9) + CHOOSE(CONTROL!$C$38, 0.0369, 0)</f>
        <v>73.267400000000009</v>
      </c>
      <c r="D953" s="14">
        <f>73.2227 * CHOOSE(CONTROL!$C$15, $E$9, 100%, $G$9) + CHOOSE(CONTROL!$C$38, 0.0369, 0)</f>
        <v>73.259600000000006</v>
      </c>
      <c r="E953" s="46">
        <f>77.2507 * CHOOSE(CONTROL!$C$15, $E$9, 100%, $G$9) + CHOOSE(CONTROL!$C$38, 0.0369, 0)</f>
        <v>77.287599999999998</v>
      </c>
      <c r="F953" s="45">
        <f>77.2507 * CHOOSE(CONTROL!$C$15, $E$9, 100%, $G$9) + CHOOSE(CONTROL!$C$38, 0.0278, 0)</f>
        <v>77.278499999999994</v>
      </c>
      <c r="G953" s="14">
        <f>73.2289 * CHOOSE(CONTROL!$C$15, $E$9, 100%, $G$9) + CHOOSE(CONTROL!$C$38, 0.0369, 0)</f>
        <v>73.265799999999999</v>
      </c>
      <c r="H953" s="14">
        <f>73.2289 * CHOOSE(CONTROL!$C$15, $E$9, 100%, $G$9) + CHOOSE(CONTROL!$C$38, 0.0369, 0)</f>
        <v>73.265799999999999</v>
      </c>
      <c r="I953" s="14">
        <f>73.2305 * CHOOSE(CONTROL!$C$15, $E$9, 100%, $G$9) + CHOOSE(CONTROL!$C$38, 0.0369, 0)</f>
        <v>73.267400000000009</v>
      </c>
      <c r="J953" s="44">
        <f>740.3913</f>
        <v>740.3913</v>
      </c>
    </row>
    <row r="954" spans="1:10" ht="15.75" x14ac:dyDescent="0.25">
      <c r="A954" s="32">
        <v>69975</v>
      </c>
      <c r="B954" s="14">
        <f>77.0478 * CHOOSE(CONTROL!$C$15, $E$9, 100%, $G$9) + CHOOSE(CONTROL!$C$38, 0.0278, 0)</f>
        <v>77.075599999999994</v>
      </c>
      <c r="C954" s="14">
        <f>72.8901 * CHOOSE(CONTROL!$C$15, $E$9, 100%, $G$9) + CHOOSE(CONTROL!$C$38, 0.0369, 0)</f>
        <v>72.927000000000007</v>
      </c>
      <c r="D954" s="14">
        <f>72.8823 * CHOOSE(CONTROL!$C$15, $E$9, 100%, $G$9) + CHOOSE(CONTROL!$C$38, 0.0369, 0)</f>
        <v>72.919200000000004</v>
      </c>
      <c r="E954" s="46">
        <f>76.8916 * CHOOSE(CONTROL!$C$15, $E$9, 100%, $G$9) + CHOOSE(CONTROL!$C$38, 0.0369, 0)</f>
        <v>76.9285</v>
      </c>
      <c r="F954" s="45">
        <f>76.8916 * CHOOSE(CONTROL!$C$15, $E$9, 100%, $G$9) + CHOOSE(CONTROL!$C$38, 0.0278, 0)</f>
        <v>76.919399999999996</v>
      </c>
      <c r="G954" s="14">
        <f>72.8886 * CHOOSE(CONTROL!$C$15, $E$9, 100%, $G$9) + CHOOSE(CONTROL!$C$38, 0.0369, 0)</f>
        <v>72.9255</v>
      </c>
      <c r="H954" s="14">
        <f>72.8886 * CHOOSE(CONTROL!$C$15, $E$9, 100%, $G$9) + CHOOSE(CONTROL!$C$38, 0.0369, 0)</f>
        <v>72.9255</v>
      </c>
      <c r="I954" s="14">
        <f>72.8901 * CHOOSE(CONTROL!$C$15, $E$9, 100%, $G$9) + CHOOSE(CONTROL!$C$38, 0.0369, 0)</f>
        <v>72.927000000000007</v>
      </c>
      <c r="J954" s="44">
        <f>736.9287</f>
        <v>736.92870000000005</v>
      </c>
    </row>
    <row r="955" spans="1:10" ht="15.75" x14ac:dyDescent="0.25">
      <c r="A955" s="32">
        <v>70006</v>
      </c>
      <c r="B955" s="14">
        <f>75.2685 * CHOOSE(CONTROL!$C$15, $E$9, 100%, $G$9) + CHOOSE(CONTROL!$C$38, 0.0278, 0)</f>
        <v>75.296300000000002</v>
      </c>
      <c r="C955" s="14">
        <f>71.204 * CHOOSE(CONTROL!$C$15, $E$9, 100%, $G$9) + CHOOSE(CONTROL!$C$38, 0.0369, 0)</f>
        <v>71.240899999999996</v>
      </c>
      <c r="D955" s="14">
        <f>71.1962 * CHOOSE(CONTROL!$C$15, $E$9, 100%, $G$9) + CHOOSE(CONTROL!$C$38, 0.0369, 0)</f>
        <v>71.233100000000007</v>
      </c>
      <c r="E955" s="46">
        <f>75.1123 * CHOOSE(CONTROL!$C$15, $E$9, 100%, $G$9) + CHOOSE(CONTROL!$C$38, 0.0369, 0)</f>
        <v>75.149200000000008</v>
      </c>
      <c r="F955" s="45">
        <f>75.1123 * CHOOSE(CONTROL!$C$15, $E$9, 100%, $G$9) + CHOOSE(CONTROL!$C$38, 0.0278, 0)</f>
        <v>75.140100000000004</v>
      </c>
      <c r="G955" s="14">
        <f>71.2025 * CHOOSE(CONTROL!$C$15, $E$9, 100%, $G$9) + CHOOSE(CONTROL!$C$38, 0.0369, 0)</f>
        <v>71.239400000000003</v>
      </c>
      <c r="H955" s="14">
        <f>71.2025 * CHOOSE(CONTROL!$C$15, $E$9, 100%, $G$9) + CHOOSE(CONTROL!$C$38, 0.0369, 0)</f>
        <v>71.239400000000003</v>
      </c>
      <c r="I955" s="14">
        <f>71.204 * CHOOSE(CONTROL!$C$15, $E$9, 100%, $G$9) + CHOOSE(CONTROL!$C$38, 0.0369, 0)</f>
        <v>71.240899999999996</v>
      </c>
      <c r="J955" s="44">
        <f>719.7733</f>
        <v>719.77329999999995</v>
      </c>
    </row>
    <row r="956" spans="1:10" ht="15.75" x14ac:dyDescent="0.25">
      <c r="A956" s="32">
        <v>70036</v>
      </c>
      <c r="B956" s="14">
        <f>72.7873 * CHOOSE(CONTROL!$C$15, $E$9, 100%, $G$9) + CHOOSE(CONTROL!$C$38, 0.0278, 0)</f>
        <v>72.815100000000001</v>
      </c>
      <c r="C956" s="14">
        <f>68.8526 * CHOOSE(CONTROL!$C$15, $E$9, 100%, $G$9) + CHOOSE(CONTROL!$C$38, 0.0369, 0)</f>
        <v>68.889499999999998</v>
      </c>
      <c r="D956" s="14">
        <f>68.8448 * CHOOSE(CONTROL!$C$15, $E$9, 100%, $G$9) + CHOOSE(CONTROL!$C$38, 0.0369, 0)</f>
        <v>68.881700000000009</v>
      </c>
      <c r="E956" s="46">
        <f>72.631 * CHOOSE(CONTROL!$C$15, $E$9, 100%, $G$9) + CHOOSE(CONTROL!$C$38, 0.0369, 0)</f>
        <v>72.667900000000003</v>
      </c>
      <c r="F956" s="45">
        <f>72.631 * CHOOSE(CONTROL!$C$15, $E$9, 100%, $G$9) + CHOOSE(CONTROL!$C$38, 0.0278, 0)</f>
        <v>72.658799999999999</v>
      </c>
      <c r="G956" s="14">
        <f>68.8511 * CHOOSE(CONTROL!$C$15, $E$9, 100%, $G$9) + CHOOSE(CONTROL!$C$38, 0.0369, 0)</f>
        <v>68.888000000000005</v>
      </c>
      <c r="H956" s="14">
        <f>68.8511 * CHOOSE(CONTROL!$C$15, $E$9, 100%, $G$9) + CHOOSE(CONTROL!$C$38, 0.0369, 0)</f>
        <v>68.888000000000005</v>
      </c>
      <c r="I956" s="14">
        <f>68.8526 * CHOOSE(CONTROL!$C$15, $E$9, 100%, $G$9) + CHOOSE(CONTROL!$C$38, 0.0369, 0)</f>
        <v>68.889499999999998</v>
      </c>
      <c r="J956" s="44">
        <f>695.8493</f>
        <v>695.84929999999997</v>
      </c>
    </row>
    <row r="957" spans="1:10" ht="15.75" x14ac:dyDescent="0.25">
      <c r="A957" s="32">
        <v>70067</v>
      </c>
      <c r="B957" s="14">
        <f>70.2915 * CHOOSE(CONTROL!$C$15, $E$9, 100%, $G$9) + CHOOSE(CONTROL!$C$38, 0.0256, 0)</f>
        <v>70.317099999999996</v>
      </c>
      <c r="C957" s="14">
        <f>66.4876 * CHOOSE(CONTROL!$C$15, $E$9, 100%, $G$9) + CHOOSE(CONTROL!$C$38, 0.0347, 0)</f>
        <v>66.522300000000001</v>
      </c>
      <c r="D957" s="14">
        <f>66.4798 * CHOOSE(CONTROL!$C$15, $E$9, 100%, $G$9) + CHOOSE(CONTROL!$C$38, 0.0347, 0)</f>
        <v>66.514499999999998</v>
      </c>
      <c r="E957" s="46">
        <f>70.1353 * CHOOSE(CONTROL!$C$15, $E$9, 100%, $G$9) + CHOOSE(CONTROL!$C$38, 0.0347, 0)</f>
        <v>70.17</v>
      </c>
      <c r="F957" s="45">
        <f>70.1353 * CHOOSE(CONTROL!$C$15, $E$9, 100%, $G$9) + CHOOSE(CONTROL!$C$38, 0.0256, 0)</f>
        <v>70.160899999999998</v>
      </c>
      <c r="G957" s="14">
        <f>66.486 * CHOOSE(CONTROL!$C$15, $E$9, 100%, $G$9) + CHOOSE(CONTROL!$C$38, 0.0347, 0)</f>
        <v>66.520700000000005</v>
      </c>
      <c r="H957" s="14">
        <f>66.486 * CHOOSE(CONTROL!$C$15, $E$9, 100%, $G$9) + CHOOSE(CONTROL!$C$38, 0.0347, 0)</f>
        <v>66.520700000000005</v>
      </c>
      <c r="I957" s="14">
        <f>66.4876 * CHOOSE(CONTROL!$C$15, $E$9, 100%, $G$9) + CHOOSE(CONTROL!$C$38, 0.0347, 0)</f>
        <v>66.522300000000001</v>
      </c>
      <c r="J957" s="44">
        <f>671.7861</f>
        <v>671.78610000000003</v>
      </c>
    </row>
    <row r="958" spans="1:10" ht="15.75" x14ac:dyDescent="0.25">
      <c r="A958" s="32">
        <v>70097</v>
      </c>
      <c r="B958" s="14">
        <f>69.7951 * CHOOSE(CONTROL!$C$15, $E$9, 100%, $G$9) + CHOOSE(CONTROL!$C$38, 0.0256, 0)</f>
        <v>69.820700000000002</v>
      </c>
      <c r="C958" s="14">
        <f>66.0171 * CHOOSE(CONTROL!$C$15, $E$9, 100%, $G$9) + CHOOSE(CONTROL!$C$38, 0.0347, 0)</f>
        <v>66.0518</v>
      </c>
      <c r="D958" s="14">
        <f>66.0093 * CHOOSE(CONTROL!$C$15, $E$9, 100%, $G$9) + CHOOSE(CONTROL!$C$38, 0.0347, 0)</f>
        <v>66.043999999999997</v>
      </c>
      <c r="E958" s="46">
        <f>69.6388 * CHOOSE(CONTROL!$C$15, $E$9, 100%, $G$9) + CHOOSE(CONTROL!$C$38, 0.0347, 0)</f>
        <v>69.673500000000004</v>
      </c>
      <c r="F958" s="45">
        <f>69.6388 * CHOOSE(CONTROL!$C$15, $E$9, 100%, $G$9) + CHOOSE(CONTROL!$C$38, 0.0256, 0)</f>
        <v>69.664400000000001</v>
      </c>
      <c r="G958" s="14">
        <f>66.0156 * CHOOSE(CONTROL!$C$15, $E$9, 100%, $G$9) + CHOOSE(CONTROL!$C$38, 0.0347, 0)</f>
        <v>66.050300000000007</v>
      </c>
      <c r="H958" s="14">
        <f>66.0156 * CHOOSE(CONTROL!$C$15, $E$9, 100%, $G$9) + CHOOSE(CONTROL!$C$38, 0.0347, 0)</f>
        <v>66.050300000000007</v>
      </c>
      <c r="I958" s="14">
        <f>66.0171 * CHOOSE(CONTROL!$C$15, $E$9, 100%, $G$9) + CHOOSE(CONTROL!$C$38, 0.0347, 0)</f>
        <v>66.0518</v>
      </c>
      <c r="J958" s="44">
        <f>666.9994</f>
        <v>666.99940000000004</v>
      </c>
    </row>
    <row r="959" spans="1:10" ht="15.75" x14ac:dyDescent="0.25">
      <c r="A959" s="32">
        <v>70128</v>
      </c>
      <c r="B959" s="14">
        <f>67.7422 * CHOOSE(CONTROL!$C$15, $E$9, 100%, $G$9) + CHOOSE(CONTROL!$C$38, 0.0256, 0)</f>
        <v>67.767799999999994</v>
      </c>
      <c r="C959" s="14">
        <f>64.0717 * CHOOSE(CONTROL!$C$15, $E$9, 100%, $G$9) + CHOOSE(CONTROL!$C$38, 0.0347, 0)</f>
        <v>64.106400000000008</v>
      </c>
      <c r="D959" s="14">
        <f>64.0639 * CHOOSE(CONTROL!$C$15, $E$9, 100%, $G$9) + CHOOSE(CONTROL!$C$38, 0.0347, 0)</f>
        <v>64.098600000000005</v>
      </c>
      <c r="E959" s="46">
        <f>67.586 * CHOOSE(CONTROL!$C$15, $E$9, 100%, $G$9) + CHOOSE(CONTROL!$C$38, 0.0347, 0)</f>
        <v>67.620699999999999</v>
      </c>
      <c r="F959" s="45">
        <f>67.586 * CHOOSE(CONTROL!$C$15, $E$9, 100%, $G$9) + CHOOSE(CONTROL!$C$38, 0.0256, 0)</f>
        <v>67.611599999999996</v>
      </c>
      <c r="G959" s="14">
        <f>64.0702 * CHOOSE(CONTROL!$C$15, $E$9, 100%, $G$9) + CHOOSE(CONTROL!$C$38, 0.0347, 0)</f>
        <v>64.104900000000001</v>
      </c>
      <c r="H959" s="14">
        <f>64.0702 * CHOOSE(CONTROL!$C$15, $E$9, 100%, $G$9) + CHOOSE(CONTROL!$C$38, 0.0347, 0)</f>
        <v>64.104900000000001</v>
      </c>
      <c r="I959" s="14">
        <f>64.0717 * CHOOSE(CONTROL!$C$15, $E$9, 100%, $G$9) + CHOOSE(CONTROL!$C$38, 0.0347, 0)</f>
        <v>64.106400000000008</v>
      </c>
      <c r="J959" s="44">
        <f>647.2062</f>
        <v>647.20619999999997</v>
      </c>
    </row>
    <row r="960" spans="1:10" ht="15.75" x14ac:dyDescent="0.25">
      <c r="A960" s="32">
        <v>70159</v>
      </c>
      <c r="B960" s="14">
        <f>67.2324 * CHOOSE(CONTROL!$C$15, $E$9, 100%, $G$9) + CHOOSE(CONTROL!$C$38, 0.0256, 0)</f>
        <v>67.257999999999996</v>
      </c>
      <c r="C960" s="14">
        <f>63.5886 * CHOOSE(CONTROL!$C$15, $E$9, 100%, $G$9) + CHOOSE(CONTROL!$C$38, 0.0347, 0)</f>
        <v>63.6233</v>
      </c>
      <c r="D960" s="14">
        <f>63.5808 * CHOOSE(CONTROL!$C$15, $E$9, 100%, $G$9) + CHOOSE(CONTROL!$C$38, 0.0347, 0)</f>
        <v>63.615500000000004</v>
      </c>
      <c r="E960" s="46">
        <f>67.0762 * CHOOSE(CONTROL!$C$15, $E$9, 100%, $G$9) + CHOOSE(CONTROL!$C$38, 0.0347, 0)</f>
        <v>67.110900000000001</v>
      </c>
      <c r="F960" s="45">
        <f>67.0762 * CHOOSE(CONTROL!$C$15, $E$9, 100%, $G$9) + CHOOSE(CONTROL!$C$38, 0.0256, 0)</f>
        <v>67.101799999999997</v>
      </c>
      <c r="G960" s="14">
        <f>63.5871 * CHOOSE(CONTROL!$C$15, $E$9, 100%, $G$9) + CHOOSE(CONTROL!$C$38, 0.0347, 0)</f>
        <v>63.6218</v>
      </c>
      <c r="H960" s="14">
        <f>63.5871 * CHOOSE(CONTROL!$C$15, $E$9, 100%, $G$9) + CHOOSE(CONTROL!$C$38, 0.0347, 0)</f>
        <v>63.6218</v>
      </c>
      <c r="I960" s="14">
        <f>63.5886 * CHOOSE(CONTROL!$C$15, $E$9, 100%, $G$9) + CHOOSE(CONTROL!$C$38, 0.0347, 0)</f>
        <v>63.6233</v>
      </c>
      <c r="J960" s="44">
        <f>646.3716</f>
        <v>646.37159999999994</v>
      </c>
    </row>
    <row r="961" spans="1:10" ht="15.75" x14ac:dyDescent="0.25">
      <c r="A961" s="32">
        <v>70188</v>
      </c>
      <c r="B961" s="14">
        <f>67.0473 * CHOOSE(CONTROL!$C$15, $E$9, 100%, $G$9) + CHOOSE(CONTROL!$C$38, 0.0256, 0)</f>
        <v>67.072900000000004</v>
      </c>
      <c r="C961" s="14">
        <f>63.4132 * CHOOSE(CONTROL!$C$15, $E$9, 100%, $G$9) + CHOOSE(CONTROL!$C$38, 0.0347, 0)</f>
        <v>63.447900000000004</v>
      </c>
      <c r="D961" s="14">
        <f>63.4054 * CHOOSE(CONTROL!$C$15, $E$9, 100%, $G$9) + CHOOSE(CONTROL!$C$38, 0.0347, 0)</f>
        <v>63.440100000000001</v>
      </c>
      <c r="E961" s="46">
        <f>66.891 * CHOOSE(CONTROL!$C$15, $E$9, 100%, $G$9) + CHOOSE(CONTROL!$C$38, 0.0347, 0)</f>
        <v>66.925700000000006</v>
      </c>
      <c r="F961" s="45">
        <f>66.891 * CHOOSE(CONTROL!$C$15, $E$9, 100%, $G$9) + CHOOSE(CONTROL!$C$38, 0.0256, 0)</f>
        <v>66.916600000000003</v>
      </c>
      <c r="G961" s="14">
        <f>63.4116 * CHOOSE(CONTROL!$C$15, $E$9, 100%, $G$9) + CHOOSE(CONTROL!$C$38, 0.0347, 0)</f>
        <v>63.446300000000001</v>
      </c>
      <c r="H961" s="14">
        <f>63.4116 * CHOOSE(CONTROL!$C$15, $E$9, 100%, $G$9) + CHOOSE(CONTROL!$C$38, 0.0347, 0)</f>
        <v>63.446300000000001</v>
      </c>
      <c r="I961" s="14">
        <f>63.4132 * CHOOSE(CONTROL!$C$15, $E$9, 100%, $G$9) + CHOOSE(CONTROL!$C$38, 0.0347, 0)</f>
        <v>63.447900000000004</v>
      </c>
      <c r="J961" s="44">
        <f>644.5749</f>
        <v>644.57489999999996</v>
      </c>
    </row>
    <row r="962" spans="1:10" ht="15.75" x14ac:dyDescent="0.25">
      <c r="A962" s="32">
        <v>70219</v>
      </c>
      <c r="B962" s="14">
        <f>70.5485 * CHOOSE(CONTROL!$C$15, $E$9, 100%, $G$9) + CHOOSE(CONTROL!$C$38, 0.0256, 0)</f>
        <v>70.574100000000001</v>
      </c>
      <c r="C962" s="14">
        <f>66.7311 * CHOOSE(CONTROL!$C$15, $E$9, 100%, $G$9) + CHOOSE(CONTROL!$C$38, 0.0347, 0)</f>
        <v>66.765799999999999</v>
      </c>
      <c r="D962" s="14">
        <f>66.7233 * CHOOSE(CONTROL!$C$15, $E$9, 100%, $G$9) + CHOOSE(CONTROL!$C$38, 0.0347, 0)</f>
        <v>66.757999999999996</v>
      </c>
      <c r="E962" s="46">
        <f>70.3923 * CHOOSE(CONTROL!$C$15, $E$9, 100%, $G$9) + CHOOSE(CONTROL!$C$38, 0.0347, 0)</f>
        <v>70.427000000000007</v>
      </c>
      <c r="F962" s="45">
        <f>70.3923 * CHOOSE(CONTROL!$C$15, $E$9, 100%, $G$9) + CHOOSE(CONTROL!$C$38, 0.0256, 0)</f>
        <v>70.417900000000003</v>
      </c>
      <c r="G962" s="14">
        <f>66.7295 * CHOOSE(CONTROL!$C$15, $E$9, 100%, $G$9) + CHOOSE(CONTROL!$C$38, 0.0347, 0)</f>
        <v>66.764200000000002</v>
      </c>
      <c r="H962" s="14">
        <f>66.7295 * CHOOSE(CONTROL!$C$15, $E$9, 100%, $G$9) + CHOOSE(CONTROL!$C$38, 0.0347, 0)</f>
        <v>66.764200000000002</v>
      </c>
      <c r="I962" s="14">
        <f>66.7311 * CHOOSE(CONTROL!$C$15, $E$9, 100%, $G$9) + CHOOSE(CONTROL!$C$38, 0.0347, 0)</f>
        <v>66.765799999999999</v>
      </c>
      <c r="J962" s="44">
        <f>678.5477</f>
        <v>678.54769999999996</v>
      </c>
    </row>
    <row r="963" spans="1:10" ht="15.75" x14ac:dyDescent="0.25">
      <c r="A963" s="32">
        <v>70249</v>
      </c>
      <c r="B963" s="14">
        <f>75.0888 * CHOOSE(CONTROL!$C$15, $E$9, 100%, $G$9) + CHOOSE(CONTROL!$C$38, 0.0256, 0)</f>
        <v>75.114400000000003</v>
      </c>
      <c r="C963" s="14">
        <f>71.0337 * CHOOSE(CONTROL!$C$15, $E$9, 100%, $G$9) + CHOOSE(CONTROL!$C$38, 0.0347, 0)</f>
        <v>71.068399999999997</v>
      </c>
      <c r="D963" s="14">
        <f>71.0259 * CHOOSE(CONTROL!$C$15, $E$9, 100%, $G$9) + CHOOSE(CONTROL!$C$38, 0.0347, 0)</f>
        <v>71.060599999999994</v>
      </c>
      <c r="E963" s="46">
        <f>74.9325 * CHOOSE(CONTROL!$C$15, $E$9, 100%, $G$9) + CHOOSE(CONTROL!$C$38, 0.0347, 0)</f>
        <v>74.967200000000005</v>
      </c>
      <c r="F963" s="45">
        <f>74.9325 * CHOOSE(CONTROL!$C$15, $E$9, 100%, $G$9) + CHOOSE(CONTROL!$C$38, 0.0256, 0)</f>
        <v>74.958100000000002</v>
      </c>
      <c r="G963" s="14">
        <f>71.0321 * CHOOSE(CONTROL!$C$15, $E$9, 100%, $G$9) + CHOOSE(CONTROL!$C$38, 0.0347, 0)</f>
        <v>71.066800000000001</v>
      </c>
      <c r="H963" s="14">
        <f>71.0321 * CHOOSE(CONTROL!$C$15, $E$9, 100%, $G$9) + CHOOSE(CONTROL!$C$38, 0.0347, 0)</f>
        <v>71.066800000000001</v>
      </c>
      <c r="I963" s="14">
        <f>71.0337 * CHOOSE(CONTROL!$C$15, $E$9, 100%, $G$9) + CHOOSE(CONTROL!$C$38, 0.0347, 0)</f>
        <v>71.068399999999997</v>
      </c>
      <c r="J963" s="44">
        <f>722.6023</f>
        <v>722.60230000000001</v>
      </c>
    </row>
    <row r="964" spans="1:10" ht="15.75" x14ac:dyDescent="0.25">
      <c r="A964" s="32">
        <v>70280</v>
      </c>
      <c r="B964" s="14">
        <f>77.5879 * CHOOSE(CONTROL!$C$15, $E$9, 100%, $G$9) + CHOOSE(CONTROL!$C$38, 0.0278, 0)</f>
        <v>77.615700000000004</v>
      </c>
      <c r="C964" s="14">
        <f>73.402 * CHOOSE(CONTROL!$C$15, $E$9, 100%, $G$9) + CHOOSE(CONTROL!$C$38, 0.0369, 0)</f>
        <v>73.438900000000004</v>
      </c>
      <c r="D964" s="14">
        <f>73.3942 * CHOOSE(CONTROL!$C$15, $E$9, 100%, $G$9) + CHOOSE(CONTROL!$C$38, 0.0369, 0)</f>
        <v>73.431100000000001</v>
      </c>
      <c r="E964" s="46">
        <f>77.4317 * CHOOSE(CONTROL!$C$15, $E$9, 100%, $G$9) + CHOOSE(CONTROL!$C$38, 0.0369, 0)</f>
        <v>77.468600000000009</v>
      </c>
      <c r="F964" s="45">
        <f>77.4317 * CHOOSE(CONTROL!$C$15, $E$9, 100%, $G$9) + CHOOSE(CONTROL!$C$38, 0.0278, 0)</f>
        <v>77.459500000000006</v>
      </c>
      <c r="G964" s="14">
        <f>73.4004 * CHOOSE(CONTROL!$C$15, $E$9, 100%, $G$9) + CHOOSE(CONTROL!$C$38, 0.0369, 0)</f>
        <v>73.437300000000008</v>
      </c>
      <c r="H964" s="14">
        <f>73.4004 * CHOOSE(CONTROL!$C$15, $E$9, 100%, $G$9) + CHOOSE(CONTROL!$C$38, 0.0369, 0)</f>
        <v>73.437300000000008</v>
      </c>
      <c r="I964" s="14">
        <f>73.402 * CHOOSE(CONTROL!$C$15, $E$9, 100%, $G$9) + CHOOSE(CONTROL!$C$38, 0.0369, 0)</f>
        <v>73.438900000000004</v>
      </c>
      <c r="J964" s="44">
        <f>746.8514</f>
        <v>746.85140000000001</v>
      </c>
    </row>
    <row r="965" spans="1:10" ht="15.75" x14ac:dyDescent="0.25">
      <c r="A965" s="32">
        <v>70310</v>
      </c>
      <c r="B965" s="14">
        <f>78.697 * CHOOSE(CONTROL!$C$15, $E$9, 100%, $G$9) + CHOOSE(CONTROL!$C$38, 0.0278, 0)</f>
        <v>78.724800000000002</v>
      </c>
      <c r="C965" s="14">
        <f>74.453 * CHOOSE(CONTROL!$C$15, $E$9, 100%, $G$9) + CHOOSE(CONTROL!$C$38, 0.0369, 0)</f>
        <v>74.489900000000006</v>
      </c>
      <c r="D965" s="14">
        <f>74.4452 * CHOOSE(CONTROL!$C$15, $E$9, 100%, $G$9) + CHOOSE(CONTROL!$C$38, 0.0369, 0)</f>
        <v>74.482100000000003</v>
      </c>
      <c r="E965" s="46">
        <f>78.5407 * CHOOSE(CONTROL!$C$15, $E$9, 100%, $G$9) + CHOOSE(CONTROL!$C$38, 0.0369, 0)</f>
        <v>78.577600000000004</v>
      </c>
      <c r="F965" s="45">
        <f>78.5407 * CHOOSE(CONTROL!$C$15, $E$9, 100%, $G$9) + CHOOSE(CONTROL!$C$38, 0.0278, 0)</f>
        <v>78.5685</v>
      </c>
      <c r="G965" s="14">
        <f>74.4514 * CHOOSE(CONTROL!$C$15, $E$9, 100%, $G$9) + CHOOSE(CONTROL!$C$38, 0.0369, 0)</f>
        <v>74.48830000000001</v>
      </c>
      <c r="H965" s="14">
        <f>74.4514 * CHOOSE(CONTROL!$C$15, $E$9, 100%, $G$9) + CHOOSE(CONTROL!$C$38, 0.0369, 0)</f>
        <v>74.48830000000001</v>
      </c>
      <c r="I965" s="14">
        <f>74.453 * CHOOSE(CONTROL!$C$15, $E$9, 100%, $G$9) + CHOOSE(CONTROL!$C$38, 0.0369, 0)</f>
        <v>74.489900000000006</v>
      </c>
      <c r="J965" s="44">
        <f>757.6128</f>
        <v>757.61279999999999</v>
      </c>
    </row>
    <row r="966" spans="1:10" ht="15.75" x14ac:dyDescent="0.25">
      <c r="A966" s="32">
        <v>70341</v>
      </c>
      <c r="B966" s="14">
        <f>78.3318 * CHOOSE(CONTROL!$C$15, $E$9, 100%, $G$9) + CHOOSE(CONTROL!$C$38, 0.0278, 0)</f>
        <v>78.3596</v>
      </c>
      <c r="C966" s="14">
        <f>74.1069 * CHOOSE(CONTROL!$C$15, $E$9, 100%, $G$9) + CHOOSE(CONTROL!$C$38, 0.0369, 0)</f>
        <v>74.143799999999999</v>
      </c>
      <c r="D966" s="14">
        <f>74.0991 * CHOOSE(CONTROL!$C$15, $E$9, 100%, $G$9) + CHOOSE(CONTROL!$C$38, 0.0369, 0)</f>
        <v>74.13600000000001</v>
      </c>
      <c r="E966" s="46">
        <f>78.1756 * CHOOSE(CONTROL!$C$15, $E$9, 100%, $G$9) + CHOOSE(CONTROL!$C$38, 0.0369, 0)</f>
        <v>78.212500000000006</v>
      </c>
      <c r="F966" s="45">
        <f>78.1756 * CHOOSE(CONTROL!$C$15, $E$9, 100%, $G$9) + CHOOSE(CONTROL!$C$38, 0.0278, 0)</f>
        <v>78.203400000000002</v>
      </c>
      <c r="G966" s="14">
        <f>74.1054 * CHOOSE(CONTROL!$C$15, $E$9, 100%, $G$9) + CHOOSE(CONTROL!$C$38, 0.0369, 0)</f>
        <v>74.142300000000006</v>
      </c>
      <c r="H966" s="14">
        <f>74.1054 * CHOOSE(CONTROL!$C$15, $E$9, 100%, $G$9) + CHOOSE(CONTROL!$C$38, 0.0369, 0)</f>
        <v>74.142300000000006</v>
      </c>
      <c r="I966" s="14">
        <f>74.1069 * CHOOSE(CONTROL!$C$15, $E$9, 100%, $G$9) + CHOOSE(CONTROL!$C$38, 0.0369, 0)</f>
        <v>74.143799999999999</v>
      </c>
      <c r="J966" s="44">
        <f>754.0696</f>
        <v>754.06960000000004</v>
      </c>
    </row>
    <row r="967" spans="1:10" ht="15.75" x14ac:dyDescent="0.25">
      <c r="A967" s="32">
        <v>70372</v>
      </c>
      <c r="B967" s="14">
        <f>76.5227 * CHOOSE(CONTROL!$C$15, $E$9, 100%, $G$9) + CHOOSE(CONTROL!$C$38, 0.0278, 0)</f>
        <v>76.5505</v>
      </c>
      <c r="C967" s="14">
        <f>72.3925 * CHOOSE(CONTROL!$C$15, $E$9, 100%, $G$9) + CHOOSE(CONTROL!$C$38, 0.0369, 0)</f>
        <v>72.429400000000001</v>
      </c>
      <c r="D967" s="14">
        <f>72.3847 * CHOOSE(CONTROL!$C$15, $E$9, 100%, $G$9) + CHOOSE(CONTROL!$C$38, 0.0369, 0)</f>
        <v>72.421599999999998</v>
      </c>
      <c r="E967" s="46">
        <f>76.3664 * CHOOSE(CONTROL!$C$15, $E$9, 100%, $G$9) + CHOOSE(CONTROL!$C$38, 0.0369, 0)</f>
        <v>76.403300000000002</v>
      </c>
      <c r="F967" s="45">
        <f>76.3664 * CHOOSE(CONTROL!$C$15, $E$9, 100%, $G$9) + CHOOSE(CONTROL!$C$38, 0.0278, 0)</f>
        <v>76.394199999999998</v>
      </c>
      <c r="G967" s="14">
        <f>72.3909 * CHOOSE(CONTROL!$C$15, $E$9, 100%, $G$9) + CHOOSE(CONTROL!$C$38, 0.0369, 0)</f>
        <v>72.427800000000005</v>
      </c>
      <c r="H967" s="14">
        <f>72.3909 * CHOOSE(CONTROL!$C$15, $E$9, 100%, $G$9) + CHOOSE(CONTROL!$C$38, 0.0369, 0)</f>
        <v>72.427800000000005</v>
      </c>
      <c r="I967" s="14">
        <f>72.3925 * CHOOSE(CONTROL!$C$15, $E$9, 100%, $G$9) + CHOOSE(CONTROL!$C$38, 0.0369, 0)</f>
        <v>72.429400000000001</v>
      </c>
      <c r="J967" s="44">
        <f>736.5152</f>
        <v>736.51520000000005</v>
      </c>
    </row>
    <row r="968" spans="1:10" ht="15.75" x14ac:dyDescent="0.25">
      <c r="A968" s="32">
        <v>70402</v>
      </c>
      <c r="B968" s="14">
        <f>73.9997 * CHOOSE(CONTROL!$C$15, $E$9, 100%, $G$9) + CHOOSE(CONTROL!$C$38, 0.0278, 0)</f>
        <v>74.027500000000003</v>
      </c>
      <c r="C968" s="14">
        <f>70.0016 * CHOOSE(CONTROL!$C$15, $E$9, 100%, $G$9) + CHOOSE(CONTROL!$C$38, 0.0369, 0)</f>
        <v>70.038499999999999</v>
      </c>
      <c r="D968" s="14">
        <f>69.9938 * CHOOSE(CONTROL!$C$15, $E$9, 100%, $G$9) + CHOOSE(CONTROL!$C$38, 0.0369, 0)</f>
        <v>70.030699999999996</v>
      </c>
      <c r="E968" s="46">
        <f>73.8434 * CHOOSE(CONTROL!$C$15, $E$9, 100%, $G$9) + CHOOSE(CONTROL!$C$38, 0.0369, 0)</f>
        <v>73.880300000000005</v>
      </c>
      <c r="F968" s="45">
        <f>73.8434 * CHOOSE(CONTROL!$C$15, $E$9, 100%, $G$9) + CHOOSE(CONTROL!$C$38, 0.0278, 0)</f>
        <v>73.871200000000002</v>
      </c>
      <c r="G968" s="14">
        <f>70 * CHOOSE(CONTROL!$C$15, $E$9, 100%, $G$9) + CHOOSE(CONTROL!$C$38, 0.0369, 0)</f>
        <v>70.036900000000003</v>
      </c>
      <c r="H968" s="14">
        <f>70 * CHOOSE(CONTROL!$C$15, $E$9, 100%, $G$9) + CHOOSE(CONTROL!$C$38, 0.0369, 0)</f>
        <v>70.036900000000003</v>
      </c>
      <c r="I968" s="14">
        <f>70.0016 * CHOOSE(CONTROL!$C$15, $E$9, 100%, $G$9) + CHOOSE(CONTROL!$C$38, 0.0369, 0)</f>
        <v>70.038499999999999</v>
      </c>
      <c r="J968" s="44">
        <f>712.0347</f>
        <v>712.03470000000004</v>
      </c>
    </row>
    <row r="969" spans="1:10" ht="15.75" x14ac:dyDescent="0.25">
      <c r="A969" s="32">
        <v>70433</v>
      </c>
      <c r="B969" s="14">
        <f>71.462 * CHOOSE(CONTROL!$C$15, $E$9, 100%, $G$9) + CHOOSE(CONTROL!$C$38, 0.0256, 0)</f>
        <v>71.4876</v>
      </c>
      <c r="C969" s="14">
        <f>67.5968 * CHOOSE(CONTROL!$C$15, $E$9, 100%, $G$9) + CHOOSE(CONTROL!$C$38, 0.0347, 0)</f>
        <v>67.631500000000003</v>
      </c>
      <c r="D969" s="14">
        <f>67.589 * CHOOSE(CONTROL!$C$15, $E$9, 100%, $G$9) + CHOOSE(CONTROL!$C$38, 0.0347, 0)</f>
        <v>67.623699999999999</v>
      </c>
      <c r="E969" s="46">
        <f>71.3058 * CHOOSE(CONTROL!$C$15, $E$9, 100%, $G$9) + CHOOSE(CONTROL!$C$38, 0.0347, 0)</f>
        <v>71.340500000000006</v>
      </c>
      <c r="F969" s="45">
        <f>71.3058 * CHOOSE(CONTROL!$C$15, $E$9, 100%, $G$9) + CHOOSE(CONTROL!$C$38, 0.0256, 0)</f>
        <v>71.331400000000002</v>
      </c>
      <c r="G969" s="14">
        <f>67.5953 * CHOOSE(CONTROL!$C$15, $E$9, 100%, $G$9) + CHOOSE(CONTROL!$C$38, 0.0347, 0)</f>
        <v>67.63</v>
      </c>
      <c r="H969" s="14">
        <f>67.5953 * CHOOSE(CONTROL!$C$15, $E$9, 100%, $G$9) + CHOOSE(CONTROL!$C$38, 0.0347, 0)</f>
        <v>67.63</v>
      </c>
      <c r="I969" s="14">
        <f>67.5968 * CHOOSE(CONTROL!$C$15, $E$9, 100%, $G$9) + CHOOSE(CONTROL!$C$38, 0.0347, 0)</f>
        <v>67.631500000000003</v>
      </c>
      <c r="J969" s="44">
        <f>687.4118</f>
        <v>687.41179999999997</v>
      </c>
    </row>
    <row r="970" spans="1:10" ht="15.75" x14ac:dyDescent="0.25">
      <c r="A970" s="32">
        <v>70463</v>
      </c>
      <c r="B970" s="14">
        <f>70.9573 * CHOOSE(CONTROL!$C$15, $E$9, 100%, $G$9) + CHOOSE(CONTROL!$C$38, 0.0256, 0)</f>
        <v>70.982900000000001</v>
      </c>
      <c r="C970" s="14">
        <f>67.1185 * CHOOSE(CONTROL!$C$15, $E$9, 100%, $G$9) + CHOOSE(CONTROL!$C$38, 0.0347, 0)</f>
        <v>67.153199999999998</v>
      </c>
      <c r="D970" s="14">
        <f>67.1107 * CHOOSE(CONTROL!$C$15, $E$9, 100%, $G$9) + CHOOSE(CONTROL!$C$38, 0.0347, 0)</f>
        <v>67.145399999999995</v>
      </c>
      <c r="E970" s="46">
        <f>70.801 * CHOOSE(CONTROL!$C$15, $E$9, 100%, $G$9) + CHOOSE(CONTROL!$C$38, 0.0347, 0)</f>
        <v>70.835700000000003</v>
      </c>
      <c r="F970" s="45">
        <f>70.801 * CHOOSE(CONTROL!$C$15, $E$9, 100%, $G$9) + CHOOSE(CONTROL!$C$38, 0.0256, 0)</f>
        <v>70.826599999999999</v>
      </c>
      <c r="G970" s="14">
        <f>67.1169 * CHOOSE(CONTROL!$C$15, $E$9, 100%, $G$9) + CHOOSE(CONTROL!$C$38, 0.0347, 0)</f>
        <v>67.151600000000002</v>
      </c>
      <c r="H970" s="14">
        <f>67.1169 * CHOOSE(CONTROL!$C$15, $E$9, 100%, $G$9) + CHOOSE(CONTROL!$C$38, 0.0347, 0)</f>
        <v>67.151600000000002</v>
      </c>
      <c r="I970" s="14">
        <f>67.1185 * CHOOSE(CONTROL!$C$15, $E$9, 100%, $G$9) + CHOOSE(CONTROL!$C$38, 0.0347, 0)</f>
        <v>67.153199999999998</v>
      </c>
      <c r="J970" s="44">
        <f>682.5138</f>
        <v>682.51379999999995</v>
      </c>
    </row>
    <row r="971" spans="1:10" ht="15.75" x14ac:dyDescent="0.25">
      <c r="A971" s="32">
        <v>70494</v>
      </c>
      <c r="B971" s="14">
        <f>68.8699 * CHOOSE(CONTROL!$C$15, $E$9, 100%, $G$9) + CHOOSE(CONTROL!$C$38, 0.0256, 0)</f>
        <v>68.895499999999998</v>
      </c>
      <c r="C971" s="14">
        <f>65.1404 * CHOOSE(CONTROL!$C$15, $E$9, 100%, $G$9) + CHOOSE(CONTROL!$C$38, 0.0347, 0)</f>
        <v>65.1751</v>
      </c>
      <c r="D971" s="14">
        <f>65.1326 * CHOOSE(CONTROL!$C$15, $E$9, 100%, $G$9) + CHOOSE(CONTROL!$C$38, 0.0347, 0)</f>
        <v>65.167299999999997</v>
      </c>
      <c r="E971" s="46">
        <f>68.7137 * CHOOSE(CONTROL!$C$15, $E$9, 100%, $G$9) + CHOOSE(CONTROL!$C$38, 0.0347, 0)</f>
        <v>68.748400000000004</v>
      </c>
      <c r="F971" s="45">
        <f>68.7137 * CHOOSE(CONTROL!$C$15, $E$9, 100%, $G$9) + CHOOSE(CONTROL!$C$38, 0.0256, 0)</f>
        <v>68.7393</v>
      </c>
      <c r="G971" s="14">
        <f>65.1388 * CHOOSE(CONTROL!$C$15, $E$9, 100%, $G$9) + CHOOSE(CONTROL!$C$38, 0.0347, 0)</f>
        <v>65.173500000000004</v>
      </c>
      <c r="H971" s="14">
        <f>65.1388 * CHOOSE(CONTROL!$C$15, $E$9, 100%, $G$9) + CHOOSE(CONTROL!$C$38, 0.0347, 0)</f>
        <v>65.173500000000004</v>
      </c>
      <c r="I971" s="14">
        <f>65.1404 * CHOOSE(CONTROL!$C$15, $E$9, 100%, $G$9) + CHOOSE(CONTROL!$C$38, 0.0347, 0)</f>
        <v>65.1751</v>
      </c>
      <c r="J971" s="44">
        <f>662.2602</f>
        <v>662.26020000000005</v>
      </c>
    </row>
    <row r="972" spans="1:10" ht="15.75" x14ac:dyDescent="0.25">
      <c r="A972" s="32">
        <v>70525</v>
      </c>
      <c r="B972" s="14">
        <f>68.3515 * CHOOSE(CONTROL!$C$15, $E$9, 100%, $G$9) + CHOOSE(CONTROL!$C$38, 0.0256, 0)</f>
        <v>68.377099999999999</v>
      </c>
      <c r="C972" s="14">
        <f>64.6492 * CHOOSE(CONTROL!$C$15, $E$9, 100%, $G$9) + CHOOSE(CONTROL!$C$38, 0.0347, 0)</f>
        <v>64.683899999999994</v>
      </c>
      <c r="D972" s="14">
        <f>64.6414 * CHOOSE(CONTROL!$C$15, $E$9, 100%, $G$9) + CHOOSE(CONTROL!$C$38, 0.0347, 0)</f>
        <v>64.676100000000005</v>
      </c>
      <c r="E972" s="46">
        <f>68.1953 * CHOOSE(CONTROL!$C$15, $E$9, 100%, $G$9) + CHOOSE(CONTROL!$C$38, 0.0347, 0)</f>
        <v>68.23</v>
      </c>
      <c r="F972" s="45">
        <f>68.1953 * CHOOSE(CONTROL!$C$15, $E$9, 100%, $G$9) + CHOOSE(CONTROL!$C$38, 0.0256, 0)</f>
        <v>68.2209</v>
      </c>
      <c r="G972" s="14">
        <f>64.6476 * CHOOSE(CONTROL!$C$15, $E$9, 100%, $G$9) + CHOOSE(CONTROL!$C$38, 0.0347, 0)</f>
        <v>64.682299999999998</v>
      </c>
      <c r="H972" s="14">
        <f>64.6476 * CHOOSE(CONTROL!$C$15, $E$9, 100%, $G$9) + CHOOSE(CONTROL!$C$38, 0.0347, 0)</f>
        <v>64.682299999999998</v>
      </c>
      <c r="I972" s="14">
        <f>64.6492 * CHOOSE(CONTROL!$C$15, $E$9, 100%, $G$9) + CHOOSE(CONTROL!$C$38, 0.0347, 0)</f>
        <v>64.683899999999994</v>
      </c>
      <c r="J972" s="44">
        <f>661.4062</f>
        <v>661.40620000000001</v>
      </c>
    </row>
    <row r="973" spans="1:10" ht="15.75" x14ac:dyDescent="0.25">
      <c r="A973" s="32">
        <v>70553</v>
      </c>
      <c r="B973" s="14">
        <f>68.1633 * CHOOSE(CONTROL!$C$15, $E$9, 100%, $G$9) + CHOOSE(CONTROL!$C$38, 0.0256, 0)</f>
        <v>68.188900000000004</v>
      </c>
      <c r="C973" s="14">
        <f>64.4707 * CHOOSE(CONTROL!$C$15, $E$9, 100%, $G$9) + CHOOSE(CONTROL!$C$38, 0.0347, 0)</f>
        <v>64.505399999999995</v>
      </c>
      <c r="D973" s="14">
        <f>64.4629 * CHOOSE(CONTROL!$C$15, $E$9, 100%, $G$9) + CHOOSE(CONTROL!$C$38, 0.0347, 0)</f>
        <v>64.497600000000006</v>
      </c>
      <c r="E973" s="46">
        <f>68.007 * CHOOSE(CONTROL!$C$15, $E$9, 100%, $G$9) + CHOOSE(CONTROL!$C$38, 0.0347, 0)</f>
        <v>68.041700000000006</v>
      </c>
      <c r="F973" s="45">
        <f>68.007 * CHOOSE(CONTROL!$C$15, $E$9, 100%, $G$9) + CHOOSE(CONTROL!$C$38, 0.0256, 0)</f>
        <v>68.032600000000002</v>
      </c>
      <c r="G973" s="14">
        <f>64.4692 * CHOOSE(CONTROL!$C$15, $E$9, 100%, $G$9) + CHOOSE(CONTROL!$C$38, 0.0347, 0)</f>
        <v>64.503900000000002</v>
      </c>
      <c r="H973" s="14">
        <f>64.4692 * CHOOSE(CONTROL!$C$15, $E$9, 100%, $G$9) + CHOOSE(CONTROL!$C$38, 0.0347, 0)</f>
        <v>64.503900000000002</v>
      </c>
      <c r="I973" s="14">
        <f>64.4707 * CHOOSE(CONTROL!$C$15, $E$9, 100%, $G$9) + CHOOSE(CONTROL!$C$38, 0.0347, 0)</f>
        <v>64.505399999999995</v>
      </c>
      <c r="J973" s="44">
        <f>659.5677</f>
        <v>659.56769999999995</v>
      </c>
    </row>
    <row r="974" spans="1:10" ht="15.75" x14ac:dyDescent="0.25">
      <c r="A974" s="32">
        <v>70584</v>
      </c>
      <c r="B974" s="14">
        <f>71.7233 * CHOOSE(CONTROL!$C$15, $E$9, 100%, $G$9) + CHOOSE(CONTROL!$C$38, 0.0256, 0)</f>
        <v>71.748899999999992</v>
      </c>
      <c r="C974" s="14">
        <f>67.8444 * CHOOSE(CONTROL!$C$15, $E$9, 100%, $G$9) + CHOOSE(CONTROL!$C$38, 0.0347, 0)</f>
        <v>67.879099999999994</v>
      </c>
      <c r="D974" s="14">
        <f>67.8366 * CHOOSE(CONTROL!$C$15, $E$9, 100%, $G$9) + CHOOSE(CONTROL!$C$38, 0.0347, 0)</f>
        <v>67.871300000000005</v>
      </c>
      <c r="E974" s="46">
        <f>71.5671 * CHOOSE(CONTROL!$C$15, $E$9, 100%, $G$9) + CHOOSE(CONTROL!$C$38, 0.0347, 0)</f>
        <v>71.601799999999997</v>
      </c>
      <c r="F974" s="45">
        <f>71.5671 * CHOOSE(CONTROL!$C$15, $E$9, 100%, $G$9) + CHOOSE(CONTROL!$C$38, 0.0256, 0)</f>
        <v>71.592699999999994</v>
      </c>
      <c r="G974" s="14">
        <f>67.8429 * CHOOSE(CONTROL!$C$15, $E$9, 100%, $G$9) + CHOOSE(CONTROL!$C$38, 0.0347, 0)</f>
        <v>67.877600000000001</v>
      </c>
      <c r="H974" s="14">
        <f>67.8429 * CHOOSE(CONTROL!$C$15, $E$9, 100%, $G$9) + CHOOSE(CONTROL!$C$38, 0.0347, 0)</f>
        <v>67.877600000000001</v>
      </c>
      <c r="I974" s="14">
        <f>67.8444 * CHOOSE(CONTROL!$C$15, $E$9, 100%, $G$9) + CHOOSE(CONTROL!$C$38, 0.0347, 0)</f>
        <v>67.879099999999994</v>
      </c>
      <c r="J974" s="44">
        <f>694.3307</f>
        <v>694.33069999999998</v>
      </c>
    </row>
    <row r="975" spans="1:10" ht="15.75" x14ac:dyDescent="0.25">
      <c r="A975" s="32">
        <v>70614</v>
      </c>
      <c r="B975" s="14">
        <f>76.3399 * CHOOSE(CONTROL!$C$15, $E$9, 100%, $G$9) + CHOOSE(CONTROL!$C$38, 0.0256, 0)</f>
        <v>76.365499999999997</v>
      </c>
      <c r="C975" s="14">
        <f>72.2193 * CHOOSE(CONTROL!$C$15, $E$9, 100%, $G$9) + CHOOSE(CONTROL!$C$38, 0.0347, 0)</f>
        <v>72.254000000000005</v>
      </c>
      <c r="D975" s="14">
        <f>72.2115 * CHOOSE(CONTROL!$C$15, $E$9, 100%, $G$9) + CHOOSE(CONTROL!$C$38, 0.0347, 0)</f>
        <v>72.246200000000002</v>
      </c>
      <c r="E975" s="46">
        <f>76.1836 * CHOOSE(CONTROL!$C$15, $E$9, 100%, $G$9) + CHOOSE(CONTROL!$C$38, 0.0347, 0)</f>
        <v>76.218299999999999</v>
      </c>
      <c r="F975" s="45">
        <f>76.1836 * CHOOSE(CONTROL!$C$15, $E$9, 100%, $G$9) + CHOOSE(CONTROL!$C$38, 0.0256, 0)</f>
        <v>76.209199999999996</v>
      </c>
      <c r="G975" s="14">
        <f>72.2177 * CHOOSE(CONTROL!$C$15, $E$9, 100%, $G$9) + CHOOSE(CONTROL!$C$38, 0.0347, 0)</f>
        <v>72.252399999999994</v>
      </c>
      <c r="H975" s="14">
        <f>72.2177 * CHOOSE(CONTROL!$C$15, $E$9, 100%, $G$9) + CHOOSE(CONTROL!$C$38, 0.0347, 0)</f>
        <v>72.252399999999994</v>
      </c>
      <c r="I975" s="14">
        <f>72.2193 * CHOOSE(CONTROL!$C$15, $E$9, 100%, $G$9) + CHOOSE(CONTROL!$C$38, 0.0347, 0)</f>
        <v>72.254000000000005</v>
      </c>
      <c r="J975" s="44">
        <f>739.4101</f>
        <v>739.41010000000006</v>
      </c>
    </row>
    <row r="976" spans="1:10" ht="15.75" x14ac:dyDescent="0.25">
      <c r="A976" s="32">
        <v>70645</v>
      </c>
      <c r="B976" s="14">
        <f>78.881 * CHOOSE(CONTROL!$C$15, $E$9, 100%, $G$9) + CHOOSE(CONTROL!$C$38, 0.0278, 0)</f>
        <v>78.908799999999999</v>
      </c>
      <c r="C976" s="14">
        <f>74.6274 * CHOOSE(CONTROL!$C$15, $E$9, 100%, $G$9) + CHOOSE(CONTROL!$C$38, 0.0369, 0)</f>
        <v>74.664299999999997</v>
      </c>
      <c r="D976" s="14">
        <f>74.6196 * CHOOSE(CONTROL!$C$15, $E$9, 100%, $G$9) + CHOOSE(CONTROL!$C$38, 0.0369, 0)</f>
        <v>74.656500000000008</v>
      </c>
      <c r="E976" s="46">
        <f>78.7248 * CHOOSE(CONTROL!$C$15, $E$9, 100%, $G$9) + CHOOSE(CONTROL!$C$38, 0.0369, 0)</f>
        <v>78.761700000000005</v>
      </c>
      <c r="F976" s="45">
        <f>78.7248 * CHOOSE(CONTROL!$C$15, $E$9, 100%, $G$9) + CHOOSE(CONTROL!$C$38, 0.0278, 0)</f>
        <v>78.752600000000001</v>
      </c>
      <c r="G976" s="14">
        <f>74.6258 * CHOOSE(CONTROL!$C$15, $E$9, 100%, $G$9) + CHOOSE(CONTROL!$C$38, 0.0369, 0)</f>
        <v>74.662700000000001</v>
      </c>
      <c r="H976" s="14">
        <f>74.6258 * CHOOSE(CONTROL!$C$15, $E$9, 100%, $G$9) + CHOOSE(CONTROL!$C$38, 0.0369, 0)</f>
        <v>74.662700000000001</v>
      </c>
      <c r="I976" s="14">
        <f>74.6274 * CHOOSE(CONTROL!$C$15, $E$9, 100%, $G$9) + CHOOSE(CONTROL!$C$38, 0.0369, 0)</f>
        <v>74.664299999999997</v>
      </c>
      <c r="J976" s="44">
        <f>764.2232</f>
        <v>764.22320000000002</v>
      </c>
    </row>
    <row r="977" spans="1:10" ht="15.75" x14ac:dyDescent="0.25">
      <c r="A977" s="32">
        <v>70675</v>
      </c>
      <c r="B977" s="14">
        <f>80.0087 * CHOOSE(CONTROL!$C$15, $E$9, 100%, $G$9) + CHOOSE(CONTROL!$C$38, 0.0278, 0)</f>
        <v>80.036500000000004</v>
      </c>
      <c r="C977" s="14">
        <f>75.696 * CHOOSE(CONTROL!$C$15, $E$9, 100%, $G$9) + CHOOSE(CONTROL!$C$38, 0.0369, 0)</f>
        <v>75.732900000000001</v>
      </c>
      <c r="D977" s="14">
        <f>75.6882 * CHOOSE(CONTROL!$C$15, $E$9, 100%, $G$9) + CHOOSE(CONTROL!$C$38, 0.0369, 0)</f>
        <v>75.725099999999998</v>
      </c>
      <c r="E977" s="46">
        <f>79.8524 * CHOOSE(CONTROL!$C$15, $E$9, 100%, $G$9) + CHOOSE(CONTROL!$C$38, 0.0369, 0)</f>
        <v>79.889300000000006</v>
      </c>
      <c r="F977" s="45">
        <f>79.8524 * CHOOSE(CONTROL!$C$15, $E$9, 100%, $G$9) + CHOOSE(CONTROL!$C$38, 0.0278, 0)</f>
        <v>79.880200000000002</v>
      </c>
      <c r="G977" s="14">
        <f>75.6945 * CHOOSE(CONTROL!$C$15, $E$9, 100%, $G$9) + CHOOSE(CONTROL!$C$38, 0.0369, 0)</f>
        <v>75.731400000000008</v>
      </c>
      <c r="H977" s="14">
        <f>75.6945 * CHOOSE(CONTROL!$C$15, $E$9, 100%, $G$9) + CHOOSE(CONTROL!$C$38, 0.0369, 0)</f>
        <v>75.731400000000008</v>
      </c>
      <c r="I977" s="14">
        <f>75.696 * CHOOSE(CONTROL!$C$15, $E$9, 100%, $G$9) + CHOOSE(CONTROL!$C$38, 0.0369, 0)</f>
        <v>75.732900000000001</v>
      </c>
      <c r="J977" s="44">
        <f>775.2348</f>
        <v>775.23479999999995</v>
      </c>
    </row>
    <row r="978" spans="1:10" ht="15.75" x14ac:dyDescent="0.25">
      <c r="A978" s="32">
        <v>70706</v>
      </c>
      <c r="B978" s="14">
        <f>79.6374 * CHOOSE(CONTROL!$C$15, $E$9, 100%, $G$9) + CHOOSE(CONTROL!$C$38, 0.0278, 0)</f>
        <v>79.665199999999999</v>
      </c>
      <c r="C978" s="14">
        <f>75.3442 * CHOOSE(CONTROL!$C$15, $E$9, 100%, $G$9) + CHOOSE(CONTROL!$C$38, 0.0369, 0)</f>
        <v>75.381100000000004</v>
      </c>
      <c r="D978" s="14">
        <f>75.3364 * CHOOSE(CONTROL!$C$15, $E$9, 100%, $G$9) + CHOOSE(CONTROL!$C$38, 0.0369, 0)</f>
        <v>75.3733</v>
      </c>
      <c r="E978" s="46">
        <f>79.4812 * CHOOSE(CONTROL!$C$15, $E$9, 100%, $G$9) + CHOOSE(CONTROL!$C$38, 0.0369, 0)</f>
        <v>79.518100000000004</v>
      </c>
      <c r="F978" s="45">
        <f>79.4812 * CHOOSE(CONTROL!$C$15, $E$9, 100%, $G$9) + CHOOSE(CONTROL!$C$38, 0.0278, 0)</f>
        <v>79.509</v>
      </c>
      <c r="G978" s="14">
        <f>75.3426 * CHOOSE(CONTROL!$C$15, $E$9, 100%, $G$9) + CHOOSE(CONTROL!$C$38, 0.0369, 0)</f>
        <v>75.379500000000007</v>
      </c>
      <c r="H978" s="14">
        <f>75.3426 * CHOOSE(CONTROL!$C$15, $E$9, 100%, $G$9) + CHOOSE(CONTROL!$C$38, 0.0369, 0)</f>
        <v>75.379500000000007</v>
      </c>
      <c r="I978" s="14">
        <f>75.3442 * CHOOSE(CONTROL!$C$15, $E$9, 100%, $G$9) + CHOOSE(CONTROL!$C$38, 0.0369, 0)</f>
        <v>75.381100000000004</v>
      </c>
      <c r="J978" s="44">
        <f>771.6093</f>
        <v>771.60929999999996</v>
      </c>
    </row>
    <row r="979" spans="1:10" ht="15.75" x14ac:dyDescent="0.25">
      <c r="A979" s="32">
        <v>70737</v>
      </c>
      <c r="B979" s="14">
        <f>77.7979 * CHOOSE(CONTROL!$C$15, $E$9, 100%, $G$9) + CHOOSE(CONTROL!$C$38, 0.0278, 0)</f>
        <v>77.825699999999998</v>
      </c>
      <c r="C979" s="14">
        <f>73.6009 * CHOOSE(CONTROL!$C$15, $E$9, 100%, $G$9) + CHOOSE(CONTROL!$C$38, 0.0369, 0)</f>
        <v>73.637799999999999</v>
      </c>
      <c r="D979" s="14">
        <f>73.5931 * CHOOSE(CONTROL!$C$15, $E$9, 100%, $G$9) + CHOOSE(CONTROL!$C$38, 0.0369, 0)</f>
        <v>73.63000000000001</v>
      </c>
      <c r="E979" s="46">
        <f>77.6416 * CHOOSE(CONTROL!$C$15, $E$9, 100%, $G$9) + CHOOSE(CONTROL!$C$38, 0.0369, 0)</f>
        <v>77.6785</v>
      </c>
      <c r="F979" s="45">
        <f>77.6416 * CHOOSE(CONTROL!$C$15, $E$9, 100%, $G$9) + CHOOSE(CONTROL!$C$38, 0.0278, 0)</f>
        <v>77.669399999999996</v>
      </c>
      <c r="G979" s="14">
        <f>73.5994 * CHOOSE(CONTROL!$C$15, $E$9, 100%, $G$9) + CHOOSE(CONTROL!$C$38, 0.0369, 0)</f>
        <v>73.636300000000006</v>
      </c>
      <c r="H979" s="14">
        <f>73.5994 * CHOOSE(CONTROL!$C$15, $E$9, 100%, $G$9) + CHOOSE(CONTROL!$C$38, 0.0369, 0)</f>
        <v>73.636300000000006</v>
      </c>
      <c r="I979" s="14">
        <f>73.6009 * CHOOSE(CONTROL!$C$15, $E$9, 100%, $G$9) + CHOOSE(CONTROL!$C$38, 0.0369, 0)</f>
        <v>73.637799999999999</v>
      </c>
      <c r="J979" s="44">
        <f>753.6466</f>
        <v>753.64660000000003</v>
      </c>
    </row>
    <row r="980" spans="1:10" ht="15.75" x14ac:dyDescent="0.25">
      <c r="A980" s="32">
        <v>70767</v>
      </c>
      <c r="B980" s="14">
        <f>75.2325 * CHOOSE(CONTROL!$C$15, $E$9, 100%, $G$9) + CHOOSE(CONTROL!$C$38, 0.0278, 0)</f>
        <v>75.260300000000001</v>
      </c>
      <c r="C980" s="14">
        <f>71.1699 * CHOOSE(CONTROL!$C$15, $E$9, 100%, $G$9) + CHOOSE(CONTROL!$C$38, 0.0369, 0)</f>
        <v>71.206800000000001</v>
      </c>
      <c r="D980" s="14">
        <f>71.1621 * CHOOSE(CONTROL!$C$15, $E$9, 100%, $G$9) + CHOOSE(CONTROL!$C$38, 0.0369, 0)</f>
        <v>71.198999999999998</v>
      </c>
      <c r="E980" s="46">
        <f>75.0762 * CHOOSE(CONTROL!$C$15, $E$9, 100%, $G$9) + CHOOSE(CONTROL!$C$38, 0.0369, 0)</f>
        <v>75.113100000000003</v>
      </c>
      <c r="F980" s="45">
        <f>75.0762 * CHOOSE(CONTROL!$C$15, $E$9, 100%, $G$9) + CHOOSE(CONTROL!$C$38, 0.0278, 0)</f>
        <v>75.103999999999999</v>
      </c>
      <c r="G980" s="14">
        <f>71.1683 * CHOOSE(CONTROL!$C$15, $E$9, 100%, $G$9) + CHOOSE(CONTROL!$C$38, 0.0369, 0)</f>
        <v>71.205200000000005</v>
      </c>
      <c r="H980" s="14">
        <f>71.1683 * CHOOSE(CONTROL!$C$15, $E$9, 100%, $G$9) + CHOOSE(CONTROL!$C$38, 0.0369, 0)</f>
        <v>71.205200000000005</v>
      </c>
      <c r="I980" s="14">
        <f>71.1699 * CHOOSE(CONTROL!$C$15, $E$9, 100%, $G$9) + CHOOSE(CONTROL!$C$38, 0.0369, 0)</f>
        <v>71.206800000000001</v>
      </c>
      <c r="J980" s="44">
        <f>728.5966</f>
        <v>728.59659999999997</v>
      </c>
    </row>
    <row r="981" spans="1:10" ht="15.75" x14ac:dyDescent="0.25">
      <c r="A981" s="32">
        <v>70798</v>
      </c>
      <c r="B981" s="14">
        <f>72.6522 * CHOOSE(CONTROL!$C$15, $E$9, 100%, $G$9) + CHOOSE(CONTROL!$C$38, 0.0256, 0)</f>
        <v>72.677799999999991</v>
      </c>
      <c r="C981" s="14">
        <f>68.7247 * CHOOSE(CONTROL!$C$15, $E$9, 100%, $G$9) + CHOOSE(CONTROL!$C$38, 0.0347, 0)</f>
        <v>68.759399999999999</v>
      </c>
      <c r="D981" s="14">
        <f>68.7169 * CHOOSE(CONTROL!$C$15, $E$9, 100%, $G$9) + CHOOSE(CONTROL!$C$38, 0.0347, 0)</f>
        <v>68.751599999999996</v>
      </c>
      <c r="E981" s="46">
        <f>72.496 * CHOOSE(CONTROL!$C$15, $E$9, 100%, $G$9) + CHOOSE(CONTROL!$C$38, 0.0347, 0)</f>
        <v>72.530699999999996</v>
      </c>
      <c r="F981" s="45">
        <f>72.496 * CHOOSE(CONTROL!$C$15, $E$9, 100%, $G$9) + CHOOSE(CONTROL!$C$38, 0.0256, 0)</f>
        <v>72.521599999999992</v>
      </c>
      <c r="G981" s="14">
        <f>68.7231 * CHOOSE(CONTROL!$C$15, $E$9, 100%, $G$9) + CHOOSE(CONTROL!$C$38, 0.0347, 0)</f>
        <v>68.757800000000003</v>
      </c>
      <c r="H981" s="14">
        <f>68.7231 * CHOOSE(CONTROL!$C$15, $E$9, 100%, $G$9) + CHOOSE(CONTROL!$C$38, 0.0347, 0)</f>
        <v>68.757800000000003</v>
      </c>
      <c r="I981" s="14">
        <f>68.7247 * CHOOSE(CONTROL!$C$15, $E$9, 100%, $G$9) + CHOOSE(CONTROL!$C$38, 0.0347, 0)</f>
        <v>68.759399999999999</v>
      </c>
      <c r="J981" s="44">
        <f>703.401</f>
        <v>703.40099999999995</v>
      </c>
    </row>
    <row r="982" spans="1:10" ht="15.75" x14ac:dyDescent="0.25">
      <c r="A982" s="32">
        <v>70828</v>
      </c>
      <c r="B982" s="14">
        <f>72.139 * CHOOSE(CONTROL!$C$15, $E$9, 100%, $G$9) + CHOOSE(CONTROL!$C$38, 0.0256, 0)</f>
        <v>72.164599999999993</v>
      </c>
      <c r="C982" s="14">
        <f>68.2383 * CHOOSE(CONTROL!$C$15, $E$9, 100%, $G$9) + CHOOSE(CONTROL!$C$38, 0.0347, 0)</f>
        <v>68.272999999999996</v>
      </c>
      <c r="D982" s="14">
        <f>68.2305 * CHOOSE(CONTROL!$C$15, $E$9, 100%, $G$9) + CHOOSE(CONTROL!$C$38, 0.0347, 0)</f>
        <v>68.265200000000007</v>
      </c>
      <c r="E982" s="46">
        <f>71.9827 * CHOOSE(CONTROL!$C$15, $E$9, 100%, $G$9) + CHOOSE(CONTROL!$C$38, 0.0347, 0)</f>
        <v>72.017399999999995</v>
      </c>
      <c r="F982" s="45">
        <f>71.9827 * CHOOSE(CONTROL!$C$15, $E$9, 100%, $G$9) + CHOOSE(CONTROL!$C$38, 0.0256, 0)</f>
        <v>72.008299999999991</v>
      </c>
      <c r="G982" s="14">
        <f>68.2367 * CHOOSE(CONTROL!$C$15, $E$9, 100%, $G$9) + CHOOSE(CONTROL!$C$38, 0.0347, 0)</f>
        <v>68.2714</v>
      </c>
      <c r="H982" s="14">
        <f>68.2367 * CHOOSE(CONTROL!$C$15, $E$9, 100%, $G$9) + CHOOSE(CONTROL!$C$38, 0.0347, 0)</f>
        <v>68.2714</v>
      </c>
      <c r="I982" s="14">
        <f>68.2383 * CHOOSE(CONTROL!$C$15, $E$9, 100%, $G$9) + CHOOSE(CONTROL!$C$38, 0.0347, 0)</f>
        <v>68.272999999999996</v>
      </c>
      <c r="J982" s="44">
        <f>698.3891</f>
        <v>698.38909999999998</v>
      </c>
    </row>
    <row r="983" spans="1:10" ht="15.75" x14ac:dyDescent="0.25">
      <c r="A983" s="32">
        <v>70859</v>
      </c>
      <c r="B983" s="14">
        <f>70.0165 * CHOOSE(CONTROL!$C$15, $E$9, 100%, $G$9) + CHOOSE(CONTROL!$C$38, 0.0256, 0)</f>
        <v>70.042099999999991</v>
      </c>
      <c r="C983" s="14">
        <f>66.227 * CHOOSE(CONTROL!$C$15, $E$9, 100%, $G$9) + CHOOSE(CONTROL!$C$38, 0.0347, 0)</f>
        <v>66.261700000000005</v>
      </c>
      <c r="D983" s="14">
        <f>66.2192 * CHOOSE(CONTROL!$C$15, $E$9, 100%, $G$9) + CHOOSE(CONTROL!$C$38, 0.0347, 0)</f>
        <v>66.253900000000002</v>
      </c>
      <c r="E983" s="46">
        <f>69.8603 * CHOOSE(CONTROL!$C$15, $E$9, 100%, $G$9) + CHOOSE(CONTROL!$C$38, 0.0347, 0)</f>
        <v>69.894999999999996</v>
      </c>
      <c r="F983" s="45">
        <f>69.8603 * CHOOSE(CONTROL!$C$15, $E$9, 100%, $G$9) + CHOOSE(CONTROL!$C$38, 0.0256, 0)</f>
        <v>69.885899999999992</v>
      </c>
      <c r="G983" s="14">
        <f>66.2254 * CHOOSE(CONTROL!$C$15, $E$9, 100%, $G$9) + CHOOSE(CONTROL!$C$38, 0.0347, 0)</f>
        <v>66.260099999999994</v>
      </c>
      <c r="H983" s="14">
        <f>66.2254 * CHOOSE(CONTROL!$C$15, $E$9, 100%, $G$9) + CHOOSE(CONTROL!$C$38, 0.0347, 0)</f>
        <v>66.260099999999994</v>
      </c>
      <c r="I983" s="14">
        <f>66.227 * CHOOSE(CONTROL!$C$15, $E$9, 100%, $G$9) + CHOOSE(CONTROL!$C$38, 0.0347, 0)</f>
        <v>66.261700000000005</v>
      </c>
      <c r="J983" s="44">
        <f>677.6644</f>
        <v>677.6644</v>
      </c>
    </row>
    <row r="984" spans="1:10" ht="15.75" x14ac:dyDescent="0.25">
      <c r="A984" s="32">
        <v>70890</v>
      </c>
      <c r="B984" s="14">
        <f>69.4895 * CHOOSE(CONTROL!$C$15, $E$9, 100%, $G$9) + CHOOSE(CONTROL!$C$38, 0.0256, 0)</f>
        <v>69.515100000000004</v>
      </c>
      <c r="C984" s="14">
        <f>65.7275 * CHOOSE(CONTROL!$C$15, $E$9, 100%, $G$9) + CHOOSE(CONTROL!$C$38, 0.0347, 0)</f>
        <v>65.762200000000007</v>
      </c>
      <c r="D984" s="14">
        <f>65.7197 * CHOOSE(CONTROL!$C$15, $E$9, 100%, $G$9) + CHOOSE(CONTROL!$C$38, 0.0347, 0)</f>
        <v>65.754400000000004</v>
      </c>
      <c r="E984" s="46">
        <f>69.3332 * CHOOSE(CONTROL!$C$15, $E$9, 100%, $G$9) + CHOOSE(CONTROL!$C$38, 0.0347, 0)</f>
        <v>69.367900000000006</v>
      </c>
      <c r="F984" s="45">
        <f>69.3332 * CHOOSE(CONTROL!$C$15, $E$9, 100%, $G$9) + CHOOSE(CONTROL!$C$38, 0.0256, 0)</f>
        <v>69.358800000000002</v>
      </c>
      <c r="G984" s="14">
        <f>65.726 * CHOOSE(CONTROL!$C$15, $E$9, 100%, $G$9) + CHOOSE(CONTROL!$C$38, 0.0347, 0)</f>
        <v>65.7607</v>
      </c>
      <c r="H984" s="14">
        <f>65.726 * CHOOSE(CONTROL!$C$15, $E$9, 100%, $G$9) + CHOOSE(CONTROL!$C$38, 0.0347, 0)</f>
        <v>65.7607</v>
      </c>
      <c r="I984" s="14">
        <f>65.7275 * CHOOSE(CONTROL!$C$15, $E$9, 100%, $G$9) + CHOOSE(CONTROL!$C$38, 0.0347, 0)</f>
        <v>65.762200000000007</v>
      </c>
      <c r="J984" s="44">
        <f>676.7905</f>
        <v>676.79049999999995</v>
      </c>
    </row>
    <row r="985" spans="1:10" ht="15.75" x14ac:dyDescent="0.25">
      <c r="A985" s="32">
        <v>70918</v>
      </c>
      <c r="B985" s="14">
        <f>69.298 * CHOOSE(CONTROL!$C$15, $E$9, 100%, $G$9) + CHOOSE(CONTROL!$C$38, 0.0256, 0)</f>
        <v>69.323599999999999</v>
      </c>
      <c r="C985" s="14">
        <f>65.5461 * CHOOSE(CONTROL!$C$15, $E$9, 100%, $G$9) + CHOOSE(CONTROL!$C$38, 0.0347, 0)</f>
        <v>65.580799999999996</v>
      </c>
      <c r="D985" s="14">
        <f>65.5383 * CHOOSE(CONTROL!$C$15, $E$9, 100%, $G$9) + CHOOSE(CONTROL!$C$38, 0.0347, 0)</f>
        <v>65.573000000000008</v>
      </c>
      <c r="E985" s="46">
        <f>69.1418 * CHOOSE(CONTROL!$C$15, $E$9, 100%, $G$9) + CHOOSE(CONTROL!$C$38, 0.0347, 0)</f>
        <v>69.176500000000004</v>
      </c>
      <c r="F985" s="45">
        <f>69.1418 * CHOOSE(CONTROL!$C$15, $E$9, 100%, $G$9) + CHOOSE(CONTROL!$C$38, 0.0256, 0)</f>
        <v>69.167400000000001</v>
      </c>
      <c r="G985" s="14">
        <f>65.5445 * CHOOSE(CONTROL!$C$15, $E$9, 100%, $G$9) + CHOOSE(CONTROL!$C$38, 0.0347, 0)</f>
        <v>65.5792</v>
      </c>
      <c r="H985" s="14">
        <f>65.5445 * CHOOSE(CONTROL!$C$15, $E$9, 100%, $G$9) + CHOOSE(CONTROL!$C$38, 0.0347, 0)</f>
        <v>65.5792</v>
      </c>
      <c r="I985" s="14">
        <f>65.5461 * CHOOSE(CONTROL!$C$15, $E$9, 100%, $G$9) + CHOOSE(CONTROL!$C$38, 0.0347, 0)</f>
        <v>65.580799999999996</v>
      </c>
      <c r="J985" s="44">
        <f>674.9092</f>
        <v>674.90920000000006</v>
      </c>
    </row>
    <row r="986" spans="1:10" ht="15.75" x14ac:dyDescent="0.25">
      <c r="A986" s="32">
        <v>70949</v>
      </c>
      <c r="B986" s="14">
        <f>72.9179 * CHOOSE(CONTROL!$C$15, $E$9, 100%, $G$9) + CHOOSE(CONTROL!$C$38, 0.0256, 0)</f>
        <v>72.9435</v>
      </c>
      <c r="C986" s="14">
        <f>68.9765 * CHOOSE(CONTROL!$C$15, $E$9, 100%, $G$9) + CHOOSE(CONTROL!$C$38, 0.0347, 0)</f>
        <v>69.011200000000002</v>
      </c>
      <c r="D986" s="14">
        <f>68.9686 * CHOOSE(CONTROL!$C$15, $E$9, 100%, $G$9) + CHOOSE(CONTROL!$C$38, 0.0347, 0)</f>
        <v>69.003299999999996</v>
      </c>
      <c r="E986" s="46">
        <f>72.7617 * CHOOSE(CONTROL!$C$15, $E$9, 100%, $G$9) + CHOOSE(CONTROL!$C$38, 0.0347, 0)</f>
        <v>72.796400000000006</v>
      </c>
      <c r="F986" s="45">
        <f>72.7617 * CHOOSE(CONTROL!$C$15, $E$9, 100%, $G$9) + CHOOSE(CONTROL!$C$38, 0.0256, 0)</f>
        <v>72.787300000000002</v>
      </c>
      <c r="G986" s="14">
        <f>68.9749 * CHOOSE(CONTROL!$C$15, $E$9, 100%, $G$9) + CHOOSE(CONTROL!$C$38, 0.0347, 0)</f>
        <v>69.009600000000006</v>
      </c>
      <c r="H986" s="14">
        <f>68.9749 * CHOOSE(CONTROL!$C$15, $E$9, 100%, $G$9) + CHOOSE(CONTROL!$C$38, 0.0347, 0)</f>
        <v>69.009600000000006</v>
      </c>
      <c r="I986" s="14">
        <f>68.9765 * CHOOSE(CONTROL!$C$15, $E$9, 100%, $G$9) + CHOOSE(CONTROL!$C$38, 0.0347, 0)</f>
        <v>69.011200000000002</v>
      </c>
      <c r="J986" s="44">
        <f>710.4809</f>
        <v>710.48090000000002</v>
      </c>
    </row>
    <row r="987" spans="1:10" ht="15.75" x14ac:dyDescent="0.25">
      <c r="A987" s="32">
        <v>70979</v>
      </c>
      <c r="B987" s="14">
        <f>77.612 * CHOOSE(CONTROL!$C$15, $E$9, 100%, $G$9) + CHOOSE(CONTROL!$C$38, 0.0256, 0)</f>
        <v>77.637599999999992</v>
      </c>
      <c r="C987" s="14">
        <f>73.4248 * CHOOSE(CONTROL!$C$15, $E$9, 100%, $G$9) + CHOOSE(CONTROL!$C$38, 0.0347, 0)</f>
        <v>73.459500000000006</v>
      </c>
      <c r="D987" s="14">
        <f>73.417 * CHOOSE(CONTROL!$C$15, $E$9, 100%, $G$9) + CHOOSE(CONTROL!$C$38, 0.0347, 0)</f>
        <v>73.451700000000002</v>
      </c>
      <c r="E987" s="46">
        <f>77.4558 * CHOOSE(CONTROL!$C$15, $E$9, 100%, $G$9) + CHOOSE(CONTROL!$C$38, 0.0347, 0)</f>
        <v>77.490499999999997</v>
      </c>
      <c r="F987" s="45">
        <f>77.4558 * CHOOSE(CONTROL!$C$15, $E$9, 100%, $G$9) + CHOOSE(CONTROL!$C$38, 0.0256, 0)</f>
        <v>77.481399999999994</v>
      </c>
      <c r="G987" s="14">
        <f>73.4233 * CHOOSE(CONTROL!$C$15, $E$9, 100%, $G$9) + CHOOSE(CONTROL!$C$38, 0.0347, 0)</f>
        <v>73.457999999999998</v>
      </c>
      <c r="H987" s="14">
        <f>73.4233 * CHOOSE(CONTROL!$C$15, $E$9, 100%, $G$9) + CHOOSE(CONTROL!$C$38, 0.0347, 0)</f>
        <v>73.457999999999998</v>
      </c>
      <c r="I987" s="14">
        <f>73.4248 * CHOOSE(CONTROL!$C$15, $E$9, 100%, $G$9) + CHOOSE(CONTROL!$C$38, 0.0347, 0)</f>
        <v>73.459500000000006</v>
      </c>
      <c r="J987" s="44">
        <f>756.6087</f>
        <v>756.6087</v>
      </c>
    </row>
    <row r="988" spans="1:10" ht="15.75" x14ac:dyDescent="0.25">
      <c r="A988" s="32">
        <v>71010</v>
      </c>
      <c r="B988" s="14">
        <f>80.1958 * CHOOSE(CONTROL!$C$15, $E$9, 100%, $G$9) + CHOOSE(CONTROL!$C$38, 0.0278, 0)</f>
        <v>80.223600000000005</v>
      </c>
      <c r="C988" s="14">
        <f>75.8733 * CHOOSE(CONTROL!$C$15, $E$9, 100%, $G$9) + CHOOSE(CONTROL!$C$38, 0.0369, 0)</f>
        <v>75.910200000000003</v>
      </c>
      <c r="D988" s="14">
        <f>75.8655 * CHOOSE(CONTROL!$C$15, $E$9, 100%, $G$9) + CHOOSE(CONTROL!$C$38, 0.0369, 0)</f>
        <v>75.9024</v>
      </c>
      <c r="E988" s="46">
        <f>80.0396 * CHOOSE(CONTROL!$C$15, $E$9, 100%, $G$9) + CHOOSE(CONTROL!$C$38, 0.0369, 0)</f>
        <v>80.076499999999996</v>
      </c>
      <c r="F988" s="45">
        <f>80.0396 * CHOOSE(CONTROL!$C$15, $E$9, 100%, $G$9) + CHOOSE(CONTROL!$C$38, 0.0278, 0)</f>
        <v>80.067399999999992</v>
      </c>
      <c r="G988" s="14">
        <f>75.8718 * CHOOSE(CONTROL!$C$15, $E$9, 100%, $G$9) + CHOOSE(CONTROL!$C$38, 0.0369, 0)</f>
        <v>75.908699999999996</v>
      </c>
      <c r="H988" s="14">
        <f>75.8718 * CHOOSE(CONTROL!$C$15, $E$9, 100%, $G$9) + CHOOSE(CONTROL!$C$38, 0.0369, 0)</f>
        <v>75.908699999999996</v>
      </c>
      <c r="I988" s="14">
        <f>75.8733 * CHOOSE(CONTROL!$C$15, $E$9, 100%, $G$9) + CHOOSE(CONTROL!$C$38, 0.0369, 0)</f>
        <v>75.910200000000003</v>
      </c>
      <c r="J988" s="44">
        <f>781.999</f>
        <v>781.99900000000002</v>
      </c>
    </row>
    <row r="989" spans="1:10" ht="15.75" x14ac:dyDescent="0.25">
      <c r="A989" s="32">
        <v>71040</v>
      </c>
      <c r="B989" s="14">
        <f>81.3425 * CHOOSE(CONTROL!$C$15, $E$9, 100%, $G$9) + CHOOSE(CONTROL!$C$38, 0.0278, 0)</f>
        <v>81.3703</v>
      </c>
      <c r="C989" s="14">
        <f>76.96 * CHOOSE(CONTROL!$C$15, $E$9, 100%, $G$9) + CHOOSE(CONTROL!$C$38, 0.0369, 0)</f>
        <v>76.996899999999997</v>
      </c>
      <c r="D989" s="14">
        <f>76.9521 * CHOOSE(CONTROL!$C$15, $E$9, 100%, $G$9) + CHOOSE(CONTROL!$C$38, 0.0369, 0)</f>
        <v>76.989000000000004</v>
      </c>
      <c r="E989" s="46">
        <f>81.1862 * CHOOSE(CONTROL!$C$15, $E$9, 100%, $G$9) + CHOOSE(CONTROL!$C$38, 0.0369, 0)</f>
        <v>81.223100000000002</v>
      </c>
      <c r="F989" s="45">
        <f>81.1862 * CHOOSE(CONTROL!$C$15, $E$9, 100%, $G$9) + CHOOSE(CONTROL!$C$38, 0.0278, 0)</f>
        <v>81.213999999999999</v>
      </c>
      <c r="G989" s="14">
        <f>76.9584 * CHOOSE(CONTROL!$C$15, $E$9, 100%, $G$9) + CHOOSE(CONTROL!$C$38, 0.0369, 0)</f>
        <v>76.9953</v>
      </c>
      <c r="H989" s="14">
        <f>76.9584 * CHOOSE(CONTROL!$C$15, $E$9, 100%, $G$9) + CHOOSE(CONTROL!$C$38, 0.0369, 0)</f>
        <v>76.9953</v>
      </c>
      <c r="I989" s="14">
        <f>76.96 * CHOOSE(CONTROL!$C$15, $E$9, 100%, $G$9) + CHOOSE(CONTROL!$C$38, 0.0369, 0)</f>
        <v>76.996899999999997</v>
      </c>
      <c r="J989" s="44">
        <f>793.2668</f>
        <v>793.26679999999999</v>
      </c>
    </row>
    <row r="990" spans="1:10" ht="15.75" x14ac:dyDescent="0.25">
      <c r="A990" s="32">
        <v>71071</v>
      </c>
      <c r="B990" s="14">
        <f>80.9649 * CHOOSE(CONTROL!$C$15, $E$9, 100%, $G$9) + CHOOSE(CONTROL!$C$38, 0.0278, 0)</f>
        <v>80.992699999999999</v>
      </c>
      <c r="C990" s="14">
        <f>76.6022 * CHOOSE(CONTROL!$C$15, $E$9, 100%, $G$9) + CHOOSE(CONTROL!$C$38, 0.0369, 0)</f>
        <v>76.639099999999999</v>
      </c>
      <c r="D990" s="14">
        <f>76.5944 * CHOOSE(CONTROL!$C$15, $E$9, 100%, $G$9) + CHOOSE(CONTROL!$C$38, 0.0369, 0)</f>
        <v>76.631299999999996</v>
      </c>
      <c r="E990" s="46">
        <f>80.8087 * CHOOSE(CONTROL!$C$15, $E$9, 100%, $G$9) + CHOOSE(CONTROL!$C$38, 0.0369, 0)</f>
        <v>80.845600000000005</v>
      </c>
      <c r="F990" s="45">
        <f>80.8087 * CHOOSE(CONTROL!$C$15, $E$9, 100%, $G$9) + CHOOSE(CONTROL!$C$38, 0.0278, 0)</f>
        <v>80.836500000000001</v>
      </c>
      <c r="G990" s="14">
        <f>76.6006 * CHOOSE(CONTROL!$C$15, $E$9, 100%, $G$9) + CHOOSE(CONTROL!$C$38, 0.0369, 0)</f>
        <v>76.637500000000003</v>
      </c>
      <c r="H990" s="14">
        <f>76.6006 * CHOOSE(CONTROL!$C$15, $E$9, 100%, $G$9) + CHOOSE(CONTROL!$C$38, 0.0369, 0)</f>
        <v>76.637500000000003</v>
      </c>
      <c r="I990" s="14">
        <f>76.6022 * CHOOSE(CONTROL!$C$15, $E$9, 100%, $G$9) + CHOOSE(CONTROL!$C$38, 0.0369, 0)</f>
        <v>76.639099999999999</v>
      </c>
      <c r="J990" s="44">
        <f>789.5569</f>
        <v>789.55690000000004</v>
      </c>
    </row>
    <row r="991" spans="1:10" ht="15.75" x14ac:dyDescent="0.25">
      <c r="A991" s="32">
        <v>71102</v>
      </c>
      <c r="B991" s="14">
        <f>79.0945 * CHOOSE(CONTROL!$C$15, $E$9, 100%, $G$9) + CHOOSE(CONTROL!$C$38, 0.0278, 0)</f>
        <v>79.122299999999996</v>
      </c>
      <c r="C991" s="14">
        <f>74.8297 * CHOOSE(CONTROL!$C$15, $E$9, 100%, $G$9) + CHOOSE(CONTROL!$C$38, 0.0369, 0)</f>
        <v>74.866600000000005</v>
      </c>
      <c r="D991" s="14">
        <f>74.8218 * CHOOSE(CONTROL!$C$15, $E$9, 100%, $G$9) + CHOOSE(CONTROL!$C$38, 0.0369, 0)</f>
        <v>74.858699999999999</v>
      </c>
      <c r="E991" s="46">
        <f>78.9382 * CHOOSE(CONTROL!$C$15, $E$9, 100%, $G$9) + CHOOSE(CONTROL!$C$38, 0.0369, 0)</f>
        <v>78.975099999999998</v>
      </c>
      <c r="F991" s="45">
        <f>78.9382 * CHOOSE(CONTROL!$C$15, $E$9, 100%, $G$9) + CHOOSE(CONTROL!$C$38, 0.0278, 0)</f>
        <v>78.965999999999994</v>
      </c>
      <c r="G991" s="14">
        <f>74.8281 * CHOOSE(CONTROL!$C$15, $E$9, 100%, $G$9) + CHOOSE(CONTROL!$C$38, 0.0369, 0)</f>
        <v>74.865000000000009</v>
      </c>
      <c r="H991" s="14">
        <f>74.8281 * CHOOSE(CONTROL!$C$15, $E$9, 100%, $G$9) + CHOOSE(CONTROL!$C$38, 0.0369, 0)</f>
        <v>74.865000000000009</v>
      </c>
      <c r="I991" s="14">
        <f>74.8297 * CHOOSE(CONTROL!$C$15, $E$9, 100%, $G$9) + CHOOSE(CONTROL!$C$38, 0.0369, 0)</f>
        <v>74.866600000000005</v>
      </c>
      <c r="J991" s="44">
        <f>771.1764</f>
        <v>771.17639999999994</v>
      </c>
    </row>
    <row r="992" spans="1:10" ht="15.75" x14ac:dyDescent="0.25">
      <c r="A992" s="32">
        <v>71132</v>
      </c>
      <c r="B992" s="14">
        <f>76.486 * CHOOSE(CONTROL!$C$15, $E$9, 100%, $G$9) + CHOOSE(CONTROL!$C$38, 0.0278, 0)</f>
        <v>76.513800000000003</v>
      </c>
      <c r="C992" s="14">
        <f>72.3578 * CHOOSE(CONTROL!$C$15, $E$9, 100%, $G$9) + CHOOSE(CONTROL!$C$38, 0.0369, 0)</f>
        <v>72.3947</v>
      </c>
      <c r="D992" s="14">
        <f>72.35 * CHOOSE(CONTROL!$C$15, $E$9, 100%, $G$9) + CHOOSE(CONTROL!$C$38, 0.0369, 0)</f>
        <v>72.386899999999997</v>
      </c>
      <c r="E992" s="46">
        <f>76.3298 * CHOOSE(CONTROL!$C$15, $E$9, 100%, $G$9) + CHOOSE(CONTROL!$C$38, 0.0369, 0)</f>
        <v>76.366700000000009</v>
      </c>
      <c r="F992" s="45">
        <f>76.3298 * CHOOSE(CONTROL!$C$15, $E$9, 100%, $G$9) + CHOOSE(CONTROL!$C$38, 0.0278, 0)</f>
        <v>76.357600000000005</v>
      </c>
      <c r="G992" s="14">
        <f>72.3562 * CHOOSE(CONTROL!$C$15, $E$9, 100%, $G$9) + CHOOSE(CONTROL!$C$38, 0.0369, 0)</f>
        <v>72.393100000000004</v>
      </c>
      <c r="H992" s="14">
        <f>72.3562 * CHOOSE(CONTROL!$C$15, $E$9, 100%, $G$9) + CHOOSE(CONTROL!$C$38, 0.0369, 0)</f>
        <v>72.393100000000004</v>
      </c>
      <c r="I992" s="14">
        <f>72.3578 * CHOOSE(CONTROL!$C$15, $E$9, 100%, $G$9) + CHOOSE(CONTROL!$C$38, 0.0369, 0)</f>
        <v>72.3947</v>
      </c>
      <c r="J992" s="44">
        <f>745.5438</f>
        <v>745.54380000000003</v>
      </c>
    </row>
    <row r="993" spans="1:10" ht="15.75" x14ac:dyDescent="0.25">
      <c r="A993" s="32">
        <v>71163</v>
      </c>
      <c r="B993" s="14">
        <f>73.8624 * CHOOSE(CONTROL!$C$15, $E$9, 100%, $G$9) + CHOOSE(CONTROL!$C$38, 0.0256, 0)</f>
        <v>73.887999999999991</v>
      </c>
      <c r="C993" s="14">
        <f>69.8715 * CHOOSE(CONTROL!$C$15, $E$9, 100%, $G$9) + CHOOSE(CONTROL!$C$38, 0.0347, 0)</f>
        <v>69.906199999999998</v>
      </c>
      <c r="D993" s="14">
        <f>69.8637 * CHOOSE(CONTROL!$C$15, $E$9, 100%, $G$9) + CHOOSE(CONTROL!$C$38, 0.0347, 0)</f>
        <v>69.898399999999995</v>
      </c>
      <c r="E993" s="46">
        <f>73.7061 * CHOOSE(CONTROL!$C$15, $E$9, 100%, $G$9) + CHOOSE(CONTROL!$C$38, 0.0347, 0)</f>
        <v>73.740800000000007</v>
      </c>
      <c r="F993" s="45">
        <f>73.7061 * CHOOSE(CONTROL!$C$15, $E$9, 100%, $G$9) + CHOOSE(CONTROL!$C$38, 0.0256, 0)</f>
        <v>73.731700000000004</v>
      </c>
      <c r="G993" s="14">
        <f>69.8699 * CHOOSE(CONTROL!$C$15, $E$9, 100%, $G$9) + CHOOSE(CONTROL!$C$38, 0.0347, 0)</f>
        <v>69.904600000000002</v>
      </c>
      <c r="H993" s="14">
        <f>69.8699 * CHOOSE(CONTROL!$C$15, $E$9, 100%, $G$9) + CHOOSE(CONTROL!$C$38, 0.0347, 0)</f>
        <v>69.904600000000002</v>
      </c>
      <c r="I993" s="14">
        <f>69.8715 * CHOOSE(CONTROL!$C$15, $E$9, 100%, $G$9) + CHOOSE(CONTROL!$C$38, 0.0347, 0)</f>
        <v>69.906199999999998</v>
      </c>
      <c r="J993" s="44">
        <f>719.7621</f>
        <v>719.76210000000003</v>
      </c>
    </row>
    <row r="994" spans="1:10" ht="15.75" x14ac:dyDescent="0.25">
      <c r="A994" s="32">
        <v>71193</v>
      </c>
      <c r="B994" s="14">
        <f>73.3405 * CHOOSE(CONTROL!$C$15, $E$9, 100%, $G$9) + CHOOSE(CONTROL!$C$38, 0.0256, 0)</f>
        <v>73.366100000000003</v>
      </c>
      <c r="C994" s="14">
        <f>69.3769 * CHOOSE(CONTROL!$C$15, $E$9, 100%, $G$9) + CHOOSE(CONTROL!$C$38, 0.0347, 0)</f>
        <v>69.411600000000007</v>
      </c>
      <c r="D994" s="14">
        <f>69.3691 * CHOOSE(CONTROL!$C$15, $E$9, 100%, $G$9) + CHOOSE(CONTROL!$C$38, 0.0347, 0)</f>
        <v>69.403800000000004</v>
      </c>
      <c r="E994" s="46">
        <f>73.1843 * CHOOSE(CONTROL!$C$15, $E$9, 100%, $G$9) + CHOOSE(CONTROL!$C$38, 0.0347, 0)</f>
        <v>73.218999999999994</v>
      </c>
      <c r="F994" s="45">
        <f>73.1843 * CHOOSE(CONTROL!$C$15, $E$9, 100%, $G$9) + CHOOSE(CONTROL!$C$38, 0.0256, 0)</f>
        <v>73.20989999999999</v>
      </c>
      <c r="G994" s="14">
        <f>69.3754 * CHOOSE(CONTROL!$C$15, $E$9, 100%, $G$9) + CHOOSE(CONTROL!$C$38, 0.0347, 0)</f>
        <v>69.4101</v>
      </c>
      <c r="H994" s="14">
        <f>69.3754 * CHOOSE(CONTROL!$C$15, $E$9, 100%, $G$9) + CHOOSE(CONTROL!$C$38, 0.0347, 0)</f>
        <v>69.4101</v>
      </c>
      <c r="I994" s="14">
        <f>69.3769 * CHOOSE(CONTROL!$C$15, $E$9, 100%, $G$9) + CHOOSE(CONTROL!$C$38, 0.0347, 0)</f>
        <v>69.411600000000007</v>
      </c>
      <c r="J994" s="44">
        <f>714.6336</f>
        <v>714.6336</v>
      </c>
    </row>
    <row r="995" spans="1:10" ht="15.75" x14ac:dyDescent="0.25">
      <c r="A995" s="32">
        <v>71224</v>
      </c>
      <c r="B995" s="14">
        <f>71.1824 * CHOOSE(CONTROL!$C$15, $E$9, 100%, $G$9) + CHOOSE(CONTROL!$C$38, 0.0256, 0)</f>
        <v>71.207999999999998</v>
      </c>
      <c r="C995" s="14">
        <f>67.3318 * CHOOSE(CONTROL!$C$15, $E$9, 100%, $G$9) + CHOOSE(CONTROL!$C$38, 0.0347, 0)</f>
        <v>67.366500000000002</v>
      </c>
      <c r="D995" s="14">
        <f>67.324 * CHOOSE(CONTROL!$C$15, $E$9, 100%, $G$9) + CHOOSE(CONTROL!$C$38, 0.0347, 0)</f>
        <v>67.358699999999999</v>
      </c>
      <c r="E995" s="46">
        <f>71.0262 * CHOOSE(CONTROL!$C$15, $E$9, 100%, $G$9) + CHOOSE(CONTROL!$C$38, 0.0347, 0)</f>
        <v>71.060900000000004</v>
      </c>
      <c r="F995" s="45">
        <f>71.0262 * CHOOSE(CONTROL!$C$15, $E$9, 100%, $G$9) + CHOOSE(CONTROL!$C$38, 0.0256, 0)</f>
        <v>71.0518</v>
      </c>
      <c r="G995" s="14">
        <f>67.3303 * CHOOSE(CONTROL!$C$15, $E$9, 100%, $G$9) + CHOOSE(CONTROL!$C$38, 0.0347, 0)</f>
        <v>67.364999999999995</v>
      </c>
      <c r="H995" s="14">
        <f>67.3303 * CHOOSE(CONTROL!$C$15, $E$9, 100%, $G$9) + CHOOSE(CONTROL!$C$38, 0.0347, 0)</f>
        <v>67.364999999999995</v>
      </c>
      <c r="I995" s="14">
        <f>67.3318 * CHOOSE(CONTROL!$C$15, $E$9, 100%, $G$9) + CHOOSE(CONTROL!$C$38, 0.0347, 0)</f>
        <v>67.366500000000002</v>
      </c>
      <c r="J995" s="44">
        <f>693.4268</f>
        <v>693.42679999999996</v>
      </c>
    </row>
    <row r="996" spans="1:10" ht="15.75" x14ac:dyDescent="0.25">
      <c r="A996" s="32">
        <v>71255</v>
      </c>
      <c r="B996" s="14">
        <f>70.6465 * CHOOSE(CONTROL!$C$15, $E$9, 100%, $G$9) + CHOOSE(CONTROL!$C$38, 0.0256, 0)</f>
        <v>70.6721</v>
      </c>
      <c r="C996" s="14">
        <f>66.824 * CHOOSE(CONTROL!$C$15, $E$9, 100%, $G$9) + CHOOSE(CONTROL!$C$38, 0.0347, 0)</f>
        <v>66.858699999999999</v>
      </c>
      <c r="D996" s="14">
        <f>66.8162 * CHOOSE(CONTROL!$C$15, $E$9, 100%, $G$9) + CHOOSE(CONTROL!$C$38, 0.0347, 0)</f>
        <v>66.850899999999996</v>
      </c>
      <c r="E996" s="46">
        <f>70.4903 * CHOOSE(CONTROL!$C$15, $E$9, 100%, $G$9) + CHOOSE(CONTROL!$C$38, 0.0347, 0)</f>
        <v>70.525000000000006</v>
      </c>
      <c r="F996" s="45">
        <f>70.4903 * CHOOSE(CONTROL!$C$15, $E$9, 100%, $G$9) + CHOOSE(CONTROL!$C$38, 0.0256, 0)</f>
        <v>70.515900000000002</v>
      </c>
      <c r="G996" s="14">
        <f>66.8224 * CHOOSE(CONTROL!$C$15, $E$9, 100%, $G$9) + CHOOSE(CONTROL!$C$38, 0.0347, 0)</f>
        <v>66.857100000000003</v>
      </c>
      <c r="H996" s="14">
        <f>66.8224 * CHOOSE(CONTROL!$C$15, $E$9, 100%, $G$9) + CHOOSE(CONTROL!$C$38, 0.0347, 0)</f>
        <v>66.857100000000003</v>
      </c>
      <c r="I996" s="14">
        <f>66.824 * CHOOSE(CONTROL!$C$15, $E$9, 100%, $G$9) + CHOOSE(CONTROL!$C$38, 0.0347, 0)</f>
        <v>66.858699999999999</v>
      </c>
      <c r="J996" s="44">
        <f>692.5326</f>
        <v>692.5326</v>
      </c>
    </row>
    <row r="997" spans="1:10" ht="15.75" x14ac:dyDescent="0.25">
      <c r="A997" s="32">
        <v>71283</v>
      </c>
      <c r="B997" s="14">
        <f>70.4518 * CHOOSE(CONTROL!$C$15, $E$9, 100%, $G$9) + CHOOSE(CONTROL!$C$38, 0.0256, 0)</f>
        <v>70.477400000000003</v>
      </c>
      <c r="C997" s="14">
        <f>66.6395 * CHOOSE(CONTROL!$C$15, $E$9, 100%, $G$9) + CHOOSE(CONTROL!$C$38, 0.0347, 0)</f>
        <v>66.674199999999999</v>
      </c>
      <c r="D997" s="14">
        <f>66.6317 * CHOOSE(CONTROL!$C$15, $E$9, 100%, $G$9) + CHOOSE(CONTROL!$C$38, 0.0347, 0)</f>
        <v>66.666399999999996</v>
      </c>
      <c r="E997" s="46">
        <f>70.2956 * CHOOSE(CONTROL!$C$15, $E$9, 100%, $G$9) + CHOOSE(CONTROL!$C$38, 0.0347, 0)</f>
        <v>70.330299999999994</v>
      </c>
      <c r="F997" s="45">
        <f>70.2956 * CHOOSE(CONTROL!$C$15, $E$9, 100%, $G$9) + CHOOSE(CONTROL!$C$38, 0.0256, 0)</f>
        <v>70.32119999999999</v>
      </c>
      <c r="G997" s="14">
        <f>66.6379 * CHOOSE(CONTROL!$C$15, $E$9, 100%, $G$9) + CHOOSE(CONTROL!$C$38, 0.0347, 0)</f>
        <v>66.672600000000003</v>
      </c>
      <c r="H997" s="14">
        <f>66.6379 * CHOOSE(CONTROL!$C$15, $E$9, 100%, $G$9) + CHOOSE(CONTROL!$C$38, 0.0347, 0)</f>
        <v>66.672600000000003</v>
      </c>
      <c r="I997" s="14">
        <f>66.6395 * CHOOSE(CONTROL!$C$15, $E$9, 100%, $G$9) + CHOOSE(CONTROL!$C$38, 0.0347, 0)</f>
        <v>66.674199999999999</v>
      </c>
      <c r="J997" s="44">
        <f>690.6076</f>
        <v>690.60760000000005</v>
      </c>
    </row>
    <row r="998" spans="1:10" ht="15.75" x14ac:dyDescent="0.25">
      <c r="A998" s="32">
        <v>71314</v>
      </c>
      <c r="B998" s="14">
        <f>74.1325 * CHOOSE(CONTROL!$C$15, $E$9, 100%, $G$9) + CHOOSE(CONTROL!$C$38, 0.0256, 0)</f>
        <v>74.15809999999999</v>
      </c>
      <c r="C998" s="14">
        <f>70.1275 * CHOOSE(CONTROL!$C$15, $E$9, 100%, $G$9) + CHOOSE(CONTROL!$C$38, 0.0347, 0)</f>
        <v>70.162199999999999</v>
      </c>
      <c r="D998" s="14">
        <f>70.1197 * CHOOSE(CONTROL!$C$15, $E$9, 100%, $G$9) + CHOOSE(CONTROL!$C$38, 0.0347, 0)</f>
        <v>70.154399999999995</v>
      </c>
      <c r="E998" s="46">
        <f>73.9763 * CHOOSE(CONTROL!$C$15, $E$9, 100%, $G$9) + CHOOSE(CONTROL!$C$38, 0.0347, 0)</f>
        <v>74.010999999999996</v>
      </c>
      <c r="F998" s="45">
        <f>73.9763 * CHOOSE(CONTROL!$C$15, $E$9, 100%, $G$9) + CHOOSE(CONTROL!$C$38, 0.0256, 0)</f>
        <v>74.001899999999992</v>
      </c>
      <c r="G998" s="14">
        <f>70.1259 * CHOOSE(CONTROL!$C$15, $E$9, 100%, $G$9) + CHOOSE(CONTROL!$C$38, 0.0347, 0)</f>
        <v>70.160600000000002</v>
      </c>
      <c r="H998" s="14">
        <f>70.1259 * CHOOSE(CONTROL!$C$15, $E$9, 100%, $G$9) + CHOOSE(CONTROL!$C$38, 0.0347, 0)</f>
        <v>70.160600000000002</v>
      </c>
      <c r="I998" s="14">
        <f>70.1275 * CHOOSE(CONTROL!$C$15, $E$9, 100%, $G$9) + CHOOSE(CONTROL!$C$38, 0.0347, 0)</f>
        <v>70.162199999999999</v>
      </c>
      <c r="J998" s="44">
        <f>727.0066</f>
        <v>727.00660000000005</v>
      </c>
    </row>
    <row r="999" spans="1:10" ht="15.75" x14ac:dyDescent="0.25">
      <c r="A999" s="32">
        <v>71344</v>
      </c>
      <c r="B999" s="14">
        <f>78.9055 * CHOOSE(CONTROL!$C$15, $E$9, 100%, $G$9) + CHOOSE(CONTROL!$C$38, 0.0256, 0)</f>
        <v>78.931100000000001</v>
      </c>
      <c r="C999" s="14">
        <f>74.6506 * CHOOSE(CONTROL!$C$15, $E$9, 100%, $G$9) + CHOOSE(CONTROL!$C$38, 0.0347, 0)</f>
        <v>74.685299999999998</v>
      </c>
      <c r="D999" s="14">
        <f>74.6428 * CHOOSE(CONTROL!$C$15, $E$9, 100%, $G$9) + CHOOSE(CONTROL!$C$38, 0.0347, 0)</f>
        <v>74.677499999999995</v>
      </c>
      <c r="E999" s="46">
        <f>78.7493 * CHOOSE(CONTROL!$C$15, $E$9, 100%, $G$9) + CHOOSE(CONTROL!$C$38, 0.0347, 0)</f>
        <v>78.784000000000006</v>
      </c>
      <c r="F999" s="45">
        <f>78.7493 * CHOOSE(CONTROL!$C$15, $E$9, 100%, $G$9) + CHOOSE(CONTROL!$C$38, 0.0256, 0)</f>
        <v>78.774900000000002</v>
      </c>
      <c r="G999" s="14">
        <f>74.649 * CHOOSE(CONTROL!$C$15, $E$9, 100%, $G$9) + CHOOSE(CONTROL!$C$38, 0.0347, 0)</f>
        <v>74.683700000000002</v>
      </c>
      <c r="H999" s="14">
        <f>74.649 * CHOOSE(CONTROL!$C$15, $E$9, 100%, $G$9) + CHOOSE(CONTROL!$C$38, 0.0347, 0)</f>
        <v>74.683700000000002</v>
      </c>
      <c r="I999" s="14">
        <f>74.6506 * CHOOSE(CONTROL!$C$15, $E$9, 100%, $G$9) + CHOOSE(CONTROL!$C$38, 0.0347, 0)</f>
        <v>74.685299999999998</v>
      </c>
      <c r="J999" s="44">
        <f>774.2075</f>
        <v>774.20749999999998</v>
      </c>
    </row>
    <row r="1000" spans="1:10" ht="15.75" x14ac:dyDescent="0.25">
      <c r="A1000" s="32">
        <v>71375</v>
      </c>
      <c r="B1000" s="14">
        <f>81.5327 * CHOOSE(CONTROL!$C$15, $E$9, 100%, $G$9) + CHOOSE(CONTROL!$C$38, 0.0278, 0)</f>
        <v>81.560500000000005</v>
      </c>
      <c r="C1000" s="14">
        <f>77.1403 * CHOOSE(CONTROL!$C$15, $E$9, 100%, $G$9) + CHOOSE(CONTROL!$C$38, 0.0369, 0)</f>
        <v>77.177199999999999</v>
      </c>
      <c r="D1000" s="14">
        <f>77.1324 * CHOOSE(CONTROL!$C$15, $E$9, 100%, $G$9) + CHOOSE(CONTROL!$C$38, 0.0369, 0)</f>
        <v>77.169300000000007</v>
      </c>
      <c r="E1000" s="46">
        <f>81.3765 * CHOOSE(CONTROL!$C$15, $E$9, 100%, $G$9) + CHOOSE(CONTROL!$C$38, 0.0369, 0)</f>
        <v>81.413399999999996</v>
      </c>
      <c r="F1000" s="45">
        <f>81.3765 * CHOOSE(CONTROL!$C$15, $E$9, 100%, $G$9) + CHOOSE(CONTROL!$C$38, 0.0278, 0)</f>
        <v>81.404299999999992</v>
      </c>
      <c r="G1000" s="14">
        <f>77.1387 * CHOOSE(CONTROL!$C$15, $E$9, 100%, $G$9) + CHOOSE(CONTROL!$C$38, 0.0369, 0)</f>
        <v>77.175600000000003</v>
      </c>
      <c r="H1000" s="14">
        <f>77.1387 * CHOOSE(CONTROL!$C$15, $E$9, 100%, $G$9) + CHOOSE(CONTROL!$C$38, 0.0369, 0)</f>
        <v>77.175600000000003</v>
      </c>
      <c r="I1000" s="14">
        <f>77.1403 * CHOOSE(CONTROL!$C$15, $E$9, 100%, $G$9) + CHOOSE(CONTROL!$C$38, 0.0369, 0)</f>
        <v>77.177199999999999</v>
      </c>
      <c r="J1000" s="44">
        <f>800.1883</f>
        <v>800.18830000000003</v>
      </c>
    </row>
    <row r="1001" spans="1:10" ht="15.75" x14ac:dyDescent="0.25">
      <c r="A1001" s="32">
        <v>71405</v>
      </c>
      <c r="B1001" s="14">
        <f>82.6986 * CHOOSE(CONTROL!$C$15, $E$9, 100%, $G$9) + CHOOSE(CONTROL!$C$38, 0.0278, 0)</f>
        <v>82.726399999999998</v>
      </c>
      <c r="C1001" s="14">
        <f>78.2451 * CHOOSE(CONTROL!$C$15, $E$9, 100%, $G$9) + CHOOSE(CONTROL!$C$38, 0.0369, 0)</f>
        <v>78.281999999999996</v>
      </c>
      <c r="D1001" s="14">
        <f>78.2373 * CHOOSE(CONTROL!$C$15, $E$9, 100%, $G$9) + CHOOSE(CONTROL!$C$38, 0.0369, 0)</f>
        <v>78.274200000000008</v>
      </c>
      <c r="E1001" s="46">
        <f>82.5424 * CHOOSE(CONTROL!$C$15, $E$9, 100%, $G$9) + CHOOSE(CONTROL!$C$38, 0.0369, 0)</f>
        <v>82.579300000000003</v>
      </c>
      <c r="F1001" s="45">
        <f>82.5424 * CHOOSE(CONTROL!$C$15, $E$9, 100%, $G$9) + CHOOSE(CONTROL!$C$38, 0.0278, 0)</f>
        <v>82.5702</v>
      </c>
      <c r="G1001" s="14">
        <f>78.2436 * CHOOSE(CONTROL!$C$15, $E$9, 100%, $G$9) + CHOOSE(CONTROL!$C$38, 0.0369, 0)</f>
        <v>78.280500000000004</v>
      </c>
      <c r="H1001" s="14">
        <f>78.2436 * CHOOSE(CONTROL!$C$15, $E$9, 100%, $G$9) + CHOOSE(CONTROL!$C$38, 0.0369, 0)</f>
        <v>78.280500000000004</v>
      </c>
      <c r="I1001" s="14">
        <f>78.2451 * CHOOSE(CONTROL!$C$15, $E$9, 100%, $G$9) + CHOOSE(CONTROL!$C$38, 0.0369, 0)</f>
        <v>78.281999999999996</v>
      </c>
      <c r="J1001" s="44">
        <f>811.7182</f>
        <v>811.71820000000002</v>
      </c>
    </row>
    <row r="1002" spans="1:10" ht="15.75" x14ac:dyDescent="0.25">
      <c r="A1002" s="32">
        <v>71436</v>
      </c>
      <c r="B1002" s="14">
        <f>82.3147 * CHOOSE(CONTROL!$C$15, $E$9, 100%, $G$9) + CHOOSE(CONTROL!$C$38, 0.0278, 0)</f>
        <v>82.342500000000001</v>
      </c>
      <c r="C1002" s="14">
        <f>77.8813 * CHOOSE(CONTROL!$C$15, $E$9, 100%, $G$9) + CHOOSE(CONTROL!$C$38, 0.0369, 0)</f>
        <v>77.918199999999999</v>
      </c>
      <c r="D1002" s="14">
        <f>77.8735 * CHOOSE(CONTROL!$C$15, $E$9, 100%, $G$9) + CHOOSE(CONTROL!$C$38, 0.0369, 0)</f>
        <v>77.91040000000001</v>
      </c>
      <c r="E1002" s="46">
        <f>82.1585 * CHOOSE(CONTROL!$C$15, $E$9, 100%, $G$9) + CHOOSE(CONTROL!$C$38, 0.0369, 0)</f>
        <v>82.195400000000006</v>
      </c>
      <c r="F1002" s="45">
        <f>82.1585 * CHOOSE(CONTROL!$C$15, $E$9, 100%, $G$9) + CHOOSE(CONTROL!$C$38, 0.0278, 0)</f>
        <v>82.186300000000003</v>
      </c>
      <c r="G1002" s="14">
        <f>77.8798 * CHOOSE(CONTROL!$C$15, $E$9, 100%, $G$9) + CHOOSE(CONTROL!$C$38, 0.0369, 0)</f>
        <v>77.916700000000006</v>
      </c>
      <c r="H1002" s="14">
        <f>77.8798 * CHOOSE(CONTROL!$C$15, $E$9, 100%, $G$9) + CHOOSE(CONTROL!$C$38, 0.0369, 0)</f>
        <v>77.916700000000006</v>
      </c>
      <c r="I1002" s="14">
        <f>77.8813 * CHOOSE(CONTROL!$C$15, $E$9, 100%, $G$9) + CHOOSE(CONTROL!$C$38, 0.0369, 0)</f>
        <v>77.918199999999999</v>
      </c>
      <c r="J1002" s="44">
        <f>807.922</f>
        <v>807.92200000000003</v>
      </c>
    </row>
    <row r="1003" spans="1:10" ht="15.75" x14ac:dyDescent="0.25">
      <c r="A1003" s="32">
        <v>71467</v>
      </c>
      <c r="B1003" s="14">
        <f>80.4129 * CHOOSE(CONTROL!$C$15, $E$9, 100%, $G$9) + CHOOSE(CONTROL!$C$38, 0.0278, 0)</f>
        <v>80.440699999999993</v>
      </c>
      <c r="C1003" s="14">
        <f>76.079 * CHOOSE(CONTROL!$C$15, $E$9, 100%, $G$9) + CHOOSE(CONTROL!$C$38, 0.0369, 0)</f>
        <v>76.115899999999996</v>
      </c>
      <c r="D1003" s="14">
        <f>76.0712 * CHOOSE(CONTROL!$C$15, $E$9, 100%, $G$9) + CHOOSE(CONTROL!$C$38, 0.0369, 0)</f>
        <v>76.108100000000007</v>
      </c>
      <c r="E1003" s="46">
        <f>80.2566 * CHOOSE(CONTROL!$C$15, $E$9, 100%, $G$9) + CHOOSE(CONTROL!$C$38, 0.0369, 0)</f>
        <v>80.293500000000009</v>
      </c>
      <c r="F1003" s="45">
        <f>80.2566 * CHOOSE(CONTROL!$C$15, $E$9, 100%, $G$9) + CHOOSE(CONTROL!$C$38, 0.0278, 0)</f>
        <v>80.284400000000005</v>
      </c>
      <c r="G1003" s="14">
        <f>76.0775 * CHOOSE(CONTROL!$C$15, $E$9, 100%, $G$9) + CHOOSE(CONTROL!$C$38, 0.0369, 0)</f>
        <v>76.114400000000003</v>
      </c>
      <c r="H1003" s="14">
        <f>76.0775 * CHOOSE(CONTROL!$C$15, $E$9, 100%, $G$9) + CHOOSE(CONTROL!$C$38, 0.0369, 0)</f>
        <v>76.114400000000003</v>
      </c>
      <c r="I1003" s="14">
        <f>76.079 * CHOOSE(CONTROL!$C$15, $E$9, 100%, $G$9) + CHOOSE(CONTROL!$C$38, 0.0369, 0)</f>
        <v>76.115899999999996</v>
      </c>
      <c r="J1003" s="44">
        <f>789.1139</f>
        <v>789.11389999999994</v>
      </c>
    </row>
    <row r="1004" spans="1:10" ht="15.75" x14ac:dyDescent="0.25">
      <c r="A1004" s="32">
        <v>71497</v>
      </c>
      <c r="B1004" s="14">
        <f>77.7606 * CHOOSE(CONTROL!$C$15, $E$9, 100%, $G$9) + CHOOSE(CONTROL!$C$38, 0.0278, 0)</f>
        <v>77.788399999999996</v>
      </c>
      <c r="C1004" s="14">
        <f>73.5656 * CHOOSE(CONTROL!$C$15, $E$9, 100%, $G$9) + CHOOSE(CONTROL!$C$38, 0.0369, 0)</f>
        <v>73.602500000000006</v>
      </c>
      <c r="D1004" s="14">
        <f>73.5578 * CHOOSE(CONTROL!$C$15, $E$9, 100%, $G$9) + CHOOSE(CONTROL!$C$38, 0.0369, 0)</f>
        <v>73.594700000000003</v>
      </c>
      <c r="E1004" s="46">
        <f>77.6043 * CHOOSE(CONTROL!$C$15, $E$9, 100%, $G$9) + CHOOSE(CONTROL!$C$38, 0.0369, 0)</f>
        <v>77.641199999999998</v>
      </c>
      <c r="F1004" s="45">
        <f>77.6043 * CHOOSE(CONTROL!$C$15, $E$9, 100%, $G$9) + CHOOSE(CONTROL!$C$38, 0.0278, 0)</f>
        <v>77.632099999999994</v>
      </c>
      <c r="G1004" s="14">
        <f>73.5641 * CHOOSE(CONTROL!$C$15, $E$9, 100%, $G$9) + CHOOSE(CONTROL!$C$38, 0.0369, 0)</f>
        <v>73.600999999999999</v>
      </c>
      <c r="H1004" s="14">
        <f>73.5641 * CHOOSE(CONTROL!$C$15, $E$9, 100%, $G$9) + CHOOSE(CONTROL!$C$38, 0.0369, 0)</f>
        <v>73.600999999999999</v>
      </c>
      <c r="I1004" s="14">
        <f>73.5656 * CHOOSE(CONTROL!$C$15, $E$9, 100%, $G$9) + CHOOSE(CONTROL!$C$38, 0.0369, 0)</f>
        <v>73.602500000000006</v>
      </c>
      <c r="J1004" s="44">
        <f>762.8851</f>
        <v>762.88509999999997</v>
      </c>
    </row>
    <row r="1005" spans="1:10" ht="15.75" x14ac:dyDescent="0.25">
      <c r="A1005" s="32">
        <v>71528</v>
      </c>
      <c r="B1005" s="14">
        <f>75.0929 * CHOOSE(CONTROL!$C$15, $E$9, 100%, $G$9) + CHOOSE(CONTROL!$C$38, 0.0256, 0)</f>
        <v>75.118499999999997</v>
      </c>
      <c r="C1005" s="14">
        <f>71.0376 * CHOOSE(CONTROL!$C$15, $E$9, 100%, $G$9) + CHOOSE(CONTROL!$C$38, 0.0347, 0)</f>
        <v>71.072299999999998</v>
      </c>
      <c r="D1005" s="14">
        <f>71.0298 * CHOOSE(CONTROL!$C$15, $E$9, 100%, $G$9) + CHOOSE(CONTROL!$C$38, 0.0347, 0)</f>
        <v>71.064499999999995</v>
      </c>
      <c r="E1005" s="46">
        <f>74.9366 * CHOOSE(CONTROL!$C$15, $E$9, 100%, $G$9) + CHOOSE(CONTROL!$C$38, 0.0347, 0)</f>
        <v>74.971299999999999</v>
      </c>
      <c r="F1005" s="45">
        <f>74.9366 * CHOOSE(CONTROL!$C$15, $E$9, 100%, $G$9) + CHOOSE(CONTROL!$C$38, 0.0256, 0)</f>
        <v>74.962199999999996</v>
      </c>
      <c r="G1005" s="14">
        <f>71.036 * CHOOSE(CONTROL!$C$15, $E$9, 100%, $G$9) + CHOOSE(CONTROL!$C$38, 0.0347, 0)</f>
        <v>71.070700000000002</v>
      </c>
      <c r="H1005" s="14">
        <f>71.036 * CHOOSE(CONTROL!$C$15, $E$9, 100%, $G$9) + CHOOSE(CONTROL!$C$38, 0.0347, 0)</f>
        <v>71.070700000000002</v>
      </c>
      <c r="I1005" s="14">
        <f>71.0376 * CHOOSE(CONTROL!$C$15, $E$9, 100%, $G$9) + CHOOSE(CONTROL!$C$38, 0.0347, 0)</f>
        <v>71.072299999999998</v>
      </c>
      <c r="J1005" s="44">
        <f>736.5038</f>
        <v>736.50379999999996</v>
      </c>
    </row>
    <row r="1006" spans="1:10" ht="15.75" x14ac:dyDescent="0.25">
      <c r="A1006" s="32">
        <v>71558</v>
      </c>
      <c r="B1006" s="14">
        <f>74.5622 * CHOOSE(CONTROL!$C$15, $E$9, 100%, $G$9) + CHOOSE(CONTROL!$C$38, 0.0256, 0)</f>
        <v>74.587800000000001</v>
      </c>
      <c r="C1006" s="14">
        <f>70.5347 * CHOOSE(CONTROL!$C$15, $E$9, 100%, $G$9) + CHOOSE(CONTROL!$C$38, 0.0347, 0)</f>
        <v>70.569400000000002</v>
      </c>
      <c r="D1006" s="14">
        <f>70.5269 * CHOOSE(CONTROL!$C$15, $E$9, 100%, $G$9) + CHOOSE(CONTROL!$C$38, 0.0347, 0)</f>
        <v>70.561599999999999</v>
      </c>
      <c r="E1006" s="46">
        <f>74.406 * CHOOSE(CONTROL!$C$15, $E$9, 100%, $G$9) + CHOOSE(CONTROL!$C$38, 0.0347, 0)</f>
        <v>74.440700000000007</v>
      </c>
      <c r="F1006" s="45">
        <f>74.406 * CHOOSE(CONTROL!$C$15, $E$9, 100%, $G$9) + CHOOSE(CONTROL!$C$38, 0.0256, 0)</f>
        <v>74.431600000000003</v>
      </c>
      <c r="G1006" s="14">
        <f>70.5331 * CHOOSE(CONTROL!$C$15, $E$9, 100%, $G$9) + CHOOSE(CONTROL!$C$38, 0.0347, 0)</f>
        <v>70.567800000000005</v>
      </c>
      <c r="H1006" s="14">
        <f>70.5331 * CHOOSE(CONTROL!$C$15, $E$9, 100%, $G$9) + CHOOSE(CONTROL!$C$38, 0.0347, 0)</f>
        <v>70.567800000000005</v>
      </c>
      <c r="I1006" s="14">
        <f>70.5347 * CHOOSE(CONTROL!$C$15, $E$9, 100%, $G$9) + CHOOSE(CONTROL!$C$38, 0.0347, 0)</f>
        <v>70.569400000000002</v>
      </c>
      <c r="J1006" s="44">
        <f>731.256</f>
        <v>731.25599999999997</v>
      </c>
    </row>
    <row r="1007" spans="1:10" ht="15.75" x14ac:dyDescent="0.25">
      <c r="A1007" s="32">
        <v>71589</v>
      </c>
      <c r="B1007" s="14">
        <f>72.3679 * CHOOSE(CONTROL!$C$15, $E$9, 100%, $G$9) + CHOOSE(CONTROL!$C$38, 0.0256, 0)</f>
        <v>72.393500000000003</v>
      </c>
      <c r="C1007" s="14">
        <f>68.4553 * CHOOSE(CONTROL!$C$15, $E$9, 100%, $G$9) + CHOOSE(CONTROL!$C$38, 0.0347, 0)</f>
        <v>68.489999999999995</v>
      </c>
      <c r="D1007" s="14">
        <f>68.4474 * CHOOSE(CONTROL!$C$15, $E$9, 100%, $G$9) + CHOOSE(CONTROL!$C$38, 0.0347, 0)</f>
        <v>68.482100000000003</v>
      </c>
      <c r="E1007" s="46">
        <f>72.2117 * CHOOSE(CONTROL!$C$15, $E$9, 100%, $G$9) + CHOOSE(CONTROL!$C$38, 0.0347, 0)</f>
        <v>72.246399999999994</v>
      </c>
      <c r="F1007" s="45">
        <f>72.2117 * CHOOSE(CONTROL!$C$15, $E$9, 100%, $G$9) + CHOOSE(CONTROL!$C$38, 0.0256, 0)</f>
        <v>72.237299999999991</v>
      </c>
      <c r="G1007" s="14">
        <f>68.4537 * CHOOSE(CONTROL!$C$15, $E$9, 100%, $G$9) + CHOOSE(CONTROL!$C$38, 0.0347, 0)</f>
        <v>68.488399999999999</v>
      </c>
      <c r="H1007" s="14">
        <f>68.4537 * CHOOSE(CONTROL!$C$15, $E$9, 100%, $G$9) + CHOOSE(CONTROL!$C$38, 0.0347, 0)</f>
        <v>68.488399999999999</v>
      </c>
      <c r="I1007" s="14">
        <f>68.4553 * CHOOSE(CONTROL!$C$15, $E$9, 100%, $G$9) + CHOOSE(CONTROL!$C$38, 0.0347, 0)</f>
        <v>68.489999999999995</v>
      </c>
      <c r="J1007" s="44">
        <f>709.5559</f>
        <v>709.55589999999995</v>
      </c>
    </row>
    <row r="1008" spans="1:10" ht="15.75" x14ac:dyDescent="0.25">
      <c r="A1008" s="32">
        <v>71620</v>
      </c>
      <c r="B1008" s="14">
        <f>71.823 * CHOOSE(CONTROL!$C$15, $E$9, 100%, $G$9) + CHOOSE(CONTROL!$C$38, 0.0256, 0)</f>
        <v>71.84859999999999</v>
      </c>
      <c r="C1008" s="14">
        <f>67.9389 * CHOOSE(CONTROL!$C$15, $E$9, 100%, $G$9) + CHOOSE(CONTROL!$C$38, 0.0347, 0)</f>
        <v>67.973600000000005</v>
      </c>
      <c r="D1008" s="14">
        <f>67.931 * CHOOSE(CONTROL!$C$15, $E$9, 100%, $G$9) + CHOOSE(CONTROL!$C$38, 0.0347, 0)</f>
        <v>67.965699999999998</v>
      </c>
      <c r="E1008" s="46">
        <f>71.6667 * CHOOSE(CONTROL!$C$15, $E$9, 100%, $G$9) + CHOOSE(CONTROL!$C$38, 0.0347, 0)</f>
        <v>71.701400000000007</v>
      </c>
      <c r="F1008" s="45">
        <f>71.6667 * CHOOSE(CONTROL!$C$15, $E$9, 100%, $G$9) + CHOOSE(CONTROL!$C$38, 0.0256, 0)</f>
        <v>71.692300000000003</v>
      </c>
      <c r="G1008" s="14">
        <f>67.9373 * CHOOSE(CONTROL!$C$15, $E$9, 100%, $G$9) + CHOOSE(CONTROL!$C$38, 0.0347, 0)</f>
        <v>67.971999999999994</v>
      </c>
      <c r="H1008" s="14">
        <f>67.9373 * CHOOSE(CONTROL!$C$15, $E$9, 100%, $G$9) + CHOOSE(CONTROL!$C$38, 0.0347, 0)</f>
        <v>67.971999999999994</v>
      </c>
      <c r="I1008" s="14">
        <f>67.9389 * CHOOSE(CONTROL!$C$15, $E$9, 100%, $G$9) + CHOOSE(CONTROL!$C$38, 0.0347, 0)</f>
        <v>67.973600000000005</v>
      </c>
      <c r="J1008" s="44">
        <f>708.6409</f>
        <v>708.64089999999999</v>
      </c>
    </row>
    <row r="1009" spans="1:10" ht="15.75" x14ac:dyDescent="0.25">
      <c r="A1009" s="32">
        <v>71649</v>
      </c>
      <c r="B1009" s="14">
        <f>71.6251 * CHOOSE(CONTROL!$C$15, $E$9, 100%, $G$9) + CHOOSE(CONTROL!$C$38, 0.0256, 0)</f>
        <v>71.650700000000001</v>
      </c>
      <c r="C1009" s="14">
        <f>67.7513 * CHOOSE(CONTROL!$C$15, $E$9, 100%, $G$9) + CHOOSE(CONTROL!$C$38, 0.0347, 0)</f>
        <v>67.786000000000001</v>
      </c>
      <c r="D1009" s="14">
        <f>67.7435 * CHOOSE(CONTROL!$C$15, $E$9, 100%, $G$9) + CHOOSE(CONTROL!$C$38, 0.0347, 0)</f>
        <v>67.778199999999998</v>
      </c>
      <c r="E1009" s="46">
        <f>71.4688 * CHOOSE(CONTROL!$C$15, $E$9, 100%, $G$9) + CHOOSE(CONTROL!$C$38, 0.0347, 0)</f>
        <v>71.503500000000003</v>
      </c>
      <c r="F1009" s="45">
        <f>71.4688 * CHOOSE(CONTROL!$C$15, $E$9, 100%, $G$9) + CHOOSE(CONTROL!$C$38, 0.0256, 0)</f>
        <v>71.494399999999999</v>
      </c>
      <c r="G1009" s="14">
        <f>67.7497 * CHOOSE(CONTROL!$C$15, $E$9, 100%, $G$9) + CHOOSE(CONTROL!$C$38, 0.0347, 0)</f>
        <v>67.784400000000005</v>
      </c>
      <c r="H1009" s="14">
        <f>67.7497 * CHOOSE(CONTROL!$C$15, $E$9, 100%, $G$9) + CHOOSE(CONTROL!$C$38, 0.0347, 0)</f>
        <v>67.784400000000005</v>
      </c>
      <c r="I1009" s="14">
        <f>67.7513 * CHOOSE(CONTROL!$C$15, $E$9, 100%, $G$9) + CHOOSE(CONTROL!$C$38, 0.0347, 0)</f>
        <v>67.786000000000001</v>
      </c>
      <c r="J1009" s="44">
        <f>706.6712</f>
        <v>706.6712</v>
      </c>
    </row>
    <row r="1010" spans="1:10" ht="15.75" x14ac:dyDescent="0.25">
      <c r="A1010" s="32">
        <v>71680</v>
      </c>
      <c r="B1010" s="14">
        <f>75.3676 * CHOOSE(CONTROL!$C$15, $E$9, 100%, $G$9) + CHOOSE(CONTROL!$C$38, 0.0256, 0)</f>
        <v>75.393199999999993</v>
      </c>
      <c r="C1010" s="14">
        <f>71.2979 * CHOOSE(CONTROL!$C$15, $E$9, 100%, $G$9) + CHOOSE(CONTROL!$C$38, 0.0347, 0)</f>
        <v>71.332599999999999</v>
      </c>
      <c r="D1010" s="14">
        <f>71.2901 * CHOOSE(CONTROL!$C$15, $E$9, 100%, $G$9) + CHOOSE(CONTROL!$C$38, 0.0347, 0)</f>
        <v>71.324799999999996</v>
      </c>
      <c r="E1010" s="46">
        <f>75.2113 * CHOOSE(CONTROL!$C$15, $E$9, 100%, $G$9) + CHOOSE(CONTROL!$C$38, 0.0347, 0)</f>
        <v>75.245999999999995</v>
      </c>
      <c r="F1010" s="45">
        <f>75.2113 * CHOOSE(CONTROL!$C$15, $E$9, 100%, $G$9) + CHOOSE(CONTROL!$C$38, 0.0256, 0)</f>
        <v>75.236899999999991</v>
      </c>
      <c r="G1010" s="14">
        <f>71.2963 * CHOOSE(CONTROL!$C$15, $E$9, 100%, $G$9) + CHOOSE(CONTROL!$C$38, 0.0347, 0)</f>
        <v>71.331000000000003</v>
      </c>
      <c r="H1010" s="14">
        <f>71.2963 * CHOOSE(CONTROL!$C$15, $E$9, 100%, $G$9) + CHOOSE(CONTROL!$C$38, 0.0347, 0)</f>
        <v>71.331000000000003</v>
      </c>
      <c r="I1010" s="14">
        <f>71.2979 * CHOOSE(CONTROL!$C$15, $E$9, 100%, $G$9) + CHOOSE(CONTROL!$C$38, 0.0347, 0)</f>
        <v>71.332599999999999</v>
      </c>
      <c r="J1010" s="44">
        <f>743.9168</f>
        <v>743.91679999999997</v>
      </c>
    </row>
    <row r="1011" spans="1:10" ht="15.75" x14ac:dyDescent="0.25">
      <c r="A1011" s="32">
        <v>71710</v>
      </c>
      <c r="B1011" s="14">
        <f>80.2207 * CHOOSE(CONTROL!$C$15, $E$9, 100%, $G$9) + CHOOSE(CONTROL!$C$38, 0.0256, 0)</f>
        <v>80.246299999999991</v>
      </c>
      <c r="C1011" s="14">
        <f>75.897 * CHOOSE(CONTROL!$C$15, $E$9, 100%, $G$9) + CHOOSE(CONTROL!$C$38, 0.0347, 0)</f>
        <v>75.931700000000006</v>
      </c>
      <c r="D1011" s="14">
        <f>75.8892 * CHOOSE(CONTROL!$C$15, $E$9, 100%, $G$9) + CHOOSE(CONTROL!$C$38, 0.0347, 0)</f>
        <v>75.923900000000003</v>
      </c>
      <c r="E1011" s="46">
        <f>80.0645 * CHOOSE(CONTROL!$C$15, $E$9, 100%, $G$9) + CHOOSE(CONTROL!$C$38, 0.0347, 0)</f>
        <v>80.099199999999996</v>
      </c>
      <c r="F1011" s="45">
        <f>80.0645 * CHOOSE(CONTROL!$C$15, $E$9, 100%, $G$9) + CHOOSE(CONTROL!$C$38, 0.0256, 0)</f>
        <v>80.090099999999993</v>
      </c>
      <c r="G1011" s="14">
        <f>75.8954 * CHOOSE(CONTROL!$C$15, $E$9, 100%, $G$9) + CHOOSE(CONTROL!$C$38, 0.0347, 0)</f>
        <v>75.930099999999996</v>
      </c>
      <c r="H1011" s="14">
        <f>75.8954 * CHOOSE(CONTROL!$C$15, $E$9, 100%, $G$9) + CHOOSE(CONTROL!$C$38, 0.0347, 0)</f>
        <v>75.930099999999996</v>
      </c>
      <c r="I1011" s="14">
        <f>75.897 * CHOOSE(CONTROL!$C$15, $E$9, 100%, $G$9) + CHOOSE(CONTROL!$C$38, 0.0347, 0)</f>
        <v>75.931700000000006</v>
      </c>
      <c r="J1011" s="44">
        <f>792.2155</f>
        <v>792.21550000000002</v>
      </c>
    </row>
    <row r="1012" spans="1:10" ht="15.75" x14ac:dyDescent="0.25">
      <c r="A1012" s="32">
        <v>71741</v>
      </c>
      <c r="B1012" s="14">
        <f>82.8921 * CHOOSE(CONTROL!$C$15, $E$9, 100%, $G$9) + CHOOSE(CONTROL!$C$38, 0.0278, 0)</f>
        <v>82.919899999999998</v>
      </c>
      <c r="C1012" s="14">
        <f>78.4284 * CHOOSE(CONTROL!$C$15, $E$9, 100%, $G$9) + CHOOSE(CONTROL!$C$38, 0.0369, 0)</f>
        <v>78.465299999999999</v>
      </c>
      <c r="D1012" s="14">
        <f>78.4206 * CHOOSE(CONTROL!$C$15, $E$9, 100%, $G$9) + CHOOSE(CONTROL!$C$38, 0.0369, 0)</f>
        <v>78.457499999999996</v>
      </c>
      <c r="E1012" s="46">
        <f>82.7358 * CHOOSE(CONTROL!$C$15, $E$9, 100%, $G$9) + CHOOSE(CONTROL!$C$38, 0.0369, 0)</f>
        <v>82.7727</v>
      </c>
      <c r="F1012" s="45">
        <f>82.7358 * CHOOSE(CONTROL!$C$15, $E$9, 100%, $G$9) + CHOOSE(CONTROL!$C$38, 0.0278, 0)</f>
        <v>82.763599999999997</v>
      </c>
      <c r="G1012" s="14">
        <f>78.4269 * CHOOSE(CONTROL!$C$15, $E$9, 100%, $G$9) + CHOOSE(CONTROL!$C$38, 0.0369, 0)</f>
        <v>78.463800000000006</v>
      </c>
      <c r="H1012" s="14">
        <f>78.4269 * CHOOSE(CONTROL!$C$15, $E$9, 100%, $G$9) + CHOOSE(CONTROL!$C$38, 0.0369, 0)</f>
        <v>78.463800000000006</v>
      </c>
      <c r="I1012" s="14">
        <f>78.4284 * CHOOSE(CONTROL!$C$15, $E$9, 100%, $G$9) + CHOOSE(CONTROL!$C$38, 0.0369, 0)</f>
        <v>78.465299999999999</v>
      </c>
      <c r="J1012" s="44">
        <f>818.8007</f>
        <v>818.80070000000001</v>
      </c>
    </row>
    <row r="1013" spans="1:10" ht="15.75" x14ac:dyDescent="0.25">
      <c r="A1013" s="32">
        <v>71771</v>
      </c>
      <c r="B1013" s="14">
        <f>84.0776 * CHOOSE(CONTROL!$C$15, $E$9, 100%, $G$9) + CHOOSE(CONTROL!$C$38, 0.0278, 0)</f>
        <v>84.105400000000003</v>
      </c>
      <c r="C1013" s="14">
        <f>79.5519 * CHOOSE(CONTROL!$C$15, $E$9, 100%, $G$9) + CHOOSE(CONTROL!$C$38, 0.0369, 0)</f>
        <v>79.588800000000006</v>
      </c>
      <c r="D1013" s="14">
        <f>79.5441 * CHOOSE(CONTROL!$C$15, $E$9, 100%, $G$9) + CHOOSE(CONTROL!$C$38, 0.0369, 0)</f>
        <v>79.581000000000003</v>
      </c>
      <c r="E1013" s="46">
        <f>83.9213 * CHOOSE(CONTROL!$C$15, $E$9, 100%, $G$9) + CHOOSE(CONTROL!$C$38, 0.0369, 0)</f>
        <v>83.958200000000005</v>
      </c>
      <c r="F1013" s="45">
        <f>83.9213 * CHOOSE(CONTROL!$C$15, $E$9, 100%, $G$9) + CHOOSE(CONTROL!$C$38, 0.0278, 0)</f>
        <v>83.949100000000001</v>
      </c>
      <c r="G1013" s="14">
        <f>79.5503 * CHOOSE(CONTROL!$C$15, $E$9, 100%, $G$9) + CHOOSE(CONTROL!$C$38, 0.0369, 0)</f>
        <v>79.587199999999996</v>
      </c>
      <c r="H1013" s="14">
        <f>79.5503 * CHOOSE(CONTROL!$C$15, $E$9, 100%, $G$9) + CHOOSE(CONTROL!$C$38, 0.0369, 0)</f>
        <v>79.587199999999996</v>
      </c>
      <c r="I1013" s="14">
        <f>79.5519 * CHOOSE(CONTROL!$C$15, $E$9, 100%, $G$9) + CHOOSE(CONTROL!$C$38, 0.0369, 0)</f>
        <v>79.588800000000006</v>
      </c>
      <c r="J1013" s="44">
        <f>830.5988</f>
        <v>830.59879999999998</v>
      </c>
    </row>
    <row r="1014" spans="1:10" ht="15.75" x14ac:dyDescent="0.25">
      <c r="A1014" s="32">
        <v>71802</v>
      </c>
      <c r="B1014" s="14">
        <f>83.6872 * CHOOSE(CONTROL!$C$15, $E$9, 100%, $G$9) + CHOOSE(CONTROL!$C$38, 0.0278, 0)</f>
        <v>83.715000000000003</v>
      </c>
      <c r="C1014" s="14">
        <f>79.182 * CHOOSE(CONTROL!$C$15, $E$9, 100%, $G$9) + CHOOSE(CONTROL!$C$38, 0.0369, 0)</f>
        <v>79.218900000000005</v>
      </c>
      <c r="D1014" s="14">
        <f>79.1742 * CHOOSE(CONTROL!$C$15, $E$9, 100%, $G$9) + CHOOSE(CONTROL!$C$38, 0.0369, 0)</f>
        <v>79.211100000000002</v>
      </c>
      <c r="E1014" s="46">
        <f>83.531 * CHOOSE(CONTROL!$C$15, $E$9, 100%, $G$9) + CHOOSE(CONTROL!$C$38, 0.0369, 0)</f>
        <v>83.567900000000009</v>
      </c>
      <c r="F1014" s="45">
        <f>83.531 * CHOOSE(CONTROL!$C$15, $E$9, 100%, $G$9) + CHOOSE(CONTROL!$C$38, 0.0278, 0)</f>
        <v>83.558800000000005</v>
      </c>
      <c r="G1014" s="14">
        <f>79.1804 * CHOOSE(CONTROL!$C$15, $E$9, 100%, $G$9) + CHOOSE(CONTROL!$C$38, 0.0369, 0)</f>
        <v>79.217300000000009</v>
      </c>
      <c r="H1014" s="14">
        <f>79.1804 * CHOOSE(CONTROL!$C$15, $E$9, 100%, $G$9) + CHOOSE(CONTROL!$C$38, 0.0369, 0)</f>
        <v>79.217300000000009</v>
      </c>
      <c r="I1014" s="14">
        <f>79.182 * CHOOSE(CONTROL!$C$15, $E$9, 100%, $G$9) + CHOOSE(CONTROL!$C$38, 0.0369, 0)</f>
        <v>79.218900000000005</v>
      </c>
      <c r="J1014" s="44">
        <f>826.7143</f>
        <v>826.71429999999998</v>
      </c>
    </row>
    <row r="1015" spans="1:10" ht="15.75" x14ac:dyDescent="0.25">
      <c r="A1015" s="32">
        <v>71833</v>
      </c>
      <c r="B1015" s="14">
        <f>81.7534 * CHOOSE(CONTROL!$C$15, $E$9, 100%, $G$9) + CHOOSE(CONTROL!$C$38, 0.0278, 0)</f>
        <v>81.781199999999998</v>
      </c>
      <c r="C1015" s="14">
        <f>77.3494 * CHOOSE(CONTROL!$C$15, $E$9, 100%, $G$9) + CHOOSE(CONTROL!$C$38, 0.0369, 0)</f>
        <v>77.386300000000006</v>
      </c>
      <c r="D1015" s="14">
        <f>77.3416 * CHOOSE(CONTROL!$C$15, $E$9, 100%, $G$9) + CHOOSE(CONTROL!$C$38, 0.0369, 0)</f>
        <v>77.378500000000003</v>
      </c>
      <c r="E1015" s="46">
        <f>81.5972 * CHOOSE(CONTROL!$C$15, $E$9, 100%, $G$9) + CHOOSE(CONTROL!$C$38, 0.0369, 0)</f>
        <v>81.634100000000004</v>
      </c>
      <c r="F1015" s="45">
        <f>81.5972 * CHOOSE(CONTROL!$C$15, $E$9, 100%, $G$9) + CHOOSE(CONTROL!$C$38, 0.0278, 0)</f>
        <v>81.625</v>
      </c>
      <c r="G1015" s="14">
        <f>77.3478 * CHOOSE(CONTROL!$C$15, $E$9, 100%, $G$9) + CHOOSE(CONTROL!$C$38, 0.0369, 0)</f>
        <v>77.384700000000009</v>
      </c>
      <c r="H1015" s="14">
        <f>77.3478 * CHOOSE(CONTROL!$C$15, $E$9, 100%, $G$9) + CHOOSE(CONTROL!$C$38, 0.0369, 0)</f>
        <v>77.384700000000009</v>
      </c>
      <c r="I1015" s="14">
        <f>77.3494 * CHOOSE(CONTROL!$C$15, $E$9, 100%, $G$9) + CHOOSE(CONTROL!$C$38, 0.0369, 0)</f>
        <v>77.386300000000006</v>
      </c>
      <c r="J1015" s="44">
        <f>807.4687</f>
        <v>807.46870000000001</v>
      </c>
    </row>
    <row r="1016" spans="1:10" ht="15.75" x14ac:dyDescent="0.25">
      <c r="A1016" s="32">
        <v>71863</v>
      </c>
      <c r="B1016" s="14">
        <f>79.0566 * CHOOSE(CONTROL!$C$15, $E$9, 100%, $G$9) + CHOOSE(CONTROL!$C$38, 0.0278, 0)</f>
        <v>79.084400000000002</v>
      </c>
      <c r="C1016" s="14">
        <f>74.7938 * CHOOSE(CONTROL!$C$15, $E$9, 100%, $G$9) + CHOOSE(CONTROL!$C$38, 0.0369, 0)</f>
        <v>74.830700000000007</v>
      </c>
      <c r="D1016" s="14">
        <f>74.7859 * CHOOSE(CONTROL!$C$15, $E$9, 100%, $G$9) + CHOOSE(CONTROL!$C$38, 0.0369, 0)</f>
        <v>74.822800000000001</v>
      </c>
      <c r="E1016" s="46">
        <f>78.9003 * CHOOSE(CONTROL!$C$15, $E$9, 100%, $G$9) + CHOOSE(CONTROL!$C$38, 0.0369, 0)</f>
        <v>78.937200000000004</v>
      </c>
      <c r="F1016" s="45">
        <f>78.9003 * CHOOSE(CONTROL!$C$15, $E$9, 100%, $G$9) + CHOOSE(CONTROL!$C$38, 0.0278, 0)</f>
        <v>78.928100000000001</v>
      </c>
      <c r="G1016" s="14">
        <f>74.7922 * CHOOSE(CONTROL!$C$15, $E$9, 100%, $G$9) + CHOOSE(CONTROL!$C$38, 0.0369, 0)</f>
        <v>74.829099999999997</v>
      </c>
      <c r="H1016" s="14">
        <f>74.7922 * CHOOSE(CONTROL!$C$15, $E$9, 100%, $G$9) + CHOOSE(CONTROL!$C$38, 0.0369, 0)</f>
        <v>74.829099999999997</v>
      </c>
      <c r="I1016" s="14">
        <f>74.7938 * CHOOSE(CONTROL!$C$15, $E$9, 100%, $G$9) + CHOOSE(CONTROL!$C$38, 0.0369, 0)</f>
        <v>74.830700000000007</v>
      </c>
      <c r="J1016" s="44">
        <f>780.6299</f>
        <v>780.62990000000002</v>
      </c>
    </row>
    <row r="1017" spans="1:10" ht="15.75" x14ac:dyDescent="0.25">
      <c r="A1017" s="32">
        <v>71894</v>
      </c>
      <c r="B1017" s="14">
        <f>76.3441 * CHOOSE(CONTROL!$C$15, $E$9, 100%, $G$9) + CHOOSE(CONTROL!$C$38, 0.0256, 0)</f>
        <v>76.369699999999995</v>
      </c>
      <c r="C1017" s="14">
        <f>72.2233 * CHOOSE(CONTROL!$C$15, $E$9, 100%, $G$9) + CHOOSE(CONTROL!$C$38, 0.0347, 0)</f>
        <v>72.257999999999996</v>
      </c>
      <c r="D1017" s="14">
        <f>72.2154 * CHOOSE(CONTROL!$C$15, $E$9, 100%, $G$9) + CHOOSE(CONTROL!$C$38, 0.0347, 0)</f>
        <v>72.250100000000003</v>
      </c>
      <c r="E1017" s="46">
        <f>76.1878 * CHOOSE(CONTROL!$C$15, $E$9, 100%, $G$9) + CHOOSE(CONTROL!$C$38, 0.0347, 0)</f>
        <v>76.222499999999997</v>
      </c>
      <c r="F1017" s="45">
        <f>76.1878 * CHOOSE(CONTROL!$C$15, $E$9, 100%, $G$9) + CHOOSE(CONTROL!$C$38, 0.0256, 0)</f>
        <v>76.213399999999993</v>
      </c>
      <c r="G1017" s="14">
        <f>72.2217 * CHOOSE(CONTROL!$C$15, $E$9, 100%, $G$9) + CHOOSE(CONTROL!$C$38, 0.0347, 0)</f>
        <v>72.256399999999999</v>
      </c>
      <c r="H1017" s="14">
        <f>72.2217 * CHOOSE(CONTROL!$C$15, $E$9, 100%, $G$9) + CHOOSE(CONTROL!$C$38, 0.0347, 0)</f>
        <v>72.256399999999999</v>
      </c>
      <c r="I1017" s="14">
        <f>72.2233 * CHOOSE(CONTROL!$C$15, $E$9, 100%, $G$9) + CHOOSE(CONTROL!$C$38, 0.0347, 0)</f>
        <v>72.257999999999996</v>
      </c>
      <c r="J1017" s="44">
        <f>753.6349</f>
        <v>753.63490000000002</v>
      </c>
    </row>
    <row r="1018" spans="1:10" ht="15.75" x14ac:dyDescent="0.25">
      <c r="A1018" s="32">
        <v>71924</v>
      </c>
      <c r="B1018" s="14">
        <f>75.8045 * CHOOSE(CONTROL!$C$15, $E$9, 100%, $G$9) + CHOOSE(CONTROL!$C$38, 0.0256, 0)</f>
        <v>75.830100000000002</v>
      </c>
      <c r="C1018" s="14">
        <f>71.7119 * CHOOSE(CONTROL!$C$15, $E$9, 100%, $G$9) + CHOOSE(CONTROL!$C$38, 0.0347, 0)</f>
        <v>71.746600000000001</v>
      </c>
      <c r="D1018" s="14">
        <f>71.7041 * CHOOSE(CONTROL!$C$15, $E$9, 100%, $G$9) + CHOOSE(CONTROL!$C$38, 0.0347, 0)</f>
        <v>71.738799999999998</v>
      </c>
      <c r="E1018" s="46">
        <f>75.6482 * CHOOSE(CONTROL!$C$15, $E$9, 100%, $G$9) + CHOOSE(CONTROL!$C$38, 0.0347, 0)</f>
        <v>75.682900000000004</v>
      </c>
      <c r="F1018" s="45">
        <f>75.6482 * CHOOSE(CONTROL!$C$15, $E$9, 100%, $G$9) + CHOOSE(CONTROL!$C$38, 0.0256, 0)</f>
        <v>75.6738</v>
      </c>
      <c r="G1018" s="14">
        <f>71.7104 * CHOOSE(CONTROL!$C$15, $E$9, 100%, $G$9) + CHOOSE(CONTROL!$C$38, 0.0347, 0)</f>
        <v>71.745100000000008</v>
      </c>
      <c r="H1018" s="14">
        <f>71.7104 * CHOOSE(CONTROL!$C$15, $E$9, 100%, $G$9) + CHOOSE(CONTROL!$C$38, 0.0347, 0)</f>
        <v>71.745100000000008</v>
      </c>
      <c r="I1018" s="14">
        <f>71.7119 * CHOOSE(CONTROL!$C$15, $E$9, 100%, $G$9) + CHOOSE(CONTROL!$C$38, 0.0347, 0)</f>
        <v>71.746600000000001</v>
      </c>
      <c r="J1018" s="44">
        <f>748.265</f>
        <v>748.26499999999999</v>
      </c>
    </row>
    <row r="1019" spans="1:10" ht="15.75" x14ac:dyDescent="0.25">
      <c r="A1019" s="32">
        <v>71955</v>
      </c>
      <c r="B1019" s="14">
        <f>73.5733 * CHOOSE(CONTROL!$C$15, $E$9, 100%, $G$9) + CHOOSE(CONTROL!$C$38, 0.0256, 0)</f>
        <v>73.5989</v>
      </c>
      <c r="C1019" s="14">
        <f>69.5975 * CHOOSE(CONTROL!$C$15, $E$9, 100%, $G$9) + CHOOSE(CONTROL!$C$38, 0.0347, 0)</f>
        <v>69.632199999999997</v>
      </c>
      <c r="D1019" s="14">
        <f>69.5897 * CHOOSE(CONTROL!$C$15, $E$9, 100%, $G$9) + CHOOSE(CONTROL!$C$38, 0.0347, 0)</f>
        <v>69.624399999999994</v>
      </c>
      <c r="E1019" s="46">
        <f>73.4171 * CHOOSE(CONTROL!$C$15, $E$9, 100%, $G$9) + CHOOSE(CONTROL!$C$38, 0.0347, 0)</f>
        <v>73.451800000000006</v>
      </c>
      <c r="F1019" s="45">
        <f>73.4171 * CHOOSE(CONTROL!$C$15, $E$9, 100%, $G$9) + CHOOSE(CONTROL!$C$38, 0.0256, 0)</f>
        <v>73.442700000000002</v>
      </c>
      <c r="G1019" s="14">
        <f>69.596 * CHOOSE(CONTROL!$C$15, $E$9, 100%, $G$9) + CHOOSE(CONTROL!$C$38, 0.0347, 0)</f>
        <v>69.630700000000004</v>
      </c>
      <c r="H1019" s="14">
        <f>69.596 * CHOOSE(CONTROL!$C$15, $E$9, 100%, $G$9) + CHOOSE(CONTROL!$C$38, 0.0347, 0)</f>
        <v>69.630700000000004</v>
      </c>
      <c r="I1019" s="14">
        <f>69.5975 * CHOOSE(CONTROL!$C$15, $E$9, 100%, $G$9) + CHOOSE(CONTROL!$C$38, 0.0347, 0)</f>
        <v>69.632199999999997</v>
      </c>
      <c r="J1019" s="44">
        <f>726.0602</f>
        <v>726.06020000000001</v>
      </c>
    </row>
    <row r="1020" spans="1:10" ht="15.75" x14ac:dyDescent="0.25">
      <c r="A1020" s="32">
        <v>71986</v>
      </c>
      <c r="B1020" s="14">
        <f>73.0192 * CHOOSE(CONTROL!$C$15, $E$9, 100%, $G$9) + CHOOSE(CONTROL!$C$38, 0.0256, 0)</f>
        <v>73.044799999999995</v>
      </c>
      <c r="C1020" s="14">
        <f>69.0725 * CHOOSE(CONTROL!$C$15, $E$9, 100%, $G$9) + CHOOSE(CONTROL!$C$38, 0.0347, 0)</f>
        <v>69.107200000000006</v>
      </c>
      <c r="D1020" s="14">
        <f>69.0647 * CHOOSE(CONTROL!$C$15, $E$9, 100%, $G$9) + CHOOSE(CONTROL!$C$38, 0.0347, 0)</f>
        <v>69.099400000000003</v>
      </c>
      <c r="E1020" s="46">
        <f>72.863 * CHOOSE(CONTROL!$C$15, $E$9, 100%, $G$9) + CHOOSE(CONTROL!$C$38, 0.0347, 0)</f>
        <v>72.8977</v>
      </c>
      <c r="F1020" s="45">
        <f>72.863 * CHOOSE(CONTROL!$C$15, $E$9, 100%, $G$9) + CHOOSE(CONTROL!$C$38, 0.0256, 0)</f>
        <v>72.888599999999997</v>
      </c>
      <c r="G1020" s="14">
        <f>69.0709 * CHOOSE(CONTROL!$C$15, $E$9, 100%, $G$9) + CHOOSE(CONTROL!$C$38, 0.0347, 0)</f>
        <v>69.105599999999995</v>
      </c>
      <c r="H1020" s="14">
        <f>69.0709 * CHOOSE(CONTROL!$C$15, $E$9, 100%, $G$9) + CHOOSE(CONTROL!$C$38, 0.0347, 0)</f>
        <v>69.105599999999995</v>
      </c>
      <c r="I1020" s="14">
        <f>69.0725 * CHOOSE(CONTROL!$C$15, $E$9, 100%, $G$9) + CHOOSE(CONTROL!$C$38, 0.0347, 0)</f>
        <v>69.107200000000006</v>
      </c>
      <c r="J1020" s="44">
        <f>725.1239</f>
        <v>725.12390000000005</v>
      </c>
    </row>
    <row r="1021" spans="1:10" ht="15.75" x14ac:dyDescent="0.25">
      <c r="A1021" s="32">
        <v>72014</v>
      </c>
      <c r="B1021" s="14">
        <f>72.818 * CHOOSE(CONTROL!$C$15, $E$9, 100%, $G$9) + CHOOSE(CONTROL!$C$38, 0.0256, 0)</f>
        <v>72.843599999999995</v>
      </c>
      <c r="C1021" s="14">
        <f>68.8818 * CHOOSE(CONTROL!$C$15, $E$9, 100%, $G$9) + CHOOSE(CONTROL!$C$38, 0.0347, 0)</f>
        <v>68.916499999999999</v>
      </c>
      <c r="D1021" s="14">
        <f>68.8739 * CHOOSE(CONTROL!$C$15, $E$9, 100%, $G$9) + CHOOSE(CONTROL!$C$38, 0.0347, 0)</f>
        <v>68.908600000000007</v>
      </c>
      <c r="E1021" s="46">
        <f>72.6617 * CHOOSE(CONTROL!$C$15, $E$9, 100%, $G$9) + CHOOSE(CONTROL!$C$38, 0.0347, 0)</f>
        <v>72.696399999999997</v>
      </c>
      <c r="F1021" s="45">
        <f>72.6617 * CHOOSE(CONTROL!$C$15, $E$9, 100%, $G$9) + CHOOSE(CONTROL!$C$38, 0.0256, 0)</f>
        <v>72.687299999999993</v>
      </c>
      <c r="G1021" s="14">
        <f>68.8802 * CHOOSE(CONTROL!$C$15, $E$9, 100%, $G$9) + CHOOSE(CONTROL!$C$38, 0.0347, 0)</f>
        <v>68.914900000000003</v>
      </c>
      <c r="H1021" s="14">
        <f>68.8802 * CHOOSE(CONTROL!$C$15, $E$9, 100%, $G$9) + CHOOSE(CONTROL!$C$38, 0.0347, 0)</f>
        <v>68.914900000000003</v>
      </c>
      <c r="I1021" s="14">
        <f>68.8818 * CHOOSE(CONTROL!$C$15, $E$9, 100%, $G$9) + CHOOSE(CONTROL!$C$38, 0.0347, 0)</f>
        <v>68.916499999999999</v>
      </c>
      <c r="J1021" s="44">
        <f>723.1083</f>
        <v>723.10829999999999</v>
      </c>
    </row>
    <row r="1022" spans="1:10" ht="15.75" x14ac:dyDescent="0.25">
      <c r="A1022" s="32">
        <v>72045</v>
      </c>
      <c r="B1022" s="14">
        <f>76.6234 * CHOOSE(CONTROL!$C$15, $E$9, 100%, $G$9) + CHOOSE(CONTROL!$C$38, 0.0256, 0)</f>
        <v>76.649000000000001</v>
      </c>
      <c r="C1022" s="14">
        <f>72.4879 * CHOOSE(CONTROL!$C$15, $E$9, 100%, $G$9) + CHOOSE(CONTROL!$C$38, 0.0347, 0)</f>
        <v>72.522599999999997</v>
      </c>
      <c r="D1022" s="14">
        <f>72.4801 * CHOOSE(CONTROL!$C$15, $E$9, 100%, $G$9) + CHOOSE(CONTROL!$C$38, 0.0347, 0)</f>
        <v>72.514799999999994</v>
      </c>
      <c r="E1022" s="46">
        <f>76.4671 * CHOOSE(CONTROL!$C$15, $E$9, 100%, $G$9) + CHOOSE(CONTROL!$C$38, 0.0347, 0)</f>
        <v>76.501800000000003</v>
      </c>
      <c r="F1022" s="45">
        <f>76.4671 * CHOOSE(CONTROL!$C$15, $E$9, 100%, $G$9) + CHOOSE(CONTROL!$C$38, 0.0256, 0)</f>
        <v>76.492699999999999</v>
      </c>
      <c r="G1022" s="14">
        <f>72.4864 * CHOOSE(CONTROL!$C$15, $E$9, 100%, $G$9) + CHOOSE(CONTROL!$C$38, 0.0347, 0)</f>
        <v>72.521100000000004</v>
      </c>
      <c r="H1022" s="14">
        <f>72.4864 * CHOOSE(CONTROL!$C$15, $E$9, 100%, $G$9) + CHOOSE(CONTROL!$C$38, 0.0347, 0)</f>
        <v>72.521100000000004</v>
      </c>
      <c r="I1022" s="14">
        <f>72.4879 * CHOOSE(CONTROL!$C$15, $E$9, 100%, $G$9) + CHOOSE(CONTROL!$C$38, 0.0347, 0)</f>
        <v>72.522599999999997</v>
      </c>
      <c r="J1022" s="44">
        <f>761.2203</f>
        <v>761.22029999999995</v>
      </c>
    </row>
    <row r="1023" spans="1:10" ht="15.75" x14ac:dyDescent="0.25">
      <c r="A1023" s="32">
        <v>72075</v>
      </c>
      <c r="B1023" s="14">
        <f>81.5581 * CHOOSE(CONTROL!$C$15, $E$9, 100%, $G$9) + CHOOSE(CONTROL!$C$38, 0.0256, 0)</f>
        <v>81.583699999999993</v>
      </c>
      <c r="C1023" s="14">
        <f>77.1643 * CHOOSE(CONTROL!$C$15, $E$9, 100%, $G$9) + CHOOSE(CONTROL!$C$38, 0.0347, 0)</f>
        <v>77.198999999999998</v>
      </c>
      <c r="D1023" s="14">
        <f>77.1565 * CHOOSE(CONTROL!$C$15, $E$9, 100%, $G$9) + CHOOSE(CONTROL!$C$38, 0.0347, 0)</f>
        <v>77.191199999999995</v>
      </c>
      <c r="E1023" s="46">
        <f>81.4018 * CHOOSE(CONTROL!$C$15, $E$9, 100%, $G$9) + CHOOSE(CONTROL!$C$38, 0.0347, 0)</f>
        <v>81.436499999999995</v>
      </c>
      <c r="F1023" s="45">
        <f>81.4018 * CHOOSE(CONTROL!$C$15, $E$9, 100%, $G$9) + CHOOSE(CONTROL!$C$38, 0.0256, 0)</f>
        <v>81.427399999999992</v>
      </c>
      <c r="G1023" s="14">
        <f>77.1627 * CHOOSE(CONTROL!$C$15, $E$9, 100%, $G$9) + CHOOSE(CONTROL!$C$38, 0.0347, 0)</f>
        <v>77.197400000000002</v>
      </c>
      <c r="H1023" s="14">
        <f>77.1627 * CHOOSE(CONTROL!$C$15, $E$9, 100%, $G$9) + CHOOSE(CONTROL!$C$38, 0.0347, 0)</f>
        <v>77.197400000000002</v>
      </c>
      <c r="I1023" s="14">
        <f>77.1643 * CHOOSE(CONTROL!$C$15, $E$9, 100%, $G$9) + CHOOSE(CONTROL!$C$38, 0.0347, 0)</f>
        <v>77.198999999999998</v>
      </c>
      <c r="J1023" s="44">
        <f>810.6425</f>
        <v>810.64250000000004</v>
      </c>
    </row>
    <row r="1024" spans="1:10" ht="15.75" x14ac:dyDescent="0.25">
      <c r="A1024" s="32">
        <v>72106</v>
      </c>
      <c r="B1024" s="14">
        <f>84.2743 * CHOOSE(CONTROL!$C$15, $E$9, 100%, $G$9) + CHOOSE(CONTROL!$C$38, 0.0278, 0)</f>
        <v>84.302099999999996</v>
      </c>
      <c r="C1024" s="14">
        <f>79.7383 * CHOOSE(CONTROL!$C$15, $E$9, 100%, $G$9) + CHOOSE(CONTROL!$C$38, 0.0369, 0)</f>
        <v>79.775199999999998</v>
      </c>
      <c r="D1024" s="14">
        <f>79.7305 * CHOOSE(CONTROL!$C$15, $E$9, 100%, $G$9) + CHOOSE(CONTROL!$C$38, 0.0369, 0)</f>
        <v>79.767400000000009</v>
      </c>
      <c r="E1024" s="46">
        <f>84.118 * CHOOSE(CONTROL!$C$15, $E$9, 100%, $G$9) + CHOOSE(CONTROL!$C$38, 0.0369, 0)</f>
        <v>84.154899999999998</v>
      </c>
      <c r="F1024" s="45">
        <f>84.118 * CHOOSE(CONTROL!$C$15, $E$9, 100%, $G$9) + CHOOSE(CONTROL!$C$38, 0.0278, 0)</f>
        <v>84.145799999999994</v>
      </c>
      <c r="G1024" s="14">
        <f>79.7367 * CHOOSE(CONTROL!$C$15, $E$9, 100%, $G$9) + CHOOSE(CONTROL!$C$38, 0.0369, 0)</f>
        <v>79.773600000000002</v>
      </c>
      <c r="H1024" s="14">
        <f>79.7367 * CHOOSE(CONTROL!$C$15, $E$9, 100%, $G$9) + CHOOSE(CONTROL!$C$38, 0.0369, 0)</f>
        <v>79.773600000000002</v>
      </c>
      <c r="I1024" s="14">
        <f>79.7383 * CHOOSE(CONTROL!$C$15, $E$9, 100%, $G$9) + CHOOSE(CONTROL!$C$38, 0.0369, 0)</f>
        <v>79.775199999999998</v>
      </c>
      <c r="J1024" s="44">
        <f>837.846</f>
        <v>837.846</v>
      </c>
    </row>
    <row r="1025" spans="1:10" ht="15.75" x14ac:dyDescent="0.25">
      <c r="A1025" s="32">
        <v>72136</v>
      </c>
      <c r="B1025" s="14">
        <f>85.4797 * CHOOSE(CONTROL!$C$15, $E$9, 100%, $G$9) + CHOOSE(CONTROL!$C$38, 0.0278, 0)</f>
        <v>85.507499999999993</v>
      </c>
      <c r="C1025" s="14">
        <f>80.8806 * CHOOSE(CONTROL!$C$15, $E$9, 100%, $G$9) + CHOOSE(CONTROL!$C$38, 0.0369, 0)</f>
        <v>80.917500000000004</v>
      </c>
      <c r="D1025" s="14">
        <f>80.8728 * CHOOSE(CONTROL!$C$15, $E$9, 100%, $G$9) + CHOOSE(CONTROL!$C$38, 0.0369, 0)</f>
        <v>80.909700000000001</v>
      </c>
      <c r="E1025" s="46">
        <f>85.3234 * CHOOSE(CONTROL!$C$15, $E$9, 100%, $G$9) + CHOOSE(CONTROL!$C$38, 0.0369, 0)</f>
        <v>85.360300000000009</v>
      </c>
      <c r="F1025" s="45">
        <f>85.3234 * CHOOSE(CONTROL!$C$15, $E$9, 100%, $G$9) + CHOOSE(CONTROL!$C$38, 0.0278, 0)</f>
        <v>85.351200000000006</v>
      </c>
      <c r="G1025" s="14">
        <f>80.879 * CHOOSE(CONTROL!$C$15, $E$9, 100%, $G$9) + CHOOSE(CONTROL!$C$38, 0.0369, 0)</f>
        <v>80.915900000000008</v>
      </c>
      <c r="H1025" s="14">
        <f>80.879 * CHOOSE(CONTROL!$C$15, $E$9, 100%, $G$9) + CHOOSE(CONTROL!$C$38, 0.0369, 0)</f>
        <v>80.915900000000008</v>
      </c>
      <c r="I1025" s="14">
        <f>80.8806 * CHOOSE(CONTROL!$C$15, $E$9, 100%, $G$9) + CHOOSE(CONTROL!$C$38, 0.0369, 0)</f>
        <v>80.917500000000004</v>
      </c>
      <c r="J1025" s="44">
        <f>849.9185</f>
        <v>849.91849999999999</v>
      </c>
    </row>
    <row r="1026" spans="1:10" ht="15.75" x14ac:dyDescent="0.25">
      <c r="A1026" s="32">
        <v>72167</v>
      </c>
      <c r="B1026" s="14">
        <f>85.0828 * CHOOSE(CONTROL!$C$15, $E$9, 100%, $G$9) + CHOOSE(CONTROL!$C$38, 0.0278, 0)</f>
        <v>85.110600000000005</v>
      </c>
      <c r="C1026" s="14">
        <f>80.5045 * CHOOSE(CONTROL!$C$15, $E$9, 100%, $G$9) + CHOOSE(CONTROL!$C$38, 0.0369, 0)</f>
        <v>80.541399999999996</v>
      </c>
      <c r="D1026" s="14">
        <f>80.4967 * CHOOSE(CONTROL!$C$15, $E$9, 100%, $G$9) + CHOOSE(CONTROL!$C$38, 0.0369, 0)</f>
        <v>80.533600000000007</v>
      </c>
      <c r="E1026" s="46">
        <f>84.9266 * CHOOSE(CONTROL!$C$15, $E$9, 100%, $G$9) + CHOOSE(CONTROL!$C$38, 0.0369, 0)</f>
        <v>84.963499999999996</v>
      </c>
      <c r="F1026" s="45">
        <f>84.9266 * CHOOSE(CONTROL!$C$15, $E$9, 100%, $G$9) + CHOOSE(CONTROL!$C$38, 0.0278, 0)</f>
        <v>84.954399999999993</v>
      </c>
      <c r="G1026" s="14">
        <f>80.5029 * CHOOSE(CONTROL!$C$15, $E$9, 100%, $G$9) + CHOOSE(CONTROL!$C$38, 0.0369, 0)</f>
        <v>80.5398</v>
      </c>
      <c r="H1026" s="14">
        <f>80.5029 * CHOOSE(CONTROL!$C$15, $E$9, 100%, $G$9) + CHOOSE(CONTROL!$C$38, 0.0369, 0)</f>
        <v>80.5398</v>
      </c>
      <c r="I1026" s="14">
        <f>80.5045 * CHOOSE(CONTROL!$C$15, $E$9, 100%, $G$9) + CHOOSE(CONTROL!$C$38, 0.0369, 0)</f>
        <v>80.541399999999996</v>
      </c>
      <c r="J1026" s="44">
        <f>845.9437</f>
        <v>845.94370000000004</v>
      </c>
    </row>
    <row r="1027" spans="1:10" ht="15.75" x14ac:dyDescent="0.25">
      <c r="A1027" s="32">
        <v>72198</v>
      </c>
      <c r="B1027" s="14">
        <f>83.1165 * CHOOSE(CONTROL!$C$15, $E$9, 100%, $G$9) + CHOOSE(CONTROL!$C$38, 0.0278, 0)</f>
        <v>83.144300000000001</v>
      </c>
      <c r="C1027" s="14">
        <f>78.6411 * CHOOSE(CONTROL!$C$15, $E$9, 100%, $G$9) + CHOOSE(CONTROL!$C$38, 0.0369, 0)</f>
        <v>78.677999999999997</v>
      </c>
      <c r="D1027" s="14">
        <f>78.6333 * CHOOSE(CONTROL!$C$15, $E$9, 100%, $G$9) + CHOOSE(CONTROL!$C$38, 0.0369, 0)</f>
        <v>78.670200000000008</v>
      </c>
      <c r="E1027" s="46">
        <f>82.9602 * CHOOSE(CONTROL!$C$15, $E$9, 100%, $G$9) + CHOOSE(CONTROL!$C$38, 0.0369, 0)</f>
        <v>82.997100000000003</v>
      </c>
      <c r="F1027" s="45">
        <f>82.9602 * CHOOSE(CONTROL!$C$15, $E$9, 100%, $G$9) + CHOOSE(CONTROL!$C$38, 0.0278, 0)</f>
        <v>82.988</v>
      </c>
      <c r="G1027" s="14">
        <f>78.6395 * CHOOSE(CONTROL!$C$15, $E$9, 100%, $G$9) + CHOOSE(CONTROL!$C$38, 0.0369, 0)</f>
        <v>78.676400000000001</v>
      </c>
      <c r="H1027" s="14">
        <f>78.6395 * CHOOSE(CONTROL!$C$15, $E$9, 100%, $G$9) + CHOOSE(CONTROL!$C$38, 0.0369, 0)</f>
        <v>78.676400000000001</v>
      </c>
      <c r="I1027" s="14">
        <f>78.6411 * CHOOSE(CONTROL!$C$15, $E$9, 100%, $G$9) + CHOOSE(CONTROL!$C$38, 0.0369, 0)</f>
        <v>78.677999999999997</v>
      </c>
      <c r="J1027" s="44">
        <f>826.2504</f>
        <v>826.25040000000001</v>
      </c>
    </row>
    <row r="1028" spans="1:10" ht="15.75" x14ac:dyDescent="0.25">
      <c r="A1028" s="32">
        <v>72228</v>
      </c>
      <c r="B1028" s="14">
        <f>80.3743 * CHOOSE(CONTROL!$C$15, $E$9, 100%, $G$9) + CHOOSE(CONTROL!$C$38, 0.0278, 0)</f>
        <v>80.402100000000004</v>
      </c>
      <c r="C1028" s="14">
        <f>76.0425 * CHOOSE(CONTROL!$C$15, $E$9, 100%, $G$9) + CHOOSE(CONTROL!$C$38, 0.0369, 0)</f>
        <v>76.079400000000007</v>
      </c>
      <c r="D1028" s="14">
        <f>76.0347 * CHOOSE(CONTROL!$C$15, $E$9, 100%, $G$9) + CHOOSE(CONTROL!$C$38, 0.0369, 0)</f>
        <v>76.071600000000004</v>
      </c>
      <c r="E1028" s="46">
        <f>80.2181 * CHOOSE(CONTROL!$C$15, $E$9, 100%, $G$9) + CHOOSE(CONTROL!$C$38, 0.0369, 0)</f>
        <v>80.25500000000001</v>
      </c>
      <c r="F1028" s="45">
        <f>80.2181 * CHOOSE(CONTROL!$C$15, $E$9, 100%, $G$9) + CHOOSE(CONTROL!$C$38, 0.0278, 0)</f>
        <v>80.245900000000006</v>
      </c>
      <c r="G1028" s="14">
        <f>76.041 * CHOOSE(CONTROL!$C$15, $E$9, 100%, $G$9) + CHOOSE(CONTROL!$C$38, 0.0369, 0)</f>
        <v>76.0779</v>
      </c>
      <c r="H1028" s="14">
        <f>76.041 * CHOOSE(CONTROL!$C$15, $E$9, 100%, $G$9) + CHOOSE(CONTROL!$C$38, 0.0369, 0)</f>
        <v>76.0779</v>
      </c>
      <c r="I1028" s="14">
        <f>76.0425 * CHOOSE(CONTROL!$C$15, $E$9, 100%, $G$9) + CHOOSE(CONTROL!$C$38, 0.0369, 0)</f>
        <v>76.079400000000007</v>
      </c>
      <c r="J1028" s="44">
        <f>798.7873</f>
        <v>798.78729999999996</v>
      </c>
    </row>
    <row r="1029" spans="1:10" ht="15.75" x14ac:dyDescent="0.25">
      <c r="A1029" s="32">
        <v>72259</v>
      </c>
      <c r="B1029" s="14">
        <f>77.6163 * CHOOSE(CONTROL!$C$15, $E$9, 100%, $G$9) + CHOOSE(CONTROL!$C$38, 0.0256, 0)</f>
        <v>77.641899999999993</v>
      </c>
      <c r="C1029" s="14">
        <f>73.4288 * CHOOSE(CONTROL!$C$15, $E$9, 100%, $G$9) + CHOOSE(CONTROL!$C$38, 0.0347, 0)</f>
        <v>73.463499999999996</v>
      </c>
      <c r="D1029" s="14">
        <f>73.421 * CHOOSE(CONTROL!$C$15, $E$9, 100%, $G$9) + CHOOSE(CONTROL!$C$38, 0.0347, 0)</f>
        <v>73.455700000000007</v>
      </c>
      <c r="E1029" s="46">
        <f>77.46 * CHOOSE(CONTROL!$C$15, $E$9, 100%, $G$9) + CHOOSE(CONTROL!$C$38, 0.0347, 0)</f>
        <v>77.494699999999995</v>
      </c>
      <c r="F1029" s="45">
        <f>77.46 * CHOOSE(CONTROL!$C$15, $E$9, 100%, $G$9) + CHOOSE(CONTROL!$C$38, 0.0256, 0)</f>
        <v>77.485599999999991</v>
      </c>
      <c r="G1029" s="14">
        <f>73.4273 * CHOOSE(CONTROL!$C$15, $E$9, 100%, $G$9) + CHOOSE(CONTROL!$C$38, 0.0347, 0)</f>
        <v>73.462000000000003</v>
      </c>
      <c r="H1029" s="14">
        <f>73.4273 * CHOOSE(CONTROL!$C$15, $E$9, 100%, $G$9) + CHOOSE(CONTROL!$C$38, 0.0347, 0)</f>
        <v>73.462000000000003</v>
      </c>
      <c r="I1029" s="14">
        <f>73.4288 * CHOOSE(CONTROL!$C$15, $E$9, 100%, $G$9) + CHOOSE(CONTROL!$C$38, 0.0347, 0)</f>
        <v>73.463499999999996</v>
      </c>
      <c r="J1029" s="44">
        <f>771.1644</f>
        <v>771.1644</v>
      </c>
    </row>
    <row r="1030" spans="1:10" ht="15.75" x14ac:dyDescent="0.25">
      <c r="A1030" s="32">
        <v>72289</v>
      </c>
      <c r="B1030" s="14">
        <f>77.0676 * CHOOSE(CONTROL!$C$15, $E$9, 100%, $G$9) + CHOOSE(CONTROL!$C$38, 0.0256, 0)</f>
        <v>77.093199999999996</v>
      </c>
      <c r="C1030" s="14">
        <f>72.9089 * CHOOSE(CONTROL!$C$15, $E$9, 100%, $G$9) + CHOOSE(CONTROL!$C$38, 0.0347, 0)</f>
        <v>72.943600000000004</v>
      </c>
      <c r="D1030" s="14">
        <f>72.9011 * CHOOSE(CONTROL!$C$15, $E$9, 100%, $G$9) + CHOOSE(CONTROL!$C$38, 0.0347, 0)</f>
        <v>72.9358</v>
      </c>
      <c r="E1030" s="46">
        <f>76.9114 * CHOOSE(CONTROL!$C$15, $E$9, 100%, $G$9) + CHOOSE(CONTROL!$C$38, 0.0347, 0)</f>
        <v>76.946100000000001</v>
      </c>
      <c r="F1030" s="45">
        <f>76.9114 * CHOOSE(CONTROL!$C$15, $E$9, 100%, $G$9) + CHOOSE(CONTROL!$C$38, 0.0256, 0)</f>
        <v>76.936999999999998</v>
      </c>
      <c r="G1030" s="14">
        <f>72.9074 * CHOOSE(CONTROL!$C$15, $E$9, 100%, $G$9) + CHOOSE(CONTROL!$C$38, 0.0347, 0)</f>
        <v>72.942099999999996</v>
      </c>
      <c r="H1030" s="14">
        <f>72.9074 * CHOOSE(CONTROL!$C$15, $E$9, 100%, $G$9) + CHOOSE(CONTROL!$C$38, 0.0347, 0)</f>
        <v>72.942099999999996</v>
      </c>
      <c r="I1030" s="14">
        <f>72.9089 * CHOOSE(CONTROL!$C$15, $E$9, 100%, $G$9) + CHOOSE(CONTROL!$C$38, 0.0347, 0)</f>
        <v>72.943600000000004</v>
      </c>
      <c r="J1030" s="44">
        <f>765.6697</f>
        <v>765.66970000000003</v>
      </c>
    </row>
    <row r="1031" spans="1:10" ht="15.75" x14ac:dyDescent="0.25">
      <c r="A1031" s="32">
        <v>72320</v>
      </c>
      <c r="B1031" s="14">
        <f>74.799 * CHOOSE(CONTROL!$C$15, $E$9, 100%, $G$9) + CHOOSE(CONTROL!$C$38, 0.0256, 0)</f>
        <v>74.824600000000004</v>
      </c>
      <c r="C1031" s="14">
        <f>70.759 * CHOOSE(CONTROL!$C$15, $E$9, 100%, $G$9) + CHOOSE(CONTROL!$C$38, 0.0347, 0)</f>
        <v>70.793700000000001</v>
      </c>
      <c r="D1031" s="14">
        <f>70.7512 * CHOOSE(CONTROL!$C$15, $E$9, 100%, $G$9) + CHOOSE(CONTROL!$C$38, 0.0347, 0)</f>
        <v>70.785899999999998</v>
      </c>
      <c r="E1031" s="46">
        <f>74.6427 * CHOOSE(CONTROL!$C$15, $E$9, 100%, $G$9) + CHOOSE(CONTROL!$C$38, 0.0347, 0)</f>
        <v>74.677400000000006</v>
      </c>
      <c r="F1031" s="45">
        <f>74.6427 * CHOOSE(CONTROL!$C$15, $E$9, 100%, $G$9) + CHOOSE(CONTROL!$C$38, 0.0256, 0)</f>
        <v>74.668300000000002</v>
      </c>
      <c r="G1031" s="14">
        <f>70.7575 * CHOOSE(CONTROL!$C$15, $E$9, 100%, $G$9) + CHOOSE(CONTROL!$C$38, 0.0347, 0)</f>
        <v>70.792199999999994</v>
      </c>
      <c r="H1031" s="14">
        <f>70.7575 * CHOOSE(CONTROL!$C$15, $E$9, 100%, $G$9) + CHOOSE(CONTROL!$C$38, 0.0347, 0)</f>
        <v>70.792199999999994</v>
      </c>
      <c r="I1031" s="14">
        <f>70.759 * CHOOSE(CONTROL!$C$15, $E$9, 100%, $G$9) + CHOOSE(CONTROL!$C$38, 0.0347, 0)</f>
        <v>70.793700000000001</v>
      </c>
      <c r="J1031" s="44">
        <f>742.9484</f>
        <v>742.94839999999999</v>
      </c>
    </row>
    <row r="1032" spans="1:10" ht="15.75" x14ac:dyDescent="0.25">
      <c r="A1032" s="32">
        <v>72351</v>
      </c>
      <c r="B1032" s="14">
        <f>74.2356 * CHOOSE(CONTROL!$C$15, $E$9, 100%, $G$9) + CHOOSE(CONTROL!$C$38, 0.0256, 0)</f>
        <v>74.261200000000002</v>
      </c>
      <c r="C1032" s="14">
        <f>70.2251 * CHOOSE(CONTROL!$C$15, $E$9, 100%, $G$9) + CHOOSE(CONTROL!$C$38, 0.0347, 0)</f>
        <v>70.259799999999998</v>
      </c>
      <c r="D1032" s="14">
        <f>70.2173 * CHOOSE(CONTROL!$C$15, $E$9, 100%, $G$9) + CHOOSE(CONTROL!$C$38, 0.0347, 0)</f>
        <v>70.251999999999995</v>
      </c>
      <c r="E1032" s="46">
        <f>74.0793 * CHOOSE(CONTROL!$C$15, $E$9, 100%, $G$9) + CHOOSE(CONTROL!$C$38, 0.0347, 0)</f>
        <v>74.114000000000004</v>
      </c>
      <c r="F1032" s="45">
        <f>74.0793 * CHOOSE(CONTROL!$C$15, $E$9, 100%, $G$9) + CHOOSE(CONTROL!$C$38, 0.0256, 0)</f>
        <v>74.104900000000001</v>
      </c>
      <c r="G1032" s="14">
        <f>70.2236 * CHOOSE(CONTROL!$C$15, $E$9, 100%, $G$9) + CHOOSE(CONTROL!$C$38, 0.0347, 0)</f>
        <v>70.258300000000006</v>
      </c>
      <c r="H1032" s="14">
        <f>70.2236 * CHOOSE(CONTROL!$C$15, $E$9, 100%, $G$9) + CHOOSE(CONTROL!$C$38, 0.0347, 0)</f>
        <v>70.258300000000006</v>
      </c>
      <c r="I1032" s="14">
        <f>70.2251 * CHOOSE(CONTROL!$C$15, $E$9, 100%, $G$9) + CHOOSE(CONTROL!$C$38, 0.0347, 0)</f>
        <v>70.259799999999998</v>
      </c>
      <c r="J1032" s="44">
        <f>741.9903</f>
        <v>741.99030000000005</v>
      </c>
    </row>
    <row r="1033" spans="1:10" ht="15.75" x14ac:dyDescent="0.25">
      <c r="A1033" s="32">
        <v>72379</v>
      </c>
      <c r="B1033" s="14">
        <f>74.0309 * CHOOSE(CONTROL!$C$15, $E$9, 100%, $G$9) + CHOOSE(CONTROL!$C$38, 0.0256, 0)</f>
        <v>74.0565</v>
      </c>
      <c r="C1033" s="14">
        <f>70.0312 * CHOOSE(CONTROL!$C$15, $E$9, 100%, $G$9) + CHOOSE(CONTROL!$C$38, 0.0347, 0)</f>
        <v>70.065899999999999</v>
      </c>
      <c r="D1033" s="14">
        <f>70.0234 * CHOOSE(CONTROL!$C$15, $E$9, 100%, $G$9) + CHOOSE(CONTROL!$C$38, 0.0347, 0)</f>
        <v>70.058099999999996</v>
      </c>
      <c r="E1033" s="46">
        <f>73.8747 * CHOOSE(CONTROL!$C$15, $E$9, 100%, $G$9) + CHOOSE(CONTROL!$C$38, 0.0347, 0)</f>
        <v>73.909400000000005</v>
      </c>
      <c r="F1033" s="45">
        <f>73.8747 * CHOOSE(CONTROL!$C$15, $E$9, 100%, $G$9) + CHOOSE(CONTROL!$C$38, 0.0256, 0)</f>
        <v>73.900300000000001</v>
      </c>
      <c r="G1033" s="14">
        <f>70.0296 * CHOOSE(CONTROL!$C$15, $E$9, 100%, $G$9) + CHOOSE(CONTROL!$C$38, 0.0347, 0)</f>
        <v>70.064300000000003</v>
      </c>
      <c r="H1033" s="14">
        <f>70.0296 * CHOOSE(CONTROL!$C$15, $E$9, 100%, $G$9) + CHOOSE(CONTROL!$C$38, 0.0347, 0)</f>
        <v>70.064300000000003</v>
      </c>
      <c r="I1033" s="14">
        <f>70.0312 * CHOOSE(CONTROL!$C$15, $E$9, 100%, $G$9) + CHOOSE(CONTROL!$C$38, 0.0347, 0)</f>
        <v>70.065899999999999</v>
      </c>
      <c r="J1033" s="44">
        <f>739.9278</f>
        <v>739.92780000000005</v>
      </c>
    </row>
    <row r="1034" spans="1:10" ht="15.75" x14ac:dyDescent="0.25">
      <c r="A1034" s="32">
        <v>72410</v>
      </c>
      <c r="B1034" s="14">
        <f>77.9003 * CHOOSE(CONTROL!$C$15, $E$9, 100%, $G$9) + CHOOSE(CONTROL!$C$38, 0.0256, 0)</f>
        <v>77.925899999999999</v>
      </c>
      <c r="C1034" s="14">
        <f>73.698 * CHOOSE(CONTROL!$C$15, $E$9, 100%, $G$9) + CHOOSE(CONTROL!$C$38, 0.0347, 0)</f>
        <v>73.732699999999994</v>
      </c>
      <c r="D1034" s="14">
        <f>73.6902 * CHOOSE(CONTROL!$C$15, $E$9, 100%, $G$9) + CHOOSE(CONTROL!$C$38, 0.0347, 0)</f>
        <v>73.724900000000005</v>
      </c>
      <c r="E1034" s="46">
        <f>77.744 * CHOOSE(CONTROL!$C$15, $E$9, 100%, $G$9) + CHOOSE(CONTROL!$C$38, 0.0347, 0)</f>
        <v>77.778700000000001</v>
      </c>
      <c r="F1034" s="45">
        <f>77.744 * CHOOSE(CONTROL!$C$15, $E$9, 100%, $G$9) + CHOOSE(CONTROL!$C$38, 0.0256, 0)</f>
        <v>77.769599999999997</v>
      </c>
      <c r="G1034" s="14">
        <f>73.6964 * CHOOSE(CONTROL!$C$15, $E$9, 100%, $G$9) + CHOOSE(CONTROL!$C$38, 0.0347, 0)</f>
        <v>73.731099999999998</v>
      </c>
      <c r="H1034" s="14">
        <f>73.6964 * CHOOSE(CONTROL!$C$15, $E$9, 100%, $G$9) + CHOOSE(CONTROL!$C$38, 0.0347, 0)</f>
        <v>73.731099999999998</v>
      </c>
      <c r="I1034" s="14">
        <f>73.698 * CHOOSE(CONTROL!$C$15, $E$9, 100%, $G$9) + CHOOSE(CONTROL!$C$38, 0.0347, 0)</f>
        <v>73.732699999999994</v>
      </c>
      <c r="J1034" s="44">
        <f>778.9263</f>
        <v>778.92629999999997</v>
      </c>
    </row>
    <row r="1035" spans="1:10" ht="15.75" x14ac:dyDescent="0.25">
      <c r="A1035" s="32">
        <v>72440</v>
      </c>
      <c r="B1035" s="14">
        <f>82.9178 * CHOOSE(CONTROL!$C$15, $E$9, 100%, $G$9) + CHOOSE(CONTROL!$C$38, 0.0256, 0)</f>
        <v>82.943399999999997</v>
      </c>
      <c r="C1035" s="14">
        <f>78.4529 * CHOOSE(CONTROL!$C$15, $E$9, 100%, $G$9) + CHOOSE(CONTROL!$C$38, 0.0347, 0)</f>
        <v>78.4876</v>
      </c>
      <c r="D1035" s="14">
        <f>78.4451 * CHOOSE(CONTROL!$C$15, $E$9, 100%, $G$9) + CHOOSE(CONTROL!$C$38, 0.0347, 0)</f>
        <v>78.479799999999997</v>
      </c>
      <c r="E1035" s="46">
        <f>82.7616 * CHOOSE(CONTROL!$C$15, $E$9, 100%, $G$9) + CHOOSE(CONTROL!$C$38, 0.0347, 0)</f>
        <v>82.796300000000002</v>
      </c>
      <c r="F1035" s="45">
        <f>82.7616 * CHOOSE(CONTROL!$C$15, $E$9, 100%, $G$9) + CHOOSE(CONTROL!$C$38, 0.0256, 0)</f>
        <v>82.787199999999999</v>
      </c>
      <c r="G1035" s="14">
        <f>78.4513 * CHOOSE(CONTROL!$C$15, $E$9, 100%, $G$9) + CHOOSE(CONTROL!$C$38, 0.0347, 0)</f>
        <v>78.486000000000004</v>
      </c>
      <c r="H1035" s="14">
        <f>78.4513 * CHOOSE(CONTROL!$C$15, $E$9, 100%, $G$9) + CHOOSE(CONTROL!$C$38, 0.0347, 0)</f>
        <v>78.486000000000004</v>
      </c>
      <c r="I1035" s="14">
        <f>78.4529 * CHOOSE(CONTROL!$C$15, $E$9, 100%, $G$9) + CHOOSE(CONTROL!$C$38, 0.0347, 0)</f>
        <v>78.4876</v>
      </c>
      <c r="J1035" s="44">
        <f>829.498</f>
        <v>829.49800000000005</v>
      </c>
    </row>
    <row r="1036" spans="1:10" ht="15.75" x14ac:dyDescent="0.25">
      <c r="A1036" s="32">
        <v>72471</v>
      </c>
      <c r="B1036" s="14">
        <f>85.6797 * CHOOSE(CONTROL!$C$15, $E$9, 100%, $G$9) + CHOOSE(CONTROL!$C$38, 0.0278, 0)</f>
        <v>85.707499999999996</v>
      </c>
      <c r="C1036" s="14">
        <f>81.0701 * CHOOSE(CONTROL!$C$15, $E$9, 100%, $G$9) + CHOOSE(CONTROL!$C$38, 0.0369, 0)</f>
        <v>81.106999999999999</v>
      </c>
      <c r="D1036" s="14">
        <f>81.0623 * CHOOSE(CONTROL!$C$15, $E$9, 100%, $G$9) + CHOOSE(CONTROL!$C$38, 0.0369, 0)</f>
        <v>81.099199999999996</v>
      </c>
      <c r="E1036" s="46">
        <f>85.5234 * CHOOSE(CONTROL!$C$15, $E$9, 100%, $G$9) + CHOOSE(CONTROL!$C$38, 0.0369, 0)</f>
        <v>85.560299999999998</v>
      </c>
      <c r="F1036" s="45">
        <f>85.5234 * CHOOSE(CONTROL!$C$15, $E$9, 100%, $G$9) + CHOOSE(CONTROL!$C$38, 0.0278, 0)</f>
        <v>85.551199999999994</v>
      </c>
      <c r="G1036" s="14">
        <f>81.0686 * CHOOSE(CONTROL!$C$15, $E$9, 100%, $G$9) + CHOOSE(CONTROL!$C$38, 0.0369, 0)</f>
        <v>81.105500000000006</v>
      </c>
      <c r="H1036" s="14">
        <f>81.0686 * CHOOSE(CONTROL!$C$15, $E$9, 100%, $G$9) + CHOOSE(CONTROL!$C$38, 0.0369, 0)</f>
        <v>81.105500000000006</v>
      </c>
      <c r="I1036" s="14">
        <f>81.0701 * CHOOSE(CONTROL!$C$15, $E$9, 100%, $G$9) + CHOOSE(CONTROL!$C$38, 0.0369, 0)</f>
        <v>81.106999999999999</v>
      </c>
      <c r="J1036" s="44">
        <f>857.3343</f>
        <v>857.33429999999998</v>
      </c>
    </row>
    <row r="1037" spans="1:10" ht="15.75" x14ac:dyDescent="0.25">
      <c r="A1037" s="32">
        <v>72501</v>
      </c>
      <c r="B1037" s="14">
        <f>86.9054 * CHOOSE(CONTROL!$C$15, $E$9, 100%, $G$9) + CHOOSE(CONTROL!$C$38, 0.0278, 0)</f>
        <v>86.933199999999999</v>
      </c>
      <c r="C1037" s="14">
        <f>82.2316 * CHOOSE(CONTROL!$C$15, $E$9, 100%, $G$9) + CHOOSE(CONTROL!$C$38, 0.0369, 0)</f>
        <v>82.268500000000003</v>
      </c>
      <c r="D1037" s="14">
        <f>82.2238 * CHOOSE(CONTROL!$C$15, $E$9, 100%, $G$9) + CHOOSE(CONTROL!$C$38, 0.0369, 0)</f>
        <v>82.2607</v>
      </c>
      <c r="E1037" s="46">
        <f>86.7491 * CHOOSE(CONTROL!$C$15, $E$9, 100%, $G$9) + CHOOSE(CONTROL!$C$38, 0.0369, 0)</f>
        <v>86.786000000000001</v>
      </c>
      <c r="F1037" s="45">
        <f>86.7491 * CHOOSE(CONTROL!$C$15, $E$9, 100%, $G$9) + CHOOSE(CONTROL!$C$38, 0.0278, 0)</f>
        <v>86.776899999999998</v>
      </c>
      <c r="G1037" s="14">
        <f>82.2301 * CHOOSE(CONTROL!$C$15, $E$9, 100%, $G$9) + CHOOSE(CONTROL!$C$38, 0.0369, 0)</f>
        <v>82.266999999999996</v>
      </c>
      <c r="H1037" s="14">
        <f>82.2301 * CHOOSE(CONTROL!$C$15, $E$9, 100%, $G$9) + CHOOSE(CONTROL!$C$38, 0.0369, 0)</f>
        <v>82.266999999999996</v>
      </c>
      <c r="I1037" s="14">
        <f>82.2316 * CHOOSE(CONTROL!$C$15, $E$9, 100%, $G$9) + CHOOSE(CONTROL!$C$38, 0.0369, 0)</f>
        <v>82.268500000000003</v>
      </c>
      <c r="J1037" s="44">
        <f>869.6876</f>
        <v>869.68759999999997</v>
      </c>
    </row>
    <row r="1038" spans="1:10" ht="15.75" x14ac:dyDescent="0.25">
      <c r="A1038" s="32">
        <v>72532</v>
      </c>
      <c r="B1038" s="14">
        <f>86.5018 * CHOOSE(CONTROL!$C$15, $E$9, 100%, $G$9) + CHOOSE(CONTROL!$C$38, 0.0278, 0)</f>
        <v>86.529600000000002</v>
      </c>
      <c r="C1038" s="14">
        <f>81.8492 * CHOOSE(CONTROL!$C$15, $E$9, 100%, $G$9) + CHOOSE(CONTROL!$C$38, 0.0369, 0)</f>
        <v>81.886099999999999</v>
      </c>
      <c r="D1038" s="14">
        <f>81.8414 * CHOOSE(CONTROL!$C$15, $E$9, 100%, $G$9) + CHOOSE(CONTROL!$C$38, 0.0369, 0)</f>
        <v>81.878299999999996</v>
      </c>
      <c r="E1038" s="46">
        <f>86.3456 * CHOOSE(CONTROL!$C$15, $E$9, 100%, $G$9) + CHOOSE(CONTROL!$C$38, 0.0369, 0)</f>
        <v>86.382500000000007</v>
      </c>
      <c r="F1038" s="45">
        <f>86.3456 * CHOOSE(CONTROL!$C$15, $E$9, 100%, $G$9) + CHOOSE(CONTROL!$C$38, 0.0278, 0)</f>
        <v>86.373400000000004</v>
      </c>
      <c r="G1038" s="14">
        <f>81.8476 * CHOOSE(CONTROL!$C$15, $E$9, 100%, $G$9) + CHOOSE(CONTROL!$C$38, 0.0369, 0)</f>
        <v>81.884500000000003</v>
      </c>
      <c r="H1038" s="14">
        <f>81.8476 * CHOOSE(CONTROL!$C$15, $E$9, 100%, $G$9) + CHOOSE(CONTROL!$C$38, 0.0369, 0)</f>
        <v>81.884500000000003</v>
      </c>
      <c r="I1038" s="14">
        <f>81.8492 * CHOOSE(CONTROL!$C$15, $E$9, 100%, $G$9) + CHOOSE(CONTROL!$C$38, 0.0369, 0)</f>
        <v>81.886099999999999</v>
      </c>
      <c r="J1038" s="44">
        <f>865.6203</f>
        <v>865.62030000000004</v>
      </c>
    </row>
    <row r="1039" spans="1:10" ht="15.75" x14ac:dyDescent="0.25">
      <c r="A1039" s="32">
        <v>72563</v>
      </c>
      <c r="B1039" s="14">
        <f>84.5024 * CHOOSE(CONTROL!$C$15, $E$9, 100%, $G$9) + CHOOSE(CONTROL!$C$38, 0.0278, 0)</f>
        <v>84.530199999999994</v>
      </c>
      <c r="C1039" s="14">
        <f>79.9545 * CHOOSE(CONTROL!$C$15, $E$9, 100%, $G$9) + CHOOSE(CONTROL!$C$38, 0.0369, 0)</f>
        <v>79.991399999999999</v>
      </c>
      <c r="D1039" s="14">
        <f>79.9467 * CHOOSE(CONTROL!$C$15, $E$9, 100%, $G$9) + CHOOSE(CONTROL!$C$38, 0.0369, 0)</f>
        <v>79.98360000000001</v>
      </c>
      <c r="E1039" s="46">
        <f>84.3462 * CHOOSE(CONTROL!$C$15, $E$9, 100%, $G$9) + CHOOSE(CONTROL!$C$38, 0.0369, 0)</f>
        <v>84.383099999999999</v>
      </c>
      <c r="F1039" s="45">
        <f>84.3462 * CHOOSE(CONTROL!$C$15, $E$9, 100%, $G$9) + CHOOSE(CONTROL!$C$38, 0.0278, 0)</f>
        <v>84.373999999999995</v>
      </c>
      <c r="G1039" s="14">
        <f>79.953 * CHOOSE(CONTROL!$C$15, $E$9, 100%, $G$9) + CHOOSE(CONTROL!$C$38, 0.0369, 0)</f>
        <v>79.989900000000006</v>
      </c>
      <c r="H1039" s="14">
        <f>79.953 * CHOOSE(CONTROL!$C$15, $E$9, 100%, $G$9) + CHOOSE(CONTROL!$C$38, 0.0369, 0)</f>
        <v>79.989900000000006</v>
      </c>
      <c r="I1039" s="14">
        <f>79.9545 * CHOOSE(CONTROL!$C$15, $E$9, 100%, $G$9) + CHOOSE(CONTROL!$C$38, 0.0369, 0)</f>
        <v>79.991399999999999</v>
      </c>
      <c r="J1039" s="44">
        <f>845.469</f>
        <v>845.46900000000005</v>
      </c>
    </row>
    <row r="1040" spans="1:10" ht="15.75" x14ac:dyDescent="0.25">
      <c r="A1040" s="32">
        <v>72593</v>
      </c>
      <c r="B1040" s="14">
        <f>81.7142 * CHOOSE(CONTROL!$C$15, $E$9, 100%, $G$9) + CHOOSE(CONTROL!$C$38, 0.0278, 0)</f>
        <v>81.742000000000004</v>
      </c>
      <c r="C1040" s="14">
        <f>77.3123 * CHOOSE(CONTROL!$C$15, $E$9, 100%, $G$9) + CHOOSE(CONTROL!$C$38, 0.0369, 0)</f>
        <v>77.349199999999996</v>
      </c>
      <c r="D1040" s="14">
        <f>77.3045 * CHOOSE(CONTROL!$C$15, $E$9, 100%, $G$9) + CHOOSE(CONTROL!$C$38, 0.0369, 0)</f>
        <v>77.341400000000007</v>
      </c>
      <c r="E1040" s="46">
        <f>81.558 * CHOOSE(CONTROL!$C$15, $E$9, 100%, $G$9) + CHOOSE(CONTROL!$C$38, 0.0369, 0)</f>
        <v>81.59490000000001</v>
      </c>
      <c r="F1040" s="45">
        <f>81.558 * CHOOSE(CONTROL!$C$15, $E$9, 100%, $G$9) + CHOOSE(CONTROL!$C$38, 0.0278, 0)</f>
        <v>81.585800000000006</v>
      </c>
      <c r="G1040" s="14">
        <f>77.3107 * CHOOSE(CONTROL!$C$15, $E$9, 100%, $G$9) + CHOOSE(CONTROL!$C$38, 0.0369, 0)</f>
        <v>77.3476</v>
      </c>
      <c r="H1040" s="14">
        <f>77.3107 * CHOOSE(CONTROL!$C$15, $E$9, 100%, $G$9) + CHOOSE(CONTROL!$C$38, 0.0369, 0)</f>
        <v>77.3476</v>
      </c>
      <c r="I1040" s="14">
        <f>77.3123 * CHOOSE(CONTROL!$C$15, $E$9, 100%, $G$9) + CHOOSE(CONTROL!$C$38, 0.0369, 0)</f>
        <v>77.349199999999996</v>
      </c>
      <c r="J1040" s="44">
        <f>817.3671</f>
        <v>817.36710000000005</v>
      </c>
    </row>
    <row r="1041" spans="1:10" ht="15.75" x14ac:dyDescent="0.25">
      <c r="A1041" s="32">
        <v>72624</v>
      </c>
      <c r="B1041" s="14">
        <f>78.9098 * CHOOSE(CONTROL!$C$15, $E$9, 100%, $G$9) + CHOOSE(CONTROL!$C$38, 0.0256, 0)</f>
        <v>78.935400000000001</v>
      </c>
      <c r="C1041" s="14">
        <f>74.6547 * CHOOSE(CONTROL!$C$15, $E$9, 100%, $G$9) + CHOOSE(CONTROL!$C$38, 0.0347, 0)</f>
        <v>74.689400000000006</v>
      </c>
      <c r="D1041" s="14">
        <f>74.6469 * CHOOSE(CONTROL!$C$15, $E$9, 100%, $G$9) + CHOOSE(CONTROL!$C$38, 0.0347, 0)</f>
        <v>74.681600000000003</v>
      </c>
      <c r="E1041" s="46">
        <f>78.7536 * CHOOSE(CONTROL!$C$15, $E$9, 100%, $G$9) + CHOOSE(CONTROL!$C$38, 0.0347, 0)</f>
        <v>78.788300000000007</v>
      </c>
      <c r="F1041" s="45">
        <f>78.7536 * CHOOSE(CONTROL!$C$15, $E$9, 100%, $G$9) + CHOOSE(CONTROL!$C$38, 0.0256, 0)</f>
        <v>78.779200000000003</v>
      </c>
      <c r="G1041" s="14">
        <f>74.6531 * CHOOSE(CONTROL!$C$15, $E$9, 100%, $G$9) + CHOOSE(CONTROL!$C$38, 0.0347, 0)</f>
        <v>74.687799999999996</v>
      </c>
      <c r="H1041" s="14">
        <f>74.6531 * CHOOSE(CONTROL!$C$15, $E$9, 100%, $G$9) + CHOOSE(CONTROL!$C$38, 0.0347, 0)</f>
        <v>74.687799999999996</v>
      </c>
      <c r="I1041" s="14">
        <f>74.6547 * CHOOSE(CONTROL!$C$15, $E$9, 100%, $G$9) + CHOOSE(CONTROL!$C$38, 0.0347, 0)</f>
        <v>74.689400000000006</v>
      </c>
      <c r="J1041" s="44">
        <f>789.1017</f>
        <v>789.10170000000005</v>
      </c>
    </row>
    <row r="1042" spans="1:10" ht="15.75" x14ac:dyDescent="0.25">
      <c r="A1042" s="32">
        <v>72654</v>
      </c>
      <c r="B1042" s="14">
        <f>78.352 * CHOOSE(CONTROL!$C$15, $E$9, 100%, $G$9) + CHOOSE(CONTROL!$C$38, 0.0256, 0)</f>
        <v>78.377600000000001</v>
      </c>
      <c r="C1042" s="14">
        <f>74.126 * CHOOSE(CONTROL!$C$15, $E$9, 100%, $G$9) + CHOOSE(CONTROL!$C$38, 0.0347, 0)</f>
        <v>74.160700000000006</v>
      </c>
      <c r="D1042" s="14">
        <f>74.1182 * CHOOSE(CONTROL!$C$15, $E$9, 100%, $G$9) + CHOOSE(CONTROL!$C$38, 0.0347, 0)</f>
        <v>74.152900000000002</v>
      </c>
      <c r="E1042" s="46">
        <f>78.1957 * CHOOSE(CONTROL!$C$15, $E$9, 100%, $G$9) + CHOOSE(CONTROL!$C$38, 0.0347, 0)</f>
        <v>78.230400000000003</v>
      </c>
      <c r="F1042" s="45">
        <f>78.1957 * CHOOSE(CONTROL!$C$15, $E$9, 100%, $G$9) + CHOOSE(CONTROL!$C$38, 0.0256, 0)</f>
        <v>78.221299999999999</v>
      </c>
      <c r="G1042" s="14">
        <f>74.1245 * CHOOSE(CONTROL!$C$15, $E$9, 100%, $G$9) + CHOOSE(CONTROL!$C$38, 0.0347, 0)</f>
        <v>74.159199999999998</v>
      </c>
      <c r="H1042" s="14">
        <f>74.1245 * CHOOSE(CONTROL!$C$15, $E$9, 100%, $G$9) + CHOOSE(CONTROL!$C$38, 0.0347, 0)</f>
        <v>74.159199999999998</v>
      </c>
      <c r="I1042" s="14">
        <f>74.126 * CHOOSE(CONTROL!$C$15, $E$9, 100%, $G$9) + CHOOSE(CONTROL!$C$38, 0.0347, 0)</f>
        <v>74.160700000000006</v>
      </c>
      <c r="J1042" s="44">
        <f>783.4792</f>
        <v>783.47919999999999</v>
      </c>
    </row>
    <row r="1043" spans="1:10" ht="15.75" x14ac:dyDescent="0.25">
      <c r="A1043" s="32">
        <v>72685</v>
      </c>
      <c r="B1043" s="14">
        <f>76.0452 * CHOOSE(CONTROL!$C$15, $E$9, 100%, $G$9) + CHOOSE(CONTROL!$C$38, 0.0256, 0)</f>
        <v>76.070799999999991</v>
      </c>
      <c r="C1043" s="14">
        <f>71.94 * CHOOSE(CONTROL!$C$15, $E$9, 100%, $G$9) + CHOOSE(CONTROL!$C$38, 0.0347, 0)</f>
        <v>71.974699999999999</v>
      </c>
      <c r="D1043" s="14">
        <f>71.9322 * CHOOSE(CONTROL!$C$15, $E$9, 100%, $G$9) + CHOOSE(CONTROL!$C$38, 0.0347, 0)</f>
        <v>71.966899999999995</v>
      </c>
      <c r="E1043" s="46">
        <f>75.8889 * CHOOSE(CONTROL!$C$15, $E$9, 100%, $G$9) + CHOOSE(CONTROL!$C$38, 0.0347, 0)</f>
        <v>75.923600000000008</v>
      </c>
      <c r="F1043" s="45">
        <f>75.8889 * CHOOSE(CONTROL!$C$15, $E$9, 100%, $G$9) + CHOOSE(CONTROL!$C$38, 0.0256, 0)</f>
        <v>75.914500000000004</v>
      </c>
      <c r="G1043" s="14">
        <f>71.9385 * CHOOSE(CONTROL!$C$15, $E$9, 100%, $G$9) + CHOOSE(CONTROL!$C$38, 0.0347, 0)</f>
        <v>71.973200000000006</v>
      </c>
      <c r="H1043" s="14">
        <f>71.9385 * CHOOSE(CONTROL!$C$15, $E$9, 100%, $G$9) + CHOOSE(CONTROL!$C$38, 0.0347, 0)</f>
        <v>71.973200000000006</v>
      </c>
      <c r="I1043" s="14">
        <f>71.94 * CHOOSE(CONTROL!$C$15, $E$9, 100%, $G$9) + CHOOSE(CONTROL!$C$38, 0.0347, 0)</f>
        <v>71.974699999999999</v>
      </c>
      <c r="J1043" s="44">
        <f>760.2293</f>
        <v>760.22929999999997</v>
      </c>
    </row>
    <row r="1044" spans="1:10" ht="15.75" x14ac:dyDescent="0.25">
      <c r="A1044" s="32">
        <v>72716</v>
      </c>
      <c r="B1044" s="14">
        <f>75.4723 * CHOOSE(CONTROL!$C$15, $E$9, 100%, $G$9) + CHOOSE(CONTROL!$C$38, 0.0256, 0)</f>
        <v>75.497900000000001</v>
      </c>
      <c r="C1044" s="14">
        <f>71.3971 * CHOOSE(CONTROL!$C$15, $E$9, 100%, $G$9) + CHOOSE(CONTROL!$C$38, 0.0347, 0)</f>
        <v>71.431799999999996</v>
      </c>
      <c r="D1044" s="14">
        <f>71.3893 * CHOOSE(CONTROL!$C$15, $E$9, 100%, $G$9) + CHOOSE(CONTROL!$C$38, 0.0347, 0)</f>
        <v>71.424000000000007</v>
      </c>
      <c r="E1044" s="46">
        <f>75.3161 * CHOOSE(CONTROL!$C$15, $E$9, 100%, $G$9) + CHOOSE(CONTROL!$C$38, 0.0347, 0)</f>
        <v>75.350800000000007</v>
      </c>
      <c r="F1044" s="45">
        <f>75.3161 * CHOOSE(CONTROL!$C$15, $E$9, 100%, $G$9) + CHOOSE(CONTROL!$C$38, 0.0256, 0)</f>
        <v>75.341700000000003</v>
      </c>
      <c r="G1044" s="14">
        <f>71.3956 * CHOOSE(CONTROL!$C$15, $E$9, 100%, $G$9) + CHOOSE(CONTROL!$C$38, 0.0347, 0)</f>
        <v>71.430300000000003</v>
      </c>
      <c r="H1044" s="14">
        <f>71.3956 * CHOOSE(CONTROL!$C$15, $E$9, 100%, $G$9) + CHOOSE(CONTROL!$C$38, 0.0347, 0)</f>
        <v>71.430300000000003</v>
      </c>
      <c r="I1044" s="14">
        <f>71.3971 * CHOOSE(CONTROL!$C$15, $E$9, 100%, $G$9) + CHOOSE(CONTROL!$C$38, 0.0347, 0)</f>
        <v>71.431799999999996</v>
      </c>
      <c r="J1044" s="44">
        <f>759.249</f>
        <v>759.24900000000002</v>
      </c>
    </row>
    <row r="1045" spans="1:10" ht="15.75" x14ac:dyDescent="0.25">
      <c r="A1045" s="32">
        <v>72744</v>
      </c>
      <c r="B1045" s="14">
        <f>75.2643 * CHOOSE(CONTROL!$C$15, $E$9, 100%, $G$9) + CHOOSE(CONTROL!$C$38, 0.0256, 0)</f>
        <v>75.289900000000003</v>
      </c>
      <c r="C1045" s="14">
        <f>71.2 * CHOOSE(CONTROL!$C$15, $E$9, 100%, $G$9) + CHOOSE(CONTROL!$C$38, 0.0347, 0)</f>
        <v>71.234700000000004</v>
      </c>
      <c r="D1045" s="14">
        <f>71.1922 * CHOOSE(CONTROL!$C$15, $E$9, 100%, $G$9) + CHOOSE(CONTROL!$C$38, 0.0347, 0)</f>
        <v>71.226900000000001</v>
      </c>
      <c r="E1045" s="46">
        <f>75.108 * CHOOSE(CONTROL!$C$15, $E$9, 100%, $G$9) + CHOOSE(CONTROL!$C$38, 0.0347, 0)</f>
        <v>75.142700000000005</v>
      </c>
      <c r="F1045" s="45">
        <f>75.108 * CHOOSE(CONTROL!$C$15, $E$9, 100%, $G$9) + CHOOSE(CONTROL!$C$38, 0.0256, 0)</f>
        <v>75.133600000000001</v>
      </c>
      <c r="G1045" s="14">
        <f>71.1984 * CHOOSE(CONTROL!$C$15, $E$9, 100%, $G$9) + CHOOSE(CONTROL!$C$38, 0.0347, 0)</f>
        <v>71.233100000000007</v>
      </c>
      <c r="H1045" s="14">
        <f>71.1984 * CHOOSE(CONTROL!$C$15, $E$9, 100%, $G$9) + CHOOSE(CONTROL!$C$38, 0.0347, 0)</f>
        <v>71.233100000000007</v>
      </c>
      <c r="I1045" s="14">
        <f>71.2 * CHOOSE(CONTROL!$C$15, $E$9, 100%, $G$9) + CHOOSE(CONTROL!$C$38, 0.0347, 0)</f>
        <v>71.234700000000004</v>
      </c>
      <c r="J1045" s="44">
        <f>757.1385</f>
        <v>757.13850000000002</v>
      </c>
    </row>
    <row r="1046" spans="1:10" ht="15.75" x14ac:dyDescent="0.25">
      <c r="A1046" s="32">
        <v>72775</v>
      </c>
      <c r="B1046" s="14">
        <f>79.1986 * CHOOSE(CONTROL!$C$15, $E$9, 100%, $G$9) + CHOOSE(CONTROL!$C$38, 0.0256, 0)</f>
        <v>79.224199999999996</v>
      </c>
      <c r="C1046" s="14">
        <f>74.9283 * CHOOSE(CONTROL!$C$15, $E$9, 100%, $G$9) + CHOOSE(CONTROL!$C$38, 0.0347, 0)</f>
        <v>74.962999999999994</v>
      </c>
      <c r="D1046" s="14">
        <f>74.9205 * CHOOSE(CONTROL!$C$15, $E$9, 100%, $G$9) + CHOOSE(CONTROL!$C$38, 0.0347, 0)</f>
        <v>74.955200000000005</v>
      </c>
      <c r="E1046" s="46">
        <f>79.0423 * CHOOSE(CONTROL!$C$15, $E$9, 100%, $G$9) + CHOOSE(CONTROL!$C$38, 0.0347, 0)</f>
        <v>79.076999999999998</v>
      </c>
      <c r="F1046" s="45">
        <f>79.0423 * CHOOSE(CONTROL!$C$15, $E$9, 100%, $G$9) + CHOOSE(CONTROL!$C$38, 0.0256, 0)</f>
        <v>79.067899999999995</v>
      </c>
      <c r="G1046" s="14">
        <f>74.9268 * CHOOSE(CONTROL!$C$15, $E$9, 100%, $G$9) + CHOOSE(CONTROL!$C$38, 0.0347, 0)</f>
        <v>74.961500000000001</v>
      </c>
      <c r="H1046" s="14">
        <f>74.9268 * CHOOSE(CONTROL!$C$15, $E$9, 100%, $G$9) + CHOOSE(CONTROL!$C$38, 0.0347, 0)</f>
        <v>74.961500000000001</v>
      </c>
      <c r="I1046" s="14">
        <f>74.9283 * CHOOSE(CONTROL!$C$15, $E$9, 100%, $G$9) + CHOOSE(CONTROL!$C$38, 0.0347, 0)</f>
        <v>74.962999999999994</v>
      </c>
      <c r="J1046" s="44">
        <f>797.0441</f>
        <v>797.04409999999996</v>
      </c>
    </row>
    <row r="1047" spans="1:10" ht="15.75" x14ac:dyDescent="0.25">
      <c r="A1047" s="32">
        <v>72805</v>
      </c>
      <c r="B1047" s="14">
        <f>84.3005 * CHOOSE(CONTROL!$C$15, $E$9, 100%, $G$9) + CHOOSE(CONTROL!$C$38, 0.0256, 0)</f>
        <v>84.326099999999997</v>
      </c>
      <c r="C1047" s="14">
        <f>79.7631 * CHOOSE(CONTROL!$C$15, $E$9, 100%, $G$9) + CHOOSE(CONTROL!$C$38, 0.0347, 0)</f>
        <v>79.797799999999995</v>
      </c>
      <c r="D1047" s="14">
        <f>79.7553 * CHOOSE(CONTROL!$C$15, $E$9, 100%, $G$9) + CHOOSE(CONTROL!$C$38, 0.0347, 0)</f>
        <v>79.790000000000006</v>
      </c>
      <c r="E1047" s="46">
        <f>84.1442 * CHOOSE(CONTROL!$C$15, $E$9, 100%, $G$9) + CHOOSE(CONTROL!$C$38, 0.0347, 0)</f>
        <v>84.178899999999999</v>
      </c>
      <c r="F1047" s="45">
        <f>84.1442 * CHOOSE(CONTROL!$C$15, $E$9, 100%, $G$9) + CHOOSE(CONTROL!$C$38, 0.0256, 0)</f>
        <v>84.169799999999995</v>
      </c>
      <c r="G1047" s="14">
        <f>79.7616 * CHOOSE(CONTROL!$C$15, $E$9, 100%, $G$9) + CHOOSE(CONTROL!$C$38, 0.0347, 0)</f>
        <v>79.796300000000002</v>
      </c>
      <c r="H1047" s="14">
        <f>79.7616 * CHOOSE(CONTROL!$C$15, $E$9, 100%, $G$9) + CHOOSE(CONTROL!$C$38, 0.0347, 0)</f>
        <v>79.796300000000002</v>
      </c>
      <c r="I1047" s="14">
        <f>79.7631 * CHOOSE(CONTROL!$C$15, $E$9, 100%, $G$9) + CHOOSE(CONTROL!$C$38, 0.0347, 0)</f>
        <v>79.797799999999995</v>
      </c>
      <c r="J1047" s="44">
        <f>848.7921</f>
        <v>848.7921</v>
      </c>
    </row>
    <row r="1048" spans="1:10" ht="15.75" x14ac:dyDescent="0.25">
      <c r="A1048" s="32">
        <v>72836</v>
      </c>
      <c r="B1048" s="14">
        <f>87.1087 * CHOOSE(CONTROL!$C$15, $E$9, 100%, $G$9) + CHOOSE(CONTROL!$C$38, 0.0278, 0)</f>
        <v>87.136499999999998</v>
      </c>
      <c r="C1048" s="14">
        <f>82.4243 * CHOOSE(CONTROL!$C$15, $E$9, 100%, $G$9) + CHOOSE(CONTROL!$C$38, 0.0369, 0)</f>
        <v>82.461200000000005</v>
      </c>
      <c r="D1048" s="14">
        <f>82.4165 * CHOOSE(CONTROL!$C$15, $E$9, 100%, $G$9) + CHOOSE(CONTROL!$C$38, 0.0369, 0)</f>
        <v>82.453400000000002</v>
      </c>
      <c r="E1048" s="46">
        <f>86.9525 * CHOOSE(CONTROL!$C$15, $E$9, 100%, $G$9) + CHOOSE(CONTROL!$C$38, 0.0369, 0)</f>
        <v>86.989400000000003</v>
      </c>
      <c r="F1048" s="45">
        <f>86.9525 * CHOOSE(CONTROL!$C$15, $E$9, 100%, $G$9) + CHOOSE(CONTROL!$C$38, 0.0278, 0)</f>
        <v>86.9803</v>
      </c>
      <c r="G1048" s="14">
        <f>82.4228 * CHOOSE(CONTROL!$C$15, $E$9, 100%, $G$9) + CHOOSE(CONTROL!$C$38, 0.0369, 0)</f>
        <v>82.459699999999998</v>
      </c>
      <c r="H1048" s="14">
        <f>82.4228 * CHOOSE(CONTROL!$C$15, $E$9, 100%, $G$9) + CHOOSE(CONTROL!$C$38, 0.0369, 0)</f>
        <v>82.459699999999998</v>
      </c>
      <c r="I1048" s="14">
        <f>82.4243 * CHOOSE(CONTROL!$C$15, $E$9, 100%, $G$9) + CHOOSE(CONTROL!$C$38, 0.0369, 0)</f>
        <v>82.461200000000005</v>
      </c>
      <c r="J1048" s="44">
        <f>877.2759</f>
        <v>877.27589999999998</v>
      </c>
    </row>
    <row r="1049" spans="1:10" ht="15.75" x14ac:dyDescent="0.25">
      <c r="A1049" s="32">
        <v>72866</v>
      </c>
      <c r="B1049" s="14">
        <f>88.355 * CHOOSE(CONTROL!$C$15, $E$9, 100%, $G$9) + CHOOSE(CONTROL!$C$38, 0.0278, 0)</f>
        <v>88.382800000000003</v>
      </c>
      <c r="C1049" s="14">
        <f>83.6053 * CHOOSE(CONTROL!$C$15, $E$9, 100%, $G$9) + CHOOSE(CONTROL!$C$38, 0.0369, 0)</f>
        <v>83.642200000000003</v>
      </c>
      <c r="D1049" s="14">
        <f>83.5975 * CHOOSE(CONTROL!$C$15, $E$9, 100%, $G$9) + CHOOSE(CONTROL!$C$38, 0.0369, 0)</f>
        <v>83.634399999999999</v>
      </c>
      <c r="E1049" s="46">
        <f>88.1987 * CHOOSE(CONTROL!$C$15, $E$9, 100%, $G$9) + CHOOSE(CONTROL!$C$38, 0.0369, 0)</f>
        <v>88.235600000000005</v>
      </c>
      <c r="F1049" s="45">
        <f>88.1987 * CHOOSE(CONTROL!$C$15, $E$9, 100%, $G$9) + CHOOSE(CONTROL!$C$38, 0.0278, 0)</f>
        <v>88.226500000000001</v>
      </c>
      <c r="G1049" s="14">
        <f>83.6038 * CHOOSE(CONTROL!$C$15, $E$9, 100%, $G$9) + CHOOSE(CONTROL!$C$38, 0.0369, 0)</f>
        <v>83.64070000000001</v>
      </c>
      <c r="H1049" s="14">
        <f>83.6038 * CHOOSE(CONTROL!$C$15, $E$9, 100%, $G$9) + CHOOSE(CONTROL!$C$38, 0.0369, 0)</f>
        <v>83.64070000000001</v>
      </c>
      <c r="I1049" s="14">
        <f>83.6053 * CHOOSE(CONTROL!$C$15, $E$9, 100%, $G$9) + CHOOSE(CONTROL!$C$38, 0.0369, 0)</f>
        <v>83.642200000000003</v>
      </c>
      <c r="J1049" s="44">
        <f>889.9165</f>
        <v>889.91650000000004</v>
      </c>
    </row>
    <row r="1050" spans="1:10" ht="15.75" x14ac:dyDescent="0.25">
      <c r="A1050" s="32">
        <v>72897</v>
      </c>
      <c r="B1050" s="14">
        <f>87.9446 * CHOOSE(CONTROL!$C$15, $E$9, 100%, $G$9) + CHOOSE(CONTROL!$C$38, 0.0278, 0)</f>
        <v>87.972399999999993</v>
      </c>
      <c r="C1050" s="14">
        <f>83.2165 * CHOOSE(CONTROL!$C$15, $E$9, 100%, $G$9) + CHOOSE(CONTROL!$C$38, 0.0369, 0)</f>
        <v>83.253399999999999</v>
      </c>
      <c r="D1050" s="14">
        <f>83.2087 * CHOOSE(CONTROL!$C$15, $E$9, 100%, $G$9) + CHOOSE(CONTROL!$C$38, 0.0369, 0)</f>
        <v>83.245599999999996</v>
      </c>
      <c r="E1050" s="46">
        <f>87.7884 * CHOOSE(CONTROL!$C$15, $E$9, 100%, $G$9) + CHOOSE(CONTROL!$C$38, 0.0369, 0)</f>
        <v>87.825299999999999</v>
      </c>
      <c r="F1050" s="45">
        <f>87.7884 * CHOOSE(CONTROL!$C$15, $E$9, 100%, $G$9) + CHOOSE(CONTROL!$C$38, 0.0278, 0)</f>
        <v>87.816199999999995</v>
      </c>
      <c r="G1050" s="14">
        <f>83.2149 * CHOOSE(CONTROL!$C$15, $E$9, 100%, $G$9) + CHOOSE(CONTROL!$C$38, 0.0369, 0)</f>
        <v>83.251800000000003</v>
      </c>
      <c r="H1050" s="14">
        <f>83.2149 * CHOOSE(CONTROL!$C$15, $E$9, 100%, $G$9) + CHOOSE(CONTROL!$C$38, 0.0369, 0)</f>
        <v>83.251800000000003</v>
      </c>
      <c r="I1050" s="14">
        <f>83.2165 * CHOOSE(CONTROL!$C$15, $E$9, 100%, $G$9) + CHOOSE(CONTROL!$C$38, 0.0369, 0)</f>
        <v>83.253399999999999</v>
      </c>
      <c r="J1050" s="44">
        <f>885.7546</f>
        <v>885.75459999999998</v>
      </c>
    </row>
    <row r="1051" spans="1:10" ht="15.75" x14ac:dyDescent="0.25">
      <c r="A1051" s="32">
        <v>72928</v>
      </c>
      <c r="B1051" s="14">
        <f>85.9117 * CHOOSE(CONTROL!$C$15, $E$9, 100%, $G$9) + CHOOSE(CONTROL!$C$38, 0.0278, 0)</f>
        <v>85.939499999999995</v>
      </c>
      <c r="C1051" s="14">
        <f>81.29 * CHOOSE(CONTROL!$C$15, $E$9, 100%, $G$9) + CHOOSE(CONTROL!$C$38, 0.0369, 0)</f>
        <v>81.326900000000009</v>
      </c>
      <c r="D1051" s="14">
        <f>81.2822 * CHOOSE(CONTROL!$C$15, $E$9, 100%, $G$9) + CHOOSE(CONTROL!$C$38, 0.0369, 0)</f>
        <v>81.319100000000006</v>
      </c>
      <c r="E1051" s="46">
        <f>85.7554 * CHOOSE(CONTROL!$C$15, $E$9, 100%, $G$9) + CHOOSE(CONTROL!$C$38, 0.0369, 0)</f>
        <v>85.792299999999997</v>
      </c>
      <c r="F1051" s="45">
        <f>85.7554 * CHOOSE(CONTROL!$C$15, $E$9, 100%, $G$9) + CHOOSE(CONTROL!$C$38, 0.0278, 0)</f>
        <v>85.783199999999994</v>
      </c>
      <c r="G1051" s="14">
        <f>81.2884 * CHOOSE(CONTROL!$C$15, $E$9, 100%, $G$9) + CHOOSE(CONTROL!$C$38, 0.0369, 0)</f>
        <v>81.325299999999999</v>
      </c>
      <c r="H1051" s="14">
        <f>81.2884 * CHOOSE(CONTROL!$C$15, $E$9, 100%, $G$9) + CHOOSE(CONTROL!$C$38, 0.0369, 0)</f>
        <v>81.325299999999999</v>
      </c>
      <c r="I1051" s="14">
        <f>81.29 * CHOOSE(CONTROL!$C$15, $E$9, 100%, $G$9) + CHOOSE(CONTROL!$C$38, 0.0369, 0)</f>
        <v>81.326900000000009</v>
      </c>
      <c r="J1051" s="44">
        <f>865.1346</f>
        <v>865.13459999999998</v>
      </c>
    </row>
    <row r="1052" spans="1:10" ht="15.75" x14ac:dyDescent="0.25">
      <c r="A1052" s="32">
        <v>72958</v>
      </c>
      <c r="B1052" s="14">
        <f>83.0767 * CHOOSE(CONTROL!$C$15, $E$9, 100%, $G$9) + CHOOSE(CONTROL!$C$38, 0.0278, 0)</f>
        <v>83.104500000000002</v>
      </c>
      <c r="C1052" s="14">
        <f>78.6034 * CHOOSE(CONTROL!$C$15, $E$9, 100%, $G$9) + CHOOSE(CONTROL!$C$38, 0.0369, 0)</f>
        <v>78.640299999999996</v>
      </c>
      <c r="D1052" s="14">
        <f>78.5956 * CHOOSE(CONTROL!$C$15, $E$9, 100%, $G$9) + CHOOSE(CONTROL!$C$38, 0.0369, 0)</f>
        <v>78.632500000000007</v>
      </c>
      <c r="E1052" s="46">
        <f>82.9204 * CHOOSE(CONTROL!$C$15, $E$9, 100%, $G$9) + CHOOSE(CONTROL!$C$38, 0.0369, 0)</f>
        <v>82.957300000000004</v>
      </c>
      <c r="F1052" s="45">
        <f>82.9204 * CHOOSE(CONTROL!$C$15, $E$9, 100%, $G$9) + CHOOSE(CONTROL!$C$38, 0.0278, 0)</f>
        <v>82.9482</v>
      </c>
      <c r="G1052" s="14">
        <f>78.6018 * CHOOSE(CONTROL!$C$15, $E$9, 100%, $G$9) + CHOOSE(CONTROL!$C$38, 0.0369, 0)</f>
        <v>78.6387</v>
      </c>
      <c r="H1052" s="14">
        <f>78.6018 * CHOOSE(CONTROL!$C$15, $E$9, 100%, $G$9) + CHOOSE(CONTROL!$C$38, 0.0369, 0)</f>
        <v>78.6387</v>
      </c>
      <c r="I1052" s="14">
        <f>78.6034 * CHOOSE(CONTROL!$C$15, $E$9, 100%, $G$9) + CHOOSE(CONTROL!$C$38, 0.0369, 0)</f>
        <v>78.640299999999996</v>
      </c>
      <c r="J1052" s="44">
        <f>836.3791</f>
        <v>836.37909999999999</v>
      </c>
    </row>
    <row r="1053" spans="1:10" ht="15.75" x14ac:dyDescent="0.25">
      <c r="A1053" s="32">
        <v>72989</v>
      </c>
      <c r="B1053" s="14">
        <f>80.2251 * CHOOSE(CONTROL!$C$15, $E$9, 100%, $G$9) + CHOOSE(CONTROL!$C$38, 0.0256, 0)</f>
        <v>80.250699999999995</v>
      </c>
      <c r="C1053" s="14">
        <f>75.9011 * CHOOSE(CONTROL!$C$15, $E$9, 100%, $G$9) + CHOOSE(CONTROL!$C$38, 0.0347, 0)</f>
        <v>75.9358</v>
      </c>
      <c r="D1053" s="14">
        <f>75.8933 * CHOOSE(CONTROL!$C$15, $E$9, 100%, $G$9) + CHOOSE(CONTROL!$C$38, 0.0347, 0)</f>
        <v>75.927999999999997</v>
      </c>
      <c r="E1053" s="46">
        <f>80.0689 * CHOOSE(CONTROL!$C$15, $E$9, 100%, $G$9) + CHOOSE(CONTROL!$C$38, 0.0347, 0)</f>
        <v>80.1036</v>
      </c>
      <c r="F1053" s="45">
        <f>80.0689 * CHOOSE(CONTROL!$C$15, $E$9, 100%, $G$9) + CHOOSE(CONTROL!$C$38, 0.0256, 0)</f>
        <v>80.094499999999996</v>
      </c>
      <c r="G1053" s="14">
        <f>75.8996 * CHOOSE(CONTROL!$C$15, $E$9, 100%, $G$9) + CHOOSE(CONTROL!$C$38, 0.0347, 0)</f>
        <v>75.934300000000007</v>
      </c>
      <c r="H1053" s="14">
        <f>75.8996 * CHOOSE(CONTROL!$C$15, $E$9, 100%, $G$9) + CHOOSE(CONTROL!$C$38, 0.0347, 0)</f>
        <v>75.934300000000007</v>
      </c>
      <c r="I1053" s="14">
        <f>75.9011 * CHOOSE(CONTROL!$C$15, $E$9, 100%, $G$9) + CHOOSE(CONTROL!$C$38, 0.0347, 0)</f>
        <v>75.9358</v>
      </c>
      <c r="J1053" s="44">
        <f>807.4562</f>
        <v>807.45619999999997</v>
      </c>
    </row>
    <row r="1054" spans="1:10" ht="15.75" x14ac:dyDescent="0.25">
      <c r="A1054" s="32">
        <v>73019</v>
      </c>
      <c r="B1054" s="14">
        <f>79.6579 * CHOOSE(CONTROL!$C$15, $E$9, 100%, $G$9) + CHOOSE(CONTROL!$C$38, 0.0256, 0)</f>
        <v>79.683499999999995</v>
      </c>
      <c r="C1054" s="14">
        <f>75.3636 * CHOOSE(CONTROL!$C$15, $E$9, 100%, $G$9) + CHOOSE(CONTROL!$C$38, 0.0347, 0)</f>
        <v>75.398300000000006</v>
      </c>
      <c r="D1054" s="14">
        <f>75.3558 * CHOOSE(CONTROL!$C$15, $E$9, 100%, $G$9) + CHOOSE(CONTROL!$C$38, 0.0347, 0)</f>
        <v>75.390500000000003</v>
      </c>
      <c r="E1054" s="46">
        <f>79.5016 * CHOOSE(CONTROL!$C$15, $E$9, 100%, $G$9) + CHOOSE(CONTROL!$C$38, 0.0347, 0)</f>
        <v>79.536299999999997</v>
      </c>
      <c r="F1054" s="45">
        <f>79.5016 * CHOOSE(CONTROL!$C$15, $E$9, 100%, $G$9) + CHOOSE(CONTROL!$C$38, 0.0256, 0)</f>
        <v>79.527199999999993</v>
      </c>
      <c r="G1054" s="14">
        <f>75.362 * CHOOSE(CONTROL!$C$15, $E$9, 100%, $G$9) + CHOOSE(CONTROL!$C$38, 0.0347, 0)</f>
        <v>75.396699999999996</v>
      </c>
      <c r="H1054" s="14">
        <f>75.362 * CHOOSE(CONTROL!$C$15, $E$9, 100%, $G$9) + CHOOSE(CONTROL!$C$38, 0.0347, 0)</f>
        <v>75.396699999999996</v>
      </c>
      <c r="I1054" s="14">
        <f>75.3636 * CHOOSE(CONTROL!$C$15, $E$9, 100%, $G$9) + CHOOSE(CONTROL!$C$38, 0.0347, 0)</f>
        <v>75.398300000000006</v>
      </c>
      <c r="J1054" s="44">
        <f>801.7029</f>
        <v>801.7029</v>
      </c>
    </row>
    <row r="1055" spans="1:10" ht="15.75" x14ac:dyDescent="0.25">
      <c r="A1055" s="32">
        <v>73050</v>
      </c>
      <c r="B1055" s="14">
        <f>77.3124 * CHOOSE(CONTROL!$C$15, $E$9, 100%, $G$9) + CHOOSE(CONTROL!$C$38, 0.0256, 0)</f>
        <v>77.337999999999994</v>
      </c>
      <c r="C1055" s="14">
        <f>73.1408 * CHOOSE(CONTROL!$C$15, $E$9, 100%, $G$9) + CHOOSE(CONTROL!$C$38, 0.0347, 0)</f>
        <v>73.1755</v>
      </c>
      <c r="D1055" s="14">
        <f>73.133 * CHOOSE(CONTROL!$C$15, $E$9, 100%, $G$9) + CHOOSE(CONTROL!$C$38, 0.0347, 0)</f>
        <v>73.167699999999996</v>
      </c>
      <c r="E1055" s="46">
        <f>77.1561 * CHOOSE(CONTROL!$C$15, $E$9, 100%, $G$9) + CHOOSE(CONTROL!$C$38, 0.0347, 0)</f>
        <v>77.190799999999996</v>
      </c>
      <c r="F1055" s="45">
        <f>77.1561 * CHOOSE(CONTROL!$C$15, $E$9, 100%, $G$9) + CHOOSE(CONTROL!$C$38, 0.0256, 0)</f>
        <v>77.181699999999992</v>
      </c>
      <c r="G1055" s="14">
        <f>73.1393 * CHOOSE(CONTROL!$C$15, $E$9, 100%, $G$9) + CHOOSE(CONTROL!$C$38, 0.0347, 0)</f>
        <v>73.174000000000007</v>
      </c>
      <c r="H1055" s="14">
        <f>73.1393 * CHOOSE(CONTROL!$C$15, $E$9, 100%, $G$9) + CHOOSE(CONTROL!$C$38, 0.0347, 0)</f>
        <v>73.174000000000007</v>
      </c>
      <c r="I1055" s="14">
        <f>73.1408 * CHOOSE(CONTROL!$C$15, $E$9, 100%, $G$9) + CHOOSE(CONTROL!$C$38, 0.0347, 0)</f>
        <v>73.1755</v>
      </c>
      <c r="J1055" s="44">
        <f>777.9123</f>
        <v>777.91229999999996</v>
      </c>
    </row>
    <row r="1056" spans="1:10" ht="15.75" x14ac:dyDescent="0.25">
      <c r="A1056" s="32">
        <v>73081</v>
      </c>
      <c r="B1056" s="14">
        <f>76.7299 * CHOOSE(CONTROL!$C$15, $E$9, 100%, $G$9) + CHOOSE(CONTROL!$C$38, 0.0256, 0)</f>
        <v>76.755499999999998</v>
      </c>
      <c r="C1056" s="14">
        <f>72.5889 * CHOOSE(CONTROL!$C$15, $E$9, 100%, $G$9) + CHOOSE(CONTROL!$C$38, 0.0347, 0)</f>
        <v>72.623599999999996</v>
      </c>
      <c r="D1056" s="14">
        <f>72.581 * CHOOSE(CONTROL!$C$15, $E$9, 100%, $G$9) + CHOOSE(CONTROL!$C$38, 0.0347, 0)</f>
        <v>72.615700000000004</v>
      </c>
      <c r="E1056" s="46">
        <f>76.5736 * CHOOSE(CONTROL!$C$15, $E$9, 100%, $G$9) + CHOOSE(CONTROL!$C$38, 0.0347, 0)</f>
        <v>76.6083</v>
      </c>
      <c r="F1056" s="45">
        <f>76.5736 * CHOOSE(CONTROL!$C$15, $E$9, 100%, $G$9) + CHOOSE(CONTROL!$C$38, 0.0256, 0)</f>
        <v>76.599199999999996</v>
      </c>
      <c r="G1056" s="14">
        <f>72.5873 * CHOOSE(CONTROL!$C$15, $E$9, 100%, $G$9) + CHOOSE(CONTROL!$C$38, 0.0347, 0)</f>
        <v>72.622</v>
      </c>
      <c r="H1056" s="14">
        <f>72.5873 * CHOOSE(CONTROL!$C$15, $E$9, 100%, $G$9) + CHOOSE(CONTROL!$C$38, 0.0347, 0)</f>
        <v>72.622</v>
      </c>
      <c r="I1056" s="14">
        <f>72.5889 * CHOOSE(CONTROL!$C$15, $E$9, 100%, $G$9) + CHOOSE(CONTROL!$C$38, 0.0347, 0)</f>
        <v>72.623599999999996</v>
      </c>
      <c r="J1056" s="44">
        <f>776.9091</f>
        <v>776.90909999999997</v>
      </c>
    </row>
    <row r="1057" spans="1:11" ht="15.75" x14ac:dyDescent="0.25">
      <c r="A1057" s="32">
        <v>73109</v>
      </c>
      <c r="B1057" s="14">
        <f>76.5183 * CHOOSE(CONTROL!$C$15, $E$9, 100%, $G$9) + CHOOSE(CONTROL!$C$38, 0.0256, 0)</f>
        <v>76.543899999999994</v>
      </c>
      <c r="C1057" s="14">
        <f>72.3884 * CHOOSE(CONTROL!$C$15, $E$9, 100%, $G$9) + CHOOSE(CONTROL!$C$38, 0.0347, 0)</f>
        <v>72.423100000000005</v>
      </c>
      <c r="D1057" s="14">
        <f>72.3806 * CHOOSE(CONTROL!$C$15, $E$9, 100%, $G$9) + CHOOSE(CONTROL!$C$38, 0.0347, 0)</f>
        <v>72.415300000000002</v>
      </c>
      <c r="E1057" s="46">
        <f>76.3621 * CHOOSE(CONTROL!$C$15, $E$9, 100%, $G$9) + CHOOSE(CONTROL!$C$38, 0.0347, 0)</f>
        <v>76.396799999999999</v>
      </c>
      <c r="F1057" s="45">
        <f>76.3621 * CHOOSE(CONTROL!$C$15, $E$9, 100%, $G$9) + CHOOSE(CONTROL!$C$38, 0.0256, 0)</f>
        <v>76.387699999999995</v>
      </c>
      <c r="G1057" s="14">
        <f>72.3868 * CHOOSE(CONTROL!$C$15, $E$9, 100%, $G$9) + CHOOSE(CONTROL!$C$38, 0.0347, 0)</f>
        <v>72.421499999999995</v>
      </c>
      <c r="H1057" s="14">
        <f>72.3868 * CHOOSE(CONTROL!$C$15, $E$9, 100%, $G$9) + CHOOSE(CONTROL!$C$38, 0.0347, 0)</f>
        <v>72.421499999999995</v>
      </c>
      <c r="I1057" s="14">
        <f>72.3884 * CHOOSE(CONTROL!$C$15, $E$9, 100%, $G$9) + CHOOSE(CONTROL!$C$38, 0.0347, 0)</f>
        <v>72.423100000000005</v>
      </c>
      <c r="J1057" s="44">
        <f>774.7496</f>
        <v>774.74959999999999</v>
      </c>
    </row>
    <row r="1058" spans="1:11" ht="15.75" x14ac:dyDescent="0.25">
      <c r="A1058" s="32">
        <v>73140</v>
      </c>
      <c r="B1058" s="14">
        <f>80.5187 * CHOOSE(CONTROL!$C$15, $E$9, 100%, $G$9) + CHOOSE(CONTROL!$C$38, 0.0256, 0)</f>
        <v>80.544299999999993</v>
      </c>
      <c r="C1058" s="14">
        <f>76.1794 * CHOOSE(CONTROL!$C$15, $E$9, 100%, $G$9) + CHOOSE(CONTROL!$C$38, 0.0347, 0)</f>
        <v>76.214100000000002</v>
      </c>
      <c r="D1058" s="14">
        <f>76.1715 * CHOOSE(CONTROL!$C$15, $E$9, 100%, $G$9) + CHOOSE(CONTROL!$C$38, 0.0347, 0)</f>
        <v>76.206199999999995</v>
      </c>
      <c r="E1058" s="46">
        <f>80.3625 * CHOOSE(CONTROL!$C$15, $E$9, 100%, $G$9) + CHOOSE(CONTROL!$C$38, 0.0347, 0)</f>
        <v>80.397199999999998</v>
      </c>
      <c r="F1058" s="45">
        <f>80.3625 * CHOOSE(CONTROL!$C$15, $E$9, 100%, $G$9) + CHOOSE(CONTROL!$C$38, 0.0256, 0)</f>
        <v>80.388099999999994</v>
      </c>
      <c r="G1058" s="14">
        <f>76.1778 * CHOOSE(CONTROL!$C$15, $E$9, 100%, $G$9) + CHOOSE(CONTROL!$C$38, 0.0347, 0)</f>
        <v>76.212500000000006</v>
      </c>
      <c r="H1058" s="14">
        <f>76.1778 * CHOOSE(CONTROL!$C$15, $E$9, 100%, $G$9) + CHOOSE(CONTROL!$C$38, 0.0347, 0)</f>
        <v>76.212500000000006</v>
      </c>
      <c r="I1058" s="14">
        <f>76.1794 * CHOOSE(CONTROL!$C$15, $E$9, 100%, $G$9) + CHOOSE(CONTROL!$C$38, 0.0347, 0)</f>
        <v>76.214100000000002</v>
      </c>
      <c r="J1058" s="44">
        <f>815.5834</f>
        <v>815.58339999999998</v>
      </c>
    </row>
    <row r="1059" spans="1:11" ht="15.75" x14ac:dyDescent="0.25">
      <c r="A1059" s="32">
        <v>73170</v>
      </c>
      <c r="B1059" s="14">
        <f>85.7063 * CHOOSE(CONTROL!$C$15, $E$9, 100%, $G$9) + CHOOSE(CONTROL!$C$38, 0.0256, 0)</f>
        <v>85.731899999999996</v>
      </c>
      <c r="C1059" s="14">
        <f>81.0954 * CHOOSE(CONTROL!$C$15, $E$9, 100%, $G$9) + CHOOSE(CONTROL!$C$38, 0.0347, 0)</f>
        <v>81.130099999999999</v>
      </c>
      <c r="D1059" s="14">
        <f>81.0876 * CHOOSE(CONTROL!$C$15, $E$9, 100%, $G$9) + CHOOSE(CONTROL!$C$38, 0.0347, 0)</f>
        <v>81.122299999999996</v>
      </c>
      <c r="E1059" s="46">
        <f>85.5501 * CHOOSE(CONTROL!$C$15, $E$9, 100%, $G$9) + CHOOSE(CONTROL!$C$38, 0.0347, 0)</f>
        <v>85.584800000000001</v>
      </c>
      <c r="F1059" s="45">
        <f>85.5501 * CHOOSE(CONTROL!$C$15, $E$9, 100%, $G$9) + CHOOSE(CONTROL!$C$38, 0.0256, 0)</f>
        <v>85.575699999999998</v>
      </c>
      <c r="G1059" s="14">
        <f>81.0938 * CHOOSE(CONTROL!$C$15, $E$9, 100%, $G$9) + CHOOSE(CONTROL!$C$38, 0.0347, 0)</f>
        <v>81.128500000000003</v>
      </c>
      <c r="H1059" s="14">
        <f>81.0938 * CHOOSE(CONTROL!$C$15, $E$9, 100%, $G$9) + CHOOSE(CONTROL!$C$38, 0.0347, 0)</f>
        <v>81.128500000000003</v>
      </c>
      <c r="I1059" s="14">
        <f>81.0954 * CHOOSE(CONTROL!$C$15, $E$9, 100%, $G$9) + CHOOSE(CONTROL!$C$38, 0.0347, 0)</f>
        <v>81.130099999999999</v>
      </c>
      <c r="J1059" s="44">
        <f>868.535</f>
        <v>868.53499999999997</v>
      </c>
    </row>
    <row r="1060" spans="1:11" ht="15.75" x14ac:dyDescent="0.25">
      <c r="A1060" s="32">
        <v>73201</v>
      </c>
      <c r="B1060" s="14">
        <f>88.5618 * CHOOSE(CONTROL!$C$15, $E$9, 100%, $G$9) + CHOOSE(CONTROL!$C$38, 0.0278, 0)</f>
        <v>88.589600000000004</v>
      </c>
      <c r="C1060" s="14">
        <f>83.8013 * CHOOSE(CONTROL!$C$15, $E$9, 100%, $G$9) + CHOOSE(CONTROL!$C$38, 0.0369, 0)</f>
        <v>83.838200000000001</v>
      </c>
      <c r="D1060" s="14">
        <f>83.7935 * CHOOSE(CONTROL!$C$15, $E$9, 100%, $G$9) + CHOOSE(CONTROL!$C$38, 0.0369, 0)</f>
        <v>83.830399999999997</v>
      </c>
      <c r="E1060" s="46">
        <f>88.4055 * CHOOSE(CONTROL!$C$15, $E$9, 100%, $G$9) + CHOOSE(CONTROL!$C$38, 0.0369, 0)</f>
        <v>88.442400000000006</v>
      </c>
      <c r="F1060" s="45">
        <f>88.4055 * CHOOSE(CONTROL!$C$15, $E$9, 100%, $G$9) + CHOOSE(CONTROL!$C$38, 0.0278, 0)</f>
        <v>88.433300000000003</v>
      </c>
      <c r="G1060" s="14">
        <f>83.7997 * CHOOSE(CONTROL!$C$15, $E$9, 100%, $G$9) + CHOOSE(CONTROL!$C$38, 0.0369, 0)</f>
        <v>83.836600000000004</v>
      </c>
      <c r="H1060" s="14">
        <f>83.7997 * CHOOSE(CONTROL!$C$15, $E$9, 100%, $G$9) + CHOOSE(CONTROL!$C$38, 0.0369, 0)</f>
        <v>83.836600000000004</v>
      </c>
      <c r="I1060" s="14">
        <f>83.8013 * CHOOSE(CONTROL!$C$15, $E$9, 100%, $G$9) + CHOOSE(CONTROL!$C$38, 0.0369, 0)</f>
        <v>83.838200000000001</v>
      </c>
      <c r="J1060" s="44">
        <f>897.6814</f>
        <v>897.68140000000005</v>
      </c>
    </row>
    <row r="1061" spans="1:11" ht="15.75" x14ac:dyDescent="0.25">
      <c r="A1061" s="32">
        <v>73231</v>
      </c>
      <c r="B1061" s="14">
        <f>89.8289 * CHOOSE(CONTROL!$C$15, $E$9, 100%, $G$9) + CHOOSE(CONTROL!$C$38, 0.0278, 0)</f>
        <v>89.856700000000004</v>
      </c>
      <c r="C1061" s="14">
        <f>85.0021 * CHOOSE(CONTROL!$C$15, $E$9, 100%, $G$9) + CHOOSE(CONTROL!$C$38, 0.0369, 0)</f>
        <v>85.039000000000001</v>
      </c>
      <c r="D1061" s="14">
        <f>84.9943 * CHOOSE(CONTROL!$C$15, $E$9, 100%, $G$9) + CHOOSE(CONTROL!$C$38, 0.0369, 0)</f>
        <v>85.031199999999998</v>
      </c>
      <c r="E1061" s="46">
        <f>89.6727 * CHOOSE(CONTROL!$C$15, $E$9, 100%, $G$9) + CHOOSE(CONTROL!$C$38, 0.0369, 0)</f>
        <v>89.709600000000009</v>
      </c>
      <c r="F1061" s="45">
        <f>89.6727 * CHOOSE(CONTROL!$C$15, $E$9, 100%, $G$9) + CHOOSE(CONTROL!$C$38, 0.0278, 0)</f>
        <v>89.700500000000005</v>
      </c>
      <c r="G1061" s="14">
        <f>85.0006 * CHOOSE(CONTROL!$C$15, $E$9, 100%, $G$9) + CHOOSE(CONTROL!$C$38, 0.0369, 0)</f>
        <v>85.037500000000009</v>
      </c>
      <c r="H1061" s="14">
        <f>85.0006 * CHOOSE(CONTROL!$C$15, $E$9, 100%, $G$9) + CHOOSE(CONTROL!$C$38, 0.0369, 0)</f>
        <v>85.037500000000009</v>
      </c>
      <c r="I1061" s="14">
        <f>85.0021 * CHOOSE(CONTROL!$C$15, $E$9, 100%, $G$9) + CHOOSE(CONTROL!$C$38, 0.0369, 0)</f>
        <v>85.039000000000001</v>
      </c>
      <c r="J1061" s="44">
        <f>910.616</f>
        <v>910.61599999999999</v>
      </c>
    </row>
    <row r="1062" spans="1:11" ht="15.75" x14ac:dyDescent="0.25">
      <c r="A1062" s="32">
        <v>73262</v>
      </c>
      <c r="B1062" s="14">
        <f>89.4117 * CHOOSE(CONTROL!$C$15, $E$9, 100%, $G$9) + CHOOSE(CONTROL!$C$38, 0.0278, 0)</f>
        <v>89.439499999999995</v>
      </c>
      <c r="C1062" s="14">
        <f>84.6068 * CHOOSE(CONTROL!$C$15, $E$9, 100%, $G$9) + CHOOSE(CONTROL!$C$38, 0.0369, 0)</f>
        <v>84.64370000000001</v>
      </c>
      <c r="D1062" s="14">
        <f>84.599 * CHOOSE(CONTROL!$C$15, $E$9, 100%, $G$9) + CHOOSE(CONTROL!$C$38, 0.0369, 0)</f>
        <v>84.635900000000007</v>
      </c>
      <c r="E1062" s="46">
        <f>89.2555 * CHOOSE(CONTROL!$C$15, $E$9, 100%, $G$9) + CHOOSE(CONTROL!$C$38, 0.0369, 0)</f>
        <v>89.292400000000001</v>
      </c>
      <c r="F1062" s="45">
        <f>89.2555 * CHOOSE(CONTROL!$C$15, $E$9, 100%, $G$9) + CHOOSE(CONTROL!$C$38, 0.0278, 0)</f>
        <v>89.283299999999997</v>
      </c>
      <c r="G1062" s="14">
        <f>84.6052 * CHOOSE(CONTROL!$C$15, $E$9, 100%, $G$9) + CHOOSE(CONTROL!$C$38, 0.0369, 0)</f>
        <v>84.642099999999999</v>
      </c>
      <c r="H1062" s="14">
        <f>84.6052 * CHOOSE(CONTROL!$C$15, $E$9, 100%, $G$9) + CHOOSE(CONTROL!$C$38, 0.0369, 0)</f>
        <v>84.642099999999999</v>
      </c>
      <c r="I1062" s="14">
        <f>84.6068 * CHOOSE(CONTROL!$C$15, $E$9, 100%, $G$9) + CHOOSE(CONTROL!$C$38, 0.0369, 0)</f>
        <v>84.64370000000001</v>
      </c>
      <c r="J1062" s="44">
        <f>906.3573</f>
        <v>906.35730000000001</v>
      </c>
    </row>
    <row r="1063" spans="1:11" ht="15.75" x14ac:dyDescent="0.25">
      <c r="A1063" s="32">
        <v>73293</v>
      </c>
      <c r="B1063" s="14">
        <f>87.3446 * CHOOSE(CONTROL!$C$15, $E$9, 100%, $G$9) + CHOOSE(CONTROL!$C$38, 0.0278, 0)</f>
        <v>87.372399999999999</v>
      </c>
      <c r="C1063" s="14">
        <f>82.6479 * CHOOSE(CONTROL!$C$15, $E$9, 100%, $G$9) + CHOOSE(CONTROL!$C$38, 0.0369, 0)</f>
        <v>82.68480000000001</v>
      </c>
      <c r="D1063" s="14">
        <f>82.6401 * CHOOSE(CONTROL!$C$15, $E$9, 100%, $G$9) + CHOOSE(CONTROL!$C$38, 0.0369, 0)</f>
        <v>82.677000000000007</v>
      </c>
      <c r="E1063" s="46">
        <f>87.1884 * CHOOSE(CONTROL!$C$15, $E$9, 100%, $G$9) + CHOOSE(CONTROL!$C$38, 0.0369, 0)</f>
        <v>87.225300000000004</v>
      </c>
      <c r="F1063" s="45">
        <f>87.1884 * CHOOSE(CONTROL!$C$15, $E$9, 100%, $G$9) + CHOOSE(CONTROL!$C$38, 0.0278, 0)</f>
        <v>87.216200000000001</v>
      </c>
      <c r="G1063" s="14">
        <f>82.6463 * CHOOSE(CONTROL!$C$15, $E$9, 100%, $G$9) + CHOOSE(CONTROL!$C$38, 0.0369, 0)</f>
        <v>82.683199999999999</v>
      </c>
      <c r="H1063" s="14">
        <f>82.6463 * CHOOSE(CONTROL!$C$15, $E$9, 100%, $G$9) + CHOOSE(CONTROL!$C$38, 0.0369, 0)</f>
        <v>82.683199999999999</v>
      </c>
      <c r="I1063" s="14">
        <f>82.6479 * CHOOSE(CONTROL!$C$15, $E$9, 100%, $G$9) + CHOOSE(CONTROL!$C$38, 0.0369, 0)</f>
        <v>82.68480000000001</v>
      </c>
      <c r="J1063" s="44">
        <f>885.2577</f>
        <v>885.2577</v>
      </c>
    </row>
    <row r="1064" spans="1:11" ht="15.75" x14ac:dyDescent="0.25">
      <c r="A1064" s="32">
        <v>73323</v>
      </c>
      <c r="B1064" s="14">
        <f>84.462 * CHOOSE(CONTROL!$C$15, $E$9, 100%, $G$9) + CHOOSE(CONTROL!$C$38, 0.0278, 0)</f>
        <v>84.489800000000002</v>
      </c>
      <c r="C1064" s="14">
        <f>79.9161 * CHOOSE(CONTROL!$C$15, $E$9, 100%, $G$9) + CHOOSE(CONTROL!$C$38, 0.0369, 0)</f>
        <v>79.953000000000003</v>
      </c>
      <c r="D1064" s="14">
        <f>79.9083 * CHOOSE(CONTROL!$C$15, $E$9, 100%, $G$9) + CHOOSE(CONTROL!$C$38, 0.0369, 0)</f>
        <v>79.9452</v>
      </c>
      <c r="E1064" s="46">
        <f>84.3057 * CHOOSE(CONTROL!$C$15, $E$9, 100%, $G$9) + CHOOSE(CONTROL!$C$38, 0.0369, 0)</f>
        <v>84.342600000000004</v>
      </c>
      <c r="F1064" s="45">
        <f>84.3057 * CHOOSE(CONTROL!$C$15, $E$9, 100%, $G$9) + CHOOSE(CONTROL!$C$38, 0.0278, 0)</f>
        <v>84.333500000000001</v>
      </c>
      <c r="G1064" s="14">
        <f>79.9146 * CHOOSE(CONTROL!$C$15, $E$9, 100%, $G$9) + CHOOSE(CONTROL!$C$38, 0.0369, 0)</f>
        <v>79.951499999999996</v>
      </c>
      <c r="H1064" s="14">
        <f>79.9146 * CHOOSE(CONTROL!$C$15, $E$9, 100%, $G$9) + CHOOSE(CONTROL!$C$38, 0.0369, 0)</f>
        <v>79.951499999999996</v>
      </c>
      <c r="I1064" s="14">
        <f>79.9161 * CHOOSE(CONTROL!$C$15, $E$9, 100%, $G$9) + CHOOSE(CONTROL!$C$38, 0.0369, 0)</f>
        <v>79.953000000000003</v>
      </c>
      <c r="J1064" s="44">
        <f>855.8332</f>
        <v>855.83320000000003</v>
      </c>
    </row>
    <row r="1065" spans="1:11" ht="15.75" x14ac:dyDescent="0.25">
      <c r="A1065" s="32">
        <v>73354</v>
      </c>
      <c r="B1065" s="14">
        <f>81.5625 * CHOOSE(CONTROL!$C$15, $E$9, 100%, $G$9) + CHOOSE(CONTROL!$C$38, 0.0256, 0)</f>
        <v>81.588099999999997</v>
      </c>
      <c r="C1065" s="14">
        <f>77.1685 * CHOOSE(CONTROL!$C$15, $E$9, 100%, $G$9) + CHOOSE(CONTROL!$C$38, 0.0347, 0)</f>
        <v>77.203199999999995</v>
      </c>
      <c r="D1065" s="14">
        <f>77.1607 * CHOOSE(CONTROL!$C$15, $E$9, 100%, $G$9) + CHOOSE(CONTROL!$C$38, 0.0347, 0)</f>
        <v>77.195400000000006</v>
      </c>
      <c r="E1065" s="46">
        <f>81.4063 * CHOOSE(CONTROL!$C$15, $E$9, 100%, $G$9) + CHOOSE(CONTROL!$C$38, 0.0347, 0)</f>
        <v>81.441000000000003</v>
      </c>
      <c r="F1065" s="45">
        <f>81.4063 * CHOOSE(CONTROL!$C$15, $E$9, 100%, $G$9) + CHOOSE(CONTROL!$C$38, 0.0256, 0)</f>
        <v>81.431899999999999</v>
      </c>
      <c r="G1065" s="14">
        <f>77.1669 * CHOOSE(CONTROL!$C$15, $E$9, 100%, $G$9) + CHOOSE(CONTROL!$C$38, 0.0347, 0)</f>
        <v>77.201599999999999</v>
      </c>
      <c r="H1065" s="14">
        <f>77.1669 * CHOOSE(CONTROL!$C$15, $E$9, 100%, $G$9) + CHOOSE(CONTROL!$C$38, 0.0347, 0)</f>
        <v>77.201599999999999</v>
      </c>
      <c r="I1065" s="14">
        <f>77.1685 * CHOOSE(CONTROL!$C$15, $E$9, 100%, $G$9) + CHOOSE(CONTROL!$C$38, 0.0347, 0)</f>
        <v>77.203199999999995</v>
      </c>
      <c r="J1065" s="44">
        <f>826.2376</f>
        <v>826.23760000000004</v>
      </c>
    </row>
    <row r="1066" spans="1:11" ht="15.75" x14ac:dyDescent="0.25">
      <c r="A1066" s="32">
        <v>73384</v>
      </c>
      <c r="B1066" s="14">
        <f>80.9858 * CHOOSE(CONTROL!$C$15, $E$9, 100%, $G$9) + CHOOSE(CONTROL!$C$38, 0.0256, 0)</f>
        <v>81.011399999999995</v>
      </c>
      <c r="C1066" s="14">
        <f>76.6219 * CHOOSE(CONTROL!$C$15, $E$9, 100%, $G$9) + CHOOSE(CONTROL!$C$38, 0.0347, 0)</f>
        <v>76.656599999999997</v>
      </c>
      <c r="D1066" s="14">
        <f>76.6141 * CHOOSE(CONTROL!$C$15, $E$9, 100%, $G$9) + CHOOSE(CONTROL!$C$38, 0.0347, 0)</f>
        <v>76.648799999999994</v>
      </c>
      <c r="E1066" s="46">
        <f>80.8295 * CHOOSE(CONTROL!$C$15, $E$9, 100%, $G$9) + CHOOSE(CONTROL!$C$38, 0.0347, 0)</f>
        <v>80.864199999999997</v>
      </c>
      <c r="F1066" s="45">
        <f>80.8295 * CHOOSE(CONTROL!$C$15, $E$9, 100%, $G$9) + CHOOSE(CONTROL!$C$38, 0.0256, 0)</f>
        <v>80.855099999999993</v>
      </c>
      <c r="G1066" s="14">
        <f>76.6204 * CHOOSE(CONTROL!$C$15, $E$9, 100%, $G$9) + CHOOSE(CONTROL!$C$38, 0.0347, 0)</f>
        <v>76.655100000000004</v>
      </c>
      <c r="H1066" s="14">
        <f>76.6204 * CHOOSE(CONTROL!$C$15, $E$9, 100%, $G$9) + CHOOSE(CONTROL!$C$38, 0.0347, 0)</f>
        <v>76.655100000000004</v>
      </c>
      <c r="I1066" s="14">
        <f>76.6219 * CHOOSE(CONTROL!$C$15, $E$9, 100%, $G$9) + CHOOSE(CONTROL!$C$38, 0.0347, 0)</f>
        <v>76.656599999999997</v>
      </c>
      <c r="J1066" s="44">
        <f>820.3505</f>
        <v>820.35050000000001</v>
      </c>
    </row>
    <row r="1067" spans="1:11" ht="15.75" x14ac:dyDescent="0.25">
      <c r="A1067" s="32">
        <v>73415</v>
      </c>
      <c r="B1067" s="14">
        <f>78.6008 * CHOOSE(CONTROL!$C$15, $E$9, 100%, $G$9) + CHOOSE(CONTROL!$C$38, 0.0256, 0)</f>
        <v>78.626400000000004</v>
      </c>
      <c r="C1067" s="14">
        <f>74.3619 * CHOOSE(CONTROL!$C$15, $E$9, 100%, $G$9) + CHOOSE(CONTROL!$C$38, 0.0347, 0)</f>
        <v>74.396600000000007</v>
      </c>
      <c r="D1067" s="14">
        <f>74.354 * CHOOSE(CONTROL!$C$15, $E$9, 100%, $G$9) + CHOOSE(CONTROL!$C$38, 0.0347, 0)</f>
        <v>74.3887</v>
      </c>
      <c r="E1067" s="46">
        <f>78.4446 * CHOOSE(CONTROL!$C$15, $E$9, 100%, $G$9) + CHOOSE(CONTROL!$C$38, 0.0347, 0)</f>
        <v>78.479299999999995</v>
      </c>
      <c r="F1067" s="45">
        <f>78.4446 * CHOOSE(CONTROL!$C$15, $E$9, 100%, $G$9) + CHOOSE(CONTROL!$C$38, 0.0256, 0)</f>
        <v>78.470199999999991</v>
      </c>
      <c r="G1067" s="14">
        <f>74.3603 * CHOOSE(CONTROL!$C$15, $E$9, 100%, $G$9) + CHOOSE(CONTROL!$C$38, 0.0347, 0)</f>
        <v>74.394999999999996</v>
      </c>
      <c r="H1067" s="14">
        <f>74.3603 * CHOOSE(CONTROL!$C$15, $E$9, 100%, $G$9) + CHOOSE(CONTROL!$C$38, 0.0347, 0)</f>
        <v>74.394999999999996</v>
      </c>
      <c r="I1067" s="14">
        <f>74.3619 * CHOOSE(CONTROL!$C$15, $E$9, 100%, $G$9) + CHOOSE(CONTROL!$C$38, 0.0347, 0)</f>
        <v>74.396600000000007</v>
      </c>
      <c r="J1067" s="44">
        <f>796.0065</f>
        <v>796.00649999999996</v>
      </c>
    </row>
    <row r="1068" spans="1:11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</row>
    <row r="1069" spans="1:11" ht="15" x14ac:dyDescent="0.2">
      <c r="A1069" s="10">
        <v>2013</v>
      </c>
      <c r="B1069" s="14">
        <f t="shared" ref="B1069:J1069" si="0">AVERAGE(B12:B23)</f>
        <v>16.420844217818665</v>
      </c>
      <c r="C1069" s="14">
        <f t="shared" si="0"/>
        <v>15.766944816211934</v>
      </c>
      <c r="D1069" s="14">
        <f t="shared" si="0"/>
        <v>15.759135441211933</v>
      </c>
      <c r="E1069" s="14">
        <f t="shared" si="0"/>
        <v>15.759135441211933</v>
      </c>
      <c r="F1069" s="14">
        <f t="shared" si="0"/>
        <v>16.131584159412423</v>
      </c>
      <c r="G1069" s="14">
        <f t="shared" si="0"/>
        <v>15.765389607878598</v>
      </c>
      <c r="H1069" s="14">
        <f t="shared" si="0"/>
        <v>15.765389607878598</v>
      </c>
      <c r="I1069" s="14">
        <f t="shared" si="0"/>
        <v>15.766944816211934</v>
      </c>
      <c r="J1069" s="14">
        <f t="shared" si="0"/>
        <v>99.014166666666654</v>
      </c>
      <c r="K1069" s="14"/>
    </row>
    <row r="1070" spans="1:11" ht="15" x14ac:dyDescent="0.2">
      <c r="A1070" s="10">
        <v>2014</v>
      </c>
      <c r="B1070" s="14">
        <f t="shared" ref="B1070:J1070" si="1">AVERAGE(B24:B35)</f>
        <v>16.343691666666668</v>
      </c>
      <c r="C1070" s="14">
        <f t="shared" si="1"/>
        <v>15.571566666666664</v>
      </c>
      <c r="D1070" s="14">
        <f t="shared" si="1"/>
        <v>15.563741666666663</v>
      </c>
      <c r="E1070" s="14">
        <f t="shared" si="1"/>
        <v>16.196566666666666</v>
      </c>
      <c r="F1070" s="14">
        <f t="shared" si="1"/>
        <v>16.187466666666669</v>
      </c>
      <c r="G1070" s="14">
        <f t="shared" si="1"/>
        <v>15.569991666666667</v>
      </c>
      <c r="H1070" s="14">
        <f t="shared" si="1"/>
        <v>15.569991666666667</v>
      </c>
      <c r="I1070" s="14">
        <f t="shared" si="1"/>
        <v>15.571566666666664</v>
      </c>
      <c r="J1070" s="14">
        <f t="shared" si="1"/>
        <v>98.506666666666661</v>
      </c>
      <c r="K1070" s="14"/>
    </row>
    <row r="1071" spans="1:11" ht="15" x14ac:dyDescent="0.2">
      <c r="A1071" s="10">
        <v>2015</v>
      </c>
      <c r="B1071" s="14">
        <f t="shared" ref="B1071:J1071" si="2">AVERAGE(B36:B47)</f>
        <v>14.965316666666672</v>
      </c>
      <c r="C1071" s="14">
        <f t="shared" si="2"/>
        <v>14.998116666666663</v>
      </c>
      <c r="D1071" s="14">
        <f t="shared" si="2"/>
        <v>14.990316666666665</v>
      </c>
      <c r="E1071" s="14">
        <f t="shared" si="2"/>
        <v>14.818216666666665</v>
      </c>
      <c r="F1071" s="14">
        <f t="shared" si="2"/>
        <v>14.809116666666666</v>
      </c>
      <c r="G1071" s="14">
        <f t="shared" si="2"/>
        <v>14.996516666666666</v>
      </c>
      <c r="H1071" s="14">
        <f t="shared" si="2"/>
        <v>14.996516666666666</v>
      </c>
      <c r="I1071" s="14">
        <f t="shared" si="2"/>
        <v>14.998116666666663</v>
      </c>
      <c r="J1071" s="14">
        <f t="shared" si="2"/>
        <v>89.685000000000002</v>
      </c>
      <c r="K1071" s="14"/>
    </row>
    <row r="1072" spans="1:11" ht="15" x14ac:dyDescent="0.2">
      <c r="A1072" s="10">
        <v>2016</v>
      </c>
      <c r="B1072" s="14">
        <f t="shared" ref="B1072:J1072" si="3">AVERAGE(B48:B59)</f>
        <v>15.379091666666667</v>
      </c>
      <c r="C1072" s="14">
        <f t="shared" si="3"/>
        <v>15.162908333333332</v>
      </c>
      <c r="D1072" s="14">
        <f t="shared" si="3"/>
        <v>15.155091666666664</v>
      </c>
      <c r="E1072" s="14">
        <f t="shared" si="3"/>
        <v>15.231925000000002</v>
      </c>
      <c r="F1072" s="14">
        <f t="shared" si="3"/>
        <v>15.222824999999998</v>
      </c>
      <c r="G1072" s="14">
        <f t="shared" si="3"/>
        <v>15.161341666666665</v>
      </c>
      <c r="H1072" s="14">
        <f t="shared" si="3"/>
        <v>15.161341666666665</v>
      </c>
      <c r="I1072" s="14">
        <f t="shared" si="3"/>
        <v>15.162908333333332</v>
      </c>
      <c r="J1072" s="14">
        <f t="shared" si="3"/>
        <v>95.477058333333332</v>
      </c>
      <c r="K1072" s="14"/>
    </row>
    <row r="1073" spans="1:11" ht="15" x14ac:dyDescent="0.2">
      <c r="A1073" s="10">
        <v>2017</v>
      </c>
      <c r="B1073" s="14">
        <f t="shared" ref="B1073:J1073" si="4">AVERAGE(B60:B71)</f>
        <v>15.378266666666669</v>
      </c>
      <c r="C1073" s="14">
        <f t="shared" si="4"/>
        <v>15.161716666666669</v>
      </c>
      <c r="D1073" s="14">
        <f t="shared" si="4"/>
        <v>15.153883333333333</v>
      </c>
      <c r="E1073" s="14">
        <f t="shared" si="4"/>
        <v>15.231116666666665</v>
      </c>
      <c r="F1073" s="14">
        <f t="shared" si="4"/>
        <v>15.222016666666669</v>
      </c>
      <c r="G1073" s="14">
        <f t="shared" si="4"/>
        <v>15.160125000000001</v>
      </c>
      <c r="H1073" s="14">
        <f t="shared" si="4"/>
        <v>15.160125000000001</v>
      </c>
      <c r="I1073" s="14">
        <f t="shared" si="4"/>
        <v>15.161716666666669</v>
      </c>
      <c r="J1073" s="14">
        <f t="shared" si="4"/>
        <v>95.69841666666666</v>
      </c>
      <c r="K1073" s="14"/>
    </row>
    <row r="1074" spans="1:11" ht="15" x14ac:dyDescent="0.2">
      <c r="A1074" s="10">
        <v>2018</v>
      </c>
      <c r="B1074" s="14">
        <f t="shared" ref="B1074:J1074" si="5">AVERAGE(B72:B83)</f>
        <v>17.207683333333332</v>
      </c>
      <c r="C1074" s="14">
        <f t="shared" si="5"/>
        <v>16.741183333333332</v>
      </c>
      <c r="D1074" s="14">
        <f t="shared" si="5"/>
        <v>16.733383333333332</v>
      </c>
      <c r="E1074" s="14">
        <f t="shared" si="5"/>
        <v>17.060549999999999</v>
      </c>
      <c r="F1074" s="14">
        <f t="shared" si="5"/>
        <v>17.051449999999999</v>
      </c>
      <c r="G1074" s="14">
        <f t="shared" si="5"/>
        <v>16.739591666666666</v>
      </c>
      <c r="H1074" s="14">
        <f t="shared" si="5"/>
        <v>16.739591666666666</v>
      </c>
      <c r="I1074" s="14">
        <f t="shared" si="5"/>
        <v>16.741183333333332</v>
      </c>
      <c r="J1074" s="14">
        <f t="shared" si="5"/>
        <v>110.98133333333332</v>
      </c>
      <c r="K1074" s="14"/>
    </row>
    <row r="1075" spans="1:11" ht="15" x14ac:dyDescent="0.2">
      <c r="A1075" s="10">
        <v>2019</v>
      </c>
      <c r="B1075" s="14">
        <f t="shared" ref="B1075:J1075" si="6">AVERAGE(B84:B95)</f>
        <v>17.665025</v>
      </c>
      <c r="C1075" s="14">
        <f t="shared" si="6"/>
        <v>17.165708333333331</v>
      </c>
      <c r="D1075" s="14">
        <f t="shared" si="6"/>
        <v>17.157900000000001</v>
      </c>
      <c r="E1075" s="14">
        <f t="shared" si="6"/>
        <v>17.517883333333334</v>
      </c>
      <c r="F1075" s="14">
        <f t="shared" si="6"/>
        <v>17.50878333333333</v>
      </c>
      <c r="G1075" s="14">
        <f t="shared" si="6"/>
        <v>17.164149999999999</v>
      </c>
      <c r="H1075" s="14">
        <f t="shared" si="6"/>
        <v>17.164149999999999</v>
      </c>
      <c r="I1075" s="14">
        <f t="shared" si="6"/>
        <v>17.165708333333331</v>
      </c>
      <c r="J1075" s="14">
        <f t="shared" si="6"/>
        <v>113.54180833333335</v>
      </c>
      <c r="K1075" s="14"/>
    </row>
    <row r="1076" spans="1:11" ht="15" x14ac:dyDescent="0.2">
      <c r="A1076" s="10">
        <v>2020</v>
      </c>
      <c r="B1076" s="14">
        <f t="shared" ref="B1076:J1076" si="7">AVERAGE(B96:B107)</f>
        <v>18.24145</v>
      </c>
      <c r="C1076" s="14">
        <f t="shared" si="7"/>
        <v>17.588825</v>
      </c>
      <c r="D1076" s="14">
        <f t="shared" si="7"/>
        <v>17.581025</v>
      </c>
      <c r="E1076" s="14">
        <f t="shared" si="7"/>
        <v>18.094316666666668</v>
      </c>
      <c r="F1076" s="14">
        <f t="shared" si="7"/>
        <v>18.085216666666668</v>
      </c>
      <c r="G1076" s="14">
        <f t="shared" si="7"/>
        <v>17.587283333333335</v>
      </c>
      <c r="H1076" s="14">
        <f t="shared" si="7"/>
        <v>17.587283333333335</v>
      </c>
      <c r="I1076" s="14">
        <f t="shared" si="7"/>
        <v>17.588825</v>
      </c>
      <c r="J1076" s="14">
        <f t="shared" si="7"/>
        <v>116.24608333333332</v>
      </c>
      <c r="K1076" s="14"/>
    </row>
    <row r="1077" spans="1:11" ht="15" x14ac:dyDescent="0.2">
      <c r="A1077" s="10">
        <v>2021</v>
      </c>
      <c r="B1077" s="14">
        <f t="shared" ref="B1077:J1077" si="8">AVERAGE(B108:B119)</f>
        <v>19.228674999999999</v>
      </c>
      <c r="C1077" s="14">
        <f t="shared" si="8"/>
        <v>18.355875000000001</v>
      </c>
      <c r="D1077" s="14">
        <f t="shared" si="8"/>
        <v>18.348066666666671</v>
      </c>
      <c r="E1077" s="14">
        <f t="shared" si="8"/>
        <v>19.08154166666667</v>
      </c>
      <c r="F1077" s="14">
        <f t="shared" si="8"/>
        <v>19.072441666666673</v>
      </c>
      <c r="G1077" s="14">
        <f t="shared" si="8"/>
        <v>18.354325000000003</v>
      </c>
      <c r="H1077" s="14">
        <f t="shared" si="8"/>
        <v>18.354325000000003</v>
      </c>
      <c r="I1077" s="14">
        <f t="shared" si="8"/>
        <v>18.355875000000001</v>
      </c>
      <c r="J1077" s="14">
        <f t="shared" si="8"/>
        <v>122.03735833333333</v>
      </c>
      <c r="K1077" s="14"/>
    </row>
    <row r="1078" spans="1:11" ht="15" x14ac:dyDescent="0.2">
      <c r="A1078" s="10">
        <v>2022</v>
      </c>
      <c r="B1078" s="14">
        <f t="shared" ref="B1078:J1078" si="9">AVERAGE(B120:B131)</f>
        <v>20.143941666666667</v>
      </c>
      <c r="C1078" s="14">
        <f t="shared" si="9"/>
        <v>19.186549999999997</v>
      </c>
      <c r="D1078" s="14">
        <f t="shared" si="9"/>
        <v>19.178725000000004</v>
      </c>
      <c r="E1078" s="14">
        <f t="shared" si="9"/>
        <v>19.996766666666662</v>
      </c>
      <c r="F1078" s="14">
        <f t="shared" si="9"/>
        <v>19.987666666666669</v>
      </c>
      <c r="G1078" s="14">
        <f t="shared" si="9"/>
        <v>19.184991666666665</v>
      </c>
      <c r="H1078" s="14">
        <f t="shared" si="9"/>
        <v>19.184991666666665</v>
      </c>
      <c r="I1078" s="14">
        <f t="shared" si="9"/>
        <v>19.186549999999997</v>
      </c>
      <c r="J1078" s="14">
        <f t="shared" si="9"/>
        <v>128.27124999999998</v>
      </c>
      <c r="K1078" s="14"/>
    </row>
    <row r="1079" spans="1:11" ht="15" x14ac:dyDescent="0.2">
      <c r="A1079" s="10">
        <v>2023</v>
      </c>
      <c r="B1079" s="14">
        <f t="shared" ref="B1079:J1079" si="10">AVERAGE(B132:B143)</f>
        <v>21.23845833333333</v>
      </c>
      <c r="C1079" s="14">
        <f t="shared" si="10"/>
        <v>20.114266666666669</v>
      </c>
      <c r="D1079" s="14">
        <f t="shared" si="10"/>
        <v>20.106458333333332</v>
      </c>
      <c r="E1079" s="14">
        <f t="shared" si="10"/>
        <v>21.091308333333334</v>
      </c>
      <c r="F1079" s="14">
        <f t="shared" si="10"/>
        <v>21.08220833333333</v>
      </c>
      <c r="G1079" s="14">
        <f t="shared" si="10"/>
        <v>20.1127</v>
      </c>
      <c r="H1079" s="14">
        <f t="shared" si="10"/>
        <v>20.1127</v>
      </c>
      <c r="I1079" s="14">
        <f t="shared" si="10"/>
        <v>20.114266666666669</v>
      </c>
      <c r="J1079" s="14">
        <f t="shared" si="10"/>
        <v>134.81665833333332</v>
      </c>
      <c r="K1079" s="14"/>
    </row>
    <row r="1080" spans="1:11" ht="15" x14ac:dyDescent="0.2">
      <c r="A1080" s="10">
        <v>2024</v>
      </c>
      <c r="B1080" s="14">
        <f t="shared" ref="B1080:J1080" si="11">AVERAGE(B144:B155)</f>
        <v>22.369383333333335</v>
      </c>
      <c r="C1080" s="14">
        <f t="shared" si="11"/>
        <v>21.076766666666671</v>
      </c>
      <c r="D1080" s="14">
        <f t="shared" si="11"/>
        <v>21.068958333333335</v>
      </c>
      <c r="E1080" s="14">
        <f t="shared" si="11"/>
        <v>22.222233333333332</v>
      </c>
      <c r="F1080" s="14">
        <f t="shared" si="11"/>
        <v>22.213133333333332</v>
      </c>
      <c r="G1080" s="14">
        <f t="shared" si="11"/>
        <v>21.075208333333336</v>
      </c>
      <c r="H1080" s="14">
        <f t="shared" si="11"/>
        <v>21.075208333333336</v>
      </c>
      <c r="I1080" s="14">
        <f t="shared" si="11"/>
        <v>21.076766666666671</v>
      </c>
      <c r="J1080" s="14">
        <f t="shared" si="11"/>
        <v>141.68893333333332</v>
      </c>
      <c r="K1080" s="14"/>
    </row>
    <row r="1081" spans="1:11" ht="15" x14ac:dyDescent="0.2">
      <c r="A1081" s="10">
        <v>2025</v>
      </c>
      <c r="B1081" s="14">
        <f t="shared" ref="B1081:J1081" si="12">AVERAGE(B156:B167)</f>
        <v>23.506199999999996</v>
      </c>
      <c r="C1081" s="14">
        <f t="shared" si="12"/>
        <v>22.043524999999999</v>
      </c>
      <c r="D1081" s="14">
        <f t="shared" si="12"/>
        <v>22.035700000000002</v>
      </c>
      <c r="E1081" s="14">
        <f t="shared" si="12"/>
        <v>23.35905</v>
      </c>
      <c r="F1081" s="14">
        <f t="shared" si="12"/>
        <v>23.349949999999996</v>
      </c>
      <c r="G1081" s="14">
        <f t="shared" si="12"/>
        <v>22.04195</v>
      </c>
      <c r="H1081" s="14">
        <f t="shared" si="12"/>
        <v>22.04195</v>
      </c>
      <c r="I1081" s="14">
        <f t="shared" si="12"/>
        <v>22.043524999999999</v>
      </c>
      <c r="J1081" s="14">
        <f t="shared" si="12"/>
        <v>148.90432500000003</v>
      </c>
      <c r="K1081" s="14"/>
    </row>
    <row r="1082" spans="1:11" ht="15" x14ac:dyDescent="0.2">
      <c r="A1082" s="10">
        <v>2026</v>
      </c>
      <c r="B1082" s="14">
        <f t="shared" ref="B1082:J1082" si="13">AVERAGE(B168:B179)</f>
        <v>24.041966666666664</v>
      </c>
      <c r="C1082" s="14">
        <f t="shared" si="13"/>
        <v>22.572833333333332</v>
      </c>
      <c r="D1082" s="14">
        <f t="shared" si="13"/>
        <v>22.565024999999995</v>
      </c>
      <c r="E1082" s="14">
        <f t="shared" si="13"/>
        <v>23.894825000000001</v>
      </c>
      <c r="F1082" s="14">
        <f t="shared" si="13"/>
        <v>23.885724999999997</v>
      </c>
      <c r="G1082" s="14">
        <f t="shared" si="13"/>
        <v>22.57126666666667</v>
      </c>
      <c r="H1082" s="14">
        <f t="shared" si="13"/>
        <v>22.57126666666667</v>
      </c>
      <c r="I1082" s="14">
        <f t="shared" si="13"/>
        <v>22.572833333333332</v>
      </c>
      <c r="J1082" s="14">
        <f t="shared" si="13"/>
        <v>152.65531666666666</v>
      </c>
      <c r="K1082" s="14"/>
    </row>
    <row r="1083" spans="1:11" ht="15" x14ac:dyDescent="0.2">
      <c r="A1083" s="10">
        <v>2027</v>
      </c>
      <c r="B1083" s="14">
        <f t="shared" ref="B1083:J1083" si="14">AVERAGE(B180:B191)</f>
        <v>24.634258333333335</v>
      </c>
      <c r="C1083" s="14">
        <f t="shared" si="14"/>
        <v>23.158641666666668</v>
      </c>
      <c r="D1083" s="14">
        <f t="shared" si="14"/>
        <v>23.150825000000001</v>
      </c>
      <c r="E1083" s="14">
        <f t="shared" si="14"/>
        <v>24.487108333333328</v>
      </c>
      <c r="F1083" s="14">
        <f t="shared" si="14"/>
        <v>24.478008333333339</v>
      </c>
      <c r="G1083" s="14">
        <f t="shared" si="14"/>
        <v>23.157091666666673</v>
      </c>
      <c r="H1083" s="14">
        <f t="shared" si="14"/>
        <v>23.157091666666673</v>
      </c>
      <c r="I1083" s="14">
        <f t="shared" si="14"/>
        <v>23.158641666666668</v>
      </c>
      <c r="J1083" s="14">
        <f t="shared" si="14"/>
        <v>156.50068333333334</v>
      </c>
      <c r="K1083" s="14"/>
    </row>
    <row r="1084" spans="1:11" ht="15" x14ac:dyDescent="0.2">
      <c r="A1084" s="10">
        <v>2028</v>
      </c>
      <c r="B1084" s="14">
        <f t="shared" ref="B1084:J1084" si="15">AVERAGE(B192:B203)</f>
        <v>25.175616666666667</v>
      </c>
      <c r="C1084" s="14">
        <f t="shared" si="15"/>
        <v>23.69350833333333</v>
      </c>
      <c r="D1084" s="14">
        <f t="shared" si="15"/>
        <v>23.685666666666666</v>
      </c>
      <c r="E1084" s="14">
        <f t="shared" si="15"/>
        <v>25.028466666666663</v>
      </c>
      <c r="F1084" s="14">
        <f t="shared" si="15"/>
        <v>25.019366666666667</v>
      </c>
      <c r="G1084" s="14">
        <f t="shared" si="15"/>
        <v>23.691933333333328</v>
      </c>
      <c r="H1084" s="14">
        <f t="shared" si="15"/>
        <v>23.691933333333328</v>
      </c>
      <c r="I1084" s="14">
        <f t="shared" si="15"/>
        <v>23.69350833333333</v>
      </c>
      <c r="J1084" s="14">
        <f t="shared" si="15"/>
        <v>160.44282500000003</v>
      </c>
      <c r="K1084" s="14"/>
    </row>
    <row r="1085" spans="1:11" ht="15" x14ac:dyDescent="0.2">
      <c r="A1085" s="10">
        <v>2029</v>
      </c>
      <c r="B1085" s="14">
        <f t="shared" ref="B1085:J1085" si="16">AVERAGE(B204:B215)</f>
        <v>25.79964166666667</v>
      </c>
      <c r="C1085" s="14">
        <f t="shared" si="16"/>
        <v>24.310975000000003</v>
      </c>
      <c r="D1085" s="14">
        <f t="shared" si="16"/>
        <v>24.303158333333332</v>
      </c>
      <c r="E1085" s="14">
        <f t="shared" si="16"/>
        <v>25.6525</v>
      </c>
      <c r="F1085" s="14">
        <f t="shared" si="16"/>
        <v>25.643399999999996</v>
      </c>
      <c r="G1085" s="14">
        <f t="shared" si="16"/>
        <v>24.3094</v>
      </c>
      <c r="H1085" s="14">
        <f t="shared" si="16"/>
        <v>24.3094</v>
      </c>
      <c r="I1085" s="14">
        <f t="shared" si="16"/>
        <v>24.310975000000003</v>
      </c>
      <c r="J1085" s="14">
        <f t="shared" si="16"/>
        <v>164.48420000000002</v>
      </c>
      <c r="K1085" s="14"/>
    </row>
    <row r="1086" spans="1:11" ht="15" x14ac:dyDescent="0.2">
      <c r="A1086" s="10">
        <v>2030</v>
      </c>
      <c r="B1086" s="14">
        <f t="shared" ref="B1086:J1086" si="17">AVERAGE(B216:B227)</f>
        <v>26.323366666666669</v>
      </c>
      <c r="C1086" s="14">
        <f t="shared" si="17"/>
        <v>24.831608333333335</v>
      </c>
      <c r="D1086" s="14">
        <f t="shared" si="17"/>
        <v>24.823800000000002</v>
      </c>
      <c r="E1086" s="14">
        <f t="shared" si="17"/>
        <v>26.176216666666662</v>
      </c>
      <c r="F1086" s="14">
        <f t="shared" si="17"/>
        <v>26.167116666666669</v>
      </c>
      <c r="G1086" s="14">
        <f t="shared" si="17"/>
        <v>24.830024999999996</v>
      </c>
      <c r="H1086" s="14">
        <f t="shared" si="17"/>
        <v>24.830024999999996</v>
      </c>
      <c r="I1086" s="14">
        <f t="shared" si="17"/>
        <v>24.831608333333335</v>
      </c>
      <c r="J1086" s="14">
        <f t="shared" si="17"/>
        <v>168.20285833333332</v>
      </c>
      <c r="K1086" s="14"/>
    </row>
    <row r="1087" spans="1:11" ht="15" x14ac:dyDescent="0.2">
      <c r="A1087" s="10">
        <v>2031</v>
      </c>
      <c r="B1087" s="14">
        <f t="shared" ref="B1087:J1087" si="18">AVERAGE(B228:B239)</f>
        <v>26.852483333333335</v>
      </c>
      <c r="C1087" s="14">
        <f t="shared" si="18"/>
        <v>25.333224999999999</v>
      </c>
      <c r="D1087" s="14">
        <f t="shared" si="18"/>
        <v>25.325391666666672</v>
      </c>
      <c r="E1087" s="14">
        <f t="shared" si="18"/>
        <v>26.705325000000002</v>
      </c>
      <c r="F1087" s="14">
        <f t="shared" si="18"/>
        <v>26.696224999999998</v>
      </c>
      <c r="G1087" s="14">
        <f t="shared" si="18"/>
        <v>25.33164166666667</v>
      </c>
      <c r="H1087" s="14">
        <f t="shared" si="18"/>
        <v>25.33164166666667</v>
      </c>
      <c r="I1087" s="14">
        <f t="shared" si="18"/>
        <v>25.333224999999999</v>
      </c>
      <c r="J1087" s="14">
        <f t="shared" si="18"/>
        <v>172.81079166666663</v>
      </c>
      <c r="K1087" s="14"/>
    </row>
    <row r="1088" spans="1:11" ht="15" x14ac:dyDescent="0.2">
      <c r="A1088" s="10">
        <v>2032</v>
      </c>
      <c r="B1088" s="14">
        <f t="shared" ref="B1088:J1088" si="19">AVERAGE(B240:B251)</f>
        <v>27.292783333333333</v>
      </c>
      <c r="C1088" s="14">
        <f t="shared" si="19"/>
        <v>25.750458333333331</v>
      </c>
      <c r="D1088" s="14">
        <f t="shared" si="19"/>
        <v>25.742641666666671</v>
      </c>
      <c r="E1088" s="14">
        <f t="shared" si="19"/>
        <v>27.145625000000006</v>
      </c>
      <c r="F1088" s="14">
        <f t="shared" si="19"/>
        <v>27.136525000000002</v>
      </c>
      <c r="G1088" s="14">
        <f t="shared" si="19"/>
        <v>25.748891666666665</v>
      </c>
      <c r="H1088" s="14">
        <f t="shared" si="19"/>
        <v>25.748891666666665</v>
      </c>
      <c r="I1088" s="14">
        <f t="shared" si="19"/>
        <v>25.750458333333331</v>
      </c>
      <c r="J1088" s="14">
        <f t="shared" si="19"/>
        <v>176.830375</v>
      </c>
      <c r="K1088" s="14"/>
    </row>
    <row r="1089" spans="1:11" ht="15" x14ac:dyDescent="0.2">
      <c r="A1089" s="10">
        <v>2033</v>
      </c>
      <c r="B1089" s="14">
        <f t="shared" ref="B1089:J1089" si="20">AVERAGE(B252:B263)</f>
        <v>27.740483333333334</v>
      </c>
      <c r="C1089" s="14">
        <f t="shared" si="20"/>
        <v>26.174725000000006</v>
      </c>
      <c r="D1089" s="14">
        <f t="shared" si="20"/>
        <v>26.166916666666669</v>
      </c>
      <c r="E1089" s="14">
        <f t="shared" si="20"/>
        <v>27.593325000000004</v>
      </c>
      <c r="F1089" s="14">
        <f t="shared" si="20"/>
        <v>27.584225</v>
      </c>
      <c r="G1089" s="14">
        <f t="shared" si="20"/>
        <v>26.173158333333337</v>
      </c>
      <c r="H1089" s="14">
        <f t="shared" si="20"/>
        <v>26.173158333333337</v>
      </c>
      <c r="I1089" s="14">
        <f t="shared" si="20"/>
        <v>26.174725000000006</v>
      </c>
      <c r="J1089" s="14">
        <f t="shared" si="20"/>
        <v>180.94344166666667</v>
      </c>
      <c r="K1089" s="14"/>
    </row>
    <row r="1090" spans="1:11" ht="15" x14ac:dyDescent="0.2">
      <c r="A1090" s="10">
        <v>2034</v>
      </c>
      <c r="B1090" s="14">
        <f t="shared" ref="B1090:J1090" si="21">AVERAGE(B264:B275)</f>
        <v>28.195691666666665</v>
      </c>
      <c r="C1090" s="14">
        <f t="shared" si="21"/>
        <v>26.606116666666669</v>
      </c>
      <c r="D1090" s="14">
        <f t="shared" si="21"/>
        <v>26.598291666666668</v>
      </c>
      <c r="E1090" s="14">
        <f t="shared" si="21"/>
        <v>28.048541666666669</v>
      </c>
      <c r="F1090" s="14">
        <f t="shared" si="21"/>
        <v>28.039441666666665</v>
      </c>
      <c r="G1090" s="14">
        <f t="shared" si="21"/>
        <v>26.604541666666666</v>
      </c>
      <c r="H1090" s="14">
        <f t="shared" si="21"/>
        <v>26.604541666666666</v>
      </c>
      <c r="I1090" s="14">
        <f t="shared" si="21"/>
        <v>26.606116666666669</v>
      </c>
      <c r="J1090" s="14">
        <f t="shared" si="21"/>
        <v>185.15218333333334</v>
      </c>
      <c r="K1090" s="14"/>
    </row>
    <row r="1091" spans="1:11" ht="15" x14ac:dyDescent="0.2">
      <c r="A1091" s="10">
        <v>2035</v>
      </c>
      <c r="B1091" s="14">
        <f t="shared" ref="B1091:J1091" si="22">AVERAGE(B276:B287)</f>
        <v>28.658566666666662</v>
      </c>
      <c r="C1091" s="14">
        <f t="shared" si="22"/>
        <v>27.044741666666667</v>
      </c>
      <c r="D1091" s="14">
        <f t="shared" si="22"/>
        <v>27.036925000000007</v>
      </c>
      <c r="E1091" s="14">
        <f t="shared" si="22"/>
        <v>28.511424999999999</v>
      </c>
      <c r="F1091" s="14">
        <f t="shared" si="22"/>
        <v>28.502325000000003</v>
      </c>
      <c r="G1091" s="14">
        <f t="shared" si="22"/>
        <v>27.043183333333332</v>
      </c>
      <c r="H1091" s="14">
        <f t="shared" si="22"/>
        <v>27.043183333333332</v>
      </c>
      <c r="I1091" s="14">
        <f t="shared" si="22"/>
        <v>27.044741666666667</v>
      </c>
      <c r="J1091" s="14">
        <f t="shared" si="22"/>
        <v>189.45881666666671</v>
      </c>
      <c r="K1091" s="14"/>
    </row>
    <row r="1092" spans="1:11" ht="15" x14ac:dyDescent="0.2">
      <c r="A1092" s="10">
        <v>2036</v>
      </c>
      <c r="B1092" s="14">
        <f t="shared" ref="B1092:J1092" si="23">AVERAGE(B288:B299)</f>
        <v>29.129216666666668</v>
      </c>
      <c r="C1092" s="14">
        <f t="shared" si="23"/>
        <v>27.490741666666668</v>
      </c>
      <c r="D1092" s="14">
        <f t="shared" si="23"/>
        <v>27.482924999999998</v>
      </c>
      <c r="E1092" s="14">
        <f t="shared" si="23"/>
        <v>28.982058333333331</v>
      </c>
      <c r="F1092" s="14">
        <f t="shared" si="23"/>
        <v>28.972958333333334</v>
      </c>
      <c r="G1092" s="14">
        <f t="shared" si="23"/>
        <v>27.48918333333333</v>
      </c>
      <c r="H1092" s="14">
        <f t="shared" si="23"/>
        <v>27.48918333333333</v>
      </c>
      <c r="I1092" s="14">
        <f t="shared" si="23"/>
        <v>27.490741666666668</v>
      </c>
      <c r="J1092" s="14">
        <f t="shared" si="23"/>
        <v>193.86563333333334</v>
      </c>
      <c r="K1092" s="14"/>
    </row>
    <row r="1093" spans="1:11" ht="15" x14ac:dyDescent="0.2">
      <c r="A1093" s="10">
        <v>2037</v>
      </c>
      <c r="B1093" s="14">
        <f t="shared" ref="B1093:J1093" si="24">AVERAGE(B300:B311)</f>
        <v>29.607758333333337</v>
      </c>
      <c r="C1093" s="14">
        <f t="shared" si="24"/>
        <v>27.944241666666667</v>
      </c>
      <c r="D1093" s="14">
        <f t="shared" si="24"/>
        <v>27.936425</v>
      </c>
      <c r="E1093" s="14">
        <f t="shared" si="24"/>
        <v>29.460616666666667</v>
      </c>
      <c r="F1093" s="14">
        <f t="shared" si="24"/>
        <v>29.451516666666667</v>
      </c>
      <c r="G1093" s="14">
        <f t="shared" si="24"/>
        <v>27.942683333333335</v>
      </c>
      <c r="H1093" s="14">
        <f t="shared" si="24"/>
        <v>27.942683333333335</v>
      </c>
      <c r="I1093" s="14">
        <f t="shared" si="24"/>
        <v>27.944241666666667</v>
      </c>
      <c r="J1093" s="14">
        <f t="shared" si="24"/>
        <v>198.37495000000001</v>
      </c>
      <c r="K1093" s="14"/>
    </row>
    <row r="1094" spans="1:11" ht="15" x14ac:dyDescent="0.2">
      <c r="A1094" s="10">
        <f t="shared" ref="A1094:A1125" si="25">A1093+1</f>
        <v>2038</v>
      </c>
      <c r="B1094" s="14">
        <f t="shared" ref="B1094:J1094" si="26">AVERAGE(B312:B323)</f>
        <v>30.094341666666669</v>
      </c>
      <c r="C1094" s="14">
        <f t="shared" si="26"/>
        <v>28.405341666666661</v>
      </c>
      <c r="D1094" s="14">
        <f t="shared" si="26"/>
        <v>28.397541666666669</v>
      </c>
      <c r="E1094" s="14">
        <f t="shared" si="26"/>
        <v>29.947191666666669</v>
      </c>
      <c r="F1094" s="14">
        <f t="shared" si="26"/>
        <v>29.938091666666665</v>
      </c>
      <c r="G1094" s="14">
        <f t="shared" si="26"/>
        <v>28.403791666666667</v>
      </c>
      <c r="H1094" s="14">
        <f t="shared" si="26"/>
        <v>28.403791666666667</v>
      </c>
      <c r="I1094" s="14">
        <f t="shared" si="26"/>
        <v>28.405341666666661</v>
      </c>
      <c r="J1094" s="14">
        <f t="shared" si="26"/>
        <v>202.98915</v>
      </c>
    </row>
    <row r="1095" spans="1:11" ht="15" x14ac:dyDescent="0.2">
      <c r="A1095" s="10">
        <f t="shared" si="25"/>
        <v>2039</v>
      </c>
      <c r="B1095" s="14">
        <f t="shared" ref="B1095:J1095" si="27">AVERAGE(B324:B335)</f>
        <v>30.589124999999996</v>
      </c>
      <c r="C1095" s="14">
        <f t="shared" si="27"/>
        <v>28.874224999999999</v>
      </c>
      <c r="D1095" s="14">
        <f t="shared" si="27"/>
        <v>28.866408333333339</v>
      </c>
      <c r="E1095" s="14">
        <f t="shared" si="27"/>
        <v>30.441958333333336</v>
      </c>
      <c r="F1095" s="14">
        <f t="shared" si="27"/>
        <v>30.432858333333332</v>
      </c>
      <c r="G1095" s="14">
        <f t="shared" si="27"/>
        <v>28.87264166666667</v>
      </c>
      <c r="H1095" s="14">
        <f t="shared" si="27"/>
        <v>28.87264166666667</v>
      </c>
      <c r="I1095" s="14">
        <f t="shared" si="27"/>
        <v>28.874224999999999</v>
      </c>
      <c r="J1095" s="14">
        <f t="shared" si="27"/>
        <v>207.71068333333332</v>
      </c>
    </row>
    <row r="1096" spans="1:11" ht="15" x14ac:dyDescent="0.2">
      <c r="A1096" s="10">
        <f t="shared" si="25"/>
        <v>2040</v>
      </c>
      <c r="B1096" s="14">
        <f t="shared" ref="B1096:J1096" si="28">AVERAGE(B336:B347)</f>
        <v>31.092183333333335</v>
      </c>
      <c r="C1096" s="14">
        <f t="shared" si="28"/>
        <v>29.350941666666667</v>
      </c>
      <c r="D1096" s="14">
        <f t="shared" si="28"/>
        <v>29.343141666666668</v>
      </c>
      <c r="E1096" s="14">
        <f t="shared" si="28"/>
        <v>30.945033333333338</v>
      </c>
      <c r="F1096" s="14">
        <f t="shared" si="28"/>
        <v>30.935933333333338</v>
      </c>
      <c r="G1096" s="14">
        <f t="shared" si="28"/>
        <v>29.349383333333339</v>
      </c>
      <c r="H1096" s="14">
        <f t="shared" si="28"/>
        <v>29.349383333333339</v>
      </c>
      <c r="I1096" s="14">
        <f t="shared" si="28"/>
        <v>29.350941666666667</v>
      </c>
      <c r="J1096" s="14">
        <f t="shared" si="28"/>
        <v>212.54203333333331</v>
      </c>
    </row>
    <row r="1097" spans="1:11" ht="15" x14ac:dyDescent="0.2">
      <c r="A1097" s="10">
        <f t="shared" si="25"/>
        <v>2041</v>
      </c>
      <c r="B1097" s="14">
        <f t="shared" ref="B1097:J1097" si="29">AVERAGE(B348:B359)</f>
        <v>31.603725000000008</v>
      </c>
      <c r="C1097" s="14">
        <f t="shared" si="29"/>
        <v>29.835691666666666</v>
      </c>
      <c r="D1097" s="14">
        <f t="shared" si="29"/>
        <v>29.827883333333336</v>
      </c>
      <c r="E1097" s="14">
        <f t="shared" si="29"/>
        <v>31.456558333333334</v>
      </c>
      <c r="F1097" s="14">
        <f t="shared" si="29"/>
        <v>31.44745833333333</v>
      </c>
      <c r="G1097" s="14">
        <f t="shared" si="29"/>
        <v>29.83413333333333</v>
      </c>
      <c r="H1097" s="14">
        <f t="shared" si="29"/>
        <v>29.83413333333333</v>
      </c>
      <c r="I1097" s="14">
        <f t="shared" si="29"/>
        <v>29.835691666666666</v>
      </c>
      <c r="J1097" s="14">
        <f t="shared" si="29"/>
        <v>217.48576666666668</v>
      </c>
    </row>
    <row r="1098" spans="1:11" ht="15" x14ac:dyDescent="0.2">
      <c r="A1098" s="10">
        <f t="shared" si="25"/>
        <v>2042</v>
      </c>
      <c r="B1098" s="14">
        <f t="shared" ref="B1098:J1098" si="30">AVERAGE(B360:B371)</f>
        <v>32.123824999999997</v>
      </c>
      <c r="C1098" s="14">
        <f t="shared" si="30"/>
        <v>30.328583333333338</v>
      </c>
      <c r="D1098" s="14">
        <f t="shared" si="30"/>
        <v>30.320783333333335</v>
      </c>
      <c r="E1098" s="14">
        <f t="shared" si="30"/>
        <v>31.976683333333337</v>
      </c>
      <c r="F1098" s="14">
        <f t="shared" si="30"/>
        <v>31.967583333333337</v>
      </c>
      <c r="G1098" s="14">
        <f t="shared" si="30"/>
        <v>30.327025000000003</v>
      </c>
      <c r="H1098" s="14">
        <f t="shared" si="30"/>
        <v>30.327025000000003</v>
      </c>
      <c r="I1098" s="14">
        <f t="shared" si="30"/>
        <v>30.328583333333338</v>
      </c>
      <c r="J1098" s="14">
        <f t="shared" si="30"/>
        <v>222.54445833333332</v>
      </c>
    </row>
    <row r="1099" spans="1:11" ht="15" x14ac:dyDescent="0.2">
      <c r="A1099" s="10">
        <f t="shared" si="25"/>
        <v>2043</v>
      </c>
      <c r="B1099" s="14">
        <f t="shared" ref="B1099:J1099" si="31">AVERAGE(B372:B383)</f>
        <v>32.652691666666662</v>
      </c>
      <c r="C1099" s="14">
        <f t="shared" si="31"/>
        <v>30.829758333333334</v>
      </c>
      <c r="D1099" s="14">
        <f t="shared" si="31"/>
        <v>30.821941666666664</v>
      </c>
      <c r="E1099" s="14">
        <f t="shared" si="31"/>
        <v>32.505541666666666</v>
      </c>
      <c r="F1099" s="14">
        <f t="shared" si="31"/>
        <v>32.496441666666662</v>
      </c>
      <c r="G1099" s="14">
        <f t="shared" si="31"/>
        <v>30.828191666666665</v>
      </c>
      <c r="H1099" s="14">
        <f t="shared" si="31"/>
        <v>30.828191666666665</v>
      </c>
      <c r="I1099" s="14">
        <f t="shared" si="31"/>
        <v>30.829758333333334</v>
      </c>
      <c r="J1099" s="14">
        <f t="shared" si="31"/>
        <v>227.72084999999996</v>
      </c>
    </row>
    <row r="1100" spans="1:11" ht="15" x14ac:dyDescent="0.2">
      <c r="A1100" s="10">
        <f t="shared" si="25"/>
        <v>2044</v>
      </c>
      <c r="B1100" s="14">
        <f t="shared" ref="B1100:J1100" si="32">AVERAGE(B384:B395)</f>
        <v>33.190433333333331</v>
      </c>
      <c r="C1100" s="14">
        <f t="shared" si="32"/>
        <v>31.33934166666667</v>
      </c>
      <c r="D1100" s="14">
        <f t="shared" si="32"/>
        <v>31.33154166666667</v>
      </c>
      <c r="E1100" s="14">
        <f t="shared" si="32"/>
        <v>33.043283333333328</v>
      </c>
      <c r="F1100" s="14">
        <f t="shared" si="32"/>
        <v>33.034183333333338</v>
      </c>
      <c r="G1100" s="14">
        <f t="shared" si="32"/>
        <v>31.337783333333331</v>
      </c>
      <c r="H1100" s="14">
        <f t="shared" si="32"/>
        <v>31.337783333333331</v>
      </c>
      <c r="I1100" s="14">
        <f t="shared" si="32"/>
        <v>31.33934166666667</v>
      </c>
      <c r="J1100" s="14">
        <f t="shared" si="32"/>
        <v>233.01764999999997</v>
      </c>
    </row>
    <row r="1101" spans="1:11" ht="15" x14ac:dyDescent="0.2">
      <c r="A1101" s="10">
        <f t="shared" si="25"/>
        <v>2045</v>
      </c>
      <c r="B1101" s="14">
        <f t="shared" ref="B1101:J1101" si="33">AVERAGE(B396:B407)</f>
        <v>33.737224999999995</v>
      </c>
      <c r="C1101" s="14">
        <f t="shared" si="33"/>
        <v>31.857499999999998</v>
      </c>
      <c r="D1101" s="14">
        <f t="shared" si="33"/>
        <v>31.849683333333331</v>
      </c>
      <c r="E1101" s="14">
        <f t="shared" si="33"/>
        <v>33.590058333333339</v>
      </c>
      <c r="F1101" s="14">
        <f t="shared" si="33"/>
        <v>33.580958333333328</v>
      </c>
      <c r="G1101" s="14">
        <f t="shared" si="33"/>
        <v>31.855941666666666</v>
      </c>
      <c r="H1101" s="14">
        <f t="shared" si="33"/>
        <v>31.855941666666666</v>
      </c>
      <c r="I1101" s="14">
        <f t="shared" si="33"/>
        <v>31.857499999999998</v>
      </c>
      <c r="J1101" s="14">
        <f t="shared" si="33"/>
        <v>238.43764166666668</v>
      </c>
    </row>
    <row r="1102" spans="1:11" ht="15" x14ac:dyDescent="0.2">
      <c r="A1102" s="10">
        <f t="shared" si="25"/>
        <v>2046</v>
      </c>
      <c r="B1102" s="14">
        <f t="shared" ref="B1102:J1102" si="34">AVERAGE(B408:B419)</f>
        <v>34.293183333333324</v>
      </c>
      <c r="C1102" s="14">
        <f t="shared" si="34"/>
        <v>32.384358333333331</v>
      </c>
      <c r="D1102" s="14">
        <f t="shared" si="34"/>
        <v>32.376541666666668</v>
      </c>
      <c r="E1102" s="14">
        <f t="shared" si="34"/>
        <v>34.146024999999995</v>
      </c>
      <c r="F1102" s="14">
        <f t="shared" si="34"/>
        <v>34.136924999999998</v>
      </c>
      <c r="G1102" s="14">
        <f t="shared" si="34"/>
        <v>32.38279166666667</v>
      </c>
      <c r="H1102" s="14">
        <f t="shared" si="34"/>
        <v>32.38279166666667</v>
      </c>
      <c r="I1102" s="14">
        <f t="shared" si="34"/>
        <v>32.384358333333331</v>
      </c>
      <c r="J1102" s="14">
        <f t="shared" si="34"/>
        <v>243.98370000000003</v>
      </c>
    </row>
    <row r="1103" spans="1:11" ht="15" x14ac:dyDescent="0.2">
      <c r="A1103" s="10">
        <f t="shared" si="25"/>
        <v>2047</v>
      </c>
      <c r="B1103" s="14">
        <f t="shared" ref="B1103:J1103" si="35">AVERAGE(B420:B431)</f>
        <v>34.858483333333332</v>
      </c>
      <c r="C1103" s="14">
        <f t="shared" si="35"/>
        <v>32.920066666666663</v>
      </c>
      <c r="D1103" s="14">
        <f t="shared" si="35"/>
        <v>32.912241666666667</v>
      </c>
      <c r="E1103" s="14">
        <f t="shared" si="35"/>
        <v>34.711325000000002</v>
      </c>
      <c r="F1103" s="14">
        <f t="shared" si="35"/>
        <v>34.702225000000006</v>
      </c>
      <c r="G1103" s="14">
        <f t="shared" si="35"/>
        <v>32.918508333333335</v>
      </c>
      <c r="H1103" s="14">
        <f t="shared" si="35"/>
        <v>32.918508333333335</v>
      </c>
      <c r="I1103" s="14">
        <f t="shared" si="35"/>
        <v>32.920066666666663</v>
      </c>
      <c r="J1103" s="14">
        <f t="shared" si="35"/>
        <v>249.65876666666668</v>
      </c>
    </row>
    <row r="1104" spans="1:11" ht="15" x14ac:dyDescent="0.2">
      <c r="A1104" s="10">
        <f t="shared" si="25"/>
        <v>2048</v>
      </c>
      <c r="B1104" s="14">
        <f t="shared" ref="B1104:J1104" si="36">AVERAGE(B432:B443)</f>
        <v>35.433283333333328</v>
      </c>
      <c r="C1104" s="14">
        <f t="shared" si="36"/>
        <v>33.464783333333337</v>
      </c>
      <c r="D1104" s="14">
        <f t="shared" si="36"/>
        <v>33.456958333333333</v>
      </c>
      <c r="E1104" s="14">
        <f t="shared" si="36"/>
        <v>35.286124999999998</v>
      </c>
      <c r="F1104" s="14">
        <f t="shared" si="36"/>
        <v>35.277025000000002</v>
      </c>
      <c r="G1104" s="14">
        <f t="shared" si="36"/>
        <v>33.463216666666675</v>
      </c>
      <c r="H1104" s="14">
        <f t="shared" si="36"/>
        <v>33.463216666666675</v>
      </c>
      <c r="I1104" s="14">
        <f t="shared" si="36"/>
        <v>33.464783333333337</v>
      </c>
      <c r="J1104" s="14">
        <f t="shared" si="36"/>
        <v>255.46581666666665</v>
      </c>
    </row>
    <row r="1105" spans="1:10" ht="15" x14ac:dyDescent="0.2">
      <c r="A1105" s="10">
        <f t="shared" si="25"/>
        <v>2049</v>
      </c>
      <c r="B1105" s="14">
        <f t="shared" ref="B1105:J1105" si="37">AVERAGE(B444:B455)</f>
        <v>36.017724999999999</v>
      </c>
      <c r="C1105" s="14">
        <f t="shared" si="37"/>
        <v>34.018625</v>
      </c>
      <c r="D1105" s="14">
        <f t="shared" si="37"/>
        <v>34.010824999999997</v>
      </c>
      <c r="E1105" s="14">
        <f t="shared" si="37"/>
        <v>35.870583333333336</v>
      </c>
      <c r="F1105" s="14">
        <f t="shared" si="37"/>
        <v>35.861483333333332</v>
      </c>
      <c r="G1105" s="14">
        <f t="shared" si="37"/>
        <v>34.017066666666665</v>
      </c>
      <c r="H1105" s="14">
        <f t="shared" si="37"/>
        <v>34.017066666666665</v>
      </c>
      <c r="I1105" s="14">
        <f t="shared" si="37"/>
        <v>34.018625</v>
      </c>
      <c r="J1105" s="14">
        <f t="shared" si="37"/>
        <v>261.40795000000003</v>
      </c>
    </row>
    <row r="1106" spans="1:10" ht="15" x14ac:dyDescent="0.2">
      <c r="A1106" s="10">
        <f t="shared" si="25"/>
        <v>2050</v>
      </c>
      <c r="B1106" s="14">
        <f t="shared" ref="B1106:J1106" si="38">AVERAGE(B456:B467)</f>
        <v>36.612016666666662</v>
      </c>
      <c r="C1106" s="14">
        <f t="shared" si="38"/>
        <v>34.581791666666668</v>
      </c>
      <c r="D1106" s="14">
        <f t="shared" si="38"/>
        <v>34.573983333333338</v>
      </c>
      <c r="E1106" s="14">
        <f t="shared" si="38"/>
        <v>36.464858333333332</v>
      </c>
      <c r="F1106" s="14">
        <f t="shared" si="38"/>
        <v>36.455758333333328</v>
      </c>
      <c r="G1106" s="14">
        <f t="shared" si="38"/>
        <v>34.580224999999999</v>
      </c>
      <c r="H1106" s="14">
        <f t="shared" si="38"/>
        <v>34.580224999999999</v>
      </c>
      <c r="I1106" s="14">
        <f t="shared" si="38"/>
        <v>34.581791666666668</v>
      </c>
      <c r="J1106" s="14">
        <f t="shared" si="38"/>
        <v>267.48830833333335</v>
      </c>
    </row>
    <row r="1107" spans="1:10" ht="15" x14ac:dyDescent="0.2">
      <c r="A1107" s="10">
        <f t="shared" si="25"/>
        <v>2051</v>
      </c>
      <c r="B1107" s="14">
        <f t="shared" ref="B1107:J1107" si="39">AVERAGE(B468:B479)</f>
        <v>37.216266666666662</v>
      </c>
      <c r="C1107" s="14">
        <f t="shared" si="39"/>
        <v>35.15442500000001</v>
      </c>
      <c r="D1107" s="14">
        <f t="shared" si="39"/>
        <v>35.146616666666667</v>
      </c>
      <c r="E1107" s="14">
        <f t="shared" si="39"/>
        <v>37.069125</v>
      </c>
      <c r="F1107" s="14">
        <f t="shared" si="39"/>
        <v>37.060025000000003</v>
      </c>
      <c r="G1107" s="14">
        <f t="shared" si="39"/>
        <v>35.152841666666667</v>
      </c>
      <c r="H1107" s="14">
        <f t="shared" si="39"/>
        <v>35.152841666666667</v>
      </c>
      <c r="I1107" s="14">
        <f t="shared" si="39"/>
        <v>35.15442500000001</v>
      </c>
      <c r="J1107" s="14">
        <f t="shared" si="39"/>
        <v>273.71009166666664</v>
      </c>
    </row>
    <row r="1108" spans="1:10" ht="15" x14ac:dyDescent="0.2">
      <c r="A1108" s="10">
        <f t="shared" si="25"/>
        <v>2052</v>
      </c>
      <c r="B1108" s="14">
        <f t="shared" ref="B1108:J1108" si="40">AVERAGE(B480:B491)</f>
        <v>37.830683333333333</v>
      </c>
      <c r="C1108" s="14">
        <f t="shared" si="40"/>
        <v>35.736658333333338</v>
      </c>
      <c r="D1108" s="14">
        <f t="shared" si="40"/>
        <v>35.728841666666675</v>
      </c>
      <c r="E1108" s="14">
        <f t="shared" si="40"/>
        <v>37.683524999999996</v>
      </c>
      <c r="F1108" s="14">
        <f t="shared" si="40"/>
        <v>37.674424999999999</v>
      </c>
      <c r="G1108" s="14">
        <f t="shared" si="40"/>
        <v>35.735091666666669</v>
      </c>
      <c r="H1108" s="14">
        <f t="shared" si="40"/>
        <v>35.735091666666669</v>
      </c>
      <c r="I1108" s="14">
        <f t="shared" si="40"/>
        <v>35.736658333333338</v>
      </c>
      <c r="J1108" s="14">
        <f t="shared" si="40"/>
        <v>280.07656666666668</v>
      </c>
    </row>
    <row r="1109" spans="1:10" ht="15" x14ac:dyDescent="0.2">
      <c r="A1109" s="10">
        <f t="shared" si="25"/>
        <v>2053</v>
      </c>
      <c r="B1109" s="14">
        <f t="shared" ref="B1109:J1109" si="41">AVERAGE(B492:B503)</f>
        <v>38.455416666666657</v>
      </c>
      <c r="C1109" s="14">
        <f t="shared" si="41"/>
        <v>36.328683333333338</v>
      </c>
      <c r="D1109" s="14">
        <f t="shared" si="41"/>
        <v>36.320883333333335</v>
      </c>
      <c r="E1109" s="14">
        <f t="shared" si="41"/>
        <v>38.308258333333335</v>
      </c>
      <c r="F1109" s="14">
        <f t="shared" si="41"/>
        <v>38.299158333333331</v>
      </c>
      <c r="G1109" s="14">
        <f t="shared" si="41"/>
        <v>36.327125000000002</v>
      </c>
      <c r="H1109" s="14">
        <f t="shared" si="41"/>
        <v>36.327125000000002</v>
      </c>
      <c r="I1109" s="14">
        <f t="shared" si="41"/>
        <v>36.328683333333338</v>
      </c>
      <c r="J1109" s="14">
        <f t="shared" si="41"/>
        <v>286.59116666666665</v>
      </c>
    </row>
    <row r="1110" spans="1:10" ht="15" x14ac:dyDescent="0.2">
      <c r="A1110" s="10">
        <f t="shared" si="25"/>
        <v>2054</v>
      </c>
      <c r="B1110" s="14">
        <f t="shared" ref="B1110:J1110" si="42">AVERAGE(B504:B515)</f>
        <v>39.090633333333336</v>
      </c>
      <c r="C1110" s="14">
        <f t="shared" si="42"/>
        <v>36.93065</v>
      </c>
      <c r="D1110" s="14">
        <f t="shared" si="42"/>
        <v>36.92284166666667</v>
      </c>
      <c r="E1110" s="14">
        <f t="shared" si="42"/>
        <v>38.943483333333333</v>
      </c>
      <c r="F1110" s="14">
        <f t="shared" si="42"/>
        <v>38.934383333333336</v>
      </c>
      <c r="G1110" s="14">
        <f t="shared" si="42"/>
        <v>36.929091666666672</v>
      </c>
      <c r="H1110" s="14">
        <f t="shared" si="42"/>
        <v>36.929091666666672</v>
      </c>
      <c r="I1110" s="14">
        <f t="shared" si="42"/>
        <v>36.93065</v>
      </c>
      <c r="J1110" s="14">
        <f t="shared" si="42"/>
        <v>293.25725833333337</v>
      </c>
    </row>
    <row r="1111" spans="1:10" ht="15" x14ac:dyDescent="0.2">
      <c r="A1111" s="10">
        <f t="shared" si="25"/>
        <v>2055</v>
      </c>
      <c r="B1111" s="14">
        <f t="shared" ref="B1111:J1111" si="43">AVERAGE(B516:B527)</f>
        <v>39.736524999999993</v>
      </c>
      <c r="C1111" s="14">
        <f t="shared" si="43"/>
        <v>37.542741666666672</v>
      </c>
      <c r="D1111" s="14">
        <f t="shared" si="43"/>
        <v>37.534925000000001</v>
      </c>
      <c r="E1111" s="14">
        <f t="shared" si="43"/>
        <v>39.589383333333323</v>
      </c>
      <c r="F1111" s="14">
        <f t="shared" si="43"/>
        <v>39.580283333333334</v>
      </c>
      <c r="G1111" s="14">
        <f t="shared" si="43"/>
        <v>37.541183333333343</v>
      </c>
      <c r="H1111" s="14">
        <f t="shared" si="43"/>
        <v>37.541183333333343</v>
      </c>
      <c r="I1111" s="14">
        <f t="shared" si="43"/>
        <v>37.542741666666672</v>
      </c>
      <c r="J1111" s="14">
        <f t="shared" si="43"/>
        <v>300.07844166666666</v>
      </c>
    </row>
    <row r="1112" spans="1:10" ht="15" x14ac:dyDescent="0.2">
      <c r="A1112" s="10">
        <f t="shared" si="25"/>
        <v>2056</v>
      </c>
      <c r="B1112" s="14">
        <f t="shared" ref="B1112:J1112" si="44">AVERAGE(B528:B539)</f>
        <v>40.393283333333322</v>
      </c>
      <c r="C1112" s="14">
        <f t="shared" si="44"/>
        <v>38.16511666666667</v>
      </c>
      <c r="D1112" s="14">
        <f t="shared" si="44"/>
        <v>38.157291666666666</v>
      </c>
      <c r="E1112" s="14">
        <f t="shared" si="44"/>
        <v>40.246124999999992</v>
      </c>
      <c r="F1112" s="14">
        <f t="shared" si="44"/>
        <v>40.237024999999996</v>
      </c>
      <c r="G1112" s="14">
        <f t="shared" si="44"/>
        <v>38.163541666666667</v>
      </c>
      <c r="H1112" s="14">
        <f t="shared" si="44"/>
        <v>38.163541666666667</v>
      </c>
      <c r="I1112" s="14">
        <f t="shared" si="44"/>
        <v>38.16511666666667</v>
      </c>
      <c r="J1112" s="14">
        <f t="shared" si="44"/>
        <v>307.05824999999999</v>
      </c>
    </row>
    <row r="1113" spans="1:10" ht="15" x14ac:dyDescent="0.2">
      <c r="A1113" s="10">
        <f t="shared" si="25"/>
        <v>2057</v>
      </c>
      <c r="B1113" s="14">
        <f t="shared" ref="B1113:J1113" si="45">AVERAGE(B540:B551)</f>
        <v>41.061066666666662</v>
      </c>
      <c r="C1113" s="14">
        <f t="shared" si="45"/>
        <v>38.797924999999999</v>
      </c>
      <c r="D1113" s="14">
        <f t="shared" si="45"/>
        <v>38.790125000000003</v>
      </c>
      <c r="E1113" s="14">
        <f t="shared" si="45"/>
        <v>40.913924999999992</v>
      </c>
      <c r="F1113" s="14">
        <f t="shared" si="45"/>
        <v>40.904824999999995</v>
      </c>
      <c r="G1113" s="14">
        <f t="shared" si="45"/>
        <v>38.796366666666664</v>
      </c>
      <c r="H1113" s="14">
        <f t="shared" si="45"/>
        <v>38.796366666666664</v>
      </c>
      <c r="I1113" s="14">
        <f t="shared" si="45"/>
        <v>38.797924999999999</v>
      </c>
      <c r="J1113" s="14">
        <f t="shared" si="45"/>
        <v>314.20045000000005</v>
      </c>
    </row>
    <row r="1114" spans="1:10" ht="15" x14ac:dyDescent="0.2">
      <c r="A1114" s="10">
        <f t="shared" si="25"/>
        <v>2058</v>
      </c>
      <c r="B1114" s="14">
        <f t="shared" ref="B1114:J1114" si="46">AVERAGE(B552:B563)</f>
        <v>41.740066666666671</v>
      </c>
      <c r="C1114" s="14">
        <f t="shared" si="46"/>
        <v>39.441383333333341</v>
      </c>
      <c r="D1114" s="14">
        <f t="shared" si="46"/>
        <v>39.433566666666664</v>
      </c>
      <c r="E1114" s="14">
        <f t="shared" si="46"/>
        <v>41.592925000000001</v>
      </c>
      <c r="F1114" s="14">
        <f t="shared" si="46"/>
        <v>41.583825000000004</v>
      </c>
      <c r="G1114" s="14">
        <f t="shared" si="46"/>
        <v>39.439824999999999</v>
      </c>
      <c r="H1114" s="14">
        <f t="shared" si="46"/>
        <v>39.439824999999999</v>
      </c>
      <c r="I1114" s="14">
        <f t="shared" si="46"/>
        <v>39.441383333333341</v>
      </c>
      <c r="J1114" s="14">
        <f t="shared" si="46"/>
        <v>321.50875000000002</v>
      </c>
    </row>
    <row r="1115" spans="1:10" ht="15" x14ac:dyDescent="0.2">
      <c r="A1115" s="10">
        <f t="shared" si="25"/>
        <v>2059</v>
      </c>
      <c r="B1115" s="14">
        <f t="shared" ref="B1115:J1115" si="47">AVERAGE(B564:B575)</f>
        <v>42.430483333333335</v>
      </c>
      <c r="C1115" s="14">
        <f t="shared" si="47"/>
        <v>40.095641666666673</v>
      </c>
      <c r="D1115" s="14">
        <f t="shared" si="47"/>
        <v>40.087824999999995</v>
      </c>
      <c r="E1115" s="14">
        <f t="shared" si="47"/>
        <v>42.283325000000005</v>
      </c>
      <c r="F1115" s="14">
        <f t="shared" si="47"/>
        <v>42.274224999999994</v>
      </c>
      <c r="G1115" s="14">
        <f t="shared" si="47"/>
        <v>40.094083333333337</v>
      </c>
      <c r="H1115" s="14">
        <f t="shared" si="47"/>
        <v>40.094083333333337</v>
      </c>
      <c r="I1115" s="14">
        <f t="shared" si="47"/>
        <v>40.095641666666673</v>
      </c>
      <c r="J1115" s="14">
        <f t="shared" si="47"/>
        <v>328.98701666666665</v>
      </c>
    </row>
    <row r="1116" spans="1:10" ht="15" x14ac:dyDescent="0.2">
      <c r="A1116" s="10">
        <f t="shared" si="25"/>
        <v>2060</v>
      </c>
      <c r="B1116" s="14">
        <f t="shared" ref="B1116:J1116" si="48">AVERAGE(B576:B587)</f>
        <v>43.132483333333333</v>
      </c>
      <c r="C1116" s="14">
        <f t="shared" si="48"/>
        <v>40.760891666666666</v>
      </c>
      <c r="D1116" s="14">
        <f t="shared" si="48"/>
        <v>40.753083333333329</v>
      </c>
      <c r="E1116" s="14">
        <f t="shared" si="48"/>
        <v>42.985324999999996</v>
      </c>
      <c r="F1116" s="14">
        <f t="shared" si="48"/>
        <v>42.976224999999999</v>
      </c>
      <c r="G1116" s="14">
        <f t="shared" si="48"/>
        <v>40.759333333333338</v>
      </c>
      <c r="H1116" s="14">
        <f t="shared" si="48"/>
        <v>40.759333333333338</v>
      </c>
      <c r="I1116" s="14">
        <f t="shared" si="48"/>
        <v>40.760891666666666</v>
      </c>
      <c r="J1116" s="14">
        <f t="shared" si="48"/>
        <v>336.63926666666663</v>
      </c>
    </row>
    <row r="1117" spans="1:10" ht="15" x14ac:dyDescent="0.2">
      <c r="A1117" s="10">
        <f t="shared" si="25"/>
        <v>2061</v>
      </c>
      <c r="B1117" s="14">
        <f t="shared" ref="B1117:J1117" si="49">AVERAGE(B588:B599)</f>
        <v>43.846283333333332</v>
      </c>
      <c r="C1117" s="14">
        <f t="shared" si="49"/>
        <v>41.437325000000001</v>
      </c>
      <c r="D1117" s="14">
        <f t="shared" si="49"/>
        <v>41.429524999999998</v>
      </c>
      <c r="E1117" s="14">
        <f t="shared" si="49"/>
        <v>43.699133333333329</v>
      </c>
      <c r="F1117" s="14">
        <f t="shared" si="49"/>
        <v>43.690033333333332</v>
      </c>
      <c r="G1117" s="14">
        <f t="shared" si="49"/>
        <v>41.435766666666673</v>
      </c>
      <c r="H1117" s="14">
        <f t="shared" si="49"/>
        <v>41.435766666666673</v>
      </c>
      <c r="I1117" s="14">
        <f t="shared" si="49"/>
        <v>41.437325000000001</v>
      </c>
      <c r="J1117" s="14">
        <f t="shared" si="49"/>
        <v>344.46949999999993</v>
      </c>
    </row>
    <row r="1118" spans="1:10" ht="15" x14ac:dyDescent="0.2">
      <c r="A1118" s="10">
        <f t="shared" si="25"/>
        <v>2062</v>
      </c>
      <c r="B1118" s="14">
        <f t="shared" ref="B1118:J1127" ca="1" si="50">AVERAGE(OFFSET(B$600,($A1118-$A$1118)*12,0,12,1))</f>
        <v>44.572083333333332</v>
      </c>
      <c r="C1118" s="14">
        <f t="shared" ca="1" si="50"/>
        <v>42.125124999999997</v>
      </c>
      <c r="D1118" s="14">
        <f t="shared" ca="1" si="50"/>
        <v>42.117316666666667</v>
      </c>
      <c r="E1118" s="14">
        <f t="shared" ca="1" si="50"/>
        <v>44.424924999999995</v>
      </c>
      <c r="F1118" s="14">
        <f t="shared" ca="1" si="50"/>
        <v>44.415824999999991</v>
      </c>
      <c r="G1118" s="14">
        <f t="shared" ca="1" si="50"/>
        <v>42.123558333333335</v>
      </c>
      <c r="H1118" s="14">
        <f t="shared" ca="1" si="50"/>
        <v>42.123558333333335</v>
      </c>
      <c r="I1118" s="14">
        <f t="shared" ca="1" si="50"/>
        <v>42.125124999999997</v>
      </c>
      <c r="J1118" s="14">
        <f t="shared" ca="1" si="50"/>
        <v>352.48185000000007</v>
      </c>
    </row>
    <row r="1119" spans="1:10" ht="15" x14ac:dyDescent="0.2">
      <c r="A1119" s="10">
        <f t="shared" si="25"/>
        <v>2063</v>
      </c>
      <c r="B1119" s="14">
        <f t="shared" ca="1" si="50"/>
        <v>45.31005833333333</v>
      </c>
      <c r="C1119" s="14">
        <f t="shared" ca="1" si="50"/>
        <v>42.824466666666673</v>
      </c>
      <c r="D1119" s="14">
        <f t="shared" ca="1" si="50"/>
        <v>42.816666666666663</v>
      </c>
      <c r="E1119" s="14">
        <f t="shared" ca="1" si="50"/>
        <v>45.162925000000001</v>
      </c>
      <c r="F1119" s="14">
        <f t="shared" ca="1" si="50"/>
        <v>45.153824999999991</v>
      </c>
      <c r="G1119" s="14">
        <f t="shared" ca="1" si="50"/>
        <v>42.822908333333345</v>
      </c>
      <c r="H1119" s="14">
        <f t="shared" ca="1" si="50"/>
        <v>42.822908333333345</v>
      </c>
      <c r="I1119" s="14">
        <f t="shared" ca="1" si="50"/>
        <v>42.824466666666673</v>
      </c>
      <c r="J1119" s="14">
        <f t="shared" ca="1" si="50"/>
        <v>360.68059999999997</v>
      </c>
    </row>
    <row r="1120" spans="1:10" ht="15" x14ac:dyDescent="0.2">
      <c r="A1120" s="10">
        <f t="shared" si="25"/>
        <v>2064</v>
      </c>
      <c r="B1120" s="14">
        <f t="shared" ca="1" si="50"/>
        <v>46.060441666666669</v>
      </c>
      <c r="C1120" s="14">
        <f t="shared" ca="1" si="50"/>
        <v>43.535566666666675</v>
      </c>
      <c r="D1120" s="14">
        <f t="shared" ca="1" si="50"/>
        <v>43.527758333333331</v>
      </c>
      <c r="E1120" s="14">
        <f t="shared" ca="1" si="50"/>
        <v>45.9133</v>
      </c>
      <c r="F1120" s="14">
        <f t="shared" ca="1" si="50"/>
        <v>45.904200000000003</v>
      </c>
      <c r="G1120" s="14">
        <f t="shared" ca="1" si="50"/>
        <v>43.534008333333333</v>
      </c>
      <c r="H1120" s="14">
        <f t="shared" ca="1" si="50"/>
        <v>43.534008333333333</v>
      </c>
      <c r="I1120" s="14">
        <f t="shared" ca="1" si="50"/>
        <v>43.535566666666675</v>
      </c>
      <c r="J1120" s="14">
        <f t="shared" ca="1" si="50"/>
        <v>369.07001666666662</v>
      </c>
    </row>
    <row r="1121" spans="1:10" ht="15" x14ac:dyDescent="0.2">
      <c r="A1121" s="10">
        <f t="shared" si="25"/>
        <v>2065</v>
      </c>
      <c r="B1121" s="14">
        <f t="shared" ca="1" si="50"/>
        <v>46.823458333333342</v>
      </c>
      <c r="C1121" s="14">
        <f t="shared" ca="1" si="50"/>
        <v>44.258625000000002</v>
      </c>
      <c r="D1121" s="14">
        <f t="shared" ca="1" si="50"/>
        <v>44.250816666666672</v>
      </c>
      <c r="E1121" s="14">
        <f t="shared" ca="1" si="50"/>
        <v>46.676283333333338</v>
      </c>
      <c r="F1121" s="14">
        <f t="shared" ca="1" si="50"/>
        <v>46.667183333333327</v>
      </c>
      <c r="G1121" s="14">
        <f t="shared" ca="1" si="50"/>
        <v>44.25705</v>
      </c>
      <c r="H1121" s="14">
        <f t="shared" ca="1" si="50"/>
        <v>44.25705</v>
      </c>
      <c r="I1121" s="14">
        <f t="shared" ca="1" si="50"/>
        <v>44.258625000000002</v>
      </c>
      <c r="J1121" s="14">
        <f t="shared" ca="1" si="50"/>
        <v>377.65460000000002</v>
      </c>
    </row>
    <row r="1122" spans="1:10" ht="15" x14ac:dyDescent="0.2">
      <c r="A1122" s="10">
        <f t="shared" si="25"/>
        <v>2066</v>
      </c>
      <c r="B1122" s="14">
        <f t="shared" ca="1" si="50"/>
        <v>47.599258333333331</v>
      </c>
      <c r="C1122" s="14">
        <f t="shared" ca="1" si="50"/>
        <v>44.9938</v>
      </c>
      <c r="D1122" s="14">
        <f t="shared" ca="1" si="50"/>
        <v>44.985983333333337</v>
      </c>
      <c r="E1122" s="14">
        <f t="shared" ca="1" si="50"/>
        <v>47.452091666666668</v>
      </c>
      <c r="F1122" s="14">
        <f t="shared" ca="1" si="50"/>
        <v>47.442991666666671</v>
      </c>
      <c r="G1122" s="14">
        <f t="shared" ca="1" si="50"/>
        <v>44.992258333333325</v>
      </c>
      <c r="H1122" s="14">
        <f t="shared" ca="1" si="50"/>
        <v>44.992258333333325</v>
      </c>
      <c r="I1122" s="14">
        <f t="shared" ca="1" si="50"/>
        <v>44.9938</v>
      </c>
      <c r="J1122" s="14">
        <f t="shared" ca="1" si="50"/>
        <v>386.43882500000001</v>
      </c>
    </row>
    <row r="1123" spans="1:10" ht="15" x14ac:dyDescent="0.2">
      <c r="A1123" s="10">
        <f t="shared" si="25"/>
        <v>2067</v>
      </c>
      <c r="B1123" s="14">
        <f t="shared" ca="1" si="50"/>
        <v>48.388083333333327</v>
      </c>
      <c r="C1123" s="14">
        <f t="shared" ca="1" si="50"/>
        <v>45.741350000000004</v>
      </c>
      <c r="D1123" s="14">
        <f t="shared" ca="1" si="50"/>
        <v>45.733550000000001</v>
      </c>
      <c r="E1123" s="14">
        <f t="shared" ca="1" si="50"/>
        <v>48.240941666666664</v>
      </c>
      <c r="F1123" s="14">
        <f t="shared" ca="1" si="50"/>
        <v>48.231841666666661</v>
      </c>
      <c r="G1123" s="14">
        <f t="shared" ca="1" si="50"/>
        <v>45.739791666666669</v>
      </c>
      <c r="H1123" s="14">
        <f t="shared" ca="1" si="50"/>
        <v>45.739791666666669</v>
      </c>
      <c r="I1123" s="14">
        <f t="shared" ca="1" si="50"/>
        <v>45.741350000000004</v>
      </c>
      <c r="J1123" s="14">
        <f t="shared" ca="1" si="50"/>
        <v>395.42739999999998</v>
      </c>
    </row>
    <row r="1124" spans="1:10" ht="15" x14ac:dyDescent="0.2">
      <c r="A1124" s="10">
        <f t="shared" si="25"/>
        <v>2068</v>
      </c>
      <c r="B1124" s="14">
        <f t="shared" ca="1" si="50"/>
        <v>49.190191666666671</v>
      </c>
      <c r="C1124" s="14">
        <f t="shared" ca="1" si="50"/>
        <v>46.501466666666666</v>
      </c>
      <c r="D1124" s="14">
        <f t="shared" ca="1" si="50"/>
        <v>46.493650000000002</v>
      </c>
      <c r="E1124" s="14">
        <f t="shared" ca="1" si="50"/>
        <v>49.043025000000007</v>
      </c>
      <c r="F1124" s="14">
        <f t="shared" ca="1" si="50"/>
        <v>49.033925000000011</v>
      </c>
      <c r="G1124" s="14">
        <f t="shared" ca="1" si="50"/>
        <v>46.499883333333337</v>
      </c>
      <c r="H1124" s="14">
        <f t="shared" ca="1" si="50"/>
        <v>46.499883333333337</v>
      </c>
      <c r="I1124" s="14">
        <f t="shared" ca="1" si="50"/>
        <v>46.501466666666666</v>
      </c>
      <c r="J1124" s="14">
        <f t="shared" ca="1" si="50"/>
        <v>404.62503333333331</v>
      </c>
    </row>
    <row r="1125" spans="1:10" ht="15" x14ac:dyDescent="0.2">
      <c r="A1125" s="10">
        <f t="shared" si="25"/>
        <v>2069</v>
      </c>
      <c r="B1125" s="14">
        <f t="shared" ca="1" si="50"/>
        <v>50.005749999999999</v>
      </c>
      <c r="C1125" s="14">
        <f t="shared" ca="1" si="50"/>
        <v>47.274341666666665</v>
      </c>
      <c r="D1125" s="14">
        <f t="shared" ca="1" si="50"/>
        <v>47.266508333333327</v>
      </c>
      <c r="E1125" s="14">
        <f t="shared" ca="1" si="50"/>
        <v>49.858599999999996</v>
      </c>
      <c r="F1125" s="14">
        <f t="shared" ca="1" si="50"/>
        <v>49.849500000000006</v>
      </c>
      <c r="G1125" s="14">
        <f t="shared" ca="1" si="50"/>
        <v>47.272758333333336</v>
      </c>
      <c r="H1125" s="14">
        <f t="shared" ca="1" si="50"/>
        <v>47.272758333333336</v>
      </c>
      <c r="I1125" s="14">
        <f t="shared" ca="1" si="50"/>
        <v>47.274341666666665</v>
      </c>
      <c r="J1125" s="14">
        <f t="shared" ca="1" si="50"/>
        <v>414.03663333333333</v>
      </c>
    </row>
    <row r="1126" spans="1:10" ht="15" x14ac:dyDescent="0.2">
      <c r="A1126" s="10">
        <f t="shared" ref="A1126:A1156" si="51">A1125+1</f>
        <v>2070</v>
      </c>
      <c r="B1126" s="14">
        <f t="shared" ca="1" si="50"/>
        <v>50.835024999999995</v>
      </c>
      <c r="C1126" s="14">
        <f t="shared" ca="1" si="50"/>
        <v>48.060175000000008</v>
      </c>
      <c r="D1126" s="14">
        <f t="shared" ca="1" si="50"/>
        <v>48.052366666666671</v>
      </c>
      <c r="E1126" s="14">
        <f t="shared" ca="1" si="50"/>
        <v>50.687866666666672</v>
      </c>
      <c r="F1126" s="14">
        <f t="shared" ca="1" si="50"/>
        <v>50.678766666666668</v>
      </c>
      <c r="G1126" s="14">
        <f t="shared" ca="1" si="50"/>
        <v>48.058608333333332</v>
      </c>
      <c r="H1126" s="14">
        <f t="shared" ca="1" si="50"/>
        <v>48.058608333333332</v>
      </c>
      <c r="I1126" s="14">
        <f t="shared" ca="1" si="50"/>
        <v>48.060175000000008</v>
      </c>
      <c r="J1126" s="14">
        <f t="shared" ca="1" si="50"/>
        <v>423.66712499999994</v>
      </c>
    </row>
    <row r="1127" spans="1:10" ht="15" x14ac:dyDescent="0.2">
      <c r="A1127" s="10">
        <f t="shared" si="51"/>
        <v>2071</v>
      </c>
      <c r="B1127" s="14">
        <f t="shared" ca="1" si="50"/>
        <v>51.678216666666678</v>
      </c>
      <c r="C1127" s="14">
        <f t="shared" ca="1" si="50"/>
        <v>48.859241666666669</v>
      </c>
      <c r="D1127" s="14">
        <f t="shared" ca="1" si="50"/>
        <v>48.851424999999999</v>
      </c>
      <c r="E1127" s="14">
        <f t="shared" ca="1" si="50"/>
        <v>51.531083333333335</v>
      </c>
      <c r="F1127" s="14">
        <f t="shared" ca="1" si="50"/>
        <v>51.521983333333331</v>
      </c>
      <c r="G1127" s="14">
        <f t="shared" ca="1" si="50"/>
        <v>48.857675000000008</v>
      </c>
      <c r="H1127" s="14">
        <f t="shared" ca="1" si="50"/>
        <v>48.857675000000008</v>
      </c>
      <c r="I1127" s="14">
        <f t="shared" ca="1" si="50"/>
        <v>48.859241666666669</v>
      </c>
      <c r="J1127" s="14">
        <f t="shared" ca="1" si="50"/>
        <v>433.52161666666672</v>
      </c>
    </row>
    <row r="1128" spans="1:10" ht="15" x14ac:dyDescent="0.2">
      <c r="A1128" s="10">
        <f t="shared" si="51"/>
        <v>2072</v>
      </c>
      <c r="B1128" s="14">
        <f t="shared" ref="B1128:J1137" ca="1" si="52">AVERAGE(OFFSET(B$600,($A1128-$A$1118)*12,0,12,1))</f>
        <v>52.535599999999995</v>
      </c>
      <c r="C1128" s="14">
        <f t="shared" ca="1" si="52"/>
        <v>49.671708333333335</v>
      </c>
      <c r="D1128" s="14">
        <f t="shared" ca="1" si="52"/>
        <v>49.663900000000005</v>
      </c>
      <c r="E1128" s="14">
        <f t="shared" ca="1" si="52"/>
        <v>52.388433333333332</v>
      </c>
      <c r="F1128" s="14">
        <f t="shared" ca="1" si="52"/>
        <v>52.379333333333335</v>
      </c>
      <c r="G1128" s="14">
        <f t="shared" ca="1" si="52"/>
        <v>49.670175000000008</v>
      </c>
      <c r="H1128" s="14">
        <f t="shared" ca="1" si="52"/>
        <v>49.670175000000008</v>
      </c>
      <c r="I1128" s="14">
        <f t="shared" ca="1" si="52"/>
        <v>49.671708333333335</v>
      </c>
      <c r="J1128" s="14">
        <f t="shared" ca="1" si="52"/>
        <v>443.60532499999994</v>
      </c>
    </row>
    <row r="1129" spans="1:10" ht="15" x14ac:dyDescent="0.2">
      <c r="A1129" s="10">
        <f t="shared" si="51"/>
        <v>2073</v>
      </c>
      <c r="B1129" s="14">
        <f t="shared" ca="1" si="52"/>
        <v>53.407358333333342</v>
      </c>
      <c r="C1129" s="14">
        <f t="shared" ca="1" si="52"/>
        <v>50.497858333333333</v>
      </c>
      <c r="D1129" s="14">
        <f t="shared" ca="1" si="52"/>
        <v>50.490058333333337</v>
      </c>
      <c r="E1129" s="14">
        <f t="shared" ca="1" si="52"/>
        <v>53.260224999999998</v>
      </c>
      <c r="F1129" s="14">
        <f t="shared" ca="1" si="52"/>
        <v>53.251125000000002</v>
      </c>
      <c r="G1129" s="14">
        <f t="shared" ca="1" si="52"/>
        <v>50.496274999999997</v>
      </c>
      <c r="H1129" s="14">
        <f t="shared" ca="1" si="52"/>
        <v>50.496274999999997</v>
      </c>
      <c r="I1129" s="14">
        <f t="shared" ca="1" si="52"/>
        <v>50.497858333333333</v>
      </c>
      <c r="J1129" s="14">
        <f t="shared" ca="1" si="52"/>
        <v>453.9235833333334</v>
      </c>
    </row>
    <row r="1130" spans="1:10" ht="15" x14ac:dyDescent="0.2">
      <c r="A1130" s="10">
        <f t="shared" si="51"/>
        <v>2074</v>
      </c>
      <c r="B1130" s="14">
        <f t="shared" ca="1" si="52"/>
        <v>54.29376666666667</v>
      </c>
      <c r="C1130" s="14">
        <f t="shared" ca="1" si="52"/>
        <v>51.337850000000003</v>
      </c>
      <c r="D1130" s="14">
        <f t="shared" ca="1" si="52"/>
        <v>51.330041666666659</v>
      </c>
      <c r="E1130" s="14">
        <f t="shared" ca="1" si="52"/>
        <v>54.146633333333334</v>
      </c>
      <c r="F1130" s="14">
        <f t="shared" ca="1" si="52"/>
        <v>54.13753333333333</v>
      </c>
      <c r="G1130" s="14">
        <f t="shared" ca="1" si="52"/>
        <v>51.336299999999994</v>
      </c>
      <c r="H1130" s="14">
        <f t="shared" ca="1" si="52"/>
        <v>51.336299999999994</v>
      </c>
      <c r="I1130" s="14">
        <f t="shared" ca="1" si="52"/>
        <v>51.337850000000003</v>
      </c>
      <c r="J1130" s="14">
        <f t="shared" ca="1" si="52"/>
        <v>464.48185833333338</v>
      </c>
    </row>
    <row r="1131" spans="1:10" ht="15" x14ac:dyDescent="0.2">
      <c r="A1131" s="10">
        <f t="shared" si="51"/>
        <v>2075</v>
      </c>
      <c r="B1131" s="14">
        <f t="shared" ca="1" si="52"/>
        <v>55.195091666666663</v>
      </c>
      <c r="C1131" s="14">
        <f t="shared" ca="1" si="52"/>
        <v>52.191991666666667</v>
      </c>
      <c r="D1131" s="14">
        <f t="shared" ca="1" si="52"/>
        <v>52.184175000000003</v>
      </c>
      <c r="E1131" s="14">
        <f t="shared" ca="1" si="52"/>
        <v>55.047925000000014</v>
      </c>
      <c r="F1131" s="14">
        <f t="shared" ca="1" si="52"/>
        <v>55.038824999999996</v>
      </c>
      <c r="G1131" s="14">
        <f t="shared" ca="1" si="52"/>
        <v>52.190400000000004</v>
      </c>
      <c r="H1131" s="14">
        <f t="shared" ca="1" si="52"/>
        <v>52.190400000000004</v>
      </c>
      <c r="I1131" s="14">
        <f t="shared" ca="1" si="52"/>
        <v>52.191991666666667</v>
      </c>
      <c r="J1131" s="14">
        <f t="shared" ca="1" si="52"/>
        <v>475.28570000000008</v>
      </c>
    </row>
    <row r="1132" spans="1:10" ht="15" x14ac:dyDescent="0.2">
      <c r="A1132" s="10">
        <f t="shared" si="51"/>
        <v>2076</v>
      </c>
      <c r="B1132" s="14">
        <f t="shared" ca="1" si="52"/>
        <v>56.11153333333332</v>
      </c>
      <c r="C1132" s="14">
        <f t="shared" ca="1" si="52"/>
        <v>53.060433333333343</v>
      </c>
      <c r="D1132" s="14">
        <f t="shared" ca="1" si="52"/>
        <v>53.052624999999999</v>
      </c>
      <c r="E1132" s="14">
        <f t="shared" ca="1" si="52"/>
        <v>55.964383333333338</v>
      </c>
      <c r="F1132" s="14">
        <f t="shared" ca="1" si="52"/>
        <v>55.955283333333334</v>
      </c>
      <c r="G1132" s="14">
        <f t="shared" ca="1" si="52"/>
        <v>53.058883333333334</v>
      </c>
      <c r="H1132" s="14">
        <f t="shared" ca="1" si="52"/>
        <v>53.058883333333334</v>
      </c>
      <c r="I1132" s="14">
        <f t="shared" ca="1" si="52"/>
        <v>53.060433333333343</v>
      </c>
      <c r="J1132" s="14">
        <f t="shared" ca="1" si="52"/>
        <v>486.34084166666662</v>
      </c>
    </row>
    <row r="1133" spans="1:10" ht="15" x14ac:dyDescent="0.2">
      <c r="A1133" s="10">
        <f t="shared" si="51"/>
        <v>2077</v>
      </c>
      <c r="B1133" s="14">
        <f t="shared" ca="1" si="52"/>
        <v>57.043383333333317</v>
      </c>
      <c r="C1133" s="14">
        <f t="shared" ca="1" si="52"/>
        <v>53.943499999999993</v>
      </c>
      <c r="D1133" s="14">
        <f t="shared" ca="1" si="52"/>
        <v>53.935699999999997</v>
      </c>
      <c r="E1133" s="14">
        <f t="shared" ca="1" si="52"/>
        <v>56.896224999999994</v>
      </c>
      <c r="F1133" s="14">
        <f t="shared" ca="1" si="52"/>
        <v>56.887124999999997</v>
      </c>
      <c r="G1133" s="14">
        <f t="shared" ca="1" si="52"/>
        <v>53.941941666666672</v>
      </c>
      <c r="H1133" s="14">
        <f t="shared" ca="1" si="52"/>
        <v>53.941941666666672</v>
      </c>
      <c r="I1133" s="14">
        <f t="shared" ca="1" si="52"/>
        <v>53.943499999999993</v>
      </c>
      <c r="J1133" s="14">
        <f t="shared" ca="1" si="52"/>
        <v>497.65312500000005</v>
      </c>
    </row>
    <row r="1134" spans="1:10" ht="15" x14ac:dyDescent="0.2">
      <c r="A1134" s="10">
        <f t="shared" si="51"/>
        <v>2078</v>
      </c>
      <c r="B1134" s="14">
        <f t="shared" ca="1" si="52"/>
        <v>57.990883333333329</v>
      </c>
      <c r="C1134" s="14">
        <f t="shared" ca="1" si="52"/>
        <v>54.841408333333334</v>
      </c>
      <c r="D1134" s="14">
        <f t="shared" ca="1" si="52"/>
        <v>54.833583333333337</v>
      </c>
      <c r="E1134" s="14">
        <f t="shared" ca="1" si="52"/>
        <v>57.843725000000006</v>
      </c>
      <c r="F1134" s="14">
        <f t="shared" ca="1" si="52"/>
        <v>57.834624999999996</v>
      </c>
      <c r="G1134" s="14">
        <f t="shared" ca="1" si="52"/>
        <v>54.839858333333346</v>
      </c>
      <c r="H1134" s="14">
        <f t="shared" ca="1" si="52"/>
        <v>54.839858333333346</v>
      </c>
      <c r="I1134" s="14">
        <f t="shared" ca="1" si="52"/>
        <v>54.841408333333334</v>
      </c>
      <c r="J1134" s="14">
        <f t="shared" ca="1" si="52"/>
        <v>509.22853333333336</v>
      </c>
    </row>
    <row r="1135" spans="1:10" ht="15" x14ac:dyDescent="0.2">
      <c r="A1135" s="10">
        <f t="shared" si="51"/>
        <v>2079</v>
      </c>
      <c r="B1135" s="14">
        <f t="shared" ca="1" si="52"/>
        <v>58.954291666666656</v>
      </c>
      <c r="C1135" s="14">
        <f t="shared" ca="1" si="52"/>
        <v>55.754391666666663</v>
      </c>
      <c r="D1135" s="14">
        <f t="shared" ca="1" si="52"/>
        <v>55.746583333333348</v>
      </c>
      <c r="E1135" s="14">
        <f t="shared" ca="1" si="52"/>
        <v>58.807141666666666</v>
      </c>
      <c r="F1135" s="14">
        <f t="shared" ca="1" si="52"/>
        <v>58.798041666666656</v>
      </c>
      <c r="G1135" s="14">
        <f t="shared" ca="1" si="52"/>
        <v>55.752816666666668</v>
      </c>
      <c r="H1135" s="14">
        <f t="shared" ca="1" si="52"/>
        <v>55.752816666666668</v>
      </c>
      <c r="I1135" s="14">
        <f t="shared" ca="1" si="52"/>
        <v>55.754391666666663</v>
      </c>
      <c r="J1135" s="14">
        <f t="shared" ca="1" si="52"/>
        <v>521.07319999999993</v>
      </c>
    </row>
    <row r="1136" spans="1:10" ht="15" x14ac:dyDescent="0.2">
      <c r="A1136" s="10">
        <f t="shared" si="51"/>
        <v>2080</v>
      </c>
      <c r="B1136" s="14">
        <f t="shared" ca="1" si="52"/>
        <v>59.933916666666669</v>
      </c>
      <c r="C1136" s="14">
        <f t="shared" ca="1" si="52"/>
        <v>56.68269166666667</v>
      </c>
      <c r="D1136" s="14">
        <f t="shared" ca="1" si="52"/>
        <v>56.674891666666667</v>
      </c>
      <c r="E1136" s="14">
        <f t="shared" ca="1" si="52"/>
        <v>59.786741666666671</v>
      </c>
      <c r="F1136" s="14">
        <f t="shared" ca="1" si="52"/>
        <v>59.777641666666661</v>
      </c>
      <c r="G1136" s="14">
        <f t="shared" ca="1" si="52"/>
        <v>56.681133333333342</v>
      </c>
      <c r="H1136" s="14">
        <f t="shared" ca="1" si="52"/>
        <v>56.681133333333342</v>
      </c>
      <c r="I1136" s="14">
        <f t="shared" ca="1" si="52"/>
        <v>56.68269166666667</v>
      </c>
      <c r="J1136" s="14">
        <f t="shared" ca="1" si="52"/>
        <v>533.19335833333332</v>
      </c>
    </row>
    <row r="1137" spans="1:10" ht="15" x14ac:dyDescent="0.2">
      <c r="A1137" s="10">
        <f t="shared" si="51"/>
        <v>2081</v>
      </c>
      <c r="B1137" s="14">
        <f t="shared" ca="1" si="52"/>
        <v>60.929966666666665</v>
      </c>
      <c r="C1137" s="14">
        <f t="shared" ca="1" si="52"/>
        <v>57.626616666666671</v>
      </c>
      <c r="D1137" s="14">
        <f t="shared" ca="1" si="52"/>
        <v>57.618808333333334</v>
      </c>
      <c r="E1137" s="14">
        <f t="shared" ca="1" si="52"/>
        <v>60.782808333333328</v>
      </c>
      <c r="F1137" s="14">
        <f t="shared" ca="1" si="52"/>
        <v>60.773708333333325</v>
      </c>
      <c r="G1137" s="14">
        <f t="shared" ca="1" si="52"/>
        <v>57.625033333333334</v>
      </c>
      <c r="H1137" s="14">
        <f t="shared" ca="1" si="52"/>
        <v>57.625033333333334</v>
      </c>
      <c r="I1137" s="14">
        <f t="shared" ca="1" si="52"/>
        <v>57.626616666666671</v>
      </c>
      <c r="J1137" s="14">
        <f t="shared" ca="1" si="52"/>
        <v>545.5954333333334</v>
      </c>
    </row>
    <row r="1138" spans="1:10" ht="15" x14ac:dyDescent="0.2">
      <c r="A1138" s="10">
        <f t="shared" si="51"/>
        <v>2082</v>
      </c>
      <c r="B1138" s="14">
        <f t="shared" ref="B1138:J1147" ca="1" si="53">AVERAGE(OFFSET(B$600,($A1138-$A$1118)*12,0,12,1))</f>
        <v>61.94274999999999</v>
      </c>
      <c r="C1138" s="14">
        <f t="shared" ca="1" si="53"/>
        <v>58.586400000000005</v>
      </c>
      <c r="D1138" s="14">
        <f t="shared" ca="1" si="53"/>
        <v>58.57856666666666</v>
      </c>
      <c r="E1138" s="14">
        <f t="shared" ca="1" si="53"/>
        <v>61.79561666666666</v>
      </c>
      <c r="F1138" s="14">
        <f t="shared" ca="1" si="53"/>
        <v>61.786516666666671</v>
      </c>
      <c r="G1138" s="14">
        <f t="shared" ca="1" si="53"/>
        <v>58.584825000000002</v>
      </c>
      <c r="H1138" s="14">
        <f t="shared" ca="1" si="53"/>
        <v>58.584825000000002</v>
      </c>
      <c r="I1138" s="14">
        <f t="shared" ca="1" si="53"/>
        <v>58.586400000000005</v>
      </c>
      <c r="J1138" s="14">
        <f t="shared" ca="1" si="53"/>
        <v>558.28599166666652</v>
      </c>
    </row>
    <row r="1139" spans="1:10" ht="15" x14ac:dyDescent="0.2">
      <c r="A1139" s="10">
        <f t="shared" si="51"/>
        <v>2083</v>
      </c>
      <c r="B1139" s="14">
        <f t="shared" ca="1" si="53"/>
        <v>62.972566666666665</v>
      </c>
      <c r="C1139" s="14">
        <f t="shared" ca="1" si="53"/>
        <v>59.56226666666668</v>
      </c>
      <c r="D1139" s="14">
        <f t="shared" ca="1" si="53"/>
        <v>59.554466666666677</v>
      </c>
      <c r="E1139" s="14">
        <f t="shared" ca="1" si="53"/>
        <v>62.825408333333336</v>
      </c>
      <c r="F1139" s="14">
        <f t="shared" ca="1" si="53"/>
        <v>62.816308333333325</v>
      </c>
      <c r="G1139" s="14">
        <f t="shared" ca="1" si="53"/>
        <v>59.560716666666671</v>
      </c>
      <c r="H1139" s="14">
        <f t="shared" ca="1" si="53"/>
        <v>59.560716666666671</v>
      </c>
      <c r="I1139" s="14">
        <f t="shared" ca="1" si="53"/>
        <v>59.56226666666668</v>
      </c>
      <c r="J1139" s="14">
        <f t="shared" ca="1" si="53"/>
        <v>571.27171666666663</v>
      </c>
    </row>
    <row r="1140" spans="1:10" ht="15" x14ac:dyDescent="0.2">
      <c r="A1140" s="10">
        <f t="shared" si="51"/>
        <v>2084</v>
      </c>
      <c r="B1140" s="14">
        <f t="shared" ca="1" si="53"/>
        <v>64.019666666666652</v>
      </c>
      <c r="C1140" s="14">
        <f t="shared" ca="1" si="53"/>
        <v>60.554566666666666</v>
      </c>
      <c r="D1140" s="14">
        <f t="shared" ca="1" si="53"/>
        <v>60.546758333333337</v>
      </c>
      <c r="E1140" s="14">
        <f t="shared" ca="1" si="53"/>
        <v>63.872525000000003</v>
      </c>
      <c r="F1140" s="14">
        <f t="shared" ca="1" si="53"/>
        <v>63.863425000000007</v>
      </c>
      <c r="G1140" s="14">
        <f t="shared" ca="1" si="53"/>
        <v>60.553008333333338</v>
      </c>
      <c r="H1140" s="14">
        <f t="shared" ca="1" si="53"/>
        <v>60.553008333333338</v>
      </c>
      <c r="I1140" s="14">
        <f t="shared" ca="1" si="53"/>
        <v>60.554566666666666</v>
      </c>
      <c r="J1140" s="14">
        <f t="shared" ca="1" si="53"/>
        <v>584.55948333333333</v>
      </c>
    </row>
    <row r="1141" spans="1:10" ht="15" x14ac:dyDescent="0.2">
      <c r="A1141" s="10">
        <f t="shared" si="51"/>
        <v>2085</v>
      </c>
      <c r="B1141" s="14">
        <f t="shared" ca="1" si="53"/>
        <v>65.084375000000009</v>
      </c>
      <c r="C1141" s="14">
        <f t="shared" ca="1" si="53"/>
        <v>61.563516666666679</v>
      </c>
      <c r="D1141" s="14">
        <f t="shared" ca="1" si="53"/>
        <v>61.555716666666683</v>
      </c>
      <c r="E1141" s="14">
        <f t="shared" ca="1" si="53"/>
        <v>64.937216666666671</v>
      </c>
      <c r="F1141" s="14">
        <f t="shared" ca="1" si="53"/>
        <v>64.928116666666668</v>
      </c>
      <c r="G1141" s="14">
        <f t="shared" ca="1" si="53"/>
        <v>61.561983333333337</v>
      </c>
      <c r="H1141" s="14">
        <f t="shared" ca="1" si="53"/>
        <v>61.561983333333337</v>
      </c>
      <c r="I1141" s="14">
        <f t="shared" ca="1" si="53"/>
        <v>61.563516666666679</v>
      </c>
      <c r="J1141" s="14">
        <f t="shared" ca="1" si="53"/>
        <v>598.15634999999997</v>
      </c>
    </row>
    <row r="1142" spans="1:10" ht="15" x14ac:dyDescent="0.2">
      <c r="A1142" s="10">
        <f t="shared" si="51"/>
        <v>2086</v>
      </c>
      <c r="B1142" s="14">
        <f t="shared" ca="1" si="53"/>
        <v>66.166958333333326</v>
      </c>
      <c r="C1142" s="14">
        <f t="shared" ca="1" si="53"/>
        <v>62.589449999999992</v>
      </c>
      <c r="D1142" s="14">
        <f t="shared" ca="1" si="53"/>
        <v>62.581633333333336</v>
      </c>
      <c r="E1142" s="14">
        <f t="shared" ca="1" si="53"/>
        <v>66.019808333333344</v>
      </c>
      <c r="F1142" s="14">
        <f t="shared" ca="1" si="53"/>
        <v>66.010708333333326</v>
      </c>
      <c r="G1142" s="14">
        <f t="shared" ca="1" si="53"/>
        <v>62.587858333333344</v>
      </c>
      <c r="H1142" s="14">
        <f t="shared" ca="1" si="53"/>
        <v>62.587858333333344</v>
      </c>
      <c r="I1142" s="14">
        <f t="shared" ca="1" si="53"/>
        <v>62.589449999999992</v>
      </c>
      <c r="J1142" s="14">
        <f t="shared" ca="1" si="53"/>
        <v>612.06947500000001</v>
      </c>
    </row>
    <row r="1143" spans="1:10" ht="15" x14ac:dyDescent="0.2">
      <c r="A1143" s="10">
        <f t="shared" si="51"/>
        <v>2087</v>
      </c>
      <c r="B1143" s="14">
        <f t="shared" ca="1" si="53"/>
        <v>67.267749999999992</v>
      </c>
      <c r="C1143" s="14">
        <f t="shared" ca="1" si="53"/>
        <v>63.632575000000003</v>
      </c>
      <c r="D1143" s="14">
        <f t="shared" ca="1" si="53"/>
        <v>63.624766666666659</v>
      </c>
      <c r="E1143" s="14">
        <f t="shared" ca="1" si="53"/>
        <v>67.120575000000002</v>
      </c>
      <c r="F1143" s="14">
        <f t="shared" ca="1" si="53"/>
        <v>67.111474999999999</v>
      </c>
      <c r="G1143" s="14">
        <f t="shared" ca="1" si="53"/>
        <v>63.63101666666666</v>
      </c>
      <c r="H1143" s="14">
        <f t="shared" ca="1" si="53"/>
        <v>63.63101666666666</v>
      </c>
      <c r="I1143" s="14">
        <f t="shared" ca="1" si="53"/>
        <v>63.632575000000003</v>
      </c>
      <c r="J1143" s="14">
        <f t="shared" ca="1" si="53"/>
        <v>626.30619999999988</v>
      </c>
    </row>
    <row r="1144" spans="1:10" ht="15" x14ac:dyDescent="0.2">
      <c r="A1144" s="10">
        <f t="shared" si="51"/>
        <v>2088</v>
      </c>
      <c r="B1144" s="14">
        <f t="shared" ca="1" si="53"/>
        <v>68.387</v>
      </c>
      <c r="C1144" s="14">
        <f t="shared" ca="1" si="53"/>
        <v>64.693275000000014</v>
      </c>
      <c r="D1144" s="14">
        <f t="shared" ca="1" si="53"/>
        <v>64.685433333333336</v>
      </c>
      <c r="E1144" s="14">
        <f t="shared" ca="1" si="53"/>
        <v>68.239858333333345</v>
      </c>
      <c r="F1144" s="14">
        <f t="shared" ca="1" si="53"/>
        <v>68.230758333333341</v>
      </c>
      <c r="G1144" s="14">
        <f t="shared" ca="1" si="53"/>
        <v>64.69168333333333</v>
      </c>
      <c r="H1144" s="14">
        <f t="shared" ca="1" si="53"/>
        <v>64.69168333333333</v>
      </c>
      <c r="I1144" s="14">
        <f t="shared" ca="1" si="53"/>
        <v>64.693275000000014</v>
      </c>
      <c r="J1144" s="14">
        <f t="shared" ca="1" si="53"/>
        <v>640.8741</v>
      </c>
    </row>
    <row r="1145" spans="1:10" ht="15" x14ac:dyDescent="0.2">
      <c r="A1145" s="10">
        <f t="shared" si="51"/>
        <v>2089</v>
      </c>
      <c r="B1145" s="14">
        <f t="shared" ca="1" si="53"/>
        <v>69.525058333333334</v>
      </c>
      <c r="C1145" s="14">
        <f t="shared" ca="1" si="53"/>
        <v>65.771733333333344</v>
      </c>
      <c r="D1145" s="14">
        <f t="shared" ca="1" si="53"/>
        <v>65.763925</v>
      </c>
      <c r="E1145" s="14">
        <f t="shared" ca="1" si="53"/>
        <v>69.377933333333331</v>
      </c>
      <c r="F1145" s="14">
        <f t="shared" ca="1" si="53"/>
        <v>69.368833333333328</v>
      </c>
      <c r="G1145" s="14">
        <f t="shared" ca="1" si="53"/>
        <v>65.770174999999995</v>
      </c>
      <c r="H1145" s="14">
        <f t="shared" ca="1" si="53"/>
        <v>65.770174999999995</v>
      </c>
      <c r="I1145" s="14">
        <f t="shared" ca="1" si="53"/>
        <v>65.771733333333344</v>
      </c>
      <c r="J1145" s="14">
        <f t="shared" ca="1" si="53"/>
        <v>655.78081666666662</v>
      </c>
    </row>
    <row r="1146" spans="1:10" ht="15" x14ac:dyDescent="0.2">
      <c r="A1146" s="10">
        <f t="shared" si="51"/>
        <v>2090</v>
      </c>
      <c r="B1146" s="14">
        <f t="shared" ca="1" si="53"/>
        <v>70.68227499999999</v>
      </c>
      <c r="C1146" s="14">
        <f t="shared" ca="1" si="53"/>
        <v>66.868358333333333</v>
      </c>
      <c r="D1146" s="14">
        <f t="shared" ca="1" si="53"/>
        <v>66.86052500000001</v>
      </c>
      <c r="E1146" s="14">
        <f t="shared" ca="1" si="53"/>
        <v>70.535108333333355</v>
      </c>
      <c r="F1146" s="14">
        <f t="shared" ca="1" si="53"/>
        <v>70.526008333333337</v>
      </c>
      <c r="G1146" s="14">
        <f t="shared" ca="1" si="53"/>
        <v>66.866783333333331</v>
      </c>
      <c r="H1146" s="14">
        <f t="shared" ca="1" si="53"/>
        <v>66.866783333333331</v>
      </c>
      <c r="I1146" s="14">
        <f t="shared" ca="1" si="53"/>
        <v>66.868358333333333</v>
      </c>
      <c r="J1146" s="14">
        <f t="shared" ca="1" si="53"/>
        <v>671.03426666666667</v>
      </c>
    </row>
    <row r="1147" spans="1:10" ht="15" x14ac:dyDescent="0.2">
      <c r="A1147" s="10">
        <f t="shared" si="51"/>
        <v>2091</v>
      </c>
      <c r="B1147" s="14">
        <f t="shared" ca="1" si="53"/>
        <v>71.858891666666665</v>
      </c>
      <c r="C1147" s="14">
        <f t="shared" ca="1" si="53"/>
        <v>67.983366666666669</v>
      </c>
      <c r="D1147" s="14">
        <f t="shared" ca="1" si="53"/>
        <v>67.975558333333325</v>
      </c>
      <c r="E1147" s="14">
        <f t="shared" ca="1" si="53"/>
        <v>71.711733333333328</v>
      </c>
      <c r="F1147" s="14">
        <f t="shared" ca="1" si="53"/>
        <v>71.702633333333338</v>
      </c>
      <c r="G1147" s="14">
        <f t="shared" ca="1" si="53"/>
        <v>67.981825000000015</v>
      </c>
      <c r="H1147" s="14">
        <f t="shared" ca="1" si="53"/>
        <v>67.981825000000015</v>
      </c>
      <c r="I1147" s="14">
        <f t="shared" ca="1" si="53"/>
        <v>67.983366666666669</v>
      </c>
      <c r="J1147" s="14">
        <f t="shared" ca="1" si="53"/>
        <v>686.64255833333334</v>
      </c>
    </row>
    <row r="1148" spans="1:10" ht="15" x14ac:dyDescent="0.2">
      <c r="A1148" s="10">
        <f t="shared" si="51"/>
        <v>2092</v>
      </c>
      <c r="B1148" s="14">
        <f t="shared" ref="B1148:J1156" ca="1" si="54">AVERAGE(OFFSET(B$600,($A1148-$A$1118)*12,0,12,1))</f>
        <v>73.055291666666662</v>
      </c>
      <c r="C1148" s="14">
        <f t="shared" ca="1" si="54"/>
        <v>69.117141666666669</v>
      </c>
      <c r="D1148" s="14">
        <f t="shared" ca="1" si="54"/>
        <v>69.109341666666666</v>
      </c>
      <c r="E1148" s="14">
        <f t="shared" ca="1" si="54"/>
        <v>72.90814166666668</v>
      </c>
      <c r="F1148" s="14">
        <f t="shared" ca="1" si="54"/>
        <v>72.899041666666662</v>
      </c>
      <c r="G1148" s="14">
        <f t="shared" ca="1" si="54"/>
        <v>69.11556666666668</v>
      </c>
      <c r="H1148" s="14">
        <f t="shared" ca="1" si="54"/>
        <v>69.11556666666668</v>
      </c>
      <c r="I1148" s="14">
        <f t="shared" ca="1" si="54"/>
        <v>69.117141666666669</v>
      </c>
      <c r="J1148" s="14">
        <f t="shared" ca="1" si="54"/>
        <v>702.61383333333333</v>
      </c>
    </row>
    <row r="1149" spans="1:10" ht="15" x14ac:dyDescent="0.2">
      <c r="A1149" s="10">
        <f t="shared" si="51"/>
        <v>2093</v>
      </c>
      <c r="B1149" s="14">
        <f t="shared" ca="1" si="54"/>
        <v>74.271783333333318</v>
      </c>
      <c r="C1149" s="14">
        <f t="shared" ca="1" si="54"/>
        <v>70.269950000000009</v>
      </c>
      <c r="D1149" s="14">
        <f t="shared" ca="1" si="54"/>
        <v>70.262150000000005</v>
      </c>
      <c r="E1149" s="14">
        <f t="shared" ca="1" si="54"/>
        <v>74.124633333333335</v>
      </c>
      <c r="F1149" s="14">
        <f t="shared" ca="1" si="54"/>
        <v>74.115533333333332</v>
      </c>
      <c r="G1149" s="14">
        <f t="shared" ca="1" si="54"/>
        <v>70.268383333333318</v>
      </c>
      <c r="H1149" s="14">
        <f t="shared" ca="1" si="54"/>
        <v>70.268383333333318</v>
      </c>
      <c r="I1149" s="14">
        <f t="shared" ca="1" si="54"/>
        <v>70.269950000000009</v>
      </c>
      <c r="J1149" s="14">
        <f t="shared" ca="1" si="54"/>
        <v>718.95664166666666</v>
      </c>
    </row>
    <row r="1150" spans="1:10" ht="15" x14ac:dyDescent="0.2">
      <c r="A1150" s="10">
        <f t="shared" si="51"/>
        <v>2094</v>
      </c>
      <c r="B1150" s="14">
        <f t="shared" ca="1" si="54"/>
        <v>75.508716666666658</v>
      </c>
      <c r="C1150" s="14">
        <f t="shared" ca="1" si="54"/>
        <v>71.442125000000004</v>
      </c>
      <c r="D1150" s="14">
        <f t="shared" ca="1" si="54"/>
        <v>71.434300000000007</v>
      </c>
      <c r="E1150" s="14">
        <f t="shared" ca="1" si="54"/>
        <v>75.361583333333328</v>
      </c>
      <c r="F1150" s="14">
        <f t="shared" ca="1" si="54"/>
        <v>75.352483333333339</v>
      </c>
      <c r="G1150" s="14">
        <f t="shared" ca="1" si="54"/>
        <v>71.440566666666655</v>
      </c>
      <c r="H1150" s="14">
        <f t="shared" ca="1" si="54"/>
        <v>71.440566666666655</v>
      </c>
      <c r="I1150" s="14">
        <f t="shared" ca="1" si="54"/>
        <v>71.442125000000004</v>
      </c>
      <c r="J1150" s="14">
        <f t="shared" ca="1" si="54"/>
        <v>735.67955833333338</v>
      </c>
    </row>
    <row r="1151" spans="1:10" ht="15" x14ac:dyDescent="0.2">
      <c r="A1151" s="10">
        <f t="shared" si="51"/>
        <v>2095</v>
      </c>
      <c r="B1151" s="14">
        <f t="shared" ca="1" si="54"/>
        <v>76.766416666666672</v>
      </c>
      <c r="C1151" s="14">
        <f t="shared" ca="1" si="54"/>
        <v>72.63399166666666</v>
      </c>
      <c r="D1151" s="14">
        <f t="shared" ca="1" si="54"/>
        <v>72.626175000000003</v>
      </c>
      <c r="E1151" s="14">
        <f t="shared" ca="1" si="54"/>
        <v>76.619291666666683</v>
      </c>
      <c r="F1151" s="14">
        <f t="shared" ca="1" si="54"/>
        <v>76.610191666666665</v>
      </c>
      <c r="G1151" s="14">
        <f t="shared" ca="1" si="54"/>
        <v>72.632424999999998</v>
      </c>
      <c r="H1151" s="14">
        <f t="shared" ca="1" si="54"/>
        <v>72.632424999999998</v>
      </c>
      <c r="I1151" s="14">
        <f t="shared" ca="1" si="54"/>
        <v>72.63399166666666</v>
      </c>
      <c r="J1151" s="14">
        <f t="shared" ca="1" si="54"/>
        <v>752.79145833333325</v>
      </c>
    </row>
    <row r="1152" spans="1:10" ht="15" x14ac:dyDescent="0.2">
      <c r="A1152" s="10">
        <f t="shared" si="51"/>
        <v>2096</v>
      </c>
      <c r="B1152" s="14">
        <f t="shared" ca="1" si="54"/>
        <v>78.04528333333333</v>
      </c>
      <c r="C1152" s="14">
        <f t="shared" ca="1" si="54"/>
        <v>73.845891666666674</v>
      </c>
      <c r="D1152" s="14">
        <f t="shared" ca="1" si="54"/>
        <v>73.838066666666677</v>
      </c>
      <c r="E1152" s="14">
        <f t="shared" ca="1" si="54"/>
        <v>77.898116666666667</v>
      </c>
      <c r="F1152" s="14">
        <f t="shared" ca="1" si="54"/>
        <v>77.889016666666649</v>
      </c>
      <c r="G1152" s="14">
        <f t="shared" ca="1" si="54"/>
        <v>73.844316666666671</v>
      </c>
      <c r="H1152" s="14">
        <f t="shared" ca="1" si="54"/>
        <v>73.844316666666671</v>
      </c>
      <c r="I1152" s="14">
        <f t="shared" ca="1" si="54"/>
        <v>73.845891666666674</v>
      </c>
      <c r="J1152" s="14">
        <f t="shared" ca="1" si="54"/>
        <v>770.30140833333326</v>
      </c>
    </row>
    <row r="1153" spans="1:10" ht="15" x14ac:dyDescent="0.2">
      <c r="A1153" s="10">
        <f t="shared" si="51"/>
        <v>2097</v>
      </c>
      <c r="B1153" s="14">
        <f t="shared" ca="1" si="54"/>
        <v>79.345616666666672</v>
      </c>
      <c r="C1153" s="14">
        <f t="shared" ca="1" si="54"/>
        <v>75.078133333333327</v>
      </c>
      <c r="D1153" s="14">
        <f t="shared" ca="1" si="54"/>
        <v>75.070324999999997</v>
      </c>
      <c r="E1153" s="14">
        <f t="shared" ca="1" si="54"/>
        <v>79.198449999999994</v>
      </c>
      <c r="F1153" s="14">
        <f t="shared" ca="1" si="54"/>
        <v>79.189350000000005</v>
      </c>
      <c r="G1153" s="14">
        <f t="shared" ca="1" si="54"/>
        <v>75.076575000000005</v>
      </c>
      <c r="H1153" s="14">
        <f t="shared" ca="1" si="54"/>
        <v>75.076575000000005</v>
      </c>
      <c r="I1153" s="14">
        <f t="shared" ca="1" si="54"/>
        <v>75.078133333333327</v>
      </c>
      <c r="J1153" s="14">
        <f t="shared" ca="1" si="54"/>
        <v>788.21861666666655</v>
      </c>
    </row>
    <row r="1154" spans="1:10" ht="15" x14ac:dyDescent="0.2">
      <c r="A1154" s="10">
        <f t="shared" si="51"/>
        <v>2098</v>
      </c>
      <c r="B1154" s="14">
        <f t="shared" ca="1" si="54"/>
        <v>80.667774999999992</v>
      </c>
      <c r="C1154" s="14">
        <f t="shared" ca="1" si="54"/>
        <v>76.331083333333339</v>
      </c>
      <c r="D1154" s="14">
        <f t="shared" ca="1" si="54"/>
        <v>76.323283333333336</v>
      </c>
      <c r="E1154" s="14">
        <f t="shared" ca="1" si="54"/>
        <v>80.52062500000001</v>
      </c>
      <c r="F1154" s="14">
        <f t="shared" ca="1" si="54"/>
        <v>80.511525000000006</v>
      </c>
      <c r="G1154" s="14">
        <f t="shared" ca="1" si="54"/>
        <v>76.329533333333345</v>
      </c>
      <c r="H1154" s="14">
        <f t="shared" ca="1" si="54"/>
        <v>76.329533333333345</v>
      </c>
      <c r="I1154" s="14">
        <f t="shared" ca="1" si="54"/>
        <v>76.331083333333339</v>
      </c>
      <c r="J1154" s="14">
        <f t="shared" ca="1" si="54"/>
        <v>806.55257500000005</v>
      </c>
    </row>
    <row r="1155" spans="1:10" ht="15" x14ac:dyDescent="0.2">
      <c r="A1155" s="10">
        <f t="shared" si="51"/>
        <v>2099</v>
      </c>
      <c r="B1155" s="14">
        <f t="shared" ca="1" si="54"/>
        <v>82.012166666666658</v>
      </c>
      <c r="C1155" s="14">
        <f t="shared" ca="1" si="54"/>
        <v>77.605074999999999</v>
      </c>
      <c r="D1155" s="14">
        <f t="shared" ca="1" si="54"/>
        <v>77.59727500000001</v>
      </c>
      <c r="E1155" s="14">
        <f t="shared" ca="1" si="54"/>
        <v>81.864999999999995</v>
      </c>
      <c r="F1155" s="14">
        <f t="shared" ca="1" si="54"/>
        <v>81.855900000000005</v>
      </c>
      <c r="G1155" s="14">
        <f t="shared" ca="1" si="54"/>
        <v>77.603533333333331</v>
      </c>
      <c r="H1155" s="14">
        <f t="shared" ca="1" si="54"/>
        <v>77.603533333333331</v>
      </c>
      <c r="I1155" s="14">
        <f t="shared" ca="1" si="54"/>
        <v>77.605074999999999</v>
      </c>
      <c r="J1155" s="14">
        <f t="shared" ca="1" si="54"/>
        <v>825.31298333333336</v>
      </c>
    </row>
    <row r="1156" spans="1:10" ht="15" x14ac:dyDescent="0.2">
      <c r="A1156" s="10">
        <f t="shared" si="51"/>
        <v>2100</v>
      </c>
      <c r="B1156" s="14">
        <f t="shared" ca="1" si="54"/>
        <v>83.379124999999988</v>
      </c>
      <c r="C1156" s="14">
        <f t="shared" ca="1" si="54"/>
        <v>78.900500000000008</v>
      </c>
      <c r="D1156" s="14">
        <f t="shared" ca="1" si="54"/>
        <v>78.892674999999997</v>
      </c>
      <c r="E1156" s="14">
        <f t="shared" ca="1" si="54"/>
        <v>83.231991666666659</v>
      </c>
      <c r="F1156" s="14">
        <f t="shared" ca="1" si="54"/>
        <v>83.222891666666655</v>
      </c>
      <c r="G1156" s="14">
        <f t="shared" ca="1" si="54"/>
        <v>78.898925000000006</v>
      </c>
      <c r="H1156" s="14">
        <f t="shared" ca="1" si="54"/>
        <v>78.898925000000006</v>
      </c>
      <c r="I1156" s="14">
        <f t="shared" ca="1" si="54"/>
        <v>78.900500000000008</v>
      </c>
      <c r="J1156" s="14">
        <f t="shared" ca="1" si="54"/>
        <v>844.50977499999999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5" orientation="landscape" horizontalDpi="1200" verticalDpi="1200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0" zoomScaleNormal="70" workbookViewId="0">
      <pane xSplit="1" ySplit="12" topLeftCell="B13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13" sqref="B13"/>
    </sheetView>
  </sheetViews>
  <sheetFormatPr defaultColWidth="7.109375" defaultRowHeight="12.75" x14ac:dyDescent="0.2"/>
  <cols>
    <col min="1" max="1" width="18.21875" style="31" customWidth="1"/>
    <col min="2" max="10" width="13" style="31" customWidth="1"/>
    <col min="11" max="11" width="18.6640625" style="31" customWidth="1"/>
    <col min="12" max="12" width="13" style="31" customWidth="1"/>
    <col min="13" max="16" width="20.6640625" style="31" customWidth="1"/>
    <col min="17" max="17" width="15.5546875" style="31" customWidth="1"/>
    <col min="18" max="18" width="16.21875" style="31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s="22" customFormat="1" ht="15.75" x14ac:dyDescent="0.25">
      <c r="A1" s="108" t="s">
        <v>91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</row>
    <row r="2" spans="1:29" s="22" customFormat="1" ht="15.75" x14ac:dyDescent="0.25">
      <c r="A2" s="109" t="s">
        <v>92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29" s="22" customFormat="1" ht="15.75" x14ac:dyDescent="0.25">
      <c r="A3" s="109" t="s">
        <v>93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</row>
    <row r="4" spans="1:29" s="22" customFormat="1" ht="15.75" x14ac:dyDescent="0.25">
      <c r="A4" s="109" t="s">
        <v>94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</row>
    <row r="5" spans="1:29" s="22" customFormat="1" ht="15.75" x14ac:dyDescent="0.25">
      <c r="A5" s="108" t="s">
        <v>95</v>
      </c>
      <c r="B5" s="48"/>
      <c r="C5" s="48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</row>
    <row r="6" spans="1:29" s="22" customFormat="1" ht="15.75" x14ac:dyDescent="0.25">
      <c r="A6" s="108" t="s">
        <v>100</v>
      </c>
      <c r="B6" s="48"/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</row>
    <row r="8" spans="1:29" ht="15.75" x14ac:dyDescent="0.25">
      <c r="A8" s="43" t="s">
        <v>27</v>
      </c>
      <c r="M8" s="82"/>
      <c r="N8" s="82"/>
      <c r="O8" s="78"/>
      <c r="P8" s="78"/>
      <c r="T8" s="118" t="s">
        <v>79</v>
      </c>
      <c r="U8" s="118"/>
      <c r="V8" s="118"/>
      <c r="W8" s="118"/>
      <c r="X8" s="118"/>
      <c r="Y8" s="118"/>
    </row>
    <row r="9" spans="1:29" ht="16.5" thickBot="1" x14ac:dyDescent="0.3">
      <c r="A9" s="43"/>
      <c r="B9" s="41" t="s">
        <v>25</v>
      </c>
      <c r="C9" s="81">
        <f>1-0.216</f>
        <v>0.78400000000000003</v>
      </c>
      <c r="D9" s="41"/>
      <c r="E9" s="81">
        <f>1+0.216</f>
        <v>1.216</v>
      </c>
      <c r="F9" s="81"/>
      <c r="G9" s="81"/>
      <c r="H9" s="1"/>
      <c r="I9" s="1"/>
      <c r="J9" s="1"/>
      <c r="K9" s="1"/>
      <c r="L9" s="1"/>
      <c r="M9" s="1"/>
      <c r="N9" s="1"/>
      <c r="O9" s="1"/>
      <c r="P9" s="1"/>
      <c r="T9" s="118" t="s">
        <v>78</v>
      </c>
      <c r="U9" s="118"/>
      <c r="V9" s="118"/>
      <c r="W9" s="118"/>
      <c r="X9" s="118"/>
      <c r="Y9" s="118"/>
      <c r="Z9" s="114"/>
      <c r="AA9" s="114"/>
      <c r="AB9" s="1"/>
    </row>
    <row r="10" spans="1:29" ht="21.75" thickTop="1" thickBot="1" x14ac:dyDescent="0.35">
      <c r="B10" s="80"/>
      <c r="C10" s="79"/>
      <c r="D10" s="80"/>
      <c r="E10" s="79"/>
      <c r="F10" s="79"/>
      <c r="G10" s="79"/>
      <c r="H10" s="1"/>
      <c r="I10" s="1"/>
      <c r="J10" s="1"/>
      <c r="K10" s="1"/>
      <c r="L10" s="1"/>
      <c r="M10" s="1"/>
      <c r="N10" s="1"/>
      <c r="O10" s="1"/>
      <c r="P10" s="1"/>
      <c r="T10" s="119" t="s">
        <v>77</v>
      </c>
      <c r="U10" s="120"/>
      <c r="V10" s="120"/>
      <c r="W10" s="120"/>
      <c r="X10" s="120"/>
      <c r="Y10" s="121"/>
      <c r="Z10" s="78"/>
      <c r="AA10" s="78"/>
      <c r="AB10" s="1"/>
    </row>
    <row r="11" spans="1:29" s="36" customFormat="1" ht="112.5" customHeight="1" thickTop="1" x14ac:dyDescent="0.25">
      <c r="B11" s="73" t="s">
        <v>76</v>
      </c>
      <c r="C11" s="77" t="s">
        <v>75</v>
      </c>
      <c r="D11" s="73" t="s">
        <v>74</v>
      </c>
      <c r="E11" s="73" t="s">
        <v>73</v>
      </c>
      <c r="F11" s="77" t="s">
        <v>72</v>
      </c>
      <c r="G11" s="77" t="s">
        <v>71</v>
      </c>
      <c r="H11" s="77" t="s">
        <v>70</v>
      </c>
      <c r="I11" s="77" t="s">
        <v>69</v>
      </c>
      <c r="J11" s="77" t="s">
        <v>68</v>
      </c>
      <c r="K11" s="74" t="s">
        <v>67</v>
      </c>
      <c r="L11" s="37" t="s">
        <v>66</v>
      </c>
      <c r="M11" s="76" t="s">
        <v>65</v>
      </c>
      <c r="N11" s="76" t="s">
        <v>64</v>
      </c>
      <c r="O11" s="76" t="s">
        <v>63</v>
      </c>
      <c r="P11" s="76" t="s">
        <v>62</v>
      </c>
      <c r="Q11" s="37" t="s">
        <v>61</v>
      </c>
      <c r="R11" s="39" t="s">
        <v>60</v>
      </c>
      <c r="S11" s="37" t="s">
        <v>59</v>
      </c>
      <c r="T11" s="72" t="s">
        <v>58</v>
      </c>
      <c r="U11" s="72" t="s">
        <v>57</v>
      </c>
      <c r="V11" s="72" t="s">
        <v>56</v>
      </c>
      <c r="W11" s="72" t="s">
        <v>55</v>
      </c>
      <c r="X11" s="72" t="s">
        <v>54</v>
      </c>
      <c r="Y11" s="72" t="s">
        <v>53</v>
      </c>
      <c r="Z11" s="39" t="s">
        <v>52</v>
      </c>
      <c r="AA11" s="39" t="s">
        <v>51</v>
      </c>
      <c r="AB11" s="73" t="s">
        <v>50</v>
      </c>
      <c r="AC11" s="75" t="s">
        <v>49</v>
      </c>
    </row>
    <row r="12" spans="1:29" s="36" customFormat="1" ht="15.75" x14ac:dyDescent="0.25">
      <c r="A12" s="38" t="s">
        <v>15</v>
      </c>
      <c r="B12" s="37" t="s">
        <v>14</v>
      </c>
      <c r="C12" s="37" t="s">
        <v>14</v>
      </c>
      <c r="D12" s="37" t="s">
        <v>14</v>
      </c>
      <c r="E12" s="37" t="s">
        <v>14</v>
      </c>
      <c r="F12" s="37" t="s">
        <v>14</v>
      </c>
      <c r="G12" s="37" t="s">
        <v>14</v>
      </c>
      <c r="H12" s="37" t="s">
        <v>14</v>
      </c>
      <c r="I12" s="37" t="s">
        <v>14</v>
      </c>
      <c r="J12" s="37" t="s">
        <v>14</v>
      </c>
      <c r="K12" s="74" t="s">
        <v>14</v>
      </c>
      <c r="L12" s="37" t="s">
        <v>14</v>
      </c>
      <c r="M12" s="37" t="s">
        <v>14</v>
      </c>
      <c r="N12" s="37" t="s">
        <v>14</v>
      </c>
      <c r="O12" s="37" t="s">
        <v>14</v>
      </c>
      <c r="P12" s="37" t="s">
        <v>14</v>
      </c>
      <c r="Q12" s="37" t="s">
        <v>14</v>
      </c>
      <c r="R12" s="37" t="s">
        <v>14</v>
      </c>
      <c r="S12" s="37" t="s">
        <v>14</v>
      </c>
      <c r="T12" s="72" t="s">
        <v>48</v>
      </c>
      <c r="U12" s="72" t="s">
        <v>48</v>
      </c>
      <c r="V12" s="72" t="s">
        <v>48</v>
      </c>
      <c r="W12" s="72" t="s">
        <v>48</v>
      </c>
      <c r="X12" s="72" t="s">
        <v>48</v>
      </c>
      <c r="Y12" s="72" t="s">
        <v>48</v>
      </c>
      <c r="Z12" s="37" t="s">
        <v>14</v>
      </c>
      <c r="AA12" s="37" t="s">
        <v>48</v>
      </c>
      <c r="AB12" s="73" t="s">
        <v>14</v>
      </c>
      <c r="AC12" s="72" t="s">
        <v>14</v>
      </c>
    </row>
    <row r="13" spans="1:29" ht="15.75" x14ac:dyDescent="0.25">
      <c r="A13" s="13">
        <v>41275</v>
      </c>
      <c r="B13" s="69">
        <v>3.4693411405589898</v>
      </c>
      <c r="C13" s="69">
        <v>3.47442538832698</v>
      </c>
      <c r="D13" s="69">
        <v>3.5918799851734899</v>
      </c>
      <c r="E13" s="69">
        <v>3.62563976038513</v>
      </c>
      <c r="F13" s="69">
        <v>3.4827097294503502</v>
      </c>
      <c r="G13" s="69">
        <v>3.4975364689593298</v>
      </c>
      <c r="H13" s="69">
        <v>3.6145177663942398</v>
      </c>
      <c r="I13" s="69">
        <v>3.5091919375943799</v>
      </c>
      <c r="J13" s="69">
        <v>3.4753097294503501</v>
      </c>
      <c r="K13" s="71"/>
      <c r="L13" s="69">
        <v>4.2015177663942396</v>
      </c>
      <c r="M13" s="69">
        <v>3.4510577257516601</v>
      </c>
      <c r="N13" s="69">
        <v>3.46575112309643</v>
      </c>
      <c r="O13" s="69">
        <v>3.5890138150970801</v>
      </c>
      <c r="P13" s="69">
        <v>3.4845926581983502</v>
      </c>
      <c r="Q13" s="69">
        <v>4.1837138150970796</v>
      </c>
      <c r="R13" s="69">
        <v>4.7811730996348203</v>
      </c>
      <c r="S13" s="69">
        <v>3.3547069680724899</v>
      </c>
      <c r="T13" s="70">
        <v>29.034112</v>
      </c>
      <c r="U13" s="70">
        <v>12.063650000000001</v>
      </c>
      <c r="V13" s="70">
        <v>4.9444999999999997</v>
      </c>
      <c r="W13" s="70">
        <v>0.56798199999999999</v>
      </c>
      <c r="X13" s="70">
        <v>0</v>
      </c>
      <c r="Y13" s="70">
        <v>0.39</v>
      </c>
      <c r="Z13" s="69">
        <v>3.49160559679886</v>
      </c>
      <c r="AA13" s="68">
        <v>0.78900000000000003</v>
      </c>
      <c r="AB13" s="67">
        <v>3.5128713827202498</v>
      </c>
      <c r="AC13" s="66">
        <v>3.5263496753376899</v>
      </c>
    </row>
    <row r="14" spans="1:29" ht="15.75" x14ac:dyDescent="0.25">
      <c r="A14" s="13">
        <v>41306</v>
      </c>
      <c r="B14" s="14">
        <v>3.3373871192168498</v>
      </c>
      <c r="C14" s="14">
        <v>3.34247136698484</v>
      </c>
      <c r="D14" s="14">
        <v>3.4274416903447098</v>
      </c>
      <c r="E14" s="14">
        <v>3.4612014655563499</v>
      </c>
      <c r="F14" s="14">
        <v>3.32921003516193</v>
      </c>
      <c r="G14" s="14">
        <v>3.3428860878936399</v>
      </c>
      <c r="H14" s="14">
        <v>3.4500794715654499</v>
      </c>
      <c r="I14" s="14">
        <v>3.3623461586604102</v>
      </c>
      <c r="J14" s="14">
        <v>3.32181003516193</v>
      </c>
      <c r="K14" s="53"/>
      <c r="L14" s="14">
        <v>4.0370794715654501</v>
      </c>
      <c r="M14" s="14">
        <v>3.2989385090408998</v>
      </c>
      <c r="N14" s="14">
        <v>3.3124915681456</v>
      </c>
      <c r="O14" s="14">
        <v>3.42605437258766</v>
      </c>
      <c r="P14" s="14">
        <v>3.3390715772188799</v>
      </c>
      <c r="Q14" s="14">
        <v>4.0207543725876604</v>
      </c>
      <c r="R14" s="14">
        <v>4.6178062585191304</v>
      </c>
      <c r="S14" s="14">
        <v>3.2267511535770201</v>
      </c>
      <c r="T14" s="57">
        <v>26.280478500000001</v>
      </c>
      <c r="U14" s="57">
        <v>10.8962</v>
      </c>
      <c r="V14" s="57">
        <v>4.4660000000000002</v>
      </c>
      <c r="W14" s="57">
        <v>0.51301600000000003</v>
      </c>
      <c r="X14" s="57">
        <v>0</v>
      </c>
      <c r="Y14" s="57">
        <v>0.39</v>
      </c>
      <c r="Z14" s="14">
        <v>3.3376078337533501</v>
      </c>
      <c r="AA14" s="56">
        <v>0.78900000000000003</v>
      </c>
      <c r="AB14" s="50">
        <v>3.3650754313211002</v>
      </c>
      <c r="AC14" s="45">
        <v>3.36964273692133</v>
      </c>
    </row>
    <row r="15" spans="1:29" ht="15.75" x14ac:dyDescent="0.25">
      <c r="A15" s="13">
        <v>41334</v>
      </c>
      <c r="B15" s="14">
        <v>3.5446221553058099</v>
      </c>
      <c r="C15" s="14">
        <v>3.5497064030738099</v>
      </c>
      <c r="D15" s="14">
        <v>3.6259111288261701</v>
      </c>
      <c r="E15" s="14">
        <v>3.6596709040378101</v>
      </c>
      <c r="F15" s="14">
        <v>3.5438843996438298</v>
      </c>
      <c r="G15" s="14">
        <v>3.5577092992119201</v>
      </c>
      <c r="H15" s="14">
        <v>3.6485489100469102</v>
      </c>
      <c r="I15" s="14">
        <v>3.55729372718785</v>
      </c>
      <c r="J15" s="14">
        <v>3.5364843996438302</v>
      </c>
      <c r="K15" s="53"/>
      <c r="L15" s="14">
        <v>4.2355489100469104</v>
      </c>
      <c r="M15" s="14">
        <v>3.5116822302857602</v>
      </c>
      <c r="N15" s="14">
        <v>3.5253827975940699</v>
      </c>
      <c r="O15" s="14">
        <v>3.6227389045196601</v>
      </c>
      <c r="P15" s="14">
        <v>3.5322605208328999</v>
      </c>
      <c r="Q15" s="14">
        <v>4.2174389045196596</v>
      </c>
      <c r="R15" s="14">
        <v>4.8149825017809604</v>
      </c>
      <c r="S15" s="14">
        <v>3.4277069680724899</v>
      </c>
      <c r="T15" s="57">
        <v>29.128712</v>
      </c>
      <c r="U15" s="57">
        <v>12.063650000000001</v>
      </c>
      <c r="V15" s="57">
        <v>4.9444999999999997</v>
      </c>
      <c r="W15" s="57">
        <v>0.71033400000000002</v>
      </c>
      <c r="X15" s="57">
        <v>0</v>
      </c>
      <c r="Y15" s="57">
        <v>0.39</v>
      </c>
      <c r="Z15" s="14">
        <v>3.51872944531473</v>
      </c>
      <c r="AA15" s="56">
        <v>0.78900000000000003</v>
      </c>
      <c r="AB15" s="50">
        <v>3.5712349617297399</v>
      </c>
      <c r="AC15" s="45">
        <v>3.5713699258364802</v>
      </c>
    </row>
    <row r="16" spans="1:29" ht="15.75" x14ac:dyDescent="0.25">
      <c r="A16" s="13">
        <v>41365</v>
      </c>
      <c r="B16" s="14">
        <v>4.1484240687378904</v>
      </c>
      <c r="C16" s="14">
        <v>4.1529056348026501</v>
      </c>
      <c r="D16" s="14">
        <v>4.3764270426620504</v>
      </c>
      <c r="E16" s="14">
        <v>4.4085325011284802</v>
      </c>
      <c r="F16" s="14">
        <v>4.15877359890011</v>
      </c>
      <c r="G16" s="14">
        <v>4.1735123563116101</v>
      </c>
      <c r="H16" s="14">
        <v>4.3983177600115999</v>
      </c>
      <c r="I16" s="14">
        <v>4.1790239832917297</v>
      </c>
      <c r="J16" s="14">
        <v>4.1517735989001103</v>
      </c>
      <c r="K16" s="53"/>
      <c r="L16" s="14">
        <v>4.9853177600115997</v>
      </c>
      <c r="M16" s="14">
        <v>4.0847896384088997</v>
      </c>
      <c r="N16" s="14">
        <v>4.09926329400085</v>
      </c>
      <c r="O16" s="14">
        <v>4.3268992801176704</v>
      </c>
      <c r="P16" s="14">
        <v>4.1113948289032702</v>
      </c>
      <c r="Q16" s="14">
        <v>4.92159928011767</v>
      </c>
      <c r="R16" s="14">
        <v>5.5209032783179701</v>
      </c>
      <c r="S16" s="14">
        <v>3.9769278955951401</v>
      </c>
      <c r="T16" s="57">
        <v>29.897007500000001</v>
      </c>
      <c r="U16" s="57">
        <v>11.6745</v>
      </c>
      <c r="V16" s="57">
        <v>4.7850000000000001</v>
      </c>
      <c r="W16" s="57">
        <v>0.68742000000000003</v>
      </c>
      <c r="X16" s="57">
        <v>0.77903628000000003</v>
      </c>
      <c r="Y16" s="57">
        <v>0.4</v>
      </c>
      <c r="Z16" s="14">
        <v>4.09674472425296</v>
      </c>
      <c r="AA16" s="56">
        <v>0.78900000000000003</v>
      </c>
      <c r="AB16" s="50">
        <v>4.2271001079906796</v>
      </c>
      <c r="AC16" s="45">
        <v>4.1729811830449197</v>
      </c>
    </row>
    <row r="17" spans="1:29" ht="15.75" x14ac:dyDescent="0.25">
      <c r="A17" s="13">
        <v>41395</v>
      </c>
      <c r="B17" s="14">
        <v>4.3329812441523696</v>
      </c>
      <c r="C17" s="14">
        <v>4.3410072762624203</v>
      </c>
      <c r="D17" s="14">
        <v>4.5615906242399502</v>
      </c>
      <c r="E17" s="14">
        <v>4.5930548614354496</v>
      </c>
      <c r="F17" s="14">
        <v>4.3524466929221504</v>
      </c>
      <c r="G17" s="14">
        <v>4.3691468189663398</v>
      </c>
      <c r="H17" s="14">
        <v>4.5816875175305896</v>
      </c>
      <c r="I17" s="14">
        <v>4.36869293934142</v>
      </c>
      <c r="J17" s="14">
        <v>4.3454466929221498</v>
      </c>
      <c r="K17" s="53"/>
      <c r="L17" s="14">
        <v>5.1686875175305902</v>
      </c>
      <c r="M17" s="14">
        <v>4.2749791898098</v>
      </c>
      <c r="N17" s="14">
        <v>4.2913789354570904</v>
      </c>
      <c r="O17" s="14">
        <v>4.5069708181861499</v>
      </c>
      <c r="P17" s="14">
        <v>4.2976358181395602</v>
      </c>
      <c r="Q17" s="14">
        <v>5.1016708181861503</v>
      </c>
      <c r="R17" s="14">
        <v>5.7014249952316103</v>
      </c>
      <c r="S17" s="14">
        <v>4.1529278955951403</v>
      </c>
      <c r="T17" s="59">
        <v>31.3819585</v>
      </c>
      <c r="U17" s="57">
        <v>12.063650000000001</v>
      </c>
      <c r="V17" s="57">
        <v>4.9444999999999997</v>
      </c>
      <c r="W17" s="57">
        <v>0.71033400000000002</v>
      </c>
      <c r="X17" s="57">
        <v>0.80500415599999997</v>
      </c>
      <c r="Y17" s="57">
        <v>0.4</v>
      </c>
      <c r="Z17" s="14">
        <v>4.2804704151434398</v>
      </c>
      <c r="AA17" s="56">
        <v>0.78900000000000003</v>
      </c>
      <c r="AB17" s="50">
        <v>4.4132889274089298</v>
      </c>
      <c r="AC17" s="45">
        <v>4.3595139595638903</v>
      </c>
    </row>
    <row r="18" spans="1:29" ht="15.75" x14ac:dyDescent="0.25">
      <c r="A18" s="13">
        <v>41426</v>
      </c>
      <c r="B18" s="14">
        <v>4.32881848007702</v>
      </c>
      <c r="C18" s="14">
        <v>4.3368445121870796</v>
      </c>
      <c r="D18" s="14">
        <v>4.4403501205455003</v>
      </c>
      <c r="E18" s="14">
        <v>4.4718143577409899</v>
      </c>
      <c r="F18" s="14">
        <v>4.3429599926592797</v>
      </c>
      <c r="G18" s="14">
        <v>4.35962830355016</v>
      </c>
      <c r="H18" s="14">
        <v>4.4604470138361396</v>
      </c>
      <c r="I18" s="14">
        <v>4.3634731878015902</v>
      </c>
      <c r="J18" s="14">
        <v>4.33595999265928</v>
      </c>
      <c r="K18" s="53"/>
      <c r="L18" s="14">
        <v>5.0474470138361403</v>
      </c>
      <c r="M18" s="14">
        <v>4.2548110264488299</v>
      </c>
      <c r="N18" s="14">
        <v>4.2711378153734403</v>
      </c>
      <c r="O18" s="14">
        <v>4.3767473961214503</v>
      </c>
      <c r="P18" s="14">
        <v>4.2815661713651796</v>
      </c>
      <c r="Q18" s="14">
        <v>4.9714473961214498</v>
      </c>
      <c r="R18" s="14">
        <v>5.57087601461176</v>
      </c>
      <c r="S18" s="14">
        <v>4.1489278955951399</v>
      </c>
      <c r="T18" s="59">
        <v>30.856738499999999</v>
      </c>
      <c r="U18" s="57">
        <v>11.6745</v>
      </c>
      <c r="V18" s="57">
        <v>4.7850000000000001</v>
      </c>
      <c r="W18" s="57">
        <v>0.68742000000000003</v>
      </c>
      <c r="X18" s="57">
        <v>0.77903628000000003</v>
      </c>
      <c r="Y18" s="57">
        <v>0.4</v>
      </c>
      <c r="Z18" s="14">
        <v>4.2635819811618703</v>
      </c>
      <c r="AA18" s="56">
        <v>0.78900000000000003</v>
      </c>
      <c r="AB18" s="50">
        <v>4.3736763494942696</v>
      </c>
      <c r="AC18" s="45">
        <v>4.30270998477351</v>
      </c>
    </row>
    <row r="19" spans="1:29" ht="15.75" x14ac:dyDescent="0.25">
      <c r="A19" s="13">
        <v>41456</v>
      </c>
      <c r="B19" s="14">
        <v>3.86987374077012</v>
      </c>
      <c r="C19" s="14">
        <v>3.8778997728801801</v>
      </c>
      <c r="D19" s="14">
        <v>4.0828727555751598</v>
      </c>
      <c r="E19" s="14">
        <v>4.1143369927706503</v>
      </c>
      <c r="F19" s="14">
        <v>3.8837475175894101</v>
      </c>
      <c r="G19" s="14">
        <v>3.9003451281395698</v>
      </c>
      <c r="H19" s="14">
        <v>4.1029696488658001</v>
      </c>
      <c r="I19" s="14">
        <v>3.9057009777587899</v>
      </c>
      <c r="J19" s="14">
        <v>3.8767475175894099</v>
      </c>
      <c r="K19" s="53"/>
      <c r="L19" s="14">
        <v>4.6899696488657998</v>
      </c>
      <c r="M19" s="14">
        <v>3.8050074919996599</v>
      </c>
      <c r="N19" s="14">
        <v>3.8212650291838099</v>
      </c>
      <c r="O19" s="14">
        <v>4.0265944909226699</v>
      </c>
      <c r="P19" s="14">
        <v>3.83320216318522</v>
      </c>
      <c r="Q19" s="14">
        <v>4.6212944909226703</v>
      </c>
      <c r="R19" s="14">
        <v>5.2198477271499799</v>
      </c>
      <c r="S19" s="14">
        <v>3.70792789559514</v>
      </c>
      <c r="T19" s="59">
        <v>31.8711175</v>
      </c>
      <c r="U19" s="57">
        <v>12.063650000000001</v>
      </c>
      <c r="V19" s="57">
        <v>4.9444999999999997</v>
      </c>
      <c r="W19" s="57">
        <v>0.71033400000000002</v>
      </c>
      <c r="X19" s="57">
        <v>0.80500415599999997</v>
      </c>
      <c r="Y19" s="57">
        <v>0.4</v>
      </c>
      <c r="Z19" s="14">
        <v>3.82345915618746</v>
      </c>
      <c r="AA19" s="56">
        <v>0.78900000000000003</v>
      </c>
      <c r="AB19" s="50">
        <v>3.9441061076992199</v>
      </c>
      <c r="AC19" s="45">
        <v>3.8867964363558598</v>
      </c>
    </row>
    <row r="20" spans="1:29" ht="15.75" x14ac:dyDescent="0.25">
      <c r="A20" s="13">
        <v>41487</v>
      </c>
      <c r="B20" s="14">
        <v>3.61219621921822</v>
      </c>
      <c r="C20" s="14">
        <v>3.62022225132828</v>
      </c>
      <c r="D20" s="14">
        <v>3.8642211472296299</v>
      </c>
      <c r="E20" s="14">
        <v>3.89568538442512</v>
      </c>
      <c r="F20" s="14">
        <v>3.5994463096042302</v>
      </c>
      <c r="G20" s="14">
        <v>3.6149235738804899</v>
      </c>
      <c r="H20" s="14">
        <v>3.88431804052026</v>
      </c>
      <c r="I20" s="14">
        <v>3.6247715170016899</v>
      </c>
      <c r="J20" s="14">
        <v>3.5924463096042301</v>
      </c>
      <c r="K20" s="53"/>
      <c r="L20" s="14">
        <v>4.4713180405202602</v>
      </c>
      <c r="M20" s="14">
        <v>3.5265314157988898</v>
      </c>
      <c r="N20" s="14">
        <v>3.5416915618162701</v>
      </c>
      <c r="O20" s="14">
        <v>3.8124229002404899</v>
      </c>
      <c r="P20" s="14">
        <v>3.5580464060694501</v>
      </c>
      <c r="Q20" s="14">
        <v>4.4071229002404904</v>
      </c>
      <c r="R20" s="14">
        <v>5.0051407074910896</v>
      </c>
      <c r="S20" s="14">
        <v>3.4603255651359199</v>
      </c>
      <c r="T20" s="59">
        <v>31.898197499999998</v>
      </c>
      <c r="U20" s="57">
        <v>12.063650000000001</v>
      </c>
      <c r="V20" s="57">
        <v>4.9444999999999997</v>
      </c>
      <c r="W20" s="57">
        <v>0.71033400000000002</v>
      </c>
      <c r="X20" s="57">
        <v>0.80500415599999997</v>
      </c>
      <c r="Y20" s="57">
        <v>0.4</v>
      </c>
      <c r="Z20" s="14">
        <v>3.56235134609613</v>
      </c>
      <c r="AA20" s="56">
        <v>0.78900000000000003</v>
      </c>
      <c r="AB20" s="50">
        <v>3.68846444556352</v>
      </c>
      <c r="AC20" s="45">
        <v>3.6303518696016499</v>
      </c>
    </row>
    <row r="21" spans="1:29" ht="15.75" x14ac:dyDescent="0.25">
      <c r="A21" s="13">
        <v>41518</v>
      </c>
      <c r="B21" s="14">
        <v>3.7240390477598302</v>
      </c>
      <c r="C21" s="14">
        <v>3.73206507986988</v>
      </c>
      <c r="D21" s="14">
        <v>3.84337587086958</v>
      </c>
      <c r="E21" s="14">
        <v>3.8748401080650701</v>
      </c>
      <c r="F21" s="14">
        <v>3.6972945687336201</v>
      </c>
      <c r="G21" s="14">
        <v>3.71166810468806</v>
      </c>
      <c r="H21" s="14">
        <v>3.8634727641602198</v>
      </c>
      <c r="I21" s="14">
        <v>3.7040801859082899</v>
      </c>
      <c r="J21" s="14">
        <v>3.6902945687336199</v>
      </c>
      <c r="K21" s="53"/>
      <c r="L21" s="14">
        <v>4.45047276416022</v>
      </c>
      <c r="M21" s="14">
        <v>3.6223748329216501</v>
      </c>
      <c r="N21" s="14">
        <v>3.6364538652341998</v>
      </c>
      <c r="O21" s="14">
        <v>3.79200472893125</v>
      </c>
      <c r="P21" s="14">
        <v>3.6357251115353302</v>
      </c>
      <c r="Q21" s="14">
        <v>4.3867047289312504</v>
      </c>
      <c r="R21" s="14">
        <v>4.9846714907535699</v>
      </c>
      <c r="S21" s="14">
        <v>3.5677953390815502</v>
      </c>
      <c r="T21" s="59">
        <v>30.851674500000001</v>
      </c>
      <c r="U21" s="57">
        <v>11.6745</v>
      </c>
      <c r="V21" s="57">
        <v>4.7850000000000001</v>
      </c>
      <c r="W21" s="57">
        <v>0.68742000000000003</v>
      </c>
      <c r="X21" s="57">
        <v>0.77903628000000003</v>
      </c>
      <c r="Y21" s="57">
        <v>0.4</v>
      </c>
      <c r="Z21" s="14">
        <v>3.6431801832973898</v>
      </c>
      <c r="AA21" s="65">
        <v>0.84254499999999999</v>
      </c>
      <c r="AB21" s="50">
        <v>3.7554789789046401</v>
      </c>
      <c r="AC21" s="45">
        <v>3.6840835196858599</v>
      </c>
    </row>
    <row r="22" spans="1:29" ht="15.75" x14ac:dyDescent="0.25">
      <c r="A22" s="13">
        <v>41548</v>
      </c>
      <c r="B22" s="14">
        <f>CHOOSE(CONTROL!$C$42, 3.8253, 3.8253) * CHOOSE(CONTROL!$C$21, $C$9, 100%, $E$9)</f>
        <v>3.8252999999999999</v>
      </c>
      <c r="C22" s="14">
        <f>CHOOSE(CONTROL!$C$42, 3.8306, 3.8306) * CHOOSE(CONTROL!$C$21, $C$9, 100%, $E$9)</f>
        <v>3.8306</v>
      </c>
      <c r="D22" s="14">
        <f>CHOOSE(CONTROL!$C$42, 3.9313, 3.9313) * CHOOSE(CONTROL!$C$21, $C$9, 100%, $E$9)</f>
        <v>3.9312999999999998</v>
      </c>
      <c r="E22" s="14">
        <f>CHOOSE(CONTROL!$C$42, 3.9604, 3.9604) * CHOOSE(CONTROL!$C$21, $C$9, 100%, $E$9)</f>
        <v>3.9603999999999999</v>
      </c>
      <c r="F22" s="14">
        <f>CHOOSE(CONTROL!$C$42, 3.8197, 3.8197)*CHOOSE(CONTROL!$C$21, $C$9, 100%, $E$9)</f>
        <v>3.8197000000000001</v>
      </c>
      <c r="G22" s="14">
        <f>CHOOSE(CONTROL!$C$42, 3.835, 3.835)*CHOOSE(CONTROL!$C$21, $C$9, 100%, $E$9)</f>
        <v>3.835</v>
      </c>
      <c r="H22" s="14">
        <f>CHOOSE(CONTROL!$C$42, 3.9509, 3.9509) * CHOOSE(CONTROL!$C$21, $C$9, 100%, $E$9)</f>
        <v>3.9508999999999999</v>
      </c>
      <c r="I22" s="14">
        <f>CHOOSE(CONTROL!$C$42, 3.8137, 3.8137)* CHOOSE(CONTROL!$C$21, $C$9, 100%, $E$9)</f>
        <v>3.8136999999999999</v>
      </c>
      <c r="J22" s="14">
        <f>CHOOSE(CONTROL!$C$42, 3.8127, 3.8127)* CHOOSE(CONTROL!$C$21, $C$9, 100%, $E$9)</f>
        <v>3.8127</v>
      </c>
      <c r="K22" s="53"/>
      <c r="L22" s="14">
        <f>CHOOSE(CONTROL!$C$42, 4.5379, 4.5379) * CHOOSE(CONTROL!$C$21, $C$9, 100%, $E$9)</f>
        <v>4.5378999999999996</v>
      </c>
      <c r="M22" s="14">
        <f>CHOOSE(CONTROL!$C$42, 3.7423, 3.7423) * CHOOSE(CONTROL!$C$21, $C$9, 100%, $E$9)</f>
        <v>3.7423000000000002</v>
      </c>
      <c r="N22" s="14">
        <f>CHOOSE(CONTROL!$C$42, 3.7572, 3.7572) * CHOOSE(CONTROL!$C$21, $C$9, 100%, $E$9)</f>
        <v>3.7572000000000001</v>
      </c>
      <c r="O22" s="14">
        <f>CHOOSE(CONTROL!$C$42, 3.8776, 3.8776) * CHOOSE(CONTROL!$C$21, $C$9, 100%, $E$9)</f>
        <v>3.8776000000000002</v>
      </c>
      <c r="P22" s="14">
        <f>CHOOSE(CONTROL!$C$42, 3.7431, 3.7431) * CHOOSE(CONTROL!$C$21, $C$9, 100%, $E$9)</f>
        <v>3.7431000000000001</v>
      </c>
      <c r="Q22" s="14">
        <f>CHOOSE(CONTROL!$C$42, 4.4723, 4.4723) * CHOOSE(CONTROL!$C$21, $C$9, 100%, $E$9)</f>
        <v>4.4722999999999997</v>
      </c>
      <c r="R22" s="14">
        <f>CHOOSE(CONTROL!$C$42, 5.0705, 5.0705) * CHOOSE(CONTROL!$C$21, $C$9, 100%, $E$9)</f>
        <v>5.0705</v>
      </c>
      <c r="S22" s="14">
        <f>CHOOSE(CONTROL!$C$42, 3.6668, 3.6668) * CHOOSE(CONTROL!$C$21, $C$9, 100%, $E$9)</f>
        <v>3.6667999999999998</v>
      </c>
      <c r="T22" s="57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2" s="57">
        <f>(1000*CHOOSE(CONTROL!$C$42, 695, 695)*CHOOSE(CONTROL!$C$42, 0.5599, 0.5599)*CHOOSE(CONTROL!$C$42, 31, 31))/1000000</f>
        <v>12.063045499999998</v>
      </c>
      <c r="V22" s="57">
        <f>(1000*CHOOSE(CONTROL!$C$42, 580, 580)*CHOOSE(CONTROL!$C$42, 0.275, 0.275)*CHOOSE(CONTROL!$C$42, 31, 31))/1000000</f>
        <v>4.9444999999999997</v>
      </c>
      <c r="W22" s="57">
        <f>(1000*CHOOSE(CONTROL!$C$42, 0.1146, 0.1146)*CHOOSE(CONTROL!$C$42, 200, 200)*CHOOSE(CONTROL!$C$42, 31, 31))/1000000</f>
        <v>0.71052000000000004</v>
      </c>
      <c r="X22" s="57">
        <f>31*0.1790888*145000/1000000</f>
        <v>0.80500415599999997</v>
      </c>
      <c r="Y22" s="57">
        <f t="shared" ref="Y22:Y27" si="0">(0.16*2500000)/1000000</f>
        <v>0.4</v>
      </c>
      <c r="Z22" s="14">
        <f>CHOOSE(CONTROL!$C$42, 3.7507, 3.7507) * CHOOSE(CONTROL!$C$21, $C$9, 100%, $E$9)</f>
        <v>3.7507000000000001</v>
      </c>
      <c r="AA22" s="65">
        <f>(31*((6.43*31500+6.4*100000)/31))/1000000</f>
        <v>0.84254499999999999</v>
      </c>
      <c r="AB22" s="50">
        <f>(B22*131.881+C22*277.167+D22*79.08+E22*285.872+F22*40+G22*25+H22*0+I22*100+J22*300)/(131.881+277.167+79.08+285.872+0+40+25+100+300)</f>
        <v>3.8604503408393867</v>
      </c>
      <c r="AC22" s="45">
        <f>(M22*240+N22*120+O22*235+P22*100)/(240+120+235+100)</f>
        <v>3.7907366906474818</v>
      </c>
    </row>
    <row r="23" spans="1:29" ht="15.75" x14ac:dyDescent="0.25">
      <c r="A23" s="13">
        <v>41579</v>
      </c>
      <c r="B23" s="14">
        <f>CHOOSE(CONTROL!$C$42, 3.9227, 3.9227) * CHOOSE(CONTROL!$C$21, $C$9, 100%, $E$9)</f>
        <v>3.9226999999999999</v>
      </c>
      <c r="C23" s="14">
        <f>CHOOSE(CONTROL!$C$42, 3.9278, 3.9278) * CHOOSE(CONTROL!$C$21, $C$9, 100%, $E$9)</f>
        <v>3.9278</v>
      </c>
      <c r="D23" s="14">
        <f>CHOOSE(CONTROL!$C$42, 3.9864, 3.9864) * CHOOSE(CONTROL!$C$21, $C$9, 100%, $E$9)</f>
        <v>3.9864000000000002</v>
      </c>
      <c r="E23" s="14">
        <f>CHOOSE(CONTROL!$C$42, 4.0205, 4.0205) * CHOOSE(CONTROL!$C$21, $C$9, 100%, $E$9)</f>
        <v>4.0205000000000002</v>
      </c>
      <c r="F23" s="14">
        <f>CHOOSE(CONTROL!$C$42, 3.9188, 3.9188)*CHOOSE(CONTROL!$C$21, $C$9, 100%, $E$9)</f>
        <v>3.9188000000000001</v>
      </c>
      <c r="G23" s="14">
        <f>CHOOSE(CONTROL!$C$42, 3.9344, 3.9344)*CHOOSE(CONTROL!$C$21, $C$9, 100%, $E$9)</f>
        <v>3.9344000000000001</v>
      </c>
      <c r="H23" s="14">
        <f>CHOOSE(CONTROL!$C$42, 4.0097, 4.0097) * CHOOSE(CONTROL!$C$21, $C$9, 100%, $E$9)</f>
        <v>4.0096999999999996</v>
      </c>
      <c r="I23" s="14">
        <f>CHOOSE(CONTROL!$C$42, 3.9452, 3.9452)* CHOOSE(CONTROL!$C$21, $C$9, 100%, $E$9)</f>
        <v>3.9451999999999998</v>
      </c>
      <c r="J23" s="14">
        <f>CHOOSE(CONTROL!$C$42, 3.9118, 3.9118)* CHOOSE(CONTROL!$C$21, $C$9, 100%, $E$9)</f>
        <v>3.9117999999999999</v>
      </c>
      <c r="K23" s="53"/>
      <c r="L23" s="14">
        <f>CHOOSE(CONTROL!$C$42, 4.5967, 4.5967) * CHOOSE(CONTROL!$C$21, $C$9, 100%, $E$9)</f>
        <v>4.5967000000000002</v>
      </c>
      <c r="M23" s="14">
        <f>CHOOSE(CONTROL!$C$42, 3.8394, 3.8394) * CHOOSE(CONTROL!$C$21, $C$9, 100%, $E$9)</f>
        <v>3.8393999999999999</v>
      </c>
      <c r="N23" s="14">
        <f>CHOOSE(CONTROL!$C$42, 3.8546, 3.8546) * CHOOSE(CONTROL!$C$21, $C$9, 100%, $E$9)</f>
        <v>3.8546</v>
      </c>
      <c r="O23" s="14">
        <f>CHOOSE(CONTROL!$C$42, 3.9352, 3.9352) * CHOOSE(CONTROL!$C$21, $C$9, 100%, $E$9)</f>
        <v>3.9352</v>
      </c>
      <c r="P23" s="14">
        <f>CHOOSE(CONTROL!$C$42, 3.8719, 3.8719) * CHOOSE(CONTROL!$C$21, $C$9, 100%, $E$9)</f>
        <v>3.8719000000000001</v>
      </c>
      <c r="Q23" s="14">
        <f>CHOOSE(CONTROL!$C$42, 4.5299, 4.5299) * CHOOSE(CONTROL!$C$21, $C$9, 100%, $E$9)</f>
        <v>4.5298999999999996</v>
      </c>
      <c r="R23" s="14">
        <f>CHOOSE(CONTROL!$C$42, 5.1283, 5.1283) * CHOOSE(CONTROL!$C$21, $C$9, 100%, $E$9)</f>
        <v>5.1283000000000003</v>
      </c>
      <c r="S23" s="14">
        <f>CHOOSE(CONTROL!$C$42, 3.7608, 3.7608) * CHOOSE(CONTROL!$C$21, $C$9, 100%, $E$9)</f>
        <v>3.7608000000000001</v>
      </c>
      <c r="T23" s="57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" s="57">
        <f>(1000*CHOOSE(CONTROL!$C$42, 695, 695)*CHOOSE(CONTROL!$C$42, 0.5599, 0.5599)*CHOOSE(CONTROL!$C$42, 30, 30))/1000000</f>
        <v>11.673914999999997</v>
      </c>
      <c r="V23" s="57">
        <f>(1000*CHOOSE(CONTROL!$C$42, 580, 580)*CHOOSE(CONTROL!$C$42, 0.275, 0.275)*CHOOSE(CONTROL!$C$42, 30, 30))/1000000</f>
        <v>4.7850000000000001</v>
      </c>
      <c r="W23" s="57">
        <f>(1000*CHOOSE(CONTROL!$C$42, 0.1146, 0.1146)*CHOOSE(CONTROL!$C$42, 200, 200)*CHOOSE(CONTROL!$C$42, 30, 30))/1000000</f>
        <v>0.68759999999999999</v>
      </c>
      <c r="X23" s="57">
        <v>0</v>
      </c>
      <c r="Y23" s="57">
        <f t="shared" si="0"/>
        <v>0.4</v>
      </c>
      <c r="Z23" s="14">
        <f>CHOOSE(CONTROL!$C$42, 3.8602, 3.8602) * CHOOSE(CONTROL!$C$21, $C$9, 100%, $E$9)</f>
        <v>3.8601999999999999</v>
      </c>
      <c r="AA23" s="64">
        <f>(30*((7.89*31500+7.95*100000)/30))/1000000</f>
        <v>1.0435350000000001</v>
      </c>
      <c r="AB23" s="50">
        <f>(B23*122.58+C23*297.941+D23*89.177+E23*200.302+F23*40+G23*0+H23*0+I23*100+J23*300)/(122.58+297.941+89.177+200.302+0+40+0+100+300)</f>
        <v>3.9449727040000004</v>
      </c>
      <c r="AC23" s="45">
        <f>(M23*240+N23*0+O23*355+P23*100)/(240+0+355+100)</f>
        <v>3.8930100719424465</v>
      </c>
    </row>
    <row r="24" spans="1:29" ht="15.75" x14ac:dyDescent="0.25">
      <c r="A24" s="13">
        <v>41609</v>
      </c>
      <c r="B24" s="14">
        <f>CHOOSE(CONTROL!$C$42, 4.0736, 4.0736) * CHOOSE(CONTROL!$C$21, $C$9, 100%, $E$9)</f>
        <v>4.0735999999999999</v>
      </c>
      <c r="C24" s="14">
        <f>CHOOSE(CONTROL!$C$42, 4.0787, 4.0787) * CHOOSE(CONTROL!$C$21, $C$9, 100%, $E$9)</f>
        <v>4.0787000000000004</v>
      </c>
      <c r="D24" s="14">
        <f>CHOOSE(CONTROL!$C$42, 4.1373, 4.1373) * CHOOSE(CONTROL!$C$21, $C$9, 100%, $E$9)</f>
        <v>4.1372999999999998</v>
      </c>
      <c r="E24" s="14">
        <f>CHOOSE(CONTROL!$C$42, 4.1714, 4.1714) * CHOOSE(CONTROL!$C$21, $C$9, 100%, $E$9)</f>
        <v>4.1714000000000002</v>
      </c>
      <c r="F24" s="14">
        <f>CHOOSE(CONTROL!$C$42, 4.0716, 4.0716)*CHOOSE(CONTROL!$C$21, $C$9, 100%, $E$9)</f>
        <v>4.0716000000000001</v>
      </c>
      <c r="G24" s="14">
        <f>CHOOSE(CONTROL!$C$42, 4.0877, 4.0877)*CHOOSE(CONTROL!$C$21, $C$9, 100%, $E$9)</f>
        <v>4.0876999999999999</v>
      </c>
      <c r="H24" s="14">
        <f>CHOOSE(CONTROL!$C$42, 4.1606, 4.1606) * CHOOSE(CONTROL!$C$21, $C$9, 100%, $E$9)</f>
        <v>4.1605999999999996</v>
      </c>
      <c r="I24" s="14">
        <f>CHOOSE(CONTROL!$C$42, 4.0966, 4.0966)* CHOOSE(CONTROL!$C$21, $C$9, 100%, $E$9)</f>
        <v>4.0965999999999996</v>
      </c>
      <c r="J24" s="14">
        <f>CHOOSE(CONTROL!$C$42, 4.0646, 4.0646)* CHOOSE(CONTROL!$C$21, $C$9, 100%, $E$9)</f>
        <v>4.0646000000000004</v>
      </c>
      <c r="K24" s="53"/>
      <c r="L24" s="14">
        <f>CHOOSE(CONTROL!$C$42, 4.7476, 4.7476) * CHOOSE(CONTROL!$C$21, $C$9, 100%, $E$9)</f>
        <v>4.7476000000000003</v>
      </c>
      <c r="M24" s="14">
        <f>CHOOSE(CONTROL!$C$42, 3.9891, 3.9891) * CHOOSE(CONTROL!$C$21, $C$9, 100%, $E$9)</f>
        <v>3.9891000000000001</v>
      </c>
      <c r="N24" s="14">
        <f>CHOOSE(CONTROL!$C$42, 4.0048, 4.0048) * CHOOSE(CONTROL!$C$21, $C$9, 100%, $E$9)</f>
        <v>4.0048000000000004</v>
      </c>
      <c r="O24" s="14">
        <f>CHOOSE(CONTROL!$C$42, 4.083, 4.083) * CHOOSE(CONTROL!$C$21, $C$9, 100%, $E$9)</f>
        <v>4.0830000000000002</v>
      </c>
      <c r="P24" s="14">
        <f>CHOOSE(CONTROL!$C$42, 4.0202, 4.0202) * CHOOSE(CONTROL!$C$21, $C$9, 100%, $E$9)</f>
        <v>4.0202</v>
      </c>
      <c r="Q24" s="14">
        <f>CHOOSE(CONTROL!$C$42, 4.6777, 4.6777) * CHOOSE(CONTROL!$C$21, $C$9, 100%, $E$9)</f>
        <v>4.6776999999999997</v>
      </c>
      <c r="R24" s="14">
        <f>CHOOSE(CONTROL!$C$42, 5.2764, 5.2764) * CHOOSE(CONTROL!$C$21, $C$9, 100%, $E$9)</f>
        <v>5.2763999999999998</v>
      </c>
      <c r="S24" s="14">
        <f>CHOOSE(CONTROL!$C$42, 3.9058, 3.9058) * CHOOSE(CONTROL!$C$21, $C$9, 100%, $E$9)</f>
        <v>3.9058000000000002</v>
      </c>
      <c r="T24" s="57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7">
        <f>(1000*CHOOSE(CONTROL!$C$42, 695, 695)*CHOOSE(CONTROL!$C$42, 0.5599, 0.5599)*CHOOSE(CONTROL!$C$42, 31, 31))/1000000</f>
        <v>12.063045499999998</v>
      </c>
      <c r="V24" s="57">
        <f>(1000*CHOOSE(CONTROL!$C$42, 580, 580)*CHOOSE(CONTROL!$C$42, 0.275, 0.275)*CHOOSE(CONTROL!$C$42, 31, 31))/1000000</f>
        <v>4.9444999999999997</v>
      </c>
      <c r="W24" s="57">
        <f>(1000*CHOOSE(CONTROL!$C$42, 0.1146, 0.1146)*CHOOSE(CONTROL!$C$42, 200, 200)*CHOOSE(CONTROL!$C$42, 31, 31))/1000000</f>
        <v>0.71052000000000004</v>
      </c>
      <c r="X24" s="57">
        <v>0</v>
      </c>
      <c r="Y24" s="57">
        <f t="shared" si="0"/>
        <v>0.4</v>
      </c>
      <c r="Z24" s="14">
        <f>CHOOSE(CONTROL!$C$42, 4.0086, 4.0086) * CHOOSE(CONTROL!$C$21, $C$9, 100%, $E$9)</f>
        <v>4.0086000000000004</v>
      </c>
      <c r="AA24" s="64">
        <f>(31*((7.89*31500+7.95*100000)/31))/1000000</f>
        <v>1.0435350000000001</v>
      </c>
      <c r="AB24" s="50">
        <f>(B24*122.58+C24*297.941+D24*89.177+E24*200.302+F24*40+G24*0+H24*0+I24*100+J24*300)/(122.58+297.941+89.177+200.302+0+40+0+100+300)</f>
        <v>4.0964779213913047</v>
      </c>
      <c r="AC24" s="45">
        <f>(M24*240+N24*0+O24*355+P24*100)/(240+0+355+100)</f>
        <v>4.041538129496403</v>
      </c>
    </row>
    <row r="25" spans="1:29" ht="15" x14ac:dyDescent="0.2">
      <c r="A25" s="13">
        <v>41640</v>
      </c>
      <c r="B25" s="14">
        <f>CHOOSE(CONTROL!$C$42, 4.1569, 4.1569) * CHOOSE(CONTROL!$C$21, $C$9, 100%, $E$9)</f>
        <v>4.1569000000000003</v>
      </c>
      <c r="C25" s="14">
        <f>CHOOSE(CONTROL!$C$42, 4.1619, 4.1619) * CHOOSE(CONTROL!$C$21, $C$9, 100%, $E$9)</f>
        <v>4.1619000000000002</v>
      </c>
      <c r="D25" s="14">
        <f>CHOOSE(CONTROL!$C$42, 4.2205, 4.2205) * CHOOSE(CONTROL!$C$21, $C$9, 100%, $E$9)</f>
        <v>4.2205000000000004</v>
      </c>
      <c r="E25" s="14">
        <f>CHOOSE(CONTROL!$C$42, 4.2546, 4.2546) * CHOOSE(CONTROL!$C$21, $C$9, 100%, $E$9)</f>
        <v>4.2545999999999999</v>
      </c>
      <c r="F25" s="14">
        <f>CHOOSE(CONTROL!$C$42, 4.156, 4.156)*CHOOSE(CONTROL!$C$21, $C$9, 100%, $E$9)</f>
        <v>4.1559999999999997</v>
      </c>
      <c r="G25" s="14">
        <f>CHOOSE(CONTROL!$C$42, 4.1724, 4.1724)*CHOOSE(CONTROL!$C$21, $C$9, 100%, $E$9)</f>
        <v>4.1723999999999997</v>
      </c>
      <c r="H25" s="14">
        <f>CHOOSE(CONTROL!$C$42, 4.2438, 4.2438) * CHOOSE(CONTROL!$C$21, $C$9, 100%, $E$9)</f>
        <v>4.2438000000000002</v>
      </c>
      <c r="I25" s="14">
        <f>CHOOSE(CONTROL!$C$42, 4.1801, 4.1801)* CHOOSE(CONTROL!$C$21, $C$9, 100%, $E$9)</f>
        <v>4.1801000000000004</v>
      </c>
      <c r="J25" s="14">
        <f>CHOOSE(CONTROL!$C$42, 4.149, 4.149)* CHOOSE(CONTROL!$C$21, $C$9, 100%, $E$9)</f>
        <v>4.149</v>
      </c>
      <c r="K25" s="62"/>
      <c r="L25" s="14">
        <f>CHOOSE(CONTROL!$C$42, 4.8308, 4.8308) * CHOOSE(CONTROL!$C$21, $C$9, 100%, $E$9)</f>
        <v>4.8308</v>
      </c>
      <c r="M25" s="14">
        <f>CHOOSE(CONTROL!$C$42, 4.0717, 4.0717) * CHOOSE(CONTROL!$C$21, $C$9, 100%, $E$9)</f>
        <v>4.0716999999999999</v>
      </c>
      <c r="N25" s="14">
        <f>CHOOSE(CONTROL!$C$42, 4.0877, 4.0877) * CHOOSE(CONTROL!$C$21, $C$9, 100%, $E$9)</f>
        <v>4.0876999999999999</v>
      </c>
      <c r="O25" s="14">
        <f>CHOOSE(CONTROL!$C$42, 4.1646, 4.1646) * CHOOSE(CONTROL!$C$21, $C$9, 100%, $E$9)</f>
        <v>4.1646000000000001</v>
      </c>
      <c r="P25" s="14">
        <f>CHOOSE(CONTROL!$C$42, 4.102, 4.102) * CHOOSE(CONTROL!$C$21, $C$9, 100%, $E$9)</f>
        <v>4.1020000000000003</v>
      </c>
      <c r="Q25" s="14">
        <f>CHOOSE(CONTROL!$C$42, 4.7593, 4.7593) * CHOOSE(CONTROL!$C$21, $C$9, 100%, $E$9)</f>
        <v>4.7592999999999996</v>
      </c>
      <c r="R25" s="14">
        <f>CHOOSE(CONTROL!$C$42, 5.3582, 5.3582) * CHOOSE(CONTROL!$C$21, $C$9, 100%, $E$9)</f>
        <v>5.3582000000000001</v>
      </c>
      <c r="S25" s="14">
        <f>CHOOSE(CONTROL!$C$42, 3.9858, 3.9858) * CHOOSE(CONTROL!$C$21, $C$9, 100%, $E$9)</f>
        <v>3.9857999999999998</v>
      </c>
      <c r="T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7">
        <f>(1000*CHOOSE(CONTROL!$C$42, 695, 695)*CHOOSE(CONTROL!$C$42, 0.5599, 0.5599)*CHOOSE(CONTROL!$C$42, 31, 31))/1000000</f>
        <v>12.063045499999998</v>
      </c>
      <c r="V25" s="57">
        <f>(1000*CHOOSE(CONTROL!$C$42, 580, 580)*CHOOSE(CONTROL!$C$42, 0.275, 0.275)*CHOOSE(CONTROL!$C$42, 31, 31))/1000000</f>
        <v>4.9444999999999997</v>
      </c>
      <c r="W25" s="57">
        <f>(1000*CHOOSE(CONTROL!$C$42, 0.1146, 0.1146)*CHOOSE(CONTROL!$C$42, 200, 200)*CHOOSE(CONTROL!$C$42, 31, 31))/1000000</f>
        <v>0.71052000000000004</v>
      </c>
      <c r="X25" s="57">
        <v>0</v>
      </c>
      <c r="Y25" s="57">
        <f t="shared" si="0"/>
        <v>0.4</v>
      </c>
      <c r="Z25" s="14">
        <f>CHOOSE(CONTROL!$C$42, 4.0905, 4.0905) * CHOOSE(CONTROL!$C$21, $C$9, 100%, $E$9)</f>
        <v>4.0904999999999996</v>
      </c>
      <c r="AA25" s="64">
        <f>(31*((7.89*31500+7.95*100000)/31))/1000000</f>
        <v>1.0435350000000001</v>
      </c>
      <c r="AB25" s="50">
        <f>(B25*122.58+C25*297.941+D25*89.177+E25*200.302+F25*40+G25*0+H25*0+I25*100+J25*300)/(122.58+297.941+89.177+200.302+0+40+0+100+300)</f>
        <v>4.1800694500869566</v>
      </c>
      <c r="AC25" s="45">
        <f>(M25*240+N25*0+O25*355+P25*100)/(240+0+355+100)</f>
        <v>4.1235122302158276</v>
      </c>
    </row>
    <row r="26" spans="1:29" ht="15" x14ac:dyDescent="0.2">
      <c r="A26" s="13">
        <v>41671</v>
      </c>
      <c r="B26" s="14">
        <f>CHOOSE(CONTROL!$C$42, 4.1548, 4.1548) * CHOOSE(CONTROL!$C$21, $C$9, 100%, $E$9)</f>
        <v>4.1547999999999998</v>
      </c>
      <c r="C26" s="14">
        <f>CHOOSE(CONTROL!$C$42, 4.1599, 4.1599) * CHOOSE(CONTROL!$C$21, $C$9, 100%, $E$9)</f>
        <v>4.1599000000000004</v>
      </c>
      <c r="D26" s="14">
        <f>CHOOSE(CONTROL!$C$42, 4.2185, 4.2185) * CHOOSE(CONTROL!$C$21, $C$9, 100%, $E$9)</f>
        <v>4.2184999999999997</v>
      </c>
      <c r="E26" s="14">
        <f>CHOOSE(CONTROL!$C$42, 4.2526, 4.2526) * CHOOSE(CONTROL!$C$21, $C$9, 100%, $E$9)</f>
        <v>4.2526000000000002</v>
      </c>
      <c r="F26" s="14">
        <f>CHOOSE(CONTROL!$C$42, 4.1539, 4.1539)*CHOOSE(CONTROL!$C$21, $C$9, 100%, $E$9)</f>
        <v>4.1539000000000001</v>
      </c>
      <c r="G26" s="14">
        <f>CHOOSE(CONTROL!$C$42, 4.1702, 4.1702)*CHOOSE(CONTROL!$C$21, $C$9, 100%, $E$9)</f>
        <v>4.1702000000000004</v>
      </c>
      <c r="H26" s="14">
        <f>CHOOSE(CONTROL!$C$42, 4.2418, 4.2418) * CHOOSE(CONTROL!$C$21, $C$9, 100%, $E$9)</f>
        <v>4.2417999999999996</v>
      </c>
      <c r="I26" s="14">
        <f>CHOOSE(CONTROL!$C$42, 4.178, 4.178)* CHOOSE(CONTROL!$C$21, $C$9, 100%, $E$9)</f>
        <v>4.1779999999999999</v>
      </c>
      <c r="J26" s="14">
        <f>CHOOSE(CONTROL!$C$42, 4.1469, 4.1469)* CHOOSE(CONTROL!$C$21, $C$9, 100%, $E$9)</f>
        <v>4.1468999999999996</v>
      </c>
      <c r="K26" s="62"/>
      <c r="L26" s="14">
        <f>CHOOSE(CONTROL!$C$42, 4.8288, 4.8288) * CHOOSE(CONTROL!$C$21, $C$9, 100%, $E$9)</f>
        <v>4.8288000000000002</v>
      </c>
      <c r="M26" s="14">
        <f>CHOOSE(CONTROL!$C$42, 4.0696, 4.0696) * CHOOSE(CONTROL!$C$21, $C$9, 100%, $E$9)</f>
        <v>4.0696000000000003</v>
      </c>
      <c r="N26" s="14">
        <f>CHOOSE(CONTROL!$C$42, 4.0856, 4.0856) * CHOOSE(CONTROL!$C$21, $C$9, 100%, $E$9)</f>
        <v>4.0856000000000003</v>
      </c>
      <c r="O26" s="14">
        <f>CHOOSE(CONTROL!$C$42, 4.1625, 4.1625) * CHOOSE(CONTROL!$C$21, $C$9, 100%, $E$9)</f>
        <v>4.1624999999999996</v>
      </c>
      <c r="P26" s="14">
        <f>CHOOSE(CONTROL!$C$42, 4.0999, 4.0999) * CHOOSE(CONTROL!$C$21, $C$9, 100%, $E$9)</f>
        <v>4.0998999999999999</v>
      </c>
      <c r="Q26" s="14">
        <f>CHOOSE(CONTROL!$C$42, 4.7572, 4.7572) * CHOOSE(CONTROL!$C$21, $C$9, 100%, $E$9)</f>
        <v>4.7572000000000001</v>
      </c>
      <c r="R26" s="14">
        <f>CHOOSE(CONTROL!$C$42, 5.3561, 5.3561) * CHOOSE(CONTROL!$C$21, $C$9, 100%, $E$9)</f>
        <v>5.3560999999999996</v>
      </c>
      <c r="S26" s="14">
        <f>CHOOSE(CONTROL!$C$42, 3.9838, 3.9838) * CHOOSE(CONTROL!$C$21, $C$9, 100%, $E$9)</f>
        <v>3.9838</v>
      </c>
      <c r="T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7">
        <f>(1000*CHOOSE(CONTROL!$C$42, 695, 695)*CHOOSE(CONTROL!$C$42, 0.5599, 0.5599)*CHOOSE(CONTROL!$C$42, 28, 28))/1000000</f>
        <v>10.895653999999999</v>
      </c>
      <c r="V26" s="57">
        <f>(1000*CHOOSE(CONTROL!$C$42, 580, 580)*CHOOSE(CONTROL!$C$42, 0.275, 0.275)*CHOOSE(CONTROL!$C$42, 28, 28))/1000000</f>
        <v>4.4660000000000002</v>
      </c>
      <c r="W26" s="57">
        <f>(1000*CHOOSE(CONTROL!$C$42, 0.1146, 0.1146)*CHOOSE(CONTROL!$C$42, 200, 200)*CHOOSE(CONTROL!$C$42, 28, 28))/1000000</f>
        <v>0.64176</v>
      </c>
      <c r="X26" s="57">
        <v>0</v>
      </c>
      <c r="Y26" s="57">
        <f t="shared" si="0"/>
        <v>0.4</v>
      </c>
      <c r="Z26" s="14">
        <f>CHOOSE(CONTROL!$C$42, 4.0884, 4.0884) * CHOOSE(CONTROL!$C$21, $C$9, 100%, $E$9)</f>
        <v>4.0884</v>
      </c>
      <c r="AA26" s="64">
        <f>(28*((7.89*31500+7.95*100000)/28))/1000000</f>
        <v>1.0435350000000001</v>
      </c>
      <c r="AB26" s="50">
        <f>(B26*122.58+C26*297.941+D26*89.177+E26*200.302+F26*40+G26*0+H26*0+I26*100+J26*300)/(122.58+297.941+89.177+200.302+0+40+0+100+300)</f>
        <v>4.1780205300869566</v>
      </c>
      <c r="AC26" s="45">
        <f>(M26*240+N26*0+O26*355+P26*100)/(240+0+355+100)</f>
        <v>4.1214122302158263</v>
      </c>
    </row>
    <row r="27" spans="1:29" ht="15" x14ac:dyDescent="0.2">
      <c r="A27" s="13">
        <v>41699</v>
      </c>
      <c r="B27" s="14">
        <f>CHOOSE(CONTROL!$C$42, 4.1152, 4.1152) * CHOOSE(CONTROL!$C$21, $C$9, 100%, $E$9)</f>
        <v>4.1151999999999997</v>
      </c>
      <c r="C27" s="14">
        <f>CHOOSE(CONTROL!$C$42, 4.1203, 4.1203) * CHOOSE(CONTROL!$C$21, $C$9, 100%, $E$9)</f>
        <v>4.1203000000000003</v>
      </c>
      <c r="D27" s="14">
        <f>CHOOSE(CONTROL!$C$42, 4.1789, 4.1789) * CHOOSE(CONTROL!$C$21, $C$9, 100%, $E$9)</f>
        <v>4.1788999999999996</v>
      </c>
      <c r="E27" s="14">
        <f>CHOOSE(CONTROL!$C$42, 4.213, 4.213) * CHOOSE(CONTROL!$C$21, $C$9, 100%, $E$9)</f>
        <v>4.2130000000000001</v>
      </c>
      <c r="F27" s="14">
        <f>CHOOSE(CONTROL!$C$42, 4.1138, 4.1138)*CHOOSE(CONTROL!$C$21, $C$9, 100%, $E$9)</f>
        <v>4.1138000000000003</v>
      </c>
      <c r="G27" s="14">
        <f>CHOOSE(CONTROL!$C$42, 4.1301, 4.1301)*CHOOSE(CONTROL!$C$21, $C$9, 100%, $E$9)</f>
        <v>4.1300999999999997</v>
      </c>
      <c r="H27" s="14">
        <f>CHOOSE(CONTROL!$C$42, 4.2022, 4.2022) * CHOOSE(CONTROL!$C$21, $C$9, 100%, $E$9)</f>
        <v>4.2022000000000004</v>
      </c>
      <c r="I27" s="14">
        <f>CHOOSE(CONTROL!$C$42, 4.1384, 4.1384)* CHOOSE(CONTROL!$C$21, $C$9, 100%, $E$9)</f>
        <v>4.1383999999999999</v>
      </c>
      <c r="J27" s="14">
        <f>CHOOSE(CONTROL!$C$42, 4.1068, 4.1068)* CHOOSE(CONTROL!$C$21, $C$9, 100%, $E$9)</f>
        <v>4.1067999999999998</v>
      </c>
      <c r="K27" s="62"/>
      <c r="L27" s="14">
        <f>CHOOSE(CONTROL!$C$42, 4.7892, 4.7892) * CHOOSE(CONTROL!$C$21, $C$9, 100%, $E$9)</f>
        <v>4.7892000000000001</v>
      </c>
      <c r="M27" s="14">
        <f>CHOOSE(CONTROL!$C$42, 4.0304, 4.0304) * CHOOSE(CONTROL!$C$21, $C$9, 100%, $E$9)</f>
        <v>4.0304000000000002</v>
      </c>
      <c r="N27" s="14">
        <f>CHOOSE(CONTROL!$C$42, 4.0463, 4.0463) * CHOOSE(CONTROL!$C$21, $C$9, 100%, $E$9)</f>
        <v>4.0462999999999996</v>
      </c>
      <c r="O27" s="14">
        <f>CHOOSE(CONTROL!$C$42, 4.1238, 4.1238) * CHOOSE(CONTROL!$C$21, $C$9, 100%, $E$9)</f>
        <v>4.1238000000000001</v>
      </c>
      <c r="P27" s="14">
        <f>CHOOSE(CONTROL!$C$42, 4.0611, 4.0611) * CHOOSE(CONTROL!$C$21, $C$9, 100%, $E$9)</f>
        <v>4.0610999999999997</v>
      </c>
      <c r="Q27" s="14">
        <f>CHOOSE(CONTROL!$C$42, 4.7185, 4.7185) * CHOOSE(CONTROL!$C$21, $C$9, 100%, $E$9)</f>
        <v>4.7184999999999997</v>
      </c>
      <c r="R27" s="14">
        <f>CHOOSE(CONTROL!$C$42, 5.3173, 5.3173) * CHOOSE(CONTROL!$C$21, $C$9, 100%, $E$9)</f>
        <v>5.3173000000000004</v>
      </c>
      <c r="S27" s="14">
        <f>CHOOSE(CONTROL!$C$42, 3.9458, 3.9458) * CHOOSE(CONTROL!$C$21, $C$9, 100%, $E$9)</f>
        <v>3.9458000000000002</v>
      </c>
      <c r="T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7">
        <f>(1000*CHOOSE(CONTROL!$C$42, 695, 695)*CHOOSE(CONTROL!$C$42, 0.5599, 0.5599)*CHOOSE(CONTROL!$C$42, 31, 31))/1000000</f>
        <v>12.063045499999998</v>
      </c>
      <c r="V27" s="57">
        <f>(1000*CHOOSE(CONTROL!$C$42, 580, 580)*CHOOSE(CONTROL!$C$42, 0.275, 0.275)*CHOOSE(CONTROL!$C$42, 31, 31))/1000000</f>
        <v>4.9444999999999997</v>
      </c>
      <c r="W27" s="57">
        <f>(1000*CHOOSE(CONTROL!$C$42, 0.1146, 0.1146)*CHOOSE(CONTROL!$C$42, 200, 200)*CHOOSE(CONTROL!$C$42, 31, 31))/1000000</f>
        <v>0.71052000000000004</v>
      </c>
      <c r="X27" s="57">
        <v>0</v>
      </c>
      <c r="Y27" s="57">
        <f t="shared" si="0"/>
        <v>0.4</v>
      </c>
      <c r="Z27" s="14">
        <f>CHOOSE(CONTROL!$C$42, 4.0495, 4.0495) * CHOOSE(CONTROL!$C$21, $C$9, 100%, $E$9)</f>
        <v>4.0495000000000001</v>
      </c>
      <c r="AA27" s="64">
        <f>(31*((7.89*31500+7.95*100000)/31))/1000000</f>
        <v>1.0435350000000001</v>
      </c>
      <c r="AB27" s="50">
        <f>(B27*122.58+C27*297.941+D27*89.177+E27*200.302+F27*40+G27*0+H27*0+I27*100+J27*300)/(122.58+297.941+89.177+200.302+0+40+0+100+300)</f>
        <v>4.1382727040000002</v>
      </c>
      <c r="AC27" s="45">
        <f>(M27*240+N27*0+O27*355+P27*100)/(240+0+355+100)</f>
        <v>4.0825251798561153</v>
      </c>
    </row>
    <row r="28" spans="1:29" ht="15" x14ac:dyDescent="0.2">
      <c r="A28" s="13">
        <v>41730</v>
      </c>
      <c r="B28" s="14">
        <f>CHOOSE(CONTROL!$C$42, 4.0415, 4.0415) * CHOOSE(CONTROL!$C$21, $C$9, 100%, $E$9)</f>
        <v>4.0415000000000001</v>
      </c>
      <c r="C28" s="14">
        <f>CHOOSE(CONTROL!$C$42, 4.046, 4.046) * CHOOSE(CONTROL!$C$21, $C$9, 100%, $E$9)</f>
        <v>4.0460000000000003</v>
      </c>
      <c r="D28" s="14">
        <f>CHOOSE(CONTROL!$C$42, 4.2541, 4.2541) * CHOOSE(CONTROL!$C$21, $C$9, 100%, $E$9)</f>
        <v>4.2541000000000002</v>
      </c>
      <c r="E28" s="14">
        <f>CHOOSE(CONTROL!$C$42, 4.2862, 4.2862) * CHOOSE(CONTROL!$C$21, $C$9, 100%, $E$9)</f>
        <v>4.2862</v>
      </c>
      <c r="F28" s="14">
        <f>CHOOSE(CONTROL!$C$42, 4.0288, 4.0288)*CHOOSE(CONTROL!$C$21, $C$9, 100%, $E$9)</f>
        <v>4.0288000000000004</v>
      </c>
      <c r="G28" s="14">
        <f>CHOOSE(CONTROL!$C$42, 4.0448, 4.0448)*CHOOSE(CONTROL!$C$21, $C$9, 100%, $E$9)</f>
        <v>4.0448000000000004</v>
      </c>
      <c r="H28" s="14">
        <f>CHOOSE(CONTROL!$C$42, 4.276, 4.276) * CHOOSE(CONTROL!$C$21, $C$9, 100%, $E$9)</f>
        <v>4.2759999999999998</v>
      </c>
      <c r="I28" s="14">
        <f>CHOOSE(CONTROL!$C$42, 4.0636, 4.0636)* CHOOSE(CONTROL!$C$21, $C$9, 100%, $E$9)</f>
        <v>4.0636000000000001</v>
      </c>
      <c r="J28" s="14">
        <f>CHOOSE(CONTROL!$C$42, 4.0218, 4.0218)* CHOOSE(CONTROL!$C$21, $C$9, 100%, $E$9)</f>
        <v>4.0217999999999998</v>
      </c>
      <c r="K28" s="62"/>
      <c r="L28" s="14">
        <f>CHOOSE(CONTROL!$C$42, 4.863, 4.863) * CHOOSE(CONTROL!$C$21, $C$9, 100%, $E$9)</f>
        <v>4.8630000000000004</v>
      </c>
      <c r="M28" s="14">
        <f>CHOOSE(CONTROL!$C$42, 3.9471, 3.9471) * CHOOSE(CONTROL!$C$21, $C$9, 100%, $E$9)</f>
        <v>3.9470999999999998</v>
      </c>
      <c r="N28" s="14">
        <f>CHOOSE(CONTROL!$C$42, 3.9627, 3.9627) * CHOOSE(CONTROL!$C$21, $C$9, 100%, $E$9)</f>
        <v>3.9626999999999999</v>
      </c>
      <c r="O28" s="14">
        <f>CHOOSE(CONTROL!$C$42, 4.1961, 4.1961) * CHOOSE(CONTROL!$C$21, $C$9, 100%, $E$9)</f>
        <v>4.1961000000000004</v>
      </c>
      <c r="P28" s="14">
        <f>CHOOSE(CONTROL!$C$42, 3.9879, 3.9879) * CHOOSE(CONTROL!$C$21, $C$9, 100%, $E$9)</f>
        <v>3.9878999999999998</v>
      </c>
      <c r="Q28" s="14">
        <f>CHOOSE(CONTROL!$C$42, 4.7908, 4.7908) * CHOOSE(CONTROL!$C$21, $C$9, 100%, $E$9)</f>
        <v>4.7907999999999999</v>
      </c>
      <c r="R28" s="14">
        <f>CHOOSE(CONTROL!$C$42, 5.3897, 5.3897) * CHOOSE(CONTROL!$C$21, $C$9, 100%, $E$9)</f>
        <v>5.3897000000000004</v>
      </c>
      <c r="S28" s="14">
        <f>CHOOSE(CONTROL!$C$42, 3.8742, 3.8742) * CHOOSE(CONTROL!$C$21, $C$9, 100%, $E$9)</f>
        <v>3.8742000000000001</v>
      </c>
      <c r="T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7">
        <f>(1000*CHOOSE(CONTROL!$C$42, 695, 695)*CHOOSE(CONTROL!$C$42, 0.5599, 0.5599)*CHOOSE(CONTROL!$C$42, 30, 30))/1000000</f>
        <v>11.673914999999997</v>
      </c>
      <c r="V28" s="57">
        <f>(1000*CHOOSE(CONTROL!$C$42, 580, 580)*CHOOSE(CONTROL!$C$42, 0.275, 0.275)*CHOOSE(CONTROL!$C$42, 30, 30))/1000000</f>
        <v>4.7850000000000001</v>
      </c>
      <c r="W28" s="57">
        <f>(1000*CHOOSE(CONTROL!$C$42, 0.1146, 0.1146)*CHOOSE(CONTROL!$C$42, 200, 200)*CHOOSE(CONTROL!$C$42, 30, 30))/1000000</f>
        <v>0.68759999999999999</v>
      </c>
      <c r="X28" s="57">
        <f>30*0.1790888*145000/1000000</f>
        <v>0.77903627999999991</v>
      </c>
      <c r="Y28" s="57"/>
      <c r="Z28" s="14">
        <f>CHOOSE(CONTROL!$C$42, 3.9808, 3.9808) * CHOOSE(CONTROL!$C$21, $C$9, 100%, $E$9)</f>
        <v>3.9807999999999999</v>
      </c>
      <c r="AA28" s="64">
        <f>(30*((7.89*31500+7.95*100000)/30))/1000000</f>
        <v>1.0435350000000001</v>
      </c>
      <c r="AB28" s="50">
        <f>(B28*141.293+C28*267.993+D28*115.016+E28*249.698+F28*40+G28*25+H28*0+I28*100+J28*300)/(141.293+267.993+115.016+249.698+0+40+25+100+300)</f>
        <v>4.1081940845036327</v>
      </c>
      <c r="AC28" s="45">
        <f t="shared" ref="AC28:AC34" si="1">(M28*240+N28*120+O28*235+P28*100)/(240+120+235+100)</f>
        <v>4.0398582733812951</v>
      </c>
    </row>
    <row r="29" spans="1:29" ht="15" x14ac:dyDescent="0.2">
      <c r="A29" s="13">
        <v>41760</v>
      </c>
      <c r="B29" s="14">
        <f>CHOOSE(CONTROL!$C$42, 4.0616, 4.0616) * CHOOSE(CONTROL!$C$21, $C$9, 100%, $E$9)</f>
        <v>4.0616000000000003</v>
      </c>
      <c r="C29" s="14">
        <f>CHOOSE(CONTROL!$C$42, 4.0696, 4.0696) * CHOOSE(CONTROL!$C$21, $C$9, 100%, $E$9)</f>
        <v>4.0696000000000003</v>
      </c>
      <c r="D29" s="14">
        <f>CHOOSE(CONTROL!$C$42, 4.2746, 4.2746) * CHOOSE(CONTROL!$C$21, $C$9, 100%, $E$9)</f>
        <v>4.2746000000000004</v>
      </c>
      <c r="E29" s="14">
        <f>CHOOSE(CONTROL!$C$42, 4.3061, 4.3061) * CHOOSE(CONTROL!$C$21, $C$9, 100%, $E$9)</f>
        <v>4.3060999999999998</v>
      </c>
      <c r="F29" s="14">
        <f>CHOOSE(CONTROL!$C$42, 4.0478, 4.0478)*CHOOSE(CONTROL!$C$21, $C$9, 100%, $E$9)</f>
        <v>4.0477999999999996</v>
      </c>
      <c r="G29" s="14">
        <f>CHOOSE(CONTROL!$C$42, 4.0642, 4.0642)*CHOOSE(CONTROL!$C$21, $C$9, 100%, $E$9)</f>
        <v>4.0641999999999996</v>
      </c>
      <c r="H29" s="14">
        <f>CHOOSE(CONTROL!$C$42, 4.2947, 4.2947) * CHOOSE(CONTROL!$C$21, $C$9, 100%, $E$9)</f>
        <v>4.2946999999999997</v>
      </c>
      <c r="I29" s="14">
        <f>CHOOSE(CONTROL!$C$42, 4.0824, 4.0824)* CHOOSE(CONTROL!$C$21, $C$9, 100%, $E$9)</f>
        <v>4.0823999999999998</v>
      </c>
      <c r="J29" s="14">
        <f>CHOOSE(CONTROL!$C$42, 4.0408, 4.0408)* CHOOSE(CONTROL!$C$21, $C$9, 100%, $E$9)</f>
        <v>4.0407999999999999</v>
      </c>
      <c r="K29" s="62"/>
      <c r="L29" s="14">
        <f>CHOOSE(CONTROL!$C$42, 4.8817, 4.8817) * CHOOSE(CONTROL!$C$21, $C$9, 100%, $E$9)</f>
        <v>4.8817000000000004</v>
      </c>
      <c r="M29" s="14">
        <f>CHOOSE(CONTROL!$C$42, 3.9657, 3.9657) * CHOOSE(CONTROL!$C$21, $C$9, 100%, $E$9)</f>
        <v>3.9657</v>
      </c>
      <c r="N29" s="14">
        <f>CHOOSE(CONTROL!$C$42, 3.9818, 3.9818) * CHOOSE(CONTROL!$C$21, $C$9, 100%, $E$9)</f>
        <v>3.9817999999999998</v>
      </c>
      <c r="O29" s="14">
        <f>CHOOSE(CONTROL!$C$42, 4.2144, 4.2144) * CHOOSE(CONTROL!$C$21, $C$9, 100%, $E$9)</f>
        <v>4.2144000000000004</v>
      </c>
      <c r="P29" s="14">
        <f>CHOOSE(CONTROL!$C$42, 4.0063, 4.0063) * CHOOSE(CONTROL!$C$21, $C$9, 100%, $E$9)</f>
        <v>4.0063000000000004</v>
      </c>
      <c r="Q29" s="14">
        <f>CHOOSE(CONTROL!$C$42, 4.8091, 4.8091) * CHOOSE(CONTROL!$C$21, $C$9, 100%, $E$9)</f>
        <v>4.8090999999999999</v>
      </c>
      <c r="R29" s="14">
        <f>CHOOSE(CONTROL!$C$42, 5.4081, 5.4081) * CHOOSE(CONTROL!$C$21, $C$9, 100%, $E$9)</f>
        <v>5.4081000000000001</v>
      </c>
      <c r="S29" s="14">
        <f>CHOOSE(CONTROL!$C$42, 3.8922, 3.8922) * CHOOSE(CONTROL!$C$21, $C$9, 100%, $E$9)</f>
        <v>3.8921999999999999</v>
      </c>
      <c r="T29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7">
        <f>(1000*CHOOSE(CONTROL!$C$42, 695, 695)*CHOOSE(CONTROL!$C$42, 0.5599, 0.5599)*CHOOSE(CONTROL!$C$42, 31, 31))/1000000</f>
        <v>12.063045499999998</v>
      </c>
      <c r="V29" s="57">
        <f>(1000*CHOOSE(CONTROL!$C$42, 580, 580)*CHOOSE(CONTROL!$C$42, 0.275, 0.275)*CHOOSE(CONTROL!$C$42, 31, 31))/1000000</f>
        <v>4.9444999999999997</v>
      </c>
      <c r="W29" s="57">
        <f>(1000*CHOOSE(CONTROL!$C$42, 0.1146, 0.1146)*CHOOSE(CONTROL!$C$42, 200, 200)*CHOOSE(CONTROL!$C$42, 31, 31))/1000000</f>
        <v>0.71052000000000004</v>
      </c>
      <c r="X29" s="57">
        <f>31*0.1790888*145000/1000000</f>
        <v>0.80500415599999997</v>
      </c>
      <c r="Y29" s="57"/>
      <c r="Z29" s="14">
        <f>CHOOSE(CONTROL!$C$42, 3.9992, 3.9992) * CHOOSE(CONTROL!$C$21, $C$9, 100%, $E$9)</f>
        <v>3.9992000000000001</v>
      </c>
      <c r="AA29" s="64">
        <f>(31*((7.89*31500+7.95*100000)/31))/1000000</f>
        <v>1.0435350000000001</v>
      </c>
      <c r="AB29" s="50">
        <f>(B29*194.205+C29*267.466+D29*133.845+E29*213.484+F29*40+G29*25+H29*50+I29*100+J29*300)/(194.205+267.466+133.845+213.484+50+40+25+100+300)</f>
        <v>4.1294652197885195</v>
      </c>
      <c r="AC29" s="45">
        <f t="shared" si="1"/>
        <v>4.0584143884892097</v>
      </c>
    </row>
    <row r="30" spans="1:29" ht="15" x14ac:dyDescent="0.2">
      <c r="A30" s="13">
        <v>41791</v>
      </c>
      <c r="B30" s="14">
        <f>CHOOSE(CONTROL!$C$42, 4.0908, 4.0908) * CHOOSE(CONTROL!$C$21, $C$9, 100%, $E$9)</f>
        <v>4.0907999999999998</v>
      </c>
      <c r="C30" s="14">
        <f>CHOOSE(CONTROL!$C$42, 4.0988, 4.0988) * CHOOSE(CONTROL!$C$21, $C$9, 100%, $E$9)</f>
        <v>4.0987999999999998</v>
      </c>
      <c r="D30" s="14">
        <f>CHOOSE(CONTROL!$C$42, 4.3038, 4.3038) * CHOOSE(CONTROL!$C$21, $C$9, 100%, $E$9)</f>
        <v>4.3037999999999998</v>
      </c>
      <c r="E30" s="14">
        <f>CHOOSE(CONTROL!$C$42, 4.3352, 4.3352) * CHOOSE(CONTROL!$C$21, $C$9, 100%, $E$9)</f>
        <v>4.3352000000000004</v>
      </c>
      <c r="F30" s="14">
        <f>CHOOSE(CONTROL!$C$42, 4.0773, 4.0773)*CHOOSE(CONTROL!$C$21, $C$9, 100%, $E$9)</f>
        <v>4.0773000000000001</v>
      </c>
      <c r="G30" s="14">
        <f>CHOOSE(CONTROL!$C$42, 4.0938, 4.0938)*CHOOSE(CONTROL!$C$21, $C$9, 100%, $E$9)</f>
        <v>4.0937999999999999</v>
      </c>
      <c r="H30" s="14">
        <f>CHOOSE(CONTROL!$C$42, 4.3239, 4.3239) * CHOOSE(CONTROL!$C$21, $C$9, 100%, $E$9)</f>
        <v>4.3239000000000001</v>
      </c>
      <c r="I30" s="14">
        <f>CHOOSE(CONTROL!$C$42, 4.1116, 4.1116)* CHOOSE(CONTROL!$C$21, $C$9, 100%, $E$9)</f>
        <v>4.1116000000000001</v>
      </c>
      <c r="J30" s="14">
        <f>CHOOSE(CONTROL!$C$42, 4.0703, 4.0703)* CHOOSE(CONTROL!$C$21, $C$9, 100%, $E$9)</f>
        <v>4.0702999999999996</v>
      </c>
      <c r="K30" s="62"/>
      <c r="L30" s="14">
        <f>CHOOSE(CONTROL!$C$42, 4.9109, 4.9109) * CHOOSE(CONTROL!$C$21, $C$9, 100%, $E$9)</f>
        <v>4.9108999999999998</v>
      </c>
      <c r="M30" s="14">
        <f>CHOOSE(CONTROL!$C$42, 3.9946, 3.9946) * CHOOSE(CONTROL!$C$21, $C$9, 100%, $E$9)</f>
        <v>3.9946000000000002</v>
      </c>
      <c r="N30" s="14">
        <f>CHOOSE(CONTROL!$C$42, 4.0108, 4.0108) * CHOOSE(CONTROL!$C$21, $C$9, 100%, $E$9)</f>
        <v>4.0107999999999997</v>
      </c>
      <c r="O30" s="14">
        <f>CHOOSE(CONTROL!$C$42, 4.243, 4.243) * CHOOSE(CONTROL!$C$21, $C$9, 100%, $E$9)</f>
        <v>4.2430000000000003</v>
      </c>
      <c r="P30" s="14">
        <f>CHOOSE(CONTROL!$C$42, 4.0349, 4.0349) * CHOOSE(CONTROL!$C$21, $C$9, 100%, $E$9)</f>
        <v>4.0349000000000004</v>
      </c>
      <c r="Q30" s="14">
        <f>CHOOSE(CONTROL!$C$42, 4.8377, 4.8377) * CHOOSE(CONTROL!$C$21, $C$9, 100%, $E$9)</f>
        <v>4.8376999999999999</v>
      </c>
      <c r="R30" s="14">
        <f>CHOOSE(CONTROL!$C$42, 5.4367, 5.4367) * CHOOSE(CONTROL!$C$21, $C$9, 100%, $E$9)</f>
        <v>5.4367000000000001</v>
      </c>
      <c r="S30" s="14">
        <f>CHOOSE(CONTROL!$C$42, 3.9202, 3.9202) * CHOOSE(CONTROL!$C$21, $C$9, 100%, $E$9)</f>
        <v>3.9201999999999999</v>
      </c>
      <c r="T30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7">
        <f>(1000*CHOOSE(CONTROL!$C$42, 695, 695)*CHOOSE(CONTROL!$C$42, 0.5599, 0.5599)*CHOOSE(CONTROL!$C$42, 30, 30))/1000000</f>
        <v>11.673914999999997</v>
      </c>
      <c r="V30" s="57">
        <f>(1000*CHOOSE(CONTROL!$C$42, 580, 580)*CHOOSE(CONTROL!$C$42, 0.275, 0.275)*CHOOSE(CONTROL!$C$42, 30, 30))/1000000</f>
        <v>4.7850000000000001</v>
      </c>
      <c r="W30" s="57">
        <f>(1000*CHOOSE(CONTROL!$C$42, 0.1146, 0.1146)*CHOOSE(CONTROL!$C$42, 200, 200)*CHOOSE(CONTROL!$C$42, 30, 30))/1000000</f>
        <v>0.68759999999999999</v>
      </c>
      <c r="X30" s="57">
        <f>30*0.1790888*145000/1000000</f>
        <v>0.77903627999999991</v>
      </c>
      <c r="Y30" s="57"/>
      <c r="Z30" s="14">
        <f>CHOOSE(CONTROL!$C$42, 4.0279, 4.0279) * CHOOSE(CONTROL!$C$21, $C$9, 100%, $E$9)</f>
        <v>4.0278999999999998</v>
      </c>
      <c r="AA30" s="63">
        <f>(30*((7.95*31500+8.07*100000)/30))/1000000</f>
        <v>1.0574250000000001</v>
      </c>
      <c r="AB30" s="50">
        <f>(B30*194.205+C30*267.466+D30*133.845+E30*213.484+F30*40+G30*25+H30*50+I30*100+J30*300)/(194.205+267.466+133.845+213.484+50+40+25+100+300)</f>
        <v>4.1587336877643502</v>
      </c>
      <c r="AC30" s="45">
        <f t="shared" si="1"/>
        <v>4.087187050359713</v>
      </c>
    </row>
    <row r="31" spans="1:29" ht="15" x14ac:dyDescent="0.2">
      <c r="A31" s="13">
        <v>41821</v>
      </c>
      <c r="B31" s="14">
        <f>CHOOSE(CONTROL!$C$42, 4.123, 4.123) * CHOOSE(CONTROL!$C$21, $C$9, 100%, $E$9)</f>
        <v>4.1230000000000002</v>
      </c>
      <c r="C31" s="14">
        <f>CHOOSE(CONTROL!$C$42, 4.131, 4.131) * CHOOSE(CONTROL!$C$21, $C$9, 100%, $E$9)</f>
        <v>4.1310000000000002</v>
      </c>
      <c r="D31" s="14">
        <f>CHOOSE(CONTROL!$C$42, 4.336, 4.336) * CHOOSE(CONTROL!$C$21, $C$9, 100%, $E$9)</f>
        <v>4.3360000000000003</v>
      </c>
      <c r="E31" s="14">
        <f>CHOOSE(CONTROL!$C$42, 4.3675, 4.3675) * CHOOSE(CONTROL!$C$21, $C$9, 100%, $E$9)</f>
        <v>4.3674999999999997</v>
      </c>
      <c r="F31" s="14">
        <f>CHOOSE(CONTROL!$C$42, 4.11, 4.11)*CHOOSE(CONTROL!$C$21, $C$9, 100%, $E$9)</f>
        <v>4.1100000000000003</v>
      </c>
      <c r="G31" s="14">
        <f>CHOOSE(CONTROL!$C$42, 4.1266, 4.1266)*CHOOSE(CONTROL!$C$21, $C$9, 100%, $E$9)</f>
        <v>4.1265999999999998</v>
      </c>
      <c r="H31" s="14">
        <f>CHOOSE(CONTROL!$C$42, 4.3561, 4.3561) * CHOOSE(CONTROL!$C$21, $C$9, 100%, $E$9)</f>
        <v>4.3560999999999996</v>
      </c>
      <c r="I31" s="14">
        <f>CHOOSE(CONTROL!$C$42, 4.144, 4.144)* CHOOSE(CONTROL!$C$21, $C$9, 100%, $E$9)</f>
        <v>4.1440000000000001</v>
      </c>
      <c r="J31" s="14">
        <f>CHOOSE(CONTROL!$C$42, 4.103, 4.103)* CHOOSE(CONTROL!$C$21, $C$9, 100%, $E$9)</f>
        <v>4.1029999999999998</v>
      </c>
      <c r="K31" s="62"/>
      <c r="L31" s="14">
        <f>CHOOSE(CONTROL!$C$42, 4.9431, 4.9431) * CHOOSE(CONTROL!$C$21, $C$9, 100%, $E$9)</f>
        <v>4.9431000000000003</v>
      </c>
      <c r="M31" s="14">
        <f>CHOOSE(CONTROL!$C$42, 4.0266, 4.0266) * CHOOSE(CONTROL!$C$21, $C$9, 100%, $E$9)</f>
        <v>4.0266000000000002</v>
      </c>
      <c r="N31" s="14">
        <f>CHOOSE(CONTROL!$C$42, 4.0429, 4.0429) * CHOOSE(CONTROL!$C$21, $C$9, 100%, $E$9)</f>
        <v>4.0429000000000004</v>
      </c>
      <c r="O31" s="14">
        <f>CHOOSE(CONTROL!$C$42, 4.2746, 4.2746) * CHOOSE(CONTROL!$C$21, $C$9, 100%, $E$9)</f>
        <v>4.2746000000000004</v>
      </c>
      <c r="P31" s="14">
        <f>CHOOSE(CONTROL!$C$42, 4.0666, 4.0666) * CHOOSE(CONTROL!$C$21, $C$9, 100%, $E$9)</f>
        <v>4.0666000000000002</v>
      </c>
      <c r="Q31" s="14">
        <f>CHOOSE(CONTROL!$C$42, 4.8693, 4.8693) * CHOOSE(CONTROL!$C$21, $C$9, 100%, $E$9)</f>
        <v>4.8693</v>
      </c>
      <c r="R31" s="14">
        <f>CHOOSE(CONTROL!$C$42, 5.4684, 5.4684) * CHOOSE(CONTROL!$C$21, $C$9, 100%, $E$9)</f>
        <v>5.4683999999999999</v>
      </c>
      <c r="S31" s="14">
        <f>CHOOSE(CONTROL!$C$42, 3.9512, 3.9512) * CHOOSE(CONTROL!$C$21, $C$9, 100%, $E$9)</f>
        <v>3.9512</v>
      </c>
      <c r="T31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7">
        <f>(1000*CHOOSE(CONTROL!$C$42, 695, 695)*CHOOSE(CONTROL!$C$42, 0.5599, 0.5599)*CHOOSE(CONTROL!$C$42, 31, 31))/1000000</f>
        <v>12.063045499999998</v>
      </c>
      <c r="V31" s="57">
        <f>(1000*CHOOSE(CONTROL!$C$42, 580, 580)*CHOOSE(CONTROL!$C$42, 0.275, 0.275)*CHOOSE(CONTROL!$C$42, 31, 31))/1000000</f>
        <v>4.9444999999999997</v>
      </c>
      <c r="W31" s="57">
        <f>(1000*CHOOSE(CONTROL!$C$42, 0.1146, 0.1146)*CHOOSE(CONTROL!$C$42, 200, 200)*CHOOSE(CONTROL!$C$42, 31, 31))/1000000</f>
        <v>0.71052000000000004</v>
      </c>
      <c r="X31" s="57">
        <f>31*0.1790888*145000/1000000</f>
        <v>0.80500415599999997</v>
      </c>
      <c r="Y31" s="57"/>
      <c r="Z31" s="14">
        <f>CHOOSE(CONTROL!$C$42, 4.0596, 4.0596) * CHOOSE(CONTROL!$C$21, $C$9, 100%, $E$9)</f>
        <v>4.0595999999999997</v>
      </c>
      <c r="AA31" s="61">
        <f>(31*((8.01*31500+8.07*100000)/31))/1000000</f>
        <v>1.059315</v>
      </c>
      <c r="AB31" s="50">
        <f>(B31*194.205+C31*267.466+D31*133.845+E31*213.484+F31*40+G31*25+H31*50+I31*100+J31*300)/(194.205+267.466+133.845+213.484+50+40+25+100+300)</f>
        <v>4.1911046457703929</v>
      </c>
      <c r="AC31" s="45">
        <f t="shared" si="1"/>
        <v>4.1190258992805751</v>
      </c>
    </row>
    <row r="32" spans="1:29" ht="15" x14ac:dyDescent="0.2">
      <c r="A32" s="13">
        <v>41852</v>
      </c>
      <c r="B32" s="14">
        <f>CHOOSE(CONTROL!$C$42, 4.1397, 4.1397) * CHOOSE(CONTROL!$C$21, $C$9, 100%, $E$9)</f>
        <v>4.1397000000000004</v>
      </c>
      <c r="C32" s="14">
        <f>CHOOSE(CONTROL!$C$42, 4.1477, 4.1477) * CHOOSE(CONTROL!$C$21, $C$9, 100%, $E$9)</f>
        <v>4.1477000000000004</v>
      </c>
      <c r="D32" s="14">
        <f>CHOOSE(CONTROL!$C$42, 4.3527, 4.3527) * CHOOSE(CONTROL!$C$21, $C$9, 100%, $E$9)</f>
        <v>4.3526999999999996</v>
      </c>
      <c r="E32" s="14">
        <f>CHOOSE(CONTROL!$C$42, 4.3841, 4.3841) * CHOOSE(CONTROL!$C$21, $C$9, 100%, $E$9)</f>
        <v>4.3841000000000001</v>
      </c>
      <c r="F32" s="14">
        <f>CHOOSE(CONTROL!$C$42, 4.1269, 4.1269)*CHOOSE(CONTROL!$C$21, $C$9, 100%, $E$9)</f>
        <v>4.1269</v>
      </c>
      <c r="G32" s="14">
        <f>CHOOSE(CONTROL!$C$42, 4.1435, 4.1435)*CHOOSE(CONTROL!$C$21, $C$9, 100%, $E$9)</f>
        <v>4.1435000000000004</v>
      </c>
      <c r="H32" s="14">
        <f>CHOOSE(CONTROL!$C$42, 4.3728, 4.3728) * CHOOSE(CONTROL!$C$21, $C$9, 100%, $E$9)</f>
        <v>4.3727999999999998</v>
      </c>
      <c r="I32" s="14">
        <f>CHOOSE(CONTROL!$C$42, 4.1607, 4.1607)* CHOOSE(CONTROL!$C$21, $C$9, 100%, $E$9)</f>
        <v>4.1607000000000003</v>
      </c>
      <c r="J32" s="14">
        <f>CHOOSE(CONTROL!$C$42, 4.1199, 4.1199)* CHOOSE(CONTROL!$C$21, $C$9, 100%, $E$9)</f>
        <v>4.1199000000000003</v>
      </c>
      <c r="K32" s="62"/>
      <c r="L32" s="14">
        <f>CHOOSE(CONTROL!$C$42, 4.9598, 4.9598) * CHOOSE(CONTROL!$C$21, $C$9, 100%, $E$9)</f>
        <v>4.9598000000000004</v>
      </c>
      <c r="M32" s="14">
        <f>CHOOSE(CONTROL!$C$42, 4.0431, 4.0431) * CHOOSE(CONTROL!$C$21, $C$9, 100%, $E$9)</f>
        <v>4.0430999999999999</v>
      </c>
      <c r="N32" s="14">
        <f>CHOOSE(CONTROL!$C$42, 4.0595, 4.0595) * CHOOSE(CONTROL!$C$21, $C$9, 100%, $E$9)</f>
        <v>4.0594999999999999</v>
      </c>
      <c r="O32" s="14">
        <f>CHOOSE(CONTROL!$C$42, 4.2909, 4.2909) * CHOOSE(CONTROL!$C$21, $C$9, 100%, $E$9)</f>
        <v>4.2908999999999997</v>
      </c>
      <c r="P32" s="14">
        <f>CHOOSE(CONTROL!$C$42, 4.0829, 4.0829) * CHOOSE(CONTROL!$C$21, $C$9, 100%, $E$9)</f>
        <v>4.0829000000000004</v>
      </c>
      <c r="Q32" s="14">
        <f>CHOOSE(CONTROL!$C$42, 4.8856, 4.8856) * CHOOSE(CONTROL!$C$21, $C$9, 100%, $E$9)</f>
        <v>4.8856000000000002</v>
      </c>
      <c r="R32" s="14">
        <f>CHOOSE(CONTROL!$C$42, 5.4848, 5.4848) * CHOOSE(CONTROL!$C$21, $C$9, 100%, $E$9)</f>
        <v>5.4847999999999999</v>
      </c>
      <c r="S32" s="14">
        <f>CHOOSE(CONTROL!$C$42, 3.9672, 3.9672) * CHOOSE(CONTROL!$C$21, $C$9, 100%, $E$9)</f>
        <v>3.9672000000000001</v>
      </c>
      <c r="T32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7">
        <f>(1000*CHOOSE(CONTROL!$C$42, 695, 695)*CHOOSE(CONTROL!$C$42, 0.5599, 0.5599)*CHOOSE(CONTROL!$C$42, 31, 31))/1000000</f>
        <v>12.063045499999998</v>
      </c>
      <c r="V32" s="57">
        <f>(1000*CHOOSE(CONTROL!$C$42, 580, 580)*CHOOSE(CONTROL!$C$42, 0.275, 0.275)*CHOOSE(CONTROL!$C$42, 31, 31))/1000000</f>
        <v>4.9444999999999997</v>
      </c>
      <c r="W32" s="57">
        <f>(1000*CHOOSE(CONTROL!$C$42, 0.1146, 0.1146)*CHOOSE(CONTROL!$C$42, 200, 200)*CHOOSE(CONTROL!$C$42, 31, 31))/1000000</f>
        <v>0.71052000000000004</v>
      </c>
      <c r="X32" s="57">
        <f>31*0.1790888*145000/1000000</f>
        <v>0.80500415599999997</v>
      </c>
      <c r="Y32" s="57"/>
      <c r="Z32" s="14">
        <f>CHOOSE(CONTROL!$C$42, 4.076, 4.076) * CHOOSE(CONTROL!$C$21, $C$9, 100%, $E$9)</f>
        <v>4.0759999999999996</v>
      </c>
      <c r="AA32" s="61">
        <f>(31*((8.01*31500+8.07*100000)/31))/1000000</f>
        <v>1.059315</v>
      </c>
      <c r="AB32" s="50">
        <f>(B32*194.205+C32*267.466+D32*133.845+E32*213.484+F32*40+G32*25+H32*50+I32*100+J32*300)/(194.205+267.466+133.845+213.484+50+40+25+100+300)</f>
        <v>4.2078436575528704</v>
      </c>
      <c r="AC32" s="45">
        <f t="shared" si="1"/>
        <v>4.135446762589928</v>
      </c>
    </row>
    <row r="33" spans="1:29" ht="15" x14ac:dyDescent="0.2">
      <c r="A33" s="13">
        <v>41883</v>
      </c>
      <c r="B33" s="14">
        <f>CHOOSE(CONTROL!$C$42, 4.1372, 4.1372) * CHOOSE(CONTROL!$C$21, $C$9, 100%, $E$9)</f>
        <v>4.1372</v>
      </c>
      <c r="C33" s="14">
        <f>CHOOSE(CONTROL!$C$42, 4.1452, 4.1452) * CHOOSE(CONTROL!$C$21, $C$9, 100%, $E$9)</f>
        <v>4.1452</v>
      </c>
      <c r="D33" s="14">
        <f>CHOOSE(CONTROL!$C$42, 4.3502, 4.3502) * CHOOSE(CONTROL!$C$21, $C$9, 100%, $E$9)</f>
        <v>4.3502000000000001</v>
      </c>
      <c r="E33" s="14">
        <f>CHOOSE(CONTROL!$C$42, 4.3817, 4.3817) * CHOOSE(CONTROL!$C$21, $C$9, 100%, $E$9)</f>
        <v>4.3817000000000004</v>
      </c>
      <c r="F33" s="14">
        <f>CHOOSE(CONTROL!$C$42, 4.1244, 4.1244)*CHOOSE(CONTROL!$C$21, $C$9, 100%, $E$9)</f>
        <v>4.1243999999999996</v>
      </c>
      <c r="G33" s="14">
        <f>CHOOSE(CONTROL!$C$42, 4.141, 4.141)*CHOOSE(CONTROL!$C$21, $C$9, 100%, $E$9)</f>
        <v>4.141</v>
      </c>
      <c r="H33" s="14">
        <f>CHOOSE(CONTROL!$C$42, 4.3703, 4.3703) * CHOOSE(CONTROL!$C$21, $C$9, 100%, $E$9)</f>
        <v>4.3703000000000003</v>
      </c>
      <c r="I33" s="14">
        <f>CHOOSE(CONTROL!$C$42, 4.1582, 4.1582)* CHOOSE(CONTROL!$C$21, $C$9, 100%, $E$9)</f>
        <v>4.1581999999999999</v>
      </c>
      <c r="J33" s="14">
        <f>CHOOSE(CONTROL!$C$42, 4.1174, 4.1174)* CHOOSE(CONTROL!$C$21, $C$9, 100%, $E$9)</f>
        <v>4.1173999999999999</v>
      </c>
      <c r="K33" s="62"/>
      <c r="L33" s="14">
        <f>CHOOSE(CONTROL!$C$42, 4.9573, 4.9573) * CHOOSE(CONTROL!$C$21, $C$9, 100%, $E$9)</f>
        <v>4.9573</v>
      </c>
      <c r="M33" s="14">
        <f>CHOOSE(CONTROL!$C$42, 4.0407, 4.0407) * CHOOSE(CONTROL!$C$21, $C$9, 100%, $E$9)</f>
        <v>4.0407000000000002</v>
      </c>
      <c r="N33" s="14">
        <f>CHOOSE(CONTROL!$C$42, 4.057, 4.057) * CHOOSE(CONTROL!$C$21, $C$9, 100%, $E$9)</f>
        <v>4.0570000000000004</v>
      </c>
      <c r="O33" s="14">
        <f>CHOOSE(CONTROL!$C$42, 4.2884, 4.2884) * CHOOSE(CONTROL!$C$21, $C$9, 100%, $E$9)</f>
        <v>4.2884000000000002</v>
      </c>
      <c r="P33" s="14">
        <f>CHOOSE(CONTROL!$C$42, 4.0805, 4.0805) * CHOOSE(CONTROL!$C$21, $C$9, 100%, $E$9)</f>
        <v>4.0804999999999998</v>
      </c>
      <c r="Q33" s="14">
        <f>CHOOSE(CONTROL!$C$42, 4.8831, 4.8831) * CHOOSE(CONTROL!$C$21, $C$9, 100%, $E$9)</f>
        <v>4.8830999999999998</v>
      </c>
      <c r="R33" s="14">
        <f>CHOOSE(CONTROL!$C$42, 5.4823, 5.4823) * CHOOSE(CONTROL!$C$21, $C$9, 100%, $E$9)</f>
        <v>5.4823000000000004</v>
      </c>
      <c r="S33" s="14">
        <f>CHOOSE(CONTROL!$C$42, 3.9648, 3.9648) * CHOOSE(CONTROL!$C$21, $C$9, 100%, $E$9)</f>
        <v>3.9647999999999999</v>
      </c>
      <c r="T33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7">
        <f>(1000*CHOOSE(CONTROL!$C$42, 695, 695)*CHOOSE(CONTROL!$C$42, 0.5599, 0.5599)*CHOOSE(CONTROL!$C$42, 30, 30))/1000000</f>
        <v>11.673914999999997</v>
      </c>
      <c r="V33" s="57">
        <f>(1000*CHOOSE(CONTROL!$C$42, 580, 580)*CHOOSE(CONTROL!$C$42, 0.275, 0.275)*CHOOSE(CONTROL!$C$42, 30, 30))/1000000</f>
        <v>4.7850000000000001</v>
      </c>
      <c r="W33" s="57">
        <f>(1000*CHOOSE(CONTROL!$C$42, 0.1146, 0.1146)*CHOOSE(CONTROL!$C$42, 200, 200)*CHOOSE(CONTROL!$C$42, 30, 30))/1000000</f>
        <v>0.68759999999999999</v>
      </c>
      <c r="X33" s="57">
        <f>30*0.1790888*145000/1000000</f>
        <v>0.77903627999999991</v>
      </c>
      <c r="Y33" s="57"/>
      <c r="Z33" s="14">
        <f>CHOOSE(CONTROL!$C$42, 4.0736, 4.0736) * CHOOSE(CONTROL!$C$21, $C$9, 100%, $E$9)</f>
        <v>4.0735999999999999</v>
      </c>
      <c r="AA33" s="61">
        <f>(30*((8.01*31500+8.07*100000)/30))/1000000</f>
        <v>1.059315</v>
      </c>
      <c r="AB33" s="50">
        <f>(B33*194.205+C33*267.466+D33*133.845+E33*213.484+F33*40+G33*25+H33*50+I33*100+J33*300)/(194.205+267.466+133.845+213.484+50+40+25+100+300)</f>
        <v>4.2053597817220547</v>
      </c>
      <c r="AC33" s="45">
        <f t="shared" si="1"/>
        <v>4.1329956834532373</v>
      </c>
    </row>
    <row r="34" spans="1:29" ht="15" x14ac:dyDescent="0.2">
      <c r="A34" s="13">
        <v>41913</v>
      </c>
      <c r="B34" s="14">
        <f>CHOOSE(CONTROL!$C$42, 4.1583, 4.1583) * CHOOSE(CONTROL!$C$21, $C$9, 100%, $E$9)</f>
        <v>4.1582999999999997</v>
      </c>
      <c r="C34" s="14">
        <f>CHOOSE(CONTROL!$C$42, 4.1636, 4.1636) * CHOOSE(CONTROL!$C$21, $C$9, 100%, $E$9)</f>
        <v>4.1635999999999997</v>
      </c>
      <c r="D34" s="14">
        <f>CHOOSE(CONTROL!$C$42, 4.3736, 4.3736) * CHOOSE(CONTROL!$C$21, $C$9, 100%, $E$9)</f>
        <v>4.3735999999999997</v>
      </c>
      <c r="E34" s="14">
        <f>CHOOSE(CONTROL!$C$42, 4.4027, 4.4027) * CHOOSE(CONTROL!$C$21, $C$9, 100%, $E$9)</f>
        <v>4.4027000000000003</v>
      </c>
      <c r="F34" s="14">
        <f>CHOOSE(CONTROL!$C$42, 4.1475, 4.1475)*CHOOSE(CONTROL!$C$21, $C$9, 100%, $E$9)</f>
        <v>4.1475</v>
      </c>
      <c r="G34" s="14">
        <f>CHOOSE(CONTROL!$C$42, 4.1639, 4.1639)*CHOOSE(CONTROL!$C$21, $C$9, 100%, $E$9)</f>
        <v>4.1638999999999999</v>
      </c>
      <c r="H34" s="14">
        <f>CHOOSE(CONTROL!$C$42, 4.3932, 4.3932) * CHOOSE(CONTROL!$C$21, $C$9, 100%, $E$9)</f>
        <v>4.3932000000000002</v>
      </c>
      <c r="I34" s="14">
        <f>CHOOSE(CONTROL!$C$42, 4.1812, 4.1812)* CHOOSE(CONTROL!$C$21, $C$9, 100%, $E$9)</f>
        <v>4.1811999999999996</v>
      </c>
      <c r="J34" s="14">
        <f>CHOOSE(CONTROL!$C$42, 4.1405, 4.1405)* CHOOSE(CONTROL!$C$21, $C$9, 100%, $E$9)</f>
        <v>4.1405000000000003</v>
      </c>
      <c r="K34" s="62"/>
      <c r="L34" s="14">
        <f>CHOOSE(CONTROL!$C$42, 4.9802, 4.9802) * CHOOSE(CONTROL!$C$21, $C$9, 100%, $E$9)</f>
        <v>4.9802</v>
      </c>
      <c r="M34" s="14">
        <f>CHOOSE(CONTROL!$C$42, 4.0634, 4.0634) * CHOOSE(CONTROL!$C$21, $C$9, 100%, $E$9)</f>
        <v>4.0633999999999997</v>
      </c>
      <c r="N34" s="14">
        <f>CHOOSE(CONTROL!$C$42, 4.0794, 4.0794) * CHOOSE(CONTROL!$C$21, $C$9, 100%, $E$9)</f>
        <v>4.0793999999999997</v>
      </c>
      <c r="O34" s="14">
        <f>CHOOSE(CONTROL!$C$42, 4.3109, 4.3109) * CHOOSE(CONTROL!$C$21, $C$9, 100%, $E$9)</f>
        <v>4.3109000000000002</v>
      </c>
      <c r="P34" s="14">
        <f>CHOOSE(CONTROL!$C$42, 4.103, 4.103) * CHOOSE(CONTROL!$C$21, $C$9, 100%, $E$9)</f>
        <v>4.1029999999999998</v>
      </c>
      <c r="Q34" s="14">
        <f>CHOOSE(CONTROL!$C$42, 4.9056, 4.9056) * CHOOSE(CONTROL!$C$21, $C$9, 100%, $E$9)</f>
        <v>4.9055999999999997</v>
      </c>
      <c r="R34" s="14">
        <f>CHOOSE(CONTROL!$C$42, 5.5048, 5.5048) * CHOOSE(CONTROL!$C$21, $C$9, 100%, $E$9)</f>
        <v>5.5048000000000004</v>
      </c>
      <c r="S34" s="14">
        <f>CHOOSE(CONTROL!$C$42, 3.9868, 3.9868) * CHOOSE(CONTROL!$C$21, $C$9, 100%, $E$9)</f>
        <v>3.9868000000000001</v>
      </c>
      <c r="T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7">
        <f>(1000*CHOOSE(CONTROL!$C$42, 695, 695)*CHOOSE(CONTROL!$C$42, 0.5599, 0.5599)*CHOOSE(CONTROL!$C$42, 31, 31))/1000000</f>
        <v>12.063045499999998</v>
      </c>
      <c r="V34" s="57">
        <f>(1000*CHOOSE(CONTROL!$C$42, 580, 580)*CHOOSE(CONTROL!$C$42, 0.275, 0.275)*CHOOSE(CONTROL!$C$42, 31, 31))/1000000</f>
        <v>4.9444999999999997</v>
      </c>
      <c r="W34" s="57">
        <f>(1000*CHOOSE(CONTROL!$C$42, 0.1146, 0.1146)*CHOOSE(CONTROL!$C$42, 200, 200)*CHOOSE(CONTROL!$C$42, 31, 31))/1000000</f>
        <v>0.71052000000000004</v>
      </c>
      <c r="X34" s="57">
        <f>31*0.1790888*145000/1000000</f>
        <v>0.80500415599999997</v>
      </c>
      <c r="Y34" s="57"/>
      <c r="Z34" s="14">
        <f>CHOOSE(CONTROL!$C$42, 4.0961, 4.0961) * CHOOSE(CONTROL!$C$21, $C$9, 100%, $E$9)</f>
        <v>4.0960999999999999</v>
      </c>
      <c r="AA34" s="61">
        <f>(31*((8.01*31500+8.07*100000)/31))/1000000</f>
        <v>1.059315</v>
      </c>
      <c r="AB34" s="50">
        <f>(B34*131.881+C34*277.167+D34*79.08+E34*285.872+F34*40+G34*25+H34*0+I34*100+J34*300)/(131.881+277.167+79.08+285.872+0+40+25+100+300)</f>
        <v>4.2269198756255042</v>
      </c>
      <c r="AC34" s="45">
        <f t="shared" si="1"/>
        <v>4.1555474820143878</v>
      </c>
    </row>
    <row r="35" spans="1:29" ht="15" x14ac:dyDescent="0.2">
      <c r="A35" s="13">
        <v>41944</v>
      </c>
      <c r="B35" s="14">
        <f>CHOOSE(CONTROL!$C$42, 4.237, 4.237) * CHOOSE(CONTROL!$C$21, $C$9, 100%, $E$9)</f>
        <v>4.2370000000000001</v>
      </c>
      <c r="C35" s="14">
        <f>CHOOSE(CONTROL!$C$42, 4.2421, 4.2421) * CHOOSE(CONTROL!$C$21, $C$9, 100%, $E$9)</f>
        <v>4.2420999999999998</v>
      </c>
      <c r="D35" s="14">
        <f>CHOOSE(CONTROL!$C$42, 4.3059, 4.3059) * CHOOSE(CONTROL!$C$21, $C$9, 100%, $E$9)</f>
        <v>4.3059000000000003</v>
      </c>
      <c r="E35" s="14">
        <f>CHOOSE(CONTROL!$C$42, 4.34, 4.34) * CHOOSE(CONTROL!$C$21, $C$9, 100%, $E$9)</f>
        <v>4.34</v>
      </c>
      <c r="F35" s="14">
        <f>CHOOSE(CONTROL!$C$42, 4.2392, 4.2392)*CHOOSE(CONTROL!$C$21, $C$9, 100%, $E$9)</f>
        <v>4.2392000000000003</v>
      </c>
      <c r="G35" s="14">
        <f>CHOOSE(CONTROL!$C$42, 4.2559, 4.2559)*CHOOSE(CONTROL!$C$21, $C$9, 100%, $E$9)</f>
        <v>4.2558999999999996</v>
      </c>
      <c r="H35" s="14">
        <f>CHOOSE(CONTROL!$C$42, 4.3292, 4.3292) * CHOOSE(CONTROL!$C$21, $C$9, 100%, $E$9)</f>
        <v>4.3292000000000002</v>
      </c>
      <c r="I35" s="14">
        <f>CHOOSE(CONTROL!$C$42, 4.2642, 4.2642)* CHOOSE(CONTROL!$C$21, $C$9, 100%, $E$9)</f>
        <v>4.2641999999999998</v>
      </c>
      <c r="J35" s="14">
        <f>CHOOSE(CONTROL!$C$42, 4.2322, 4.2322)* CHOOSE(CONTROL!$C$21, $C$9, 100%, $E$9)</f>
        <v>4.2321999999999997</v>
      </c>
      <c r="K35" s="62"/>
      <c r="L35" s="14">
        <f>CHOOSE(CONTROL!$C$42, 4.9162, 4.9162) * CHOOSE(CONTROL!$C$21, $C$9, 100%, $E$9)</f>
        <v>4.9161999999999999</v>
      </c>
      <c r="M35" s="14">
        <f>CHOOSE(CONTROL!$C$42, 4.1532, 4.1532) * CHOOSE(CONTROL!$C$21, $C$9, 100%, $E$9)</f>
        <v>4.1532</v>
      </c>
      <c r="N35" s="14">
        <f>CHOOSE(CONTROL!$C$42, 4.1695, 4.1695) * CHOOSE(CONTROL!$C$21, $C$9, 100%, $E$9)</f>
        <v>4.1695000000000002</v>
      </c>
      <c r="O35" s="14">
        <f>CHOOSE(CONTROL!$C$42, 4.2482, 4.2482) * CHOOSE(CONTROL!$C$21, $C$9, 100%, $E$9)</f>
        <v>4.2481999999999998</v>
      </c>
      <c r="P35" s="14">
        <f>CHOOSE(CONTROL!$C$42, 4.1843, 4.1843) * CHOOSE(CONTROL!$C$21, $C$9, 100%, $E$9)</f>
        <v>4.1843000000000004</v>
      </c>
      <c r="Q35" s="14">
        <f>CHOOSE(CONTROL!$C$42, 4.8429, 4.8429) * CHOOSE(CONTROL!$C$21, $C$9, 100%, $E$9)</f>
        <v>4.8429000000000002</v>
      </c>
      <c r="R35" s="14">
        <f>CHOOSE(CONTROL!$C$42, 5.442, 5.442) * CHOOSE(CONTROL!$C$21, $C$9, 100%, $E$9)</f>
        <v>5.4420000000000002</v>
      </c>
      <c r="S35" s="14">
        <f>CHOOSE(CONTROL!$C$42, 4.0628, 4.0628) * CHOOSE(CONTROL!$C$21, $C$9, 100%, $E$9)</f>
        <v>4.0628000000000002</v>
      </c>
      <c r="T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7">
        <f>(1000*CHOOSE(CONTROL!$C$42, 695, 695)*CHOOSE(CONTROL!$C$42, 0.5599, 0.5599)*CHOOSE(CONTROL!$C$42, 30, 30))/1000000</f>
        <v>11.673914999999997</v>
      </c>
      <c r="V35" s="57">
        <f>(1000*CHOOSE(CONTROL!$C$42, 580, 580)*CHOOSE(CONTROL!$C$42, 0.275, 0.275)*CHOOSE(CONTROL!$C$42, 30, 30))/1000000</f>
        <v>4.7850000000000001</v>
      </c>
      <c r="W35" s="57">
        <f>(1000*CHOOSE(CONTROL!$C$42, 0.1146, 0.1146)*CHOOSE(CONTROL!$C$42, 200, 200)*CHOOSE(CONTROL!$C$42, 30, 30))/1000000</f>
        <v>0.68759999999999999</v>
      </c>
      <c r="X35" s="57">
        <v>0</v>
      </c>
      <c r="Y35" s="57"/>
      <c r="Z35" s="14">
        <f>CHOOSE(CONTROL!$C$42, 4.1754, 4.1754) * CHOOSE(CONTROL!$C$21, $C$9, 100%, $E$9)</f>
        <v>4.1753999999999998</v>
      </c>
      <c r="AA35" s="61">
        <f>(30*((8.01*31500+8.07*100000)/30))/1000000</f>
        <v>1.059315</v>
      </c>
      <c r="AB35" s="50">
        <f>(B35*122.58+C35*297.941+D35*89.177+E35*200.302+F35*40+G35*0+H35*0+I35*100+J35*300)/(122.58+297.941+89.177+200.302+0+40+0+100+300)</f>
        <v>4.2627938264347822</v>
      </c>
      <c r="AC35" s="45">
        <f>(M35*240+N35*0+O35*355+P35*100)/(240+0+355+100)</f>
        <v>4.2061999999999999</v>
      </c>
    </row>
    <row r="36" spans="1:29" ht="15" x14ac:dyDescent="0.2">
      <c r="A36" s="13">
        <v>41974</v>
      </c>
      <c r="B36" s="14">
        <f>CHOOSE(CONTROL!$C$42, 4.3973, 4.3973) * CHOOSE(CONTROL!$C$21, $C$9, 100%, $E$9)</f>
        <v>4.3973000000000004</v>
      </c>
      <c r="C36" s="14">
        <f>CHOOSE(CONTROL!$C$42, 4.4023, 4.4023) * CHOOSE(CONTROL!$C$21, $C$9, 100%, $E$9)</f>
        <v>4.4023000000000003</v>
      </c>
      <c r="D36" s="14">
        <f>CHOOSE(CONTROL!$C$42, 4.4661, 4.4661) * CHOOSE(CONTROL!$C$21, $C$9, 100%, $E$9)</f>
        <v>4.4661</v>
      </c>
      <c r="E36" s="14">
        <f>CHOOSE(CONTROL!$C$42, 4.5003, 4.5003) * CHOOSE(CONTROL!$C$21, $C$9, 100%, $E$9)</f>
        <v>4.5003000000000002</v>
      </c>
      <c r="F36" s="14">
        <f>CHOOSE(CONTROL!$C$42, 4.4016, 4.4016)*CHOOSE(CONTROL!$C$21, $C$9, 100%, $E$9)</f>
        <v>4.4016000000000002</v>
      </c>
      <c r="G36" s="14">
        <f>CHOOSE(CONTROL!$C$42, 4.4188, 4.4188)*CHOOSE(CONTROL!$C$21, $C$9, 100%, $E$9)</f>
        <v>4.4188000000000001</v>
      </c>
      <c r="H36" s="14">
        <f>CHOOSE(CONTROL!$C$42, 4.4894, 4.4894) * CHOOSE(CONTROL!$C$21, $C$9, 100%, $E$9)</f>
        <v>4.4893999999999998</v>
      </c>
      <c r="I36" s="14">
        <f>CHOOSE(CONTROL!$C$42, 4.4249, 4.4249)* CHOOSE(CONTROL!$C$21, $C$9, 100%, $E$9)</f>
        <v>4.4249000000000001</v>
      </c>
      <c r="J36" s="14">
        <f>CHOOSE(CONTROL!$C$42, 4.3946, 4.3946)* CHOOSE(CONTROL!$C$21, $C$9, 100%, $E$9)</f>
        <v>4.3945999999999996</v>
      </c>
      <c r="K36" s="62"/>
      <c r="L36" s="14">
        <f>CHOOSE(CONTROL!$C$42, 5.0764, 5.0764) * CHOOSE(CONTROL!$C$21, $C$9, 100%, $E$9)</f>
        <v>5.0763999999999996</v>
      </c>
      <c r="M36" s="14">
        <f>CHOOSE(CONTROL!$C$42, 4.3122, 4.3122) * CHOOSE(CONTROL!$C$21, $C$9, 100%, $E$9)</f>
        <v>4.3121999999999998</v>
      </c>
      <c r="N36" s="14">
        <f>CHOOSE(CONTROL!$C$42, 4.3291, 4.3291) * CHOOSE(CONTROL!$C$21, $C$9, 100%, $E$9)</f>
        <v>4.3291000000000004</v>
      </c>
      <c r="O36" s="14">
        <f>CHOOSE(CONTROL!$C$42, 4.4052, 4.4052) * CHOOSE(CONTROL!$C$21, $C$9, 100%, $E$9)</f>
        <v>4.4051999999999998</v>
      </c>
      <c r="P36" s="14">
        <f>CHOOSE(CONTROL!$C$42, 4.3418, 4.3418) * CHOOSE(CONTROL!$C$21, $C$9, 100%, $E$9)</f>
        <v>4.3418000000000001</v>
      </c>
      <c r="Q36" s="14">
        <f>CHOOSE(CONTROL!$C$42, 4.9999, 4.9999) * CHOOSE(CONTROL!$C$21, $C$9, 100%, $E$9)</f>
        <v>4.9999000000000002</v>
      </c>
      <c r="R36" s="14">
        <f>CHOOSE(CONTROL!$C$42, 5.5994, 5.5994) * CHOOSE(CONTROL!$C$21, $C$9, 100%, $E$9)</f>
        <v>5.5994000000000002</v>
      </c>
      <c r="S36" s="14">
        <f>CHOOSE(CONTROL!$C$42, 4.2168, 4.2168) * CHOOSE(CONTROL!$C$21, $C$9, 100%, $E$9)</f>
        <v>4.2168000000000001</v>
      </c>
      <c r="T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7">
        <f>(1000*CHOOSE(CONTROL!$C$42, 695, 695)*CHOOSE(CONTROL!$C$42, 0.5599, 0.5599)*CHOOSE(CONTROL!$C$42, 31, 31))/1000000</f>
        <v>12.063045499999998</v>
      </c>
      <c r="V36" s="57">
        <f>(1000*CHOOSE(CONTROL!$C$42, 580, 580)*CHOOSE(CONTROL!$C$42, 0.275, 0.275)*CHOOSE(CONTROL!$C$42, 31, 31))/1000000</f>
        <v>4.9444999999999997</v>
      </c>
      <c r="W36" s="57">
        <f>(1000*CHOOSE(CONTROL!$C$42, 0.1146, 0.1146)*CHOOSE(CONTROL!$C$42, 200, 200)*CHOOSE(CONTROL!$C$42, 31, 31))/1000000</f>
        <v>0.71052000000000004</v>
      </c>
      <c r="X36" s="57">
        <v>0</v>
      </c>
      <c r="Y36" s="57"/>
      <c r="Z36" s="14">
        <f>CHOOSE(CONTROL!$C$42, 4.333, 4.333) * CHOOSE(CONTROL!$C$21, $C$9, 100%, $E$9)</f>
        <v>4.3330000000000002</v>
      </c>
      <c r="AA36" s="61">
        <f>(31*((8.01*31500+8.07*100000)/31))/1000000</f>
        <v>1.059315</v>
      </c>
      <c r="AB36" s="50">
        <f>(B36*122.58+C36*297.941+D36*89.177+E36*200.302+F36*40+G36*0+H36*0+I36*100+J36*300)/(122.58+297.941+89.177+200.302+0+40+0+100+300)</f>
        <v>4.423715816173913</v>
      </c>
      <c r="AC36" s="45">
        <f>(M36*240+N36*0+O36*355+P36*100)/(240+0+355+100)</f>
        <v>4.3639625899280574</v>
      </c>
    </row>
    <row r="37" spans="1:29" ht="15.75" x14ac:dyDescent="0.25">
      <c r="A37" s="13">
        <v>42005</v>
      </c>
      <c r="B37" s="14">
        <f>CHOOSE(CONTROL!$C$42, 4.4826, 4.4826) * CHOOSE(CONTROL!$C$21, $C$9, 100%, $E$9)</f>
        <v>4.4825999999999997</v>
      </c>
      <c r="C37" s="14">
        <f>CHOOSE(CONTROL!$C$42, 4.4877, 4.4877) * CHOOSE(CONTROL!$C$21, $C$9, 100%, $E$9)</f>
        <v>4.4877000000000002</v>
      </c>
      <c r="D37" s="14">
        <f>CHOOSE(CONTROL!$C$42, 4.5463, 4.5463) * CHOOSE(CONTROL!$C$21, $C$9, 100%, $E$9)</f>
        <v>4.5462999999999996</v>
      </c>
      <c r="E37" s="14">
        <f>CHOOSE(CONTROL!$C$42, 4.5804, 4.5804) * CHOOSE(CONTROL!$C$21, $C$9, 100%, $E$9)</f>
        <v>4.5804</v>
      </c>
      <c r="F37" s="14">
        <f>CHOOSE(CONTROL!$C$42, 4.4817, 4.4817)*CHOOSE(CONTROL!$C$21, $C$9, 100%, $E$9)</f>
        <v>4.4817</v>
      </c>
      <c r="G37" s="14">
        <f>CHOOSE(CONTROL!$C$42, 4.4981, 4.4981)*CHOOSE(CONTROL!$C$21, $C$9, 100%, $E$9)</f>
        <v>4.4981</v>
      </c>
      <c r="H37" s="14">
        <f>CHOOSE(CONTROL!$C$42, 4.5696, 4.5696) * CHOOSE(CONTROL!$C$21, $C$9, 100%, $E$9)</f>
        <v>4.5696000000000003</v>
      </c>
      <c r="I37" s="14">
        <f>CHOOSE(CONTROL!$C$42, 4.5069, 4.5069)* CHOOSE(CONTROL!$C$21, $C$9, 100%, $E$9)</f>
        <v>4.5068999999999999</v>
      </c>
      <c r="J37" s="14">
        <f>CHOOSE(CONTROL!$C$42, 4.4747, 4.4747)* CHOOSE(CONTROL!$C$21, $C$9, 100%, $E$9)</f>
        <v>4.4747000000000003</v>
      </c>
      <c r="K37" s="53"/>
      <c r="L37" s="14">
        <f>CHOOSE(CONTROL!$C$42, 5.1566, 5.1566) * CHOOSE(CONTROL!$C$21, $C$9, 100%, $E$9)</f>
        <v>5.1566000000000001</v>
      </c>
      <c r="M37" s="14">
        <f>CHOOSE(CONTROL!$C$42, 4.3907, 4.3907) * CHOOSE(CONTROL!$C$21, $C$9, 100%, $E$9)</f>
        <v>4.3906999999999998</v>
      </c>
      <c r="N37" s="14">
        <f>CHOOSE(CONTROL!$C$42, 4.4068, 4.4068) * CHOOSE(CONTROL!$C$21, $C$9, 100%, $E$9)</f>
        <v>4.4067999999999996</v>
      </c>
      <c r="O37" s="14">
        <f>CHOOSE(CONTROL!$C$42, 4.4836, 4.4836) * CHOOSE(CONTROL!$C$21, $C$9, 100%, $E$9)</f>
        <v>4.4836</v>
      </c>
      <c r="P37" s="14">
        <f>CHOOSE(CONTROL!$C$42, 4.422, 4.422) * CHOOSE(CONTROL!$C$21, $C$9, 100%, $E$9)</f>
        <v>4.4219999999999997</v>
      </c>
      <c r="Q37" s="14">
        <f>CHOOSE(CONTROL!$C$42, 5.0783, 5.0783) * CHOOSE(CONTROL!$C$21, $C$9, 100%, $E$9)</f>
        <v>5.0782999999999996</v>
      </c>
      <c r="R37" s="14">
        <f>CHOOSE(CONTROL!$C$42, 5.678, 5.678) * CHOOSE(CONTROL!$C$21, $C$9, 100%, $E$9)</f>
        <v>5.6779999999999999</v>
      </c>
      <c r="S37" s="14">
        <f>CHOOSE(CONTROL!$C$42, 4.2988, 4.2988) * CHOOSE(CONTROL!$C$21, $C$9, 100%, $E$9)</f>
        <v>4.2988</v>
      </c>
      <c r="T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7">
        <f>(1000*CHOOSE(CONTROL!$C$42, 695, 695)*CHOOSE(CONTROL!$C$42, 0.5599, 0.5599)*CHOOSE(CONTROL!$C$42, 31, 31))/1000000</f>
        <v>12.063045499999998</v>
      </c>
      <c r="V37" s="57">
        <f>(1000*CHOOSE(CONTROL!$C$42, 580, 580)*CHOOSE(CONTROL!$C$42, 0.275, 0.275)*CHOOSE(CONTROL!$C$42, 31, 31))/1000000</f>
        <v>4.9444999999999997</v>
      </c>
      <c r="W37" s="57">
        <f>(1000*CHOOSE(CONTROL!$C$42, 0.1146, 0.1146)*CHOOSE(CONTROL!$C$42, 200, 200)*CHOOSE(CONTROL!$C$42, 31, 31))/1000000</f>
        <v>0.71052000000000004</v>
      </c>
      <c r="X37" s="57">
        <v>0</v>
      </c>
      <c r="Y37" s="57"/>
      <c r="Z37" s="14">
        <f>CHOOSE(CONTROL!$C$42, 4.4108, 4.4108) * CHOOSE(CONTROL!$C$21, $C$9, 100%, $E$9)</f>
        <v>4.4108000000000001</v>
      </c>
      <c r="AA37" s="61">
        <f>(31*((8.01*31500+8.07*100000)/31))/1000000</f>
        <v>1.059315</v>
      </c>
      <c r="AB37" s="50">
        <f>(B37*122.58+C37*297.941+D37*89.177+E37*200.302+F37*40+G37*0+H37*0+I37*100+J37*300)/(122.58+297.941+89.177+200.302+0+40+0+100+300)</f>
        <v>4.5059161822608704</v>
      </c>
      <c r="AC37" s="45">
        <f>(M37*240+N37*0+O37*355+P37*100)/(240+0+355+100)</f>
        <v>4.4426561151079129</v>
      </c>
    </row>
    <row r="38" spans="1:29" ht="15.75" x14ac:dyDescent="0.25">
      <c r="A38" s="13">
        <v>42036</v>
      </c>
      <c r="B38" s="14">
        <f>CHOOSE(CONTROL!$C$42, 4.4566, 4.4566) * CHOOSE(CONTROL!$C$21, $C$9, 100%, $E$9)</f>
        <v>4.4565999999999999</v>
      </c>
      <c r="C38" s="14">
        <f>CHOOSE(CONTROL!$C$42, 4.4617, 4.4617) * CHOOSE(CONTROL!$C$21, $C$9, 100%, $E$9)</f>
        <v>4.4617000000000004</v>
      </c>
      <c r="D38" s="14">
        <f>CHOOSE(CONTROL!$C$42, 4.5203, 4.5203) * CHOOSE(CONTROL!$C$21, $C$9, 100%, $E$9)</f>
        <v>4.5202999999999998</v>
      </c>
      <c r="E38" s="14">
        <f>CHOOSE(CONTROL!$C$42, 4.5544, 4.5544) * CHOOSE(CONTROL!$C$21, $C$9, 100%, $E$9)</f>
        <v>4.5544000000000002</v>
      </c>
      <c r="F38" s="14">
        <f>CHOOSE(CONTROL!$C$42, 4.4557, 4.4557)*CHOOSE(CONTROL!$C$21, $C$9, 100%, $E$9)</f>
        <v>4.4557000000000002</v>
      </c>
      <c r="G38" s="14">
        <f>CHOOSE(CONTROL!$C$42, 4.472, 4.472)*CHOOSE(CONTROL!$C$21, $C$9, 100%, $E$9)</f>
        <v>4.4720000000000004</v>
      </c>
      <c r="H38" s="14">
        <f>CHOOSE(CONTROL!$C$42, 4.5436, 4.5436) * CHOOSE(CONTROL!$C$21, $C$9, 100%, $E$9)</f>
        <v>4.5435999999999996</v>
      </c>
      <c r="I38" s="14">
        <f>CHOOSE(CONTROL!$C$42, 4.4808, 4.4808)* CHOOSE(CONTROL!$C$21, $C$9, 100%, $E$9)</f>
        <v>4.4808000000000003</v>
      </c>
      <c r="J38" s="14">
        <f>CHOOSE(CONTROL!$C$42, 4.4487, 4.4487)* CHOOSE(CONTROL!$C$21, $C$9, 100%, $E$9)</f>
        <v>4.4486999999999997</v>
      </c>
      <c r="K38" s="53"/>
      <c r="L38" s="14">
        <f>CHOOSE(CONTROL!$C$42, 5.1306, 5.1306) * CHOOSE(CONTROL!$C$21, $C$9, 100%, $E$9)</f>
        <v>5.1306000000000003</v>
      </c>
      <c r="M38" s="14">
        <f>CHOOSE(CONTROL!$C$42, 4.3652, 4.3652) * CHOOSE(CONTROL!$C$21, $C$9, 100%, $E$9)</f>
        <v>4.3651999999999997</v>
      </c>
      <c r="N38" s="14">
        <f>CHOOSE(CONTROL!$C$42, 4.3812, 4.3812) * CHOOSE(CONTROL!$C$21, $C$9, 100%, $E$9)</f>
        <v>4.3811999999999998</v>
      </c>
      <c r="O38" s="14">
        <f>CHOOSE(CONTROL!$C$42, 4.4582, 4.4582) * CHOOSE(CONTROL!$C$21, $C$9, 100%, $E$9)</f>
        <v>4.4581999999999997</v>
      </c>
      <c r="P38" s="14">
        <f>CHOOSE(CONTROL!$C$42, 4.3965, 4.3965) * CHOOSE(CONTROL!$C$21, $C$9, 100%, $E$9)</f>
        <v>4.3964999999999996</v>
      </c>
      <c r="Q38" s="14">
        <f>CHOOSE(CONTROL!$C$42, 5.0529, 5.0529) * CHOOSE(CONTROL!$C$21, $C$9, 100%, $E$9)</f>
        <v>5.0529000000000002</v>
      </c>
      <c r="R38" s="14">
        <f>CHOOSE(CONTROL!$C$42, 5.6525, 5.6525) * CHOOSE(CONTROL!$C$21, $C$9, 100%, $E$9)</f>
        <v>5.6524999999999999</v>
      </c>
      <c r="S38" s="14">
        <f>CHOOSE(CONTROL!$C$42, 4.2738, 4.2738) * CHOOSE(CONTROL!$C$21, $C$9, 100%, $E$9)</f>
        <v>4.2737999999999996</v>
      </c>
      <c r="T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7">
        <f>(1000*CHOOSE(CONTROL!$C$42, 695, 695)*CHOOSE(CONTROL!$C$42, 0.5599, 0.5599)*CHOOSE(CONTROL!$C$42, 28, 28))/1000000</f>
        <v>10.895653999999999</v>
      </c>
      <c r="V38" s="57">
        <f>(1000*CHOOSE(CONTROL!$C$42, 580, 580)*CHOOSE(CONTROL!$C$42, 0.275, 0.275)*CHOOSE(CONTROL!$C$42, 28, 28))/1000000</f>
        <v>4.4660000000000002</v>
      </c>
      <c r="W38" s="57">
        <f>(1000*CHOOSE(CONTROL!$C$42, 0.1146, 0.1146)*CHOOSE(CONTROL!$C$42, 200, 200)*CHOOSE(CONTROL!$C$42, 28, 28))/1000000</f>
        <v>0.64176</v>
      </c>
      <c r="X38" s="57">
        <v>0</v>
      </c>
      <c r="Y38" s="57"/>
      <c r="Z38" s="14">
        <f>CHOOSE(CONTROL!$C$42, 4.3852, 4.3852) * CHOOSE(CONTROL!$C$21, $C$9, 100%, $E$9)</f>
        <v>4.3852000000000002</v>
      </c>
      <c r="AA38" s="61">
        <f>(28*((8.01*31500+8.07*100000)/28))/1000000</f>
        <v>1.059315</v>
      </c>
      <c r="AB38" s="50">
        <f>(B38*122.58+C38*297.941+D38*89.177+E38*200.302+F38*40+G38*0+H38*0+I38*100+J38*300)/(122.58+297.941+89.177+200.302+0+40+0+100+300)</f>
        <v>4.4799074866086954</v>
      </c>
      <c r="AC38" s="45">
        <f>(M38*240+N38*0+O38*355+P38*100)/(240+0+355+100)</f>
        <v>4.4172071942446038</v>
      </c>
    </row>
    <row r="39" spans="1:29" ht="15.75" x14ac:dyDescent="0.25">
      <c r="A39" s="13">
        <v>42064</v>
      </c>
      <c r="B39" s="14">
        <f>CHOOSE(CONTROL!$C$42, 4.4014, 4.4014) * CHOOSE(CONTROL!$C$21, $C$9, 100%, $E$9)</f>
        <v>4.4013999999999998</v>
      </c>
      <c r="C39" s="14">
        <f>CHOOSE(CONTROL!$C$42, 4.4065, 4.4065) * CHOOSE(CONTROL!$C$21, $C$9, 100%, $E$9)</f>
        <v>4.4065000000000003</v>
      </c>
      <c r="D39" s="14">
        <f>CHOOSE(CONTROL!$C$42, 4.4651, 4.4651) * CHOOSE(CONTROL!$C$21, $C$9, 100%, $E$9)</f>
        <v>4.4650999999999996</v>
      </c>
      <c r="E39" s="14">
        <f>CHOOSE(CONTROL!$C$42, 4.4992, 4.4992) * CHOOSE(CONTROL!$C$21, $C$9, 100%, $E$9)</f>
        <v>4.4992000000000001</v>
      </c>
      <c r="F39" s="14">
        <f>CHOOSE(CONTROL!$C$42, 4.4, 4.4)*CHOOSE(CONTROL!$C$21, $C$9, 100%, $E$9)</f>
        <v>4.4000000000000004</v>
      </c>
      <c r="G39" s="14">
        <f>CHOOSE(CONTROL!$C$42, 4.4162, 4.4162)*CHOOSE(CONTROL!$C$21, $C$9, 100%, $E$9)</f>
        <v>4.4161999999999999</v>
      </c>
      <c r="H39" s="14">
        <f>CHOOSE(CONTROL!$C$42, 4.4884, 4.4884) * CHOOSE(CONTROL!$C$21, $C$9, 100%, $E$9)</f>
        <v>4.4884000000000004</v>
      </c>
      <c r="I39" s="14">
        <f>CHOOSE(CONTROL!$C$42, 4.4254, 4.4254)* CHOOSE(CONTROL!$C$21, $C$9, 100%, $E$9)</f>
        <v>4.4253999999999998</v>
      </c>
      <c r="J39" s="14">
        <f>CHOOSE(CONTROL!$C$42, 4.393, 4.393)* CHOOSE(CONTROL!$C$21, $C$9, 100%, $E$9)</f>
        <v>4.3929999999999998</v>
      </c>
      <c r="K39" s="53"/>
      <c r="L39" s="14">
        <f>CHOOSE(CONTROL!$C$42, 5.0754, 5.0754) * CHOOSE(CONTROL!$C$21, $C$9, 100%, $E$9)</f>
        <v>5.0754000000000001</v>
      </c>
      <c r="M39" s="14">
        <f>CHOOSE(CONTROL!$C$42, 4.3107, 4.3107) * CHOOSE(CONTROL!$C$21, $C$9, 100%, $E$9)</f>
        <v>4.3106999999999998</v>
      </c>
      <c r="N39" s="14">
        <f>CHOOSE(CONTROL!$C$42, 4.3266, 4.3266) * CHOOSE(CONTROL!$C$21, $C$9, 100%, $E$9)</f>
        <v>4.3266</v>
      </c>
      <c r="O39" s="14">
        <f>CHOOSE(CONTROL!$C$42, 4.4041, 4.4041) * CHOOSE(CONTROL!$C$21, $C$9, 100%, $E$9)</f>
        <v>4.4040999999999997</v>
      </c>
      <c r="P39" s="14">
        <f>CHOOSE(CONTROL!$C$42, 4.3423, 4.3423) * CHOOSE(CONTROL!$C$21, $C$9, 100%, $E$9)</f>
        <v>4.3422999999999998</v>
      </c>
      <c r="Q39" s="14">
        <f>CHOOSE(CONTROL!$C$42, 4.9988, 4.9988) * CHOOSE(CONTROL!$C$21, $C$9, 100%, $E$9)</f>
        <v>4.9988000000000001</v>
      </c>
      <c r="R39" s="14">
        <f>CHOOSE(CONTROL!$C$42, 5.5983, 5.5983) * CHOOSE(CONTROL!$C$21, $C$9, 100%, $E$9)</f>
        <v>5.5983000000000001</v>
      </c>
      <c r="S39" s="14">
        <f>CHOOSE(CONTROL!$C$42, 4.2208, 4.2208) * CHOOSE(CONTROL!$C$21, $C$9, 100%, $E$9)</f>
        <v>4.2207999999999997</v>
      </c>
      <c r="T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7">
        <f>(1000*CHOOSE(CONTROL!$C$42, 695, 695)*CHOOSE(CONTROL!$C$42, 0.5599, 0.5599)*CHOOSE(CONTROL!$C$42, 31, 31))/1000000</f>
        <v>12.063045499999998</v>
      </c>
      <c r="V39" s="57">
        <f>(1000*CHOOSE(CONTROL!$C$42, 580, 580)*CHOOSE(CONTROL!$C$42, 0.275, 0.275)*CHOOSE(CONTROL!$C$42, 31, 31))/1000000</f>
        <v>4.9444999999999997</v>
      </c>
      <c r="W39" s="57">
        <f>(1000*CHOOSE(CONTROL!$C$42, 0.1146, 0.1146)*CHOOSE(CONTROL!$C$42, 200, 200)*CHOOSE(CONTROL!$C$42, 31, 31))/1000000</f>
        <v>0.71052000000000004</v>
      </c>
      <c r="X39" s="57">
        <v>0</v>
      </c>
      <c r="Y39" s="57"/>
      <c r="Z39" s="14">
        <f>CHOOSE(CONTROL!$C$42, 4.331, 4.331) * CHOOSE(CONTROL!$C$21, $C$9, 100%, $E$9)</f>
        <v>4.3310000000000004</v>
      </c>
      <c r="AA39" s="61">
        <f>(31*((8.01*31500+8.07*100000)/31))/1000000</f>
        <v>1.059315</v>
      </c>
      <c r="AB39" s="50">
        <f>(B39*122.58+C39*297.941+D39*89.177+E39*200.302+F39*40+G39*0+H39*0+I39*100+J39*300)/(122.58+297.941+89.177+200.302+0+40+0+100+300)</f>
        <v>4.4245422692173912</v>
      </c>
      <c r="AC39" s="45">
        <f>(M39*240+N39*0+O39*355+P39*100)/(240+0+355+100)</f>
        <v>4.3629546762589921</v>
      </c>
    </row>
    <row r="40" spans="1:29" ht="15.75" x14ac:dyDescent="0.25">
      <c r="A40" s="13">
        <v>42095</v>
      </c>
      <c r="B40" s="14">
        <f>CHOOSE(CONTROL!$C$42, 4.1976, 4.1976) * CHOOSE(CONTROL!$C$21, $C$9, 100%, $E$9)</f>
        <v>4.1976000000000004</v>
      </c>
      <c r="C40" s="14">
        <f>CHOOSE(CONTROL!$C$42, 4.2021, 4.2021) * CHOOSE(CONTROL!$C$21, $C$9, 100%, $E$9)</f>
        <v>4.2020999999999997</v>
      </c>
      <c r="D40" s="14">
        <f>CHOOSE(CONTROL!$C$42, 4.4102, 4.4102) * CHOOSE(CONTROL!$C$21, $C$9, 100%, $E$9)</f>
        <v>4.4101999999999997</v>
      </c>
      <c r="E40" s="14">
        <f>CHOOSE(CONTROL!$C$42, 4.4423, 4.4423) * CHOOSE(CONTROL!$C$21, $C$9, 100%, $E$9)</f>
        <v>4.4423000000000004</v>
      </c>
      <c r="F40" s="14">
        <f>CHOOSE(CONTROL!$C$42, 4.1849, 4.1849)*CHOOSE(CONTROL!$C$21, $C$9, 100%, $E$9)</f>
        <v>4.1848999999999998</v>
      </c>
      <c r="G40" s="14">
        <f>CHOOSE(CONTROL!$C$42, 4.2009, 4.2009)*CHOOSE(CONTROL!$C$21, $C$9, 100%, $E$9)</f>
        <v>4.2008999999999999</v>
      </c>
      <c r="H40" s="14">
        <f>CHOOSE(CONTROL!$C$42, 4.4321, 4.4321) * CHOOSE(CONTROL!$C$21, $C$9, 100%, $E$9)</f>
        <v>4.4321000000000002</v>
      </c>
      <c r="I40" s="14">
        <f>CHOOSE(CONTROL!$C$42, 4.2202, 4.2202)* CHOOSE(CONTROL!$C$21, $C$9, 100%, $E$9)</f>
        <v>4.2202000000000002</v>
      </c>
      <c r="J40" s="14">
        <f>CHOOSE(CONTROL!$C$42, 4.1779, 4.1779)* CHOOSE(CONTROL!$C$21, $C$9, 100%, $E$9)</f>
        <v>4.1779000000000002</v>
      </c>
      <c r="K40" s="53"/>
      <c r="L40" s="14">
        <f>CHOOSE(CONTROL!$C$42, 5.0191, 5.0191) * CHOOSE(CONTROL!$C$21, $C$9, 100%, $E$9)</f>
        <v>5.0190999999999999</v>
      </c>
      <c r="M40" s="14">
        <f>CHOOSE(CONTROL!$C$42, 4.1, 4.1) * CHOOSE(CONTROL!$C$21, $C$9, 100%, $E$9)</f>
        <v>4.0999999999999996</v>
      </c>
      <c r="N40" s="14">
        <f>CHOOSE(CONTROL!$C$42, 4.1156, 4.1156) * CHOOSE(CONTROL!$C$21, $C$9, 100%, $E$9)</f>
        <v>4.1155999999999997</v>
      </c>
      <c r="O40" s="14">
        <f>CHOOSE(CONTROL!$C$42, 4.349, 4.349) * CHOOSE(CONTROL!$C$21, $C$9, 100%, $E$9)</f>
        <v>4.3490000000000002</v>
      </c>
      <c r="P40" s="14">
        <f>CHOOSE(CONTROL!$C$42, 4.1412, 4.1412) * CHOOSE(CONTROL!$C$21, $C$9, 100%, $E$9)</f>
        <v>4.1412000000000004</v>
      </c>
      <c r="Q40" s="14">
        <f>CHOOSE(CONTROL!$C$42, 4.9437, 4.9437) * CHOOSE(CONTROL!$C$21, $C$9, 100%, $E$9)</f>
        <v>4.9436999999999998</v>
      </c>
      <c r="R40" s="14">
        <f>CHOOSE(CONTROL!$C$42, 5.543, 5.543) * CHOOSE(CONTROL!$C$21, $C$9, 100%, $E$9)</f>
        <v>5.5430000000000001</v>
      </c>
      <c r="S40" s="14">
        <f>CHOOSE(CONTROL!$C$42, 4.0242, 4.0242) * CHOOSE(CONTROL!$C$21, $C$9, 100%, $E$9)</f>
        <v>4.0242000000000004</v>
      </c>
      <c r="T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7">
        <f>(1000*CHOOSE(CONTROL!$C$42, 695, 695)*CHOOSE(CONTROL!$C$42, 0.5599, 0.5599)*CHOOSE(CONTROL!$C$42, 30, 30))/1000000</f>
        <v>11.673914999999997</v>
      </c>
      <c r="V40" s="57">
        <f>(1000*CHOOSE(CONTROL!$C$42, 580, 580)*CHOOSE(CONTROL!$C$42, 0.275, 0.275)*CHOOSE(CONTROL!$C$42, 30, 30))/1000000</f>
        <v>4.7850000000000001</v>
      </c>
      <c r="W40" s="57">
        <f>(1000*CHOOSE(CONTROL!$C$42, 0.1146, 0.1146)*CHOOSE(CONTROL!$C$42, 200, 200)*CHOOSE(CONTROL!$C$42, 30, 30))/1000000</f>
        <v>0.68759999999999999</v>
      </c>
      <c r="X40" s="57">
        <f>(30*0.1790888*245000/1000000)+(30*0.2374*100000/1000000)</f>
        <v>2.0285026799999999</v>
      </c>
      <c r="Y40" s="57"/>
      <c r="Z40" s="14">
        <f>CHOOSE(CONTROL!$C$42, 4.1344, 4.1344) * CHOOSE(CONTROL!$C$21, $C$9, 100%, $E$9)</f>
        <v>4.1344000000000003</v>
      </c>
      <c r="AA40" s="61">
        <f>(30*((8.01*31500+8.07*100000)/30))/1000000</f>
        <v>1.059315</v>
      </c>
      <c r="AB40" s="50">
        <f>(B40*141.293+C40*267.993+D40*115.016+E40*89.698+F40*40+G40*185+H40*0+I40*100+J40*300)/(141.293+267.993+115.016+89.698+0+40+185+100+300)</f>
        <v>4.2331609125907992</v>
      </c>
      <c r="AC40" s="45">
        <f t="shared" ref="AC40:AC46" si="2">(M40*240+N40*160+O40*195+P40*100)/(240+160+195+100)</f>
        <v>4.1793827338129494</v>
      </c>
    </row>
    <row r="41" spans="1:29" ht="15.75" x14ac:dyDescent="0.25">
      <c r="A41" s="13">
        <v>42125</v>
      </c>
      <c r="B41" s="14">
        <f>CHOOSE(CONTROL!$C$42, 4.2125, 4.2125) * CHOOSE(CONTROL!$C$21, $C$9, 100%, $E$9)</f>
        <v>4.2125000000000004</v>
      </c>
      <c r="C41" s="14">
        <f>CHOOSE(CONTROL!$C$42, 4.2205, 4.2205) * CHOOSE(CONTROL!$C$21, $C$9, 100%, $E$9)</f>
        <v>4.2205000000000004</v>
      </c>
      <c r="D41" s="14">
        <f>CHOOSE(CONTROL!$C$42, 4.4255, 4.4255) * CHOOSE(CONTROL!$C$21, $C$9, 100%, $E$9)</f>
        <v>4.4255000000000004</v>
      </c>
      <c r="E41" s="14">
        <f>CHOOSE(CONTROL!$C$42, 4.457, 4.457) * CHOOSE(CONTROL!$C$21, $C$9, 100%, $E$9)</f>
        <v>4.4569999999999999</v>
      </c>
      <c r="F41" s="14">
        <f>CHOOSE(CONTROL!$C$42, 4.1987, 4.1987)*CHOOSE(CONTROL!$C$21, $C$9, 100%, $E$9)</f>
        <v>4.1986999999999997</v>
      </c>
      <c r="G41" s="14">
        <f>CHOOSE(CONTROL!$C$42, 4.2151, 4.2151)*CHOOSE(CONTROL!$C$21, $C$9, 100%, $E$9)</f>
        <v>4.2150999999999996</v>
      </c>
      <c r="H41" s="14">
        <f>CHOOSE(CONTROL!$C$42, 4.4456, 4.4456) * CHOOSE(CONTROL!$C$21, $C$9, 100%, $E$9)</f>
        <v>4.4455999999999998</v>
      </c>
      <c r="I41" s="14">
        <f>CHOOSE(CONTROL!$C$42, 4.2338, 4.2338)* CHOOSE(CONTROL!$C$21, $C$9, 100%, $E$9)</f>
        <v>4.2337999999999996</v>
      </c>
      <c r="J41" s="14">
        <f>CHOOSE(CONTROL!$C$42, 4.1917, 4.1917)* CHOOSE(CONTROL!$C$21, $C$9, 100%, $E$9)</f>
        <v>4.1917</v>
      </c>
      <c r="K41" s="53"/>
      <c r="L41" s="14">
        <f>CHOOSE(CONTROL!$C$42, 5.0326, 5.0326) * CHOOSE(CONTROL!$C$21, $C$9, 100%, $E$9)</f>
        <v>5.0326000000000004</v>
      </c>
      <c r="M41" s="14">
        <f>CHOOSE(CONTROL!$C$42, 4.1135, 4.1135) * CHOOSE(CONTROL!$C$21, $C$9, 100%, $E$9)</f>
        <v>4.1135000000000002</v>
      </c>
      <c r="N41" s="14">
        <f>CHOOSE(CONTROL!$C$42, 4.1296, 4.1296) * CHOOSE(CONTROL!$C$21, $C$9, 100%, $E$9)</f>
        <v>4.1295999999999999</v>
      </c>
      <c r="O41" s="14">
        <f>CHOOSE(CONTROL!$C$42, 4.3622, 4.3622) * CHOOSE(CONTROL!$C$21, $C$9, 100%, $E$9)</f>
        <v>4.3621999999999996</v>
      </c>
      <c r="P41" s="14">
        <f>CHOOSE(CONTROL!$C$42, 4.1545, 4.1545) * CHOOSE(CONTROL!$C$21, $C$9, 100%, $E$9)</f>
        <v>4.1544999999999996</v>
      </c>
      <c r="Q41" s="14">
        <f>CHOOSE(CONTROL!$C$42, 4.9569, 4.9569) * CHOOSE(CONTROL!$C$21, $C$9, 100%, $E$9)</f>
        <v>4.9569000000000001</v>
      </c>
      <c r="R41" s="14">
        <f>CHOOSE(CONTROL!$C$42, 5.5563, 5.5563) * CHOOSE(CONTROL!$C$21, $C$9, 100%, $E$9)</f>
        <v>5.5563000000000002</v>
      </c>
      <c r="S41" s="14">
        <f>CHOOSE(CONTROL!$C$42, 4.0372, 4.0372) * CHOOSE(CONTROL!$C$21, $C$9, 100%, $E$9)</f>
        <v>4.0372000000000003</v>
      </c>
      <c r="T41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7">
        <f>(1000*CHOOSE(CONTROL!$C$42, 695, 695)*CHOOSE(CONTROL!$C$42, 0.5599, 0.5599)*CHOOSE(CONTROL!$C$42, 31, 31))/1000000</f>
        <v>12.063045499999998</v>
      </c>
      <c r="V41" s="57">
        <f>(1000*CHOOSE(CONTROL!$C$42, 580, 580)*CHOOSE(CONTROL!$C$42, 0.275, 0.275)*CHOOSE(CONTROL!$C$42, 31, 31))/1000000</f>
        <v>4.9444999999999997</v>
      </c>
      <c r="W41" s="57">
        <f>(1000*CHOOSE(CONTROL!$C$42, 0.1146, 0.1146)*CHOOSE(CONTROL!$C$42, 200, 200)*CHOOSE(CONTROL!$C$42, 31, 31))/1000000</f>
        <v>0.71052000000000004</v>
      </c>
      <c r="X41" s="57">
        <f>(31*0.1790888*245000/1000000)+(31*0.2374*100000/1000000)</f>
        <v>2.0961194359999999</v>
      </c>
      <c r="Y41" s="57"/>
      <c r="Z41" s="14">
        <f>CHOOSE(CONTROL!$C$42, 4.1477, 4.1477) * CHOOSE(CONTROL!$C$21, $C$9, 100%, $E$9)</f>
        <v>4.1477000000000004</v>
      </c>
      <c r="AA41" s="61">
        <f>(31*((8.01*31500+8.07*100000)/31))/1000000</f>
        <v>1.059315</v>
      </c>
      <c r="AB41" s="50">
        <f>(B41*194.205+C41*267.466+D41*133.845+E41*53.484+F41*40+G41*185+H41*50+I41*100+J41*300)/(194.205+267.466+133.845+53.484+50+40+185+100+300)</f>
        <v>4.2511703557401814</v>
      </c>
      <c r="AC41" s="45">
        <f t="shared" si="2"/>
        <v>4.1928848920863304</v>
      </c>
    </row>
    <row r="42" spans="1:29" ht="15.75" x14ac:dyDescent="0.25">
      <c r="A42" s="13">
        <v>42156</v>
      </c>
      <c r="B42" s="14">
        <f>CHOOSE(CONTROL!$C$42, 4.2385, 4.2385) * CHOOSE(CONTROL!$C$21, $C$9, 100%, $E$9)</f>
        <v>4.2385000000000002</v>
      </c>
      <c r="C42" s="14">
        <f>CHOOSE(CONTROL!$C$42, 4.2466, 4.2466) * CHOOSE(CONTROL!$C$21, $C$9, 100%, $E$9)</f>
        <v>4.2465999999999999</v>
      </c>
      <c r="D42" s="14">
        <f>CHOOSE(CONTROL!$C$42, 4.4515, 4.4515) * CHOOSE(CONTROL!$C$21, $C$9, 100%, $E$9)</f>
        <v>4.4515000000000002</v>
      </c>
      <c r="E42" s="14">
        <f>CHOOSE(CONTROL!$C$42, 4.483, 4.483) * CHOOSE(CONTROL!$C$21, $C$9, 100%, $E$9)</f>
        <v>4.4829999999999997</v>
      </c>
      <c r="F42" s="14">
        <f>CHOOSE(CONTROL!$C$42, 4.2251, 4.2251)*CHOOSE(CONTROL!$C$21, $C$9, 100%, $E$9)</f>
        <v>4.2251000000000003</v>
      </c>
      <c r="G42" s="14">
        <f>CHOOSE(CONTROL!$C$42, 4.2416, 4.2416)*CHOOSE(CONTROL!$C$21, $C$9, 100%, $E$9)</f>
        <v>4.2416</v>
      </c>
      <c r="H42" s="14">
        <f>CHOOSE(CONTROL!$C$42, 4.4716, 4.4716) * CHOOSE(CONTROL!$C$21, $C$9, 100%, $E$9)</f>
        <v>4.4715999999999996</v>
      </c>
      <c r="I42" s="14">
        <f>CHOOSE(CONTROL!$C$42, 4.2599, 4.2599)* CHOOSE(CONTROL!$C$21, $C$9, 100%, $E$9)</f>
        <v>4.2599</v>
      </c>
      <c r="J42" s="14">
        <f>CHOOSE(CONTROL!$C$42, 4.2181, 4.2181)* CHOOSE(CONTROL!$C$21, $C$9, 100%, $E$9)</f>
        <v>4.2180999999999997</v>
      </c>
      <c r="K42" s="53"/>
      <c r="L42" s="14">
        <f>CHOOSE(CONTROL!$C$42, 5.0586, 5.0586) * CHOOSE(CONTROL!$C$21, $C$9, 100%, $E$9)</f>
        <v>5.0586000000000002</v>
      </c>
      <c r="M42" s="14">
        <f>CHOOSE(CONTROL!$C$42, 4.1394, 4.1394) * CHOOSE(CONTROL!$C$21, $C$9, 100%, $E$9)</f>
        <v>4.1394000000000002</v>
      </c>
      <c r="N42" s="14">
        <f>CHOOSE(CONTROL!$C$42, 4.1555, 4.1555) * CHOOSE(CONTROL!$C$21, $C$9, 100%, $E$9)</f>
        <v>4.1555</v>
      </c>
      <c r="O42" s="14">
        <f>CHOOSE(CONTROL!$C$42, 4.3877, 4.3877) * CHOOSE(CONTROL!$C$21, $C$9, 100%, $E$9)</f>
        <v>4.3876999999999997</v>
      </c>
      <c r="P42" s="14">
        <f>CHOOSE(CONTROL!$C$42, 4.1801, 4.1801) * CHOOSE(CONTROL!$C$21, $C$9, 100%, $E$9)</f>
        <v>4.1801000000000004</v>
      </c>
      <c r="Q42" s="14">
        <f>CHOOSE(CONTROL!$C$42, 4.9824, 4.9824) * CHOOSE(CONTROL!$C$21, $C$9, 100%, $E$9)</f>
        <v>4.9824000000000002</v>
      </c>
      <c r="R42" s="14">
        <f>CHOOSE(CONTROL!$C$42, 5.5819, 5.5819) * CHOOSE(CONTROL!$C$21, $C$9, 100%, $E$9)</f>
        <v>5.5819000000000001</v>
      </c>
      <c r="S42" s="14">
        <f>CHOOSE(CONTROL!$C$42, 4.0622, 4.0622) * CHOOSE(CONTROL!$C$21, $C$9, 100%, $E$9)</f>
        <v>4.0621999999999998</v>
      </c>
      <c r="T42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7">
        <f>(1000*CHOOSE(CONTROL!$C$42, 695, 695)*CHOOSE(CONTROL!$C$42, 0.5599, 0.5599)*CHOOSE(CONTROL!$C$42, 30, 30))/1000000</f>
        <v>11.673914999999997</v>
      </c>
      <c r="V42" s="57">
        <f>(1000*CHOOSE(CONTROL!$C$42, 580, 580)*CHOOSE(CONTROL!$C$42, 0.275, 0.275)*CHOOSE(CONTROL!$C$42, 30, 30))/1000000</f>
        <v>4.7850000000000001</v>
      </c>
      <c r="W42" s="57">
        <f>(1000*CHOOSE(CONTROL!$C$42, 0.1146, 0.1146)*CHOOSE(CONTROL!$C$42, 200, 200)*CHOOSE(CONTROL!$C$42, 30, 30))/1000000</f>
        <v>0.68759999999999999</v>
      </c>
      <c r="X42" s="57">
        <f>(30*0.1790888*245000/1000000)+(30*0.2374*100000/1000000)</f>
        <v>2.0285026799999999</v>
      </c>
      <c r="Y42" s="57"/>
      <c r="Z42" s="14">
        <f>CHOOSE(CONTROL!$C$42, 4.1733, 4.1733) * CHOOSE(CONTROL!$C$21, $C$9, 100%, $E$9)</f>
        <v>4.1733000000000002</v>
      </c>
      <c r="AA42" s="60">
        <f>(30*((8.07*31500+8.18*100000)/30))/1000000</f>
        <v>1.0722050000000001</v>
      </c>
      <c r="AB42" s="50">
        <f>(B42*194.205+C42*267.466+D42*133.845+E42*53.484+F42*40+G42*185+H42*50+I42*100+J42*300)/(194.205+267.466+133.845+53.484+50+40+185+100+300)</f>
        <v>4.2773706930513589</v>
      </c>
      <c r="AC42" s="45">
        <f t="shared" si="2"/>
        <v>4.2186294964028779</v>
      </c>
    </row>
    <row r="43" spans="1:29" ht="15.75" x14ac:dyDescent="0.25">
      <c r="A43" s="13">
        <v>42186</v>
      </c>
      <c r="B43" s="14">
        <f>CHOOSE(CONTROL!$C$42, 4.2718, 4.2718) * CHOOSE(CONTROL!$C$21, $C$9, 100%, $E$9)</f>
        <v>4.2717999999999998</v>
      </c>
      <c r="C43" s="14">
        <f>CHOOSE(CONTROL!$C$42, 4.2799, 4.2799) * CHOOSE(CONTROL!$C$21, $C$9, 100%, $E$9)</f>
        <v>4.2798999999999996</v>
      </c>
      <c r="D43" s="14">
        <f>CHOOSE(CONTROL!$C$42, 4.4848, 4.4848) * CHOOSE(CONTROL!$C$21, $C$9, 100%, $E$9)</f>
        <v>4.4847999999999999</v>
      </c>
      <c r="E43" s="14">
        <f>CHOOSE(CONTROL!$C$42, 4.5163, 4.5163) * CHOOSE(CONTROL!$C$21, $C$9, 100%, $E$9)</f>
        <v>4.5163000000000002</v>
      </c>
      <c r="F43" s="14">
        <f>CHOOSE(CONTROL!$C$42, 4.2588, 4.2588)*CHOOSE(CONTROL!$C$21, $C$9, 100%, $E$9)</f>
        <v>4.2587999999999999</v>
      </c>
      <c r="G43" s="14">
        <f>CHOOSE(CONTROL!$C$42, 4.2754, 4.2754)*CHOOSE(CONTROL!$C$21, $C$9, 100%, $E$9)</f>
        <v>4.2754000000000003</v>
      </c>
      <c r="H43" s="14">
        <f>CHOOSE(CONTROL!$C$42, 4.5049, 4.5049) * CHOOSE(CONTROL!$C$21, $C$9, 100%, $E$9)</f>
        <v>4.5049000000000001</v>
      </c>
      <c r="I43" s="14">
        <f>CHOOSE(CONTROL!$C$42, 4.2933, 4.2933)* CHOOSE(CONTROL!$C$21, $C$9, 100%, $E$9)</f>
        <v>4.2933000000000003</v>
      </c>
      <c r="J43" s="14">
        <f>CHOOSE(CONTROL!$C$42, 4.2518, 4.2518)* CHOOSE(CONTROL!$C$21, $C$9, 100%, $E$9)</f>
        <v>4.2518000000000002</v>
      </c>
      <c r="K43" s="53"/>
      <c r="L43" s="14">
        <f>CHOOSE(CONTROL!$C$42, 5.0919, 5.0919) * CHOOSE(CONTROL!$C$21, $C$9, 100%, $E$9)</f>
        <v>5.0918999999999999</v>
      </c>
      <c r="M43" s="14">
        <f>CHOOSE(CONTROL!$C$42, 4.1724, 4.1724) * CHOOSE(CONTROL!$C$21, $C$9, 100%, $E$9)</f>
        <v>4.1723999999999997</v>
      </c>
      <c r="N43" s="14">
        <f>CHOOSE(CONTROL!$C$42, 4.1887, 4.1887) * CHOOSE(CONTROL!$C$21, $C$9, 100%, $E$9)</f>
        <v>4.1886999999999999</v>
      </c>
      <c r="O43" s="14">
        <f>CHOOSE(CONTROL!$C$42, 4.4203, 4.4203) * CHOOSE(CONTROL!$C$21, $C$9, 100%, $E$9)</f>
        <v>4.4203000000000001</v>
      </c>
      <c r="P43" s="14">
        <f>CHOOSE(CONTROL!$C$42, 4.2128, 4.2128) * CHOOSE(CONTROL!$C$21, $C$9, 100%, $E$9)</f>
        <v>4.2127999999999997</v>
      </c>
      <c r="Q43" s="14">
        <f>CHOOSE(CONTROL!$C$42, 5.015, 5.015) * CHOOSE(CONTROL!$C$21, $C$9, 100%, $E$9)</f>
        <v>5.0149999999999997</v>
      </c>
      <c r="R43" s="14">
        <f>CHOOSE(CONTROL!$C$42, 5.6146, 5.6146) * CHOOSE(CONTROL!$C$21, $C$9, 100%, $E$9)</f>
        <v>5.6146000000000003</v>
      </c>
      <c r="S43" s="14">
        <f>CHOOSE(CONTROL!$C$42, 4.0942, 4.0942) * CHOOSE(CONTROL!$C$21, $C$9, 100%, $E$9)</f>
        <v>4.0941999999999998</v>
      </c>
      <c r="T43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7">
        <f>(1000*CHOOSE(CONTROL!$C$42, 695, 695)*CHOOSE(CONTROL!$C$42, 0.5599, 0.5599)*CHOOSE(CONTROL!$C$42, 31, 31))/1000000</f>
        <v>12.063045499999998</v>
      </c>
      <c r="V43" s="57">
        <f>(1000*CHOOSE(CONTROL!$C$42, 580, 580)*CHOOSE(CONTROL!$C$42, 0.275, 0.275)*CHOOSE(CONTROL!$C$42, 31, 31))/1000000</f>
        <v>4.9444999999999997</v>
      </c>
      <c r="W43" s="57">
        <f>(1000*CHOOSE(CONTROL!$C$42, 0.1146, 0.1146)*CHOOSE(CONTROL!$C$42, 200, 200)*CHOOSE(CONTROL!$C$42, 31, 31))/1000000</f>
        <v>0.71052000000000004</v>
      </c>
      <c r="X43" s="57">
        <f>(31*0.1790888*245000/1000000)+(31*0.2374*100000/1000000)</f>
        <v>2.0961194359999999</v>
      </c>
      <c r="Y43" s="57"/>
      <c r="Z43" s="14">
        <f>CHOOSE(CONTROL!$C$42, 4.206, 4.206) * CHOOSE(CONTROL!$C$21, $C$9, 100%, $E$9)</f>
        <v>4.2060000000000004</v>
      </c>
      <c r="AA43" s="58">
        <f>(31*((8.12*31500+8.18*100000)/31))/1000000</f>
        <v>1.07378</v>
      </c>
      <c r="AB43" s="50">
        <f>(B43*194.205+C43*267.466+D43*133.845+E43*53.484+F43*40+G43*185+H43*50+I43*100+J43*300)/(194.205+267.466+133.845+53.484+50+40+185+100+300)</f>
        <v>4.3108508290030212</v>
      </c>
      <c r="AC43" s="45">
        <f t="shared" si="2"/>
        <v>4.2515201438848917</v>
      </c>
    </row>
    <row r="44" spans="1:29" ht="15.75" x14ac:dyDescent="0.25">
      <c r="A44" s="13">
        <v>42217</v>
      </c>
      <c r="B44" s="14">
        <f>CHOOSE(CONTROL!$C$42, 4.2874, 4.2874) * CHOOSE(CONTROL!$C$21, $C$9, 100%, $E$9)</f>
        <v>4.2873999999999999</v>
      </c>
      <c r="C44" s="14">
        <f>CHOOSE(CONTROL!$C$42, 4.2955, 4.2955) * CHOOSE(CONTROL!$C$21, $C$9, 100%, $E$9)</f>
        <v>4.2954999999999997</v>
      </c>
      <c r="D44" s="14">
        <f>CHOOSE(CONTROL!$C$42, 4.5004, 4.5004) * CHOOSE(CONTROL!$C$21, $C$9, 100%, $E$9)</f>
        <v>4.5004</v>
      </c>
      <c r="E44" s="14">
        <f>CHOOSE(CONTROL!$C$42, 4.5319, 4.5319) * CHOOSE(CONTROL!$C$21, $C$9, 100%, $E$9)</f>
        <v>4.5319000000000003</v>
      </c>
      <c r="F44" s="14">
        <f>CHOOSE(CONTROL!$C$42, 4.2746, 4.2746)*CHOOSE(CONTROL!$C$21, $C$9, 100%, $E$9)</f>
        <v>4.2746000000000004</v>
      </c>
      <c r="G44" s="14">
        <f>CHOOSE(CONTROL!$C$42, 4.2913, 4.2913)*CHOOSE(CONTROL!$C$21, $C$9, 100%, $E$9)</f>
        <v>4.2912999999999997</v>
      </c>
      <c r="H44" s="14">
        <f>CHOOSE(CONTROL!$C$42, 4.5205, 4.5205) * CHOOSE(CONTROL!$C$21, $C$9, 100%, $E$9)</f>
        <v>4.5205000000000002</v>
      </c>
      <c r="I44" s="14">
        <f>CHOOSE(CONTROL!$C$42, 4.3089, 4.3089)* CHOOSE(CONTROL!$C$21, $C$9, 100%, $E$9)</f>
        <v>4.3089000000000004</v>
      </c>
      <c r="J44" s="14">
        <f>CHOOSE(CONTROL!$C$42, 4.2676, 4.2676)* CHOOSE(CONTROL!$C$21, $C$9, 100%, $E$9)</f>
        <v>4.2675999999999998</v>
      </c>
      <c r="K44" s="53"/>
      <c r="L44" s="14">
        <f>CHOOSE(CONTROL!$C$42, 5.1075, 5.1075) * CHOOSE(CONTROL!$C$21, $C$9, 100%, $E$9)</f>
        <v>5.1074999999999999</v>
      </c>
      <c r="M44" s="14">
        <f>CHOOSE(CONTROL!$C$42, 4.1879, 4.1879) * CHOOSE(CONTROL!$C$21, $C$9, 100%, $E$9)</f>
        <v>4.1879</v>
      </c>
      <c r="N44" s="14">
        <f>CHOOSE(CONTROL!$C$42, 4.2042, 4.2042) * CHOOSE(CONTROL!$C$21, $C$9, 100%, $E$9)</f>
        <v>4.2042000000000002</v>
      </c>
      <c r="O44" s="14">
        <f>CHOOSE(CONTROL!$C$42, 4.4356, 4.4356) * CHOOSE(CONTROL!$C$21, $C$9, 100%, $E$9)</f>
        <v>4.4356</v>
      </c>
      <c r="P44" s="14">
        <f>CHOOSE(CONTROL!$C$42, 4.2281, 4.2281) * CHOOSE(CONTROL!$C$21, $C$9, 100%, $E$9)</f>
        <v>4.2281000000000004</v>
      </c>
      <c r="Q44" s="14">
        <f>CHOOSE(CONTROL!$C$42, 5.0303, 5.0303) * CHOOSE(CONTROL!$C$21, $C$9, 100%, $E$9)</f>
        <v>5.0303000000000004</v>
      </c>
      <c r="R44" s="14">
        <f>CHOOSE(CONTROL!$C$42, 5.6299, 5.6299) * CHOOSE(CONTROL!$C$21, $C$9, 100%, $E$9)</f>
        <v>5.6299000000000001</v>
      </c>
      <c r="S44" s="14">
        <f>CHOOSE(CONTROL!$C$42, 4.1092, 4.1092) * CHOOSE(CONTROL!$C$21, $C$9, 100%, $E$9)</f>
        <v>4.1092000000000004</v>
      </c>
      <c r="T44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7">
        <f>(1000*CHOOSE(CONTROL!$C$42, 695, 695)*CHOOSE(CONTROL!$C$42, 0.5599, 0.5599)*CHOOSE(CONTROL!$C$42, 31, 31))/1000000</f>
        <v>12.063045499999998</v>
      </c>
      <c r="V44" s="57">
        <f>(1000*CHOOSE(CONTROL!$C$42, 580, 580)*CHOOSE(CONTROL!$C$42, 0.275, 0.275)*CHOOSE(CONTROL!$C$42, 31, 31))/1000000</f>
        <v>4.9444999999999997</v>
      </c>
      <c r="W44" s="57">
        <f>(1000*CHOOSE(CONTROL!$C$42, 0.1146, 0.1146)*CHOOSE(CONTROL!$C$42, 200, 200)*CHOOSE(CONTROL!$C$42, 31, 31))/1000000</f>
        <v>0.71052000000000004</v>
      </c>
      <c r="X44" s="57">
        <f>(31*0.1790888*245000/1000000)+(31*0.2374*100000/1000000)</f>
        <v>2.0961194359999999</v>
      </c>
      <c r="Y44" s="57"/>
      <c r="Z44" s="14">
        <f>CHOOSE(CONTROL!$C$42, 4.2214, 4.2214) * CHOOSE(CONTROL!$C$21, $C$9, 100%, $E$9)</f>
        <v>4.2214</v>
      </c>
      <c r="AA44" s="58">
        <f>(31*((8.12*31500+8.18*100000)/31))/1000000</f>
        <v>1.07378</v>
      </c>
      <c r="AB44" s="50">
        <f>(B44*194.205+C44*267.466+D44*133.845+E44*53.484+F44*40+G44*185+H44*50+I44*100+J44*300)/(194.205+267.466+133.845+53.484+50+40+185+100+300)</f>
        <v>4.3265441069486403</v>
      </c>
      <c r="AC44" s="45">
        <f t="shared" si="2"/>
        <v>4.2669352517985608</v>
      </c>
    </row>
    <row r="45" spans="1:29" ht="15.75" x14ac:dyDescent="0.25">
      <c r="A45" s="13">
        <v>42248</v>
      </c>
      <c r="B45" s="14">
        <f>CHOOSE(CONTROL!$C$42, 4.2871, 4.2871) * CHOOSE(CONTROL!$C$21, $C$9, 100%, $E$9)</f>
        <v>4.2870999999999997</v>
      </c>
      <c r="C45" s="14">
        <f>CHOOSE(CONTROL!$C$42, 4.2951, 4.2951) * CHOOSE(CONTROL!$C$21, $C$9, 100%, $E$9)</f>
        <v>4.2950999999999997</v>
      </c>
      <c r="D45" s="14">
        <f>CHOOSE(CONTROL!$C$42, 4.5001, 4.5001) * CHOOSE(CONTROL!$C$21, $C$9, 100%, $E$9)</f>
        <v>4.5000999999999998</v>
      </c>
      <c r="E45" s="14">
        <f>CHOOSE(CONTROL!$C$42, 4.5315, 4.5315) * CHOOSE(CONTROL!$C$21, $C$9, 100%, $E$9)</f>
        <v>4.5315000000000003</v>
      </c>
      <c r="F45" s="14">
        <f>CHOOSE(CONTROL!$C$42, 4.2742, 4.2742)*CHOOSE(CONTROL!$C$21, $C$9, 100%, $E$9)</f>
        <v>4.2742000000000004</v>
      </c>
      <c r="G45" s="14">
        <f>CHOOSE(CONTROL!$C$42, 4.2909, 4.2909)*CHOOSE(CONTROL!$C$21, $C$9, 100%, $E$9)</f>
        <v>4.2908999999999997</v>
      </c>
      <c r="H45" s="14">
        <f>CHOOSE(CONTROL!$C$42, 4.5201, 4.5201) * CHOOSE(CONTROL!$C$21, $C$9, 100%, $E$9)</f>
        <v>4.5201000000000002</v>
      </c>
      <c r="I45" s="14">
        <f>CHOOSE(CONTROL!$C$42, 4.3085, 4.3085)* CHOOSE(CONTROL!$C$21, $C$9, 100%, $E$9)</f>
        <v>4.3085000000000004</v>
      </c>
      <c r="J45" s="14">
        <f>CHOOSE(CONTROL!$C$42, 4.2672, 4.2672)* CHOOSE(CONTROL!$C$21, $C$9, 100%, $E$9)</f>
        <v>4.2671999999999999</v>
      </c>
      <c r="K45" s="53"/>
      <c r="L45" s="14">
        <f>CHOOSE(CONTROL!$C$42, 5.1071, 5.1071) * CHOOSE(CONTROL!$C$21, $C$9, 100%, $E$9)</f>
        <v>5.1071</v>
      </c>
      <c r="M45" s="14">
        <f>CHOOSE(CONTROL!$C$42, 4.1875, 4.1875) * CHOOSE(CONTROL!$C$21, $C$9, 100%, $E$9)</f>
        <v>4.1875</v>
      </c>
      <c r="N45" s="14">
        <f>CHOOSE(CONTROL!$C$42, 4.2038, 4.2038) * CHOOSE(CONTROL!$C$21, $C$9, 100%, $E$9)</f>
        <v>4.2038000000000002</v>
      </c>
      <c r="O45" s="14">
        <f>CHOOSE(CONTROL!$C$42, 4.4352, 4.4352) * CHOOSE(CONTROL!$C$21, $C$9, 100%, $E$9)</f>
        <v>4.4352</v>
      </c>
      <c r="P45" s="14">
        <f>CHOOSE(CONTROL!$C$42, 4.2277, 4.2277) * CHOOSE(CONTROL!$C$21, $C$9, 100%, $E$9)</f>
        <v>4.2276999999999996</v>
      </c>
      <c r="Q45" s="14">
        <f>CHOOSE(CONTROL!$C$42, 5.0299, 5.0299) * CHOOSE(CONTROL!$C$21, $C$9, 100%, $E$9)</f>
        <v>5.0298999999999996</v>
      </c>
      <c r="R45" s="14">
        <f>CHOOSE(CONTROL!$C$42, 5.6295, 5.6295) * CHOOSE(CONTROL!$C$21, $C$9, 100%, $E$9)</f>
        <v>5.6295000000000002</v>
      </c>
      <c r="S45" s="14">
        <f>CHOOSE(CONTROL!$C$42, 4.1088, 4.1088) * CHOOSE(CONTROL!$C$21, $C$9, 100%, $E$9)</f>
        <v>4.1087999999999996</v>
      </c>
      <c r="T45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7">
        <f>(1000*CHOOSE(CONTROL!$C$42, 695, 695)*CHOOSE(CONTROL!$C$42, 0.5599, 0.5599)*CHOOSE(CONTROL!$C$42, 30, 30))/1000000</f>
        <v>11.673914999999997</v>
      </c>
      <c r="V45" s="57">
        <f>(1000*CHOOSE(CONTROL!$C$42, 580, 580)*CHOOSE(CONTROL!$C$42, 0.275, 0.275)*CHOOSE(CONTROL!$C$42, 30, 30))/1000000</f>
        <v>4.7850000000000001</v>
      </c>
      <c r="W45" s="57">
        <f>(1000*CHOOSE(CONTROL!$C$42, 0.1146, 0.1146)*CHOOSE(CONTROL!$C$42, 200, 200)*CHOOSE(CONTROL!$C$42, 30, 30))/1000000</f>
        <v>0.68759999999999999</v>
      </c>
      <c r="X45" s="57">
        <f>(30*0.1790888*245000/1000000)+(30*0.2374*100000/1000000)</f>
        <v>2.0285026799999999</v>
      </c>
      <c r="Y45" s="57"/>
      <c r="Z45" s="14">
        <f>CHOOSE(CONTROL!$C$42, 4.221, 4.221) * CHOOSE(CONTROL!$C$21, $C$9, 100%, $E$9)</f>
        <v>4.2210000000000001</v>
      </c>
      <c r="AA45" s="58">
        <f>(30*((8.12*31500+8.18*100000)/30))/1000000</f>
        <v>1.07378</v>
      </c>
      <c r="AB45" s="50">
        <f>(B45*194.205+C45*267.466+D45*133.845+E45*53.484+F45*40+G45*185+H45*50+I45*100+J45*300)/(194.205+267.466+133.845+53.484+50+40+185+100+300)</f>
        <v>4.3261688841389727</v>
      </c>
      <c r="AC45" s="45">
        <f t="shared" si="2"/>
        <v>4.2665352517985617</v>
      </c>
    </row>
    <row r="46" spans="1:29" ht="15.75" x14ac:dyDescent="0.25">
      <c r="A46" s="13">
        <v>42278</v>
      </c>
      <c r="B46" s="14">
        <f>CHOOSE(CONTROL!$C$42, 4.3051, 4.3051) * CHOOSE(CONTROL!$C$21, $C$9, 100%, $E$9)</f>
        <v>4.3051000000000004</v>
      </c>
      <c r="C46" s="14">
        <f>CHOOSE(CONTROL!$C$42, 4.3104, 4.3104) * CHOOSE(CONTROL!$C$21, $C$9, 100%, $E$9)</f>
        <v>4.3103999999999996</v>
      </c>
      <c r="D46" s="14">
        <f>CHOOSE(CONTROL!$C$42, 4.5203, 4.5203) * CHOOSE(CONTROL!$C$21, $C$9, 100%, $E$9)</f>
        <v>4.5202999999999998</v>
      </c>
      <c r="E46" s="14">
        <f>CHOOSE(CONTROL!$C$42, 4.5495, 4.5495) * CHOOSE(CONTROL!$C$21, $C$9, 100%, $E$9)</f>
        <v>4.5495000000000001</v>
      </c>
      <c r="F46" s="14">
        <f>CHOOSE(CONTROL!$C$42, 4.2943, 4.2943)*CHOOSE(CONTROL!$C$21, $C$9, 100%, $E$9)</f>
        <v>4.2942999999999998</v>
      </c>
      <c r="G46" s="14">
        <f>CHOOSE(CONTROL!$C$42, 4.3106, 4.3106)*CHOOSE(CONTROL!$C$21, $C$9, 100%, $E$9)</f>
        <v>4.3106</v>
      </c>
      <c r="H46" s="14">
        <f>CHOOSE(CONTROL!$C$42, 4.5399, 4.5399) * CHOOSE(CONTROL!$C$21, $C$9, 100%, $E$9)</f>
        <v>4.5399000000000003</v>
      </c>
      <c r="I46" s="14">
        <f>CHOOSE(CONTROL!$C$42, 4.3284, 4.3284)* CHOOSE(CONTROL!$C$21, $C$9, 100%, $E$9)</f>
        <v>4.3284000000000002</v>
      </c>
      <c r="J46" s="14">
        <f>CHOOSE(CONTROL!$C$42, 4.2873, 4.2873)* CHOOSE(CONTROL!$C$21, $C$9, 100%, $E$9)</f>
        <v>4.2873000000000001</v>
      </c>
      <c r="K46" s="53"/>
      <c r="L46" s="14">
        <f>CHOOSE(CONTROL!$C$42, 5.1269, 5.1269) * CHOOSE(CONTROL!$C$21, $C$9, 100%, $E$9)</f>
        <v>5.1269</v>
      </c>
      <c r="M46" s="14">
        <f>CHOOSE(CONTROL!$C$42, 4.2071, 4.2071) * CHOOSE(CONTROL!$C$21, $C$9, 100%, $E$9)</f>
        <v>4.2070999999999996</v>
      </c>
      <c r="N46" s="14">
        <f>CHOOSE(CONTROL!$C$42, 4.2231, 4.2231) * CHOOSE(CONTROL!$C$21, $C$9, 100%, $E$9)</f>
        <v>4.2230999999999996</v>
      </c>
      <c r="O46" s="14">
        <f>CHOOSE(CONTROL!$C$42, 4.4546, 4.4546) * CHOOSE(CONTROL!$C$21, $C$9, 100%, $E$9)</f>
        <v>4.4546000000000001</v>
      </c>
      <c r="P46" s="14">
        <f>CHOOSE(CONTROL!$C$42, 4.2472, 4.2472) * CHOOSE(CONTROL!$C$21, $C$9, 100%, $E$9)</f>
        <v>4.2472000000000003</v>
      </c>
      <c r="Q46" s="14">
        <f>CHOOSE(CONTROL!$C$42, 5.0493, 5.0493) * CHOOSE(CONTROL!$C$21, $C$9, 100%, $E$9)</f>
        <v>5.0492999999999997</v>
      </c>
      <c r="R46" s="14">
        <f>CHOOSE(CONTROL!$C$42, 5.6489, 5.6489) * CHOOSE(CONTROL!$C$21, $C$9, 100%, $E$9)</f>
        <v>5.6489000000000003</v>
      </c>
      <c r="S46" s="14">
        <f>CHOOSE(CONTROL!$C$42, 4.1278, 4.1278) * CHOOSE(CONTROL!$C$21, $C$9, 100%, $E$9)</f>
        <v>4.1277999999999997</v>
      </c>
      <c r="T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7">
        <f>(1000*CHOOSE(CONTROL!$C$42, 695, 695)*CHOOSE(CONTROL!$C$42, 0.5599, 0.5599)*CHOOSE(CONTROL!$C$42, 31, 31))/1000000</f>
        <v>12.063045499999998</v>
      </c>
      <c r="V46" s="57">
        <f>(1000*CHOOSE(CONTROL!$C$42, 580, 580)*CHOOSE(CONTROL!$C$42, 0.275, 0.275)*CHOOSE(CONTROL!$C$42, 31, 31))/1000000</f>
        <v>4.9444999999999997</v>
      </c>
      <c r="W46" s="57">
        <f>(1000*CHOOSE(CONTROL!$C$42, 0.1146, 0.1146)*CHOOSE(CONTROL!$C$42, 200, 200)*CHOOSE(CONTROL!$C$42, 31, 31))/1000000</f>
        <v>0.71052000000000004</v>
      </c>
      <c r="X46" s="57">
        <f>(31*0.1790888*245000/1000000)+(31*0.2374*100000/1000000)</f>
        <v>2.0961194359999999</v>
      </c>
      <c r="Y46" s="57"/>
      <c r="Z46" s="14">
        <f>CHOOSE(CONTROL!$C$42, 4.2404, 4.2404) * CHOOSE(CONTROL!$C$21, $C$9, 100%, $E$9)</f>
        <v>4.2404000000000002</v>
      </c>
      <c r="AA46" s="58">
        <f>(31*((8.12*31500+8.18*100000)/31))/1000000</f>
        <v>1.07378</v>
      </c>
      <c r="AB46" s="50">
        <f>(B46*131.881+C46*277.167+D46*79.08+E46*125.872+F46*40+G46*185+H46*0+I46*100+J46*300)/(131.881+277.167+79.08+125.872+0+40+185+100+300)</f>
        <v>4.3428930733656168</v>
      </c>
      <c r="AC46" s="45">
        <f t="shared" si="2"/>
        <v>4.2859956834532369</v>
      </c>
    </row>
    <row r="47" spans="1:29" ht="15.75" x14ac:dyDescent="0.25">
      <c r="A47" s="13">
        <v>42309</v>
      </c>
      <c r="B47" s="14">
        <f>CHOOSE(CONTROL!$C$42, 4.3796, 4.3796) * CHOOSE(CONTROL!$C$21, $C$9, 100%, $E$9)</f>
        <v>4.3795999999999999</v>
      </c>
      <c r="C47" s="14">
        <f>CHOOSE(CONTROL!$C$42, 4.3846, 4.3846) * CHOOSE(CONTROL!$C$21, $C$9, 100%, $E$9)</f>
        <v>4.3845999999999998</v>
      </c>
      <c r="D47" s="14">
        <f>CHOOSE(CONTROL!$C$42, 4.4485, 4.4485) * CHOOSE(CONTROL!$C$21, $C$9, 100%, $E$9)</f>
        <v>4.4485000000000001</v>
      </c>
      <c r="E47" s="14">
        <f>CHOOSE(CONTROL!$C$42, 4.4826, 4.4826) * CHOOSE(CONTROL!$C$21, $C$9, 100%, $E$9)</f>
        <v>4.4825999999999997</v>
      </c>
      <c r="F47" s="14">
        <f>CHOOSE(CONTROL!$C$42, 4.3818, 4.3818)*CHOOSE(CONTROL!$C$21, $C$9, 100%, $E$9)</f>
        <v>4.3818000000000001</v>
      </c>
      <c r="G47" s="14">
        <f>CHOOSE(CONTROL!$C$42, 4.3985, 4.3985)*CHOOSE(CONTROL!$C$21, $C$9, 100%, $E$9)</f>
        <v>4.3985000000000003</v>
      </c>
      <c r="H47" s="14">
        <f>CHOOSE(CONTROL!$C$42, 4.4718, 4.4718) * CHOOSE(CONTROL!$C$21, $C$9, 100%, $E$9)</f>
        <v>4.4718</v>
      </c>
      <c r="I47" s="14">
        <f>CHOOSE(CONTROL!$C$42, 4.4072, 4.4072)* CHOOSE(CONTROL!$C$21, $C$9, 100%, $E$9)</f>
        <v>4.4071999999999996</v>
      </c>
      <c r="J47" s="14">
        <f>CHOOSE(CONTROL!$C$42, 4.3748, 4.3748)* CHOOSE(CONTROL!$C$21, $C$9, 100%, $E$9)</f>
        <v>4.3747999999999996</v>
      </c>
      <c r="K47" s="53"/>
      <c r="L47" s="14">
        <f>CHOOSE(CONTROL!$C$42, 5.0588, 5.0588) * CHOOSE(CONTROL!$C$21, $C$9, 100%, $E$9)</f>
        <v>5.0587999999999997</v>
      </c>
      <c r="M47" s="14">
        <f>CHOOSE(CONTROL!$C$42, 4.2929, 4.2929) * CHOOSE(CONTROL!$C$21, $C$9, 100%, $E$9)</f>
        <v>4.2929000000000004</v>
      </c>
      <c r="N47" s="14">
        <f>CHOOSE(CONTROL!$C$42, 4.3092, 4.3092) * CHOOSE(CONTROL!$C$21, $C$9, 100%, $E$9)</f>
        <v>4.3091999999999997</v>
      </c>
      <c r="O47" s="14">
        <f>CHOOSE(CONTROL!$C$42, 4.3878, 4.3878) * CHOOSE(CONTROL!$C$21, $C$9, 100%, $E$9)</f>
        <v>4.3878000000000004</v>
      </c>
      <c r="P47" s="14">
        <f>CHOOSE(CONTROL!$C$42, 4.3244, 4.3244) * CHOOSE(CONTROL!$C$21, $C$9, 100%, $E$9)</f>
        <v>4.3243999999999998</v>
      </c>
      <c r="Q47" s="14">
        <f>CHOOSE(CONTROL!$C$42, 4.9825, 4.9825) * CHOOSE(CONTROL!$C$21, $C$9, 100%, $E$9)</f>
        <v>4.9824999999999999</v>
      </c>
      <c r="R47" s="14">
        <f>CHOOSE(CONTROL!$C$42, 5.582, 5.582) * CHOOSE(CONTROL!$C$21, $C$9, 100%, $E$9)</f>
        <v>5.5819999999999999</v>
      </c>
      <c r="S47" s="14">
        <f>CHOOSE(CONTROL!$C$42, 4.1998, 4.1998) * CHOOSE(CONTROL!$C$21, $C$9, 100%, $E$9)</f>
        <v>4.1997999999999998</v>
      </c>
      <c r="T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7">
        <f>(1000*CHOOSE(CONTROL!$C$42, 695, 695)*CHOOSE(CONTROL!$C$42, 0.5599, 0.5599)*CHOOSE(CONTROL!$C$42, 30, 30))/1000000</f>
        <v>11.673914999999997</v>
      </c>
      <c r="V47" s="57">
        <f>(1000*CHOOSE(CONTROL!$C$42, 580, 580)*CHOOSE(CONTROL!$C$42, 0.275, 0.275)*CHOOSE(CONTROL!$C$42, 30, 30))/1000000</f>
        <v>4.7850000000000001</v>
      </c>
      <c r="W47" s="57">
        <f>(1000*CHOOSE(CONTROL!$C$42, 0.1146, 0.1146)*CHOOSE(CONTROL!$C$42, 200, 200)*CHOOSE(CONTROL!$C$42, 30, 30))/1000000</f>
        <v>0.68759999999999999</v>
      </c>
      <c r="X47" s="57">
        <f>(30*0.1790888*100000/1000000)+(30*0.2374*100000/1000000)</f>
        <v>1.2494664</v>
      </c>
      <c r="Y47" s="57"/>
      <c r="Z47" s="14">
        <f>CHOOSE(CONTROL!$C$42, 4.3156, 4.3156) * CHOOSE(CONTROL!$C$21, $C$9, 100%, $E$9)</f>
        <v>4.3155999999999999</v>
      </c>
      <c r="AA47" s="58">
        <f>(30*((8.12*31500+8.18*100000)/30))/1000000</f>
        <v>1.07378</v>
      </c>
      <c r="AB47" s="50">
        <f>(B47*122.58+C47*297.941+D47*89.177+E47*40.302+F47*40+G47*160+H47*0+I47*100+J47*300)/(122.58+297.941+89.177+40.302+0+40+160+100+300)</f>
        <v>4.3937018315652168</v>
      </c>
      <c r="AC47" s="45">
        <f>(M47*240+N47*40+O47*315+P47*100)/(240+40+315+100)</f>
        <v>4.3413827338129494</v>
      </c>
    </row>
    <row r="48" spans="1:29" ht="15.75" x14ac:dyDescent="0.25">
      <c r="A48" s="13">
        <v>42339</v>
      </c>
      <c r="B48" s="14">
        <f>CHOOSE(CONTROL!$C$42, 4.5565, 4.5565) * CHOOSE(CONTROL!$C$21, $C$9, 100%, $E$9)</f>
        <v>4.5564999999999998</v>
      </c>
      <c r="C48" s="14">
        <f>CHOOSE(CONTROL!$C$42, 4.5616, 4.5616) * CHOOSE(CONTROL!$C$21, $C$9, 100%, $E$9)</f>
        <v>4.5616000000000003</v>
      </c>
      <c r="D48" s="14">
        <f>CHOOSE(CONTROL!$C$42, 4.6254, 4.6254) * CHOOSE(CONTROL!$C$21, $C$9, 100%, $E$9)</f>
        <v>4.6254</v>
      </c>
      <c r="E48" s="14">
        <f>CHOOSE(CONTROL!$C$42, 4.6595, 4.6595) * CHOOSE(CONTROL!$C$21, $C$9, 100%, $E$9)</f>
        <v>4.6595000000000004</v>
      </c>
      <c r="F48" s="14">
        <f>CHOOSE(CONTROL!$C$42, 4.5608, 4.5608)*CHOOSE(CONTROL!$C$21, $C$9, 100%, $E$9)</f>
        <v>4.5608000000000004</v>
      </c>
      <c r="G48" s="14">
        <f>CHOOSE(CONTROL!$C$42, 4.578, 4.578)*CHOOSE(CONTROL!$C$21, $C$9, 100%, $E$9)</f>
        <v>4.5780000000000003</v>
      </c>
      <c r="H48" s="14">
        <f>CHOOSE(CONTROL!$C$42, 4.6487, 4.6487) * CHOOSE(CONTROL!$C$21, $C$9, 100%, $E$9)</f>
        <v>4.6486999999999998</v>
      </c>
      <c r="I48" s="14">
        <f>CHOOSE(CONTROL!$C$42, 4.5847, 4.5847)* CHOOSE(CONTROL!$C$21, $C$9, 100%, $E$9)</f>
        <v>4.5846999999999998</v>
      </c>
      <c r="J48" s="14">
        <f>CHOOSE(CONTROL!$C$42, 4.5538, 4.5538)* CHOOSE(CONTROL!$C$21, $C$9, 100%, $E$9)</f>
        <v>4.5537999999999998</v>
      </c>
      <c r="K48" s="53"/>
      <c r="L48" s="14">
        <f>CHOOSE(CONTROL!$C$42, 5.2357, 5.2357) * CHOOSE(CONTROL!$C$21, $C$9, 100%, $E$9)</f>
        <v>5.2356999999999996</v>
      </c>
      <c r="M48" s="14">
        <f>CHOOSE(CONTROL!$C$42, 4.4682, 4.4682) * CHOOSE(CONTROL!$C$21, $C$9, 100%, $E$9)</f>
        <v>4.4682000000000004</v>
      </c>
      <c r="N48" s="14">
        <f>CHOOSE(CONTROL!$C$42, 4.485, 4.485) * CHOOSE(CONTROL!$C$21, $C$9, 100%, $E$9)</f>
        <v>4.4850000000000003</v>
      </c>
      <c r="O48" s="14">
        <f>CHOOSE(CONTROL!$C$42, 4.5611, 4.5611) * CHOOSE(CONTROL!$C$21, $C$9, 100%, $E$9)</f>
        <v>4.5610999999999997</v>
      </c>
      <c r="P48" s="14">
        <f>CHOOSE(CONTROL!$C$42, 4.4982, 4.4982) * CHOOSE(CONTROL!$C$21, $C$9, 100%, $E$9)</f>
        <v>4.4981999999999998</v>
      </c>
      <c r="Q48" s="14">
        <f>CHOOSE(CONTROL!$C$42, 5.1558, 5.1558) * CHOOSE(CONTROL!$C$21, $C$9, 100%, $E$9)</f>
        <v>5.1558000000000002</v>
      </c>
      <c r="R48" s="14">
        <f>CHOOSE(CONTROL!$C$42, 5.7557, 5.7557) * CHOOSE(CONTROL!$C$21, $C$9, 100%, $E$9)</f>
        <v>5.7557</v>
      </c>
      <c r="S48" s="14">
        <f>CHOOSE(CONTROL!$C$42, 4.3698, 4.3698) * CHOOSE(CONTROL!$C$21, $C$9, 100%, $E$9)</f>
        <v>4.3697999999999997</v>
      </c>
      <c r="T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7">
        <f>(1000*CHOOSE(CONTROL!$C$42, 695, 695)*CHOOSE(CONTROL!$C$42, 0.5599, 0.5599)*CHOOSE(CONTROL!$C$42, 31, 31))/1000000</f>
        <v>12.063045499999998</v>
      </c>
      <c r="V48" s="57">
        <f>(1000*CHOOSE(CONTROL!$C$42, 580, 580)*CHOOSE(CONTROL!$C$42, 0.275, 0.275)*CHOOSE(CONTROL!$C$42, 31, 31))/1000000</f>
        <v>4.9444999999999997</v>
      </c>
      <c r="W48" s="57">
        <f>(1000*CHOOSE(CONTROL!$C$42, 0.1146, 0.1146)*CHOOSE(CONTROL!$C$42, 200, 200)*CHOOSE(CONTROL!$C$42, 31, 31))/1000000</f>
        <v>0.71052000000000004</v>
      </c>
      <c r="X48" s="57">
        <f>(31*0.1790888*100000/1000000)+(31*0.2374*100000/1000000)</f>
        <v>1.2911152800000001</v>
      </c>
      <c r="Y48" s="57"/>
      <c r="Z48" s="14">
        <f>CHOOSE(CONTROL!$C$42, 4.4896, 4.4896) * CHOOSE(CONTROL!$C$21, $C$9, 100%, $E$9)</f>
        <v>4.4896000000000003</v>
      </c>
      <c r="AA48" s="58">
        <f>(31*((8.12*31500+8.18*100000)/31))/1000000</f>
        <v>1.07378</v>
      </c>
      <c r="AB48" s="50">
        <f>(B48*122.58+C48*297.941+D48*89.177+E48*40.302+F48*40+G48*160+H48*0+I48*100+J48*300)/(122.58+297.941+89.177+40.302+0+40+160+100+300)</f>
        <v>4.5716625220869567</v>
      </c>
      <c r="AC48" s="45">
        <f>(M48*240+N48*40+O48*315+P48*100)/(240+40+315+100)</f>
        <v>4.5155892086330942</v>
      </c>
    </row>
    <row r="49" spans="1:29" ht="15.75" x14ac:dyDescent="0.25">
      <c r="A49" s="13">
        <v>42370</v>
      </c>
      <c r="B49" s="14">
        <f>CHOOSE(CONTROL!$C$42, 4.7796, 4.7796) * CHOOSE(CONTROL!$C$21, $C$9, 100%, $E$9)</f>
        <v>4.7796000000000003</v>
      </c>
      <c r="C49" s="14">
        <f>CHOOSE(CONTROL!$C$42, 4.7847, 4.7847) * CHOOSE(CONTROL!$C$21, $C$9, 100%, $E$9)</f>
        <v>4.7847</v>
      </c>
      <c r="D49" s="14">
        <f>CHOOSE(CONTROL!$C$42, 4.8433, 4.8433) * CHOOSE(CONTROL!$C$21, $C$9, 100%, $E$9)</f>
        <v>4.8433000000000002</v>
      </c>
      <c r="E49" s="14">
        <f>CHOOSE(CONTROL!$C$42, 4.8774, 4.8774) * CHOOSE(CONTROL!$C$21, $C$9, 100%, $E$9)</f>
        <v>4.8773999999999997</v>
      </c>
      <c r="F49" s="14">
        <f>CHOOSE(CONTROL!$C$42, 4.7788, 4.7788)*CHOOSE(CONTROL!$C$21, $C$9, 100%, $E$9)</f>
        <v>4.7788000000000004</v>
      </c>
      <c r="G49" s="14">
        <f>CHOOSE(CONTROL!$C$42, 4.7951, 4.7951)*CHOOSE(CONTROL!$C$21, $C$9, 100%, $E$9)</f>
        <v>4.7950999999999997</v>
      </c>
      <c r="H49" s="14">
        <f>CHOOSE(CONTROL!$C$42, 4.8666, 4.8666) * CHOOSE(CONTROL!$C$21, $C$9, 100%, $E$9)</f>
        <v>4.8666</v>
      </c>
      <c r="I49" s="14">
        <f>CHOOSE(CONTROL!$C$42, 4.8049, 4.8049)* CHOOSE(CONTROL!$C$21, $C$9, 100%, $E$9)</f>
        <v>4.8048999999999999</v>
      </c>
      <c r="J49" s="14">
        <f>CHOOSE(CONTROL!$C$42, 4.7718, 4.7718)* CHOOSE(CONTROL!$C$21, $C$9, 100%, $E$9)</f>
        <v>4.7717999999999998</v>
      </c>
      <c r="K49" s="53"/>
      <c r="L49" s="14">
        <f>CHOOSE(CONTROL!$C$42, 5.4536, 5.4536) * CHOOSE(CONTROL!$C$21, $C$9, 100%, $E$9)</f>
        <v>5.4535999999999998</v>
      </c>
      <c r="M49" s="14">
        <f>CHOOSE(CONTROL!$C$42, 4.6817, 4.6817) * CHOOSE(CONTROL!$C$21, $C$9, 100%, $E$9)</f>
        <v>4.6817000000000002</v>
      </c>
      <c r="N49" s="14">
        <f>CHOOSE(CONTROL!$C$42, 4.6977, 4.6977) * CHOOSE(CONTROL!$C$21, $C$9, 100%, $E$9)</f>
        <v>4.6977000000000002</v>
      </c>
      <c r="O49" s="14">
        <f>CHOOSE(CONTROL!$C$42, 4.7746, 4.7746) * CHOOSE(CONTROL!$C$21, $C$9, 100%, $E$9)</f>
        <v>4.7746000000000004</v>
      </c>
      <c r="P49" s="14">
        <f>CHOOSE(CONTROL!$C$42, 4.7139, 4.7139) * CHOOSE(CONTROL!$C$21, $C$9, 100%, $E$9)</f>
        <v>4.7138999999999998</v>
      </c>
      <c r="Q49" s="14">
        <f>CHOOSE(CONTROL!$C$42, 5.3693, 5.3693) * CHOOSE(CONTROL!$C$21, $C$9, 100%, $E$9)</f>
        <v>5.3693</v>
      </c>
      <c r="R49" s="14">
        <f>CHOOSE(CONTROL!$C$42, 5.9697, 5.9697) * CHOOSE(CONTROL!$C$21, $C$9, 100%, $E$9)</f>
        <v>5.9696999999999996</v>
      </c>
      <c r="S49" s="14">
        <f>CHOOSE(CONTROL!$C$42, 4.5842, 4.5842) * CHOOSE(CONTROL!$C$21, $C$9, 100%, $E$9)</f>
        <v>4.5842000000000001</v>
      </c>
      <c r="T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7">
        <f>(1000*CHOOSE(CONTROL!$C$42, 695, 695)*CHOOSE(CONTROL!$C$42, 0.5599, 0.5599)*CHOOSE(CONTROL!$C$42, 31, 31))/1000000</f>
        <v>12.063045499999998</v>
      </c>
      <c r="V49" s="57">
        <f>(1000*CHOOSE(CONTROL!$C$42, 580, 580)*CHOOSE(CONTROL!$C$42, 0.275, 0.275)*CHOOSE(CONTROL!$C$42, 31, 31))/1000000</f>
        <v>4.9444999999999997</v>
      </c>
      <c r="W49" s="57">
        <f>(1000*CHOOSE(CONTROL!$C$42, 0.1146, 0.1146)*CHOOSE(CONTROL!$C$42, 200, 200)*CHOOSE(CONTROL!$C$42, 31, 31))/1000000</f>
        <v>0.71052000000000004</v>
      </c>
      <c r="X49" s="57">
        <f>(31*0.1790888*100000/1000000)+(31*0.2374*100000/1000000)</f>
        <v>1.2911152800000001</v>
      </c>
      <c r="Y49" s="57"/>
      <c r="Z49" s="14"/>
      <c r="AA49" s="56"/>
      <c r="AB49" s="50">
        <f>(B49*122.58+C49*297.941+D49*89.177+E49*40.302+F49*40+G49*160+H49*0+I49*100+J49*300)/(122.58+297.941+89.177+40.302+0+40+160+100+300)</f>
        <v>4.7915822692173915</v>
      </c>
      <c r="AC49" s="45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4.7293597122302158</v>
      </c>
    </row>
    <row r="50" spans="1:29" ht="15.75" x14ac:dyDescent="0.25">
      <c r="A50" s="13">
        <v>42401</v>
      </c>
      <c r="B50" s="14">
        <f>CHOOSE(CONTROL!$C$42, 4.8746, 4.8746) * CHOOSE(CONTROL!$C$21, $C$9, 100%, $E$9)</f>
        <v>4.8746</v>
      </c>
      <c r="C50" s="14">
        <f>CHOOSE(CONTROL!$C$42, 4.8796, 4.8796) * CHOOSE(CONTROL!$C$21, $C$9, 100%, $E$9)</f>
        <v>4.8795999999999999</v>
      </c>
      <c r="D50" s="14">
        <f>CHOOSE(CONTROL!$C$42, 4.9382, 4.9382) * CHOOSE(CONTROL!$C$21, $C$9, 100%, $E$9)</f>
        <v>4.9382000000000001</v>
      </c>
      <c r="E50" s="14">
        <f>CHOOSE(CONTROL!$C$42, 4.9723, 4.9723) * CHOOSE(CONTROL!$C$21, $C$9, 100%, $E$9)</f>
        <v>4.9722999999999997</v>
      </c>
      <c r="F50" s="14">
        <f>CHOOSE(CONTROL!$C$42, 4.8736, 4.8736)*CHOOSE(CONTROL!$C$21, $C$9, 100%, $E$9)</f>
        <v>4.8735999999999997</v>
      </c>
      <c r="G50" s="14">
        <f>CHOOSE(CONTROL!$C$42, 4.89, 4.89)*CHOOSE(CONTROL!$C$21, $C$9, 100%, $E$9)</f>
        <v>4.8899999999999997</v>
      </c>
      <c r="H50" s="14">
        <f>CHOOSE(CONTROL!$C$42, 4.9615, 4.9615) * CHOOSE(CONTROL!$C$21, $C$9, 100%, $E$9)</f>
        <v>4.9615</v>
      </c>
      <c r="I50" s="14">
        <f>CHOOSE(CONTROL!$C$42, 4.9001, 4.9001)* CHOOSE(CONTROL!$C$21, $C$9, 100%, $E$9)</f>
        <v>4.9001000000000001</v>
      </c>
      <c r="J50" s="14">
        <f>CHOOSE(CONTROL!$C$42, 4.8666, 4.8666)* CHOOSE(CONTROL!$C$21, $C$9, 100%, $E$9)</f>
        <v>4.8666</v>
      </c>
      <c r="K50" s="53"/>
      <c r="L50" s="14">
        <f>CHOOSE(CONTROL!$C$42, 5.5485, 5.5485) * CHOOSE(CONTROL!$C$21, $C$9, 100%, $E$9)</f>
        <v>5.5484999999999998</v>
      </c>
      <c r="M50" s="14">
        <f>CHOOSE(CONTROL!$C$42, 4.7746, 4.7746) * CHOOSE(CONTROL!$C$21, $C$9, 100%, $E$9)</f>
        <v>4.7746000000000004</v>
      </c>
      <c r="N50" s="14">
        <f>CHOOSE(CONTROL!$C$42, 4.7907, 4.7907) * CHOOSE(CONTROL!$C$21, $C$9, 100%, $E$9)</f>
        <v>4.7907000000000002</v>
      </c>
      <c r="O50" s="14">
        <f>CHOOSE(CONTROL!$C$42, 4.8676, 4.8676) * CHOOSE(CONTROL!$C$21, $C$9, 100%, $E$9)</f>
        <v>4.8676000000000004</v>
      </c>
      <c r="P50" s="14">
        <f>CHOOSE(CONTROL!$C$42, 4.8071, 4.8071) * CHOOSE(CONTROL!$C$21, $C$9, 100%, $E$9)</f>
        <v>4.8071000000000002</v>
      </c>
      <c r="Q50" s="14">
        <f>CHOOSE(CONTROL!$C$42, 5.4623, 5.4623) * CHOOSE(CONTROL!$C$21, $C$9, 100%, $E$9)</f>
        <v>5.4622999999999999</v>
      </c>
      <c r="R50" s="14">
        <f>CHOOSE(CONTROL!$C$42, 6.0629, 6.0629) * CHOOSE(CONTROL!$C$21, $C$9, 100%, $E$9)</f>
        <v>6.0629</v>
      </c>
      <c r="S50" s="14">
        <f>CHOOSE(CONTROL!$C$42, 4.6754, 4.6754) * CHOOSE(CONTROL!$C$21, $C$9, 100%, $E$9)</f>
        <v>4.6753999999999998</v>
      </c>
      <c r="T5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7">
        <f>(1000*CHOOSE(CONTROL!$C$42, 695, 695)*CHOOSE(CONTROL!$C$42, 0.5599, 0.5599)*CHOOSE(CONTROL!$C$42, 29, 29))/1000000</f>
        <v>11.284784499999999</v>
      </c>
      <c r="V50" s="57">
        <f>(1000*CHOOSE(CONTROL!$C$42, 580, 580)*CHOOSE(CONTROL!$C$42, 0.275, 0.275)*CHOOSE(CONTROL!$C$42, 29, 29))/1000000</f>
        <v>4.6254999999999997</v>
      </c>
      <c r="W50" s="57">
        <f>(1000*CHOOSE(CONTROL!$C$42, 0.1146, 0.1146)*CHOOSE(CONTROL!$C$42, 200, 200)*CHOOSE(CONTROL!$C$42, 29, 29))/1000000</f>
        <v>0.66468000000000005</v>
      </c>
      <c r="X50" s="57">
        <f>(29*0.1790888*100000/1000000)+(29*0.2374*100000/1000000)</f>
        <v>1.2078175199999999</v>
      </c>
      <c r="Y50" s="57"/>
      <c r="Z50" s="14"/>
      <c r="AA50" s="56"/>
      <c r="AB50" s="50">
        <f>(B50*122.58+C50*297.941+D50*89.177+E50*40.302+F50*40+G50*160+H50*0+I50*100+J50*300)/(122.58+297.941+89.177+40.302+0+40+160+100+300)</f>
        <v>4.8864894500869562</v>
      </c>
      <c r="AC50" s="45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4.8223539568345322</v>
      </c>
    </row>
    <row r="51" spans="1:29" ht="15.75" x14ac:dyDescent="0.25">
      <c r="A51" s="13">
        <v>42430</v>
      </c>
      <c r="B51" s="14">
        <f>CHOOSE(CONTROL!$C$42, 4.7462, 4.7462) * CHOOSE(CONTROL!$C$21, $C$9, 100%, $E$9)</f>
        <v>4.7462</v>
      </c>
      <c r="C51" s="14">
        <f>CHOOSE(CONTROL!$C$42, 4.7512, 4.7512) * CHOOSE(CONTROL!$C$21, $C$9, 100%, $E$9)</f>
        <v>4.7511999999999999</v>
      </c>
      <c r="D51" s="14">
        <f>CHOOSE(CONTROL!$C$42, 4.8099, 4.8099) * CHOOSE(CONTROL!$C$21, $C$9, 100%, $E$9)</f>
        <v>4.8098999999999998</v>
      </c>
      <c r="E51" s="14">
        <f>CHOOSE(CONTROL!$C$42, 4.844, 4.844) * CHOOSE(CONTROL!$C$21, $C$9, 100%, $E$9)</f>
        <v>4.8440000000000003</v>
      </c>
      <c r="F51" s="14">
        <f>CHOOSE(CONTROL!$C$42, 4.7448, 4.7448)*CHOOSE(CONTROL!$C$21, $C$9, 100%, $E$9)</f>
        <v>4.7447999999999997</v>
      </c>
      <c r="G51" s="14">
        <f>CHOOSE(CONTROL!$C$42, 4.761, 4.761)*CHOOSE(CONTROL!$C$21, $C$9, 100%, $E$9)</f>
        <v>4.7610000000000001</v>
      </c>
      <c r="H51" s="14">
        <f>CHOOSE(CONTROL!$C$42, 4.8332, 4.8332) * CHOOSE(CONTROL!$C$21, $C$9, 100%, $E$9)</f>
        <v>4.8331999999999997</v>
      </c>
      <c r="I51" s="14">
        <f>CHOOSE(CONTROL!$C$42, 4.7713, 4.7713)* CHOOSE(CONTROL!$C$21, $C$9, 100%, $E$9)</f>
        <v>4.7713000000000001</v>
      </c>
      <c r="J51" s="14">
        <f>CHOOSE(CONTROL!$C$42, 4.7378, 4.7378)* CHOOSE(CONTROL!$C$21, $C$9, 100%, $E$9)</f>
        <v>4.7378</v>
      </c>
      <c r="K51" s="53"/>
      <c r="L51" s="14">
        <f>CHOOSE(CONTROL!$C$42, 5.4202, 5.4202) * CHOOSE(CONTROL!$C$21, $C$9, 100%, $E$9)</f>
        <v>5.4202000000000004</v>
      </c>
      <c r="M51" s="14">
        <f>CHOOSE(CONTROL!$C$42, 4.6484, 4.6484) * CHOOSE(CONTROL!$C$21, $C$9, 100%, $E$9)</f>
        <v>4.6483999999999996</v>
      </c>
      <c r="N51" s="14">
        <f>CHOOSE(CONTROL!$C$42, 4.6643, 4.6643) * CHOOSE(CONTROL!$C$21, $C$9, 100%, $E$9)</f>
        <v>4.6642999999999999</v>
      </c>
      <c r="O51" s="14">
        <f>CHOOSE(CONTROL!$C$42, 4.7418, 4.7418) * CHOOSE(CONTROL!$C$21, $C$9, 100%, $E$9)</f>
        <v>4.7417999999999996</v>
      </c>
      <c r="P51" s="14">
        <f>CHOOSE(CONTROL!$C$42, 4.681, 4.681) * CHOOSE(CONTROL!$C$21, $C$9, 100%, $E$9)</f>
        <v>4.681</v>
      </c>
      <c r="Q51" s="14">
        <f>CHOOSE(CONTROL!$C$42, 5.3365, 5.3365) * CHOOSE(CONTROL!$C$21, $C$9, 100%, $E$9)</f>
        <v>5.3365</v>
      </c>
      <c r="R51" s="14">
        <f>CHOOSE(CONTROL!$C$42, 5.9369, 5.9369) * CHOOSE(CONTROL!$C$21, $C$9, 100%, $E$9)</f>
        <v>5.9368999999999996</v>
      </c>
      <c r="S51" s="14">
        <f>CHOOSE(CONTROL!$C$42, 4.5521, 4.5521) * CHOOSE(CONTROL!$C$21, $C$9, 100%, $E$9)</f>
        <v>4.5521000000000003</v>
      </c>
      <c r="T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7">
        <f>(1000*CHOOSE(CONTROL!$C$42, 695, 695)*CHOOSE(CONTROL!$C$42, 0.5599, 0.5599)*CHOOSE(CONTROL!$C$42, 31, 31))/1000000</f>
        <v>12.063045499999998</v>
      </c>
      <c r="V51" s="57">
        <f>(1000*CHOOSE(CONTROL!$C$42, 580, 580)*CHOOSE(CONTROL!$C$42, 0.275, 0.275)*CHOOSE(CONTROL!$C$42, 31, 31))/1000000</f>
        <v>4.9444999999999997</v>
      </c>
      <c r="W51" s="57">
        <f>(1000*CHOOSE(CONTROL!$C$42, 0.1146, 0.1146)*CHOOSE(CONTROL!$C$42, 200, 200)*CHOOSE(CONTROL!$C$42, 31, 31))/1000000</f>
        <v>0.71052000000000004</v>
      </c>
      <c r="X51" s="57">
        <f>(31*0.1790888*100000/1000000)+(31*0.2374*100000/1000000)</f>
        <v>1.2911152800000001</v>
      </c>
      <c r="Y51" s="57"/>
      <c r="Z51" s="14"/>
      <c r="AA51" s="56"/>
      <c r="AB51" s="50">
        <f>(B51*122.58+C51*297.941+D51*89.177+E51*40.302+F51*40+G51*160+H51*0+I51*100+J51*300)/(122.58+297.941+89.177+40.302+0+40+160+100+300)</f>
        <v>4.7578641873913048</v>
      </c>
      <c r="AC51" s="45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4.6963381294964028</v>
      </c>
    </row>
    <row r="52" spans="1:29" ht="15.75" x14ac:dyDescent="0.25">
      <c r="A52" s="13">
        <v>42461</v>
      </c>
      <c r="B52" s="14">
        <f>CHOOSE(CONTROL!$C$42, 4.7429, 4.7429) * CHOOSE(CONTROL!$C$21, $C$9, 100%, $E$9)</f>
        <v>4.7428999999999997</v>
      </c>
      <c r="C52" s="14">
        <f>CHOOSE(CONTROL!$C$42, 4.7474, 4.7474) * CHOOSE(CONTROL!$C$21, $C$9, 100%, $E$9)</f>
        <v>4.7473999999999998</v>
      </c>
      <c r="D52" s="14">
        <f>CHOOSE(CONTROL!$C$42, 4.9555, 4.9555) * CHOOSE(CONTROL!$C$21, $C$9, 100%, $E$9)</f>
        <v>4.9554999999999998</v>
      </c>
      <c r="E52" s="14">
        <f>CHOOSE(CONTROL!$C$42, 4.9876, 4.9876) * CHOOSE(CONTROL!$C$21, $C$9, 100%, $E$9)</f>
        <v>4.9875999999999996</v>
      </c>
      <c r="F52" s="14">
        <f>CHOOSE(CONTROL!$C$42, 4.7302, 4.7302)*CHOOSE(CONTROL!$C$21, $C$9, 100%, $E$9)</f>
        <v>4.7302</v>
      </c>
      <c r="G52" s="14">
        <f>CHOOSE(CONTROL!$C$42, 4.7462, 4.7462)*CHOOSE(CONTROL!$C$21, $C$9, 100%, $E$9)</f>
        <v>4.7462</v>
      </c>
      <c r="H52" s="14">
        <f>CHOOSE(CONTROL!$C$42, 4.9774, 4.9774) * CHOOSE(CONTROL!$C$21, $C$9, 100%, $E$9)</f>
        <v>4.9774000000000003</v>
      </c>
      <c r="I52" s="14">
        <f>CHOOSE(CONTROL!$C$42, 4.7672, 4.7672)* CHOOSE(CONTROL!$C$21, $C$9, 100%, $E$9)</f>
        <v>4.7671999999999999</v>
      </c>
      <c r="J52" s="14">
        <f>CHOOSE(CONTROL!$C$42, 4.7232, 4.7232)* CHOOSE(CONTROL!$C$21, $C$9, 100%, $E$9)</f>
        <v>4.7232000000000003</v>
      </c>
      <c r="K52" s="53"/>
      <c r="L52" s="14">
        <f>CHOOSE(CONTROL!$C$42, 5.5644, 5.5644) * CHOOSE(CONTROL!$C$21, $C$9, 100%, $E$9)</f>
        <v>5.5644</v>
      </c>
      <c r="M52" s="14">
        <f>CHOOSE(CONTROL!$C$42, 4.6342, 4.6342) * CHOOSE(CONTROL!$C$21, $C$9, 100%, $E$9)</f>
        <v>4.6341999999999999</v>
      </c>
      <c r="N52" s="14">
        <f>CHOOSE(CONTROL!$C$42, 4.6498, 4.6498) * CHOOSE(CONTROL!$C$21, $C$9, 100%, $E$9)</f>
        <v>4.6497999999999999</v>
      </c>
      <c r="O52" s="14">
        <f>CHOOSE(CONTROL!$C$42, 4.8831, 4.8831) * CHOOSE(CONTROL!$C$21, $C$9, 100%, $E$9)</f>
        <v>4.8830999999999998</v>
      </c>
      <c r="P52" s="14">
        <f>CHOOSE(CONTROL!$C$42, 4.677, 4.677) * CHOOSE(CONTROL!$C$21, $C$9, 100%, $E$9)</f>
        <v>4.6769999999999996</v>
      </c>
      <c r="Q52" s="14">
        <f>CHOOSE(CONTROL!$C$42, 5.4778, 5.4778) * CHOOSE(CONTROL!$C$21, $C$9, 100%, $E$9)</f>
        <v>5.4778000000000002</v>
      </c>
      <c r="R52" s="14">
        <f>CHOOSE(CONTROL!$C$42, 6.0785, 6.0785) * CHOOSE(CONTROL!$C$21, $C$9, 100%, $E$9)</f>
        <v>6.0785</v>
      </c>
      <c r="S52" s="14">
        <f>CHOOSE(CONTROL!$C$42, 4.5482, 4.5482) * CHOOSE(CONTROL!$C$21, $C$9, 100%, $E$9)</f>
        <v>4.5481999999999996</v>
      </c>
      <c r="T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7">
        <f>(1000*CHOOSE(CONTROL!$C$42, 695, 695)*CHOOSE(CONTROL!$C$42, 0.5599, 0.5599)*CHOOSE(CONTROL!$C$42, 30, 30))/1000000</f>
        <v>11.673914999999997</v>
      </c>
      <c r="V52" s="57">
        <f>(1000*CHOOSE(CONTROL!$C$42, 580, 580)*CHOOSE(CONTROL!$C$42, 0.275, 0.275)*CHOOSE(CONTROL!$C$42, 30, 30))/1000000</f>
        <v>4.7850000000000001</v>
      </c>
      <c r="W52" s="57">
        <f>(1000*CHOOSE(CONTROL!$C$42, 0.1146, 0.1146)*CHOOSE(CONTROL!$C$42, 200, 200)*CHOOSE(CONTROL!$C$42, 30, 30))/1000000</f>
        <v>0.68759999999999999</v>
      </c>
      <c r="X52" s="57">
        <f>(30*0.1790888*245000/1000000)+(30*0.2374*100000/1000000)</f>
        <v>2.0285026799999999</v>
      </c>
      <c r="Y52" s="57"/>
      <c r="Z52" s="14"/>
      <c r="AA52" s="56"/>
      <c r="AB52" s="50">
        <f>(B52*141.293+C52*267.993+D52*115.016+E52*89.698+F52*40+G52*185+H52*0+I52*100+J52*300)/(141.293+267.993+115.016+89.698+0+40+185+100+300)</f>
        <v>4.7785981200161416</v>
      </c>
      <c r="AC52" s="45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4.7137848920863306</v>
      </c>
    </row>
    <row r="53" spans="1:29" ht="15.75" x14ac:dyDescent="0.25">
      <c r="A53" s="13">
        <v>42491</v>
      </c>
      <c r="B53" s="14">
        <f>CHOOSE(CONTROL!$C$42, 4.7959, 4.7959) * CHOOSE(CONTROL!$C$21, $C$9, 100%, $E$9)</f>
        <v>4.7958999999999996</v>
      </c>
      <c r="C53" s="14">
        <f>CHOOSE(CONTROL!$C$42, 4.8039, 4.8039) * CHOOSE(CONTROL!$C$21, $C$9, 100%, $E$9)</f>
        <v>4.8038999999999996</v>
      </c>
      <c r="D53" s="14">
        <f>CHOOSE(CONTROL!$C$42, 5.0089, 5.0089) * CHOOSE(CONTROL!$C$21, $C$9, 100%, $E$9)</f>
        <v>5.0088999999999997</v>
      </c>
      <c r="E53" s="14">
        <f>CHOOSE(CONTROL!$C$42, 5.0404, 5.0404) * CHOOSE(CONTROL!$C$21, $C$9, 100%, $E$9)</f>
        <v>5.0404</v>
      </c>
      <c r="F53" s="14">
        <f>CHOOSE(CONTROL!$C$42, 4.7821, 4.7821)*CHOOSE(CONTROL!$C$21, $C$9, 100%, $E$9)</f>
        <v>4.7820999999999998</v>
      </c>
      <c r="G53" s="14">
        <f>CHOOSE(CONTROL!$C$42, 4.7985, 4.7985)*CHOOSE(CONTROL!$C$21, $C$9, 100%, $E$9)</f>
        <v>4.7984999999999998</v>
      </c>
      <c r="H53" s="14">
        <f>CHOOSE(CONTROL!$C$42, 5.029, 5.029) * CHOOSE(CONTROL!$C$21, $C$9, 100%, $E$9)</f>
        <v>5.0289999999999999</v>
      </c>
      <c r="I53" s="14">
        <f>CHOOSE(CONTROL!$C$42, 4.819, 4.819)* CHOOSE(CONTROL!$C$21, $C$9, 100%, $E$9)</f>
        <v>4.819</v>
      </c>
      <c r="J53" s="14">
        <f>CHOOSE(CONTROL!$C$42, 4.7751, 4.7751)* CHOOSE(CONTROL!$C$21, $C$9, 100%, $E$9)</f>
        <v>4.7751000000000001</v>
      </c>
      <c r="K53" s="53"/>
      <c r="L53" s="14">
        <f>CHOOSE(CONTROL!$C$42, 5.616, 5.616) * CHOOSE(CONTROL!$C$21, $C$9, 100%, $E$9)</f>
        <v>5.6159999999999997</v>
      </c>
      <c r="M53" s="14">
        <f>CHOOSE(CONTROL!$C$42, 4.6849, 4.6849) * CHOOSE(CONTROL!$C$21, $C$9, 100%, $E$9)</f>
        <v>4.6848999999999998</v>
      </c>
      <c r="N53" s="14">
        <f>CHOOSE(CONTROL!$C$42, 4.701, 4.701) * CHOOSE(CONTROL!$C$21, $C$9, 100%, $E$9)</f>
        <v>4.7009999999999996</v>
      </c>
      <c r="O53" s="14">
        <f>CHOOSE(CONTROL!$C$42, 4.9336, 4.9336) * CHOOSE(CONTROL!$C$21, $C$9, 100%, $E$9)</f>
        <v>4.9336000000000002</v>
      </c>
      <c r="P53" s="14">
        <f>CHOOSE(CONTROL!$C$42, 4.7277, 4.7277) * CHOOSE(CONTROL!$C$21, $C$9, 100%, $E$9)</f>
        <v>4.7276999999999996</v>
      </c>
      <c r="Q53" s="14">
        <f>CHOOSE(CONTROL!$C$42, 5.5283, 5.5283) * CHOOSE(CONTROL!$C$21, $C$9, 100%, $E$9)</f>
        <v>5.5282999999999998</v>
      </c>
      <c r="R53" s="14">
        <f>CHOOSE(CONTROL!$C$42, 6.1292, 6.1292) * CHOOSE(CONTROL!$C$21, $C$9, 100%, $E$9)</f>
        <v>6.1292</v>
      </c>
      <c r="S53" s="14">
        <f>CHOOSE(CONTROL!$C$42, 4.5977, 4.5977) * CHOOSE(CONTROL!$C$21, $C$9, 100%, $E$9)</f>
        <v>4.5976999999999997</v>
      </c>
      <c r="T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7">
        <f>(1000*CHOOSE(CONTROL!$C$42, 695, 695)*CHOOSE(CONTROL!$C$42, 0.5599, 0.5599)*CHOOSE(CONTROL!$C$42, 31, 31))/1000000</f>
        <v>12.063045499999998</v>
      </c>
      <c r="V53" s="57">
        <f>(1000*CHOOSE(CONTROL!$C$42, 580, 580)*CHOOSE(CONTROL!$C$42, 0.275, 0.275)*CHOOSE(CONTROL!$C$42, 31, 31))/1000000</f>
        <v>4.9444999999999997</v>
      </c>
      <c r="W53" s="57">
        <f>(1000*CHOOSE(CONTROL!$C$42, 0.1146, 0.1146)*CHOOSE(CONTROL!$C$42, 121.5, 121.5)*CHOOSE(CONTROL!$C$42, 31, 31))/1000000</f>
        <v>0.43164089999999994</v>
      </c>
      <c r="X53" s="57">
        <f>(31*0.1790888*245000/1000000)+(31*0.2374*100000/1000000)</f>
        <v>2.0961194359999999</v>
      </c>
      <c r="Y53" s="57"/>
      <c r="Z53" s="14"/>
      <c r="AA53" s="56"/>
      <c r="AB53" s="50">
        <f>(B53*194.205+C53*267.466+D53*133.845+E53*53.484+F53*40+G53*185+H53*0+I53*100+J53*300)/(194.205+267.466+133.845+53.484+0+40+185+100+300)</f>
        <v>4.8270809662480376</v>
      </c>
      <c r="AC53" s="45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4.7645438848920865</v>
      </c>
    </row>
    <row r="54" spans="1:29" ht="15.75" x14ac:dyDescent="0.25">
      <c r="A54" s="13">
        <v>42522</v>
      </c>
      <c r="B54" s="14">
        <f>CHOOSE(CONTROL!$C$42, 4.9417, 4.9417) * CHOOSE(CONTROL!$C$21, $C$9, 100%, $E$9)</f>
        <v>4.9417</v>
      </c>
      <c r="C54" s="14">
        <f>CHOOSE(CONTROL!$C$42, 4.9498, 4.9498) * CHOOSE(CONTROL!$C$21, $C$9, 100%, $E$9)</f>
        <v>4.9497999999999998</v>
      </c>
      <c r="D54" s="14">
        <f>CHOOSE(CONTROL!$C$42, 5.1547, 5.1547) * CHOOSE(CONTROL!$C$21, $C$9, 100%, $E$9)</f>
        <v>5.1547000000000001</v>
      </c>
      <c r="E54" s="14">
        <f>CHOOSE(CONTROL!$C$42, 5.1862, 5.1862) * CHOOSE(CONTROL!$C$21, $C$9, 100%, $E$9)</f>
        <v>5.1862000000000004</v>
      </c>
      <c r="F54" s="14">
        <f>CHOOSE(CONTROL!$C$42, 4.9283, 4.9283)*CHOOSE(CONTROL!$C$21, $C$9, 100%, $E$9)</f>
        <v>4.9283000000000001</v>
      </c>
      <c r="G54" s="14">
        <f>CHOOSE(CONTROL!$C$42, 4.9448, 4.9448)*CHOOSE(CONTROL!$C$21, $C$9, 100%, $E$9)</f>
        <v>4.9447999999999999</v>
      </c>
      <c r="H54" s="14">
        <f>CHOOSE(CONTROL!$C$42, 5.1748, 5.1748) * CHOOSE(CONTROL!$C$21, $C$9, 100%, $E$9)</f>
        <v>5.1748000000000003</v>
      </c>
      <c r="I54" s="14">
        <f>CHOOSE(CONTROL!$C$42, 4.9652, 4.9652)* CHOOSE(CONTROL!$C$21, $C$9, 100%, $E$9)</f>
        <v>4.9652000000000003</v>
      </c>
      <c r="J54" s="14">
        <f>CHOOSE(CONTROL!$C$42, 4.9213, 4.9213)* CHOOSE(CONTROL!$C$21, $C$9, 100%, $E$9)</f>
        <v>4.9212999999999996</v>
      </c>
      <c r="K54" s="53"/>
      <c r="L54" s="14">
        <f>CHOOSE(CONTROL!$C$42, 5.7618, 5.7618) * CHOOSE(CONTROL!$C$21, $C$9, 100%, $E$9)</f>
        <v>5.7618</v>
      </c>
      <c r="M54" s="14">
        <f>CHOOSE(CONTROL!$C$42, 4.8281, 4.8281) * CHOOSE(CONTROL!$C$21, $C$9, 100%, $E$9)</f>
        <v>4.8281000000000001</v>
      </c>
      <c r="N54" s="14">
        <f>CHOOSE(CONTROL!$C$42, 4.8443, 4.8443) * CHOOSE(CONTROL!$C$21, $C$9, 100%, $E$9)</f>
        <v>4.8442999999999996</v>
      </c>
      <c r="O54" s="14">
        <f>CHOOSE(CONTROL!$C$42, 5.0765, 5.0765) * CHOOSE(CONTROL!$C$21, $C$9, 100%, $E$9)</f>
        <v>5.0765000000000002</v>
      </c>
      <c r="P54" s="14">
        <f>CHOOSE(CONTROL!$C$42, 4.871, 4.871) * CHOOSE(CONTROL!$C$21, $C$9, 100%, $E$9)</f>
        <v>4.8710000000000004</v>
      </c>
      <c r="Q54" s="14">
        <f>CHOOSE(CONTROL!$C$42, 5.6712, 5.6712) * CHOOSE(CONTROL!$C$21, $C$9, 100%, $E$9)</f>
        <v>5.6711999999999998</v>
      </c>
      <c r="R54" s="14">
        <f>CHOOSE(CONTROL!$C$42, 6.2724, 6.2724) * CHOOSE(CONTROL!$C$21, $C$9, 100%, $E$9)</f>
        <v>6.2724000000000002</v>
      </c>
      <c r="S54" s="14">
        <f>CHOOSE(CONTROL!$C$42, 4.7379, 4.7379) * CHOOSE(CONTROL!$C$21, $C$9, 100%, $E$9)</f>
        <v>4.7378999999999998</v>
      </c>
      <c r="T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7">
        <f>(1000*CHOOSE(CONTROL!$C$42, 695, 695)*CHOOSE(CONTROL!$C$42, 0.5599, 0.5599)*CHOOSE(CONTROL!$C$42, 30, 30))/1000000</f>
        <v>11.673914999999997</v>
      </c>
      <c r="V54" s="57">
        <f>(1000*CHOOSE(CONTROL!$C$42, 580, 580)*CHOOSE(CONTROL!$C$42, 0.275, 0.275)*CHOOSE(CONTROL!$C$42, 30, 30))/1000000</f>
        <v>4.7850000000000001</v>
      </c>
      <c r="W54" s="57">
        <f>(1000*CHOOSE(CONTROL!$C$42, 0.1146, 0.1146)*CHOOSE(CONTROL!$C$42, 121.5, 121.5)*CHOOSE(CONTROL!$C$42, 30, 30))/1000000</f>
        <v>0.417717</v>
      </c>
      <c r="X54" s="57">
        <f>(30*0.1790888*245000/1000000)+(30*0.2374*100000/1000000)</f>
        <v>2.0285026799999999</v>
      </c>
      <c r="Y54" s="57"/>
      <c r="Z54" s="14"/>
      <c r="AA54" s="56"/>
      <c r="AB54" s="50">
        <f>(B54*194.205+C54*267.466+D54*133.845+E54*53.484+F54*40+G54*185+H54*0+I54*100+J54*300)/(194.205+267.466+133.845+53.484+0+40+185+100+300)</f>
        <v>4.9731127139717426</v>
      </c>
      <c r="AC54" s="45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4.9076971223021584</v>
      </c>
    </row>
    <row r="55" spans="1:29" ht="15.75" x14ac:dyDescent="0.25">
      <c r="A55" s="13">
        <v>42552</v>
      </c>
      <c r="B55" s="14">
        <f>CHOOSE(CONTROL!$C$42, 4.8571, 4.8571) * CHOOSE(CONTROL!$C$21, $C$9, 100%, $E$9)</f>
        <v>4.8571</v>
      </c>
      <c r="C55" s="14">
        <f>CHOOSE(CONTROL!$C$42, 4.8651, 4.8651) * CHOOSE(CONTROL!$C$21, $C$9, 100%, $E$9)</f>
        <v>4.8651</v>
      </c>
      <c r="D55" s="14">
        <f>CHOOSE(CONTROL!$C$42, 5.0701, 5.0701) * CHOOSE(CONTROL!$C$21, $C$9, 100%, $E$9)</f>
        <v>5.0701000000000001</v>
      </c>
      <c r="E55" s="14">
        <f>CHOOSE(CONTROL!$C$42, 5.1016, 5.1016) * CHOOSE(CONTROL!$C$21, $C$9, 100%, $E$9)</f>
        <v>5.1016000000000004</v>
      </c>
      <c r="F55" s="14">
        <f>CHOOSE(CONTROL!$C$42, 4.8441, 4.8441)*CHOOSE(CONTROL!$C$21, $C$9, 100%, $E$9)</f>
        <v>4.8441000000000001</v>
      </c>
      <c r="G55" s="14">
        <f>CHOOSE(CONTROL!$C$42, 4.8607, 4.8607)*CHOOSE(CONTROL!$C$21, $C$9, 100%, $E$9)</f>
        <v>4.8606999999999996</v>
      </c>
      <c r="H55" s="14">
        <f>CHOOSE(CONTROL!$C$42, 5.0902, 5.0902) * CHOOSE(CONTROL!$C$21, $C$9, 100%, $E$9)</f>
        <v>5.0902000000000003</v>
      </c>
      <c r="I55" s="14">
        <f>CHOOSE(CONTROL!$C$42, 4.8804, 4.8804)* CHOOSE(CONTROL!$C$21, $C$9, 100%, $E$9)</f>
        <v>4.8803999999999998</v>
      </c>
      <c r="J55" s="14">
        <f>CHOOSE(CONTROL!$C$42, 4.8371, 4.8371)* CHOOSE(CONTROL!$C$21, $C$9, 100%, $E$9)</f>
        <v>4.8371000000000004</v>
      </c>
      <c r="K55" s="53"/>
      <c r="L55" s="14">
        <f>CHOOSE(CONTROL!$C$42, 5.6772, 5.6772) * CHOOSE(CONTROL!$C$21, $C$9, 100%, $E$9)</f>
        <v>5.6772</v>
      </c>
      <c r="M55" s="14">
        <f>CHOOSE(CONTROL!$C$42, 4.7457, 4.7457) * CHOOSE(CONTROL!$C$21, $C$9, 100%, $E$9)</f>
        <v>4.7457000000000003</v>
      </c>
      <c r="N55" s="14">
        <f>CHOOSE(CONTROL!$C$42, 4.762, 4.762) * CHOOSE(CONTROL!$C$21, $C$9, 100%, $E$9)</f>
        <v>4.7619999999999996</v>
      </c>
      <c r="O55" s="14">
        <f>CHOOSE(CONTROL!$C$42, 4.9936, 4.9936) * CHOOSE(CONTROL!$C$21, $C$9, 100%, $E$9)</f>
        <v>4.9935999999999998</v>
      </c>
      <c r="P55" s="14">
        <f>CHOOSE(CONTROL!$C$42, 4.7878, 4.7878) * CHOOSE(CONTROL!$C$21, $C$9, 100%, $E$9)</f>
        <v>4.7877999999999998</v>
      </c>
      <c r="Q55" s="14">
        <f>CHOOSE(CONTROL!$C$42, 5.5883, 5.5883) * CHOOSE(CONTROL!$C$21, $C$9, 100%, $E$9)</f>
        <v>5.5883000000000003</v>
      </c>
      <c r="R55" s="14">
        <f>CHOOSE(CONTROL!$C$42, 6.1893, 6.1893) * CHOOSE(CONTROL!$C$21, $C$9, 100%, $E$9)</f>
        <v>6.1893000000000002</v>
      </c>
      <c r="S55" s="14">
        <f>CHOOSE(CONTROL!$C$42, 4.6566, 4.6566) * CHOOSE(CONTROL!$C$21, $C$9, 100%, $E$9)</f>
        <v>4.6566000000000001</v>
      </c>
      <c r="T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7">
        <f>(1000*CHOOSE(CONTROL!$C$42, 695, 695)*CHOOSE(CONTROL!$C$42, 0.5599, 0.5599)*CHOOSE(CONTROL!$C$42, 31, 31))/1000000</f>
        <v>12.063045499999998</v>
      </c>
      <c r="V55" s="57">
        <f>(1000*CHOOSE(CONTROL!$C$42, 580, 580)*CHOOSE(CONTROL!$C$42, 0.275, 0.275)*CHOOSE(CONTROL!$C$42, 31, 31))/1000000</f>
        <v>4.9444999999999997</v>
      </c>
      <c r="W55" s="57">
        <f>(1000*CHOOSE(CONTROL!$C$42, 0.1146, 0.1146)*CHOOSE(CONTROL!$C$42, 121.5, 121.5)*CHOOSE(CONTROL!$C$42, 31, 31))/1000000</f>
        <v>0.43164089999999994</v>
      </c>
      <c r="X55" s="57">
        <f>(31*0.1790888*245000/1000000)+(31*0.2374*100000/1000000)</f>
        <v>2.0961194359999999</v>
      </c>
      <c r="Y55" s="57"/>
      <c r="Z55" s="14"/>
      <c r="AA55" s="56"/>
      <c r="AB55" s="50">
        <f>(B55*194.205+C55*267.466+D55*133.845+E55*53.484+F55*40+G55*185+H55*0+I55*100+J55*300)/(194.205+267.466+133.845+53.484+0+40+185+100+300)</f>
        <v>4.8886553775510206</v>
      </c>
      <c r="AC55" s="45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4.8250647482014388</v>
      </c>
    </row>
    <row r="56" spans="1:29" ht="15.75" x14ac:dyDescent="0.25">
      <c r="A56" s="13">
        <v>42583</v>
      </c>
      <c r="B56" s="14">
        <f>CHOOSE(CONTROL!$C$42, 4.6273, 4.6273) * CHOOSE(CONTROL!$C$21, $C$9, 100%, $E$9)</f>
        <v>4.6273</v>
      </c>
      <c r="C56" s="14">
        <f>CHOOSE(CONTROL!$C$42, 4.6353, 4.6353) * CHOOSE(CONTROL!$C$21, $C$9, 100%, $E$9)</f>
        <v>4.6353</v>
      </c>
      <c r="D56" s="14">
        <f>CHOOSE(CONTROL!$C$42, 4.8403, 4.8403) * CHOOSE(CONTROL!$C$21, $C$9, 100%, $E$9)</f>
        <v>4.8403</v>
      </c>
      <c r="E56" s="14">
        <f>CHOOSE(CONTROL!$C$42, 4.8718, 4.8718) * CHOOSE(CONTROL!$C$21, $C$9, 100%, $E$9)</f>
        <v>4.8718000000000004</v>
      </c>
      <c r="F56" s="14">
        <f>CHOOSE(CONTROL!$C$42, 4.6145, 4.6145)*CHOOSE(CONTROL!$C$21, $C$9, 100%, $E$9)</f>
        <v>4.6144999999999996</v>
      </c>
      <c r="G56" s="14">
        <f>CHOOSE(CONTROL!$C$42, 4.6312, 4.6312)*CHOOSE(CONTROL!$C$21, $C$9, 100%, $E$9)</f>
        <v>4.6311999999999998</v>
      </c>
      <c r="H56" s="14">
        <f>CHOOSE(CONTROL!$C$42, 4.8604, 4.8604) * CHOOSE(CONTROL!$C$21, $C$9, 100%, $E$9)</f>
        <v>4.8604000000000003</v>
      </c>
      <c r="I56" s="14">
        <f>CHOOSE(CONTROL!$C$42, 4.6498, 4.6498)* CHOOSE(CONTROL!$C$21, $C$9, 100%, $E$9)</f>
        <v>4.6497999999999999</v>
      </c>
      <c r="J56" s="14">
        <f>CHOOSE(CONTROL!$C$42, 4.6075, 4.6075)* CHOOSE(CONTROL!$C$21, $C$9, 100%, $E$9)</f>
        <v>4.6074999999999999</v>
      </c>
      <c r="K56" s="53"/>
      <c r="L56" s="14">
        <f>CHOOSE(CONTROL!$C$42, 5.4474, 5.4474) * CHOOSE(CONTROL!$C$21, $C$9, 100%, $E$9)</f>
        <v>5.4474</v>
      </c>
      <c r="M56" s="14">
        <f>CHOOSE(CONTROL!$C$42, 4.5208, 4.5208) * CHOOSE(CONTROL!$C$21, $C$9, 100%, $E$9)</f>
        <v>4.5208000000000004</v>
      </c>
      <c r="N56" s="14">
        <f>CHOOSE(CONTROL!$C$42, 4.5371, 4.5371) * CHOOSE(CONTROL!$C$21, $C$9, 100%, $E$9)</f>
        <v>4.5370999999999997</v>
      </c>
      <c r="O56" s="14">
        <f>CHOOSE(CONTROL!$C$42, 4.7685, 4.7685) * CHOOSE(CONTROL!$C$21, $C$9, 100%, $E$9)</f>
        <v>4.7685000000000004</v>
      </c>
      <c r="P56" s="14">
        <f>CHOOSE(CONTROL!$C$42, 4.562, 4.562) * CHOOSE(CONTROL!$C$21, $C$9, 100%, $E$9)</f>
        <v>4.5620000000000003</v>
      </c>
      <c r="Q56" s="14">
        <f>CHOOSE(CONTROL!$C$42, 5.3632, 5.3632) * CHOOSE(CONTROL!$C$21, $C$9, 100%, $E$9)</f>
        <v>5.3632</v>
      </c>
      <c r="R56" s="14">
        <f>CHOOSE(CONTROL!$C$42, 5.9636, 5.9636) * CHOOSE(CONTROL!$C$21, $C$9, 100%, $E$9)</f>
        <v>5.9635999999999996</v>
      </c>
      <c r="S56" s="14">
        <f>CHOOSE(CONTROL!$C$42, 4.4357, 4.4357) * CHOOSE(CONTROL!$C$21, $C$9, 100%, $E$9)</f>
        <v>4.4356999999999998</v>
      </c>
      <c r="T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7">
        <f>(1000*CHOOSE(CONTROL!$C$42, 695, 695)*CHOOSE(CONTROL!$C$42, 0.5599, 0.5599)*CHOOSE(CONTROL!$C$42, 31, 31))/1000000</f>
        <v>12.063045499999998</v>
      </c>
      <c r="V56" s="57">
        <f>(1000*CHOOSE(CONTROL!$C$42, 580, 580)*CHOOSE(CONTROL!$C$42, 0.275, 0.275)*CHOOSE(CONTROL!$C$42, 31, 31))/1000000</f>
        <v>4.9444999999999997</v>
      </c>
      <c r="W56" s="57">
        <f>(1000*CHOOSE(CONTROL!$C$42, 0.1146, 0.1146)*CHOOSE(CONTROL!$C$42, 121.5, 121.5)*CHOOSE(CONTROL!$C$42, 31, 31))/1000000</f>
        <v>0.43164089999999994</v>
      </c>
      <c r="X56" s="57">
        <f>(31*0.1790888*245000/1000000)+(31*0.2374*100000/1000000)</f>
        <v>2.0961194359999999</v>
      </c>
      <c r="Y56" s="57"/>
      <c r="Z56" s="14"/>
      <c r="AA56" s="56"/>
      <c r="AB56" s="50">
        <f>(B56*194.205+C56*267.466+D56*133.845+E56*53.484+F56*40+G56*185+H56*0+I56*100+J56*300)/(194.205+267.466+133.845+53.484+0+40+185+100+300)</f>
        <v>4.6588895219780229</v>
      </c>
      <c r="AC56" s="45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4.5999791366906475</v>
      </c>
    </row>
    <row r="57" spans="1:29" ht="15.75" x14ac:dyDescent="0.25">
      <c r="A57" s="13">
        <v>42614</v>
      </c>
      <c r="B57" s="14">
        <f>CHOOSE(CONTROL!$C$42, 4.3428, 4.3428) * CHOOSE(CONTROL!$C$21, $C$9, 100%, $E$9)</f>
        <v>4.3428000000000004</v>
      </c>
      <c r="C57" s="14">
        <f>CHOOSE(CONTROL!$C$42, 4.3508, 4.3508) * CHOOSE(CONTROL!$C$21, $C$9, 100%, $E$9)</f>
        <v>4.3507999999999996</v>
      </c>
      <c r="D57" s="14">
        <f>CHOOSE(CONTROL!$C$42, 4.5558, 4.5558) * CHOOSE(CONTROL!$C$21, $C$9, 100%, $E$9)</f>
        <v>4.5557999999999996</v>
      </c>
      <c r="E57" s="14">
        <f>CHOOSE(CONTROL!$C$42, 4.5873, 4.5873) * CHOOSE(CONTROL!$C$21, $C$9, 100%, $E$9)</f>
        <v>4.5872999999999999</v>
      </c>
      <c r="F57" s="14">
        <f>CHOOSE(CONTROL!$C$42, 4.33, 4.33)*CHOOSE(CONTROL!$C$21, $C$9, 100%, $E$9)</f>
        <v>4.33</v>
      </c>
      <c r="G57" s="14">
        <f>CHOOSE(CONTROL!$C$42, 4.3466, 4.3466)*CHOOSE(CONTROL!$C$21, $C$9, 100%, $E$9)</f>
        <v>4.3465999999999996</v>
      </c>
      <c r="H57" s="14">
        <f>CHOOSE(CONTROL!$C$42, 4.5759, 4.5759) * CHOOSE(CONTROL!$C$21, $C$9, 100%, $E$9)</f>
        <v>4.5758999999999999</v>
      </c>
      <c r="I57" s="14">
        <f>CHOOSE(CONTROL!$C$42, 4.3644, 4.3644)* CHOOSE(CONTROL!$C$21, $C$9, 100%, $E$9)</f>
        <v>4.3643999999999998</v>
      </c>
      <c r="J57" s="14">
        <f>CHOOSE(CONTROL!$C$42, 4.323, 4.323)* CHOOSE(CONTROL!$C$21, $C$9, 100%, $E$9)</f>
        <v>4.3230000000000004</v>
      </c>
      <c r="K57" s="53"/>
      <c r="L57" s="14">
        <f>CHOOSE(CONTROL!$C$42, 5.1629, 5.1629) * CHOOSE(CONTROL!$C$21, $C$9, 100%, $E$9)</f>
        <v>5.1628999999999996</v>
      </c>
      <c r="M57" s="14">
        <f>CHOOSE(CONTROL!$C$42, 4.2421, 4.2421) * CHOOSE(CONTROL!$C$21, $C$9, 100%, $E$9)</f>
        <v>4.2420999999999998</v>
      </c>
      <c r="N57" s="14">
        <f>CHOOSE(CONTROL!$C$42, 4.2584, 4.2584) * CHOOSE(CONTROL!$C$21, $C$9, 100%, $E$9)</f>
        <v>4.2584</v>
      </c>
      <c r="O57" s="14">
        <f>CHOOSE(CONTROL!$C$42, 4.4898, 4.4898) * CHOOSE(CONTROL!$C$21, $C$9, 100%, $E$9)</f>
        <v>4.4897999999999998</v>
      </c>
      <c r="P57" s="14">
        <f>CHOOSE(CONTROL!$C$42, 4.2825, 4.2825) * CHOOSE(CONTROL!$C$21, $C$9, 100%, $E$9)</f>
        <v>4.2824999999999998</v>
      </c>
      <c r="Q57" s="14">
        <f>CHOOSE(CONTROL!$C$42, 5.0845, 5.0845) * CHOOSE(CONTROL!$C$21, $C$9, 100%, $E$9)</f>
        <v>5.0845000000000002</v>
      </c>
      <c r="R57" s="14">
        <f>CHOOSE(CONTROL!$C$42, 5.6842, 5.6842) * CHOOSE(CONTROL!$C$21, $C$9, 100%, $E$9)</f>
        <v>5.6841999999999997</v>
      </c>
      <c r="S57" s="14">
        <f>CHOOSE(CONTROL!$C$42, 4.1624, 4.1624) * CHOOSE(CONTROL!$C$21, $C$9, 100%, $E$9)</f>
        <v>4.1623999999999999</v>
      </c>
      <c r="T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7">
        <f>(1000*CHOOSE(CONTROL!$C$42, 695, 695)*CHOOSE(CONTROL!$C$42, 0.5599, 0.5599)*CHOOSE(CONTROL!$C$42, 30, 30))/1000000</f>
        <v>11.673914999999997</v>
      </c>
      <c r="V57" s="57">
        <f>(1000*CHOOSE(CONTROL!$C$42, 580, 580)*CHOOSE(CONTROL!$C$42, 0.275, 0.275)*CHOOSE(CONTROL!$C$42, 30, 30))/1000000</f>
        <v>4.7850000000000001</v>
      </c>
      <c r="W57" s="57">
        <f>(1000*CHOOSE(CONTROL!$C$42, 0.1146, 0.1146)*CHOOSE(CONTROL!$C$42, 121.5, 121.5)*CHOOSE(CONTROL!$C$42, 30, 30))/1000000</f>
        <v>0.417717</v>
      </c>
      <c r="X57" s="57">
        <f>(30*0.1790888*245000/1000000)+(30*0.2374*100000/1000000)</f>
        <v>2.0285026799999999</v>
      </c>
      <c r="Y57" s="57"/>
      <c r="Z57" s="14"/>
      <c r="AA57" s="56"/>
      <c r="AB57" s="50">
        <f>(B57*194.205+C57*267.466+D57*133.845+E57*53.484+F57*40+G57*185+H57*0+I57*100+J57*300)/(194.205+267.466+133.845+53.484+0+40+185+100+300)</f>
        <v>4.3743043571428561</v>
      </c>
      <c r="AC57" s="45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4.3211640287769786</v>
      </c>
    </row>
    <row r="58" spans="1:29" ht="15.75" x14ac:dyDescent="0.25">
      <c r="A58" s="13">
        <v>42644</v>
      </c>
      <c r="B58" s="14">
        <f>CHOOSE(CONTROL!$C$42, 4.2618, 4.2618) * CHOOSE(CONTROL!$C$21, $C$9, 100%, $E$9)</f>
        <v>4.2618</v>
      </c>
      <c r="C58" s="14">
        <f>CHOOSE(CONTROL!$C$42, 4.2672, 4.2672) * CHOOSE(CONTROL!$C$21, $C$9, 100%, $E$9)</f>
        <v>4.2671999999999999</v>
      </c>
      <c r="D58" s="14">
        <f>CHOOSE(CONTROL!$C$42, 4.4771, 4.4771) * CHOOSE(CONTROL!$C$21, $C$9, 100%, $E$9)</f>
        <v>4.4771000000000001</v>
      </c>
      <c r="E58" s="14">
        <f>CHOOSE(CONTROL!$C$42, 4.5062, 4.5062) * CHOOSE(CONTROL!$C$21, $C$9, 100%, $E$9)</f>
        <v>4.5061999999999998</v>
      </c>
      <c r="F58" s="14">
        <f>CHOOSE(CONTROL!$C$42, 4.2511, 4.2511)*CHOOSE(CONTROL!$C$21, $C$9, 100%, $E$9)</f>
        <v>4.2511000000000001</v>
      </c>
      <c r="G58" s="14">
        <f>CHOOSE(CONTROL!$C$42, 4.2674, 4.2674)*CHOOSE(CONTROL!$C$21, $C$9, 100%, $E$9)</f>
        <v>4.2674000000000003</v>
      </c>
      <c r="H58" s="14">
        <f>CHOOSE(CONTROL!$C$42, 4.4967, 4.4967) * CHOOSE(CONTROL!$C$21, $C$9, 100%, $E$9)</f>
        <v>4.4966999999999997</v>
      </c>
      <c r="I58" s="14">
        <f>CHOOSE(CONTROL!$C$42, 4.285, 4.285)* CHOOSE(CONTROL!$C$21, $C$9, 100%, $E$9)</f>
        <v>4.2850000000000001</v>
      </c>
      <c r="J58" s="14">
        <f>CHOOSE(CONTROL!$C$42, 4.2441, 4.2441)* CHOOSE(CONTROL!$C$21, $C$9, 100%, $E$9)</f>
        <v>4.2441000000000004</v>
      </c>
      <c r="K58" s="53"/>
      <c r="L58" s="14">
        <f>CHOOSE(CONTROL!$C$42, 5.0837, 5.0837) * CHOOSE(CONTROL!$C$21, $C$9, 100%, $E$9)</f>
        <v>5.0837000000000003</v>
      </c>
      <c r="M58" s="14">
        <f>CHOOSE(CONTROL!$C$42, 4.1648, 4.1648) * CHOOSE(CONTROL!$C$21, $C$9, 100%, $E$9)</f>
        <v>4.1647999999999996</v>
      </c>
      <c r="N58" s="14">
        <f>CHOOSE(CONTROL!$C$42, 4.1808, 4.1808) * CHOOSE(CONTROL!$C$21, $C$9, 100%, $E$9)</f>
        <v>4.1807999999999996</v>
      </c>
      <c r="O58" s="14">
        <f>CHOOSE(CONTROL!$C$42, 4.4123, 4.4123) * CHOOSE(CONTROL!$C$21, $C$9, 100%, $E$9)</f>
        <v>4.4123000000000001</v>
      </c>
      <c r="P58" s="14">
        <f>CHOOSE(CONTROL!$C$42, 4.2047, 4.2047) * CHOOSE(CONTROL!$C$21, $C$9, 100%, $E$9)</f>
        <v>4.2046999999999999</v>
      </c>
      <c r="Q58" s="14">
        <f>CHOOSE(CONTROL!$C$42, 5.007, 5.007) * CHOOSE(CONTROL!$C$21, $C$9, 100%, $E$9)</f>
        <v>5.0069999999999997</v>
      </c>
      <c r="R58" s="14">
        <f>CHOOSE(CONTROL!$C$42, 5.6065, 5.6065) * CHOOSE(CONTROL!$C$21, $C$9, 100%, $E$9)</f>
        <v>5.6064999999999996</v>
      </c>
      <c r="S58" s="14">
        <f>CHOOSE(CONTROL!$C$42, 4.0863, 4.0863) * CHOOSE(CONTROL!$C$21, $C$9, 100%, $E$9)</f>
        <v>4.0862999999999996</v>
      </c>
      <c r="T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7">
        <f>(1000*CHOOSE(CONTROL!$C$42, 695, 695)*CHOOSE(CONTROL!$C$42, 0.5599, 0.5599)*CHOOSE(CONTROL!$C$42, 31, 31))/1000000</f>
        <v>12.063045499999998</v>
      </c>
      <c r="V58" s="57">
        <f>(1000*CHOOSE(CONTROL!$C$42, 580, 580)*CHOOSE(CONTROL!$C$42, 0.275, 0.275)*CHOOSE(CONTROL!$C$42, 31, 31))/1000000</f>
        <v>4.9444999999999997</v>
      </c>
      <c r="W58" s="57">
        <f>(1000*CHOOSE(CONTROL!$C$42, 0.1146, 0.1146)*CHOOSE(CONTROL!$C$42, 121.5, 121.5)*CHOOSE(CONTROL!$C$42, 31, 31))/1000000</f>
        <v>0.43164089999999994</v>
      </c>
      <c r="X58" s="57">
        <f>(31*0.1790888*245000/1000000)+(31*0.2374*100000/1000000)</f>
        <v>2.0961194359999999</v>
      </c>
      <c r="Y58" s="57"/>
      <c r="Z58" s="14"/>
      <c r="AA58" s="56"/>
      <c r="AB58" s="50">
        <f>(B58*131.881+C58*277.167+D58*79.08+E58*125.872+F58*40+G58*185+H58*0+I58*100+J58*300)/(131.881+277.167+79.08+125.872+0+40+185+100+300)</f>
        <v>4.2996561280064558</v>
      </c>
      <c r="AC58" s="45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4.2436669064748198</v>
      </c>
    </row>
    <row r="59" spans="1:29" ht="15.75" x14ac:dyDescent="0.25">
      <c r="A59" s="13">
        <v>42675</v>
      </c>
      <c r="B59" s="14">
        <f>CHOOSE(CONTROL!$C$42, 4.3824, 4.3824) * CHOOSE(CONTROL!$C$21, $C$9, 100%, $E$9)</f>
        <v>4.3823999999999996</v>
      </c>
      <c r="C59" s="14">
        <f>CHOOSE(CONTROL!$C$42, 4.3875, 4.3875) * CHOOSE(CONTROL!$C$21, $C$9, 100%, $E$9)</f>
        <v>4.3875000000000002</v>
      </c>
      <c r="D59" s="14">
        <f>CHOOSE(CONTROL!$C$42, 4.4513, 4.4513) * CHOOSE(CONTROL!$C$21, $C$9, 100%, $E$9)</f>
        <v>4.4512999999999998</v>
      </c>
      <c r="E59" s="14">
        <f>CHOOSE(CONTROL!$C$42, 4.4854, 4.4854) * CHOOSE(CONTROL!$C$21, $C$9, 100%, $E$9)</f>
        <v>4.4854000000000003</v>
      </c>
      <c r="F59" s="14">
        <f>CHOOSE(CONTROL!$C$42, 4.3847, 4.3847)*CHOOSE(CONTROL!$C$21, $C$9, 100%, $E$9)</f>
        <v>4.3846999999999996</v>
      </c>
      <c r="G59" s="14">
        <f>CHOOSE(CONTROL!$C$42, 4.4013, 4.4013)*CHOOSE(CONTROL!$C$21, $C$9, 100%, $E$9)</f>
        <v>4.4013</v>
      </c>
      <c r="H59" s="14">
        <f>CHOOSE(CONTROL!$C$42, 4.4746, 4.4746) * CHOOSE(CONTROL!$C$21, $C$9, 100%, $E$9)</f>
        <v>4.4745999999999997</v>
      </c>
      <c r="I59" s="14">
        <f>CHOOSE(CONTROL!$C$42, 4.41, 4.41)* CHOOSE(CONTROL!$C$21, $C$9, 100%, $E$9)</f>
        <v>4.41</v>
      </c>
      <c r="J59" s="14">
        <f>CHOOSE(CONTROL!$C$42, 4.3777, 4.3777)* CHOOSE(CONTROL!$C$21, $C$9, 100%, $E$9)</f>
        <v>4.3776999999999999</v>
      </c>
      <c r="K59" s="53"/>
      <c r="L59" s="14">
        <f>CHOOSE(CONTROL!$C$42, 5.0616, 5.0616) * CHOOSE(CONTROL!$C$21, $C$9, 100%, $E$9)</f>
        <v>5.0616000000000003</v>
      </c>
      <c r="M59" s="14">
        <f>CHOOSE(CONTROL!$C$42, 4.2957, 4.2957) * CHOOSE(CONTROL!$C$21, $C$9, 100%, $E$9)</f>
        <v>4.2957000000000001</v>
      </c>
      <c r="N59" s="14">
        <f>CHOOSE(CONTROL!$C$42, 4.312, 4.312) * CHOOSE(CONTROL!$C$21, $C$9, 100%, $E$9)</f>
        <v>4.3120000000000003</v>
      </c>
      <c r="O59" s="14">
        <f>CHOOSE(CONTROL!$C$42, 4.3906, 4.3906) * CHOOSE(CONTROL!$C$21, $C$9, 100%, $E$9)</f>
        <v>4.3906000000000001</v>
      </c>
      <c r="P59" s="14">
        <f>CHOOSE(CONTROL!$C$42, 4.3272, 4.3272) * CHOOSE(CONTROL!$C$21, $C$9, 100%, $E$9)</f>
        <v>4.3272000000000004</v>
      </c>
      <c r="Q59" s="14">
        <f>CHOOSE(CONTROL!$C$42, 4.9853, 4.9853) * CHOOSE(CONTROL!$C$21, $C$9, 100%, $E$9)</f>
        <v>4.9852999999999996</v>
      </c>
      <c r="R59" s="14">
        <f>CHOOSE(CONTROL!$C$42, 5.5848, 5.5848) * CHOOSE(CONTROL!$C$21, $C$9, 100%, $E$9)</f>
        <v>5.5848000000000004</v>
      </c>
      <c r="S59" s="14">
        <f>CHOOSE(CONTROL!$C$42, 4.2025, 4.2025) * CHOOSE(CONTROL!$C$21, $C$9, 100%, $E$9)</f>
        <v>4.2024999999999997</v>
      </c>
      <c r="T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7">
        <f>(1000*CHOOSE(CONTROL!$C$42, 695, 695)*CHOOSE(CONTROL!$C$42, 0.5599, 0.5599)*CHOOSE(CONTROL!$C$42, 30, 30))/1000000</f>
        <v>11.673914999999997</v>
      </c>
      <c r="V59" s="57">
        <f>(1000*CHOOSE(CONTROL!$C$42, 580, 580)*CHOOSE(CONTROL!$C$42, 0.275, 0.275)*CHOOSE(CONTROL!$C$42, 30, 30))/1000000</f>
        <v>4.7850000000000001</v>
      </c>
      <c r="W59" s="57">
        <f>(1000*CHOOSE(CONTROL!$C$42, 0.1146, 0.1146)*CHOOSE(CONTROL!$C$42, 121.5, 121.5)*CHOOSE(CONTROL!$C$42, 30, 30))/1000000</f>
        <v>0.417717</v>
      </c>
      <c r="X59" s="57">
        <f>(30*0.1790888*100000/1000000)+(30*0.2374*100000/1000000)</f>
        <v>1.2494664</v>
      </c>
      <c r="Y59" s="57"/>
      <c r="Z59" s="14"/>
      <c r="AA59" s="56"/>
      <c r="AB59" s="50">
        <f>(B59*122.58+C59*297.941+D59*89.177+E59*40.302+F59*40+G59*160+H59*0+I59*100+J59*300)/(122.58+297.941+89.177+40.302+0+40+160+100+300)</f>
        <v>4.3965573046956514</v>
      </c>
      <c r="AC59" s="45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4.3441827338129499</v>
      </c>
    </row>
    <row r="60" spans="1:29" ht="15.75" x14ac:dyDescent="0.25">
      <c r="A60" s="13">
        <v>42705</v>
      </c>
      <c r="B60" s="14">
        <f>CHOOSE(CONTROL!$C$42, 4.6902, 4.6902) * CHOOSE(CONTROL!$C$21, $C$9, 100%, $E$9)</f>
        <v>4.6901999999999999</v>
      </c>
      <c r="C60" s="14">
        <f>CHOOSE(CONTROL!$C$42, 4.6952, 4.6952) * CHOOSE(CONTROL!$C$21, $C$9, 100%, $E$9)</f>
        <v>4.6951999999999998</v>
      </c>
      <c r="D60" s="14">
        <f>CHOOSE(CONTROL!$C$42, 4.7591, 4.7591) * CHOOSE(CONTROL!$C$21, $C$9, 100%, $E$9)</f>
        <v>4.7591000000000001</v>
      </c>
      <c r="E60" s="14">
        <f>CHOOSE(CONTROL!$C$42, 4.7932, 4.7932) * CHOOSE(CONTROL!$C$21, $C$9, 100%, $E$9)</f>
        <v>4.7931999999999997</v>
      </c>
      <c r="F60" s="14">
        <f>CHOOSE(CONTROL!$C$42, 4.6945, 4.6945)*CHOOSE(CONTROL!$C$21, $C$9, 100%, $E$9)</f>
        <v>4.6944999999999997</v>
      </c>
      <c r="G60" s="14">
        <f>CHOOSE(CONTROL!$C$42, 4.7117, 4.7117)*CHOOSE(CONTROL!$C$21, $C$9, 100%, $E$9)</f>
        <v>4.7117000000000004</v>
      </c>
      <c r="H60" s="14">
        <f>CHOOSE(CONTROL!$C$42, 4.7824, 4.7824) * CHOOSE(CONTROL!$C$21, $C$9, 100%, $E$9)</f>
        <v>4.7824</v>
      </c>
      <c r="I60" s="14">
        <f>CHOOSE(CONTROL!$C$42, 4.7188, 4.7188)* CHOOSE(CONTROL!$C$21, $C$9, 100%, $E$9)</f>
        <v>4.7187999999999999</v>
      </c>
      <c r="J60" s="14">
        <f>CHOOSE(CONTROL!$C$42, 4.6875, 4.6875)* CHOOSE(CONTROL!$C$21, $C$9, 100%, $E$9)</f>
        <v>4.6875</v>
      </c>
      <c r="K60" s="53"/>
      <c r="L60" s="14">
        <f>CHOOSE(CONTROL!$C$42, 5.3694, 5.3694) * CHOOSE(CONTROL!$C$21, $C$9, 100%, $E$9)</f>
        <v>5.3693999999999997</v>
      </c>
      <c r="M60" s="14">
        <f>CHOOSE(CONTROL!$C$42, 4.5991, 4.5991) * CHOOSE(CONTROL!$C$21, $C$9, 100%, $E$9)</f>
        <v>4.5991</v>
      </c>
      <c r="N60" s="14">
        <f>CHOOSE(CONTROL!$C$42, 4.616, 4.616) * CHOOSE(CONTROL!$C$21, $C$9, 100%, $E$9)</f>
        <v>4.6159999999999997</v>
      </c>
      <c r="O60" s="14">
        <f>CHOOSE(CONTROL!$C$42, 4.6921, 4.6921) * CHOOSE(CONTROL!$C$21, $C$9, 100%, $E$9)</f>
        <v>4.6920999999999999</v>
      </c>
      <c r="P60" s="14">
        <f>CHOOSE(CONTROL!$C$42, 4.6295, 4.6295) * CHOOSE(CONTROL!$C$21, $C$9, 100%, $E$9)</f>
        <v>4.6295000000000002</v>
      </c>
      <c r="Q60" s="14">
        <f>CHOOSE(CONTROL!$C$42, 5.2868, 5.2868) * CHOOSE(CONTROL!$C$21, $C$9, 100%, $E$9)</f>
        <v>5.2868000000000004</v>
      </c>
      <c r="R60" s="14">
        <f>CHOOSE(CONTROL!$C$42, 5.887, 5.887) * CHOOSE(CONTROL!$C$21, $C$9, 100%, $E$9)</f>
        <v>5.8869999999999996</v>
      </c>
      <c r="S60" s="14">
        <f>CHOOSE(CONTROL!$C$42, 4.4982, 4.4982) * CHOOSE(CONTROL!$C$21, $C$9, 100%, $E$9)</f>
        <v>4.4981999999999998</v>
      </c>
      <c r="T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7">
        <f>(1000*CHOOSE(CONTROL!$C$42, 695, 695)*CHOOSE(CONTROL!$C$42, 0.5599, 0.5599)*CHOOSE(CONTROL!$C$42, 31, 31))/1000000</f>
        <v>12.063045499999998</v>
      </c>
      <c r="V60" s="57">
        <f>(1000*CHOOSE(CONTROL!$C$42, 580, 580)*CHOOSE(CONTROL!$C$42, 0.275, 0.275)*CHOOSE(CONTROL!$C$42, 31, 31))/1000000</f>
        <v>4.9444999999999997</v>
      </c>
      <c r="W60" s="57">
        <f>(1000*CHOOSE(CONTROL!$C$42, 0.1146, 0.1146)*CHOOSE(CONTROL!$C$42, 121.5, 121.5)*CHOOSE(CONTROL!$C$42, 31, 31))/1000000</f>
        <v>0.43164089999999994</v>
      </c>
      <c r="X60" s="57">
        <f>(31*0.1790888*100000/1000000)+(31*0.2374*100000/1000000)</f>
        <v>1.2911152800000001</v>
      </c>
      <c r="Y60" s="57"/>
      <c r="Z60" s="14"/>
      <c r="AA60" s="56"/>
      <c r="AB60" s="50">
        <f>(B60*122.58+C60*297.941+D60*89.177+E60*40.302+F60*40+G60*160+H60*0+I60*100+J60*300)/(122.58+297.941+89.177+40.302+0+40+160+100+300)</f>
        <v>4.7053713967826081</v>
      </c>
      <c r="AC60" s="45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4.6465978417266189</v>
      </c>
    </row>
    <row r="61" spans="1:29" ht="15.75" x14ac:dyDescent="0.25">
      <c r="A61" s="13">
        <v>42736</v>
      </c>
      <c r="B61" s="14">
        <f>CHOOSE(CONTROL!$C$42, 5.1253, 5.1253) * CHOOSE(CONTROL!$C$21, $C$9, 100%, $E$9)</f>
        <v>5.1253000000000002</v>
      </c>
      <c r="C61" s="14">
        <f>CHOOSE(CONTROL!$C$42, 5.1304, 5.1304) * CHOOSE(CONTROL!$C$21, $C$9, 100%, $E$9)</f>
        <v>5.1303999999999998</v>
      </c>
      <c r="D61" s="14">
        <f>CHOOSE(CONTROL!$C$42, 5.189, 5.189) * CHOOSE(CONTROL!$C$21, $C$9, 100%, $E$9)</f>
        <v>5.1890000000000001</v>
      </c>
      <c r="E61" s="14">
        <f>CHOOSE(CONTROL!$C$42, 5.2231, 5.2231) * CHOOSE(CONTROL!$C$21, $C$9, 100%, $E$9)</f>
        <v>5.2230999999999996</v>
      </c>
      <c r="F61" s="14">
        <f>CHOOSE(CONTROL!$C$42, 5.1244, 5.1244)*CHOOSE(CONTROL!$C$21, $C$9, 100%, $E$9)</f>
        <v>5.1243999999999996</v>
      </c>
      <c r="G61" s="14">
        <f>CHOOSE(CONTROL!$C$42, 5.1408, 5.1408)*CHOOSE(CONTROL!$C$21, $C$9, 100%, $E$9)</f>
        <v>5.1407999999999996</v>
      </c>
      <c r="H61" s="14">
        <f>CHOOSE(CONTROL!$C$42, 5.2123, 5.2123) * CHOOSE(CONTROL!$C$21, $C$9, 100%, $E$9)</f>
        <v>5.2122999999999999</v>
      </c>
      <c r="I61" s="14">
        <f>CHOOSE(CONTROL!$C$42, 5.1516, 5.1516)* CHOOSE(CONTROL!$C$21, $C$9, 100%, $E$9)</f>
        <v>5.1516000000000002</v>
      </c>
      <c r="J61" s="14">
        <f>CHOOSE(CONTROL!$C$42, 5.1174, 5.1174)* CHOOSE(CONTROL!$C$21, $C$9, 100%, $E$9)</f>
        <v>5.1173999999999999</v>
      </c>
      <c r="K61" s="53">
        <f>CHOOSE(CONTROL!$C$42, 5.1477, 5.1477) * CHOOSE(CONTROL!$C$21, $C$9, 100%, $E$9)</f>
        <v>5.1477000000000004</v>
      </c>
      <c r="L61" s="14">
        <f>CHOOSE(CONTROL!$C$42, 5.7993, 5.7993) * CHOOSE(CONTROL!$C$21, $C$9, 100%, $E$9)</f>
        <v>5.7992999999999997</v>
      </c>
      <c r="M61" s="14">
        <f>CHOOSE(CONTROL!$C$42, 5.0202, 5.0202) * CHOOSE(CONTROL!$C$21, $C$9, 100%, $E$9)</f>
        <v>5.0202</v>
      </c>
      <c r="N61" s="14">
        <f>CHOOSE(CONTROL!$C$42, 5.0363, 5.0363) * CHOOSE(CONTROL!$C$21, $C$9, 100%, $E$9)</f>
        <v>5.0362999999999998</v>
      </c>
      <c r="O61" s="14">
        <f>CHOOSE(CONTROL!$C$42, 5.1132, 5.1132) * CHOOSE(CONTROL!$C$21, $C$9, 100%, $E$9)</f>
        <v>5.1132</v>
      </c>
      <c r="P61" s="14">
        <f>CHOOSE(CONTROL!$C$42, 5.0535, 5.0535) * CHOOSE(CONTROL!$C$21, $C$9, 100%, $E$9)</f>
        <v>5.0534999999999997</v>
      </c>
      <c r="Q61" s="14">
        <f>CHOOSE(CONTROL!$C$42, 5.7079, 5.7079) * CHOOSE(CONTROL!$C$21, $C$9, 100%, $E$9)</f>
        <v>5.7079000000000004</v>
      </c>
      <c r="R61" s="14">
        <f>CHOOSE(CONTROL!$C$42, 6.3091, 6.3091) * CHOOSE(CONTROL!$C$21, $C$9, 100%, $E$9)</f>
        <v>6.3090999999999999</v>
      </c>
      <c r="S61" s="14">
        <f>CHOOSE(CONTROL!$C$42, 4.9164, 4.9164) * CHOOSE(CONTROL!$C$21, $C$9, 100%, $E$9)</f>
        <v>4.9164000000000003</v>
      </c>
      <c r="T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7">
        <f>(1000*CHOOSE(CONTROL!$C$42, 695, 695)*CHOOSE(CONTROL!$C$42, 0.5599, 0.5599)*CHOOSE(CONTROL!$C$42, 31, 31))/1000000</f>
        <v>12.063045499999998</v>
      </c>
      <c r="V61" s="57">
        <f>(1000*CHOOSE(CONTROL!$C$42, 580, 580)*CHOOSE(CONTROL!$C$42, 0.275, 0.275)*CHOOSE(CONTROL!$C$42, 31, 31))/1000000</f>
        <v>4.9444999999999997</v>
      </c>
      <c r="W61" s="57">
        <f>(1000*CHOOSE(CONTROL!$C$42, 0.1146, 0.1146)*CHOOSE(CONTROL!$C$42, 121.5, 121.5)*CHOOSE(CONTROL!$C$42, 31, 31))/1000000</f>
        <v>0.43164089999999994</v>
      </c>
      <c r="X61" s="57">
        <f>(31*0.1790888*100000/1000000)+(31*0.2374*100000/1000000)</f>
        <v>1.2911152800000001</v>
      </c>
      <c r="Y61" s="57"/>
      <c r="Z61" s="14"/>
      <c r="AA61" s="56"/>
      <c r="AB61" s="50">
        <f>(B61*122.58+C61*297.941+D61*89.177+E61*40.302+F61*40+G61*160+H61*0+I61*100+J61*300)/(122.58+297.941+89.177+40.302+0+40+160+100+300)</f>
        <v>5.1373396605217394</v>
      </c>
      <c r="AC61" s="45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5.068069064748201</v>
      </c>
    </row>
    <row r="62" spans="1:29" ht="15.75" x14ac:dyDescent="0.25">
      <c r="A62" s="13">
        <v>42767</v>
      </c>
      <c r="B62" s="14">
        <f>CHOOSE(CONTROL!$C$42, 5.2271, 5.2271) * CHOOSE(CONTROL!$C$21, $C$9, 100%, $E$9)</f>
        <v>5.2271000000000001</v>
      </c>
      <c r="C62" s="14">
        <f>CHOOSE(CONTROL!$C$42, 5.2321, 5.2321) * CHOOSE(CONTROL!$C$21, $C$9, 100%, $E$9)</f>
        <v>5.2321</v>
      </c>
      <c r="D62" s="14">
        <f>CHOOSE(CONTROL!$C$42, 5.2908, 5.2908) * CHOOSE(CONTROL!$C$21, $C$9, 100%, $E$9)</f>
        <v>5.2907999999999999</v>
      </c>
      <c r="E62" s="14">
        <f>CHOOSE(CONTROL!$C$42, 5.3249, 5.3249) * CHOOSE(CONTROL!$C$21, $C$9, 100%, $E$9)</f>
        <v>5.3249000000000004</v>
      </c>
      <c r="F62" s="14">
        <f>CHOOSE(CONTROL!$C$42, 5.2262, 5.2262)*CHOOSE(CONTROL!$C$21, $C$9, 100%, $E$9)</f>
        <v>5.2262000000000004</v>
      </c>
      <c r="G62" s="14">
        <f>CHOOSE(CONTROL!$C$42, 5.2425, 5.2425)*CHOOSE(CONTROL!$C$21, $C$9, 100%, $E$9)</f>
        <v>5.2424999999999997</v>
      </c>
      <c r="H62" s="14">
        <f>CHOOSE(CONTROL!$C$42, 5.3141, 5.3141) * CHOOSE(CONTROL!$C$21, $C$9, 100%, $E$9)</f>
        <v>5.3140999999999998</v>
      </c>
      <c r="I62" s="14">
        <f>CHOOSE(CONTROL!$C$42, 5.2537, 5.2537)* CHOOSE(CONTROL!$C$21, $C$9, 100%, $E$9)</f>
        <v>5.2537000000000003</v>
      </c>
      <c r="J62" s="14">
        <f>CHOOSE(CONTROL!$C$42, 5.2192, 5.2192)* CHOOSE(CONTROL!$C$21, $C$9, 100%, $E$9)</f>
        <v>5.2191999999999998</v>
      </c>
      <c r="K62" s="53">
        <f>CHOOSE(CONTROL!$C$42, 5.2498, 5.2498) * CHOOSE(CONTROL!$C$21, $C$9, 100%, $E$9)</f>
        <v>5.2497999999999996</v>
      </c>
      <c r="L62" s="14">
        <f>CHOOSE(CONTROL!$C$42, 5.9011, 5.9011) * CHOOSE(CONTROL!$C$21, $C$9, 100%, $E$9)</f>
        <v>5.9010999999999996</v>
      </c>
      <c r="M62" s="14">
        <f>CHOOSE(CONTROL!$C$42, 5.1199, 5.1199) * CHOOSE(CONTROL!$C$21, $C$9, 100%, $E$9)</f>
        <v>5.1199000000000003</v>
      </c>
      <c r="N62" s="14">
        <f>CHOOSE(CONTROL!$C$42, 5.136, 5.136) * CHOOSE(CONTROL!$C$21, $C$9, 100%, $E$9)</f>
        <v>5.1360000000000001</v>
      </c>
      <c r="O62" s="14">
        <f>CHOOSE(CONTROL!$C$42, 5.2129, 5.2129) * CHOOSE(CONTROL!$C$21, $C$9, 100%, $E$9)</f>
        <v>5.2129000000000003</v>
      </c>
      <c r="P62" s="14">
        <f>CHOOSE(CONTROL!$C$42, 5.1535, 5.1535) * CHOOSE(CONTROL!$C$21, $C$9, 100%, $E$9)</f>
        <v>5.1535000000000002</v>
      </c>
      <c r="Q62" s="14">
        <f>CHOOSE(CONTROL!$C$42, 5.8076, 5.8076) * CHOOSE(CONTROL!$C$21, $C$9, 100%, $E$9)</f>
        <v>5.8075999999999999</v>
      </c>
      <c r="R62" s="14">
        <f>CHOOSE(CONTROL!$C$42, 6.4091, 6.4091) * CHOOSE(CONTROL!$C$21, $C$9, 100%, $E$9)</f>
        <v>6.4090999999999996</v>
      </c>
      <c r="S62" s="14">
        <f>CHOOSE(CONTROL!$C$42, 5.0142, 5.0142) * CHOOSE(CONTROL!$C$21, $C$9, 100%, $E$9)</f>
        <v>5.0141999999999998</v>
      </c>
      <c r="T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7">
        <f>(1000*CHOOSE(CONTROL!$C$42, 695, 695)*CHOOSE(CONTROL!$C$42, 0.5599, 0.5599)*CHOOSE(CONTROL!$C$42, 28, 28))/1000000</f>
        <v>10.895653999999999</v>
      </c>
      <c r="V62" s="57">
        <f>(1000*CHOOSE(CONTROL!$C$42, 580, 580)*CHOOSE(CONTROL!$C$42, 0.275, 0.275)*CHOOSE(CONTROL!$C$42, 28, 28))/1000000</f>
        <v>4.4660000000000002</v>
      </c>
      <c r="W62" s="57">
        <f>(1000*CHOOSE(CONTROL!$C$42, 0.1146, 0.1146)*CHOOSE(CONTROL!$C$42, 121.5, 121.5)*CHOOSE(CONTROL!$C$42, 28, 28))/1000000</f>
        <v>0.38986920000000003</v>
      </c>
      <c r="X62" s="57">
        <f>(28*0.1790888*100000/1000000)+(28*0.2374*100000/1000000)</f>
        <v>1.16616864</v>
      </c>
      <c r="Y62" s="57"/>
      <c r="Z62" s="14"/>
      <c r="AA62" s="56"/>
      <c r="AB62" s="50">
        <f>(B62*122.58+C62*297.941+D62*89.177+E62*40.302+F62*40+G62*160+H62*0+I62*100+J62*300)/(122.58+297.941+89.177+40.302+0+40+160+100+300)</f>
        <v>5.2391259265217389</v>
      </c>
      <c r="AC62" s="45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5.1678122302158283</v>
      </c>
    </row>
    <row r="63" spans="1:29" ht="15.75" x14ac:dyDescent="0.25">
      <c r="A63" s="13">
        <v>42795</v>
      </c>
      <c r="B63" s="14">
        <f>CHOOSE(CONTROL!$C$42, 5.0894, 5.0894) * CHOOSE(CONTROL!$C$21, $C$9, 100%, $E$9)</f>
        <v>5.0894000000000004</v>
      </c>
      <c r="C63" s="14">
        <f>CHOOSE(CONTROL!$C$42, 5.0945, 5.0945) * CHOOSE(CONTROL!$C$21, $C$9, 100%, $E$9)</f>
        <v>5.0945</v>
      </c>
      <c r="D63" s="14">
        <f>CHOOSE(CONTROL!$C$42, 5.1531, 5.1531) * CHOOSE(CONTROL!$C$21, $C$9, 100%, $E$9)</f>
        <v>5.1531000000000002</v>
      </c>
      <c r="E63" s="14">
        <f>CHOOSE(CONTROL!$C$42, 5.1872, 5.1872) * CHOOSE(CONTROL!$C$21, $C$9, 100%, $E$9)</f>
        <v>5.1871999999999998</v>
      </c>
      <c r="F63" s="14">
        <f>CHOOSE(CONTROL!$C$42, 5.088, 5.088)*CHOOSE(CONTROL!$C$21, $C$9, 100%, $E$9)</f>
        <v>5.0880000000000001</v>
      </c>
      <c r="G63" s="14">
        <f>CHOOSE(CONTROL!$C$42, 5.1042, 5.1042)*CHOOSE(CONTROL!$C$21, $C$9, 100%, $E$9)</f>
        <v>5.1041999999999996</v>
      </c>
      <c r="H63" s="14">
        <f>CHOOSE(CONTROL!$C$42, 5.1764, 5.1764) * CHOOSE(CONTROL!$C$21, $C$9, 100%, $E$9)</f>
        <v>5.1764000000000001</v>
      </c>
      <c r="I63" s="14">
        <f>CHOOSE(CONTROL!$C$42, 5.1156, 5.1156)* CHOOSE(CONTROL!$C$21, $C$9, 100%, $E$9)</f>
        <v>5.1155999999999997</v>
      </c>
      <c r="J63" s="14">
        <f>CHOOSE(CONTROL!$C$42, 5.081, 5.081)* CHOOSE(CONTROL!$C$21, $C$9, 100%, $E$9)</f>
        <v>5.0810000000000004</v>
      </c>
      <c r="K63" s="53">
        <f>CHOOSE(CONTROL!$C$42, 5.1117, 5.1117) * CHOOSE(CONTROL!$C$21, $C$9, 100%, $E$9)</f>
        <v>5.1116999999999999</v>
      </c>
      <c r="L63" s="14">
        <f>CHOOSE(CONTROL!$C$42, 5.7634, 5.7634) * CHOOSE(CONTROL!$C$21, $C$9, 100%, $E$9)</f>
        <v>5.7633999999999999</v>
      </c>
      <c r="M63" s="14">
        <f>CHOOSE(CONTROL!$C$42, 4.9846, 4.9846) * CHOOSE(CONTROL!$C$21, $C$9, 100%, $E$9)</f>
        <v>4.9846000000000004</v>
      </c>
      <c r="N63" s="14">
        <f>CHOOSE(CONTROL!$C$42, 5.0005, 5.0005) * CHOOSE(CONTROL!$C$21, $C$9, 100%, $E$9)</f>
        <v>5.0004999999999997</v>
      </c>
      <c r="O63" s="14">
        <f>CHOOSE(CONTROL!$C$42, 5.078, 5.078) * CHOOSE(CONTROL!$C$21, $C$9, 100%, $E$9)</f>
        <v>5.0780000000000003</v>
      </c>
      <c r="P63" s="14">
        <f>CHOOSE(CONTROL!$C$42, 5.0182, 5.0182) * CHOOSE(CONTROL!$C$21, $C$9, 100%, $E$9)</f>
        <v>5.0182000000000002</v>
      </c>
      <c r="Q63" s="14">
        <f>CHOOSE(CONTROL!$C$42, 5.6727, 5.6727) * CHOOSE(CONTROL!$C$21, $C$9, 100%, $E$9)</f>
        <v>5.6726999999999999</v>
      </c>
      <c r="R63" s="14">
        <f>CHOOSE(CONTROL!$C$42, 6.2739, 6.2739) * CHOOSE(CONTROL!$C$21, $C$9, 100%, $E$9)</f>
        <v>6.2739000000000003</v>
      </c>
      <c r="S63" s="14">
        <f>CHOOSE(CONTROL!$C$42, 4.8819, 4.8819) * CHOOSE(CONTROL!$C$21, $C$9, 100%, $E$9)</f>
        <v>4.8818999999999999</v>
      </c>
      <c r="T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7">
        <f>(1000*CHOOSE(CONTROL!$C$42, 695, 695)*CHOOSE(CONTROL!$C$42, 0.5599, 0.5599)*CHOOSE(CONTROL!$C$42, 31, 31))/1000000</f>
        <v>12.063045499999998</v>
      </c>
      <c r="V63" s="57">
        <f>(1000*CHOOSE(CONTROL!$C$42, 580, 580)*CHOOSE(CONTROL!$C$42, 0.275, 0.275)*CHOOSE(CONTROL!$C$42, 31, 31))/1000000</f>
        <v>4.9444999999999997</v>
      </c>
      <c r="W63" s="57">
        <f>(1000*CHOOSE(CONTROL!$C$42, 0.1146, 0.1146)*CHOOSE(CONTROL!$C$42, 121.5, 121.5)*CHOOSE(CONTROL!$C$42, 31, 31))/1000000</f>
        <v>0.43164089999999994</v>
      </c>
      <c r="X63" s="57">
        <f>(31*0.1790888*100000/1000000)+(31*0.2374*100000/1000000)</f>
        <v>1.2911152800000001</v>
      </c>
      <c r="Y63" s="57"/>
      <c r="Z63" s="14"/>
      <c r="AA63" s="56"/>
      <c r="AB63" s="50">
        <f>(B63*122.58+C63*297.941+D63*89.177+E63*40.302+F63*40+G63*160+H63*0+I63*100+J63*300)/(122.58+297.941+89.177+40.302+0+40+160+100+300)</f>
        <v>5.1011857474782607</v>
      </c>
      <c r="AC63" s="45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5.0326820143884898</v>
      </c>
    </row>
    <row r="64" spans="1:29" ht="15.75" x14ac:dyDescent="0.25">
      <c r="A64" s="13">
        <v>42826</v>
      </c>
      <c r="B64" s="14">
        <f>CHOOSE(CONTROL!$C$42, 5.0858, 5.0858) * CHOOSE(CONTROL!$C$21, $C$9, 100%, $E$9)</f>
        <v>5.0857999999999999</v>
      </c>
      <c r="C64" s="14">
        <f>CHOOSE(CONTROL!$C$42, 5.0903, 5.0903) * CHOOSE(CONTROL!$C$21, $C$9, 100%, $E$9)</f>
        <v>5.0903</v>
      </c>
      <c r="D64" s="14">
        <f>CHOOSE(CONTROL!$C$42, 5.2984, 5.2984) * CHOOSE(CONTROL!$C$21, $C$9, 100%, $E$9)</f>
        <v>5.2984</v>
      </c>
      <c r="E64" s="14">
        <f>CHOOSE(CONTROL!$C$42, 5.3305, 5.3305) * CHOOSE(CONTROL!$C$21, $C$9, 100%, $E$9)</f>
        <v>5.3304999999999998</v>
      </c>
      <c r="F64" s="14">
        <f>CHOOSE(CONTROL!$C$42, 5.0731, 5.0731)*CHOOSE(CONTROL!$C$21, $C$9, 100%, $E$9)</f>
        <v>5.0731000000000002</v>
      </c>
      <c r="G64" s="14">
        <f>CHOOSE(CONTROL!$C$42, 5.0891, 5.0891)*CHOOSE(CONTROL!$C$21, $C$9, 100%, $E$9)</f>
        <v>5.0891000000000002</v>
      </c>
      <c r="H64" s="14">
        <f>CHOOSE(CONTROL!$C$42, 5.3203, 5.3203) * CHOOSE(CONTROL!$C$21, $C$9, 100%, $E$9)</f>
        <v>5.3202999999999996</v>
      </c>
      <c r="I64" s="14">
        <f>CHOOSE(CONTROL!$C$42, 5.1112, 5.1112)* CHOOSE(CONTROL!$C$21, $C$9, 100%, $E$9)</f>
        <v>5.1112000000000002</v>
      </c>
      <c r="J64" s="14">
        <f>CHOOSE(CONTROL!$C$42, 5.0661, 5.0661)* CHOOSE(CONTROL!$C$21, $C$9, 100%, $E$9)</f>
        <v>5.0660999999999996</v>
      </c>
      <c r="K64" s="53">
        <f>CHOOSE(CONTROL!$C$42, 5.1073, 5.1073) * CHOOSE(CONTROL!$C$21, $C$9, 100%, $E$9)</f>
        <v>5.1073000000000004</v>
      </c>
      <c r="L64" s="14">
        <f>CHOOSE(CONTROL!$C$42, 5.9073, 5.9073) * CHOOSE(CONTROL!$C$21, $C$9, 100%, $E$9)</f>
        <v>5.9073000000000002</v>
      </c>
      <c r="M64" s="14">
        <f>CHOOSE(CONTROL!$C$42, 4.97, 4.97) * CHOOSE(CONTROL!$C$21, $C$9, 100%, $E$9)</f>
        <v>4.97</v>
      </c>
      <c r="N64" s="14">
        <f>CHOOSE(CONTROL!$C$42, 4.9857, 4.9857) * CHOOSE(CONTROL!$C$21, $C$9, 100%, $E$9)</f>
        <v>4.9856999999999996</v>
      </c>
      <c r="O64" s="14">
        <f>CHOOSE(CONTROL!$C$42, 5.219, 5.219) * CHOOSE(CONTROL!$C$21, $C$9, 100%, $E$9)</f>
        <v>5.2190000000000003</v>
      </c>
      <c r="P64" s="14">
        <f>CHOOSE(CONTROL!$C$42, 5.0139, 5.0139) * CHOOSE(CONTROL!$C$21, $C$9, 100%, $E$9)</f>
        <v>5.0138999999999996</v>
      </c>
      <c r="Q64" s="14">
        <f>CHOOSE(CONTROL!$C$42, 5.8137, 5.8137) * CHOOSE(CONTROL!$C$21, $C$9, 100%, $E$9)</f>
        <v>5.8136999999999999</v>
      </c>
      <c r="R64" s="14">
        <f>CHOOSE(CONTROL!$C$42, 6.4152, 6.4152) * CHOOSE(CONTROL!$C$21, $C$9, 100%, $E$9)</f>
        <v>6.4151999999999996</v>
      </c>
      <c r="S64" s="14">
        <f>CHOOSE(CONTROL!$C$42, 4.8777, 4.8777) * CHOOSE(CONTROL!$C$21, $C$9, 100%, $E$9)</f>
        <v>4.8776999999999999</v>
      </c>
      <c r="T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7">
        <f>(1000*CHOOSE(CONTROL!$C$42, 695, 695)*CHOOSE(CONTROL!$C$42, 0.5599, 0.5599)*CHOOSE(CONTROL!$C$42, 30, 30))/1000000</f>
        <v>11.673914999999997</v>
      </c>
      <c r="V64" s="57">
        <f>(1000*CHOOSE(CONTROL!$C$42, 580, 580)*CHOOSE(CONTROL!$C$42, 0.275, 0.275)*CHOOSE(CONTROL!$C$42, 30, 30))/1000000</f>
        <v>4.7850000000000001</v>
      </c>
      <c r="W64" s="57">
        <f>(1000*CHOOSE(CONTROL!$C$42, 0.1146, 0.1146)*CHOOSE(CONTROL!$C$42, 121.5, 121.5)*CHOOSE(CONTROL!$C$42, 30, 30))/1000000</f>
        <v>0.417717</v>
      </c>
      <c r="X64" s="57">
        <f>(30*0.1790888*245000/1000000)+(30*0.2374*100000/1000000)</f>
        <v>2.0285026799999999</v>
      </c>
      <c r="Y64" s="57"/>
      <c r="Z64" s="14"/>
      <c r="AA64" s="56"/>
      <c r="AB64" s="50">
        <f>(B64*141.293+C64*267.993+D64*115.016+E64*89.698+F64*40+G64*185+H64*0+I64*100+J64*300)/(141.293+267.993+115.016+89.698+0+40+185+100+300)</f>
        <v>5.121586901291364</v>
      </c>
      <c r="AC64" s="45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5.0497942446043167</v>
      </c>
    </row>
    <row r="65" spans="1:29" ht="15.75" x14ac:dyDescent="0.25">
      <c r="A65" s="13">
        <v>42856</v>
      </c>
      <c r="B65" s="14">
        <f>CHOOSE(CONTROL!$C$42, 5.1425, 5.1425) * CHOOSE(CONTROL!$C$21, $C$9, 100%, $E$9)</f>
        <v>5.1425000000000001</v>
      </c>
      <c r="C65" s="14">
        <f>CHOOSE(CONTROL!$C$42, 5.1506, 5.1506) * CHOOSE(CONTROL!$C$21, $C$9, 100%, $E$9)</f>
        <v>5.1505999999999998</v>
      </c>
      <c r="D65" s="14">
        <f>CHOOSE(CONTROL!$C$42, 5.3555, 5.3555) * CHOOSE(CONTROL!$C$21, $C$9, 100%, $E$9)</f>
        <v>5.3555000000000001</v>
      </c>
      <c r="E65" s="14">
        <f>CHOOSE(CONTROL!$C$42, 5.387, 5.387) * CHOOSE(CONTROL!$C$21, $C$9, 100%, $E$9)</f>
        <v>5.3869999999999996</v>
      </c>
      <c r="F65" s="14">
        <f>CHOOSE(CONTROL!$C$42, 5.1287, 5.1287)*CHOOSE(CONTROL!$C$21, $C$9, 100%, $E$9)</f>
        <v>5.1287000000000003</v>
      </c>
      <c r="G65" s="14">
        <f>CHOOSE(CONTROL!$C$42, 5.1451, 5.1451)*CHOOSE(CONTROL!$C$21, $C$9, 100%, $E$9)</f>
        <v>5.1451000000000002</v>
      </c>
      <c r="H65" s="14">
        <f>CHOOSE(CONTROL!$C$42, 5.3756, 5.3756) * CHOOSE(CONTROL!$C$21, $C$9, 100%, $E$9)</f>
        <v>5.3756000000000004</v>
      </c>
      <c r="I65" s="14">
        <f>CHOOSE(CONTROL!$C$42, 5.1667, 5.1667)* CHOOSE(CONTROL!$C$21, $C$9, 100%, $E$9)</f>
        <v>5.1666999999999996</v>
      </c>
      <c r="J65" s="14">
        <f>CHOOSE(CONTROL!$C$42, 5.1217, 5.1217)* CHOOSE(CONTROL!$C$21, $C$9, 100%, $E$9)</f>
        <v>5.1216999999999997</v>
      </c>
      <c r="K65" s="53">
        <f>CHOOSE(CONTROL!$C$42, 5.1628, 5.1628) * CHOOSE(CONTROL!$C$21, $C$9, 100%, $E$9)</f>
        <v>5.1627999999999998</v>
      </c>
      <c r="L65" s="14">
        <f>CHOOSE(CONTROL!$C$42, 5.9626, 5.9626) * CHOOSE(CONTROL!$C$21, $C$9, 100%, $E$9)</f>
        <v>5.9626000000000001</v>
      </c>
      <c r="M65" s="14">
        <f>CHOOSE(CONTROL!$C$42, 5.0245, 5.0245) * CHOOSE(CONTROL!$C$21, $C$9, 100%, $E$9)</f>
        <v>5.0244999999999997</v>
      </c>
      <c r="N65" s="14">
        <f>CHOOSE(CONTROL!$C$42, 5.0405, 5.0405) * CHOOSE(CONTROL!$C$21, $C$9, 100%, $E$9)</f>
        <v>5.0404999999999998</v>
      </c>
      <c r="O65" s="14">
        <f>CHOOSE(CONTROL!$C$42, 5.2732, 5.2732) * CHOOSE(CONTROL!$C$21, $C$9, 100%, $E$9)</f>
        <v>5.2732000000000001</v>
      </c>
      <c r="P65" s="14">
        <f>CHOOSE(CONTROL!$C$42, 5.0683, 5.0683) * CHOOSE(CONTROL!$C$21, $C$9, 100%, $E$9)</f>
        <v>5.0682999999999998</v>
      </c>
      <c r="Q65" s="14">
        <f>CHOOSE(CONTROL!$C$42, 5.8679, 5.8679) * CHOOSE(CONTROL!$C$21, $C$9, 100%, $E$9)</f>
        <v>5.8678999999999997</v>
      </c>
      <c r="R65" s="14">
        <f>CHOOSE(CONTROL!$C$42, 6.4695, 6.4695) * CHOOSE(CONTROL!$C$21, $C$9, 100%, $E$9)</f>
        <v>6.4695</v>
      </c>
      <c r="S65" s="14">
        <f>CHOOSE(CONTROL!$C$42, 4.9308, 4.9308) * CHOOSE(CONTROL!$C$21, $C$9, 100%, $E$9)</f>
        <v>4.9307999999999996</v>
      </c>
      <c r="T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7">
        <f>(1000*CHOOSE(CONTROL!$C$42, 695, 695)*CHOOSE(CONTROL!$C$42, 0.5599, 0.5599)*CHOOSE(CONTROL!$C$42, 31, 31))/1000000</f>
        <v>12.063045499999998</v>
      </c>
      <c r="V65" s="57">
        <f>(1000*CHOOSE(CONTROL!$C$42, 580, 580)*CHOOSE(CONTROL!$C$42, 0.275, 0.275)*CHOOSE(CONTROL!$C$42, 31, 31))/1000000</f>
        <v>4.9444999999999997</v>
      </c>
      <c r="W65" s="57">
        <f>(1000*CHOOSE(CONTROL!$C$42, 0.1146, 0.1146)*CHOOSE(CONTROL!$C$42, 121.5, 121.5)*CHOOSE(CONTROL!$C$42, 31, 31))/1000000</f>
        <v>0.43164089999999994</v>
      </c>
      <c r="X65" s="57">
        <f>(31*0.1790888*245000/1000000)+(31*0.2374*100000/1000000)</f>
        <v>2.0961194359999999</v>
      </c>
      <c r="Y65" s="57"/>
      <c r="Z65" s="14"/>
      <c r="AA65" s="56"/>
      <c r="AB65" s="50">
        <f>(B65*194.205+C65*267.466+D65*133.845+E65*53.484+F65*40+G65*185+H65*0+I65*100+J65*300)/(194.205+267.466+133.845+53.484+0+40+185+100+300)</f>
        <v>5.1737883026687603</v>
      </c>
      <c r="AC65" s="45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5.1042647482014392</v>
      </c>
    </row>
    <row r="66" spans="1:29" ht="15.75" x14ac:dyDescent="0.25">
      <c r="A66" s="13">
        <v>42887</v>
      </c>
      <c r="B66" s="14">
        <f>CHOOSE(CONTROL!$C$42, 5.2989, 5.2989) * CHOOSE(CONTROL!$C$21, $C$9, 100%, $E$9)</f>
        <v>5.2988999999999997</v>
      </c>
      <c r="C66" s="14">
        <f>CHOOSE(CONTROL!$C$42, 5.307, 5.307) * CHOOSE(CONTROL!$C$21, $C$9, 100%, $E$9)</f>
        <v>5.3070000000000004</v>
      </c>
      <c r="D66" s="14">
        <f>CHOOSE(CONTROL!$C$42, 5.5119, 5.5119) * CHOOSE(CONTROL!$C$21, $C$9, 100%, $E$9)</f>
        <v>5.5118999999999998</v>
      </c>
      <c r="E66" s="14">
        <f>CHOOSE(CONTROL!$C$42, 5.5434, 5.5434) * CHOOSE(CONTROL!$C$21, $C$9, 100%, $E$9)</f>
        <v>5.5434000000000001</v>
      </c>
      <c r="F66" s="14">
        <f>CHOOSE(CONTROL!$C$42, 5.2855, 5.2855)*CHOOSE(CONTROL!$C$21, $C$9, 100%, $E$9)</f>
        <v>5.2854999999999999</v>
      </c>
      <c r="G66" s="14">
        <f>CHOOSE(CONTROL!$C$42, 5.302, 5.302)*CHOOSE(CONTROL!$C$21, $C$9, 100%, $E$9)</f>
        <v>5.3019999999999996</v>
      </c>
      <c r="H66" s="14">
        <f>CHOOSE(CONTROL!$C$42, 5.532, 5.532) * CHOOSE(CONTROL!$C$21, $C$9, 100%, $E$9)</f>
        <v>5.532</v>
      </c>
      <c r="I66" s="14">
        <f>CHOOSE(CONTROL!$C$42, 5.3236, 5.3236)* CHOOSE(CONTROL!$C$21, $C$9, 100%, $E$9)</f>
        <v>5.3235999999999999</v>
      </c>
      <c r="J66" s="14">
        <f>CHOOSE(CONTROL!$C$42, 5.2785, 5.2785)* CHOOSE(CONTROL!$C$21, $C$9, 100%, $E$9)</f>
        <v>5.2785000000000002</v>
      </c>
      <c r="K66" s="53">
        <f>CHOOSE(CONTROL!$C$42, 5.3197, 5.3197) * CHOOSE(CONTROL!$C$21, $C$9, 100%, $E$9)</f>
        <v>5.3197000000000001</v>
      </c>
      <c r="L66" s="14">
        <f>CHOOSE(CONTROL!$C$42, 6.119, 6.119) * CHOOSE(CONTROL!$C$21, $C$9, 100%, $E$9)</f>
        <v>6.1189999999999998</v>
      </c>
      <c r="M66" s="14">
        <f>CHOOSE(CONTROL!$C$42, 5.178, 5.178) * CHOOSE(CONTROL!$C$21, $C$9, 100%, $E$9)</f>
        <v>5.1779999999999999</v>
      </c>
      <c r="N66" s="14">
        <f>CHOOSE(CONTROL!$C$42, 5.1942, 5.1942) * CHOOSE(CONTROL!$C$21, $C$9, 100%, $E$9)</f>
        <v>5.1942000000000004</v>
      </c>
      <c r="O66" s="14">
        <f>CHOOSE(CONTROL!$C$42, 5.4264, 5.4264) * CHOOSE(CONTROL!$C$21, $C$9, 100%, $E$9)</f>
        <v>5.4264000000000001</v>
      </c>
      <c r="P66" s="14">
        <f>CHOOSE(CONTROL!$C$42, 5.2219, 5.2219) * CHOOSE(CONTROL!$C$21, $C$9, 100%, $E$9)</f>
        <v>5.2218999999999998</v>
      </c>
      <c r="Q66" s="14">
        <f>CHOOSE(CONTROL!$C$42, 6.0211, 6.0211) * CHOOSE(CONTROL!$C$21, $C$9, 100%, $E$9)</f>
        <v>6.0210999999999997</v>
      </c>
      <c r="R66" s="14">
        <f>CHOOSE(CONTROL!$C$42, 6.6231, 6.6231) * CHOOSE(CONTROL!$C$21, $C$9, 100%, $E$9)</f>
        <v>6.6231</v>
      </c>
      <c r="S66" s="14">
        <f>CHOOSE(CONTROL!$C$42, 5.0811, 5.0811) * CHOOSE(CONTROL!$C$21, $C$9, 100%, $E$9)</f>
        <v>5.0811000000000002</v>
      </c>
      <c r="T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7">
        <f>(1000*CHOOSE(CONTROL!$C$42, 695, 695)*CHOOSE(CONTROL!$C$42, 0.5599, 0.5599)*CHOOSE(CONTROL!$C$42, 30, 30))/1000000</f>
        <v>11.673914999999997</v>
      </c>
      <c r="V66" s="57">
        <f>(1000*CHOOSE(CONTROL!$C$42, 580, 580)*CHOOSE(CONTROL!$C$42, 0.275, 0.275)*CHOOSE(CONTROL!$C$42, 30, 30))/1000000</f>
        <v>4.7850000000000001</v>
      </c>
      <c r="W66" s="57">
        <f>(1000*CHOOSE(CONTROL!$C$42, 0.1146, 0.1146)*CHOOSE(CONTROL!$C$42, 121.5, 121.5)*CHOOSE(CONTROL!$C$42, 30, 30))/1000000</f>
        <v>0.417717</v>
      </c>
      <c r="X66" s="57">
        <f>(30*0.1790888*245000/1000000)+(30*0.2374*100000/1000000)</f>
        <v>2.0285026799999999</v>
      </c>
      <c r="Y66" s="57"/>
      <c r="Z66" s="14"/>
      <c r="AA66" s="56"/>
      <c r="AB66" s="50">
        <f>(B66*194.205+C66*267.466+D66*133.845+E66*53.484+F66*40+G66*185+H66*0+I66*100+J66*300)/(194.205+267.466+133.845+53.484+0+40+185+100+300)</f>
        <v>5.3304069054945051</v>
      </c>
      <c r="AC66" s="45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5.2577410071942454</v>
      </c>
    </row>
    <row r="67" spans="1:29" ht="15.75" x14ac:dyDescent="0.25">
      <c r="A67" s="13">
        <v>42917</v>
      </c>
      <c r="B67" s="14">
        <f>CHOOSE(CONTROL!$C$42, 5.2082, 5.2082) * CHOOSE(CONTROL!$C$21, $C$9, 100%, $E$9)</f>
        <v>5.2081999999999997</v>
      </c>
      <c r="C67" s="14">
        <f>CHOOSE(CONTROL!$C$42, 5.2162, 5.2162) * CHOOSE(CONTROL!$C$21, $C$9, 100%, $E$9)</f>
        <v>5.2161999999999997</v>
      </c>
      <c r="D67" s="14">
        <f>CHOOSE(CONTROL!$C$42, 5.4212, 5.4212) * CHOOSE(CONTROL!$C$21, $C$9, 100%, $E$9)</f>
        <v>5.4211999999999998</v>
      </c>
      <c r="E67" s="14">
        <f>CHOOSE(CONTROL!$C$42, 5.4526, 5.4526) * CHOOSE(CONTROL!$C$21, $C$9, 100%, $E$9)</f>
        <v>5.4526000000000003</v>
      </c>
      <c r="F67" s="14">
        <f>CHOOSE(CONTROL!$C$42, 5.1952, 5.1952)*CHOOSE(CONTROL!$C$21, $C$9, 100%, $E$9)</f>
        <v>5.1951999999999998</v>
      </c>
      <c r="G67" s="14">
        <f>CHOOSE(CONTROL!$C$42, 5.2118, 5.2118)*CHOOSE(CONTROL!$C$21, $C$9, 100%, $E$9)</f>
        <v>5.2118000000000002</v>
      </c>
      <c r="H67" s="14">
        <f>CHOOSE(CONTROL!$C$42, 5.4413, 5.4413) * CHOOSE(CONTROL!$C$21, $C$9, 100%, $E$9)</f>
        <v>5.4413</v>
      </c>
      <c r="I67" s="14">
        <f>CHOOSE(CONTROL!$C$42, 5.2325, 5.2325)* CHOOSE(CONTROL!$C$21, $C$9, 100%, $E$9)</f>
        <v>5.2324999999999999</v>
      </c>
      <c r="J67" s="14">
        <f>CHOOSE(CONTROL!$C$42, 5.1882, 5.1882)* CHOOSE(CONTROL!$C$21, $C$9, 100%, $E$9)</f>
        <v>5.1882000000000001</v>
      </c>
      <c r="K67" s="53">
        <f>CHOOSE(CONTROL!$C$42, 5.2287, 5.2287) * CHOOSE(CONTROL!$C$21, $C$9, 100%, $E$9)</f>
        <v>5.2286999999999999</v>
      </c>
      <c r="L67" s="14">
        <f>CHOOSE(CONTROL!$C$42, 6.0283, 6.0283) * CHOOSE(CONTROL!$C$21, $C$9, 100%, $E$9)</f>
        <v>6.0282999999999998</v>
      </c>
      <c r="M67" s="14">
        <f>CHOOSE(CONTROL!$C$42, 5.0895, 5.0895) * CHOOSE(CONTROL!$C$21, $C$9, 100%, $E$9)</f>
        <v>5.0895000000000001</v>
      </c>
      <c r="N67" s="14">
        <f>CHOOSE(CONTROL!$C$42, 5.1058, 5.1058) * CHOOSE(CONTROL!$C$21, $C$9, 100%, $E$9)</f>
        <v>5.1058000000000003</v>
      </c>
      <c r="O67" s="14">
        <f>CHOOSE(CONTROL!$C$42, 5.3375, 5.3375) * CHOOSE(CONTROL!$C$21, $C$9, 100%, $E$9)</f>
        <v>5.3375000000000004</v>
      </c>
      <c r="P67" s="14">
        <f>CHOOSE(CONTROL!$C$42, 5.1328, 5.1328) * CHOOSE(CONTROL!$C$21, $C$9, 100%, $E$9)</f>
        <v>5.1327999999999996</v>
      </c>
      <c r="Q67" s="14">
        <f>CHOOSE(CONTROL!$C$42, 5.9322, 5.9322) * CHOOSE(CONTROL!$C$21, $C$9, 100%, $E$9)</f>
        <v>5.9321999999999999</v>
      </c>
      <c r="R67" s="14">
        <f>CHOOSE(CONTROL!$C$42, 6.534, 6.534) * CHOOSE(CONTROL!$C$21, $C$9, 100%, $E$9)</f>
        <v>6.5339999999999998</v>
      </c>
      <c r="S67" s="14">
        <f>CHOOSE(CONTROL!$C$42, 4.9939, 4.9939) * CHOOSE(CONTROL!$C$21, $C$9, 100%, $E$9)</f>
        <v>4.9939</v>
      </c>
      <c r="T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7">
        <f>(1000*CHOOSE(CONTROL!$C$42, 695, 695)*CHOOSE(CONTROL!$C$42, 0.5599, 0.5599)*CHOOSE(CONTROL!$C$42, 31, 31))/1000000</f>
        <v>12.063045499999998</v>
      </c>
      <c r="V67" s="57">
        <f>(1000*CHOOSE(CONTROL!$C$42, 580, 580)*CHOOSE(CONTROL!$C$42, 0.275, 0.275)*CHOOSE(CONTROL!$C$42, 31, 31))/1000000</f>
        <v>4.9444999999999997</v>
      </c>
      <c r="W67" s="57">
        <f>(1000*CHOOSE(CONTROL!$C$42, 0.1146, 0.1146)*CHOOSE(CONTROL!$C$42, 121.5, 121.5)*CHOOSE(CONTROL!$C$42, 31, 31))/1000000</f>
        <v>0.43164089999999994</v>
      </c>
      <c r="X67" s="57">
        <f>(31*0.1790888*245000/1000000)+(31*0.2374*100000/1000000)</f>
        <v>2.0961194359999999</v>
      </c>
      <c r="Y67" s="57"/>
      <c r="Z67" s="14"/>
      <c r="AA67" s="56"/>
      <c r="AB67" s="50">
        <f>(B67*194.205+C67*267.466+D67*133.845+E67*53.484+F67*40+G67*185+H67*0+I67*100+J67*300)/(194.205+267.466+133.845+53.484+0+40+185+100+300)</f>
        <v>5.2398296723704867</v>
      </c>
      <c r="AC67" s="45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5.1690654676258996</v>
      </c>
    </row>
    <row r="68" spans="1:29" ht="15.75" x14ac:dyDescent="0.25">
      <c r="A68" s="13">
        <v>42948</v>
      </c>
      <c r="B68" s="14">
        <f>CHOOSE(CONTROL!$C$42, 4.9617, 4.9617) * CHOOSE(CONTROL!$C$21, $C$9, 100%, $E$9)</f>
        <v>4.9617000000000004</v>
      </c>
      <c r="C68" s="14">
        <f>CHOOSE(CONTROL!$C$42, 4.9697, 4.9697) * CHOOSE(CONTROL!$C$21, $C$9, 100%, $E$9)</f>
        <v>4.9696999999999996</v>
      </c>
      <c r="D68" s="14">
        <f>CHOOSE(CONTROL!$C$42, 5.1747, 5.1747) * CHOOSE(CONTROL!$C$21, $C$9, 100%, $E$9)</f>
        <v>5.1746999999999996</v>
      </c>
      <c r="E68" s="14">
        <f>CHOOSE(CONTROL!$C$42, 5.2062, 5.2062) * CHOOSE(CONTROL!$C$21, $C$9, 100%, $E$9)</f>
        <v>5.2061999999999999</v>
      </c>
      <c r="F68" s="14">
        <f>CHOOSE(CONTROL!$C$42, 4.9489, 4.9489)*CHOOSE(CONTROL!$C$21, $C$9, 100%, $E$9)</f>
        <v>4.9489000000000001</v>
      </c>
      <c r="G68" s="14">
        <f>CHOOSE(CONTROL!$C$42, 4.9656, 4.9656)*CHOOSE(CONTROL!$C$21, $C$9, 100%, $E$9)</f>
        <v>4.9656000000000002</v>
      </c>
      <c r="H68" s="14">
        <f>CHOOSE(CONTROL!$C$42, 5.1948, 5.1948) * CHOOSE(CONTROL!$C$21, $C$9, 100%, $E$9)</f>
        <v>5.1947999999999999</v>
      </c>
      <c r="I68" s="14">
        <f>CHOOSE(CONTROL!$C$42, 4.9853, 4.9853)* CHOOSE(CONTROL!$C$21, $C$9, 100%, $E$9)</f>
        <v>4.9852999999999996</v>
      </c>
      <c r="J68" s="14">
        <f>CHOOSE(CONTROL!$C$42, 4.9419, 4.9419)* CHOOSE(CONTROL!$C$21, $C$9, 100%, $E$9)</f>
        <v>4.9419000000000004</v>
      </c>
      <c r="K68" s="53">
        <f>CHOOSE(CONTROL!$C$42, 4.9814, 4.9814) * CHOOSE(CONTROL!$C$21, $C$9, 100%, $E$9)</f>
        <v>4.9813999999999998</v>
      </c>
      <c r="L68" s="14">
        <f>CHOOSE(CONTROL!$C$42, 5.7818, 5.7818) * CHOOSE(CONTROL!$C$21, $C$9, 100%, $E$9)</f>
        <v>5.7817999999999996</v>
      </c>
      <c r="M68" s="14">
        <f>CHOOSE(CONTROL!$C$42, 4.8483, 4.8483) * CHOOSE(CONTROL!$C$21, $C$9, 100%, $E$9)</f>
        <v>4.8483000000000001</v>
      </c>
      <c r="N68" s="14">
        <f>CHOOSE(CONTROL!$C$42, 4.8647, 4.8647) * CHOOSE(CONTROL!$C$21, $C$9, 100%, $E$9)</f>
        <v>4.8647</v>
      </c>
      <c r="O68" s="14">
        <f>CHOOSE(CONTROL!$C$42, 5.0961, 5.0961) * CHOOSE(CONTROL!$C$21, $C$9, 100%, $E$9)</f>
        <v>5.0960999999999999</v>
      </c>
      <c r="P68" s="14">
        <f>CHOOSE(CONTROL!$C$42, 4.8906, 4.8906) * CHOOSE(CONTROL!$C$21, $C$9, 100%, $E$9)</f>
        <v>4.8906000000000001</v>
      </c>
      <c r="Q68" s="14">
        <f>CHOOSE(CONTROL!$C$42, 5.6908, 5.6908) * CHOOSE(CONTROL!$C$21, $C$9, 100%, $E$9)</f>
        <v>5.6908000000000003</v>
      </c>
      <c r="R68" s="14">
        <f>CHOOSE(CONTROL!$C$42, 6.292, 6.292) * CHOOSE(CONTROL!$C$21, $C$9, 100%, $E$9)</f>
        <v>6.2919999999999998</v>
      </c>
      <c r="S68" s="14">
        <f>CHOOSE(CONTROL!$C$42, 4.7571, 4.7571) * CHOOSE(CONTROL!$C$21, $C$9, 100%, $E$9)</f>
        <v>4.7571000000000003</v>
      </c>
      <c r="T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7">
        <f>(1000*CHOOSE(CONTROL!$C$42, 695, 695)*CHOOSE(CONTROL!$C$42, 0.5599, 0.5599)*CHOOSE(CONTROL!$C$42, 31, 31))/1000000</f>
        <v>12.063045499999998</v>
      </c>
      <c r="V68" s="57">
        <f>(1000*CHOOSE(CONTROL!$C$42, 580, 580)*CHOOSE(CONTROL!$C$42, 0.275, 0.275)*CHOOSE(CONTROL!$C$42, 31, 31))/1000000</f>
        <v>4.9444999999999997</v>
      </c>
      <c r="W68" s="57">
        <f>(1000*CHOOSE(CONTROL!$C$42, 0.1146, 0.1146)*CHOOSE(CONTROL!$C$42, 121.5, 121.5)*CHOOSE(CONTROL!$C$42, 31, 31))/1000000</f>
        <v>0.43164089999999994</v>
      </c>
      <c r="X68" s="57">
        <f>(31*0.1790888*245000/1000000)+(31*0.2374*100000/1000000)</f>
        <v>2.0961194359999999</v>
      </c>
      <c r="Y68" s="57"/>
      <c r="Z68" s="14"/>
      <c r="AA68" s="56"/>
      <c r="AB68" s="50">
        <f>(B68*194.205+C68*267.466+D68*133.845+E68*53.484+F68*40+G68*185+H68*0+I68*100+J68*300)/(194.205+267.466+133.845+53.484+0+40+185+100+300)</f>
        <v>4.9933758642072217</v>
      </c>
      <c r="AC68" s="45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4.9276884892086334</v>
      </c>
    </row>
    <row r="69" spans="1:29" ht="15.75" x14ac:dyDescent="0.25">
      <c r="A69" s="13">
        <v>42979</v>
      </c>
      <c r="B69" s="14">
        <f>CHOOSE(CONTROL!$C$42, 4.6566, 4.6566) * CHOOSE(CONTROL!$C$21, $C$9, 100%, $E$9)</f>
        <v>4.6566000000000001</v>
      </c>
      <c r="C69" s="14">
        <f>CHOOSE(CONTROL!$C$42, 4.6647, 4.6647) * CHOOSE(CONTROL!$C$21, $C$9, 100%, $E$9)</f>
        <v>4.6646999999999998</v>
      </c>
      <c r="D69" s="14">
        <f>CHOOSE(CONTROL!$C$42, 4.8696, 4.8696) * CHOOSE(CONTROL!$C$21, $C$9, 100%, $E$9)</f>
        <v>4.8696000000000002</v>
      </c>
      <c r="E69" s="14">
        <f>CHOOSE(CONTROL!$C$42, 4.9011, 4.9011) * CHOOSE(CONTROL!$C$21, $C$9, 100%, $E$9)</f>
        <v>4.9010999999999996</v>
      </c>
      <c r="F69" s="14">
        <f>CHOOSE(CONTROL!$C$42, 4.6438, 4.6438)*CHOOSE(CONTROL!$C$21, $C$9, 100%, $E$9)</f>
        <v>4.6437999999999997</v>
      </c>
      <c r="G69" s="14">
        <f>CHOOSE(CONTROL!$C$42, 4.6605, 4.6605)*CHOOSE(CONTROL!$C$21, $C$9, 100%, $E$9)</f>
        <v>4.6604999999999999</v>
      </c>
      <c r="H69" s="14">
        <f>CHOOSE(CONTROL!$C$42, 4.8897, 4.8897) * CHOOSE(CONTROL!$C$21, $C$9, 100%, $E$9)</f>
        <v>4.8897000000000004</v>
      </c>
      <c r="I69" s="14">
        <f>CHOOSE(CONTROL!$C$42, 4.6793, 4.6793)* CHOOSE(CONTROL!$C$21, $C$9, 100%, $E$9)</f>
        <v>4.6792999999999996</v>
      </c>
      <c r="J69" s="14">
        <f>CHOOSE(CONTROL!$C$42, 4.6368, 4.6368)* CHOOSE(CONTROL!$C$21, $C$9, 100%, $E$9)</f>
        <v>4.6368</v>
      </c>
      <c r="K69" s="53">
        <f>CHOOSE(CONTROL!$C$42, 4.6754, 4.6754) * CHOOSE(CONTROL!$C$21, $C$9, 100%, $E$9)</f>
        <v>4.6753999999999998</v>
      </c>
      <c r="L69" s="14">
        <f>CHOOSE(CONTROL!$C$42, 5.4767, 5.4767) * CHOOSE(CONTROL!$C$21, $C$9, 100%, $E$9)</f>
        <v>5.4767000000000001</v>
      </c>
      <c r="M69" s="14">
        <f>CHOOSE(CONTROL!$C$42, 4.5495, 4.5495) * CHOOSE(CONTROL!$C$21, $C$9, 100%, $E$9)</f>
        <v>4.5495000000000001</v>
      </c>
      <c r="N69" s="14">
        <f>CHOOSE(CONTROL!$C$42, 4.5658, 4.5658) * CHOOSE(CONTROL!$C$21, $C$9, 100%, $E$9)</f>
        <v>4.5658000000000003</v>
      </c>
      <c r="O69" s="14">
        <f>CHOOSE(CONTROL!$C$42, 4.7972, 4.7972) * CHOOSE(CONTROL!$C$21, $C$9, 100%, $E$9)</f>
        <v>4.7972000000000001</v>
      </c>
      <c r="P69" s="14">
        <f>CHOOSE(CONTROL!$C$42, 4.5909, 4.5909) * CHOOSE(CONTROL!$C$21, $C$9, 100%, $E$9)</f>
        <v>4.5909000000000004</v>
      </c>
      <c r="Q69" s="14">
        <f>CHOOSE(CONTROL!$C$42, 5.3919, 5.3919) * CHOOSE(CONTROL!$C$21, $C$9, 100%, $E$9)</f>
        <v>5.3918999999999997</v>
      </c>
      <c r="R69" s="14">
        <f>CHOOSE(CONTROL!$C$42, 5.9924, 5.9924) * CHOOSE(CONTROL!$C$21, $C$9, 100%, $E$9)</f>
        <v>5.9923999999999999</v>
      </c>
      <c r="S69" s="14">
        <f>CHOOSE(CONTROL!$C$42, 4.4639, 4.4639) * CHOOSE(CONTROL!$C$21, $C$9, 100%, $E$9)</f>
        <v>4.4638999999999998</v>
      </c>
      <c r="T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7">
        <f>(1000*CHOOSE(CONTROL!$C$42, 695, 695)*CHOOSE(CONTROL!$C$42, 0.5599, 0.5599)*CHOOSE(CONTROL!$C$42, 30, 30))/1000000</f>
        <v>11.673914999999997</v>
      </c>
      <c r="V69" s="57">
        <f>(1000*CHOOSE(CONTROL!$C$42, 580, 580)*CHOOSE(CONTROL!$C$42, 0.275, 0.275)*CHOOSE(CONTROL!$C$42, 30, 30))/1000000</f>
        <v>4.7850000000000001</v>
      </c>
      <c r="W69" s="57">
        <f>(1000*CHOOSE(CONTROL!$C$42, 0.1146, 0.1146)*CHOOSE(CONTROL!$C$42, 121.5, 121.5)*CHOOSE(CONTROL!$C$42, 30, 30))/1000000</f>
        <v>0.417717</v>
      </c>
      <c r="X69" s="57">
        <f>(30*0.1790888*245000/1000000)+(30*0.2374*100000/1000000)</f>
        <v>2.0285026799999999</v>
      </c>
      <c r="Y69" s="57"/>
      <c r="Z69" s="14"/>
      <c r="AA69" s="56"/>
      <c r="AB69" s="50">
        <f>(B69*194.205+C69*267.466+D69*133.845+E69*53.484+F69*40+G69*185+H69*0+I69*100+J69*300)/(194.205+267.466+133.845+53.484+0+40+185+100+300)</f>
        <v>4.6882262147566713</v>
      </c>
      <c r="AC69" s="45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4.6287079136690652</v>
      </c>
    </row>
    <row r="70" spans="1:29" ht="15.75" x14ac:dyDescent="0.25">
      <c r="A70" s="13">
        <v>43009</v>
      </c>
      <c r="B70" s="14">
        <f>CHOOSE(CONTROL!$C$42, 4.5699, 4.5699) * CHOOSE(CONTROL!$C$21, $C$9, 100%, $E$9)</f>
        <v>4.5698999999999996</v>
      </c>
      <c r="C70" s="14">
        <f>CHOOSE(CONTROL!$C$42, 4.5753, 4.5753) * CHOOSE(CONTROL!$C$21, $C$9, 100%, $E$9)</f>
        <v>4.5753000000000004</v>
      </c>
      <c r="D70" s="14">
        <f>CHOOSE(CONTROL!$C$42, 4.7852, 4.7852) * CHOOSE(CONTROL!$C$21, $C$9, 100%, $E$9)</f>
        <v>4.7851999999999997</v>
      </c>
      <c r="E70" s="14">
        <f>CHOOSE(CONTROL!$C$42, 4.8143, 4.8143) * CHOOSE(CONTROL!$C$21, $C$9, 100%, $E$9)</f>
        <v>4.8143000000000002</v>
      </c>
      <c r="F70" s="14">
        <f>CHOOSE(CONTROL!$C$42, 4.5592, 4.5592)*CHOOSE(CONTROL!$C$21, $C$9, 100%, $E$9)</f>
        <v>4.5591999999999997</v>
      </c>
      <c r="G70" s="14">
        <f>CHOOSE(CONTROL!$C$42, 4.5755, 4.5755)*CHOOSE(CONTROL!$C$21, $C$9, 100%, $E$9)</f>
        <v>4.5754999999999999</v>
      </c>
      <c r="H70" s="14">
        <f>CHOOSE(CONTROL!$C$42, 4.8048, 4.8048) * CHOOSE(CONTROL!$C$21, $C$9, 100%, $E$9)</f>
        <v>4.8048000000000002</v>
      </c>
      <c r="I70" s="14">
        <f>CHOOSE(CONTROL!$C$42, 4.5941, 4.5941)* CHOOSE(CONTROL!$C$21, $C$9, 100%, $E$9)</f>
        <v>4.5941000000000001</v>
      </c>
      <c r="J70" s="14">
        <f>CHOOSE(CONTROL!$C$42, 4.5522, 4.5522)* CHOOSE(CONTROL!$C$21, $C$9, 100%, $E$9)</f>
        <v>4.5522</v>
      </c>
      <c r="K70" s="53">
        <f>CHOOSE(CONTROL!$C$42, 4.5902, 4.5902) * CHOOSE(CONTROL!$C$21, $C$9, 100%, $E$9)</f>
        <v>4.5902000000000003</v>
      </c>
      <c r="L70" s="14">
        <f>CHOOSE(CONTROL!$C$42, 5.3918, 5.3918) * CHOOSE(CONTROL!$C$21, $C$9, 100%, $E$9)</f>
        <v>5.3917999999999999</v>
      </c>
      <c r="M70" s="14">
        <f>CHOOSE(CONTROL!$C$42, 4.4666, 4.4666) * CHOOSE(CONTROL!$C$21, $C$9, 100%, $E$9)</f>
        <v>4.4665999999999997</v>
      </c>
      <c r="N70" s="14">
        <f>CHOOSE(CONTROL!$C$42, 4.4826, 4.4826) * CHOOSE(CONTROL!$C$21, $C$9, 100%, $E$9)</f>
        <v>4.4825999999999997</v>
      </c>
      <c r="O70" s="14">
        <f>CHOOSE(CONTROL!$C$42, 4.714, 4.714) * CHOOSE(CONTROL!$C$21, $C$9, 100%, $E$9)</f>
        <v>4.7140000000000004</v>
      </c>
      <c r="P70" s="14">
        <f>CHOOSE(CONTROL!$C$42, 4.5074, 4.5074) * CHOOSE(CONTROL!$C$21, $C$9, 100%, $E$9)</f>
        <v>4.5073999999999996</v>
      </c>
      <c r="Q70" s="14">
        <f>CHOOSE(CONTROL!$C$42, 5.3087, 5.3087) * CHOOSE(CONTROL!$C$21, $C$9, 100%, $E$9)</f>
        <v>5.3087</v>
      </c>
      <c r="R70" s="14">
        <f>CHOOSE(CONTROL!$C$42, 5.909, 5.909) * CHOOSE(CONTROL!$C$21, $C$9, 100%, $E$9)</f>
        <v>5.9089999999999998</v>
      </c>
      <c r="S70" s="14">
        <f>CHOOSE(CONTROL!$C$42, 4.3823, 4.3823) * CHOOSE(CONTROL!$C$21, $C$9, 100%, $E$9)</f>
        <v>4.3822999999999999</v>
      </c>
      <c r="T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7">
        <f>(1000*CHOOSE(CONTROL!$C$42, 695, 695)*CHOOSE(CONTROL!$C$42, 0.5599, 0.5599)*CHOOSE(CONTROL!$C$42, 31, 31))/1000000</f>
        <v>12.063045499999998</v>
      </c>
      <c r="V70" s="57">
        <f>(1000*CHOOSE(CONTROL!$C$42, 580, 580)*CHOOSE(CONTROL!$C$42, 0.275, 0.275)*CHOOSE(CONTROL!$C$42, 31, 31))/1000000</f>
        <v>4.9444999999999997</v>
      </c>
      <c r="W70" s="57">
        <f>(1000*CHOOSE(CONTROL!$C$42, 0.1146, 0.1146)*CHOOSE(CONTROL!$C$42, 121.5, 121.5)*CHOOSE(CONTROL!$C$42, 31, 31))/1000000</f>
        <v>0.43164089999999994</v>
      </c>
      <c r="X70" s="57">
        <f>(31*0.1790888*245000/1000000)+(31*0.2374*100000/1000000)</f>
        <v>2.0961194359999999</v>
      </c>
      <c r="Y70" s="57"/>
      <c r="Z70" s="14"/>
      <c r="AA70" s="56"/>
      <c r="AB70" s="50">
        <f>(B70*131.881+C70*277.167+D70*79.08+E70*125.872+F70*40+G70*185+H70*0+I70*100+J70*300)/(131.881+277.167+79.08+125.872+0+40+185+100+300)</f>
        <v>4.6078368382566586</v>
      </c>
      <c r="AC70" s="45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4.5455683453237405</v>
      </c>
    </row>
    <row r="71" spans="1:29" ht="15.75" x14ac:dyDescent="0.25">
      <c r="A71" s="13">
        <v>43040</v>
      </c>
      <c r="B71" s="14">
        <f>CHOOSE(CONTROL!$C$42, 4.6993, 4.6993) * CHOOSE(CONTROL!$C$21, $C$9, 100%, $E$9)</f>
        <v>4.6993</v>
      </c>
      <c r="C71" s="14">
        <f>CHOOSE(CONTROL!$C$42, 4.7043, 4.7043) * CHOOSE(CONTROL!$C$21, $C$9, 100%, $E$9)</f>
        <v>4.7042999999999999</v>
      </c>
      <c r="D71" s="14">
        <f>CHOOSE(CONTROL!$C$42, 4.7682, 4.7682) * CHOOSE(CONTROL!$C$21, $C$9, 100%, $E$9)</f>
        <v>4.7682000000000002</v>
      </c>
      <c r="E71" s="14">
        <f>CHOOSE(CONTROL!$C$42, 4.8023, 4.8023) * CHOOSE(CONTROL!$C$21, $C$9, 100%, $E$9)</f>
        <v>4.8022999999999998</v>
      </c>
      <c r="F71" s="14">
        <f>CHOOSE(CONTROL!$C$42, 4.7015, 4.7015)*CHOOSE(CONTROL!$C$21, $C$9, 100%, $E$9)</f>
        <v>4.7015000000000002</v>
      </c>
      <c r="G71" s="14">
        <f>CHOOSE(CONTROL!$C$42, 4.7182, 4.7182)*CHOOSE(CONTROL!$C$21, $C$9, 100%, $E$9)</f>
        <v>4.7182000000000004</v>
      </c>
      <c r="H71" s="14">
        <f>CHOOSE(CONTROL!$C$42, 4.7915, 4.7915) * CHOOSE(CONTROL!$C$21, $C$9, 100%, $E$9)</f>
        <v>4.7915000000000001</v>
      </c>
      <c r="I71" s="14">
        <f>CHOOSE(CONTROL!$C$42, 4.7279, 4.7279)* CHOOSE(CONTROL!$C$21, $C$9, 100%, $E$9)</f>
        <v>4.7279</v>
      </c>
      <c r="J71" s="14">
        <f>CHOOSE(CONTROL!$C$42, 4.6945, 4.6945)* CHOOSE(CONTROL!$C$21, $C$9, 100%, $E$9)</f>
        <v>4.6944999999999997</v>
      </c>
      <c r="K71" s="53">
        <f>CHOOSE(CONTROL!$C$42, 4.724, 4.724) * CHOOSE(CONTROL!$C$21, $C$9, 100%, $E$9)</f>
        <v>4.7240000000000002</v>
      </c>
      <c r="L71" s="14">
        <f>CHOOSE(CONTROL!$C$42, 5.3785, 5.3785) * CHOOSE(CONTROL!$C$21, $C$9, 100%, $E$9)</f>
        <v>5.3784999999999998</v>
      </c>
      <c r="M71" s="14">
        <f>CHOOSE(CONTROL!$C$42, 4.606, 4.606) * CHOOSE(CONTROL!$C$21, $C$9, 100%, $E$9)</f>
        <v>4.6059999999999999</v>
      </c>
      <c r="N71" s="14">
        <f>CHOOSE(CONTROL!$C$42, 4.6224, 4.6224) * CHOOSE(CONTROL!$C$21, $C$9, 100%, $E$9)</f>
        <v>4.6223999999999998</v>
      </c>
      <c r="O71" s="14">
        <f>CHOOSE(CONTROL!$C$42, 4.701, 4.701) * CHOOSE(CONTROL!$C$21, $C$9, 100%, $E$9)</f>
        <v>4.7009999999999996</v>
      </c>
      <c r="P71" s="14">
        <f>CHOOSE(CONTROL!$C$42, 4.6385, 4.6385) * CHOOSE(CONTROL!$C$21, $C$9, 100%, $E$9)</f>
        <v>4.6384999999999996</v>
      </c>
      <c r="Q71" s="14">
        <f>CHOOSE(CONTROL!$C$42, 5.2957, 5.2957) * CHOOSE(CONTROL!$C$21, $C$9, 100%, $E$9)</f>
        <v>5.2957000000000001</v>
      </c>
      <c r="R71" s="14">
        <f>CHOOSE(CONTROL!$C$42, 5.8959, 5.8959) * CHOOSE(CONTROL!$C$21, $C$9, 100%, $E$9)</f>
        <v>5.8959000000000001</v>
      </c>
      <c r="S71" s="14">
        <f>CHOOSE(CONTROL!$C$42, 4.507, 4.507) * CHOOSE(CONTROL!$C$21, $C$9, 100%, $E$9)</f>
        <v>4.5069999999999997</v>
      </c>
      <c r="T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7">
        <f>(1000*CHOOSE(CONTROL!$C$42, 695, 695)*CHOOSE(CONTROL!$C$42, 0.5599, 0.5599)*CHOOSE(CONTROL!$C$42, 30, 30))/1000000</f>
        <v>11.673914999999997</v>
      </c>
      <c r="V71" s="57">
        <f>(1000*CHOOSE(CONTROL!$C$42, 580, 580)*CHOOSE(CONTROL!$C$42, 0.275, 0.275)*CHOOSE(CONTROL!$C$42, 30, 30))/1000000</f>
        <v>4.7850000000000001</v>
      </c>
      <c r="W71" s="57">
        <f>(1000*CHOOSE(CONTROL!$C$42, 0.1146, 0.1146)*CHOOSE(CONTROL!$C$42, 121.5, 121.5)*CHOOSE(CONTROL!$C$42, 30, 30))/1000000</f>
        <v>0.417717</v>
      </c>
      <c r="X71" s="57">
        <f>(30*0.1790888*100000/1000000)+(30*0.2374*100000/1000000)</f>
        <v>1.2494664</v>
      </c>
      <c r="Y71" s="57"/>
      <c r="Z71" s="14"/>
      <c r="AA71" s="56"/>
      <c r="AB71" s="50">
        <f>(B71*122.58+C71*297.941+D71*89.177+E71*40.302+F71*40+G71*160+H71*0+I71*100+J71*300)/(122.58+297.941+89.177+40.302+0+40+160+100+300)</f>
        <v>4.7134887880869556</v>
      </c>
      <c r="AC71" s="45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4.6546776978417261</v>
      </c>
    </row>
    <row r="72" spans="1:29" ht="15.75" x14ac:dyDescent="0.25">
      <c r="A72" s="13">
        <v>43070</v>
      </c>
      <c r="B72" s="14">
        <f>CHOOSE(CONTROL!$C$42, 5.0293, 5.0293) * CHOOSE(CONTROL!$C$21, $C$9, 100%, $E$9)</f>
        <v>5.0293000000000001</v>
      </c>
      <c r="C72" s="14">
        <f>CHOOSE(CONTROL!$C$42, 5.0344, 5.0344) * CHOOSE(CONTROL!$C$21, $C$9, 100%, $E$9)</f>
        <v>5.0343999999999998</v>
      </c>
      <c r="D72" s="14">
        <f>CHOOSE(CONTROL!$C$42, 5.0982, 5.0982) * CHOOSE(CONTROL!$C$21, $C$9, 100%, $E$9)</f>
        <v>5.0982000000000003</v>
      </c>
      <c r="E72" s="14">
        <f>CHOOSE(CONTROL!$C$42, 5.1323, 5.1323) * CHOOSE(CONTROL!$C$21, $C$9, 100%, $E$9)</f>
        <v>5.1322999999999999</v>
      </c>
      <c r="F72" s="14">
        <f>CHOOSE(CONTROL!$C$42, 5.0336, 5.0336)*CHOOSE(CONTROL!$C$21, $C$9, 100%, $E$9)</f>
        <v>5.0335999999999999</v>
      </c>
      <c r="G72" s="14">
        <f>CHOOSE(CONTROL!$C$42, 5.0508, 5.0508)*CHOOSE(CONTROL!$C$21, $C$9, 100%, $E$9)</f>
        <v>5.0507999999999997</v>
      </c>
      <c r="H72" s="14">
        <f>CHOOSE(CONTROL!$C$42, 5.1215, 5.1215) * CHOOSE(CONTROL!$C$21, $C$9, 100%, $E$9)</f>
        <v>5.1215000000000002</v>
      </c>
      <c r="I72" s="14">
        <f>CHOOSE(CONTROL!$C$42, 5.059, 5.059)* CHOOSE(CONTROL!$C$21, $C$9, 100%, $E$9)</f>
        <v>5.0590000000000002</v>
      </c>
      <c r="J72" s="14">
        <f>CHOOSE(CONTROL!$C$42, 5.0266, 5.0266)* CHOOSE(CONTROL!$C$21, $C$9, 100%, $E$9)</f>
        <v>5.0266000000000002</v>
      </c>
      <c r="K72" s="53">
        <f>CHOOSE(CONTROL!$C$42, 5.0551, 5.0551) * CHOOSE(CONTROL!$C$21, $C$9, 100%, $E$9)</f>
        <v>5.0551000000000004</v>
      </c>
      <c r="L72" s="14">
        <f>CHOOSE(CONTROL!$C$42, 5.7085, 5.7085) * CHOOSE(CONTROL!$C$21, $C$9, 100%, $E$9)</f>
        <v>5.7084999999999999</v>
      </c>
      <c r="M72" s="14">
        <f>CHOOSE(CONTROL!$C$42, 4.9313, 4.9313) * CHOOSE(CONTROL!$C$21, $C$9, 100%, $E$9)</f>
        <v>4.9313000000000002</v>
      </c>
      <c r="N72" s="14">
        <f>CHOOSE(CONTROL!$C$42, 4.9482, 4.9482) * CHOOSE(CONTROL!$C$21, $C$9, 100%, $E$9)</f>
        <v>4.9481999999999999</v>
      </c>
      <c r="O72" s="14">
        <f>CHOOSE(CONTROL!$C$42, 5.0243, 5.0243) * CHOOSE(CONTROL!$C$21, $C$9, 100%, $E$9)</f>
        <v>5.0243000000000002</v>
      </c>
      <c r="P72" s="14">
        <f>CHOOSE(CONTROL!$C$42, 4.9628, 4.9628) * CHOOSE(CONTROL!$C$21, $C$9, 100%, $E$9)</f>
        <v>4.9627999999999997</v>
      </c>
      <c r="Q72" s="14">
        <f>CHOOSE(CONTROL!$C$42, 5.619, 5.619) * CHOOSE(CONTROL!$C$21, $C$9, 100%, $E$9)</f>
        <v>5.6189999999999998</v>
      </c>
      <c r="R72" s="14">
        <f>CHOOSE(CONTROL!$C$42, 6.22, 6.22) * CHOOSE(CONTROL!$C$21, $C$9, 100%, $E$9)</f>
        <v>6.22</v>
      </c>
      <c r="S72" s="14">
        <f>CHOOSE(CONTROL!$C$42, 4.8241, 4.8241) * CHOOSE(CONTROL!$C$21, $C$9, 100%, $E$9)</f>
        <v>4.8240999999999996</v>
      </c>
      <c r="T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7">
        <f>(1000*CHOOSE(CONTROL!$C$42, 695, 695)*CHOOSE(CONTROL!$C$42, 0.5599, 0.5599)*CHOOSE(CONTROL!$C$42, 31, 31))/1000000</f>
        <v>12.063045499999998</v>
      </c>
      <c r="V72" s="57">
        <f>(1000*CHOOSE(CONTROL!$C$42, 580, 580)*CHOOSE(CONTROL!$C$42, 0.275, 0.275)*CHOOSE(CONTROL!$C$42, 31, 31))/1000000</f>
        <v>4.9444999999999997</v>
      </c>
      <c r="W72" s="57">
        <f>(1000*CHOOSE(CONTROL!$C$42, 0.1146, 0.1146)*CHOOSE(CONTROL!$C$42, 121.5, 121.5)*CHOOSE(CONTROL!$C$42, 31, 31))/1000000</f>
        <v>0.43164089999999994</v>
      </c>
      <c r="X72" s="57">
        <f>(31*0.1790888*100000/1000000)+(31*0.2374*100000/1000000)</f>
        <v>1.2911152800000001</v>
      </c>
      <c r="Y72" s="57"/>
      <c r="Z72" s="14"/>
      <c r="AA72" s="56"/>
      <c r="AB72" s="50">
        <f>(B72*122.58+C72*297.941+D72*89.177+E72*40.302+F72*40+G72*160+H72*0+I72*100+J72*300)/(122.58+297.941+89.177+40.302+0+40+160+100+300)</f>
        <v>5.0445929568695647</v>
      </c>
      <c r="AC72" s="45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4.9789561151079136</v>
      </c>
    </row>
    <row r="73" spans="1:29" ht="15.75" x14ac:dyDescent="0.25">
      <c r="A73" s="13">
        <v>43101</v>
      </c>
      <c r="B73" s="14">
        <f>CHOOSE(CONTROL!$C$42, 6.1464, 6.1464) * CHOOSE(CONTROL!$C$21, $C$9, 100%, $E$9)</f>
        <v>6.1463999999999999</v>
      </c>
      <c r="C73" s="14">
        <f>CHOOSE(CONTROL!$C$42, 6.1515, 6.1515) * CHOOSE(CONTROL!$C$21, $C$9, 100%, $E$9)</f>
        <v>6.1515000000000004</v>
      </c>
      <c r="D73" s="14">
        <f>CHOOSE(CONTROL!$C$42, 6.2101, 6.2101) * CHOOSE(CONTROL!$C$21, $C$9, 100%, $E$9)</f>
        <v>6.2100999999999997</v>
      </c>
      <c r="E73" s="14">
        <f>CHOOSE(CONTROL!$C$42, 6.2442, 6.2442) * CHOOSE(CONTROL!$C$21, $C$9, 100%, $E$9)</f>
        <v>6.2442000000000002</v>
      </c>
      <c r="F73" s="14">
        <f>CHOOSE(CONTROL!$C$42, 6.1455, 6.1455)*CHOOSE(CONTROL!$C$21, $C$9, 100%, $E$9)</f>
        <v>6.1455000000000002</v>
      </c>
      <c r="G73" s="14">
        <f>CHOOSE(CONTROL!$C$42, 6.1619, 6.1619)*CHOOSE(CONTROL!$C$21, $C$9, 100%, $E$9)</f>
        <v>6.1619000000000002</v>
      </c>
      <c r="H73" s="14">
        <f>CHOOSE(CONTROL!$C$42, 6.2334, 6.2334) * CHOOSE(CONTROL!$C$21, $C$9, 100%, $E$9)</f>
        <v>6.2333999999999996</v>
      </c>
      <c r="I73" s="14">
        <f>CHOOSE(CONTROL!$C$42, 6.1759, 6.1759)* CHOOSE(CONTROL!$C$21, $C$9, 100%, $E$9)</f>
        <v>6.1759000000000004</v>
      </c>
      <c r="J73" s="14">
        <f>CHOOSE(CONTROL!$C$42, 6.1385, 6.1385)* CHOOSE(CONTROL!$C$21, $C$9, 100%, $E$9)</f>
        <v>6.1384999999999996</v>
      </c>
      <c r="K73" s="53">
        <f>CHOOSE(CONTROL!$C$42, 6.172, 6.172) * CHOOSE(CONTROL!$C$21, $C$9, 100%, $E$9)</f>
        <v>6.1719999999999997</v>
      </c>
      <c r="L73" s="14">
        <f>CHOOSE(CONTROL!$C$42, 6.8204, 6.8204) * CHOOSE(CONTROL!$C$21, $C$9, 100%, $E$9)</f>
        <v>6.8204000000000002</v>
      </c>
      <c r="M73" s="14">
        <f>CHOOSE(CONTROL!$C$42, 6.0204, 6.0204) * CHOOSE(CONTROL!$C$21, $C$9, 100%, $E$9)</f>
        <v>6.0204000000000004</v>
      </c>
      <c r="N73" s="14">
        <f>CHOOSE(CONTROL!$C$42, 6.0365, 6.0365) * CHOOSE(CONTROL!$C$21, $C$9, 100%, $E$9)</f>
        <v>6.0365000000000002</v>
      </c>
      <c r="O73" s="14">
        <f>CHOOSE(CONTROL!$C$42, 6.1134, 6.1134) * CHOOSE(CONTROL!$C$21, $C$9, 100%, $E$9)</f>
        <v>6.1134000000000004</v>
      </c>
      <c r="P73" s="14">
        <f>CHOOSE(CONTROL!$C$42, 6.0568, 6.0568) * CHOOSE(CONTROL!$C$21, $C$9, 100%, $E$9)</f>
        <v>6.0568</v>
      </c>
      <c r="Q73" s="14">
        <f>CHOOSE(CONTROL!$C$42, 6.7081, 6.7081) * CHOOSE(CONTROL!$C$21, $C$9, 100%, $E$9)</f>
        <v>6.7081</v>
      </c>
      <c r="R73" s="14">
        <f>CHOOSE(CONTROL!$C$42, 7.3118, 7.3118) * CHOOSE(CONTROL!$C$21, $C$9, 100%, $E$9)</f>
        <v>7.3117999999999999</v>
      </c>
      <c r="S73" s="14">
        <f>CHOOSE(CONTROL!$C$42, 5.8976, 5.8976) * CHOOSE(CONTROL!$C$21, $C$9, 100%, $E$9)</f>
        <v>5.8975999999999997</v>
      </c>
      <c r="T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7">
        <f>(1000*CHOOSE(CONTROL!$C$42, 695, 695)*CHOOSE(CONTROL!$C$42, 0.5599, 0.5599)*CHOOSE(CONTROL!$C$42, 31, 31))/1000000</f>
        <v>12.063045499999998</v>
      </c>
      <c r="V73" s="57">
        <f>(1000*CHOOSE(CONTROL!$C$42, 500, 500)*CHOOSE(CONTROL!$C$42, 0.275, 0.275)*CHOOSE(CONTROL!$C$42, 31, 31))/1000000</f>
        <v>4.2625000000000002</v>
      </c>
      <c r="W73" s="57">
        <f>(1000*CHOOSE(CONTROL!$C$42, 0.1146, 0.1146)*CHOOSE(CONTROL!$C$42, 121.5, 121.5)*CHOOSE(CONTROL!$C$42, 31, 31))/1000000</f>
        <v>0.43164089999999994</v>
      </c>
      <c r="X73" s="57">
        <f>(31*0.1790888*100000/1000000)+(31*0.2374*100000/1000000)</f>
        <v>1.2911152800000001</v>
      </c>
      <c r="Y73" s="57"/>
      <c r="Z73" s="14"/>
      <c r="AA73" s="56"/>
      <c r="AB73" s="50">
        <f>(B73*122.58+C73*297.941+D73*89.177+E73*40.302+F73*40+G73*160+H73*0+I73*100+J73*300)/(122.58+297.941+89.177+40.302+0+40+160+100+300)</f>
        <v>6.1587179213913048</v>
      </c>
      <c r="AC73" s="45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6.0687151079136701</v>
      </c>
    </row>
    <row r="74" spans="1:29" ht="15.75" x14ac:dyDescent="0.25">
      <c r="A74" s="13">
        <v>43132</v>
      </c>
      <c r="B74" s="14">
        <f>CHOOSE(CONTROL!$C$42, 6.2685, 6.2685) * CHOOSE(CONTROL!$C$21, $C$9, 100%, $E$9)</f>
        <v>6.2685000000000004</v>
      </c>
      <c r="C74" s="14">
        <f>CHOOSE(CONTROL!$C$42, 6.2736, 6.2736) * CHOOSE(CONTROL!$C$21, $C$9, 100%, $E$9)</f>
        <v>6.2736000000000001</v>
      </c>
      <c r="D74" s="14">
        <f>CHOOSE(CONTROL!$C$42, 6.3322, 6.3322) * CHOOSE(CONTROL!$C$21, $C$9, 100%, $E$9)</f>
        <v>6.3322000000000003</v>
      </c>
      <c r="E74" s="14">
        <f>CHOOSE(CONTROL!$C$42, 6.3663, 6.3663) * CHOOSE(CONTROL!$C$21, $C$9, 100%, $E$9)</f>
        <v>6.3662999999999998</v>
      </c>
      <c r="F74" s="14">
        <f>CHOOSE(CONTROL!$C$42, 6.2676, 6.2676)*CHOOSE(CONTROL!$C$21, $C$9, 100%, $E$9)</f>
        <v>6.2675999999999998</v>
      </c>
      <c r="G74" s="14">
        <f>CHOOSE(CONTROL!$C$42, 6.284, 6.284)*CHOOSE(CONTROL!$C$21, $C$9, 100%, $E$9)</f>
        <v>6.2839999999999998</v>
      </c>
      <c r="H74" s="14">
        <f>CHOOSE(CONTROL!$C$42, 6.3555, 6.3555) * CHOOSE(CONTROL!$C$21, $C$9, 100%, $E$9)</f>
        <v>6.3555000000000001</v>
      </c>
      <c r="I74" s="14">
        <f>CHOOSE(CONTROL!$C$42, 6.2984, 6.2984)* CHOOSE(CONTROL!$C$21, $C$9, 100%, $E$9)</f>
        <v>6.2984</v>
      </c>
      <c r="J74" s="14">
        <f>CHOOSE(CONTROL!$C$42, 6.2606, 6.2606)* CHOOSE(CONTROL!$C$21, $C$9, 100%, $E$9)</f>
        <v>6.2606000000000002</v>
      </c>
      <c r="K74" s="53">
        <f>CHOOSE(CONTROL!$C$42, 6.2945, 6.2945) * CHOOSE(CONTROL!$C$21, $C$9, 100%, $E$9)</f>
        <v>6.2945000000000002</v>
      </c>
      <c r="L74" s="14">
        <f>CHOOSE(CONTROL!$C$42, 6.9425, 6.9425) * CHOOSE(CONTROL!$C$21, $C$9, 100%, $E$9)</f>
        <v>6.9424999999999999</v>
      </c>
      <c r="M74" s="14">
        <f>CHOOSE(CONTROL!$C$42, 6.14, 6.14) * CHOOSE(CONTROL!$C$21, $C$9, 100%, $E$9)</f>
        <v>6.14</v>
      </c>
      <c r="N74" s="14">
        <f>CHOOSE(CONTROL!$C$42, 6.1561, 6.1561) * CHOOSE(CONTROL!$C$21, $C$9, 100%, $E$9)</f>
        <v>6.1561000000000003</v>
      </c>
      <c r="O74" s="14">
        <f>CHOOSE(CONTROL!$C$42, 6.233, 6.233) * CHOOSE(CONTROL!$C$21, $C$9, 100%, $E$9)</f>
        <v>6.2329999999999997</v>
      </c>
      <c r="P74" s="14">
        <f>CHOOSE(CONTROL!$C$42, 6.1767, 6.1767) * CHOOSE(CONTROL!$C$21, $C$9, 100%, $E$9)</f>
        <v>6.1767000000000003</v>
      </c>
      <c r="Q74" s="14">
        <f>CHOOSE(CONTROL!$C$42, 6.8277, 6.8277) * CHOOSE(CONTROL!$C$21, $C$9, 100%, $E$9)</f>
        <v>6.8277000000000001</v>
      </c>
      <c r="R74" s="14">
        <f>CHOOSE(CONTROL!$C$42, 7.4317, 7.4317) * CHOOSE(CONTROL!$C$21, $C$9, 100%, $E$9)</f>
        <v>7.4317000000000002</v>
      </c>
      <c r="S74" s="14">
        <f>CHOOSE(CONTROL!$C$42, 6.0149, 6.0149) * CHOOSE(CONTROL!$C$21, $C$9, 100%, $E$9)</f>
        <v>6.0148999999999999</v>
      </c>
      <c r="T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7">
        <f>(1000*CHOOSE(CONTROL!$C$42, 695, 695)*CHOOSE(CONTROL!$C$42, 0.5599, 0.5599)*CHOOSE(CONTROL!$C$42, 28, 28))/1000000</f>
        <v>10.895653999999999</v>
      </c>
      <c r="V74" s="57">
        <f>(1000*CHOOSE(CONTROL!$C$42, 500, 500)*CHOOSE(CONTROL!$C$42, 0.275, 0.275)*CHOOSE(CONTROL!$C$42, 28, 28))/1000000</f>
        <v>3.85</v>
      </c>
      <c r="W74" s="57">
        <f>(1000*CHOOSE(CONTROL!$C$42, 0.1146, 0.1146)*CHOOSE(CONTROL!$C$42, 121.5, 121.5)*CHOOSE(CONTROL!$C$42, 28, 28))/1000000</f>
        <v>0.38986920000000003</v>
      </c>
      <c r="X74" s="57">
        <f>(28*0.1790888*100000/1000000)+(28*0.2374*100000/1000000)</f>
        <v>1.16616864</v>
      </c>
      <c r="Y74" s="57"/>
      <c r="Z74" s="14"/>
      <c r="AA74" s="56"/>
      <c r="AB74" s="50">
        <f>(B74*122.58+C74*297.941+D74*89.177+E74*40.302+F74*40+G74*160+H74*0+I74*100+J74*300)/(122.58+297.941+89.177+40.302+0+40+160+100+300)</f>
        <v>6.280852704</v>
      </c>
      <c r="AC74" s="45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6.1883582733812945</v>
      </c>
    </row>
    <row r="75" spans="1:29" ht="15.75" x14ac:dyDescent="0.25">
      <c r="A75" s="13">
        <v>43160</v>
      </c>
      <c r="B75" s="14">
        <f>CHOOSE(CONTROL!$C$42, 6.1034, 6.1034) * CHOOSE(CONTROL!$C$21, $C$9, 100%, $E$9)</f>
        <v>6.1033999999999997</v>
      </c>
      <c r="C75" s="14">
        <f>CHOOSE(CONTROL!$C$42, 6.1084, 6.1084) * CHOOSE(CONTROL!$C$21, $C$9, 100%, $E$9)</f>
        <v>6.1083999999999996</v>
      </c>
      <c r="D75" s="14">
        <f>CHOOSE(CONTROL!$C$42, 6.167, 6.167) * CHOOSE(CONTROL!$C$21, $C$9, 100%, $E$9)</f>
        <v>6.1669999999999998</v>
      </c>
      <c r="E75" s="14">
        <f>CHOOSE(CONTROL!$C$42, 6.2011, 6.2011) * CHOOSE(CONTROL!$C$21, $C$9, 100%, $E$9)</f>
        <v>6.2011000000000003</v>
      </c>
      <c r="F75" s="14">
        <f>CHOOSE(CONTROL!$C$42, 6.1019, 6.1019)*CHOOSE(CONTROL!$C$21, $C$9, 100%, $E$9)</f>
        <v>6.1018999999999997</v>
      </c>
      <c r="G75" s="14">
        <f>CHOOSE(CONTROL!$C$42, 6.1182, 6.1182)*CHOOSE(CONTROL!$C$21, $C$9, 100%, $E$9)</f>
        <v>6.1181999999999999</v>
      </c>
      <c r="H75" s="14">
        <f>CHOOSE(CONTROL!$C$42, 6.1903, 6.1903) * CHOOSE(CONTROL!$C$21, $C$9, 100%, $E$9)</f>
        <v>6.1902999999999997</v>
      </c>
      <c r="I75" s="14">
        <f>CHOOSE(CONTROL!$C$42, 6.1327, 6.1327)* CHOOSE(CONTROL!$C$21, $C$9, 100%, $E$9)</f>
        <v>6.1326999999999998</v>
      </c>
      <c r="J75" s="14">
        <f>CHOOSE(CONTROL!$C$42, 6.0949, 6.0949)* CHOOSE(CONTROL!$C$21, $C$9, 100%, $E$9)</f>
        <v>6.0949</v>
      </c>
      <c r="K75" s="53">
        <f>CHOOSE(CONTROL!$C$42, 6.1288, 6.1288) * CHOOSE(CONTROL!$C$21, $C$9, 100%, $E$9)</f>
        <v>6.1288</v>
      </c>
      <c r="L75" s="14">
        <f>CHOOSE(CONTROL!$C$42, 6.7773, 6.7773) * CHOOSE(CONTROL!$C$21, $C$9, 100%, $E$9)</f>
        <v>6.7773000000000003</v>
      </c>
      <c r="M75" s="14">
        <f>CHOOSE(CONTROL!$C$42, 5.9777, 5.9777) * CHOOSE(CONTROL!$C$21, $C$9, 100%, $E$9)</f>
        <v>5.9776999999999996</v>
      </c>
      <c r="N75" s="14">
        <f>CHOOSE(CONTROL!$C$42, 5.9937, 5.9937) * CHOOSE(CONTROL!$C$21, $C$9, 100%, $E$9)</f>
        <v>5.9936999999999996</v>
      </c>
      <c r="O75" s="14">
        <f>CHOOSE(CONTROL!$C$42, 6.0712, 6.0712) * CHOOSE(CONTROL!$C$21, $C$9, 100%, $E$9)</f>
        <v>6.0712000000000002</v>
      </c>
      <c r="P75" s="14">
        <f>CHOOSE(CONTROL!$C$42, 6.0144, 6.0144) * CHOOSE(CONTROL!$C$21, $C$9, 100%, $E$9)</f>
        <v>6.0144000000000002</v>
      </c>
      <c r="Q75" s="14">
        <f>CHOOSE(CONTROL!$C$42, 6.6659, 6.6659) * CHOOSE(CONTROL!$C$21, $C$9, 100%, $E$9)</f>
        <v>6.6658999999999997</v>
      </c>
      <c r="R75" s="14">
        <f>CHOOSE(CONTROL!$C$42, 7.2696, 7.2696) * CHOOSE(CONTROL!$C$21, $C$9, 100%, $E$9)</f>
        <v>7.2695999999999996</v>
      </c>
      <c r="S75" s="14">
        <f>CHOOSE(CONTROL!$C$42, 5.8562, 5.8562) * CHOOSE(CONTROL!$C$21, $C$9, 100%, $E$9)</f>
        <v>5.8562000000000003</v>
      </c>
      <c r="T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7">
        <f>(1000*CHOOSE(CONTROL!$C$42, 695, 695)*CHOOSE(CONTROL!$C$42, 0.5599, 0.5599)*CHOOSE(CONTROL!$C$42, 31, 31))/1000000</f>
        <v>12.063045499999998</v>
      </c>
      <c r="V75" s="57">
        <f>(1000*CHOOSE(CONTROL!$C$42, 500, 500)*CHOOSE(CONTROL!$C$42, 0.275, 0.275)*CHOOSE(CONTROL!$C$42, 31, 31))/1000000</f>
        <v>4.2625000000000002</v>
      </c>
      <c r="W75" s="57">
        <f>(1000*CHOOSE(CONTROL!$C$42, 0.1146, 0.1146)*CHOOSE(CONTROL!$C$42, 121.5, 121.5)*CHOOSE(CONTROL!$C$42, 31, 31))/1000000</f>
        <v>0.43164089999999994</v>
      </c>
      <c r="X75" s="57">
        <f>(31*0.1790888*100000/1000000)+(31*0.2374*100000/1000000)</f>
        <v>1.2911152800000001</v>
      </c>
      <c r="Y75" s="57"/>
      <c r="Z75" s="14"/>
      <c r="AA75" s="56"/>
      <c r="AB75" s="50">
        <f>(B75*122.58+C75*297.941+D75*89.177+E75*40.302+F75*40+G75*160+H75*0+I75*100+J75*300)/(122.58+297.941+89.177+40.302+0+40+160+100+300)</f>
        <v>6.1153885805217376</v>
      </c>
      <c r="AC75" s="45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6.0262791366906479</v>
      </c>
    </row>
    <row r="76" spans="1:29" ht="15.75" x14ac:dyDescent="0.25">
      <c r="A76" s="13">
        <v>43191</v>
      </c>
      <c r="B76" s="14">
        <f>CHOOSE(CONTROL!$C$42, 6.0988, 6.0988) * CHOOSE(CONTROL!$C$21, $C$9, 100%, $E$9)</f>
        <v>6.0987999999999998</v>
      </c>
      <c r="C76" s="14">
        <f>CHOOSE(CONTROL!$C$42, 6.1033, 6.1033) * CHOOSE(CONTROL!$C$21, $C$9, 100%, $E$9)</f>
        <v>6.1032999999999999</v>
      </c>
      <c r="D76" s="14">
        <f>CHOOSE(CONTROL!$C$42, 6.3114, 6.3114) * CHOOSE(CONTROL!$C$21, $C$9, 100%, $E$9)</f>
        <v>6.3113999999999999</v>
      </c>
      <c r="E76" s="14">
        <f>CHOOSE(CONTROL!$C$42, 6.3435, 6.3435) * CHOOSE(CONTROL!$C$21, $C$9, 100%, $E$9)</f>
        <v>6.3434999999999997</v>
      </c>
      <c r="F76" s="14">
        <f>CHOOSE(CONTROL!$C$42, 6.0862, 6.0862)*CHOOSE(CONTROL!$C$21, $C$9, 100%, $E$9)</f>
        <v>6.0861999999999998</v>
      </c>
      <c r="G76" s="14">
        <f>CHOOSE(CONTROL!$C$42, 6.1021, 6.1021)*CHOOSE(CONTROL!$C$21, $C$9, 100%, $E$9)</f>
        <v>6.1021000000000001</v>
      </c>
      <c r="H76" s="14">
        <f>CHOOSE(CONTROL!$C$42, 6.3333, 6.3333) * CHOOSE(CONTROL!$C$21, $C$9, 100%, $E$9)</f>
        <v>6.3333000000000004</v>
      </c>
      <c r="I76" s="14">
        <f>CHOOSE(CONTROL!$C$42, 6.1274, 6.1274)* CHOOSE(CONTROL!$C$21, $C$9, 100%, $E$9)</f>
        <v>6.1273999999999997</v>
      </c>
      <c r="J76" s="14">
        <f>CHOOSE(CONTROL!$C$42, 6.0792, 6.0792)* CHOOSE(CONTROL!$C$21, $C$9, 100%, $E$9)</f>
        <v>6.0792000000000002</v>
      </c>
      <c r="K76" s="53">
        <f>CHOOSE(CONTROL!$C$42, 6.1235, 6.1235) * CHOOSE(CONTROL!$C$21, $C$9, 100%, $E$9)</f>
        <v>6.1234999999999999</v>
      </c>
      <c r="L76" s="14">
        <f>CHOOSE(CONTROL!$C$42, 6.9203, 6.9203) * CHOOSE(CONTROL!$C$21, $C$9, 100%, $E$9)</f>
        <v>6.9203000000000001</v>
      </c>
      <c r="M76" s="14">
        <f>CHOOSE(CONTROL!$C$42, 5.9623, 5.9623) * CHOOSE(CONTROL!$C$21, $C$9, 100%, $E$9)</f>
        <v>5.9622999999999999</v>
      </c>
      <c r="N76" s="14">
        <f>CHOOSE(CONTROL!$C$42, 5.9779, 5.9779) * CHOOSE(CONTROL!$C$21, $C$9, 100%, $E$9)</f>
        <v>5.9779</v>
      </c>
      <c r="O76" s="14">
        <f>CHOOSE(CONTROL!$C$42, 6.2112, 6.2112) * CHOOSE(CONTROL!$C$21, $C$9, 100%, $E$9)</f>
        <v>6.2111999999999998</v>
      </c>
      <c r="P76" s="14">
        <f>CHOOSE(CONTROL!$C$42, 6.0092, 6.0092) * CHOOSE(CONTROL!$C$21, $C$9, 100%, $E$9)</f>
        <v>6.0091999999999999</v>
      </c>
      <c r="Q76" s="14">
        <f>CHOOSE(CONTROL!$C$42, 6.8059, 6.8059) * CHOOSE(CONTROL!$C$21, $C$9, 100%, $E$9)</f>
        <v>6.8059000000000003</v>
      </c>
      <c r="R76" s="14">
        <f>CHOOSE(CONTROL!$C$42, 7.4099, 7.4099) * CHOOSE(CONTROL!$C$21, $C$9, 100%, $E$9)</f>
        <v>7.4099000000000004</v>
      </c>
      <c r="S76" s="14">
        <f>CHOOSE(CONTROL!$C$42, 5.8511, 5.8511) * CHOOSE(CONTROL!$C$21, $C$9, 100%, $E$9)</f>
        <v>5.8510999999999997</v>
      </c>
      <c r="T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7">
        <f>(1000*CHOOSE(CONTROL!$C$42, 695, 695)*CHOOSE(CONTROL!$C$42, 0.5599, 0.5599)*CHOOSE(CONTROL!$C$42, 30, 30))/1000000</f>
        <v>11.673914999999997</v>
      </c>
      <c r="V76" s="57">
        <f>(1000*CHOOSE(CONTROL!$C$42, 500, 500)*CHOOSE(CONTROL!$C$42, 0.275, 0.275)*CHOOSE(CONTROL!$C$42, 30, 30))/1000000</f>
        <v>4.125</v>
      </c>
      <c r="W76" s="57">
        <f>(1000*CHOOSE(CONTROL!$C$42, 0.1146, 0.1146)*CHOOSE(CONTROL!$C$42, 121.5, 121.5)*CHOOSE(CONTROL!$C$42, 30, 30))/1000000</f>
        <v>0.417717</v>
      </c>
      <c r="X76" s="57">
        <f>(30*0.1790888*245000/1000000)+(30*0.2374*100000/1000000)</f>
        <v>2.0285026799999999</v>
      </c>
      <c r="Y76" s="57"/>
      <c r="Z76" s="14"/>
      <c r="AA76" s="56"/>
      <c r="AB76" s="50">
        <f>(B76*141.293+C76*267.993+D76*115.016+E76*89.698+F76*40+G76*185+H76*0+I76*100+J76*300)/(141.293+267.993+115.016+89.698+0+40+185+100+300)</f>
        <v>6.1348726155770779</v>
      </c>
      <c r="AC76" s="45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6.0424748201438856</v>
      </c>
    </row>
    <row r="77" spans="1:29" ht="15.75" x14ac:dyDescent="0.25">
      <c r="A77" s="13">
        <v>43221</v>
      </c>
      <c r="B77" s="14">
        <f>CHOOSE(CONTROL!$C$42, 6.1666, 6.1666) * CHOOSE(CONTROL!$C$21, $C$9, 100%, $E$9)</f>
        <v>6.1665999999999999</v>
      </c>
      <c r="C77" s="14">
        <f>CHOOSE(CONTROL!$C$42, 6.1746, 6.1746) * CHOOSE(CONTROL!$C$21, $C$9, 100%, $E$9)</f>
        <v>6.1745999999999999</v>
      </c>
      <c r="D77" s="14">
        <f>CHOOSE(CONTROL!$C$42, 6.3796, 6.3796) * CHOOSE(CONTROL!$C$21, $C$9, 100%, $E$9)</f>
        <v>6.3795999999999999</v>
      </c>
      <c r="E77" s="14">
        <f>CHOOSE(CONTROL!$C$42, 6.4111, 6.4111) * CHOOSE(CONTROL!$C$21, $C$9, 100%, $E$9)</f>
        <v>6.4111000000000002</v>
      </c>
      <c r="F77" s="14">
        <f>CHOOSE(CONTROL!$C$42, 6.1528, 6.1528)*CHOOSE(CONTROL!$C$21, $C$9, 100%, $E$9)</f>
        <v>6.1528</v>
      </c>
      <c r="G77" s="14">
        <f>CHOOSE(CONTROL!$C$42, 6.1692, 6.1692)*CHOOSE(CONTROL!$C$21, $C$9, 100%, $E$9)</f>
        <v>6.1692</v>
      </c>
      <c r="H77" s="14">
        <f>CHOOSE(CONTROL!$C$42, 6.3997, 6.3997) * CHOOSE(CONTROL!$C$21, $C$9, 100%, $E$9)</f>
        <v>6.3997000000000002</v>
      </c>
      <c r="I77" s="14">
        <f>CHOOSE(CONTROL!$C$42, 6.194, 6.194)* CHOOSE(CONTROL!$C$21, $C$9, 100%, $E$9)</f>
        <v>6.194</v>
      </c>
      <c r="J77" s="14">
        <f>CHOOSE(CONTROL!$C$42, 6.1458, 6.1458)* CHOOSE(CONTROL!$C$21, $C$9, 100%, $E$9)</f>
        <v>6.1458000000000004</v>
      </c>
      <c r="K77" s="53">
        <f>CHOOSE(CONTROL!$C$42, 6.1901, 6.1901) * CHOOSE(CONTROL!$C$21, $C$9, 100%, $E$9)</f>
        <v>6.1901000000000002</v>
      </c>
      <c r="L77" s="14">
        <f>CHOOSE(CONTROL!$C$42, 6.9867, 6.9867) * CHOOSE(CONTROL!$C$21, $C$9, 100%, $E$9)</f>
        <v>6.9866999999999999</v>
      </c>
      <c r="M77" s="14">
        <f>CHOOSE(CONTROL!$C$42, 6.0275, 6.0275) * CHOOSE(CONTROL!$C$21, $C$9, 100%, $E$9)</f>
        <v>6.0274999999999999</v>
      </c>
      <c r="N77" s="14">
        <f>CHOOSE(CONTROL!$C$42, 6.0436, 6.0436) * CHOOSE(CONTROL!$C$21, $C$9, 100%, $E$9)</f>
        <v>6.0435999999999996</v>
      </c>
      <c r="O77" s="14">
        <f>CHOOSE(CONTROL!$C$42, 6.2763, 6.2763) * CHOOSE(CONTROL!$C$21, $C$9, 100%, $E$9)</f>
        <v>6.2763</v>
      </c>
      <c r="P77" s="14">
        <f>CHOOSE(CONTROL!$C$42, 6.0744, 6.0744) * CHOOSE(CONTROL!$C$21, $C$9, 100%, $E$9)</f>
        <v>6.0743999999999998</v>
      </c>
      <c r="Q77" s="14">
        <f>CHOOSE(CONTROL!$C$42, 6.871, 6.871) * CHOOSE(CONTROL!$C$21, $C$9, 100%, $E$9)</f>
        <v>6.8710000000000004</v>
      </c>
      <c r="R77" s="14">
        <f>CHOOSE(CONTROL!$C$42, 7.4751, 7.4751) * CHOOSE(CONTROL!$C$21, $C$9, 100%, $E$9)</f>
        <v>7.4751000000000003</v>
      </c>
      <c r="S77" s="14">
        <f>CHOOSE(CONTROL!$C$42, 5.9148, 5.9148) * CHOOSE(CONTROL!$C$21, $C$9, 100%, $E$9)</f>
        <v>5.9147999999999996</v>
      </c>
      <c r="T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7">
        <f>(1000*CHOOSE(CONTROL!$C$42, 695, 695)*CHOOSE(CONTROL!$C$42, 0.5599, 0.5599)*CHOOSE(CONTROL!$C$42, 31, 31))/1000000</f>
        <v>12.063045499999998</v>
      </c>
      <c r="V77" s="57">
        <f>(1000*CHOOSE(CONTROL!$C$42, 500, 500)*CHOOSE(CONTROL!$C$42, 0.275, 0.275)*CHOOSE(CONTROL!$C$42, 31, 31))/1000000</f>
        <v>4.2625000000000002</v>
      </c>
      <c r="W77" s="57">
        <f>(1000*CHOOSE(CONTROL!$C$42, 0.1146, 0.1146)*CHOOSE(CONTROL!$C$42, 121.5, 121.5)*CHOOSE(CONTROL!$C$42, 31, 31))/1000000</f>
        <v>0.43164089999999994</v>
      </c>
      <c r="X77" s="57">
        <f>(31*0.1790888*245000/1000000)+(31*0.2374*100000/1000000)</f>
        <v>2.0961194359999999</v>
      </c>
      <c r="Y77" s="57"/>
      <c r="Z77" s="14"/>
      <c r="AA77" s="56"/>
      <c r="AB77" s="50">
        <f>(B77*194.205+C77*267.466+D77*133.845+E77*53.484+F77*40+G77*185+H77*0+I77*100+J77*300)/(194.205+267.466+133.845+53.484+0+40+185+100+300)</f>
        <v>6.1981184858712712</v>
      </c>
      <c r="AC77" s="45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6.1077618705035963</v>
      </c>
    </row>
    <row r="78" spans="1:29" ht="15.75" x14ac:dyDescent="0.25">
      <c r="A78" s="13">
        <v>43252</v>
      </c>
      <c r="B78" s="14">
        <f>CHOOSE(CONTROL!$C$42, 6.3542, 6.3542) * CHOOSE(CONTROL!$C$21, $C$9, 100%, $E$9)</f>
        <v>6.3541999999999996</v>
      </c>
      <c r="C78" s="14">
        <f>CHOOSE(CONTROL!$C$42, 6.3622, 6.3622) * CHOOSE(CONTROL!$C$21, $C$9, 100%, $E$9)</f>
        <v>6.3621999999999996</v>
      </c>
      <c r="D78" s="14">
        <f>CHOOSE(CONTROL!$C$42, 6.5672, 6.5672) * CHOOSE(CONTROL!$C$21, $C$9, 100%, $E$9)</f>
        <v>6.5671999999999997</v>
      </c>
      <c r="E78" s="14">
        <f>CHOOSE(CONTROL!$C$42, 6.5987, 6.5987) * CHOOSE(CONTROL!$C$21, $C$9, 100%, $E$9)</f>
        <v>6.5987</v>
      </c>
      <c r="F78" s="14">
        <f>CHOOSE(CONTROL!$C$42, 6.3408, 6.3408)*CHOOSE(CONTROL!$C$21, $C$9, 100%, $E$9)</f>
        <v>6.3407999999999998</v>
      </c>
      <c r="G78" s="14">
        <f>CHOOSE(CONTROL!$C$42, 6.3573, 6.3573)*CHOOSE(CONTROL!$C$21, $C$9, 100%, $E$9)</f>
        <v>6.3573000000000004</v>
      </c>
      <c r="H78" s="14">
        <f>CHOOSE(CONTROL!$C$42, 6.5873, 6.5873) * CHOOSE(CONTROL!$C$21, $C$9, 100%, $E$9)</f>
        <v>6.5872999999999999</v>
      </c>
      <c r="I78" s="14">
        <f>CHOOSE(CONTROL!$C$42, 6.3822, 6.3822)* CHOOSE(CONTROL!$C$21, $C$9, 100%, $E$9)</f>
        <v>6.3822000000000001</v>
      </c>
      <c r="J78" s="14">
        <f>CHOOSE(CONTROL!$C$42, 6.3338, 6.3338)* CHOOSE(CONTROL!$C$21, $C$9, 100%, $E$9)</f>
        <v>6.3338000000000001</v>
      </c>
      <c r="K78" s="53">
        <f>CHOOSE(CONTROL!$C$42, 6.3783, 6.3783) * CHOOSE(CONTROL!$C$21, $C$9, 100%, $E$9)</f>
        <v>6.3783000000000003</v>
      </c>
      <c r="L78" s="14">
        <f>CHOOSE(CONTROL!$C$42, 7.1743, 7.1743) * CHOOSE(CONTROL!$C$21, $C$9, 100%, $E$9)</f>
        <v>7.1742999999999997</v>
      </c>
      <c r="M78" s="14">
        <f>CHOOSE(CONTROL!$C$42, 6.2117, 6.2117) * CHOOSE(CONTROL!$C$21, $C$9, 100%, $E$9)</f>
        <v>6.2117000000000004</v>
      </c>
      <c r="N78" s="14">
        <f>CHOOSE(CONTROL!$C$42, 6.2279, 6.2279) * CHOOSE(CONTROL!$C$21, $C$9, 100%, $E$9)</f>
        <v>6.2279</v>
      </c>
      <c r="O78" s="14">
        <f>CHOOSE(CONTROL!$C$42, 6.46, 6.46) * CHOOSE(CONTROL!$C$21, $C$9, 100%, $E$9)</f>
        <v>6.46</v>
      </c>
      <c r="P78" s="14">
        <f>CHOOSE(CONTROL!$C$42, 6.2588, 6.2588) * CHOOSE(CONTROL!$C$21, $C$9, 100%, $E$9)</f>
        <v>6.2587999999999999</v>
      </c>
      <c r="Q78" s="14">
        <f>CHOOSE(CONTROL!$C$42, 7.0547, 7.0547) * CHOOSE(CONTROL!$C$21, $C$9, 100%, $E$9)</f>
        <v>7.0547000000000004</v>
      </c>
      <c r="R78" s="14">
        <f>CHOOSE(CONTROL!$C$42, 7.6594, 7.6594) * CHOOSE(CONTROL!$C$21, $C$9, 100%, $E$9)</f>
        <v>7.6593999999999998</v>
      </c>
      <c r="S78" s="14">
        <f>CHOOSE(CONTROL!$C$42, 6.0951, 6.0951) * CHOOSE(CONTROL!$C$21, $C$9, 100%, $E$9)</f>
        <v>6.0951000000000004</v>
      </c>
      <c r="T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7">
        <f>(1000*CHOOSE(CONTROL!$C$42, 695, 695)*CHOOSE(CONTROL!$C$42, 0.5599, 0.5599)*CHOOSE(CONTROL!$C$42, 30, 30))/1000000</f>
        <v>11.673914999999997</v>
      </c>
      <c r="V78" s="57">
        <f>(1000*CHOOSE(CONTROL!$C$42, 500, 500)*CHOOSE(CONTROL!$C$42, 0.275, 0.275)*CHOOSE(CONTROL!$C$42, 30, 30))/1000000</f>
        <v>4.125</v>
      </c>
      <c r="W78" s="57">
        <f>(1000*CHOOSE(CONTROL!$C$42, 0.1146, 0.1146)*CHOOSE(CONTROL!$C$42, 121.5, 121.5)*CHOOSE(CONTROL!$C$42, 30, 30))/1000000</f>
        <v>0.417717</v>
      </c>
      <c r="X78" s="57">
        <f>(30*0.1790888*245000/1000000)+(30*0.2374*100000/1000000)</f>
        <v>2.0285026799999999</v>
      </c>
      <c r="Y78" s="57"/>
      <c r="Z78" s="14"/>
      <c r="AA78" s="56"/>
      <c r="AB78" s="50">
        <f>(B78*194.205+C78*267.466+D78*133.845+E78*53.484+F78*40+G78*185+H78*0+I78*100+J78*300)/(194.205+267.466+133.845+53.484+0+40+185+100+300)</f>
        <v>6.3859449379905806</v>
      </c>
      <c r="AC78" s="45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6.2918733812949634</v>
      </c>
    </row>
    <row r="79" spans="1:29" ht="15.75" x14ac:dyDescent="0.25">
      <c r="A79" s="13">
        <v>43282</v>
      </c>
      <c r="B79" s="14">
        <f>CHOOSE(CONTROL!$C$42, 6.2453, 6.2453) * CHOOSE(CONTROL!$C$21, $C$9, 100%, $E$9)</f>
        <v>6.2453000000000003</v>
      </c>
      <c r="C79" s="14">
        <f>CHOOSE(CONTROL!$C$42, 6.2534, 6.2534) * CHOOSE(CONTROL!$C$21, $C$9, 100%, $E$9)</f>
        <v>6.2534000000000001</v>
      </c>
      <c r="D79" s="14">
        <f>CHOOSE(CONTROL!$C$42, 6.4583, 6.4583) * CHOOSE(CONTROL!$C$21, $C$9, 100%, $E$9)</f>
        <v>6.4583000000000004</v>
      </c>
      <c r="E79" s="14">
        <f>CHOOSE(CONTROL!$C$42, 6.4898, 6.4898) * CHOOSE(CONTROL!$C$21, $C$9, 100%, $E$9)</f>
        <v>6.4897999999999998</v>
      </c>
      <c r="F79" s="14">
        <f>CHOOSE(CONTROL!$C$42, 6.2323, 6.2323)*CHOOSE(CONTROL!$C$21, $C$9, 100%, $E$9)</f>
        <v>6.2323000000000004</v>
      </c>
      <c r="G79" s="14">
        <f>CHOOSE(CONTROL!$C$42, 6.2489, 6.2489)*CHOOSE(CONTROL!$C$21, $C$9, 100%, $E$9)</f>
        <v>6.2488999999999999</v>
      </c>
      <c r="H79" s="14">
        <f>CHOOSE(CONTROL!$C$42, 6.4784, 6.4784) * CHOOSE(CONTROL!$C$21, $C$9, 100%, $E$9)</f>
        <v>6.4783999999999997</v>
      </c>
      <c r="I79" s="14">
        <f>CHOOSE(CONTROL!$C$42, 6.273, 6.273)* CHOOSE(CONTROL!$C$21, $C$9, 100%, $E$9)</f>
        <v>6.2729999999999997</v>
      </c>
      <c r="J79" s="14">
        <f>CHOOSE(CONTROL!$C$42, 6.2253, 6.2253)* CHOOSE(CONTROL!$C$21, $C$9, 100%, $E$9)</f>
        <v>6.2252999999999998</v>
      </c>
      <c r="K79" s="53">
        <f>CHOOSE(CONTROL!$C$42, 6.2691, 6.2691) * CHOOSE(CONTROL!$C$21, $C$9, 100%, $E$9)</f>
        <v>6.2690999999999999</v>
      </c>
      <c r="L79" s="14">
        <f>CHOOSE(CONTROL!$C$42, 7.0654, 7.0654) * CHOOSE(CONTROL!$C$21, $C$9, 100%, $E$9)</f>
        <v>7.0654000000000003</v>
      </c>
      <c r="M79" s="14">
        <f>CHOOSE(CONTROL!$C$42, 6.1055, 6.1055) * CHOOSE(CONTROL!$C$21, $C$9, 100%, $E$9)</f>
        <v>6.1055000000000001</v>
      </c>
      <c r="N79" s="14">
        <f>CHOOSE(CONTROL!$C$42, 6.1217, 6.1217) * CHOOSE(CONTROL!$C$21, $C$9, 100%, $E$9)</f>
        <v>6.1216999999999997</v>
      </c>
      <c r="O79" s="14">
        <f>CHOOSE(CONTROL!$C$42, 6.3534, 6.3534) * CHOOSE(CONTROL!$C$21, $C$9, 100%, $E$9)</f>
        <v>6.3533999999999997</v>
      </c>
      <c r="P79" s="14">
        <f>CHOOSE(CONTROL!$C$42, 6.1518, 6.1518) * CHOOSE(CONTROL!$C$21, $C$9, 100%, $E$9)</f>
        <v>6.1517999999999997</v>
      </c>
      <c r="Q79" s="14">
        <f>CHOOSE(CONTROL!$C$42, 6.9481, 6.9481) * CHOOSE(CONTROL!$C$21, $C$9, 100%, $E$9)</f>
        <v>6.9481000000000002</v>
      </c>
      <c r="R79" s="14">
        <f>CHOOSE(CONTROL!$C$42, 7.5525, 7.5525) * CHOOSE(CONTROL!$C$21, $C$9, 100%, $E$9)</f>
        <v>7.5525000000000002</v>
      </c>
      <c r="S79" s="14">
        <f>CHOOSE(CONTROL!$C$42, 5.9905, 5.9905) * CHOOSE(CONTROL!$C$21, $C$9, 100%, $E$9)</f>
        <v>5.9904999999999999</v>
      </c>
      <c r="T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7">
        <f>(1000*CHOOSE(CONTROL!$C$42, 695, 695)*CHOOSE(CONTROL!$C$42, 0.5599, 0.5599)*CHOOSE(CONTROL!$C$42, 31, 31))/1000000</f>
        <v>12.063045499999998</v>
      </c>
      <c r="V79" s="57">
        <f>(1000*CHOOSE(CONTROL!$C$42, 500, 500)*CHOOSE(CONTROL!$C$42, 0.275, 0.275)*CHOOSE(CONTROL!$C$42, 31, 31))/1000000</f>
        <v>4.2625000000000002</v>
      </c>
      <c r="W79" s="57">
        <f>(1000*CHOOSE(CONTROL!$C$42, 0.1146, 0.1146)*CHOOSE(CONTROL!$C$42, 121.5, 121.5)*CHOOSE(CONTROL!$C$42, 31, 31))/1000000</f>
        <v>0.43164089999999994</v>
      </c>
      <c r="X79" s="57">
        <f>(31*0.1790888*245000/1000000)+(31*0.2374*100000/1000000)</f>
        <v>2.0961194359999999</v>
      </c>
      <c r="Y79" s="57"/>
      <c r="Z79" s="14"/>
      <c r="AA79" s="56"/>
      <c r="AB79" s="50">
        <f>(B79*194.205+C79*267.466+D79*133.845+E79*53.484+F79*40+G79*185+H79*0+I79*100+J79*300)/(194.205+267.466+133.845+53.484+0+40+185+100+300)</f>
        <v>6.2772217406593418</v>
      </c>
      <c r="AC79" s="45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6.1854460431654683</v>
      </c>
    </row>
    <row r="80" spans="1:29" ht="15.75" x14ac:dyDescent="0.25">
      <c r="A80" s="13">
        <v>43313</v>
      </c>
      <c r="B80" s="14">
        <f>CHOOSE(CONTROL!$C$42, 5.9497, 5.9497) * CHOOSE(CONTROL!$C$21, $C$9, 100%, $E$9)</f>
        <v>5.9497</v>
      </c>
      <c r="C80" s="14">
        <f>CHOOSE(CONTROL!$C$42, 5.9577, 5.9577) * CHOOSE(CONTROL!$C$21, $C$9, 100%, $E$9)</f>
        <v>5.9577</v>
      </c>
      <c r="D80" s="14">
        <f>CHOOSE(CONTROL!$C$42, 6.1627, 6.1627) * CHOOSE(CONTROL!$C$21, $C$9, 100%, $E$9)</f>
        <v>6.1627000000000001</v>
      </c>
      <c r="E80" s="14">
        <f>CHOOSE(CONTROL!$C$42, 6.1941, 6.1941) * CHOOSE(CONTROL!$C$21, $C$9, 100%, $E$9)</f>
        <v>6.1940999999999997</v>
      </c>
      <c r="F80" s="14">
        <f>CHOOSE(CONTROL!$C$42, 5.9369, 5.9369)*CHOOSE(CONTROL!$C$21, $C$9, 100%, $E$9)</f>
        <v>5.9368999999999996</v>
      </c>
      <c r="G80" s="14">
        <f>CHOOSE(CONTROL!$C$42, 5.9535, 5.9535)*CHOOSE(CONTROL!$C$21, $C$9, 100%, $E$9)</f>
        <v>5.9535</v>
      </c>
      <c r="H80" s="14">
        <f>CHOOSE(CONTROL!$C$42, 6.1828, 6.1828) * CHOOSE(CONTROL!$C$21, $C$9, 100%, $E$9)</f>
        <v>6.1828000000000003</v>
      </c>
      <c r="I80" s="14">
        <f>CHOOSE(CONTROL!$C$42, 5.9764, 5.9764)* CHOOSE(CONTROL!$C$21, $C$9, 100%, $E$9)</f>
        <v>5.9763999999999999</v>
      </c>
      <c r="J80" s="14">
        <f>CHOOSE(CONTROL!$C$42, 5.9299, 5.9299)* CHOOSE(CONTROL!$C$21, $C$9, 100%, $E$9)</f>
        <v>5.9298999999999999</v>
      </c>
      <c r="K80" s="53">
        <f>CHOOSE(CONTROL!$C$42, 5.9725, 5.9725) * CHOOSE(CONTROL!$C$21, $C$9, 100%, $E$9)</f>
        <v>5.9725000000000001</v>
      </c>
      <c r="L80" s="14">
        <f>CHOOSE(CONTROL!$C$42, 6.7698, 6.7698) * CHOOSE(CONTROL!$C$21, $C$9, 100%, $E$9)</f>
        <v>6.7698</v>
      </c>
      <c r="M80" s="14">
        <f>CHOOSE(CONTROL!$C$42, 5.816, 5.816) * CHOOSE(CONTROL!$C$21, $C$9, 100%, $E$9)</f>
        <v>5.8159999999999998</v>
      </c>
      <c r="N80" s="14">
        <f>CHOOSE(CONTROL!$C$42, 5.8324, 5.8324) * CHOOSE(CONTROL!$C$21, $C$9, 100%, $E$9)</f>
        <v>5.8323999999999998</v>
      </c>
      <c r="O80" s="14">
        <f>CHOOSE(CONTROL!$C$42, 6.0638, 6.0638) * CHOOSE(CONTROL!$C$21, $C$9, 100%, $E$9)</f>
        <v>6.0637999999999996</v>
      </c>
      <c r="P80" s="14">
        <f>CHOOSE(CONTROL!$C$42, 5.8613, 5.8613) * CHOOSE(CONTROL!$C$21, $C$9, 100%, $E$9)</f>
        <v>5.8613</v>
      </c>
      <c r="Q80" s="14">
        <f>CHOOSE(CONTROL!$C$42, 6.6585, 6.6585) * CHOOSE(CONTROL!$C$21, $C$9, 100%, $E$9)</f>
        <v>6.6585000000000001</v>
      </c>
      <c r="R80" s="14">
        <f>CHOOSE(CONTROL!$C$42, 7.2621, 7.2621) * CHOOSE(CONTROL!$C$21, $C$9, 100%, $E$9)</f>
        <v>7.2621000000000002</v>
      </c>
      <c r="S80" s="14">
        <f>CHOOSE(CONTROL!$C$42, 5.7064, 5.7064) * CHOOSE(CONTROL!$C$21, $C$9, 100%, $E$9)</f>
        <v>5.7064000000000004</v>
      </c>
      <c r="T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7">
        <f>(1000*CHOOSE(CONTROL!$C$42, 695, 695)*CHOOSE(CONTROL!$C$42, 0.5599, 0.5599)*CHOOSE(CONTROL!$C$42, 31, 31))/1000000</f>
        <v>12.063045499999998</v>
      </c>
      <c r="V80" s="57">
        <f>(1000*CHOOSE(CONTROL!$C$42, 500, 500)*CHOOSE(CONTROL!$C$42, 0.275, 0.275)*CHOOSE(CONTROL!$C$42, 31, 31))/1000000</f>
        <v>4.2625000000000002</v>
      </c>
      <c r="W80" s="57">
        <f>(1000*CHOOSE(CONTROL!$C$42, 0.1146, 0.1146)*CHOOSE(CONTROL!$C$42, 121.5, 121.5)*CHOOSE(CONTROL!$C$42, 31, 31))/1000000</f>
        <v>0.43164089999999994</v>
      </c>
      <c r="X80" s="57">
        <f>(31*0.1790888*245000/1000000)+(31*0.2374*100000/1000000)</f>
        <v>2.0961194359999999</v>
      </c>
      <c r="Y80" s="57"/>
      <c r="Z80" s="14"/>
      <c r="AA80" s="56"/>
      <c r="AB80" s="50">
        <f>(B80*194.205+C80*267.466+D80*133.845+E80*53.484+F80*40+G80*185+H80*0+I80*100+J80*300)/(194.205+267.466+133.845+53.484+0+40+185+100+300)</f>
        <v>5.9816004729984309</v>
      </c>
      <c r="AC80" s="45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5.8958201438848921</v>
      </c>
    </row>
    <row r="81" spans="1:29" ht="15.75" x14ac:dyDescent="0.25">
      <c r="A81" s="13">
        <v>43344</v>
      </c>
      <c r="B81" s="14">
        <f>CHOOSE(CONTROL!$C$42, 5.5838, 5.5838) * CHOOSE(CONTROL!$C$21, $C$9, 100%, $E$9)</f>
        <v>5.5838000000000001</v>
      </c>
      <c r="C81" s="14">
        <f>CHOOSE(CONTROL!$C$42, 5.5918, 5.5918) * CHOOSE(CONTROL!$C$21, $C$9, 100%, $E$9)</f>
        <v>5.5918000000000001</v>
      </c>
      <c r="D81" s="14">
        <f>CHOOSE(CONTROL!$C$42, 5.7968, 5.7968) * CHOOSE(CONTROL!$C$21, $C$9, 100%, $E$9)</f>
        <v>5.7968000000000002</v>
      </c>
      <c r="E81" s="14">
        <f>CHOOSE(CONTROL!$C$42, 5.8282, 5.8282) * CHOOSE(CONTROL!$C$21, $C$9, 100%, $E$9)</f>
        <v>5.8281999999999998</v>
      </c>
      <c r="F81" s="14">
        <f>CHOOSE(CONTROL!$C$42, 5.5709, 5.5709)*CHOOSE(CONTROL!$C$21, $C$9, 100%, $E$9)</f>
        <v>5.5709</v>
      </c>
      <c r="G81" s="14">
        <f>CHOOSE(CONTROL!$C$42, 5.5876, 5.5876)*CHOOSE(CONTROL!$C$21, $C$9, 100%, $E$9)</f>
        <v>5.5876000000000001</v>
      </c>
      <c r="H81" s="14">
        <f>CHOOSE(CONTROL!$C$42, 5.8169, 5.8169) * CHOOSE(CONTROL!$C$21, $C$9, 100%, $E$9)</f>
        <v>5.8169000000000004</v>
      </c>
      <c r="I81" s="14">
        <f>CHOOSE(CONTROL!$C$42, 5.6093, 5.6093)* CHOOSE(CONTROL!$C$21, $C$9, 100%, $E$9)</f>
        <v>5.6093000000000002</v>
      </c>
      <c r="J81" s="14">
        <f>CHOOSE(CONTROL!$C$42, 5.5639, 5.5639)* CHOOSE(CONTROL!$C$21, $C$9, 100%, $E$9)</f>
        <v>5.5639000000000003</v>
      </c>
      <c r="K81" s="53">
        <f>CHOOSE(CONTROL!$C$42, 5.6054, 5.6054) * CHOOSE(CONTROL!$C$21, $C$9, 100%, $E$9)</f>
        <v>5.6054000000000004</v>
      </c>
      <c r="L81" s="14">
        <f>CHOOSE(CONTROL!$C$42, 6.4039, 6.4039) * CHOOSE(CONTROL!$C$21, $C$9, 100%, $E$9)</f>
        <v>6.4039000000000001</v>
      </c>
      <c r="M81" s="14">
        <f>CHOOSE(CONTROL!$C$42, 5.4576, 5.4576) * CHOOSE(CONTROL!$C$21, $C$9, 100%, $E$9)</f>
        <v>5.4576000000000002</v>
      </c>
      <c r="N81" s="14">
        <f>CHOOSE(CONTROL!$C$42, 5.474, 5.474) * CHOOSE(CONTROL!$C$21, $C$9, 100%, $E$9)</f>
        <v>5.4740000000000002</v>
      </c>
      <c r="O81" s="14">
        <f>CHOOSE(CONTROL!$C$42, 5.7054, 5.7054) * CHOOSE(CONTROL!$C$21, $C$9, 100%, $E$9)</f>
        <v>5.7054</v>
      </c>
      <c r="P81" s="14">
        <f>CHOOSE(CONTROL!$C$42, 5.5018, 5.5018) * CHOOSE(CONTROL!$C$21, $C$9, 100%, $E$9)</f>
        <v>5.5018000000000002</v>
      </c>
      <c r="Q81" s="14">
        <f>CHOOSE(CONTROL!$C$42, 6.3001, 6.3001) * CHOOSE(CONTROL!$C$21, $C$9, 100%, $E$9)</f>
        <v>6.3000999999999996</v>
      </c>
      <c r="R81" s="14">
        <f>CHOOSE(CONTROL!$C$42, 6.9028, 6.9028) * CHOOSE(CONTROL!$C$21, $C$9, 100%, $E$9)</f>
        <v>6.9028</v>
      </c>
      <c r="S81" s="14">
        <f>CHOOSE(CONTROL!$C$42, 5.3548, 5.3548) * CHOOSE(CONTROL!$C$21, $C$9, 100%, $E$9)</f>
        <v>5.3548</v>
      </c>
      <c r="T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7">
        <f>(1000*CHOOSE(CONTROL!$C$42, 695, 695)*CHOOSE(CONTROL!$C$42, 0.5599, 0.5599)*CHOOSE(CONTROL!$C$42, 30, 30))/1000000</f>
        <v>11.673914999999997</v>
      </c>
      <c r="V81" s="57">
        <f>(1000*CHOOSE(CONTROL!$C$42, 500, 500)*CHOOSE(CONTROL!$C$42, 0.275, 0.275)*CHOOSE(CONTROL!$C$42, 30, 30))/1000000</f>
        <v>4.125</v>
      </c>
      <c r="W81" s="57">
        <f>(1000*CHOOSE(CONTROL!$C$42, 0.1146, 0.1146)*CHOOSE(CONTROL!$C$42, 121.5, 121.5)*CHOOSE(CONTROL!$C$42, 30, 30))/1000000</f>
        <v>0.417717</v>
      </c>
      <c r="X81" s="57">
        <f>(30*0.1790888*245000/1000000)+(30*0.2374*100000/1000000)</f>
        <v>2.0285026799999999</v>
      </c>
      <c r="Y81" s="57"/>
      <c r="Z81" s="14"/>
      <c r="AA81" s="56"/>
      <c r="AB81" s="50">
        <f>(B81*194.205+C81*267.466+D81*133.845+E81*53.484+F81*40+G81*185+H81*0+I81*100+J81*300)/(194.205+267.466+133.845+53.484+0+40+185+100+300)</f>
        <v>5.6155795938775519</v>
      </c>
      <c r="AC81" s="45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5.5372618705035981</v>
      </c>
    </row>
    <row r="82" spans="1:29" ht="15.75" x14ac:dyDescent="0.25">
      <c r="A82" s="13">
        <v>43374</v>
      </c>
      <c r="B82" s="14">
        <f>CHOOSE(CONTROL!$C$42, 5.4801, 5.4801) * CHOOSE(CONTROL!$C$21, $C$9, 100%, $E$9)</f>
        <v>5.4801000000000002</v>
      </c>
      <c r="C82" s="14">
        <f>CHOOSE(CONTROL!$C$42, 5.4854, 5.4854) * CHOOSE(CONTROL!$C$21, $C$9, 100%, $E$9)</f>
        <v>5.4854000000000003</v>
      </c>
      <c r="D82" s="14">
        <f>CHOOSE(CONTROL!$C$42, 5.6954, 5.6954) * CHOOSE(CONTROL!$C$21, $C$9, 100%, $E$9)</f>
        <v>5.6954000000000002</v>
      </c>
      <c r="E82" s="14">
        <f>CHOOSE(CONTROL!$C$42, 5.7245, 5.7245) * CHOOSE(CONTROL!$C$21, $C$9, 100%, $E$9)</f>
        <v>5.7244999999999999</v>
      </c>
      <c r="F82" s="14">
        <f>CHOOSE(CONTROL!$C$42, 5.4693, 5.4693)*CHOOSE(CONTROL!$C$21, $C$9, 100%, $E$9)</f>
        <v>5.4692999999999996</v>
      </c>
      <c r="G82" s="14">
        <f>CHOOSE(CONTROL!$C$42, 5.4857, 5.4857)*CHOOSE(CONTROL!$C$21, $C$9, 100%, $E$9)</f>
        <v>5.4856999999999996</v>
      </c>
      <c r="H82" s="14">
        <f>CHOOSE(CONTROL!$C$42, 5.715, 5.715) * CHOOSE(CONTROL!$C$21, $C$9, 100%, $E$9)</f>
        <v>5.7149999999999999</v>
      </c>
      <c r="I82" s="14">
        <f>CHOOSE(CONTROL!$C$42, 5.5071, 5.5071)* CHOOSE(CONTROL!$C$21, $C$9, 100%, $E$9)</f>
        <v>5.5071000000000003</v>
      </c>
      <c r="J82" s="14">
        <f>CHOOSE(CONTROL!$C$42, 5.4623, 5.4623)* CHOOSE(CONTROL!$C$21, $C$9, 100%, $E$9)</f>
        <v>5.4622999999999999</v>
      </c>
      <c r="K82" s="53">
        <f>CHOOSE(CONTROL!$C$42, 5.5032, 5.5032) * CHOOSE(CONTROL!$C$21, $C$9, 100%, $E$9)</f>
        <v>5.5031999999999996</v>
      </c>
      <c r="L82" s="14">
        <f>CHOOSE(CONTROL!$C$42, 6.302, 6.302) * CHOOSE(CONTROL!$C$21, $C$9, 100%, $E$9)</f>
        <v>6.3019999999999996</v>
      </c>
      <c r="M82" s="14">
        <f>CHOOSE(CONTROL!$C$42, 5.3581, 5.3581) * CHOOSE(CONTROL!$C$21, $C$9, 100%, $E$9)</f>
        <v>5.3581000000000003</v>
      </c>
      <c r="N82" s="14">
        <f>CHOOSE(CONTROL!$C$42, 5.3741, 5.3741) * CHOOSE(CONTROL!$C$21, $C$9, 100%, $E$9)</f>
        <v>5.3741000000000003</v>
      </c>
      <c r="O82" s="14">
        <f>CHOOSE(CONTROL!$C$42, 5.6056, 5.6056) * CHOOSE(CONTROL!$C$21, $C$9, 100%, $E$9)</f>
        <v>5.6055999999999999</v>
      </c>
      <c r="P82" s="14">
        <f>CHOOSE(CONTROL!$C$42, 5.4017, 5.4017) * CHOOSE(CONTROL!$C$21, $C$9, 100%, $E$9)</f>
        <v>5.4016999999999999</v>
      </c>
      <c r="Q82" s="14">
        <f>CHOOSE(CONTROL!$C$42, 6.2003, 6.2003) * CHOOSE(CONTROL!$C$21, $C$9, 100%, $E$9)</f>
        <v>6.2003000000000004</v>
      </c>
      <c r="R82" s="14">
        <f>CHOOSE(CONTROL!$C$42, 6.8028, 6.8028) * CHOOSE(CONTROL!$C$21, $C$9, 100%, $E$9)</f>
        <v>6.8028000000000004</v>
      </c>
      <c r="S82" s="14">
        <f>CHOOSE(CONTROL!$C$42, 5.2569, 5.2569) * CHOOSE(CONTROL!$C$21, $C$9, 100%, $E$9)</f>
        <v>5.2568999999999999</v>
      </c>
      <c r="T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7">
        <f>(1000*CHOOSE(CONTROL!$C$42, 695, 695)*CHOOSE(CONTROL!$C$42, 0.5599, 0.5599)*CHOOSE(CONTROL!$C$42, 31, 31))/1000000</f>
        <v>12.063045499999998</v>
      </c>
      <c r="V82" s="57">
        <f>(1000*CHOOSE(CONTROL!$C$42, 500, 500)*CHOOSE(CONTROL!$C$42, 0.275, 0.275)*CHOOSE(CONTROL!$C$42, 31, 31))/1000000</f>
        <v>4.2625000000000002</v>
      </c>
      <c r="W82" s="57">
        <f>(1000*CHOOSE(CONTROL!$C$42, 0.1146, 0.1146)*CHOOSE(CONTROL!$C$42, 121.5, 121.5)*CHOOSE(CONTROL!$C$42, 31, 31))/1000000</f>
        <v>0.43164089999999994</v>
      </c>
      <c r="X82" s="57">
        <f>(31*0.1790888*245000/1000000)+(31*0.2374*100000/1000000)</f>
        <v>2.0961194359999999</v>
      </c>
      <c r="Y82" s="57"/>
      <c r="Z82" s="14"/>
      <c r="AA82" s="56"/>
      <c r="AB82" s="50">
        <f>(B82*131.881+C82*277.167+D82*79.08+E82*125.872+F82*40+G82*185+H82*0+I82*100+J82*300)/(131.881+277.167+79.08+125.872+0+40+185+100+300)</f>
        <v>5.5182130152542372</v>
      </c>
      <c r="AC82" s="45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5.4374992805755396</v>
      </c>
    </row>
    <row r="83" spans="1:29" ht="15.75" x14ac:dyDescent="0.25">
      <c r="A83" s="13">
        <v>43405</v>
      </c>
      <c r="B83" s="14">
        <f>CHOOSE(CONTROL!$C$42, 5.6354, 5.6354) * CHOOSE(CONTROL!$C$21, $C$9, 100%, $E$9)</f>
        <v>5.6353999999999997</v>
      </c>
      <c r="C83" s="14">
        <f>CHOOSE(CONTROL!$C$42, 5.6404, 5.6404) * CHOOSE(CONTROL!$C$21, $C$9, 100%, $E$9)</f>
        <v>5.6403999999999996</v>
      </c>
      <c r="D83" s="14">
        <f>CHOOSE(CONTROL!$C$42, 5.7043, 5.7043) * CHOOSE(CONTROL!$C$21, $C$9, 100%, $E$9)</f>
        <v>5.7042999999999999</v>
      </c>
      <c r="E83" s="14">
        <f>CHOOSE(CONTROL!$C$42, 5.7384, 5.7384) * CHOOSE(CONTROL!$C$21, $C$9, 100%, $E$9)</f>
        <v>5.7384000000000004</v>
      </c>
      <c r="F83" s="14">
        <f>CHOOSE(CONTROL!$C$42, 5.6376, 5.6376)*CHOOSE(CONTROL!$C$21, $C$9, 100%, $E$9)</f>
        <v>5.6375999999999999</v>
      </c>
      <c r="G83" s="14">
        <f>CHOOSE(CONTROL!$C$42, 5.6543, 5.6543)*CHOOSE(CONTROL!$C$21, $C$9, 100%, $E$9)</f>
        <v>5.6543000000000001</v>
      </c>
      <c r="H83" s="14">
        <f>CHOOSE(CONTROL!$C$42, 5.7276, 5.7276) * CHOOSE(CONTROL!$C$21, $C$9, 100%, $E$9)</f>
        <v>5.7275999999999998</v>
      </c>
      <c r="I83" s="14">
        <f>CHOOSE(CONTROL!$C$42, 5.6669, 5.6669)* CHOOSE(CONTROL!$C$21, $C$9, 100%, $E$9)</f>
        <v>5.6669</v>
      </c>
      <c r="J83" s="14">
        <f>CHOOSE(CONTROL!$C$42, 5.6306, 5.6306)* CHOOSE(CONTROL!$C$21, $C$9, 100%, $E$9)</f>
        <v>5.6306000000000003</v>
      </c>
      <c r="K83" s="53">
        <f>CHOOSE(CONTROL!$C$42, 5.663, 5.663) * CHOOSE(CONTROL!$C$21, $C$9, 100%, $E$9)</f>
        <v>5.6630000000000003</v>
      </c>
      <c r="L83" s="14">
        <f>CHOOSE(CONTROL!$C$42, 6.3146, 6.3146) * CHOOSE(CONTROL!$C$21, $C$9, 100%, $E$9)</f>
        <v>6.3146000000000004</v>
      </c>
      <c r="M83" s="14">
        <f>CHOOSE(CONTROL!$C$42, 5.5229, 5.5229) * CHOOSE(CONTROL!$C$21, $C$9, 100%, $E$9)</f>
        <v>5.5228999999999999</v>
      </c>
      <c r="N83" s="14">
        <f>CHOOSE(CONTROL!$C$42, 5.5393, 5.5393) * CHOOSE(CONTROL!$C$21, $C$9, 100%, $E$9)</f>
        <v>5.5392999999999999</v>
      </c>
      <c r="O83" s="14">
        <f>CHOOSE(CONTROL!$C$42, 5.6179, 5.6179) * CHOOSE(CONTROL!$C$21, $C$9, 100%, $E$9)</f>
        <v>5.6178999999999997</v>
      </c>
      <c r="P83" s="14">
        <f>CHOOSE(CONTROL!$C$42, 5.5582, 5.5582) * CHOOSE(CONTROL!$C$21, $C$9, 100%, $E$9)</f>
        <v>5.5582000000000003</v>
      </c>
      <c r="Q83" s="14">
        <f>CHOOSE(CONTROL!$C$42, 6.2126, 6.2126) * CHOOSE(CONTROL!$C$21, $C$9, 100%, $E$9)</f>
        <v>6.2126000000000001</v>
      </c>
      <c r="R83" s="14">
        <f>CHOOSE(CONTROL!$C$42, 6.8151, 6.8151) * CHOOSE(CONTROL!$C$21, $C$9, 100%, $E$9)</f>
        <v>6.8151000000000002</v>
      </c>
      <c r="S83" s="14">
        <f>CHOOSE(CONTROL!$C$42, 5.4065, 5.4065) * CHOOSE(CONTROL!$C$21, $C$9, 100%, $E$9)</f>
        <v>5.4065000000000003</v>
      </c>
      <c r="T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7">
        <f>(1000*CHOOSE(CONTROL!$C$42, 695, 695)*CHOOSE(CONTROL!$C$42, 0.5599, 0.5599)*CHOOSE(CONTROL!$C$42, 30, 30))/1000000</f>
        <v>11.673914999999997</v>
      </c>
      <c r="V83" s="57">
        <f>(1000*CHOOSE(CONTROL!$C$42, 500, 500)*CHOOSE(CONTROL!$C$42, 0.275, 0.275)*CHOOSE(CONTROL!$C$42, 30, 30))/1000000</f>
        <v>4.125</v>
      </c>
      <c r="W83" s="57">
        <f>(1000*CHOOSE(CONTROL!$C$42, 0.1146, 0.1146)*CHOOSE(CONTROL!$C$42, 121.5, 121.5)*CHOOSE(CONTROL!$C$42, 30, 30))/1000000</f>
        <v>0.417717</v>
      </c>
      <c r="X83" s="57">
        <f>(30*0.1790888*100000/1000000)+(30*0.2374*100000/1000000)</f>
        <v>1.2494664</v>
      </c>
      <c r="Y83" s="57"/>
      <c r="Z83" s="14"/>
      <c r="AA83" s="56"/>
      <c r="AB83" s="50">
        <f>(B83*122.58+C83*297.941+D83*89.177+E83*40.302+F83*40+G83*160+H83*0+I83*100+J83*300)/(122.58+297.941+89.177+40.302+0+40+160+100+300)</f>
        <v>5.6498409620000007</v>
      </c>
      <c r="AC83" s="45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5.5719805755395688</v>
      </c>
    </row>
    <row r="84" spans="1:29" ht="15.75" x14ac:dyDescent="0.25">
      <c r="A84" s="13">
        <v>43435</v>
      </c>
      <c r="B84" s="14">
        <f>CHOOSE(CONTROL!$C$42, 6.0313, 6.0313) * CHOOSE(CONTROL!$C$21, $C$9, 100%, $E$9)</f>
        <v>6.0312999999999999</v>
      </c>
      <c r="C84" s="14">
        <f>CHOOSE(CONTROL!$C$42, 6.0364, 6.0364) * CHOOSE(CONTROL!$C$21, $C$9, 100%, $E$9)</f>
        <v>6.0364000000000004</v>
      </c>
      <c r="D84" s="14">
        <f>CHOOSE(CONTROL!$C$42, 6.1002, 6.1002) * CHOOSE(CONTROL!$C$21, $C$9, 100%, $E$9)</f>
        <v>6.1002000000000001</v>
      </c>
      <c r="E84" s="14">
        <f>CHOOSE(CONTROL!$C$42, 6.1343, 6.1343) * CHOOSE(CONTROL!$C$21, $C$9, 100%, $E$9)</f>
        <v>6.1342999999999996</v>
      </c>
      <c r="F84" s="14">
        <f>CHOOSE(CONTROL!$C$42, 6.0356, 6.0356)*CHOOSE(CONTROL!$C$21, $C$9, 100%, $E$9)</f>
        <v>6.0355999999999996</v>
      </c>
      <c r="G84" s="14">
        <f>CHOOSE(CONTROL!$C$42, 6.0528, 6.0528)*CHOOSE(CONTROL!$C$21, $C$9, 100%, $E$9)</f>
        <v>6.0528000000000004</v>
      </c>
      <c r="H84" s="14">
        <f>CHOOSE(CONTROL!$C$42, 6.1235, 6.1235) * CHOOSE(CONTROL!$C$21, $C$9, 100%, $E$9)</f>
        <v>6.1234999999999999</v>
      </c>
      <c r="I84" s="14">
        <f>CHOOSE(CONTROL!$C$42, 6.0641, 6.0641)* CHOOSE(CONTROL!$C$21, $C$9, 100%, $E$9)</f>
        <v>6.0640999999999998</v>
      </c>
      <c r="J84" s="14">
        <f>CHOOSE(CONTROL!$C$42, 6.0286, 6.0286)* CHOOSE(CONTROL!$C$21, $C$9, 100%, $E$9)</f>
        <v>6.0286</v>
      </c>
      <c r="K84" s="53">
        <f>CHOOSE(CONTROL!$C$42, 6.0602, 6.0602) * CHOOSE(CONTROL!$C$21, $C$9, 100%, $E$9)</f>
        <v>6.0602</v>
      </c>
      <c r="L84" s="14">
        <f>CHOOSE(CONTROL!$C$42, 6.7105, 6.7105) * CHOOSE(CONTROL!$C$21, $C$9, 100%, $E$9)</f>
        <v>6.7104999999999997</v>
      </c>
      <c r="M84" s="14">
        <f>CHOOSE(CONTROL!$C$42, 5.9128, 5.9128) * CHOOSE(CONTROL!$C$21, $C$9, 100%, $E$9)</f>
        <v>5.9127999999999998</v>
      </c>
      <c r="N84" s="14">
        <f>CHOOSE(CONTROL!$C$42, 5.9296, 5.9296) * CHOOSE(CONTROL!$C$21, $C$9, 100%, $E$9)</f>
        <v>5.9295999999999998</v>
      </c>
      <c r="O84" s="14">
        <f>CHOOSE(CONTROL!$C$42, 6.0057, 6.0057) * CHOOSE(CONTROL!$C$21, $C$9, 100%, $E$9)</f>
        <v>6.0057</v>
      </c>
      <c r="P84" s="14">
        <f>CHOOSE(CONTROL!$C$42, 5.9472, 5.9472) * CHOOSE(CONTROL!$C$21, $C$9, 100%, $E$9)</f>
        <v>5.9471999999999996</v>
      </c>
      <c r="Q84" s="14">
        <f>CHOOSE(CONTROL!$C$42, 6.6004, 6.6004) * CHOOSE(CONTROL!$C$21, $C$9, 100%, $E$9)</f>
        <v>6.6003999999999996</v>
      </c>
      <c r="R84" s="14">
        <f>CHOOSE(CONTROL!$C$42, 7.2039, 7.2039) * CHOOSE(CONTROL!$C$21, $C$9, 100%, $E$9)</f>
        <v>7.2039</v>
      </c>
      <c r="S84" s="14">
        <f>CHOOSE(CONTROL!$C$42, 5.7869, 5.7869) * CHOOSE(CONTROL!$C$21, $C$9, 100%, $E$9)</f>
        <v>5.7869000000000002</v>
      </c>
      <c r="T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7">
        <f>(1000*CHOOSE(CONTROL!$C$42, 695, 695)*CHOOSE(CONTROL!$C$42, 0.5599, 0.5599)*CHOOSE(CONTROL!$C$42, 31, 31))/1000000</f>
        <v>12.063045499999998</v>
      </c>
      <c r="V84" s="57">
        <f>(1000*CHOOSE(CONTROL!$C$42, 500, 500)*CHOOSE(CONTROL!$C$42, 0.275, 0.275)*CHOOSE(CONTROL!$C$42, 31, 31))/1000000</f>
        <v>4.2625000000000002</v>
      </c>
      <c r="W84" s="57">
        <f>(1000*CHOOSE(CONTROL!$C$42, 0.1146, 0.1146)*CHOOSE(CONTROL!$C$42, 121.5, 121.5)*CHOOSE(CONTROL!$C$42, 31, 31))/1000000</f>
        <v>0.43164089999999994</v>
      </c>
      <c r="X84" s="57">
        <f>(31*0.1790888*100000/1000000)+(31*0.2374*100000/1000000)</f>
        <v>1.2911152800000001</v>
      </c>
      <c r="Y84" s="57"/>
      <c r="Z84" s="14"/>
      <c r="AA84" s="56"/>
      <c r="AB84" s="50">
        <f>(B84*122.58+C84*297.941+D84*89.177+E84*40.302+F84*40+G84*160+H84*0+I84*100+J84*300)/(122.58+297.941+89.177+40.302+0+40+160+100+300)</f>
        <v>6.0468625220869567</v>
      </c>
      <c r="AC84" s="45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5.9608223021582729</v>
      </c>
    </row>
    <row r="85" spans="1:29" ht="15.75" x14ac:dyDescent="0.25">
      <c r="A85" s="13">
        <v>43466</v>
      </c>
      <c r="B85" s="14">
        <f>CHOOSE(CONTROL!$C$42, 6.721, 6.721) * CHOOSE(CONTROL!$C$21, $C$9, 100%, $E$9)</f>
        <v>6.7210000000000001</v>
      </c>
      <c r="C85" s="14">
        <f>CHOOSE(CONTROL!$C$42, 6.7261, 6.7261) * CHOOSE(CONTROL!$C$21, $C$9, 100%, $E$9)</f>
        <v>6.7260999999999997</v>
      </c>
      <c r="D85" s="14">
        <f>CHOOSE(CONTROL!$C$42, 6.7847, 6.7847) * CHOOSE(CONTROL!$C$21, $C$9, 100%, $E$9)</f>
        <v>6.7847</v>
      </c>
      <c r="E85" s="14">
        <f>CHOOSE(CONTROL!$C$42, 6.8188, 6.8188) * CHOOSE(CONTROL!$C$21, $C$9, 100%, $E$9)</f>
        <v>6.8188000000000004</v>
      </c>
      <c r="F85" s="14">
        <f>CHOOSE(CONTROL!$C$42, 6.7201, 6.7201)*CHOOSE(CONTROL!$C$21, $C$9, 100%, $E$9)</f>
        <v>6.7201000000000004</v>
      </c>
      <c r="G85" s="14">
        <f>CHOOSE(CONTROL!$C$42, 6.7365, 6.7365)*CHOOSE(CONTROL!$C$21, $C$9, 100%, $E$9)</f>
        <v>6.7365000000000004</v>
      </c>
      <c r="H85" s="14">
        <f>CHOOSE(CONTROL!$C$42, 6.808, 6.808) * CHOOSE(CONTROL!$C$21, $C$9, 100%, $E$9)</f>
        <v>6.8079999999999998</v>
      </c>
      <c r="I85" s="14">
        <f>CHOOSE(CONTROL!$C$42, 6.7523, 6.7523)* CHOOSE(CONTROL!$C$21, $C$9, 100%, $E$9)</f>
        <v>6.7523</v>
      </c>
      <c r="J85" s="14">
        <f>CHOOSE(CONTROL!$C$42, 6.7131, 6.7131)* CHOOSE(CONTROL!$C$21, $C$9, 100%, $E$9)</f>
        <v>6.7130999999999998</v>
      </c>
      <c r="K85" s="53">
        <f>CHOOSE(CONTROL!$C$42, 6.7484, 6.7484) * CHOOSE(CONTROL!$C$21, $C$9, 100%, $E$9)</f>
        <v>6.7484000000000002</v>
      </c>
      <c r="L85" s="14">
        <f>CHOOSE(CONTROL!$C$42, 7.395, 7.395) * CHOOSE(CONTROL!$C$21, $C$9, 100%, $E$9)</f>
        <v>7.3949999999999996</v>
      </c>
      <c r="M85" s="14">
        <f>CHOOSE(CONTROL!$C$42, 6.5832, 6.5832) * CHOOSE(CONTROL!$C$21, $C$9, 100%, $E$9)</f>
        <v>6.5831999999999997</v>
      </c>
      <c r="N85" s="14">
        <f>CHOOSE(CONTROL!$C$42, 6.5993, 6.5993) * CHOOSE(CONTROL!$C$21, $C$9, 100%, $E$9)</f>
        <v>6.5993000000000004</v>
      </c>
      <c r="O85" s="14">
        <f>CHOOSE(CONTROL!$C$42, 6.6762, 6.6762) * CHOOSE(CONTROL!$C$21, $C$9, 100%, $E$9)</f>
        <v>6.6761999999999997</v>
      </c>
      <c r="P85" s="14">
        <f>CHOOSE(CONTROL!$C$42, 6.6213, 6.6213) * CHOOSE(CONTROL!$C$21, $C$9, 100%, $E$9)</f>
        <v>6.6212999999999997</v>
      </c>
      <c r="Q85" s="14">
        <f>CHOOSE(CONTROL!$C$42, 7.2709, 7.2709) * CHOOSE(CONTROL!$C$21, $C$9, 100%, $E$9)</f>
        <v>7.2709000000000001</v>
      </c>
      <c r="R85" s="14">
        <f>CHOOSE(CONTROL!$C$42, 7.876, 7.876) * CHOOSE(CONTROL!$C$21, $C$9, 100%, $E$9)</f>
        <v>7.8760000000000003</v>
      </c>
      <c r="S85" s="14">
        <f>CHOOSE(CONTROL!$C$42, 6.4497, 6.4497) * CHOOSE(CONTROL!$C$21, $C$9, 100%, $E$9)</f>
        <v>6.4497</v>
      </c>
      <c r="T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7">
        <f>(1000*CHOOSE(CONTROL!$C$42, 695, 695)*CHOOSE(CONTROL!$C$42, 0.5599, 0.5599)*CHOOSE(CONTROL!$C$42, 31, 31))/1000000</f>
        <v>12.063045499999998</v>
      </c>
      <c r="V85" s="57">
        <f>(1000*CHOOSE(CONTROL!$C$42, 500, 500)*CHOOSE(CONTROL!$C$42, 0.275, 0.275)*CHOOSE(CONTROL!$C$42, 31, 31))/1000000</f>
        <v>4.2625000000000002</v>
      </c>
      <c r="W85" s="57">
        <f>(1000*CHOOSE(CONTROL!$C$42, 0.1146, 0.1146)*CHOOSE(CONTROL!$C$42, 121.5, 121.5)*CHOOSE(CONTROL!$C$42, 31, 31))/1000000</f>
        <v>0.43164089999999994</v>
      </c>
      <c r="X85" s="57">
        <f>(31*0.1790888*100000/1000000)+(31*0.2374*100000/1000000)</f>
        <v>1.2911152800000001</v>
      </c>
      <c r="Y85" s="57"/>
      <c r="Z85" s="14"/>
      <c r="AA85" s="56"/>
      <c r="AB85" s="50">
        <f>(B85*122.58+C85*297.941+D85*89.177+E85*40.302+F85*40+G85*160+H85*0+I85*100+J85*300)/(122.58+297.941+89.177+40.302+0+40+160+100+300)</f>
        <v>6.7334744431304356</v>
      </c>
      <c r="AC85" s="45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6.631759712230215</v>
      </c>
    </row>
    <row r="86" spans="1:29" ht="15.75" x14ac:dyDescent="0.25">
      <c r="A86" s="13">
        <v>43497</v>
      </c>
      <c r="B86" s="14">
        <f>CHOOSE(CONTROL!$C$42, 6.8545, 6.8545) * CHOOSE(CONTROL!$C$21, $C$9, 100%, $E$9)</f>
        <v>6.8544999999999998</v>
      </c>
      <c r="C86" s="14">
        <f>CHOOSE(CONTROL!$C$42, 6.8596, 6.8596) * CHOOSE(CONTROL!$C$21, $C$9, 100%, $E$9)</f>
        <v>6.8596000000000004</v>
      </c>
      <c r="D86" s="14">
        <f>CHOOSE(CONTROL!$C$42, 6.9182, 6.9182) * CHOOSE(CONTROL!$C$21, $C$9, 100%, $E$9)</f>
        <v>6.9181999999999997</v>
      </c>
      <c r="E86" s="14">
        <f>CHOOSE(CONTROL!$C$42, 6.9523, 6.9523) * CHOOSE(CONTROL!$C$21, $C$9, 100%, $E$9)</f>
        <v>6.9523000000000001</v>
      </c>
      <c r="F86" s="14">
        <f>CHOOSE(CONTROL!$C$42, 6.8536, 6.8536)*CHOOSE(CONTROL!$C$21, $C$9, 100%, $E$9)</f>
        <v>6.8536000000000001</v>
      </c>
      <c r="G86" s="14">
        <f>CHOOSE(CONTROL!$C$42, 6.87, 6.87)*CHOOSE(CONTROL!$C$21, $C$9, 100%, $E$9)</f>
        <v>6.87</v>
      </c>
      <c r="H86" s="14">
        <f>CHOOSE(CONTROL!$C$42, 6.9415, 6.9415) * CHOOSE(CONTROL!$C$21, $C$9, 100%, $E$9)</f>
        <v>6.9414999999999996</v>
      </c>
      <c r="I86" s="14">
        <f>CHOOSE(CONTROL!$C$42, 6.8862, 6.8862)* CHOOSE(CONTROL!$C$21, $C$9, 100%, $E$9)</f>
        <v>6.8861999999999997</v>
      </c>
      <c r="J86" s="14">
        <f>CHOOSE(CONTROL!$C$42, 6.8466, 6.8466)* CHOOSE(CONTROL!$C$21, $C$9, 100%, $E$9)</f>
        <v>6.8465999999999996</v>
      </c>
      <c r="K86" s="53">
        <f>CHOOSE(CONTROL!$C$42, 6.8823, 6.8823) * CHOOSE(CONTROL!$C$21, $C$9, 100%, $E$9)</f>
        <v>6.8822999999999999</v>
      </c>
      <c r="L86" s="14">
        <f>CHOOSE(CONTROL!$C$42, 7.5285, 7.5285) * CHOOSE(CONTROL!$C$21, $C$9, 100%, $E$9)</f>
        <v>7.5285000000000002</v>
      </c>
      <c r="M86" s="14">
        <f>CHOOSE(CONTROL!$C$42, 6.714, 6.714) * CHOOSE(CONTROL!$C$21, $C$9, 100%, $E$9)</f>
        <v>6.7140000000000004</v>
      </c>
      <c r="N86" s="14">
        <f>CHOOSE(CONTROL!$C$42, 6.7301, 6.7301) * CHOOSE(CONTROL!$C$21, $C$9, 100%, $E$9)</f>
        <v>6.7301000000000002</v>
      </c>
      <c r="O86" s="14">
        <f>CHOOSE(CONTROL!$C$42, 6.807, 6.807) * CHOOSE(CONTROL!$C$21, $C$9, 100%, $E$9)</f>
        <v>6.8070000000000004</v>
      </c>
      <c r="P86" s="14">
        <f>CHOOSE(CONTROL!$C$42, 6.7525, 6.7525) * CHOOSE(CONTROL!$C$21, $C$9, 100%, $E$9)</f>
        <v>6.7525000000000004</v>
      </c>
      <c r="Q86" s="14">
        <f>CHOOSE(CONTROL!$C$42, 7.4017, 7.4017) * CHOOSE(CONTROL!$C$21, $C$9, 100%, $E$9)</f>
        <v>7.4016999999999999</v>
      </c>
      <c r="R86" s="14">
        <f>CHOOSE(CONTROL!$C$42, 8.0072, 8.0072) * CHOOSE(CONTROL!$C$21, $C$9, 100%, $E$9)</f>
        <v>8.0071999999999992</v>
      </c>
      <c r="S86" s="14">
        <f>CHOOSE(CONTROL!$C$42, 6.578, 6.578) * CHOOSE(CONTROL!$C$21, $C$9, 100%, $E$9)</f>
        <v>6.5780000000000003</v>
      </c>
      <c r="T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7">
        <f>(1000*CHOOSE(CONTROL!$C$42, 695, 695)*CHOOSE(CONTROL!$C$42, 0.5599, 0.5599)*CHOOSE(CONTROL!$C$42, 28, 28))/1000000</f>
        <v>10.895653999999999</v>
      </c>
      <c r="V86" s="57">
        <f>(1000*CHOOSE(CONTROL!$C$42, 500, 500)*CHOOSE(CONTROL!$C$42, 0.275, 0.275)*CHOOSE(CONTROL!$C$42, 28, 28))/1000000</f>
        <v>3.85</v>
      </c>
      <c r="W86" s="57">
        <f>(1000*CHOOSE(CONTROL!$C$42, 0.1146, 0.1146)*CHOOSE(CONTROL!$C$42, 121.5, 121.5)*CHOOSE(CONTROL!$C$42, 28, 28))/1000000</f>
        <v>0.38986920000000003</v>
      </c>
      <c r="X86" s="57">
        <f>(28*0.1790888*100000/1000000)+(28*0.2374*100000/1000000)</f>
        <v>1.16616864</v>
      </c>
      <c r="Y86" s="57"/>
      <c r="Z86" s="14"/>
      <c r="AA86" s="56"/>
      <c r="AB86" s="50">
        <f>(B86*122.58+C86*297.941+D86*89.177+E86*40.302+F86*40+G86*160+H86*0+I86*100+J86*300)/(122.58+297.941+89.177+40.302+0+40+160+100+300)</f>
        <v>6.86700922573913</v>
      </c>
      <c r="AC86" s="45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6.7626172661870507</v>
      </c>
    </row>
    <row r="87" spans="1:29" ht="15.75" x14ac:dyDescent="0.25">
      <c r="A87" s="13">
        <v>43525</v>
      </c>
      <c r="B87" s="14">
        <f>CHOOSE(CONTROL!$C$42, 6.6739, 6.6739) * CHOOSE(CONTROL!$C$21, $C$9, 100%, $E$9)</f>
        <v>6.6738999999999997</v>
      </c>
      <c r="C87" s="14">
        <f>CHOOSE(CONTROL!$C$42, 6.679, 6.679) * CHOOSE(CONTROL!$C$21, $C$9, 100%, $E$9)</f>
        <v>6.6790000000000003</v>
      </c>
      <c r="D87" s="14">
        <f>CHOOSE(CONTROL!$C$42, 6.7376, 6.7376) * CHOOSE(CONTROL!$C$21, $C$9, 100%, $E$9)</f>
        <v>6.7375999999999996</v>
      </c>
      <c r="E87" s="14">
        <f>CHOOSE(CONTROL!$C$42, 6.7717, 6.7717) * CHOOSE(CONTROL!$C$21, $C$9, 100%, $E$9)</f>
        <v>6.7717000000000001</v>
      </c>
      <c r="F87" s="14">
        <f>CHOOSE(CONTROL!$C$42, 6.6725, 6.6725)*CHOOSE(CONTROL!$C$21, $C$9, 100%, $E$9)</f>
        <v>6.6725000000000003</v>
      </c>
      <c r="G87" s="14">
        <f>CHOOSE(CONTROL!$C$42, 6.6887, 6.6887)*CHOOSE(CONTROL!$C$21, $C$9, 100%, $E$9)</f>
        <v>6.6886999999999999</v>
      </c>
      <c r="H87" s="14">
        <f>CHOOSE(CONTROL!$C$42, 6.7609, 6.7609) * CHOOSE(CONTROL!$C$21, $C$9, 100%, $E$9)</f>
        <v>6.7609000000000004</v>
      </c>
      <c r="I87" s="14">
        <f>CHOOSE(CONTROL!$C$42, 6.705, 6.705)* CHOOSE(CONTROL!$C$21, $C$9, 100%, $E$9)</f>
        <v>6.7050000000000001</v>
      </c>
      <c r="J87" s="14">
        <f>CHOOSE(CONTROL!$C$42, 6.6655, 6.6655)* CHOOSE(CONTROL!$C$21, $C$9, 100%, $E$9)</f>
        <v>6.6654999999999998</v>
      </c>
      <c r="K87" s="53">
        <f>CHOOSE(CONTROL!$C$42, 6.7011, 6.7011) * CHOOSE(CONTROL!$C$21, $C$9, 100%, $E$9)</f>
        <v>6.7011000000000003</v>
      </c>
      <c r="L87" s="14">
        <f>CHOOSE(CONTROL!$C$42, 7.3479, 7.3479) * CHOOSE(CONTROL!$C$21, $C$9, 100%, $E$9)</f>
        <v>7.3479000000000001</v>
      </c>
      <c r="M87" s="14">
        <f>CHOOSE(CONTROL!$C$42, 6.5366, 6.5366) * CHOOSE(CONTROL!$C$21, $C$9, 100%, $E$9)</f>
        <v>6.5366</v>
      </c>
      <c r="N87" s="14">
        <f>CHOOSE(CONTROL!$C$42, 6.5525, 6.5525) * CHOOSE(CONTROL!$C$21, $C$9, 100%, $E$9)</f>
        <v>6.5525000000000002</v>
      </c>
      <c r="O87" s="14">
        <f>CHOOSE(CONTROL!$C$42, 6.63, 6.63) * CHOOSE(CONTROL!$C$21, $C$9, 100%, $E$9)</f>
        <v>6.63</v>
      </c>
      <c r="P87" s="14">
        <f>CHOOSE(CONTROL!$C$42, 6.575, 6.575) * CHOOSE(CONTROL!$C$21, $C$9, 100%, $E$9)</f>
        <v>6.5750000000000002</v>
      </c>
      <c r="Q87" s="14">
        <f>CHOOSE(CONTROL!$C$42, 7.2247, 7.2247) * CHOOSE(CONTROL!$C$21, $C$9, 100%, $E$9)</f>
        <v>7.2247000000000003</v>
      </c>
      <c r="R87" s="14">
        <f>CHOOSE(CONTROL!$C$42, 7.8298, 7.8298) * CHOOSE(CONTROL!$C$21, $C$9, 100%, $E$9)</f>
        <v>7.8297999999999996</v>
      </c>
      <c r="S87" s="14">
        <f>CHOOSE(CONTROL!$C$42, 6.4044, 6.4044) * CHOOSE(CONTROL!$C$21, $C$9, 100%, $E$9)</f>
        <v>6.4043999999999999</v>
      </c>
      <c r="T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7">
        <f>(1000*CHOOSE(CONTROL!$C$42, 695, 695)*CHOOSE(CONTROL!$C$42, 0.5599, 0.5599)*CHOOSE(CONTROL!$C$42, 31, 31))/1000000</f>
        <v>12.063045499999998</v>
      </c>
      <c r="V87" s="57">
        <f>(1000*CHOOSE(CONTROL!$C$42, 500, 500)*CHOOSE(CONTROL!$C$42, 0.275, 0.275)*CHOOSE(CONTROL!$C$42, 31, 31))/1000000</f>
        <v>4.2625000000000002</v>
      </c>
      <c r="W87" s="57">
        <f>(1000*CHOOSE(CONTROL!$C$42, 0.1146, 0.1146)*CHOOSE(CONTROL!$C$42, 121.5, 121.5)*CHOOSE(CONTROL!$C$42, 31, 31))/1000000</f>
        <v>0.43164089999999994</v>
      </c>
      <c r="X87" s="57">
        <f>(31*0.1790888*100000/1000000)+(31*0.2374*100000/1000000)</f>
        <v>1.2911152800000001</v>
      </c>
      <c r="Y87" s="57"/>
      <c r="Z87" s="14"/>
      <c r="AA87" s="56"/>
      <c r="AB87" s="50">
        <f>(B87*122.58+C87*297.941+D87*89.177+E87*40.302+F87*40+G87*160+H87*0+I87*100+J87*300)/(122.58+297.941+89.177+40.302+0+40+160+100+300)</f>
        <v>6.686111834434783</v>
      </c>
      <c r="AC87" s="45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6.5853726618705037</v>
      </c>
    </row>
    <row r="88" spans="1:29" ht="15.75" x14ac:dyDescent="0.25">
      <c r="A88" s="13">
        <v>43556</v>
      </c>
      <c r="B88" s="14">
        <f>CHOOSE(CONTROL!$C$42, 6.6688, 6.6688) * CHOOSE(CONTROL!$C$21, $C$9, 100%, $E$9)</f>
        <v>6.6688000000000001</v>
      </c>
      <c r="C88" s="14">
        <f>CHOOSE(CONTROL!$C$42, 6.6733, 6.6733) * CHOOSE(CONTROL!$C$21, $C$9, 100%, $E$9)</f>
        <v>6.6733000000000002</v>
      </c>
      <c r="D88" s="14">
        <f>CHOOSE(CONTROL!$C$42, 6.8814, 6.8814) * CHOOSE(CONTROL!$C$21, $C$9, 100%, $E$9)</f>
        <v>6.8814000000000002</v>
      </c>
      <c r="E88" s="14">
        <f>CHOOSE(CONTROL!$C$42, 6.9135, 6.9135) * CHOOSE(CONTROL!$C$21, $C$9, 100%, $E$9)</f>
        <v>6.9135</v>
      </c>
      <c r="F88" s="14">
        <f>CHOOSE(CONTROL!$C$42, 6.6562, 6.6562)*CHOOSE(CONTROL!$C$21, $C$9, 100%, $E$9)</f>
        <v>6.6562000000000001</v>
      </c>
      <c r="G88" s="14">
        <f>CHOOSE(CONTROL!$C$42, 6.6721, 6.6721)*CHOOSE(CONTROL!$C$21, $C$9, 100%, $E$9)</f>
        <v>6.6721000000000004</v>
      </c>
      <c r="H88" s="14">
        <f>CHOOSE(CONTROL!$C$42, 6.9033, 6.9033) * CHOOSE(CONTROL!$C$21, $C$9, 100%, $E$9)</f>
        <v>6.9032999999999998</v>
      </c>
      <c r="I88" s="14">
        <f>CHOOSE(CONTROL!$C$42, 6.6991, 6.6991)* CHOOSE(CONTROL!$C$21, $C$9, 100%, $E$9)</f>
        <v>6.6990999999999996</v>
      </c>
      <c r="J88" s="14">
        <f>CHOOSE(CONTROL!$C$42, 6.6492, 6.6492)* CHOOSE(CONTROL!$C$21, $C$9, 100%, $E$9)</f>
        <v>6.6492000000000004</v>
      </c>
      <c r="K88" s="53">
        <f>CHOOSE(CONTROL!$C$42, 6.6953, 6.6953) * CHOOSE(CONTROL!$C$21, $C$9, 100%, $E$9)</f>
        <v>6.6952999999999996</v>
      </c>
      <c r="L88" s="14">
        <f>CHOOSE(CONTROL!$C$42, 7.4903, 7.4903) * CHOOSE(CONTROL!$C$21, $C$9, 100%, $E$9)</f>
        <v>7.4903000000000004</v>
      </c>
      <c r="M88" s="14">
        <f>CHOOSE(CONTROL!$C$42, 6.5206, 6.5206) * CHOOSE(CONTROL!$C$21, $C$9, 100%, $E$9)</f>
        <v>6.5206</v>
      </c>
      <c r="N88" s="14">
        <f>CHOOSE(CONTROL!$C$42, 6.5362, 6.5362) * CHOOSE(CONTROL!$C$21, $C$9, 100%, $E$9)</f>
        <v>6.5362</v>
      </c>
      <c r="O88" s="14">
        <f>CHOOSE(CONTROL!$C$42, 6.7696, 6.7696) * CHOOSE(CONTROL!$C$21, $C$9, 100%, $E$9)</f>
        <v>6.7695999999999996</v>
      </c>
      <c r="P88" s="14">
        <f>CHOOSE(CONTROL!$C$42, 6.5692, 6.5692) * CHOOSE(CONTROL!$C$21, $C$9, 100%, $E$9)</f>
        <v>6.5692000000000004</v>
      </c>
      <c r="Q88" s="14">
        <f>CHOOSE(CONTROL!$C$42, 7.3643, 7.3643) * CHOOSE(CONTROL!$C$21, $C$9, 100%, $E$9)</f>
        <v>7.3643000000000001</v>
      </c>
      <c r="R88" s="14">
        <f>CHOOSE(CONTROL!$C$42, 7.9697, 7.9697) * CHOOSE(CONTROL!$C$21, $C$9, 100%, $E$9)</f>
        <v>7.9696999999999996</v>
      </c>
      <c r="S88" s="14">
        <f>CHOOSE(CONTROL!$C$42, 6.3988, 6.3988) * CHOOSE(CONTROL!$C$21, $C$9, 100%, $E$9)</f>
        <v>6.3987999999999996</v>
      </c>
      <c r="T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7">
        <f>(1000*CHOOSE(CONTROL!$C$42, 695, 695)*CHOOSE(CONTROL!$C$42, 0.5599, 0.5599)*CHOOSE(CONTROL!$C$42, 30, 30))/1000000</f>
        <v>11.673914999999997</v>
      </c>
      <c r="V88" s="57">
        <f>(1000*CHOOSE(CONTROL!$C$42, 500, 500)*CHOOSE(CONTROL!$C$42, 0.275, 0.275)*CHOOSE(CONTROL!$C$42, 30, 30))/1000000</f>
        <v>4.125</v>
      </c>
      <c r="W88" s="57">
        <f>(1000*CHOOSE(CONTROL!$C$42, 0.1146, 0.1146)*CHOOSE(CONTROL!$C$42, 121.5, 121.5)*CHOOSE(CONTROL!$C$42, 30, 30))/1000000</f>
        <v>0.417717</v>
      </c>
      <c r="X88" s="57">
        <f>(30*0.1790888*245000/1000000)+(30*0.2374*100000/1000000)</f>
        <v>2.0285026799999999</v>
      </c>
      <c r="Y88" s="57"/>
      <c r="Z88" s="14"/>
      <c r="AA88" s="56"/>
      <c r="AB88" s="50">
        <f>(B88*141.293+C88*267.993+D88*115.016+E88*89.698+F88*40+G88*185+H88*0+I88*100+J88*300)/(141.293+267.993+115.016+89.698+0+40+185+100+300)</f>
        <v>6.7050098230024204</v>
      </c>
      <c r="AC88" s="45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6.6010474820143887</v>
      </c>
    </row>
    <row r="89" spans="1:29" ht="15.75" x14ac:dyDescent="0.25">
      <c r="A89" s="13">
        <v>43586</v>
      </c>
      <c r="B89" s="14">
        <f>CHOOSE(CONTROL!$C$42, 6.7428, 6.7428) * CHOOSE(CONTROL!$C$21, $C$9, 100%, $E$9)</f>
        <v>6.7427999999999999</v>
      </c>
      <c r="C89" s="14">
        <f>CHOOSE(CONTROL!$C$42, 6.7508, 6.7508) * CHOOSE(CONTROL!$C$21, $C$9, 100%, $E$9)</f>
        <v>6.7507999999999999</v>
      </c>
      <c r="D89" s="14">
        <f>CHOOSE(CONTROL!$C$42, 6.9558, 6.9558) * CHOOSE(CONTROL!$C$21, $C$9, 100%, $E$9)</f>
        <v>6.9558</v>
      </c>
      <c r="E89" s="14">
        <f>CHOOSE(CONTROL!$C$42, 6.9873, 6.9873) * CHOOSE(CONTROL!$C$21, $C$9, 100%, $E$9)</f>
        <v>6.9873000000000003</v>
      </c>
      <c r="F89" s="14">
        <f>CHOOSE(CONTROL!$C$42, 6.729, 6.729)*CHOOSE(CONTROL!$C$21, $C$9, 100%, $E$9)</f>
        <v>6.7290000000000001</v>
      </c>
      <c r="G89" s="14">
        <f>CHOOSE(CONTROL!$C$42, 6.7454, 6.7454)*CHOOSE(CONTROL!$C$21, $C$9, 100%, $E$9)</f>
        <v>6.7454000000000001</v>
      </c>
      <c r="H89" s="14">
        <f>CHOOSE(CONTROL!$C$42, 6.9759, 6.9759) * CHOOSE(CONTROL!$C$21, $C$9, 100%, $E$9)</f>
        <v>6.9759000000000002</v>
      </c>
      <c r="I89" s="14">
        <f>CHOOSE(CONTROL!$C$42, 6.772, 6.772)* CHOOSE(CONTROL!$C$21, $C$9, 100%, $E$9)</f>
        <v>6.7720000000000002</v>
      </c>
      <c r="J89" s="14">
        <f>CHOOSE(CONTROL!$C$42, 6.722, 6.722)* CHOOSE(CONTROL!$C$21, $C$9, 100%, $E$9)</f>
        <v>6.7220000000000004</v>
      </c>
      <c r="K89" s="53">
        <f>CHOOSE(CONTROL!$C$42, 6.7681, 6.7681) * CHOOSE(CONTROL!$C$21, $C$9, 100%, $E$9)</f>
        <v>6.7680999999999996</v>
      </c>
      <c r="L89" s="14">
        <f>CHOOSE(CONTROL!$C$42, 7.5629, 7.5629) * CHOOSE(CONTROL!$C$21, $C$9, 100%, $E$9)</f>
        <v>7.5629</v>
      </c>
      <c r="M89" s="14">
        <f>CHOOSE(CONTROL!$C$42, 6.592, 6.592) * CHOOSE(CONTROL!$C$21, $C$9, 100%, $E$9)</f>
        <v>6.5919999999999996</v>
      </c>
      <c r="N89" s="14">
        <f>CHOOSE(CONTROL!$C$42, 6.608, 6.608) * CHOOSE(CONTROL!$C$21, $C$9, 100%, $E$9)</f>
        <v>6.6079999999999997</v>
      </c>
      <c r="O89" s="14">
        <f>CHOOSE(CONTROL!$C$42, 6.8407, 6.8407) * CHOOSE(CONTROL!$C$21, $C$9, 100%, $E$9)</f>
        <v>6.8407</v>
      </c>
      <c r="P89" s="14">
        <f>CHOOSE(CONTROL!$C$42, 6.6406, 6.6406) * CHOOSE(CONTROL!$C$21, $C$9, 100%, $E$9)</f>
        <v>6.6406000000000001</v>
      </c>
      <c r="Q89" s="14">
        <f>CHOOSE(CONTROL!$C$42, 7.4354, 7.4354) * CHOOSE(CONTROL!$C$21, $C$9, 100%, $E$9)</f>
        <v>7.4353999999999996</v>
      </c>
      <c r="R89" s="14">
        <f>CHOOSE(CONTROL!$C$42, 8.041, 8.041) * CHOOSE(CONTROL!$C$21, $C$9, 100%, $E$9)</f>
        <v>8.0410000000000004</v>
      </c>
      <c r="S89" s="14">
        <f>CHOOSE(CONTROL!$C$42, 6.4685, 6.4685) * CHOOSE(CONTROL!$C$21, $C$9, 100%, $E$9)</f>
        <v>6.4684999999999997</v>
      </c>
      <c r="T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7">
        <f>(1000*CHOOSE(CONTROL!$C$42, 695, 695)*CHOOSE(CONTROL!$C$42, 0.5599, 0.5599)*CHOOSE(CONTROL!$C$42, 31, 31))/1000000</f>
        <v>12.063045499999998</v>
      </c>
      <c r="V89" s="57">
        <f>(1000*CHOOSE(CONTROL!$C$42, 500, 500)*CHOOSE(CONTROL!$C$42, 0.275, 0.275)*CHOOSE(CONTROL!$C$42, 31, 31))/1000000</f>
        <v>4.2625000000000002</v>
      </c>
      <c r="W89" s="57">
        <f>(1000*CHOOSE(CONTROL!$C$42, 0.1146, 0.1146)*CHOOSE(CONTROL!$C$42, 121.5, 121.5)*CHOOSE(CONTROL!$C$42, 31, 31))/1000000</f>
        <v>0.43164089999999994</v>
      </c>
      <c r="X89" s="57">
        <f>(31*0.1790888*245000/1000000)+(31*0.2374*100000/1000000)</f>
        <v>2.0961194359999999</v>
      </c>
      <c r="Y89" s="57"/>
      <c r="Z89" s="14"/>
      <c r="AA89" s="56"/>
      <c r="AB89" s="50">
        <f>(B89*194.205+C89*267.466+D89*133.845+E89*53.484+F89*40+G89*185+H89*0+I89*100+J89*300)/(194.205+267.466+133.845+53.484+0+40+185+100+300)</f>
        <v>6.7744597731554155</v>
      </c>
      <c r="AC89" s="45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6.6724553956834534</v>
      </c>
    </row>
    <row r="90" spans="1:29" ht="15.75" x14ac:dyDescent="0.25">
      <c r="A90" s="13">
        <v>43617</v>
      </c>
      <c r="B90" s="14">
        <f>CHOOSE(CONTROL!$C$42, 6.948, 6.948) * CHOOSE(CONTROL!$C$21, $C$9, 100%, $E$9)</f>
        <v>6.9480000000000004</v>
      </c>
      <c r="C90" s="14">
        <f>CHOOSE(CONTROL!$C$42, 6.956, 6.956) * CHOOSE(CONTROL!$C$21, $C$9, 100%, $E$9)</f>
        <v>6.9560000000000004</v>
      </c>
      <c r="D90" s="14">
        <f>CHOOSE(CONTROL!$C$42, 7.161, 7.161) * CHOOSE(CONTROL!$C$21, $C$9, 100%, $E$9)</f>
        <v>7.1609999999999996</v>
      </c>
      <c r="E90" s="14">
        <f>CHOOSE(CONTROL!$C$42, 7.1925, 7.1925) * CHOOSE(CONTROL!$C$21, $C$9, 100%, $E$9)</f>
        <v>7.1924999999999999</v>
      </c>
      <c r="F90" s="14">
        <f>CHOOSE(CONTROL!$C$42, 6.9345, 6.9345)*CHOOSE(CONTROL!$C$21, $C$9, 100%, $E$9)</f>
        <v>6.9344999999999999</v>
      </c>
      <c r="G90" s="14">
        <f>CHOOSE(CONTROL!$C$42, 6.9511, 6.9511)*CHOOSE(CONTROL!$C$21, $C$9, 100%, $E$9)</f>
        <v>6.9511000000000003</v>
      </c>
      <c r="H90" s="14">
        <f>CHOOSE(CONTROL!$C$42, 7.1811, 7.1811) * CHOOSE(CONTROL!$C$21, $C$9, 100%, $E$9)</f>
        <v>7.1810999999999998</v>
      </c>
      <c r="I90" s="14">
        <f>CHOOSE(CONTROL!$C$42, 6.9778, 6.9778)* CHOOSE(CONTROL!$C$21, $C$9, 100%, $E$9)</f>
        <v>6.9778000000000002</v>
      </c>
      <c r="J90" s="14">
        <f>CHOOSE(CONTROL!$C$42, 6.9275, 6.9275)* CHOOSE(CONTROL!$C$21, $C$9, 100%, $E$9)</f>
        <v>6.9275000000000002</v>
      </c>
      <c r="K90" s="53">
        <f>CHOOSE(CONTROL!$C$42, 6.9739, 6.9739) * CHOOSE(CONTROL!$C$21, $C$9, 100%, $E$9)</f>
        <v>6.9739000000000004</v>
      </c>
      <c r="L90" s="14">
        <f>CHOOSE(CONTROL!$C$42, 7.7681, 7.7681) * CHOOSE(CONTROL!$C$21, $C$9, 100%, $E$9)</f>
        <v>7.7680999999999996</v>
      </c>
      <c r="M90" s="14">
        <f>CHOOSE(CONTROL!$C$42, 6.7933, 6.7933) * CHOOSE(CONTROL!$C$21, $C$9, 100%, $E$9)</f>
        <v>6.7933000000000003</v>
      </c>
      <c r="N90" s="14">
        <f>CHOOSE(CONTROL!$C$42, 6.8095, 6.8095) * CHOOSE(CONTROL!$C$21, $C$9, 100%, $E$9)</f>
        <v>6.8094999999999999</v>
      </c>
      <c r="O90" s="14">
        <f>CHOOSE(CONTROL!$C$42, 7.0416, 7.0416) * CHOOSE(CONTROL!$C$21, $C$9, 100%, $E$9)</f>
        <v>7.0415999999999999</v>
      </c>
      <c r="P90" s="14">
        <f>CHOOSE(CONTROL!$C$42, 6.8422, 6.8422) * CHOOSE(CONTROL!$C$21, $C$9, 100%, $E$9)</f>
        <v>6.8422000000000001</v>
      </c>
      <c r="Q90" s="14">
        <f>CHOOSE(CONTROL!$C$42, 7.6363, 7.6363) * CHOOSE(CONTROL!$C$21, $C$9, 100%, $E$9)</f>
        <v>7.6363000000000003</v>
      </c>
      <c r="R90" s="14">
        <f>CHOOSE(CONTROL!$C$42, 8.2424, 8.2424) * CHOOSE(CONTROL!$C$21, $C$9, 100%, $E$9)</f>
        <v>8.2423999999999999</v>
      </c>
      <c r="S90" s="14">
        <f>CHOOSE(CONTROL!$C$42, 6.6657, 6.6657) * CHOOSE(CONTROL!$C$21, $C$9, 100%, $E$9)</f>
        <v>6.6657000000000002</v>
      </c>
      <c r="T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7">
        <f>(1000*CHOOSE(CONTROL!$C$42, 695, 695)*CHOOSE(CONTROL!$C$42, 0.5599, 0.5599)*CHOOSE(CONTROL!$C$42, 30, 30))/1000000</f>
        <v>11.673914999999997</v>
      </c>
      <c r="V90" s="57">
        <f>(1000*CHOOSE(CONTROL!$C$42, 500, 500)*CHOOSE(CONTROL!$C$42, 0.275, 0.275)*CHOOSE(CONTROL!$C$42, 30, 30))/1000000</f>
        <v>4.125</v>
      </c>
      <c r="W90" s="57">
        <f>(1000*CHOOSE(CONTROL!$C$42, 0.1146, 0.1146)*CHOOSE(CONTROL!$C$42, 121.5, 121.5)*CHOOSE(CONTROL!$C$42, 30, 30))/1000000</f>
        <v>0.417717</v>
      </c>
      <c r="X90" s="57">
        <f>(30*0.1790888*245000/1000000)+(30*0.2374*100000/1000000)</f>
        <v>2.0285026799999999</v>
      </c>
      <c r="Y90" s="57"/>
      <c r="Z90" s="14"/>
      <c r="AA90" s="56"/>
      <c r="AB90" s="50">
        <f>(B90*194.205+C90*267.466+D90*133.845+E90*53.484+F90*40+G90*185+H90*0+I90*100+J90*300)/(194.205+267.466+133.845+53.484+0+40+185+100+300)</f>
        <v>6.9798595376766084</v>
      </c>
      <c r="AC90" s="45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6.8737323741007206</v>
      </c>
    </row>
    <row r="91" spans="1:29" ht="15.75" x14ac:dyDescent="0.25">
      <c r="A91" s="13">
        <v>43647</v>
      </c>
      <c r="B91" s="14">
        <f>CHOOSE(CONTROL!$C$42, 6.8289, 6.8289) * CHOOSE(CONTROL!$C$21, $C$9, 100%, $E$9)</f>
        <v>6.8289</v>
      </c>
      <c r="C91" s="14">
        <f>CHOOSE(CONTROL!$C$42, 6.837, 6.837) * CHOOSE(CONTROL!$C$21, $C$9, 100%, $E$9)</f>
        <v>6.8369999999999997</v>
      </c>
      <c r="D91" s="14">
        <f>CHOOSE(CONTROL!$C$42, 7.0419, 7.0419) * CHOOSE(CONTROL!$C$21, $C$9, 100%, $E$9)</f>
        <v>7.0419</v>
      </c>
      <c r="E91" s="14">
        <f>CHOOSE(CONTROL!$C$42, 7.0734, 7.0734) * CHOOSE(CONTROL!$C$21, $C$9, 100%, $E$9)</f>
        <v>7.0734000000000004</v>
      </c>
      <c r="F91" s="14">
        <f>CHOOSE(CONTROL!$C$42, 6.8159, 6.8159)*CHOOSE(CONTROL!$C$21, $C$9, 100%, $E$9)</f>
        <v>6.8159000000000001</v>
      </c>
      <c r="G91" s="14">
        <f>CHOOSE(CONTROL!$C$42, 6.8325, 6.8325)*CHOOSE(CONTROL!$C$21, $C$9, 100%, $E$9)</f>
        <v>6.8324999999999996</v>
      </c>
      <c r="H91" s="14">
        <f>CHOOSE(CONTROL!$C$42, 7.062, 7.062) * CHOOSE(CONTROL!$C$21, $C$9, 100%, $E$9)</f>
        <v>7.0620000000000003</v>
      </c>
      <c r="I91" s="14">
        <f>CHOOSE(CONTROL!$C$42, 6.8584, 6.8584)* CHOOSE(CONTROL!$C$21, $C$9, 100%, $E$9)</f>
        <v>6.8583999999999996</v>
      </c>
      <c r="J91" s="14">
        <f>CHOOSE(CONTROL!$C$42, 6.8089, 6.8089)* CHOOSE(CONTROL!$C$21, $C$9, 100%, $E$9)</f>
        <v>6.8089000000000004</v>
      </c>
      <c r="K91" s="53">
        <f>CHOOSE(CONTROL!$C$42, 6.8545, 6.8545) * CHOOSE(CONTROL!$C$21, $C$9, 100%, $E$9)</f>
        <v>6.8544999999999998</v>
      </c>
      <c r="L91" s="14">
        <f>CHOOSE(CONTROL!$C$42, 7.649, 7.649) * CHOOSE(CONTROL!$C$21, $C$9, 100%, $E$9)</f>
        <v>7.649</v>
      </c>
      <c r="M91" s="14">
        <f>CHOOSE(CONTROL!$C$42, 6.6771, 6.6771) * CHOOSE(CONTROL!$C$21, $C$9, 100%, $E$9)</f>
        <v>6.6771000000000003</v>
      </c>
      <c r="N91" s="14">
        <f>CHOOSE(CONTROL!$C$42, 6.6934, 6.6934) * CHOOSE(CONTROL!$C$21, $C$9, 100%, $E$9)</f>
        <v>6.6933999999999996</v>
      </c>
      <c r="O91" s="14">
        <f>CHOOSE(CONTROL!$C$42, 6.925, 6.925) * CHOOSE(CONTROL!$C$21, $C$9, 100%, $E$9)</f>
        <v>6.9249999999999998</v>
      </c>
      <c r="P91" s="14">
        <f>CHOOSE(CONTROL!$C$42, 6.7252, 6.7252) * CHOOSE(CONTROL!$C$21, $C$9, 100%, $E$9)</f>
        <v>6.7252000000000001</v>
      </c>
      <c r="Q91" s="14">
        <f>CHOOSE(CONTROL!$C$42, 7.5197, 7.5197) * CHOOSE(CONTROL!$C$21, $C$9, 100%, $E$9)</f>
        <v>7.5197000000000003</v>
      </c>
      <c r="R91" s="14">
        <f>CHOOSE(CONTROL!$C$42, 8.1255, 8.1255) * CHOOSE(CONTROL!$C$21, $C$9, 100%, $E$9)</f>
        <v>8.1255000000000006</v>
      </c>
      <c r="S91" s="14">
        <f>CHOOSE(CONTROL!$C$42, 6.5513, 6.5513) * CHOOSE(CONTROL!$C$21, $C$9, 100%, $E$9)</f>
        <v>6.5513000000000003</v>
      </c>
      <c r="T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7">
        <f>(1000*CHOOSE(CONTROL!$C$42, 695, 695)*CHOOSE(CONTROL!$C$42, 0.5599, 0.5599)*CHOOSE(CONTROL!$C$42, 31, 31))/1000000</f>
        <v>12.063045499999998</v>
      </c>
      <c r="V91" s="57">
        <f>(1000*CHOOSE(CONTROL!$C$42, 500, 500)*CHOOSE(CONTROL!$C$42, 0.275, 0.275)*CHOOSE(CONTROL!$C$42, 31, 31))/1000000</f>
        <v>4.2625000000000002</v>
      </c>
      <c r="W91" s="57">
        <f>(1000*CHOOSE(CONTROL!$C$42, 0.1146, 0.1146)*CHOOSE(CONTROL!$C$42, 121.5, 121.5)*CHOOSE(CONTROL!$C$42, 31, 31))/1000000</f>
        <v>0.43164089999999994</v>
      </c>
      <c r="X91" s="57">
        <f>(31*0.1790888*245000/1000000)+(31*0.2374*100000/1000000)</f>
        <v>2.0961194359999999</v>
      </c>
      <c r="Y91" s="57"/>
      <c r="Z91" s="14"/>
      <c r="AA91" s="56"/>
      <c r="AB91" s="50">
        <f>(B91*194.205+C91*267.466+D91*133.845+E91*53.484+F91*40+G91*185+H91*0+I91*100+J91*300)/(194.205+267.466+133.845+53.484+0+40+185+100+300)</f>
        <v>6.8609630279434857</v>
      </c>
      <c r="AC91" s="45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6.7573280575539583</v>
      </c>
    </row>
    <row r="92" spans="1:29" ht="15.75" x14ac:dyDescent="0.25">
      <c r="A92" s="13">
        <v>43678</v>
      </c>
      <c r="B92" s="14">
        <f>CHOOSE(CONTROL!$C$42, 6.5056, 6.5056) * CHOOSE(CONTROL!$C$21, $C$9, 100%, $E$9)</f>
        <v>6.5056000000000003</v>
      </c>
      <c r="C92" s="14">
        <f>CHOOSE(CONTROL!$C$42, 6.5136, 6.5136) * CHOOSE(CONTROL!$C$21, $C$9, 100%, $E$9)</f>
        <v>6.5136000000000003</v>
      </c>
      <c r="D92" s="14">
        <f>CHOOSE(CONTROL!$C$42, 6.7186, 6.7186) * CHOOSE(CONTROL!$C$21, $C$9, 100%, $E$9)</f>
        <v>6.7186000000000003</v>
      </c>
      <c r="E92" s="14">
        <f>CHOOSE(CONTROL!$C$42, 6.75, 6.75) * CHOOSE(CONTROL!$C$21, $C$9, 100%, $E$9)</f>
        <v>6.75</v>
      </c>
      <c r="F92" s="14">
        <f>CHOOSE(CONTROL!$C$42, 6.4928, 6.4928)*CHOOSE(CONTROL!$C$21, $C$9, 100%, $E$9)</f>
        <v>6.4927999999999999</v>
      </c>
      <c r="G92" s="14">
        <f>CHOOSE(CONTROL!$C$42, 6.5094, 6.5094)*CHOOSE(CONTROL!$C$21, $C$9, 100%, $E$9)</f>
        <v>6.5094000000000003</v>
      </c>
      <c r="H92" s="14">
        <f>CHOOSE(CONTROL!$C$42, 6.7387, 6.7387) * CHOOSE(CONTROL!$C$21, $C$9, 100%, $E$9)</f>
        <v>6.7386999999999997</v>
      </c>
      <c r="I92" s="14">
        <f>CHOOSE(CONTROL!$C$42, 6.534, 6.534)* CHOOSE(CONTROL!$C$21, $C$9, 100%, $E$9)</f>
        <v>6.5339999999999998</v>
      </c>
      <c r="J92" s="14">
        <f>CHOOSE(CONTROL!$C$42, 6.4858, 6.4858)* CHOOSE(CONTROL!$C$21, $C$9, 100%, $E$9)</f>
        <v>6.4858000000000002</v>
      </c>
      <c r="K92" s="53">
        <f>CHOOSE(CONTROL!$C$42, 6.5301, 6.5301) * CHOOSE(CONTROL!$C$21, $C$9, 100%, $E$9)</f>
        <v>6.5301</v>
      </c>
      <c r="L92" s="14">
        <f>CHOOSE(CONTROL!$C$42, 7.3257, 7.3257) * CHOOSE(CONTROL!$C$21, $C$9, 100%, $E$9)</f>
        <v>7.3257000000000003</v>
      </c>
      <c r="M92" s="14">
        <f>CHOOSE(CONTROL!$C$42, 6.3606, 6.3606) * CHOOSE(CONTROL!$C$21, $C$9, 100%, $E$9)</f>
        <v>6.3605999999999998</v>
      </c>
      <c r="N92" s="14">
        <f>CHOOSE(CONTROL!$C$42, 6.3769, 6.3769) * CHOOSE(CONTROL!$C$21, $C$9, 100%, $E$9)</f>
        <v>6.3769</v>
      </c>
      <c r="O92" s="14">
        <f>CHOOSE(CONTROL!$C$42, 6.6083, 6.6083) * CHOOSE(CONTROL!$C$21, $C$9, 100%, $E$9)</f>
        <v>6.6082999999999998</v>
      </c>
      <c r="P92" s="14">
        <f>CHOOSE(CONTROL!$C$42, 6.4075, 6.4075) * CHOOSE(CONTROL!$C$21, $C$9, 100%, $E$9)</f>
        <v>6.4074999999999998</v>
      </c>
      <c r="Q92" s="14">
        <f>CHOOSE(CONTROL!$C$42, 7.203, 7.203) * CHOOSE(CONTROL!$C$21, $C$9, 100%, $E$9)</f>
        <v>7.2030000000000003</v>
      </c>
      <c r="R92" s="14">
        <f>CHOOSE(CONTROL!$C$42, 7.808, 7.808) * CHOOSE(CONTROL!$C$21, $C$9, 100%, $E$9)</f>
        <v>7.8079999999999998</v>
      </c>
      <c r="S92" s="14">
        <f>CHOOSE(CONTROL!$C$42, 6.2406, 6.2406) * CHOOSE(CONTROL!$C$21, $C$9, 100%, $E$9)</f>
        <v>6.2405999999999997</v>
      </c>
      <c r="T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7">
        <f>(1000*CHOOSE(CONTROL!$C$42, 695, 695)*CHOOSE(CONTROL!$C$42, 0.5599, 0.5599)*CHOOSE(CONTROL!$C$42, 31, 31))/1000000</f>
        <v>12.063045499999998</v>
      </c>
      <c r="V92" s="57">
        <f>(1000*CHOOSE(CONTROL!$C$42, 500, 500)*CHOOSE(CONTROL!$C$42, 0.275, 0.275)*CHOOSE(CONTROL!$C$42, 31, 31))/1000000</f>
        <v>4.2625000000000002</v>
      </c>
      <c r="W92" s="57">
        <f>(1000*CHOOSE(CONTROL!$C$42, 0.1146, 0.1146)*CHOOSE(CONTROL!$C$42, 121.5, 121.5)*CHOOSE(CONTROL!$C$42, 31, 31))/1000000</f>
        <v>0.43164089999999994</v>
      </c>
      <c r="X92" s="57">
        <f>(31*0.1790888*245000/1000000)+(31*0.2374*100000/1000000)</f>
        <v>2.0961194359999999</v>
      </c>
      <c r="Y92" s="57"/>
      <c r="Z92" s="14"/>
      <c r="AA92" s="56"/>
      <c r="AB92" s="50">
        <f>(B92*194.205+C92*267.466+D92*133.845+E92*53.484+F92*40+G92*185+H92*0+I92*100+J92*300)/(194.205+267.466+133.845+53.484+0+40+185+100+300)</f>
        <v>6.53763391098901</v>
      </c>
      <c r="AC92" s="45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6.4405992805755403</v>
      </c>
    </row>
    <row r="93" spans="1:29" ht="15.75" x14ac:dyDescent="0.25">
      <c r="A93" s="13">
        <v>43709</v>
      </c>
      <c r="B93" s="14">
        <f>CHOOSE(CONTROL!$C$42, 6.1055, 6.1055) * CHOOSE(CONTROL!$C$21, $C$9, 100%, $E$9)</f>
        <v>6.1055000000000001</v>
      </c>
      <c r="C93" s="14">
        <f>CHOOSE(CONTROL!$C$42, 6.1135, 6.1135) * CHOOSE(CONTROL!$C$21, $C$9, 100%, $E$9)</f>
        <v>6.1135000000000002</v>
      </c>
      <c r="D93" s="14">
        <f>CHOOSE(CONTROL!$C$42, 6.3185, 6.3185) * CHOOSE(CONTROL!$C$21, $C$9, 100%, $E$9)</f>
        <v>6.3185000000000002</v>
      </c>
      <c r="E93" s="14">
        <f>CHOOSE(CONTROL!$C$42, 6.3499, 6.3499) * CHOOSE(CONTROL!$C$21, $C$9, 100%, $E$9)</f>
        <v>6.3498999999999999</v>
      </c>
      <c r="F93" s="14">
        <f>CHOOSE(CONTROL!$C$42, 6.0926, 6.0926)*CHOOSE(CONTROL!$C$21, $C$9, 100%, $E$9)</f>
        <v>6.0926</v>
      </c>
      <c r="G93" s="14">
        <f>CHOOSE(CONTROL!$C$42, 6.1093, 6.1093)*CHOOSE(CONTROL!$C$21, $C$9, 100%, $E$9)</f>
        <v>6.1093000000000002</v>
      </c>
      <c r="H93" s="14">
        <f>CHOOSE(CONTROL!$C$42, 6.3386, 6.3386) * CHOOSE(CONTROL!$C$21, $C$9, 100%, $E$9)</f>
        <v>6.3385999999999996</v>
      </c>
      <c r="I93" s="14">
        <f>CHOOSE(CONTROL!$C$42, 6.1326, 6.1326)* CHOOSE(CONTROL!$C$21, $C$9, 100%, $E$9)</f>
        <v>6.1326000000000001</v>
      </c>
      <c r="J93" s="14">
        <f>CHOOSE(CONTROL!$C$42, 6.0856, 6.0856)* CHOOSE(CONTROL!$C$21, $C$9, 100%, $E$9)</f>
        <v>6.0856000000000003</v>
      </c>
      <c r="K93" s="53">
        <f>CHOOSE(CONTROL!$C$42, 6.1287, 6.1287) * CHOOSE(CONTROL!$C$21, $C$9, 100%, $E$9)</f>
        <v>6.1287000000000003</v>
      </c>
      <c r="L93" s="14">
        <f>CHOOSE(CONTROL!$C$42, 6.9256, 6.9256) * CHOOSE(CONTROL!$C$21, $C$9, 100%, $E$9)</f>
        <v>6.9256000000000002</v>
      </c>
      <c r="M93" s="14">
        <f>CHOOSE(CONTROL!$C$42, 5.9686, 5.9686) * CHOOSE(CONTROL!$C$21, $C$9, 100%, $E$9)</f>
        <v>5.9686000000000003</v>
      </c>
      <c r="N93" s="14">
        <f>CHOOSE(CONTROL!$C$42, 5.985, 5.985) * CHOOSE(CONTROL!$C$21, $C$9, 100%, $E$9)</f>
        <v>5.9850000000000003</v>
      </c>
      <c r="O93" s="14">
        <f>CHOOSE(CONTROL!$C$42, 6.2164, 6.2164) * CHOOSE(CONTROL!$C$21, $C$9, 100%, $E$9)</f>
        <v>6.2164000000000001</v>
      </c>
      <c r="P93" s="14">
        <f>CHOOSE(CONTROL!$C$42, 6.0144, 6.0144) * CHOOSE(CONTROL!$C$21, $C$9, 100%, $E$9)</f>
        <v>6.0144000000000002</v>
      </c>
      <c r="Q93" s="14">
        <f>CHOOSE(CONTROL!$C$42, 6.8111, 6.8111) * CHOOSE(CONTROL!$C$21, $C$9, 100%, $E$9)</f>
        <v>6.8110999999999997</v>
      </c>
      <c r="R93" s="14">
        <f>CHOOSE(CONTROL!$C$42, 7.4151, 7.4151) * CHOOSE(CONTROL!$C$21, $C$9, 100%, $E$9)</f>
        <v>7.4150999999999998</v>
      </c>
      <c r="S93" s="14">
        <f>CHOOSE(CONTROL!$C$42, 5.8561, 5.8561) * CHOOSE(CONTROL!$C$21, $C$9, 100%, $E$9)</f>
        <v>5.8560999999999996</v>
      </c>
      <c r="T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7">
        <f>(1000*CHOOSE(CONTROL!$C$42, 695, 695)*CHOOSE(CONTROL!$C$42, 0.5599, 0.5599)*CHOOSE(CONTROL!$C$42, 30, 30))/1000000</f>
        <v>11.673914999999997</v>
      </c>
      <c r="V93" s="57">
        <f>(1000*CHOOSE(CONTROL!$C$42, 500, 500)*CHOOSE(CONTROL!$C$42, 0.275, 0.275)*CHOOSE(CONTROL!$C$42, 30, 30))/1000000</f>
        <v>4.125</v>
      </c>
      <c r="W93" s="57">
        <f>(1000*CHOOSE(CONTROL!$C$42, 0.1146, 0.1146)*CHOOSE(CONTROL!$C$42, 121.5, 121.5)*CHOOSE(CONTROL!$C$42, 30, 30))/1000000</f>
        <v>0.417717</v>
      </c>
      <c r="X93" s="57">
        <f>(30*0.1790888*245000/1000000)+(30*0.2374*100000/1000000)</f>
        <v>2.0285026799999999</v>
      </c>
      <c r="Y93" s="57"/>
      <c r="Z93" s="14"/>
      <c r="AA93" s="56"/>
      <c r="AB93" s="50">
        <f>(B93*194.205+C93*267.466+D93*133.845+E93*53.484+F93*40+G93*185+H93*0+I93*100+J93*300)/(194.205+267.466+133.845+53.484+0+40+185+100+300)</f>
        <v>6.137405182574569</v>
      </c>
      <c r="AC93" s="45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6.0484920863309366</v>
      </c>
    </row>
    <row r="94" spans="1:29" ht="15.75" x14ac:dyDescent="0.25">
      <c r="A94" s="13">
        <v>43739</v>
      </c>
      <c r="B94" s="14">
        <f>CHOOSE(CONTROL!$C$42, 5.9923, 5.9923) * CHOOSE(CONTROL!$C$21, $C$9, 100%, $E$9)</f>
        <v>5.9923000000000002</v>
      </c>
      <c r="C94" s="14">
        <f>CHOOSE(CONTROL!$C$42, 5.9976, 5.9976) * CHOOSE(CONTROL!$C$21, $C$9, 100%, $E$9)</f>
        <v>5.9976000000000003</v>
      </c>
      <c r="D94" s="14">
        <f>CHOOSE(CONTROL!$C$42, 6.2075, 6.2075) * CHOOSE(CONTROL!$C$21, $C$9, 100%, $E$9)</f>
        <v>6.2074999999999996</v>
      </c>
      <c r="E94" s="14">
        <f>CHOOSE(CONTROL!$C$42, 6.2367, 6.2367) * CHOOSE(CONTROL!$C$21, $C$9, 100%, $E$9)</f>
        <v>6.2366999999999999</v>
      </c>
      <c r="F94" s="14">
        <f>CHOOSE(CONTROL!$C$42, 5.9815, 5.9815)*CHOOSE(CONTROL!$C$21, $C$9, 100%, $E$9)</f>
        <v>5.9814999999999996</v>
      </c>
      <c r="G94" s="14">
        <f>CHOOSE(CONTROL!$C$42, 5.9978, 5.9978)*CHOOSE(CONTROL!$C$21, $C$9, 100%, $E$9)</f>
        <v>5.9977999999999998</v>
      </c>
      <c r="H94" s="14">
        <f>CHOOSE(CONTROL!$C$42, 6.2271, 6.2271) * CHOOSE(CONTROL!$C$21, $C$9, 100%, $E$9)</f>
        <v>6.2271000000000001</v>
      </c>
      <c r="I94" s="14">
        <f>CHOOSE(CONTROL!$C$42, 6.0209, 6.0209)* CHOOSE(CONTROL!$C$21, $C$9, 100%, $E$9)</f>
        <v>6.0209000000000001</v>
      </c>
      <c r="J94" s="14">
        <f>CHOOSE(CONTROL!$C$42, 5.9745, 5.9745)* CHOOSE(CONTROL!$C$21, $C$9, 100%, $E$9)</f>
        <v>5.9744999999999999</v>
      </c>
      <c r="K94" s="53">
        <f>CHOOSE(CONTROL!$C$42, 6.017, 6.017) * CHOOSE(CONTROL!$C$21, $C$9, 100%, $E$9)</f>
        <v>6.0170000000000003</v>
      </c>
      <c r="L94" s="14">
        <f>CHOOSE(CONTROL!$C$42, 6.8141, 6.8141) * CHOOSE(CONTROL!$C$21, $C$9, 100%, $E$9)</f>
        <v>6.8140999999999998</v>
      </c>
      <c r="M94" s="14">
        <f>CHOOSE(CONTROL!$C$42, 5.8598, 5.8598) * CHOOSE(CONTROL!$C$21, $C$9, 100%, $E$9)</f>
        <v>5.8597999999999999</v>
      </c>
      <c r="N94" s="14">
        <f>CHOOSE(CONTROL!$C$42, 5.8758, 5.8758) * CHOOSE(CONTROL!$C$21, $C$9, 100%, $E$9)</f>
        <v>5.8757999999999999</v>
      </c>
      <c r="O94" s="14">
        <f>CHOOSE(CONTROL!$C$42, 6.1072, 6.1072) * CHOOSE(CONTROL!$C$21, $C$9, 100%, $E$9)</f>
        <v>6.1071999999999997</v>
      </c>
      <c r="P94" s="14">
        <f>CHOOSE(CONTROL!$C$42, 5.9049, 5.9049) * CHOOSE(CONTROL!$C$21, $C$9, 100%, $E$9)</f>
        <v>5.9048999999999996</v>
      </c>
      <c r="Q94" s="14">
        <f>CHOOSE(CONTROL!$C$42, 6.7019, 6.7019) * CHOOSE(CONTROL!$C$21, $C$9, 100%, $E$9)</f>
        <v>6.7019000000000002</v>
      </c>
      <c r="R94" s="14">
        <f>CHOOSE(CONTROL!$C$42, 7.3057, 7.3057) * CHOOSE(CONTROL!$C$21, $C$9, 100%, $E$9)</f>
        <v>7.3056999999999999</v>
      </c>
      <c r="S94" s="14">
        <f>CHOOSE(CONTROL!$C$42, 5.749, 5.749) * CHOOSE(CONTROL!$C$21, $C$9, 100%, $E$9)</f>
        <v>5.7489999999999997</v>
      </c>
      <c r="T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7">
        <f>(1000*CHOOSE(CONTROL!$C$42, 695, 695)*CHOOSE(CONTROL!$C$42, 0.5599, 0.5599)*CHOOSE(CONTROL!$C$42, 31, 31))/1000000</f>
        <v>12.063045499999998</v>
      </c>
      <c r="V94" s="57">
        <f>(1000*CHOOSE(CONTROL!$C$42, 500, 500)*CHOOSE(CONTROL!$C$42, 0.275, 0.275)*CHOOSE(CONTROL!$C$42, 31, 31))/1000000</f>
        <v>4.2625000000000002</v>
      </c>
      <c r="W94" s="57">
        <f>(1000*CHOOSE(CONTROL!$C$42, 0.1146, 0.1146)*CHOOSE(CONTROL!$C$42, 121.5, 121.5)*CHOOSE(CONTROL!$C$42, 31, 31))/1000000</f>
        <v>0.43164089999999994</v>
      </c>
      <c r="X94" s="57">
        <f>(31*0.1790888*245000/1000000)+(31*0.2374*100000/1000000)</f>
        <v>2.0961194359999999</v>
      </c>
      <c r="Y94" s="57"/>
      <c r="Z94" s="14"/>
      <c r="AA94" s="56"/>
      <c r="AB94" s="50">
        <f>(B94*131.881+C94*277.167+D94*79.08+E94*125.872+F94*40+G94*185+H94*0+I94*100+J94*300)/(131.881+277.167+79.08+125.872+0+40+185+100+300)</f>
        <v>6.0305208376916868</v>
      </c>
      <c r="AC94" s="45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5.9393870503597119</v>
      </c>
    </row>
    <row r="95" spans="1:29" ht="15.75" x14ac:dyDescent="0.25">
      <c r="A95" s="13">
        <v>43770</v>
      </c>
      <c r="B95" s="14">
        <f>CHOOSE(CONTROL!$C$42, 6.1621, 6.1621) * CHOOSE(CONTROL!$C$21, $C$9, 100%, $E$9)</f>
        <v>6.1620999999999997</v>
      </c>
      <c r="C95" s="14">
        <f>CHOOSE(CONTROL!$C$42, 6.1672, 6.1672) * CHOOSE(CONTROL!$C$21, $C$9, 100%, $E$9)</f>
        <v>6.1672000000000002</v>
      </c>
      <c r="D95" s="14">
        <f>CHOOSE(CONTROL!$C$42, 6.231, 6.231) * CHOOSE(CONTROL!$C$21, $C$9, 100%, $E$9)</f>
        <v>6.2309999999999999</v>
      </c>
      <c r="E95" s="14">
        <f>CHOOSE(CONTROL!$C$42, 6.2651, 6.2651) * CHOOSE(CONTROL!$C$21, $C$9, 100%, $E$9)</f>
        <v>6.2651000000000003</v>
      </c>
      <c r="F95" s="14">
        <f>CHOOSE(CONTROL!$C$42, 6.1643, 6.1643)*CHOOSE(CONTROL!$C$21, $C$9, 100%, $E$9)</f>
        <v>6.1642999999999999</v>
      </c>
      <c r="G95" s="14">
        <f>CHOOSE(CONTROL!$C$42, 6.181, 6.181)*CHOOSE(CONTROL!$C$21, $C$9, 100%, $E$9)</f>
        <v>6.181</v>
      </c>
      <c r="H95" s="14">
        <f>CHOOSE(CONTROL!$C$42, 6.2543, 6.2543) * CHOOSE(CONTROL!$C$21, $C$9, 100%, $E$9)</f>
        <v>6.2542999999999997</v>
      </c>
      <c r="I95" s="14">
        <f>CHOOSE(CONTROL!$C$42, 6.1953, 6.1953)* CHOOSE(CONTROL!$C$21, $C$9, 100%, $E$9)</f>
        <v>6.1952999999999996</v>
      </c>
      <c r="J95" s="14">
        <f>CHOOSE(CONTROL!$C$42, 6.1573, 6.1573)* CHOOSE(CONTROL!$C$21, $C$9, 100%, $E$9)</f>
        <v>6.1573000000000002</v>
      </c>
      <c r="K95" s="53">
        <f>CHOOSE(CONTROL!$C$42, 6.1914, 6.1914) * CHOOSE(CONTROL!$C$21, $C$9, 100%, $E$9)</f>
        <v>6.1913999999999998</v>
      </c>
      <c r="L95" s="14">
        <f>CHOOSE(CONTROL!$C$42, 6.8413, 6.8413) * CHOOSE(CONTROL!$C$21, $C$9, 100%, $E$9)</f>
        <v>6.8413000000000004</v>
      </c>
      <c r="M95" s="14">
        <f>CHOOSE(CONTROL!$C$42, 6.0389, 6.0389) * CHOOSE(CONTROL!$C$21, $C$9, 100%, $E$9)</f>
        <v>6.0388999999999999</v>
      </c>
      <c r="N95" s="14">
        <f>CHOOSE(CONTROL!$C$42, 6.0552, 6.0552) * CHOOSE(CONTROL!$C$21, $C$9, 100%, $E$9)</f>
        <v>6.0552000000000001</v>
      </c>
      <c r="O95" s="14">
        <f>CHOOSE(CONTROL!$C$42, 6.1338, 6.1338) * CHOOSE(CONTROL!$C$21, $C$9, 100%, $E$9)</f>
        <v>6.1337999999999999</v>
      </c>
      <c r="P95" s="14">
        <f>CHOOSE(CONTROL!$C$42, 6.0757, 6.0757) * CHOOSE(CONTROL!$C$21, $C$9, 100%, $E$9)</f>
        <v>6.0757000000000003</v>
      </c>
      <c r="Q95" s="14">
        <f>CHOOSE(CONTROL!$C$42, 6.7285, 6.7285) * CHOOSE(CONTROL!$C$21, $C$9, 100%, $E$9)</f>
        <v>6.7285000000000004</v>
      </c>
      <c r="R95" s="14">
        <f>CHOOSE(CONTROL!$C$42, 7.3323, 7.3323) * CHOOSE(CONTROL!$C$21, $C$9, 100%, $E$9)</f>
        <v>7.3323</v>
      </c>
      <c r="S95" s="14">
        <f>CHOOSE(CONTROL!$C$42, 5.9126, 5.9126) * CHOOSE(CONTROL!$C$21, $C$9, 100%, $E$9)</f>
        <v>5.9126000000000003</v>
      </c>
      <c r="T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7">
        <f>(1000*CHOOSE(CONTROL!$C$42, 695, 695)*CHOOSE(CONTROL!$C$42, 0.5599, 0.5599)*CHOOSE(CONTROL!$C$42, 30, 30))/1000000</f>
        <v>11.673914999999997</v>
      </c>
      <c r="V95" s="57">
        <f>(1000*CHOOSE(CONTROL!$C$42, 500, 500)*CHOOSE(CONTROL!$C$42, 0.275, 0.275)*CHOOSE(CONTROL!$C$42, 30, 30))/1000000</f>
        <v>4.125</v>
      </c>
      <c r="W95" s="57">
        <f>(1000*CHOOSE(CONTROL!$C$42, 0.1146, 0.1146)*CHOOSE(CONTROL!$C$42, 121.5, 121.5)*CHOOSE(CONTROL!$C$42, 30, 30))/1000000</f>
        <v>0.417717</v>
      </c>
      <c r="X95" s="57">
        <f>(30*0.1790888*100000/1000000)+(30*0.2374*100000/1000000)</f>
        <v>1.2494664</v>
      </c>
      <c r="Y95" s="57"/>
      <c r="Z95" s="14"/>
      <c r="AA95" s="56"/>
      <c r="AB95" s="50">
        <f>(B95*122.58+C95*297.941+D95*89.177+E95*40.302+F95*40+G95*160+H95*0+I95*100+J95*300)/(122.58+297.941+89.177+40.302+0+40+160+100+300)</f>
        <v>6.1767146959999994</v>
      </c>
      <c r="AC95" s="45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6.0881453237410064</v>
      </c>
    </row>
    <row r="96" spans="1:29" ht="15.75" x14ac:dyDescent="0.25">
      <c r="A96" s="13">
        <v>43800</v>
      </c>
      <c r="B96" s="14">
        <f>CHOOSE(CONTROL!$C$42, 6.5951, 6.5951) * CHOOSE(CONTROL!$C$21, $C$9, 100%, $E$9)</f>
        <v>6.5951000000000004</v>
      </c>
      <c r="C96" s="14">
        <f>CHOOSE(CONTROL!$C$42, 6.6002, 6.6002) * CHOOSE(CONTROL!$C$21, $C$9, 100%, $E$9)</f>
        <v>6.6002000000000001</v>
      </c>
      <c r="D96" s="14">
        <f>CHOOSE(CONTROL!$C$42, 6.664, 6.664) * CHOOSE(CONTROL!$C$21, $C$9, 100%, $E$9)</f>
        <v>6.6639999999999997</v>
      </c>
      <c r="E96" s="14">
        <f>CHOOSE(CONTROL!$C$42, 6.6981, 6.6981) * CHOOSE(CONTROL!$C$21, $C$9, 100%, $E$9)</f>
        <v>6.6981000000000002</v>
      </c>
      <c r="F96" s="14">
        <f>CHOOSE(CONTROL!$C$42, 6.5994, 6.5994)*CHOOSE(CONTROL!$C$21, $C$9, 100%, $E$9)</f>
        <v>6.5994000000000002</v>
      </c>
      <c r="G96" s="14">
        <f>CHOOSE(CONTROL!$C$42, 6.6166, 6.6166)*CHOOSE(CONTROL!$C$21, $C$9, 100%, $E$9)</f>
        <v>6.6166</v>
      </c>
      <c r="H96" s="14">
        <f>CHOOSE(CONTROL!$C$42, 6.6873, 6.6873) * CHOOSE(CONTROL!$C$21, $C$9, 100%, $E$9)</f>
        <v>6.6872999999999996</v>
      </c>
      <c r="I96" s="14">
        <f>CHOOSE(CONTROL!$C$42, 6.6296, 6.6296)* CHOOSE(CONTROL!$C$21, $C$9, 100%, $E$9)</f>
        <v>6.6295999999999999</v>
      </c>
      <c r="J96" s="14">
        <f>CHOOSE(CONTROL!$C$42, 6.5924, 6.5924)* CHOOSE(CONTROL!$C$21, $C$9, 100%, $E$9)</f>
        <v>6.5923999999999996</v>
      </c>
      <c r="K96" s="53">
        <f>CHOOSE(CONTROL!$C$42, 6.6258, 6.6258) * CHOOSE(CONTROL!$C$21, $C$9, 100%, $E$9)</f>
        <v>6.6257999999999999</v>
      </c>
      <c r="L96" s="14">
        <f>CHOOSE(CONTROL!$C$42, 7.2743, 7.2743) * CHOOSE(CONTROL!$C$21, $C$9, 100%, $E$9)</f>
        <v>7.2743000000000002</v>
      </c>
      <c r="M96" s="14">
        <f>CHOOSE(CONTROL!$C$42, 6.465, 6.465) * CHOOSE(CONTROL!$C$21, $C$9, 100%, $E$9)</f>
        <v>6.4649999999999999</v>
      </c>
      <c r="N96" s="14">
        <f>CHOOSE(CONTROL!$C$42, 6.4819, 6.4819) * CHOOSE(CONTROL!$C$21, $C$9, 100%, $E$9)</f>
        <v>6.4819000000000004</v>
      </c>
      <c r="O96" s="14">
        <f>CHOOSE(CONTROL!$C$42, 6.558, 6.558) * CHOOSE(CONTROL!$C$21, $C$9, 100%, $E$9)</f>
        <v>6.5579999999999998</v>
      </c>
      <c r="P96" s="14">
        <f>CHOOSE(CONTROL!$C$42, 6.5012, 6.5012) * CHOOSE(CONTROL!$C$21, $C$9, 100%, $E$9)</f>
        <v>6.5011999999999999</v>
      </c>
      <c r="Q96" s="14">
        <f>CHOOSE(CONTROL!$C$42, 7.1527, 7.1527) * CHOOSE(CONTROL!$C$21, $C$9, 100%, $E$9)</f>
        <v>7.1527000000000003</v>
      </c>
      <c r="R96" s="14">
        <f>CHOOSE(CONTROL!$C$42, 7.7575, 7.7575) * CHOOSE(CONTROL!$C$21, $C$9, 100%, $E$9)</f>
        <v>7.7575000000000003</v>
      </c>
      <c r="S96" s="14">
        <f>CHOOSE(CONTROL!$C$42, 6.3287, 6.3287) * CHOOSE(CONTROL!$C$21, $C$9, 100%, $E$9)</f>
        <v>6.3287000000000004</v>
      </c>
      <c r="T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7">
        <f>(1000*CHOOSE(CONTROL!$C$42, 695, 695)*CHOOSE(CONTROL!$C$42, 0.5599, 0.5599)*CHOOSE(CONTROL!$C$42, 31, 31))/1000000</f>
        <v>12.063045499999998</v>
      </c>
      <c r="V96" s="57">
        <f>(1000*CHOOSE(CONTROL!$C$42, 500, 500)*CHOOSE(CONTROL!$C$42, 0.275, 0.275)*CHOOSE(CONTROL!$C$42, 31, 31))/1000000</f>
        <v>4.2625000000000002</v>
      </c>
      <c r="W96" s="57">
        <f>(1000*CHOOSE(CONTROL!$C$42, 0.1146, 0.1146)*CHOOSE(CONTROL!$C$42, 121.5, 121.5)*CHOOSE(CONTROL!$C$42, 31, 31))/1000000</f>
        <v>0.43164089999999994</v>
      </c>
      <c r="X96" s="57">
        <f>(31*0.1790888*100000/1000000)+(31*0.2374*100000/1000000)</f>
        <v>1.2911152800000001</v>
      </c>
      <c r="Y96" s="57"/>
      <c r="Z96" s="14"/>
      <c r="AA96" s="56"/>
      <c r="AB96" s="50">
        <f>(B96*122.58+C96*297.941+D96*89.177+E96*40.302+F96*40+G96*160+H96*0+I96*100+J96*300)/(122.58+297.941+89.177+40.302+0+40+160+100+300)</f>
        <v>6.6108103481739136</v>
      </c>
      <c r="AC96" s="45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6.5133323741007185</v>
      </c>
    </row>
    <row r="97" spans="1:29" ht="15.75" x14ac:dyDescent="0.25">
      <c r="A97" s="13">
        <v>43831</v>
      </c>
      <c r="B97" s="14">
        <f>CHOOSE(CONTROL!$C$42, 7.2926, 7.2926) * CHOOSE(CONTROL!$C$21, $C$9, 100%, $E$9)</f>
        <v>7.2926000000000002</v>
      </c>
      <c r="C97" s="14">
        <f>CHOOSE(CONTROL!$C$42, 7.2977, 7.2977) * CHOOSE(CONTROL!$C$21, $C$9, 100%, $E$9)</f>
        <v>7.2976999999999999</v>
      </c>
      <c r="D97" s="14">
        <f>CHOOSE(CONTROL!$C$42, 7.3563, 7.3563) * CHOOSE(CONTROL!$C$21, $C$9, 100%, $E$9)</f>
        <v>7.3563000000000001</v>
      </c>
      <c r="E97" s="14">
        <f>CHOOSE(CONTROL!$C$42, 7.3904, 7.3904) * CHOOSE(CONTROL!$C$21, $C$9, 100%, $E$9)</f>
        <v>7.3903999999999996</v>
      </c>
      <c r="F97" s="14">
        <f>CHOOSE(CONTROL!$C$42, 7.2917, 7.2917)*CHOOSE(CONTROL!$C$21, $C$9, 100%, $E$9)</f>
        <v>7.2916999999999996</v>
      </c>
      <c r="G97" s="14">
        <f>CHOOSE(CONTROL!$C$42, 7.3081, 7.3081)*CHOOSE(CONTROL!$C$21, $C$9, 100%, $E$9)</f>
        <v>7.3080999999999996</v>
      </c>
      <c r="H97" s="14">
        <f>CHOOSE(CONTROL!$C$42, 7.3796, 7.3796) * CHOOSE(CONTROL!$C$21, $C$9, 100%, $E$9)</f>
        <v>7.3795999999999999</v>
      </c>
      <c r="I97" s="14">
        <f>CHOOSE(CONTROL!$C$42, 7.3257, 7.3257)* CHOOSE(CONTROL!$C$21, $C$9, 100%, $E$9)</f>
        <v>7.3257000000000003</v>
      </c>
      <c r="J97" s="14">
        <f>CHOOSE(CONTROL!$C$42, 7.2847, 7.2847)* CHOOSE(CONTROL!$C$21, $C$9, 100%, $E$9)</f>
        <v>7.2847</v>
      </c>
      <c r="K97" s="53">
        <f>CHOOSE(CONTROL!$C$42, 7.3218, 7.3218) * CHOOSE(CONTROL!$C$21, $C$9, 100%, $E$9)</f>
        <v>7.3217999999999996</v>
      </c>
      <c r="L97" s="14">
        <f>CHOOSE(CONTROL!$C$42, 7.9666, 7.9666) * CHOOSE(CONTROL!$C$21, $C$9, 100%, $E$9)</f>
        <v>7.9665999999999997</v>
      </c>
      <c r="M97" s="14">
        <f>CHOOSE(CONTROL!$C$42, 7.1431, 7.1431) * CHOOSE(CONTROL!$C$21, $C$9, 100%, $E$9)</f>
        <v>7.1430999999999996</v>
      </c>
      <c r="N97" s="14">
        <f>CHOOSE(CONTROL!$C$42, 7.1592, 7.1592) * CHOOSE(CONTROL!$C$21, $C$9, 100%, $E$9)</f>
        <v>7.1592000000000002</v>
      </c>
      <c r="O97" s="14">
        <f>CHOOSE(CONTROL!$C$42, 7.2361, 7.2361) * CHOOSE(CONTROL!$C$21, $C$9, 100%, $E$9)</f>
        <v>7.2361000000000004</v>
      </c>
      <c r="P97" s="14">
        <f>CHOOSE(CONTROL!$C$42, 7.1829, 7.1829) * CHOOSE(CONTROL!$C$21, $C$9, 100%, $E$9)</f>
        <v>7.1829000000000001</v>
      </c>
      <c r="Q97" s="14">
        <f>CHOOSE(CONTROL!$C$42, 7.8308, 7.8308) * CHOOSE(CONTROL!$C$21, $C$9, 100%, $E$9)</f>
        <v>7.8308</v>
      </c>
      <c r="R97" s="14">
        <f>CHOOSE(CONTROL!$C$42, 8.4374, 8.4374) * CHOOSE(CONTROL!$C$21, $C$9, 100%, $E$9)</f>
        <v>8.4374000000000002</v>
      </c>
      <c r="S97" s="14">
        <f>CHOOSE(CONTROL!$C$42, 6.9989, 6.9989) * CHOOSE(CONTROL!$C$21, $C$9, 100%, $E$9)</f>
        <v>6.9988999999999999</v>
      </c>
      <c r="T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7">
        <f>(1000*CHOOSE(CONTROL!$C$42, 695, 695)*CHOOSE(CONTROL!$C$42, 0.5599, 0.5599)*CHOOSE(CONTROL!$C$42, 31, 31))/1000000</f>
        <v>12.063045499999998</v>
      </c>
      <c r="V97" s="57">
        <f>(1000*CHOOSE(CONTROL!$C$42, 500, 500)*CHOOSE(CONTROL!$C$42, 0.275, 0.275)*CHOOSE(CONTROL!$C$42, 31, 31))/1000000</f>
        <v>4.2625000000000002</v>
      </c>
      <c r="W97" s="57">
        <f>(1000*CHOOSE(CONTROL!$C$42, 0.1146, 0.1146)*CHOOSE(CONTROL!$C$42, 121.5, 121.5)*CHOOSE(CONTROL!$C$42, 31, 31))/1000000</f>
        <v>0.43164089999999994</v>
      </c>
      <c r="X97" s="57">
        <f>(31*0.1790888*100000/1000000)+(31*0.2374*100000/1000000)</f>
        <v>1.2911152800000001</v>
      </c>
      <c r="Y97" s="57"/>
      <c r="Z97" s="14"/>
      <c r="AA97" s="56"/>
      <c r="AB97" s="50">
        <f>(B97*122.58+C97*297.941+D97*89.177+E97*40.302+F97*40+G97*160+H97*0+I97*100+J97*300)/(122.58+297.941+89.177+40.302+0+40+160+100+300)</f>
        <v>7.3052309648695646</v>
      </c>
      <c r="AC97" s="45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7.1919043165467622</v>
      </c>
    </row>
    <row r="98" spans="1:29" ht="15.75" x14ac:dyDescent="0.25">
      <c r="A98" s="13">
        <v>43862</v>
      </c>
      <c r="B98" s="14">
        <f>CHOOSE(CONTROL!$C$42, 7.4375, 7.4375) * CHOOSE(CONTROL!$C$21, $C$9, 100%, $E$9)</f>
        <v>7.4375</v>
      </c>
      <c r="C98" s="14">
        <f>CHOOSE(CONTROL!$C$42, 7.4426, 7.4426) * CHOOSE(CONTROL!$C$21, $C$9, 100%, $E$9)</f>
        <v>7.4425999999999997</v>
      </c>
      <c r="D98" s="14">
        <f>CHOOSE(CONTROL!$C$42, 7.5012, 7.5012) * CHOOSE(CONTROL!$C$21, $C$9, 100%, $E$9)</f>
        <v>7.5011999999999999</v>
      </c>
      <c r="E98" s="14">
        <f>CHOOSE(CONTROL!$C$42, 7.5353, 7.5353) * CHOOSE(CONTROL!$C$21, $C$9, 100%, $E$9)</f>
        <v>7.5353000000000003</v>
      </c>
      <c r="F98" s="14">
        <f>CHOOSE(CONTROL!$C$42, 7.4366, 7.4366)*CHOOSE(CONTROL!$C$21, $C$9, 100%, $E$9)</f>
        <v>7.4366000000000003</v>
      </c>
      <c r="G98" s="14">
        <f>CHOOSE(CONTROL!$C$42, 7.453, 7.453)*CHOOSE(CONTROL!$C$21, $C$9, 100%, $E$9)</f>
        <v>7.4530000000000003</v>
      </c>
      <c r="H98" s="14">
        <f>CHOOSE(CONTROL!$C$42, 7.5245, 7.5245) * CHOOSE(CONTROL!$C$21, $C$9, 100%, $E$9)</f>
        <v>7.5244999999999997</v>
      </c>
      <c r="I98" s="14">
        <f>CHOOSE(CONTROL!$C$42, 7.471, 7.471)* CHOOSE(CONTROL!$C$21, $C$9, 100%, $E$9)</f>
        <v>7.4710000000000001</v>
      </c>
      <c r="J98" s="14">
        <f>CHOOSE(CONTROL!$C$42, 7.4296, 7.4296)* CHOOSE(CONTROL!$C$21, $C$9, 100%, $E$9)</f>
        <v>7.4295999999999998</v>
      </c>
      <c r="K98" s="53">
        <f>CHOOSE(CONTROL!$C$42, 7.4672, 7.4672) * CHOOSE(CONTROL!$C$21, $C$9, 100%, $E$9)</f>
        <v>7.4672000000000001</v>
      </c>
      <c r="L98" s="14">
        <f>CHOOSE(CONTROL!$C$42, 8.1115, 8.1115) * CHOOSE(CONTROL!$C$21, $C$9, 100%, $E$9)</f>
        <v>8.1114999999999995</v>
      </c>
      <c r="M98" s="14">
        <f>CHOOSE(CONTROL!$C$42, 7.2851, 7.2851) * CHOOSE(CONTROL!$C$21, $C$9, 100%, $E$9)</f>
        <v>7.2850999999999999</v>
      </c>
      <c r="N98" s="14">
        <f>CHOOSE(CONTROL!$C$42, 7.3011, 7.3011) * CHOOSE(CONTROL!$C$21, $C$9, 100%, $E$9)</f>
        <v>7.3010999999999999</v>
      </c>
      <c r="O98" s="14">
        <f>CHOOSE(CONTROL!$C$42, 7.378, 7.378) * CHOOSE(CONTROL!$C$21, $C$9, 100%, $E$9)</f>
        <v>7.3780000000000001</v>
      </c>
      <c r="P98" s="14">
        <f>CHOOSE(CONTROL!$C$42, 7.3253, 7.3253) * CHOOSE(CONTROL!$C$21, $C$9, 100%, $E$9)</f>
        <v>7.3253000000000004</v>
      </c>
      <c r="Q98" s="14">
        <f>CHOOSE(CONTROL!$C$42, 7.9727, 7.9727) * CHOOSE(CONTROL!$C$21, $C$9, 100%, $E$9)</f>
        <v>7.9726999999999997</v>
      </c>
      <c r="R98" s="14">
        <f>CHOOSE(CONTROL!$C$42, 8.5797, 8.5797) * CHOOSE(CONTROL!$C$21, $C$9, 100%, $E$9)</f>
        <v>8.5797000000000008</v>
      </c>
      <c r="S98" s="14">
        <f>CHOOSE(CONTROL!$C$42, 7.1382, 7.1382) * CHOOSE(CONTROL!$C$21, $C$9, 100%, $E$9)</f>
        <v>7.1382000000000003</v>
      </c>
      <c r="T9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7">
        <f>(1000*CHOOSE(CONTROL!$C$42, 695, 695)*CHOOSE(CONTROL!$C$42, 0.5599, 0.5599)*CHOOSE(CONTROL!$C$42, 29, 29))/1000000</f>
        <v>11.284784499999999</v>
      </c>
      <c r="V98" s="57">
        <f>(1000*CHOOSE(CONTROL!$C$42, 500, 500)*CHOOSE(CONTROL!$C$42, 0.275, 0.275)*CHOOSE(CONTROL!$C$42, 29, 29))/1000000</f>
        <v>3.9874999999999998</v>
      </c>
      <c r="W98" s="57">
        <f>(1000*CHOOSE(CONTROL!$C$42, 0.1146, 0.1146)*CHOOSE(CONTROL!$C$42, 121.5, 121.5)*CHOOSE(CONTROL!$C$42, 29, 29))/1000000</f>
        <v>0.40379309999999996</v>
      </c>
      <c r="X98" s="57">
        <f>(29*0.1790888*100000/1000000)+(29*0.2374*100000/1000000)</f>
        <v>1.2078175199999999</v>
      </c>
      <c r="Y98" s="57"/>
      <c r="Z98" s="14"/>
      <c r="AA98" s="56"/>
      <c r="AB98" s="50">
        <f>(B98*122.58+C98*297.941+D98*89.177+E98*40.302+F98*40+G98*160+H98*0+I98*100+J98*300)/(122.58+297.941+89.177+40.302+0+40+160+100+300)</f>
        <v>7.4501657474782599</v>
      </c>
      <c r="AC98" s="45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7.3339107913669066</v>
      </c>
    </row>
    <row r="99" spans="1:29" ht="15.75" x14ac:dyDescent="0.25">
      <c r="A99" s="13">
        <v>43891</v>
      </c>
      <c r="B99" s="14">
        <f>CHOOSE(CONTROL!$C$42, 7.2415, 7.2415) * CHOOSE(CONTROL!$C$21, $C$9, 100%, $E$9)</f>
        <v>7.2415000000000003</v>
      </c>
      <c r="C99" s="14">
        <f>CHOOSE(CONTROL!$C$42, 7.2466, 7.2466) * CHOOSE(CONTROL!$C$21, $C$9, 100%, $E$9)</f>
        <v>7.2465999999999999</v>
      </c>
      <c r="D99" s="14">
        <f>CHOOSE(CONTROL!$C$42, 7.3052, 7.3052) * CHOOSE(CONTROL!$C$21, $C$9, 100%, $E$9)</f>
        <v>7.3052000000000001</v>
      </c>
      <c r="E99" s="14">
        <f>CHOOSE(CONTROL!$C$42, 7.3393, 7.3393) * CHOOSE(CONTROL!$C$21, $C$9, 100%, $E$9)</f>
        <v>7.3392999999999997</v>
      </c>
      <c r="F99" s="14">
        <f>CHOOSE(CONTROL!$C$42, 7.2401, 7.2401)*CHOOSE(CONTROL!$C$21, $C$9, 100%, $E$9)</f>
        <v>7.2401</v>
      </c>
      <c r="G99" s="14">
        <f>CHOOSE(CONTROL!$C$42, 7.2563, 7.2563)*CHOOSE(CONTROL!$C$21, $C$9, 100%, $E$9)</f>
        <v>7.2563000000000004</v>
      </c>
      <c r="H99" s="14">
        <f>CHOOSE(CONTROL!$C$42, 7.3285, 7.3285) * CHOOSE(CONTROL!$C$21, $C$9, 100%, $E$9)</f>
        <v>7.3285</v>
      </c>
      <c r="I99" s="14">
        <f>CHOOSE(CONTROL!$C$42, 7.2744, 7.2744)* CHOOSE(CONTROL!$C$21, $C$9, 100%, $E$9)</f>
        <v>7.2744</v>
      </c>
      <c r="J99" s="14">
        <f>CHOOSE(CONTROL!$C$42, 7.2331, 7.2331)* CHOOSE(CONTROL!$C$21, $C$9, 100%, $E$9)</f>
        <v>7.2331000000000003</v>
      </c>
      <c r="K99" s="53">
        <f>CHOOSE(CONTROL!$C$42, 7.2705, 7.2705) * CHOOSE(CONTROL!$C$21, $C$9, 100%, $E$9)</f>
        <v>7.2705000000000002</v>
      </c>
      <c r="L99" s="14">
        <f>CHOOSE(CONTROL!$C$42, 7.9155, 7.9155) * CHOOSE(CONTROL!$C$21, $C$9, 100%, $E$9)</f>
        <v>7.9154999999999998</v>
      </c>
      <c r="M99" s="14">
        <f>CHOOSE(CONTROL!$C$42, 7.0926, 7.0926) * CHOOSE(CONTROL!$C$21, $C$9, 100%, $E$9)</f>
        <v>7.0926</v>
      </c>
      <c r="N99" s="14">
        <f>CHOOSE(CONTROL!$C$42, 7.1085, 7.1085) * CHOOSE(CONTROL!$C$21, $C$9, 100%, $E$9)</f>
        <v>7.1085000000000003</v>
      </c>
      <c r="O99" s="14">
        <f>CHOOSE(CONTROL!$C$42, 7.186, 7.186) * CHOOSE(CONTROL!$C$21, $C$9, 100%, $E$9)</f>
        <v>7.1859999999999999</v>
      </c>
      <c r="P99" s="14">
        <f>CHOOSE(CONTROL!$C$42, 7.1327, 7.1327) * CHOOSE(CONTROL!$C$21, $C$9, 100%, $E$9)</f>
        <v>7.1326999999999998</v>
      </c>
      <c r="Q99" s="14">
        <f>CHOOSE(CONTROL!$C$42, 7.7807, 7.7807) * CHOOSE(CONTROL!$C$21, $C$9, 100%, $E$9)</f>
        <v>7.7807000000000004</v>
      </c>
      <c r="R99" s="14">
        <f>CHOOSE(CONTROL!$C$42, 8.3872, 8.3872) * CHOOSE(CONTROL!$C$21, $C$9, 100%, $E$9)</f>
        <v>8.3872</v>
      </c>
      <c r="S99" s="14">
        <f>CHOOSE(CONTROL!$C$42, 6.9498, 6.9498) * CHOOSE(CONTROL!$C$21, $C$9, 100%, $E$9)</f>
        <v>6.9497999999999998</v>
      </c>
      <c r="T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7">
        <f>(1000*CHOOSE(CONTROL!$C$42, 695, 695)*CHOOSE(CONTROL!$C$42, 0.5599, 0.5599)*CHOOSE(CONTROL!$C$42, 31, 31))/1000000</f>
        <v>12.063045499999998</v>
      </c>
      <c r="V99" s="57">
        <f>(1000*CHOOSE(CONTROL!$C$42, 500, 500)*CHOOSE(CONTROL!$C$42, 0.275, 0.275)*CHOOSE(CONTROL!$C$42, 31, 31))/1000000</f>
        <v>4.2625000000000002</v>
      </c>
      <c r="W99" s="57">
        <f>(1000*CHOOSE(CONTROL!$C$42, 0.1146, 0.1146)*CHOOSE(CONTROL!$C$42, 121.5, 121.5)*CHOOSE(CONTROL!$C$42, 31, 31))/1000000</f>
        <v>0.43164089999999994</v>
      </c>
      <c r="X99" s="57">
        <f>(31*0.1790888*100000/1000000)+(31*0.2374*100000/1000000)</f>
        <v>1.2911152800000001</v>
      </c>
      <c r="Y99" s="57"/>
      <c r="Z99" s="14"/>
      <c r="AA99" s="56"/>
      <c r="AB99" s="50">
        <f>(B99*122.58+C99*297.941+D99*89.177+E99*40.302+F99*40+G99*160+H99*0+I99*100+J99*300)/(122.58+297.941+89.177+40.302+0+40+160+100+300)</f>
        <v>7.2538683561739132</v>
      </c>
      <c r="AC99" s="45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7.1416172661870521</v>
      </c>
    </row>
    <row r="100" spans="1:29" ht="15.75" x14ac:dyDescent="0.25">
      <c r="A100" s="13">
        <v>43922</v>
      </c>
      <c r="B100" s="14">
        <f>CHOOSE(CONTROL!$C$42, 7.2359, 7.2359) * CHOOSE(CONTROL!$C$21, $C$9, 100%, $E$9)</f>
        <v>7.2359</v>
      </c>
      <c r="C100" s="14">
        <f>CHOOSE(CONTROL!$C$42, 7.2404, 7.2404) * CHOOSE(CONTROL!$C$21, $C$9, 100%, $E$9)</f>
        <v>7.2404000000000002</v>
      </c>
      <c r="D100" s="14">
        <f>CHOOSE(CONTROL!$C$42, 7.4485, 7.4485) * CHOOSE(CONTROL!$C$21, $C$9, 100%, $E$9)</f>
        <v>7.4485000000000001</v>
      </c>
      <c r="E100" s="14">
        <f>CHOOSE(CONTROL!$C$42, 7.4806, 7.4806) * CHOOSE(CONTROL!$C$21, $C$9, 100%, $E$9)</f>
        <v>7.4805999999999999</v>
      </c>
      <c r="F100" s="14">
        <f>CHOOSE(CONTROL!$C$42, 7.2232, 7.2232)*CHOOSE(CONTROL!$C$21, $C$9, 100%, $E$9)</f>
        <v>7.2232000000000003</v>
      </c>
      <c r="G100" s="14">
        <f>CHOOSE(CONTROL!$C$42, 7.2392, 7.2392)*CHOOSE(CONTROL!$C$21, $C$9, 100%, $E$9)</f>
        <v>7.2392000000000003</v>
      </c>
      <c r="H100" s="14">
        <f>CHOOSE(CONTROL!$C$42, 7.4704, 7.4704) * CHOOSE(CONTROL!$C$21, $C$9, 100%, $E$9)</f>
        <v>7.4703999999999997</v>
      </c>
      <c r="I100" s="14">
        <f>CHOOSE(CONTROL!$C$42, 7.268, 7.268)* CHOOSE(CONTROL!$C$21, $C$9, 100%, $E$9)</f>
        <v>7.2679999999999998</v>
      </c>
      <c r="J100" s="14">
        <f>CHOOSE(CONTROL!$C$42, 7.2162, 7.2162)* CHOOSE(CONTROL!$C$21, $C$9, 100%, $E$9)</f>
        <v>7.2161999999999997</v>
      </c>
      <c r="K100" s="53">
        <f>CHOOSE(CONTROL!$C$42, 7.2641, 7.2641) * CHOOSE(CONTROL!$C$21, $C$9, 100%, $E$9)</f>
        <v>7.2641</v>
      </c>
      <c r="L100" s="14">
        <f>CHOOSE(CONTROL!$C$42, 8.0574, 8.0574) * CHOOSE(CONTROL!$C$21, $C$9, 100%, $E$9)</f>
        <v>8.0573999999999995</v>
      </c>
      <c r="M100" s="14">
        <f>CHOOSE(CONTROL!$C$42, 7.0761, 7.0761) * CHOOSE(CONTROL!$C$21, $C$9, 100%, $E$9)</f>
        <v>7.0761000000000003</v>
      </c>
      <c r="N100" s="14">
        <f>CHOOSE(CONTROL!$C$42, 7.0917, 7.0917) * CHOOSE(CONTROL!$C$21, $C$9, 100%, $E$9)</f>
        <v>7.0917000000000003</v>
      </c>
      <c r="O100" s="14">
        <f>CHOOSE(CONTROL!$C$42, 7.325, 7.325) * CHOOSE(CONTROL!$C$21, $C$9, 100%, $E$9)</f>
        <v>7.3250000000000002</v>
      </c>
      <c r="P100" s="14">
        <f>CHOOSE(CONTROL!$C$42, 7.1264, 7.1264) * CHOOSE(CONTROL!$C$21, $C$9, 100%, $E$9)</f>
        <v>7.1264000000000003</v>
      </c>
      <c r="Q100" s="14">
        <f>CHOOSE(CONTROL!$C$42, 7.9197, 7.9197) * CHOOSE(CONTROL!$C$21, $C$9, 100%, $E$9)</f>
        <v>7.9196999999999997</v>
      </c>
      <c r="R100" s="14">
        <f>CHOOSE(CONTROL!$C$42, 8.5265, 8.5265) * CHOOSE(CONTROL!$C$21, $C$9, 100%, $E$9)</f>
        <v>8.5265000000000004</v>
      </c>
      <c r="S100" s="14">
        <f>CHOOSE(CONTROL!$C$42, 6.9437, 6.9437) * CHOOSE(CONTROL!$C$21, $C$9, 100%, $E$9)</f>
        <v>6.9436999999999998</v>
      </c>
      <c r="T1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7">
        <f>(1000*CHOOSE(CONTROL!$C$42, 695, 695)*CHOOSE(CONTROL!$C$42, 0.5599, 0.5599)*CHOOSE(CONTROL!$C$42, 30, 30))/1000000</f>
        <v>11.673914999999997</v>
      </c>
      <c r="V100" s="57">
        <f>(1000*CHOOSE(CONTROL!$C$42, 500, 500)*CHOOSE(CONTROL!$C$42, 0.275, 0.275)*CHOOSE(CONTROL!$C$42, 30, 30))/1000000</f>
        <v>4.125</v>
      </c>
      <c r="W100" s="57">
        <f>(1000*CHOOSE(CONTROL!$C$42, 0.1146, 0.1146)*CHOOSE(CONTROL!$C$42, 121.5, 121.5)*CHOOSE(CONTROL!$C$42, 30, 30))/1000000</f>
        <v>0.417717</v>
      </c>
      <c r="X100" s="57">
        <f>(30*0.1790888*245000/1000000)+(30*0.2374*100000/1000000)</f>
        <v>2.0285026799999999</v>
      </c>
      <c r="Y100" s="57"/>
      <c r="Z100" s="14"/>
      <c r="AA100" s="56"/>
      <c r="AB100" s="50">
        <f>(B100*141.293+C100*267.993+D100*115.016+E100*89.698+F100*40+G100*185+H100*0+I100*100+J100*300)/(141.293+267.993+115.016+89.698+0+40+185+100+300)</f>
        <v>7.2722276599677151</v>
      </c>
      <c r="AC100" s="45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7.156764028776978</v>
      </c>
    </row>
    <row r="101" spans="1:29" ht="15.75" x14ac:dyDescent="0.25">
      <c r="A101" s="13">
        <v>43952</v>
      </c>
      <c r="B101" s="14">
        <f>CHOOSE(CONTROL!$C$42, 7.3161, 7.3161) * CHOOSE(CONTROL!$C$21, $C$9, 100%, $E$9)</f>
        <v>7.3160999999999996</v>
      </c>
      <c r="C101" s="14">
        <f>CHOOSE(CONTROL!$C$42, 7.3241, 7.3241) * CHOOSE(CONTROL!$C$21, $C$9, 100%, $E$9)</f>
        <v>7.3240999999999996</v>
      </c>
      <c r="D101" s="14">
        <f>CHOOSE(CONTROL!$C$42, 7.5291, 7.5291) * CHOOSE(CONTROL!$C$21, $C$9, 100%, $E$9)</f>
        <v>7.5290999999999997</v>
      </c>
      <c r="E101" s="14">
        <f>CHOOSE(CONTROL!$C$42, 7.5605, 7.5605) * CHOOSE(CONTROL!$C$21, $C$9, 100%, $E$9)</f>
        <v>7.5605000000000002</v>
      </c>
      <c r="F101" s="14">
        <f>CHOOSE(CONTROL!$C$42, 7.3022, 7.3022)*CHOOSE(CONTROL!$C$21, $C$9, 100%, $E$9)</f>
        <v>7.3022</v>
      </c>
      <c r="G101" s="14">
        <f>CHOOSE(CONTROL!$C$42, 7.3187, 7.3187)*CHOOSE(CONTROL!$C$21, $C$9, 100%, $E$9)</f>
        <v>7.3186999999999998</v>
      </c>
      <c r="H101" s="14">
        <f>CHOOSE(CONTROL!$C$42, 7.5492, 7.5492) * CHOOSE(CONTROL!$C$21, $C$9, 100%, $E$9)</f>
        <v>7.5491999999999999</v>
      </c>
      <c r="I101" s="14">
        <f>CHOOSE(CONTROL!$C$42, 7.347, 7.347)* CHOOSE(CONTROL!$C$21, $C$9, 100%, $E$9)</f>
        <v>7.3470000000000004</v>
      </c>
      <c r="J101" s="14">
        <f>CHOOSE(CONTROL!$C$42, 7.2952, 7.2952)* CHOOSE(CONTROL!$C$21, $C$9, 100%, $E$9)</f>
        <v>7.2952000000000004</v>
      </c>
      <c r="K101" s="53">
        <f>CHOOSE(CONTROL!$C$42, 7.3431, 7.3431) * CHOOSE(CONTROL!$C$21, $C$9, 100%, $E$9)</f>
        <v>7.3430999999999997</v>
      </c>
      <c r="L101" s="14">
        <f>CHOOSE(CONTROL!$C$42, 8.1362, 8.1362) * CHOOSE(CONTROL!$C$21, $C$9, 100%, $E$9)</f>
        <v>8.1362000000000005</v>
      </c>
      <c r="M101" s="14">
        <f>CHOOSE(CONTROL!$C$42, 7.1535, 7.1535) * CHOOSE(CONTROL!$C$21, $C$9, 100%, $E$9)</f>
        <v>7.1535000000000002</v>
      </c>
      <c r="N101" s="14">
        <f>CHOOSE(CONTROL!$C$42, 7.1695, 7.1695) * CHOOSE(CONTROL!$C$21, $C$9, 100%, $E$9)</f>
        <v>7.1695000000000002</v>
      </c>
      <c r="O101" s="14">
        <f>CHOOSE(CONTROL!$C$42, 7.4022, 7.4022) * CHOOSE(CONTROL!$C$21, $C$9, 100%, $E$9)</f>
        <v>7.4021999999999997</v>
      </c>
      <c r="P101" s="14">
        <f>CHOOSE(CONTROL!$C$42, 7.2038, 7.2038) * CHOOSE(CONTROL!$C$21, $C$9, 100%, $E$9)</f>
        <v>7.2038000000000002</v>
      </c>
      <c r="Q101" s="14">
        <f>CHOOSE(CONTROL!$C$42, 7.9969, 7.9969) * CHOOSE(CONTROL!$C$21, $C$9, 100%, $E$9)</f>
        <v>7.9969000000000001</v>
      </c>
      <c r="R101" s="14">
        <f>CHOOSE(CONTROL!$C$42, 8.6039, 8.6039) * CHOOSE(CONTROL!$C$21, $C$9, 100%, $E$9)</f>
        <v>8.6038999999999994</v>
      </c>
      <c r="S101" s="14">
        <f>CHOOSE(CONTROL!$C$42, 7.0194, 7.0194) * CHOOSE(CONTROL!$C$21, $C$9, 100%, $E$9)</f>
        <v>7.0194000000000001</v>
      </c>
      <c r="T1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7">
        <f>(1000*CHOOSE(CONTROL!$C$42, 695, 695)*CHOOSE(CONTROL!$C$42, 0.5599, 0.5599)*CHOOSE(CONTROL!$C$42, 31, 31))/1000000</f>
        <v>12.063045499999998</v>
      </c>
      <c r="V101" s="57">
        <f>(1000*CHOOSE(CONTROL!$C$42, 500, 500)*CHOOSE(CONTROL!$C$42, 0.275, 0.275)*CHOOSE(CONTROL!$C$42, 31, 31))/1000000</f>
        <v>4.2625000000000002</v>
      </c>
      <c r="W101" s="57">
        <f>(1000*CHOOSE(CONTROL!$C$42, 0.1146, 0.1146)*CHOOSE(CONTROL!$C$42, 121.5, 121.5)*CHOOSE(CONTROL!$C$42, 31, 31))/1000000</f>
        <v>0.43164089999999994</v>
      </c>
      <c r="X101" s="57">
        <f>(31*0.1790888*245000/1000000)+(31*0.2374*100000/1000000)</f>
        <v>2.0961194359999999</v>
      </c>
      <c r="Y101" s="57"/>
      <c r="Z101" s="14"/>
      <c r="AA101" s="56"/>
      <c r="AB101" s="50">
        <f>(B101*194.205+C101*267.466+D101*133.845+E101*53.484+F101*40+G101*185+H101*0+I101*100+J101*300)/(194.205+267.466+133.845+53.484+0+40+185+100+300)</f>
        <v>7.3478623254317101</v>
      </c>
      <c r="AC101" s="45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7.2342000000000004</v>
      </c>
    </row>
    <row r="102" spans="1:29" ht="15.75" x14ac:dyDescent="0.25">
      <c r="A102" s="13">
        <v>43983</v>
      </c>
      <c r="B102" s="14">
        <f>CHOOSE(CONTROL!$C$42, 7.5387, 7.5387) * CHOOSE(CONTROL!$C$21, $C$9, 100%, $E$9)</f>
        <v>7.5387000000000004</v>
      </c>
      <c r="C102" s="14">
        <f>CHOOSE(CONTROL!$C$42, 7.5467, 7.5467) * CHOOSE(CONTROL!$C$21, $C$9, 100%, $E$9)</f>
        <v>7.5467000000000004</v>
      </c>
      <c r="D102" s="14">
        <f>CHOOSE(CONTROL!$C$42, 7.7517, 7.7517) * CHOOSE(CONTROL!$C$21, $C$9, 100%, $E$9)</f>
        <v>7.7516999999999996</v>
      </c>
      <c r="E102" s="14">
        <f>CHOOSE(CONTROL!$C$42, 7.7832, 7.7832) * CHOOSE(CONTROL!$C$21, $C$9, 100%, $E$9)</f>
        <v>7.7831999999999999</v>
      </c>
      <c r="F102" s="14">
        <f>CHOOSE(CONTROL!$C$42, 7.5253, 7.5253)*CHOOSE(CONTROL!$C$21, $C$9, 100%, $E$9)</f>
        <v>7.5252999999999997</v>
      </c>
      <c r="G102" s="14">
        <f>CHOOSE(CONTROL!$C$42, 7.5418, 7.5418)*CHOOSE(CONTROL!$C$21, $C$9, 100%, $E$9)</f>
        <v>7.5418000000000003</v>
      </c>
      <c r="H102" s="14">
        <f>CHOOSE(CONTROL!$C$42, 7.7718, 7.7718) * CHOOSE(CONTROL!$C$21, $C$9, 100%, $E$9)</f>
        <v>7.7717999999999998</v>
      </c>
      <c r="I102" s="14">
        <f>CHOOSE(CONTROL!$C$42, 7.5704, 7.5704)* CHOOSE(CONTROL!$C$21, $C$9, 100%, $E$9)</f>
        <v>7.5704000000000002</v>
      </c>
      <c r="J102" s="14">
        <f>CHOOSE(CONTROL!$C$42, 7.5183, 7.5183)* CHOOSE(CONTROL!$C$21, $C$9, 100%, $E$9)</f>
        <v>7.5183</v>
      </c>
      <c r="K102" s="53">
        <f>CHOOSE(CONTROL!$C$42, 7.5665, 7.5665) * CHOOSE(CONTROL!$C$21, $C$9, 100%, $E$9)</f>
        <v>7.5664999999999996</v>
      </c>
      <c r="L102" s="14">
        <f>CHOOSE(CONTROL!$C$42, 8.3588, 8.3588) * CHOOSE(CONTROL!$C$21, $C$9, 100%, $E$9)</f>
        <v>8.3588000000000005</v>
      </c>
      <c r="M102" s="14">
        <f>CHOOSE(CONTROL!$C$42, 7.3719, 7.3719) * CHOOSE(CONTROL!$C$21, $C$9, 100%, $E$9)</f>
        <v>7.3719000000000001</v>
      </c>
      <c r="N102" s="14">
        <f>CHOOSE(CONTROL!$C$42, 7.3881, 7.3881) * CHOOSE(CONTROL!$C$21, $C$9, 100%, $E$9)</f>
        <v>7.3880999999999997</v>
      </c>
      <c r="O102" s="14">
        <f>CHOOSE(CONTROL!$C$42, 7.6203, 7.6203) * CHOOSE(CONTROL!$C$21, $C$9, 100%, $E$9)</f>
        <v>7.6203000000000003</v>
      </c>
      <c r="P102" s="14">
        <f>CHOOSE(CONTROL!$C$42, 7.4226, 7.4226) * CHOOSE(CONTROL!$C$21, $C$9, 100%, $E$9)</f>
        <v>7.4226000000000001</v>
      </c>
      <c r="Q102" s="14">
        <f>CHOOSE(CONTROL!$C$42, 8.215, 8.215) * CHOOSE(CONTROL!$C$21, $C$9, 100%, $E$9)</f>
        <v>8.2149999999999999</v>
      </c>
      <c r="R102" s="14">
        <f>CHOOSE(CONTROL!$C$42, 8.8225, 8.8225) * CHOOSE(CONTROL!$C$21, $C$9, 100%, $E$9)</f>
        <v>8.8224999999999998</v>
      </c>
      <c r="S102" s="14">
        <f>CHOOSE(CONTROL!$C$42, 7.2333, 7.2333) * CHOOSE(CONTROL!$C$21, $C$9, 100%, $E$9)</f>
        <v>7.2332999999999998</v>
      </c>
      <c r="T1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7">
        <f>(1000*CHOOSE(CONTROL!$C$42, 695, 695)*CHOOSE(CONTROL!$C$42, 0.5599, 0.5599)*CHOOSE(CONTROL!$C$42, 30, 30))/1000000</f>
        <v>11.673914999999997</v>
      </c>
      <c r="V102" s="57">
        <f>(1000*CHOOSE(CONTROL!$C$42, 500, 500)*CHOOSE(CONTROL!$C$42, 0.275, 0.275)*CHOOSE(CONTROL!$C$42, 30, 30))/1000000</f>
        <v>4.125</v>
      </c>
      <c r="W102" s="57">
        <f>(1000*CHOOSE(CONTROL!$C$42, 0.1146, 0.1146)*CHOOSE(CONTROL!$C$42, 121.5, 121.5)*CHOOSE(CONTROL!$C$42, 30, 30))/1000000</f>
        <v>0.417717</v>
      </c>
      <c r="X102" s="57">
        <f>(30*0.1790888*245000/1000000)+(30*0.2374*100000/1000000)</f>
        <v>2.0285026799999999</v>
      </c>
      <c r="Y102" s="57"/>
      <c r="Z102" s="14"/>
      <c r="AA102" s="56"/>
      <c r="AB102" s="50">
        <f>(B102*194.205+C102*267.466+D102*133.845+E102*53.484+F102*40+G102*185+H102*0+I102*100+J102*300)/(194.205+267.466+133.845+53.484+0+40+185+100+300)</f>
        <v>7.5707353618524325</v>
      </c>
      <c r="AC102" s="45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7.4526194244604316</v>
      </c>
    </row>
    <row r="103" spans="1:29" ht="15.75" x14ac:dyDescent="0.25">
      <c r="A103" s="13">
        <v>44013</v>
      </c>
      <c r="B103" s="14">
        <f>CHOOSE(CONTROL!$C$42, 7.4095, 7.4095) * CHOOSE(CONTROL!$C$21, $C$9, 100%, $E$9)</f>
        <v>7.4095000000000004</v>
      </c>
      <c r="C103" s="14">
        <f>CHOOSE(CONTROL!$C$42, 7.4176, 7.4176) * CHOOSE(CONTROL!$C$21, $C$9, 100%, $E$9)</f>
        <v>7.4176000000000002</v>
      </c>
      <c r="D103" s="14">
        <f>CHOOSE(CONTROL!$C$42, 7.6225, 7.6225) * CHOOSE(CONTROL!$C$21, $C$9, 100%, $E$9)</f>
        <v>7.6224999999999996</v>
      </c>
      <c r="E103" s="14">
        <f>CHOOSE(CONTROL!$C$42, 7.654, 7.654) * CHOOSE(CONTROL!$C$21, $C$9, 100%, $E$9)</f>
        <v>7.6539999999999999</v>
      </c>
      <c r="F103" s="14">
        <f>CHOOSE(CONTROL!$C$42, 7.3965, 7.3965)*CHOOSE(CONTROL!$C$21, $C$9, 100%, $E$9)</f>
        <v>7.3964999999999996</v>
      </c>
      <c r="G103" s="14">
        <f>CHOOSE(CONTROL!$C$42, 7.4131, 7.4131)*CHOOSE(CONTROL!$C$21, $C$9, 100%, $E$9)</f>
        <v>7.4131</v>
      </c>
      <c r="H103" s="14">
        <f>CHOOSE(CONTROL!$C$42, 7.6426, 7.6426) * CHOOSE(CONTROL!$C$21, $C$9, 100%, $E$9)</f>
        <v>7.6425999999999998</v>
      </c>
      <c r="I103" s="14">
        <f>CHOOSE(CONTROL!$C$42, 7.4408, 7.4408)* CHOOSE(CONTROL!$C$21, $C$9, 100%, $E$9)</f>
        <v>7.4408000000000003</v>
      </c>
      <c r="J103" s="14">
        <f>CHOOSE(CONTROL!$C$42, 7.3895, 7.3895)* CHOOSE(CONTROL!$C$21, $C$9, 100%, $E$9)</f>
        <v>7.3895</v>
      </c>
      <c r="K103" s="53">
        <f>CHOOSE(CONTROL!$C$42, 7.4369, 7.4369) * CHOOSE(CONTROL!$C$21, $C$9, 100%, $E$9)</f>
        <v>7.4368999999999996</v>
      </c>
      <c r="L103" s="14">
        <f>CHOOSE(CONTROL!$C$42, 8.2296, 8.2296) * CHOOSE(CONTROL!$C$21, $C$9, 100%, $E$9)</f>
        <v>8.2295999999999996</v>
      </c>
      <c r="M103" s="14">
        <f>CHOOSE(CONTROL!$C$42, 7.2458, 7.2458) * CHOOSE(CONTROL!$C$21, $C$9, 100%, $E$9)</f>
        <v>7.2458</v>
      </c>
      <c r="N103" s="14">
        <f>CHOOSE(CONTROL!$C$42, 7.2621, 7.2621) * CHOOSE(CONTROL!$C$21, $C$9, 100%, $E$9)</f>
        <v>7.2621000000000002</v>
      </c>
      <c r="O103" s="14">
        <f>CHOOSE(CONTROL!$C$42, 7.4937, 7.4937) * CHOOSE(CONTROL!$C$21, $C$9, 100%, $E$9)</f>
        <v>7.4936999999999996</v>
      </c>
      <c r="P103" s="14">
        <f>CHOOSE(CONTROL!$C$42, 7.2956, 7.2956) * CHOOSE(CONTROL!$C$21, $C$9, 100%, $E$9)</f>
        <v>7.2956000000000003</v>
      </c>
      <c r="Q103" s="14">
        <f>CHOOSE(CONTROL!$C$42, 8.0884, 8.0884) * CHOOSE(CONTROL!$C$21, $C$9, 100%, $E$9)</f>
        <v>8.0884</v>
      </c>
      <c r="R103" s="14">
        <f>CHOOSE(CONTROL!$C$42, 8.6956, 8.6956) * CHOOSE(CONTROL!$C$21, $C$9, 100%, $E$9)</f>
        <v>8.6956000000000007</v>
      </c>
      <c r="S103" s="14">
        <f>CHOOSE(CONTROL!$C$42, 7.1092, 7.1092) * CHOOSE(CONTROL!$C$21, $C$9, 100%, $E$9)</f>
        <v>7.1092000000000004</v>
      </c>
      <c r="T1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7">
        <f>(1000*CHOOSE(CONTROL!$C$42, 695, 695)*CHOOSE(CONTROL!$C$42, 0.5599, 0.5599)*CHOOSE(CONTROL!$C$42, 31, 31))/1000000</f>
        <v>12.063045499999998</v>
      </c>
      <c r="V103" s="57">
        <f>(1000*CHOOSE(CONTROL!$C$42, 500, 500)*CHOOSE(CONTROL!$C$42, 0.275, 0.275)*CHOOSE(CONTROL!$C$42, 31, 31))/1000000</f>
        <v>4.2625000000000002</v>
      </c>
      <c r="W103" s="57">
        <f>(1000*CHOOSE(CONTROL!$C$42, 0.1146, 0.1146)*CHOOSE(CONTROL!$C$42, 121.5, 121.5)*CHOOSE(CONTROL!$C$42, 31, 31))/1000000</f>
        <v>0.43164089999999994</v>
      </c>
      <c r="X103" s="57">
        <f>(31*0.1790888*245000/1000000)+(31*0.2374*100000/1000000)</f>
        <v>2.0961194359999999</v>
      </c>
      <c r="Y103" s="57"/>
      <c r="Z103" s="14"/>
      <c r="AA103" s="56"/>
      <c r="AB103" s="50">
        <f>(B103*194.205+C103*267.466+D103*133.845+E103*53.484+F103*40+G103*185+H103*0+I103*100+J103*300)/(194.205+267.466+133.845+53.484+0+40+185+100+300)</f>
        <v>7.4417043152276294</v>
      </c>
      <c r="AC103" s="45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7.3262726618705036</v>
      </c>
    </row>
    <row r="104" spans="1:29" ht="15.75" x14ac:dyDescent="0.25">
      <c r="A104" s="13">
        <v>44044</v>
      </c>
      <c r="B104" s="14">
        <f>CHOOSE(CONTROL!$C$42, 7.0586, 7.0586) * CHOOSE(CONTROL!$C$21, $C$9, 100%, $E$9)</f>
        <v>7.0586000000000002</v>
      </c>
      <c r="C104" s="14">
        <f>CHOOSE(CONTROL!$C$42, 7.0666, 7.0666) * CHOOSE(CONTROL!$C$21, $C$9, 100%, $E$9)</f>
        <v>7.0666000000000002</v>
      </c>
      <c r="D104" s="14">
        <f>CHOOSE(CONTROL!$C$42, 7.2716, 7.2716) * CHOOSE(CONTROL!$C$21, $C$9, 100%, $E$9)</f>
        <v>7.2716000000000003</v>
      </c>
      <c r="E104" s="14">
        <f>CHOOSE(CONTROL!$C$42, 7.3031, 7.3031) * CHOOSE(CONTROL!$C$21, $C$9, 100%, $E$9)</f>
        <v>7.3030999999999997</v>
      </c>
      <c r="F104" s="14">
        <f>CHOOSE(CONTROL!$C$42, 7.0458, 7.0458)*CHOOSE(CONTROL!$C$21, $C$9, 100%, $E$9)</f>
        <v>7.0457999999999998</v>
      </c>
      <c r="G104" s="14">
        <f>CHOOSE(CONTROL!$C$42, 7.0625, 7.0625)*CHOOSE(CONTROL!$C$21, $C$9, 100%, $E$9)</f>
        <v>7.0625</v>
      </c>
      <c r="H104" s="14">
        <f>CHOOSE(CONTROL!$C$42, 7.2917, 7.2917) * CHOOSE(CONTROL!$C$21, $C$9, 100%, $E$9)</f>
        <v>7.2916999999999996</v>
      </c>
      <c r="I104" s="14">
        <f>CHOOSE(CONTROL!$C$42, 7.0888, 7.0888)* CHOOSE(CONTROL!$C$21, $C$9, 100%, $E$9)</f>
        <v>7.0888</v>
      </c>
      <c r="J104" s="14">
        <f>CHOOSE(CONTROL!$C$42, 7.0388, 7.0388)* CHOOSE(CONTROL!$C$21, $C$9, 100%, $E$9)</f>
        <v>7.0388000000000002</v>
      </c>
      <c r="K104" s="53">
        <f>CHOOSE(CONTROL!$C$42, 7.0849, 7.0849) * CHOOSE(CONTROL!$C$21, $C$9, 100%, $E$9)</f>
        <v>7.0849000000000002</v>
      </c>
      <c r="L104" s="14">
        <f>CHOOSE(CONTROL!$C$42, 7.8787, 7.8787) * CHOOSE(CONTROL!$C$21, $C$9, 100%, $E$9)</f>
        <v>7.8787000000000003</v>
      </c>
      <c r="M104" s="14">
        <f>CHOOSE(CONTROL!$C$42, 6.9023, 6.9023) * CHOOSE(CONTROL!$C$21, $C$9, 100%, $E$9)</f>
        <v>6.9023000000000003</v>
      </c>
      <c r="N104" s="14">
        <f>CHOOSE(CONTROL!$C$42, 6.9186, 6.9186) * CHOOSE(CONTROL!$C$21, $C$9, 100%, $E$9)</f>
        <v>6.9185999999999996</v>
      </c>
      <c r="O104" s="14">
        <f>CHOOSE(CONTROL!$C$42, 7.15, 7.15) * CHOOSE(CONTROL!$C$21, $C$9, 100%, $E$9)</f>
        <v>7.15</v>
      </c>
      <c r="P104" s="14">
        <f>CHOOSE(CONTROL!$C$42, 6.9509, 6.9509) * CHOOSE(CONTROL!$C$21, $C$9, 100%, $E$9)</f>
        <v>6.9508999999999999</v>
      </c>
      <c r="Q104" s="14">
        <f>CHOOSE(CONTROL!$C$42, 7.7447, 7.7447) * CHOOSE(CONTROL!$C$21, $C$9, 100%, $E$9)</f>
        <v>7.7446999999999999</v>
      </c>
      <c r="R104" s="14">
        <f>CHOOSE(CONTROL!$C$42, 8.3511, 8.3511) * CHOOSE(CONTROL!$C$21, $C$9, 100%, $E$9)</f>
        <v>8.3511000000000006</v>
      </c>
      <c r="S104" s="14">
        <f>CHOOSE(CONTROL!$C$42, 6.772, 6.772) * CHOOSE(CONTROL!$C$21, $C$9, 100%, $E$9)</f>
        <v>6.7720000000000002</v>
      </c>
      <c r="T1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7">
        <f>(1000*CHOOSE(CONTROL!$C$42, 695, 695)*CHOOSE(CONTROL!$C$42, 0.5599, 0.5599)*CHOOSE(CONTROL!$C$42, 31, 31))/1000000</f>
        <v>12.063045499999998</v>
      </c>
      <c r="V104" s="57">
        <f>(1000*CHOOSE(CONTROL!$C$42, 500, 500)*CHOOSE(CONTROL!$C$42, 0.275, 0.275)*CHOOSE(CONTROL!$C$42, 31, 31))/1000000</f>
        <v>4.2625000000000002</v>
      </c>
      <c r="W104" s="57">
        <f>(1000*CHOOSE(CONTROL!$C$42, 0.1146, 0.1146)*CHOOSE(CONTROL!$C$42, 121.5, 121.5)*CHOOSE(CONTROL!$C$42, 31, 31))/1000000</f>
        <v>0.43164089999999994</v>
      </c>
      <c r="X104" s="57">
        <f>(31*0.1790888*245000/1000000)+(31*0.2374*100000/1000000)</f>
        <v>2.0961194359999999</v>
      </c>
      <c r="Y104" s="57"/>
      <c r="Z104" s="14"/>
      <c r="AA104" s="56"/>
      <c r="AB104" s="50">
        <f>(B104*194.205+C104*267.466+D104*133.845+E104*53.484+F104*40+G104*185+H104*0+I104*100+J104*300)/(194.205+267.466+133.845+53.484+0+40+185+100+300)</f>
        <v>7.0907939175824177</v>
      </c>
      <c r="AC104" s="45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6.9825438848920873</v>
      </c>
    </row>
    <row r="105" spans="1:29" ht="15.75" x14ac:dyDescent="0.25">
      <c r="A105" s="13">
        <v>44075</v>
      </c>
      <c r="B105" s="14">
        <f>CHOOSE(CONTROL!$C$42, 6.6245, 6.6245) * CHOOSE(CONTROL!$C$21, $C$9, 100%, $E$9)</f>
        <v>6.6245000000000003</v>
      </c>
      <c r="C105" s="14">
        <f>CHOOSE(CONTROL!$C$42, 6.6325, 6.6325) * CHOOSE(CONTROL!$C$21, $C$9, 100%, $E$9)</f>
        <v>6.6325000000000003</v>
      </c>
      <c r="D105" s="14">
        <f>CHOOSE(CONTROL!$C$42, 6.8375, 6.8375) * CHOOSE(CONTROL!$C$21, $C$9, 100%, $E$9)</f>
        <v>6.8375000000000004</v>
      </c>
      <c r="E105" s="14">
        <f>CHOOSE(CONTROL!$C$42, 6.8689, 6.8689) * CHOOSE(CONTROL!$C$21, $C$9, 100%, $E$9)</f>
        <v>6.8689</v>
      </c>
      <c r="F105" s="14">
        <f>CHOOSE(CONTROL!$C$42, 6.6116, 6.6116)*CHOOSE(CONTROL!$C$21, $C$9, 100%, $E$9)</f>
        <v>6.6116000000000001</v>
      </c>
      <c r="G105" s="14">
        <f>CHOOSE(CONTROL!$C$42, 6.6283, 6.6283)*CHOOSE(CONTROL!$C$21, $C$9, 100%, $E$9)</f>
        <v>6.6283000000000003</v>
      </c>
      <c r="H105" s="14">
        <f>CHOOSE(CONTROL!$C$42, 6.8576, 6.8576) * CHOOSE(CONTROL!$C$21, $C$9, 100%, $E$9)</f>
        <v>6.8575999999999997</v>
      </c>
      <c r="I105" s="14">
        <f>CHOOSE(CONTROL!$C$42, 6.6533, 6.6533)* CHOOSE(CONTROL!$C$21, $C$9, 100%, $E$9)</f>
        <v>6.6532999999999998</v>
      </c>
      <c r="J105" s="14">
        <f>CHOOSE(CONTROL!$C$42, 6.6046, 6.6046)* CHOOSE(CONTROL!$C$21, $C$9, 100%, $E$9)</f>
        <v>6.6045999999999996</v>
      </c>
      <c r="K105" s="53">
        <f>CHOOSE(CONTROL!$C$42, 6.6494, 6.6494) * CHOOSE(CONTROL!$C$21, $C$9, 100%, $E$9)</f>
        <v>6.6494</v>
      </c>
      <c r="L105" s="14">
        <f>CHOOSE(CONTROL!$C$42, 7.4446, 7.4446) * CHOOSE(CONTROL!$C$21, $C$9, 100%, $E$9)</f>
        <v>7.4446000000000003</v>
      </c>
      <c r="M105" s="14">
        <f>CHOOSE(CONTROL!$C$42, 6.477, 6.477) * CHOOSE(CONTROL!$C$21, $C$9, 100%, $E$9)</f>
        <v>6.4770000000000003</v>
      </c>
      <c r="N105" s="14">
        <f>CHOOSE(CONTROL!$C$42, 6.4933, 6.4933) * CHOOSE(CONTROL!$C$21, $C$9, 100%, $E$9)</f>
        <v>6.4932999999999996</v>
      </c>
      <c r="O105" s="14">
        <f>CHOOSE(CONTROL!$C$42, 6.7247, 6.7247) * CHOOSE(CONTROL!$C$21, $C$9, 100%, $E$9)</f>
        <v>6.7247000000000003</v>
      </c>
      <c r="P105" s="14">
        <f>CHOOSE(CONTROL!$C$42, 6.5243, 6.5243) * CHOOSE(CONTROL!$C$21, $C$9, 100%, $E$9)</f>
        <v>6.5243000000000002</v>
      </c>
      <c r="Q105" s="14">
        <f>CHOOSE(CONTROL!$C$42, 7.3194, 7.3194) * CHOOSE(CONTROL!$C$21, $C$9, 100%, $E$9)</f>
        <v>7.3193999999999999</v>
      </c>
      <c r="R105" s="14">
        <f>CHOOSE(CONTROL!$C$42, 7.9247, 7.9247) * CHOOSE(CONTROL!$C$21, $C$9, 100%, $E$9)</f>
        <v>7.9246999999999996</v>
      </c>
      <c r="S105" s="14">
        <f>CHOOSE(CONTROL!$C$42, 6.3548, 6.3548) * CHOOSE(CONTROL!$C$21, $C$9, 100%, $E$9)</f>
        <v>6.3548</v>
      </c>
      <c r="T1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7">
        <f>(1000*CHOOSE(CONTROL!$C$42, 695, 695)*CHOOSE(CONTROL!$C$42, 0.5599, 0.5599)*CHOOSE(CONTROL!$C$42, 30, 30))/1000000</f>
        <v>11.673914999999997</v>
      </c>
      <c r="V105" s="57">
        <f>(1000*CHOOSE(CONTROL!$C$42, 500, 500)*CHOOSE(CONTROL!$C$42, 0.275, 0.275)*CHOOSE(CONTROL!$C$42, 30, 30))/1000000</f>
        <v>4.125</v>
      </c>
      <c r="W105" s="57">
        <f>(1000*CHOOSE(CONTROL!$C$42, 0.1146, 0.1146)*CHOOSE(CONTROL!$C$42, 121.5, 121.5)*CHOOSE(CONTROL!$C$42, 30, 30))/1000000</f>
        <v>0.417717</v>
      </c>
      <c r="X105" s="57">
        <f>(30*0.1790888*245000/1000000)+(30*0.2374*100000/1000000)</f>
        <v>2.0285026799999999</v>
      </c>
      <c r="Y105" s="57"/>
      <c r="Z105" s="14"/>
      <c r="AA105" s="56"/>
      <c r="AB105" s="50">
        <f>(B105*194.205+C105*267.466+D105*133.845+E105*53.484+F105*40+G105*185+H105*0+I105*100+J105*300)/(194.205+267.466+133.845+53.484+0+40+185+100+300)</f>
        <v>6.656538620565148</v>
      </c>
      <c r="AC105" s="45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6.557056834532375</v>
      </c>
    </row>
    <row r="106" spans="1:29" ht="15.75" x14ac:dyDescent="0.25">
      <c r="A106" s="13">
        <v>44105</v>
      </c>
      <c r="B106" s="14">
        <f>CHOOSE(CONTROL!$C$42, 6.5018, 6.5018) * CHOOSE(CONTROL!$C$21, $C$9, 100%, $E$9)</f>
        <v>6.5018000000000002</v>
      </c>
      <c r="C106" s="14">
        <f>CHOOSE(CONTROL!$C$42, 6.5071, 6.5071) * CHOOSE(CONTROL!$C$21, $C$9, 100%, $E$9)</f>
        <v>6.5071000000000003</v>
      </c>
      <c r="D106" s="14">
        <f>CHOOSE(CONTROL!$C$42, 6.717, 6.717) * CHOOSE(CONTROL!$C$21, $C$9, 100%, $E$9)</f>
        <v>6.7169999999999996</v>
      </c>
      <c r="E106" s="14">
        <f>CHOOSE(CONTROL!$C$42, 6.7462, 6.7462) * CHOOSE(CONTROL!$C$21, $C$9, 100%, $E$9)</f>
        <v>6.7462</v>
      </c>
      <c r="F106" s="14">
        <f>CHOOSE(CONTROL!$C$42, 6.491, 6.491)*CHOOSE(CONTROL!$C$21, $C$9, 100%, $E$9)</f>
        <v>6.4909999999999997</v>
      </c>
      <c r="G106" s="14">
        <f>CHOOSE(CONTROL!$C$42, 6.5074, 6.5074)*CHOOSE(CONTROL!$C$21, $C$9, 100%, $E$9)</f>
        <v>6.5073999999999996</v>
      </c>
      <c r="H106" s="14">
        <f>CHOOSE(CONTROL!$C$42, 6.7366, 6.7366) * CHOOSE(CONTROL!$C$21, $C$9, 100%, $E$9)</f>
        <v>6.7366000000000001</v>
      </c>
      <c r="I106" s="14">
        <f>CHOOSE(CONTROL!$C$42, 6.532, 6.532)* CHOOSE(CONTROL!$C$21, $C$9, 100%, $E$9)</f>
        <v>6.532</v>
      </c>
      <c r="J106" s="14">
        <f>CHOOSE(CONTROL!$C$42, 6.484, 6.484)* CHOOSE(CONTROL!$C$21, $C$9, 100%, $E$9)</f>
        <v>6.484</v>
      </c>
      <c r="K106" s="53">
        <f>CHOOSE(CONTROL!$C$42, 6.5281, 6.5281) * CHOOSE(CONTROL!$C$21, $C$9, 100%, $E$9)</f>
        <v>6.5281000000000002</v>
      </c>
      <c r="L106" s="14">
        <f>CHOOSE(CONTROL!$C$42, 7.3236, 7.3236) * CHOOSE(CONTROL!$C$21, $C$9, 100%, $E$9)</f>
        <v>7.3235999999999999</v>
      </c>
      <c r="M106" s="14">
        <f>CHOOSE(CONTROL!$C$42, 6.3588, 6.3588) * CHOOSE(CONTROL!$C$21, $C$9, 100%, $E$9)</f>
        <v>6.3587999999999996</v>
      </c>
      <c r="N106" s="14">
        <f>CHOOSE(CONTROL!$C$42, 6.3749, 6.3749) * CHOOSE(CONTROL!$C$21, $C$9, 100%, $E$9)</f>
        <v>6.3749000000000002</v>
      </c>
      <c r="O106" s="14">
        <f>CHOOSE(CONTROL!$C$42, 6.6063, 6.6063) * CHOOSE(CONTROL!$C$21, $C$9, 100%, $E$9)</f>
        <v>6.6063000000000001</v>
      </c>
      <c r="P106" s="14">
        <f>CHOOSE(CONTROL!$C$42, 6.4055, 6.4055) * CHOOSE(CONTROL!$C$21, $C$9, 100%, $E$9)</f>
        <v>6.4055</v>
      </c>
      <c r="Q106" s="14">
        <f>CHOOSE(CONTROL!$C$42, 7.201, 7.201) * CHOOSE(CONTROL!$C$21, $C$9, 100%, $E$9)</f>
        <v>7.2009999999999996</v>
      </c>
      <c r="R106" s="14">
        <f>CHOOSE(CONTROL!$C$42, 7.806, 7.806) * CHOOSE(CONTROL!$C$21, $C$9, 100%, $E$9)</f>
        <v>7.806</v>
      </c>
      <c r="S106" s="14">
        <f>CHOOSE(CONTROL!$C$42, 6.2386, 6.2386) * CHOOSE(CONTROL!$C$21, $C$9, 100%, $E$9)</f>
        <v>6.2385999999999999</v>
      </c>
      <c r="T1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7">
        <f>(1000*CHOOSE(CONTROL!$C$42, 695, 695)*CHOOSE(CONTROL!$C$42, 0.5599, 0.5599)*CHOOSE(CONTROL!$C$42, 31, 31))/1000000</f>
        <v>12.063045499999998</v>
      </c>
      <c r="V106" s="57">
        <f>(1000*CHOOSE(CONTROL!$C$42, 500, 500)*CHOOSE(CONTROL!$C$42, 0.275, 0.275)*CHOOSE(CONTROL!$C$42, 31, 31))/1000000</f>
        <v>4.2625000000000002</v>
      </c>
      <c r="W106" s="57">
        <f>(1000*CHOOSE(CONTROL!$C$42, 0.1146, 0.1146)*CHOOSE(CONTROL!$C$42, 121.5, 121.5)*CHOOSE(CONTROL!$C$42, 31, 31))/1000000</f>
        <v>0.43164089999999994</v>
      </c>
      <c r="X106" s="57">
        <f>(31*0.1790888*245000/1000000)+(31*0.2374*100000/1000000)</f>
        <v>2.0961194359999999</v>
      </c>
      <c r="Y106" s="57"/>
      <c r="Z106" s="14"/>
      <c r="AA106" s="56"/>
      <c r="AB106" s="50">
        <f>(B106*131.881+C106*277.167+D106*79.08+E106*125.872+F106*40+G106*185+H106*0+I106*100+J106*300)/(131.881+277.167+79.08+125.872+0+40+185+100+300)</f>
        <v>6.5401649054882958</v>
      </c>
      <c r="AC106" s="45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6.438668345323741</v>
      </c>
    </row>
    <row r="107" spans="1:29" ht="15.75" x14ac:dyDescent="0.25">
      <c r="A107" s="13">
        <v>44136</v>
      </c>
      <c r="B107" s="14">
        <f>CHOOSE(CONTROL!$C$42, 6.6861, 6.6861) * CHOOSE(CONTROL!$C$21, $C$9, 100%, $E$9)</f>
        <v>6.6860999999999997</v>
      </c>
      <c r="C107" s="14">
        <f>CHOOSE(CONTROL!$C$42, 6.6912, 6.6912) * CHOOSE(CONTROL!$C$21, $C$9, 100%, $E$9)</f>
        <v>6.6912000000000003</v>
      </c>
      <c r="D107" s="14">
        <f>CHOOSE(CONTROL!$C$42, 6.755, 6.755) * CHOOSE(CONTROL!$C$21, $C$9, 100%, $E$9)</f>
        <v>6.7549999999999999</v>
      </c>
      <c r="E107" s="14">
        <f>CHOOSE(CONTROL!$C$42, 6.7891, 6.7891) * CHOOSE(CONTROL!$C$21, $C$9, 100%, $E$9)</f>
        <v>6.7891000000000004</v>
      </c>
      <c r="F107" s="14">
        <f>CHOOSE(CONTROL!$C$42, 6.6884, 6.6884)*CHOOSE(CONTROL!$C$21, $C$9, 100%, $E$9)</f>
        <v>6.6883999999999997</v>
      </c>
      <c r="G107" s="14">
        <f>CHOOSE(CONTROL!$C$42, 6.705, 6.705)*CHOOSE(CONTROL!$C$21, $C$9, 100%, $E$9)</f>
        <v>6.7050000000000001</v>
      </c>
      <c r="H107" s="14">
        <f>CHOOSE(CONTROL!$C$42, 6.7783, 6.7783) * CHOOSE(CONTROL!$C$21, $C$9, 100%, $E$9)</f>
        <v>6.7782999999999998</v>
      </c>
      <c r="I107" s="14">
        <f>CHOOSE(CONTROL!$C$42, 6.7209, 6.7209)* CHOOSE(CONTROL!$C$21, $C$9, 100%, $E$9)</f>
        <v>6.7209000000000003</v>
      </c>
      <c r="J107" s="14">
        <f>CHOOSE(CONTROL!$C$42, 6.6814, 6.6814)* CHOOSE(CONTROL!$C$21, $C$9, 100%, $E$9)</f>
        <v>6.6814</v>
      </c>
      <c r="K107" s="53">
        <f>CHOOSE(CONTROL!$C$42, 6.717, 6.717) * CHOOSE(CONTROL!$C$21, $C$9, 100%, $E$9)</f>
        <v>6.7169999999999996</v>
      </c>
      <c r="L107" s="14">
        <f>CHOOSE(CONTROL!$C$42, 7.3653, 7.3653) * CHOOSE(CONTROL!$C$21, $C$9, 100%, $E$9)</f>
        <v>7.3653000000000004</v>
      </c>
      <c r="M107" s="14">
        <f>CHOOSE(CONTROL!$C$42, 6.5522, 6.5522) * CHOOSE(CONTROL!$C$21, $C$9, 100%, $E$9)</f>
        <v>6.5522</v>
      </c>
      <c r="N107" s="14">
        <f>CHOOSE(CONTROL!$C$42, 6.5685, 6.5685) * CHOOSE(CONTROL!$C$21, $C$9, 100%, $E$9)</f>
        <v>6.5685000000000002</v>
      </c>
      <c r="O107" s="14">
        <f>CHOOSE(CONTROL!$C$42, 6.6471, 6.6471) * CHOOSE(CONTROL!$C$21, $C$9, 100%, $E$9)</f>
        <v>6.6471</v>
      </c>
      <c r="P107" s="14">
        <f>CHOOSE(CONTROL!$C$42, 6.5906, 6.5906) * CHOOSE(CONTROL!$C$21, $C$9, 100%, $E$9)</f>
        <v>6.5906000000000002</v>
      </c>
      <c r="Q107" s="14">
        <f>CHOOSE(CONTROL!$C$42, 7.2418, 7.2418) * CHOOSE(CONTROL!$C$21, $C$9, 100%, $E$9)</f>
        <v>7.2417999999999996</v>
      </c>
      <c r="R107" s="14">
        <f>CHOOSE(CONTROL!$C$42, 7.8469, 7.8469) * CHOOSE(CONTROL!$C$21, $C$9, 100%, $E$9)</f>
        <v>7.8468999999999998</v>
      </c>
      <c r="S107" s="14">
        <f>CHOOSE(CONTROL!$C$42, 6.4161, 6.4161) * CHOOSE(CONTROL!$C$21, $C$9, 100%, $E$9)</f>
        <v>6.4161000000000001</v>
      </c>
      <c r="T1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7">
        <f>(1000*CHOOSE(CONTROL!$C$42, 695, 695)*CHOOSE(CONTROL!$C$42, 0.5599, 0.5599)*CHOOSE(CONTROL!$C$42, 30, 30))/1000000</f>
        <v>11.673914999999997</v>
      </c>
      <c r="V107" s="57">
        <f>(1000*CHOOSE(CONTROL!$C$42, 500, 500)*CHOOSE(CONTROL!$C$42, 0.275, 0.275)*CHOOSE(CONTROL!$C$42, 30, 30))/1000000</f>
        <v>4.125</v>
      </c>
      <c r="W107" s="57">
        <f>(1000*CHOOSE(CONTROL!$C$42, 0.1146, 0.1146)*CHOOSE(CONTROL!$C$42, 121.5, 121.5)*CHOOSE(CONTROL!$C$42, 30, 30))/1000000</f>
        <v>0.417717</v>
      </c>
      <c r="X107" s="57">
        <f>(30*0.1790888*100000/1000000)+(30*0.2374*100000/1000000)</f>
        <v>1.2494664</v>
      </c>
      <c r="Y107" s="57"/>
      <c r="Z107" s="14"/>
      <c r="AA107" s="56"/>
      <c r="AB107" s="50">
        <f>(B107*122.58+C107*297.941+D107*89.177+E107*40.302+F107*40+G107*160+H107*0+I107*100+J107*300)/(122.58+297.941+89.177+40.302+0+40+160+100+300)</f>
        <v>6.7008833916521739</v>
      </c>
      <c r="AC107" s="45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6.6016755395683449</v>
      </c>
    </row>
    <row r="108" spans="1:29" ht="15.75" x14ac:dyDescent="0.25">
      <c r="A108" s="13">
        <v>44166</v>
      </c>
      <c r="B108" s="14">
        <f>CHOOSE(CONTROL!$C$42, 7.156, 7.156) * CHOOSE(CONTROL!$C$21, $C$9, 100%, $E$9)</f>
        <v>7.1559999999999997</v>
      </c>
      <c r="C108" s="14">
        <f>CHOOSE(CONTROL!$C$42, 7.1611, 7.1611) * CHOOSE(CONTROL!$C$21, $C$9, 100%, $E$9)</f>
        <v>7.1611000000000002</v>
      </c>
      <c r="D108" s="14">
        <f>CHOOSE(CONTROL!$C$42, 7.2249, 7.2249) * CHOOSE(CONTROL!$C$21, $C$9, 100%, $E$9)</f>
        <v>7.2248999999999999</v>
      </c>
      <c r="E108" s="14">
        <f>CHOOSE(CONTROL!$C$42, 7.259, 7.259) * CHOOSE(CONTROL!$C$21, $C$9, 100%, $E$9)</f>
        <v>7.2590000000000003</v>
      </c>
      <c r="F108" s="14">
        <f>CHOOSE(CONTROL!$C$42, 7.1603, 7.1603)*CHOOSE(CONTROL!$C$21, $C$9, 100%, $E$9)</f>
        <v>7.1603000000000003</v>
      </c>
      <c r="G108" s="14">
        <f>CHOOSE(CONTROL!$C$42, 7.1775, 7.1775)*CHOOSE(CONTROL!$C$21, $C$9, 100%, $E$9)</f>
        <v>7.1775000000000002</v>
      </c>
      <c r="H108" s="14">
        <f>CHOOSE(CONTROL!$C$42, 7.2482, 7.2482) * CHOOSE(CONTROL!$C$21, $C$9, 100%, $E$9)</f>
        <v>7.2481999999999998</v>
      </c>
      <c r="I108" s="14">
        <f>CHOOSE(CONTROL!$C$42, 7.1923, 7.1923)* CHOOSE(CONTROL!$C$21, $C$9, 100%, $E$9)</f>
        <v>7.1923000000000004</v>
      </c>
      <c r="J108" s="14">
        <f>CHOOSE(CONTROL!$C$42, 7.1533, 7.1533)* CHOOSE(CONTROL!$C$21, $C$9, 100%, $E$9)</f>
        <v>7.1532999999999998</v>
      </c>
      <c r="K108" s="53">
        <f>CHOOSE(CONTROL!$C$42, 7.1884, 7.1884) * CHOOSE(CONTROL!$C$21, $C$9, 100%, $E$9)</f>
        <v>7.1883999999999997</v>
      </c>
      <c r="L108" s="14">
        <f>CHOOSE(CONTROL!$C$42, 7.8352, 7.8352) * CHOOSE(CONTROL!$C$21, $C$9, 100%, $E$9)</f>
        <v>7.8352000000000004</v>
      </c>
      <c r="M108" s="14">
        <f>CHOOSE(CONTROL!$C$42, 7.0144, 7.0144) * CHOOSE(CONTROL!$C$21, $C$9, 100%, $E$9)</f>
        <v>7.0144000000000002</v>
      </c>
      <c r="N108" s="14">
        <f>CHOOSE(CONTROL!$C$42, 7.0313, 7.0313) * CHOOSE(CONTROL!$C$21, $C$9, 100%, $E$9)</f>
        <v>7.0312999999999999</v>
      </c>
      <c r="O108" s="14">
        <f>CHOOSE(CONTROL!$C$42, 7.1074, 7.1074) * CHOOSE(CONTROL!$C$21, $C$9, 100%, $E$9)</f>
        <v>7.1074000000000002</v>
      </c>
      <c r="P108" s="14">
        <f>CHOOSE(CONTROL!$C$42, 7.0523, 7.0523) * CHOOSE(CONTROL!$C$21, $C$9, 100%, $E$9)</f>
        <v>7.0522999999999998</v>
      </c>
      <c r="Q108" s="14">
        <f>CHOOSE(CONTROL!$C$42, 7.7021, 7.7021) * CHOOSE(CONTROL!$C$21, $C$9, 100%, $E$9)</f>
        <v>7.7020999999999997</v>
      </c>
      <c r="R108" s="14">
        <f>CHOOSE(CONTROL!$C$42, 8.3083, 8.3083) * CHOOSE(CONTROL!$C$21, $C$9, 100%, $E$9)</f>
        <v>8.3082999999999991</v>
      </c>
      <c r="S108" s="14">
        <f>CHOOSE(CONTROL!$C$42, 6.8677, 6.8677) * CHOOSE(CONTROL!$C$21, $C$9, 100%, $E$9)</f>
        <v>6.8677000000000001</v>
      </c>
      <c r="T1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7">
        <f>(1000*CHOOSE(CONTROL!$C$42, 695, 695)*CHOOSE(CONTROL!$C$42, 0.5599, 0.5599)*CHOOSE(CONTROL!$C$42, 31, 31))/1000000</f>
        <v>12.063045499999998</v>
      </c>
      <c r="V108" s="57">
        <f>(1000*CHOOSE(CONTROL!$C$42, 500, 500)*CHOOSE(CONTROL!$C$42, 0.275, 0.275)*CHOOSE(CONTROL!$C$42, 31, 31))/1000000</f>
        <v>4.2625000000000002</v>
      </c>
      <c r="W108" s="57">
        <f>(1000*CHOOSE(CONTROL!$C$42, 0.1146, 0.1146)*CHOOSE(CONTROL!$C$42, 121.5, 121.5)*CHOOSE(CONTROL!$C$42, 31, 31))/1000000</f>
        <v>0.43164089999999994</v>
      </c>
      <c r="X108" s="57">
        <f>(31*0.1790888*100000/1000000)+(31*0.2374*100000/1000000)</f>
        <v>1.2911152800000001</v>
      </c>
      <c r="Y108" s="57"/>
      <c r="Z108" s="14"/>
      <c r="AA108" s="56"/>
      <c r="AB108" s="50">
        <f>(B108*122.58+C108*297.941+D108*89.177+E108*40.302+F108*40+G108*160+H108*0+I108*100+J108*300)/(122.58+297.941+89.177+40.302+0+40+160+100+300)</f>
        <v>7.1718668699130426</v>
      </c>
      <c r="AC108" s="45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7.0629769784172662</v>
      </c>
    </row>
    <row r="109" spans="1:29" ht="15.75" x14ac:dyDescent="0.25">
      <c r="A109" s="13">
        <v>44197</v>
      </c>
      <c r="B109" s="14">
        <f>CHOOSE(CONTROL!$C$42, 7.7173, 7.7173) * CHOOSE(CONTROL!$C$21, $C$9, 100%, $E$9)</f>
        <v>7.7172999999999998</v>
      </c>
      <c r="C109" s="14">
        <f>CHOOSE(CONTROL!$C$42, 7.7224, 7.7224) * CHOOSE(CONTROL!$C$21, $C$9, 100%, $E$9)</f>
        <v>7.7224000000000004</v>
      </c>
      <c r="D109" s="14">
        <f>CHOOSE(CONTROL!$C$42, 7.781, 7.781) * CHOOSE(CONTROL!$C$21, $C$9, 100%, $E$9)</f>
        <v>7.7809999999999997</v>
      </c>
      <c r="E109" s="14">
        <f>CHOOSE(CONTROL!$C$42, 7.8151, 7.8151) * CHOOSE(CONTROL!$C$21, $C$9, 100%, $E$9)</f>
        <v>7.8151000000000002</v>
      </c>
      <c r="F109" s="14">
        <f>CHOOSE(CONTROL!$C$42, 7.7164, 7.7164)*CHOOSE(CONTROL!$C$21, $C$9, 100%, $E$9)</f>
        <v>7.7164000000000001</v>
      </c>
      <c r="G109" s="14">
        <f>CHOOSE(CONTROL!$C$42, 7.7328, 7.7328)*CHOOSE(CONTROL!$C$21, $C$9, 100%, $E$9)</f>
        <v>7.7328000000000001</v>
      </c>
      <c r="H109" s="14">
        <f>CHOOSE(CONTROL!$C$42, 7.8043, 7.8043) * CHOOSE(CONTROL!$C$21, $C$9, 100%, $E$9)</f>
        <v>7.8042999999999996</v>
      </c>
      <c r="I109" s="14">
        <f>CHOOSE(CONTROL!$C$42, 7.7517, 7.7517)* CHOOSE(CONTROL!$C$21, $C$9, 100%, $E$9)</f>
        <v>7.7516999999999996</v>
      </c>
      <c r="J109" s="14">
        <f>CHOOSE(CONTROL!$C$42, 7.7094, 7.7094)* CHOOSE(CONTROL!$C$21, $C$9, 100%, $E$9)</f>
        <v>7.7093999999999996</v>
      </c>
      <c r="K109" s="53">
        <f>CHOOSE(CONTROL!$C$42, 7.7478, 7.7478) * CHOOSE(CONTROL!$C$21, $C$9, 100%, $E$9)</f>
        <v>7.7477999999999998</v>
      </c>
      <c r="L109" s="14">
        <f>CHOOSE(CONTROL!$C$42, 8.3913, 8.3913) * CHOOSE(CONTROL!$C$21, $C$9, 100%, $E$9)</f>
        <v>8.3912999999999993</v>
      </c>
      <c r="M109" s="14">
        <f>CHOOSE(CONTROL!$C$42, 7.5592, 7.5592) * CHOOSE(CONTROL!$C$21, $C$9, 100%, $E$9)</f>
        <v>7.5591999999999997</v>
      </c>
      <c r="N109" s="14">
        <f>CHOOSE(CONTROL!$C$42, 7.5752, 7.5752) * CHOOSE(CONTROL!$C$21, $C$9, 100%, $E$9)</f>
        <v>7.5751999999999997</v>
      </c>
      <c r="O109" s="14">
        <f>CHOOSE(CONTROL!$C$42, 7.6521, 7.6521) * CHOOSE(CONTROL!$C$21, $C$9, 100%, $E$9)</f>
        <v>7.6520999999999999</v>
      </c>
      <c r="P109" s="14">
        <f>CHOOSE(CONTROL!$C$42, 7.6002, 7.6002) * CHOOSE(CONTROL!$C$21, $C$9, 100%, $E$9)</f>
        <v>7.6002000000000001</v>
      </c>
      <c r="Q109" s="14">
        <f>CHOOSE(CONTROL!$C$42, 8.2468, 8.2468) * CHOOSE(CONTROL!$C$21, $C$9, 100%, $E$9)</f>
        <v>8.2468000000000004</v>
      </c>
      <c r="R109" s="14">
        <f>CHOOSE(CONTROL!$C$42, 8.8544, 8.8544) * CHOOSE(CONTROL!$C$21, $C$9, 100%, $E$9)</f>
        <v>8.8544</v>
      </c>
      <c r="S109" s="14">
        <f>CHOOSE(CONTROL!$C$42, 7.407, 7.407) * CHOOSE(CONTROL!$C$21, $C$9, 100%, $E$9)</f>
        <v>7.407</v>
      </c>
      <c r="T1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7">
        <f>(1000*CHOOSE(CONTROL!$C$42, 695, 695)*CHOOSE(CONTROL!$C$42, 0.5599, 0.5599)*CHOOSE(CONTROL!$C$42, 31, 31))/1000000</f>
        <v>12.063045499999998</v>
      </c>
      <c r="V109" s="57">
        <f>(1000*CHOOSE(CONTROL!$C$42, 500, 500)*CHOOSE(CONTROL!$C$42, 0.275, 0.275)*CHOOSE(CONTROL!$C$42, 31, 31))/1000000</f>
        <v>4.2625000000000002</v>
      </c>
      <c r="W109" s="57">
        <f>(1000*CHOOSE(CONTROL!$C$42, 0.1146, 0.1146)*CHOOSE(CONTROL!$C$42, 121.5, 121.5)*CHOOSE(CONTROL!$C$42, 31, 31))/1000000</f>
        <v>0.43164089999999994</v>
      </c>
      <c r="X109" s="57">
        <f>(31*0.1790888*100000/1000000)+(31*0.2374*100000/1000000)</f>
        <v>1.2911152800000001</v>
      </c>
      <c r="Y109" s="57"/>
      <c r="Z109" s="14"/>
      <c r="AA109" s="56"/>
      <c r="AB109" s="50">
        <f>(B109*122.58+C109*297.941+D109*89.177+E109*40.302+F109*40+G109*160+H109*0+I109*100+J109*300)/(122.58+297.941+89.177+40.302+0+40+160+100+300)</f>
        <v>7.730044008347825</v>
      </c>
      <c r="AC109" s="45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7.6081258992805765</v>
      </c>
    </row>
    <row r="110" spans="1:29" ht="15.75" x14ac:dyDescent="0.25">
      <c r="A110" s="13">
        <v>44228</v>
      </c>
      <c r="B110" s="14">
        <f>CHOOSE(CONTROL!$C$42, 7.8707, 7.8707) * CHOOSE(CONTROL!$C$21, $C$9, 100%, $E$9)</f>
        <v>7.8707000000000003</v>
      </c>
      <c r="C110" s="14">
        <f>CHOOSE(CONTROL!$C$42, 7.8758, 7.8758) * CHOOSE(CONTROL!$C$21, $C$9, 100%, $E$9)</f>
        <v>7.8757999999999999</v>
      </c>
      <c r="D110" s="14">
        <f>CHOOSE(CONTROL!$C$42, 7.9344, 7.9344) * CHOOSE(CONTROL!$C$21, $C$9, 100%, $E$9)</f>
        <v>7.9344000000000001</v>
      </c>
      <c r="E110" s="14">
        <f>CHOOSE(CONTROL!$C$42, 7.9685, 7.9685) * CHOOSE(CONTROL!$C$21, $C$9, 100%, $E$9)</f>
        <v>7.9684999999999997</v>
      </c>
      <c r="F110" s="14">
        <f>CHOOSE(CONTROL!$C$42, 7.8698, 7.8698)*CHOOSE(CONTROL!$C$21, $C$9, 100%, $E$9)</f>
        <v>7.8697999999999997</v>
      </c>
      <c r="G110" s="14">
        <f>CHOOSE(CONTROL!$C$42, 7.8861, 7.8861)*CHOOSE(CONTROL!$C$21, $C$9, 100%, $E$9)</f>
        <v>7.8860999999999999</v>
      </c>
      <c r="H110" s="14">
        <f>CHOOSE(CONTROL!$C$42, 7.9577, 7.9577) * CHOOSE(CONTROL!$C$21, $C$9, 100%, $E$9)</f>
        <v>7.9577</v>
      </c>
      <c r="I110" s="14">
        <f>CHOOSE(CONTROL!$C$42, 7.9056, 7.9056)* CHOOSE(CONTROL!$C$21, $C$9, 100%, $E$9)</f>
        <v>7.9055999999999997</v>
      </c>
      <c r="J110" s="14">
        <f>CHOOSE(CONTROL!$C$42, 7.8628, 7.8628)* CHOOSE(CONTROL!$C$21, $C$9, 100%, $E$9)</f>
        <v>7.8628</v>
      </c>
      <c r="K110" s="53">
        <f>CHOOSE(CONTROL!$C$42, 7.9017, 7.9017) * CHOOSE(CONTROL!$C$21, $C$9, 100%, $E$9)</f>
        <v>7.9016999999999999</v>
      </c>
      <c r="L110" s="14">
        <f>CHOOSE(CONTROL!$C$42, 8.5447, 8.5447) * CHOOSE(CONTROL!$C$21, $C$9, 100%, $E$9)</f>
        <v>8.5447000000000006</v>
      </c>
      <c r="M110" s="14">
        <f>CHOOSE(CONTROL!$C$42, 7.7094, 7.7094) * CHOOSE(CONTROL!$C$21, $C$9, 100%, $E$9)</f>
        <v>7.7093999999999996</v>
      </c>
      <c r="N110" s="14">
        <f>CHOOSE(CONTROL!$C$42, 7.7254, 7.7254) * CHOOSE(CONTROL!$C$21, $C$9, 100%, $E$9)</f>
        <v>7.7253999999999996</v>
      </c>
      <c r="O110" s="14">
        <f>CHOOSE(CONTROL!$C$42, 7.8023, 7.8023) * CHOOSE(CONTROL!$C$21, $C$9, 100%, $E$9)</f>
        <v>7.8022999999999998</v>
      </c>
      <c r="P110" s="14">
        <f>CHOOSE(CONTROL!$C$42, 7.7509, 7.7509) * CHOOSE(CONTROL!$C$21, $C$9, 100%, $E$9)</f>
        <v>7.7508999999999997</v>
      </c>
      <c r="Q110" s="14">
        <f>CHOOSE(CONTROL!$C$42, 8.397, 8.397) * CHOOSE(CONTROL!$C$21, $C$9, 100%, $E$9)</f>
        <v>8.3970000000000002</v>
      </c>
      <c r="R110" s="14">
        <f>CHOOSE(CONTROL!$C$42, 9.005, 9.005) * CHOOSE(CONTROL!$C$21, $C$9, 100%, $E$9)</f>
        <v>9.0050000000000008</v>
      </c>
      <c r="S110" s="14">
        <f>CHOOSE(CONTROL!$C$42, 7.5544, 7.5544) * CHOOSE(CONTROL!$C$21, $C$9, 100%, $E$9)</f>
        <v>7.5544000000000002</v>
      </c>
      <c r="T1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7">
        <f>(1000*CHOOSE(CONTROL!$C$42, 695, 695)*CHOOSE(CONTROL!$C$42, 0.5599, 0.5599)*CHOOSE(CONTROL!$C$42, 28, 28))/1000000</f>
        <v>10.895653999999999</v>
      </c>
      <c r="V110" s="57">
        <f>(1000*CHOOSE(CONTROL!$C$42, 500, 500)*CHOOSE(CONTROL!$C$42, 0.275, 0.275)*CHOOSE(CONTROL!$C$42, 28, 28))/1000000</f>
        <v>3.85</v>
      </c>
      <c r="W110" s="57">
        <f>(1000*CHOOSE(CONTROL!$C$42, 0.1146, 0.1146)*CHOOSE(CONTROL!$C$42, 121.5, 121.5)*CHOOSE(CONTROL!$C$42, 28, 28))/1000000</f>
        <v>0.38986920000000003</v>
      </c>
      <c r="X110" s="57">
        <f>(28*0.1790888*100000/1000000)+(28*0.2374*100000/1000000)</f>
        <v>1.16616864</v>
      </c>
      <c r="Y110" s="57"/>
      <c r="Z110" s="14"/>
      <c r="AA110" s="56"/>
      <c r="AB110" s="50">
        <f>(B110*122.58+C110*297.941+D110*89.177+E110*40.302+F110*40+G110*160+H110*0+I110*100+J110*300)/(122.58+297.941+89.177+40.302+0+40+160+100+300)</f>
        <v>7.8834735735652179</v>
      </c>
      <c r="AC110" s="45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7.7583978417266177</v>
      </c>
    </row>
    <row r="111" spans="1:29" ht="15.75" x14ac:dyDescent="0.25">
      <c r="A111" s="13">
        <v>44256</v>
      </c>
      <c r="B111" s="14">
        <f>CHOOSE(CONTROL!$C$42, 7.6632, 7.6632) * CHOOSE(CONTROL!$C$21, $C$9, 100%, $E$9)</f>
        <v>7.6631999999999998</v>
      </c>
      <c r="C111" s="14">
        <f>CHOOSE(CONTROL!$C$42, 7.6683, 7.6683) * CHOOSE(CONTROL!$C$21, $C$9, 100%, $E$9)</f>
        <v>7.6683000000000003</v>
      </c>
      <c r="D111" s="14">
        <f>CHOOSE(CONTROL!$C$42, 7.7269, 7.7269) * CHOOSE(CONTROL!$C$21, $C$9, 100%, $E$9)</f>
        <v>7.7268999999999997</v>
      </c>
      <c r="E111" s="14">
        <f>CHOOSE(CONTROL!$C$42, 7.761, 7.761) * CHOOSE(CONTROL!$C$21, $C$9, 100%, $E$9)</f>
        <v>7.7610000000000001</v>
      </c>
      <c r="F111" s="14">
        <f>CHOOSE(CONTROL!$C$42, 7.6618, 7.6618)*CHOOSE(CONTROL!$C$21, $C$9, 100%, $E$9)</f>
        <v>7.6618000000000004</v>
      </c>
      <c r="G111" s="14">
        <f>CHOOSE(CONTROL!$C$42, 7.6781, 7.6781)*CHOOSE(CONTROL!$C$21, $C$9, 100%, $E$9)</f>
        <v>7.6780999999999997</v>
      </c>
      <c r="H111" s="14">
        <f>CHOOSE(CONTROL!$C$42, 7.7502, 7.7502) * CHOOSE(CONTROL!$C$21, $C$9, 100%, $E$9)</f>
        <v>7.7502000000000004</v>
      </c>
      <c r="I111" s="14">
        <f>CHOOSE(CONTROL!$C$42, 7.6975, 7.6975)* CHOOSE(CONTROL!$C$21, $C$9, 100%, $E$9)</f>
        <v>7.6974999999999998</v>
      </c>
      <c r="J111" s="14">
        <f>CHOOSE(CONTROL!$C$42, 7.6548, 7.6548)* CHOOSE(CONTROL!$C$21, $C$9, 100%, $E$9)</f>
        <v>7.6547999999999998</v>
      </c>
      <c r="K111" s="53">
        <f>CHOOSE(CONTROL!$C$42, 7.6936, 7.6936) * CHOOSE(CONTROL!$C$21, $C$9, 100%, $E$9)</f>
        <v>7.6936</v>
      </c>
      <c r="L111" s="14">
        <f>CHOOSE(CONTROL!$C$42, 8.3372, 8.3372) * CHOOSE(CONTROL!$C$21, $C$9, 100%, $E$9)</f>
        <v>8.3371999999999993</v>
      </c>
      <c r="M111" s="14">
        <f>CHOOSE(CONTROL!$C$42, 7.5057, 7.5057) * CHOOSE(CONTROL!$C$21, $C$9, 100%, $E$9)</f>
        <v>7.5057</v>
      </c>
      <c r="N111" s="14">
        <f>CHOOSE(CONTROL!$C$42, 7.5216, 7.5216) * CHOOSE(CONTROL!$C$21, $C$9, 100%, $E$9)</f>
        <v>7.5216000000000003</v>
      </c>
      <c r="O111" s="14">
        <f>CHOOSE(CONTROL!$C$42, 7.5991, 7.5991) * CHOOSE(CONTROL!$C$21, $C$9, 100%, $E$9)</f>
        <v>7.5991</v>
      </c>
      <c r="P111" s="14">
        <f>CHOOSE(CONTROL!$C$42, 7.5471, 7.5471) * CHOOSE(CONTROL!$C$21, $C$9, 100%, $E$9)</f>
        <v>7.5471000000000004</v>
      </c>
      <c r="Q111" s="14">
        <f>CHOOSE(CONTROL!$C$42, 8.1938, 8.1938) * CHOOSE(CONTROL!$C$21, $C$9, 100%, $E$9)</f>
        <v>8.1937999999999995</v>
      </c>
      <c r="R111" s="14">
        <f>CHOOSE(CONTROL!$C$42, 8.8013, 8.8013) * CHOOSE(CONTROL!$C$21, $C$9, 100%, $E$9)</f>
        <v>8.8012999999999995</v>
      </c>
      <c r="S111" s="14">
        <f>CHOOSE(CONTROL!$C$42, 7.3551, 7.3551) * CHOOSE(CONTROL!$C$21, $C$9, 100%, $E$9)</f>
        <v>7.3551000000000002</v>
      </c>
      <c r="T1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7">
        <f>(1000*CHOOSE(CONTROL!$C$42, 695, 695)*CHOOSE(CONTROL!$C$42, 0.5599, 0.5599)*CHOOSE(CONTROL!$C$42, 31, 31))/1000000</f>
        <v>12.063045499999998</v>
      </c>
      <c r="V111" s="57">
        <f>(1000*CHOOSE(CONTROL!$C$42, 500, 500)*CHOOSE(CONTROL!$C$42, 0.275, 0.275)*CHOOSE(CONTROL!$C$42, 31, 31))/1000000</f>
        <v>4.2625000000000002</v>
      </c>
      <c r="W111" s="57">
        <f>(1000*CHOOSE(CONTROL!$C$42, 0.1146, 0.1146)*CHOOSE(CONTROL!$C$42, 121.5, 121.5)*CHOOSE(CONTROL!$C$42, 31, 31))/1000000</f>
        <v>0.43164089999999994</v>
      </c>
      <c r="X111" s="57">
        <f>(31*0.1790888*100000/1000000)+(31*0.2374*100000/1000000)</f>
        <v>1.2911152800000001</v>
      </c>
      <c r="Y111" s="57"/>
      <c r="Z111" s="14"/>
      <c r="AA111" s="56"/>
      <c r="AB111" s="50">
        <f>(B111*122.58+C111*297.941+D111*89.177+E111*40.302+F111*40+G111*160+H111*0+I111*100+J111*300)/(122.58+297.941+89.177+40.302+0+40+160+100+300)</f>
        <v>7.6757040083478252</v>
      </c>
      <c r="AC111" s="45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7.5549043165467635</v>
      </c>
    </row>
    <row r="112" spans="1:29" ht="15.75" x14ac:dyDescent="0.25">
      <c r="A112" s="13">
        <v>44287</v>
      </c>
      <c r="B112" s="14">
        <f>CHOOSE(CONTROL!$C$42, 7.6572, 7.6572) * CHOOSE(CONTROL!$C$21, $C$9, 100%, $E$9)</f>
        <v>7.6571999999999996</v>
      </c>
      <c r="C112" s="14">
        <f>CHOOSE(CONTROL!$C$42, 7.6617, 7.6617) * CHOOSE(CONTROL!$C$21, $C$9, 100%, $E$9)</f>
        <v>7.6616999999999997</v>
      </c>
      <c r="D112" s="14">
        <f>CHOOSE(CONTROL!$C$42, 7.8698, 7.8698) * CHOOSE(CONTROL!$C$21, $C$9, 100%, $E$9)</f>
        <v>7.8697999999999997</v>
      </c>
      <c r="E112" s="14">
        <f>CHOOSE(CONTROL!$C$42, 7.9019, 7.9019) * CHOOSE(CONTROL!$C$21, $C$9, 100%, $E$9)</f>
        <v>7.9019000000000004</v>
      </c>
      <c r="F112" s="14">
        <f>CHOOSE(CONTROL!$C$42, 7.6446, 7.6446)*CHOOSE(CONTROL!$C$21, $C$9, 100%, $E$9)</f>
        <v>7.6445999999999996</v>
      </c>
      <c r="G112" s="14">
        <f>CHOOSE(CONTROL!$C$42, 7.6605, 7.6605)*CHOOSE(CONTROL!$C$21, $C$9, 100%, $E$9)</f>
        <v>7.6604999999999999</v>
      </c>
      <c r="H112" s="14">
        <f>CHOOSE(CONTROL!$C$42, 7.8917, 7.8917) * CHOOSE(CONTROL!$C$21, $C$9, 100%, $E$9)</f>
        <v>7.8917000000000002</v>
      </c>
      <c r="I112" s="14">
        <f>CHOOSE(CONTROL!$C$42, 7.6907, 7.6907)* CHOOSE(CONTROL!$C$21, $C$9, 100%, $E$9)</f>
        <v>7.6906999999999996</v>
      </c>
      <c r="J112" s="14">
        <f>CHOOSE(CONTROL!$C$42, 7.6376, 7.6376)* CHOOSE(CONTROL!$C$21, $C$9, 100%, $E$9)</f>
        <v>7.6375999999999999</v>
      </c>
      <c r="K112" s="53">
        <f>CHOOSE(CONTROL!$C$42, 7.6868, 7.6868) * CHOOSE(CONTROL!$C$21, $C$9, 100%, $E$9)</f>
        <v>7.6867999999999999</v>
      </c>
      <c r="L112" s="14">
        <f>CHOOSE(CONTROL!$C$42, 8.4787, 8.4787) * CHOOSE(CONTROL!$C$21, $C$9, 100%, $E$9)</f>
        <v>8.4786999999999999</v>
      </c>
      <c r="M112" s="14">
        <f>CHOOSE(CONTROL!$C$42, 7.4888, 7.4888) * CHOOSE(CONTROL!$C$21, $C$9, 100%, $E$9)</f>
        <v>7.4888000000000003</v>
      </c>
      <c r="N112" s="14">
        <f>CHOOSE(CONTROL!$C$42, 7.5044, 7.5044) * CHOOSE(CONTROL!$C$21, $C$9, 100%, $E$9)</f>
        <v>7.5044000000000004</v>
      </c>
      <c r="O112" s="14">
        <f>CHOOSE(CONTROL!$C$42, 7.7377, 7.7377) * CHOOSE(CONTROL!$C$21, $C$9, 100%, $E$9)</f>
        <v>7.7377000000000002</v>
      </c>
      <c r="P112" s="14">
        <f>CHOOSE(CONTROL!$C$42, 7.5404, 7.5404) * CHOOSE(CONTROL!$C$21, $C$9, 100%, $E$9)</f>
        <v>7.5404</v>
      </c>
      <c r="Q112" s="14">
        <f>CHOOSE(CONTROL!$C$42, 8.3324, 8.3324) * CHOOSE(CONTROL!$C$21, $C$9, 100%, $E$9)</f>
        <v>8.3323999999999998</v>
      </c>
      <c r="R112" s="14">
        <f>CHOOSE(CONTROL!$C$42, 8.9402, 8.9402) * CHOOSE(CONTROL!$C$21, $C$9, 100%, $E$9)</f>
        <v>8.9402000000000008</v>
      </c>
      <c r="S112" s="14">
        <f>CHOOSE(CONTROL!$C$42, 7.3485, 7.3485) * CHOOSE(CONTROL!$C$21, $C$9, 100%, $E$9)</f>
        <v>7.3484999999999996</v>
      </c>
      <c r="T1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7">
        <f>(1000*CHOOSE(CONTROL!$C$42, 695, 695)*CHOOSE(CONTROL!$C$42, 0.5599, 0.5599)*CHOOSE(CONTROL!$C$42, 30, 30))/1000000</f>
        <v>11.673914999999997</v>
      </c>
      <c r="V112" s="57">
        <f>(1000*CHOOSE(CONTROL!$C$42, 500, 500)*CHOOSE(CONTROL!$C$42, 0.275, 0.275)*CHOOSE(CONTROL!$C$42, 30, 30))/1000000</f>
        <v>4.125</v>
      </c>
      <c r="W112" s="57">
        <f>(1000*CHOOSE(CONTROL!$C$42, 0.1146, 0.1146)*CHOOSE(CONTROL!$C$42, 121.5, 121.5)*CHOOSE(CONTROL!$C$42, 30, 30))/1000000</f>
        <v>0.417717</v>
      </c>
      <c r="X112" s="57">
        <f>(30*0.1790888*245000/1000000)+(30*0.2374*100000/1000000)</f>
        <v>2.0285026799999999</v>
      </c>
      <c r="Y112" s="57"/>
      <c r="Z112" s="14"/>
      <c r="AA112" s="56"/>
      <c r="AB112" s="50">
        <f>(B112*141.293+C112*267.993+D112*115.016+E112*89.698+F112*40+G112*185+H112*0+I112*100+J112*300)/(141.293+267.993+115.016+89.698+0+40+185+100+300)</f>
        <v>7.6936680958030674</v>
      </c>
      <c r="AC112" s="45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7.5696510791366913</v>
      </c>
    </row>
    <row r="113" spans="1:29" ht="15.75" x14ac:dyDescent="0.25">
      <c r="A113" s="13">
        <v>44317</v>
      </c>
      <c r="B113" s="14">
        <f>CHOOSE(CONTROL!$C$42, 7.742, 7.742) * CHOOSE(CONTROL!$C$21, $C$9, 100%, $E$9)</f>
        <v>7.742</v>
      </c>
      <c r="C113" s="14">
        <f>CHOOSE(CONTROL!$C$42, 7.75, 7.75) * CHOOSE(CONTROL!$C$21, $C$9, 100%, $E$9)</f>
        <v>7.75</v>
      </c>
      <c r="D113" s="14">
        <f>CHOOSE(CONTROL!$C$42, 7.955, 7.955) * CHOOSE(CONTROL!$C$21, $C$9, 100%, $E$9)</f>
        <v>7.9550000000000001</v>
      </c>
      <c r="E113" s="14">
        <f>CHOOSE(CONTROL!$C$42, 7.9865, 7.9865) * CHOOSE(CONTROL!$C$21, $C$9, 100%, $E$9)</f>
        <v>7.9865000000000004</v>
      </c>
      <c r="F113" s="14">
        <f>CHOOSE(CONTROL!$C$42, 7.7282, 7.7282)*CHOOSE(CONTROL!$C$21, $C$9, 100%, $E$9)</f>
        <v>7.7282000000000002</v>
      </c>
      <c r="G113" s="14">
        <f>CHOOSE(CONTROL!$C$42, 7.7446, 7.7446)*CHOOSE(CONTROL!$C$21, $C$9, 100%, $E$9)</f>
        <v>7.7446000000000002</v>
      </c>
      <c r="H113" s="14">
        <f>CHOOSE(CONTROL!$C$42, 7.9751, 7.9751) * CHOOSE(CONTROL!$C$21, $C$9, 100%, $E$9)</f>
        <v>7.9751000000000003</v>
      </c>
      <c r="I113" s="14">
        <f>CHOOSE(CONTROL!$C$42, 7.7743, 7.7743)* CHOOSE(CONTROL!$C$21, $C$9, 100%, $E$9)</f>
        <v>7.7743000000000002</v>
      </c>
      <c r="J113" s="14">
        <f>CHOOSE(CONTROL!$C$42, 7.7212, 7.7212)* CHOOSE(CONTROL!$C$21, $C$9, 100%, $E$9)</f>
        <v>7.7211999999999996</v>
      </c>
      <c r="K113" s="53">
        <f>CHOOSE(CONTROL!$C$42, 7.7704, 7.7704) * CHOOSE(CONTROL!$C$21, $C$9, 100%, $E$9)</f>
        <v>7.7704000000000004</v>
      </c>
      <c r="L113" s="14">
        <f>CHOOSE(CONTROL!$C$42, 8.5621, 8.5621) * CHOOSE(CONTROL!$C$21, $C$9, 100%, $E$9)</f>
        <v>8.5620999999999992</v>
      </c>
      <c r="M113" s="14">
        <f>CHOOSE(CONTROL!$C$42, 7.5707, 7.5707) * CHOOSE(CONTROL!$C$21, $C$9, 100%, $E$9)</f>
        <v>7.5707000000000004</v>
      </c>
      <c r="N113" s="14">
        <f>CHOOSE(CONTROL!$C$42, 7.5867, 7.5867) * CHOOSE(CONTROL!$C$21, $C$9, 100%, $E$9)</f>
        <v>7.5867000000000004</v>
      </c>
      <c r="O113" s="14">
        <f>CHOOSE(CONTROL!$C$42, 7.8194, 7.8194) * CHOOSE(CONTROL!$C$21, $C$9, 100%, $E$9)</f>
        <v>7.8193999999999999</v>
      </c>
      <c r="P113" s="14">
        <f>CHOOSE(CONTROL!$C$42, 7.6223, 7.6223) * CHOOSE(CONTROL!$C$21, $C$9, 100%, $E$9)</f>
        <v>7.6223000000000001</v>
      </c>
      <c r="Q113" s="14">
        <f>CHOOSE(CONTROL!$C$42, 8.4141, 8.4141) * CHOOSE(CONTROL!$C$21, $C$9, 100%, $E$9)</f>
        <v>8.4140999999999995</v>
      </c>
      <c r="R113" s="14">
        <f>CHOOSE(CONTROL!$C$42, 9.0221, 9.0221) * CHOOSE(CONTROL!$C$21, $C$9, 100%, $E$9)</f>
        <v>9.0221</v>
      </c>
      <c r="S113" s="14">
        <f>CHOOSE(CONTROL!$C$42, 7.4287, 7.4287) * CHOOSE(CONTROL!$C$21, $C$9, 100%, $E$9)</f>
        <v>7.4287000000000001</v>
      </c>
      <c r="T1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7">
        <f>(1000*CHOOSE(CONTROL!$C$42, 695, 695)*CHOOSE(CONTROL!$C$42, 0.5599, 0.5599)*CHOOSE(CONTROL!$C$42, 31, 31))/1000000</f>
        <v>12.063045499999998</v>
      </c>
      <c r="V113" s="57">
        <f>(1000*CHOOSE(CONTROL!$C$42, 500, 500)*CHOOSE(CONTROL!$C$42, 0.275, 0.275)*CHOOSE(CONTROL!$C$42, 31, 31))/1000000</f>
        <v>4.2625000000000002</v>
      </c>
      <c r="W113" s="57">
        <f>(1000*CHOOSE(CONTROL!$C$42, 0.1146, 0.1146)*CHOOSE(CONTROL!$C$42, 121.5, 121.5)*CHOOSE(CONTROL!$C$42, 31, 31))/1000000</f>
        <v>0.43164089999999994</v>
      </c>
      <c r="X113" s="57">
        <f>(31*0.1790888*245000/1000000)+(31*0.2374*100000/1000000)</f>
        <v>2.0961194359999999</v>
      </c>
      <c r="Y113" s="57"/>
      <c r="Z113" s="14"/>
      <c r="AA113" s="56"/>
      <c r="AB113" s="50">
        <f>(B113*194.205+C113*267.466+D113*133.845+E113*53.484+F113*40+G113*185+H113*0+I113*100+J113*300)/(194.205+267.466+133.845+53.484+0+40+185+100+300)</f>
        <v>7.7739031012558861</v>
      </c>
      <c r="AC113" s="45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7.6515870503597112</v>
      </c>
    </row>
    <row r="114" spans="1:29" ht="15.75" x14ac:dyDescent="0.25">
      <c r="A114" s="13">
        <v>44348</v>
      </c>
      <c r="B114" s="14">
        <f>CHOOSE(CONTROL!$C$42, 7.9776, 7.9776) * CHOOSE(CONTROL!$C$21, $C$9, 100%, $E$9)</f>
        <v>7.9775999999999998</v>
      </c>
      <c r="C114" s="14">
        <f>CHOOSE(CONTROL!$C$42, 7.9857, 7.9857) * CHOOSE(CONTROL!$C$21, $C$9, 100%, $E$9)</f>
        <v>7.9856999999999996</v>
      </c>
      <c r="D114" s="14">
        <f>CHOOSE(CONTROL!$C$42, 8.1906, 8.1906) * CHOOSE(CONTROL!$C$21, $C$9, 100%, $E$9)</f>
        <v>8.1905999999999999</v>
      </c>
      <c r="E114" s="14">
        <f>CHOOSE(CONTROL!$C$42, 8.2221, 8.2221) * CHOOSE(CONTROL!$C$21, $C$9, 100%, $E$9)</f>
        <v>8.2220999999999993</v>
      </c>
      <c r="F114" s="14">
        <f>CHOOSE(CONTROL!$C$42, 7.9642, 7.9642)*CHOOSE(CONTROL!$C$21, $C$9, 100%, $E$9)</f>
        <v>7.9641999999999999</v>
      </c>
      <c r="G114" s="14">
        <f>CHOOSE(CONTROL!$C$42, 7.9807, 7.9807)*CHOOSE(CONTROL!$C$21, $C$9, 100%, $E$9)</f>
        <v>7.9806999999999997</v>
      </c>
      <c r="H114" s="14">
        <f>CHOOSE(CONTROL!$C$42, 8.2107, 8.2107) * CHOOSE(CONTROL!$C$21, $C$9, 100%, $E$9)</f>
        <v>8.2106999999999992</v>
      </c>
      <c r="I114" s="14">
        <f>CHOOSE(CONTROL!$C$42, 8.0107, 8.0107)* CHOOSE(CONTROL!$C$21, $C$9, 100%, $E$9)</f>
        <v>8.0106999999999999</v>
      </c>
      <c r="J114" s="14">
        <f>CHOOSE(CONTROL!$C$42, 7.9572, 7.9572)* CHOOSE(CONTROL!$C$21, $C$9, 100%, $E$9)</f>
        <v>7.9572000000000003</v>
      </c>
      <c r="K114" s="53">
        <f>CHOOSE(CONTROL!$C$42, 8.0068, 8.0068) * CHOOSE(CONTROL!$C$21, $C$9, 100%, $E$9)</f>
        <v>8.0068000000000001</v>
      </c>
      <c r="L114" s="14">
        <f>CHOOSE(CONTROL!$C$42, 8.7977, 8.7977) * CHOOSE(CONTROL!$C$21, $C$9, 100%, $E$9)</f>
        <v>8.7977000000000007</v>
      </c>
      <c r="M114" s="14">
        <f>CHOOSE(CONTROL!$C$42, 7.8019, 7.8019) * CHOOSE(CONTROL!$C$21, $C$9, 100%, $E$9)</f>
        <v>7.8018999999999998</v>
      </c>
      <c r="N114" s="14">
        <f>CHOOSE(CONTROL!$C$42, 7.818, 7.818) * CHOOSE(CONTROL!$C$21, $C$9, 100%, $E$9)</f>
        <v>7.8179999999999996</v>
      </c>
      <c r="O114" s="14">
        <f>CHOOSE(CONTROL!$C$42, 8.0502, 8.0502) * CHOOSE(CONTROL!$C$21, $C$9, 100%, $E$9)</f>
        <v>8.0502000000000002</v>
      </c>
      <c r="P114" s="14">
        <f>CHOOSE(CONTROL!$C$42, 7.8538, 7.8538) * CHOOSE(CONTROL!$C$21, $C$9, 100%, $E$9)</f>
        <v>7.8537999999999997</v>
      </c>
      <c r="Q114" s="14">
        <f>CHOOSE(CONTROL!$C$42, 8.6449, 8.6449) * CHOOSE(CONTROL!$C$21, $C$9, 100%, $E$9)</f>
        <v>8.6448999999999998</v>
      </c>
      <c r="R114" s="14">
        <f>CHOOSE(CONTROL!$C$42, 9.2535, 9.2535) * CHOOSE(CONTROL!$C$21, $C$9, 100%, $E$9)</f>
        <v>9.2535000000000007</v>
      </c>
      <c r="S114" s="14">
        <f>CHOOSE(CONTROL!$C$42, 7.6551, 7.6551) * CHOOSE(CONTROL!$C$21, $C$9, 100%, $E$9)</f>
        <v>7.6551</v>
      </c>
      <c r="T1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7">
        <f>(1000*CHOOSE(CONTROL!$C$42, 695, 695)*CHOOSE(CONTROL!$C$42, 0.5599, 0.5599)*CHOOSE(CONTROL!$C$42, 30, 30))/1000000</f>
        <v>11.673914999999997</v>
      </c>
      <c r="V114" s="57">
        <f>(1000*CHOOSE(CONTROL!$C$42, 500, 500)*CHOOSE(CONTROL!$C$42, 0.275, 0.275)*CHOOSE(CONTROL!$C$42, 30, 30))/1000000</f>
        <v>4.125</v>
      </c>
      <c r="W114" s="57">
        <f>(1000*CHOOSE(CONTROL!$C$42, 0.1146, 0.1146)*CHOOSE(CONTROL!$C$42, 121.5, 121.5)*CHOOSE(CONTROL!$C$42, 30, 30))/1000000</f>
        <v>0.417717</v>
      </c>
      <c r="X114" s="57">
        <f>(30*0.1790888*245000/1000000)+(30*0.2374*100000/1000000)</f>
        <v>2.0285026799999999</v>
      </c>
      <c r="Y114" s="57"/>
      <c r="Z114" s="14"/>
      <c r="AA114" s="56"/>
      <c r="AB114" s="50">
        <f>(B114*194.205+C114*267.466+D114*133.845+E114*53.484+F114*40+G114*185+H114*0+I114*100+J114*300)/(194.205+267.466+133.845+53.484+0+40+185+100+300)</f>
        <v>8.0097662461538466</v>
      </c>
      <c r="AC114" s="45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7.8827410071942445</v>
      </c>
    </row>
    <row r="115" spans="1:29" ht="15.75" x14ac:dyDescent="0.25">
      <c r="A115" s="13">
        <v>44378</v>
      </c>
      <c r="B115" s="14">
        <f>CHOOSE(CONTROL!$C$42, 7.8409, 7.8409) * CHOOSE(CONTROL!$C$21, $C$9, 100%, $E$9)</f>
        <v>7.8409000000000004</v>
      </c>
      <c r="C115" s="14">
        <f>CHOOSE(CONTROL!$C$42, 7.8489, 7.8489) * CHOOSE(CONTROL!$C$21, $C$9, 100%, $E$9)</f>
        <v>7.8489000000000004</v>
      </c>
      <c r="D115" s="14">
        <f>CHOOSE(CONTROL!$C$42, 8.0539, 8.0539) * CHOOSE(CONTROL!$C$21, $C$9, 100%, $E$9)</f>
        <v>8.0539000000000005</v>
      </c>
      <c r="E115" s="14">
        <f>CHOOSE(CONTROL!$C$42, 8.0854, 8.0854) * CHOOSE(CONTROL!$C$21, $C$9, 100%, $E$9)</f>
        <v>8.0853999999999999</v>
      </c>
      <c r="F115" s="14">
        <f>CHOOSE(CONTROL!$C$42, 7.8279, 7.8279)*CHOOSE(CONTROL!$C$21, $C$9, 100%, $E$9)</f>
        <v>7.8278999999999996</v>
      </c>
      <c r="G115" s="14">
        <f>CHOOSE(CONTROL!$C$42, 7.8445, 7.8445)*CHOOSE(CONTROL!$C$21, $C$9, 100%, $E$9)</f>
        <v>7.8445</v>
      </c>
      <c r="H115" s="14">
        <f>CHOOSE(CONTROL!$C$42, 8.074, 8.074) * CHOOSE(CONTROL!$C$21, $C$9, 100%, $E$9)</f>
        <v>8.0739999999999998</v>
      </c>
      <c r="I115" s="14">
        <f>CHOOSE(CONTROL!$C$42, 7.8735, 7.8735)* CHOOSE(CONTROL!$C$21, $C$9, 100%, $E$9)</f>
        <v>7.8734999999999999</v>
      </c>
      <c r="J115" s="14">
        <f>CHOOSE(CONTROL!$C$42, 7.8209, 7.8209)* CHOOSE(CONTROL!$C$21, $C$9, 100%, $E$9)</f>
        <v>7.8209</v>
      </c>
      <c r="K115" s="53">
        <f>CHOOSE(CONTROL!$C$42, 7.8696, 7.8696) * CHOOSE(CONTROL!$C$21, $C$9, 100%, $E$9)</f>
        <v>7.8696000000000002</v>
      </c>
      <c r="L115" s="14">
        <f>CHOOSE(CONTROL!$C$42, 8.661, 8.661) * CHOOSE(CONTROL!$C$21, $C$9, 100%, $E$9)</f>
        <v>8.6609999999999996</v>
      </c>
      <c r="M115" s="14">
        <f>CHOOSE(CONTROL!$C$42, 7.6683, 7.6683) * CHOOSE(CONTROL!$C$21, $C$9, 100%, $E$9)</f>
        <v>7.6683000000000003</v>
      </c>
      <c r="N115" s="14">
        <f>CHOOSE(CONTROL!$C$42, 7.6846, 7.6846) * CHOOSE(CONTROL!$C$21, $C$9, 100%, $E$9)</f>
        <v>7.6845999999999997</v>
      </c>
      <c r="O115" s="14">
        <f>CHOOSE(CONTROL!$C$42, 7.9163, 7.9163) * CHOOSE(CONTROL!$C$21, $C$9, 100%, $E$9)</f>
        <v>7.9162999999999997</v>
      </c>
      <c r="P115" s="14">
        <f>CHOOSE(CONTROL!$C$42, 7.7195, 7.7195) * CHOOSE(CONTROL!$C$21, $C$9, 100%, $E$9)</f>
        <v>7.7195</v>
      </c>
      <c r="Q115" s="14">
        <f>CHOOSE(CONTROL!$C$42, 8.511, 8.511) * CHOOSE(CONTROL!$C$21, $C$9, 100%, $E$9)</f>
        <v>8.5109999999999992</v>
      </c>
      <c r="R115" s="14">
        <f>CHOOSE(CONTROL!$C$42, 9.1193, 9.1193) * CHOOSE(CONTROL!$C$21, $C$9, 100%, $E$9)</f>
        <v>9.1193000000000008</v>
      </c>
      <c r="S115" s="14">
        <f>CHOOSE(CONTROL!$C$42, 7.5237, 7.5237) * CHOOSE(CONTROL!$C$21, $C$9, 100%, $E$9)</f>
        <v>7.5236999999999998</v>
      </c>
      <c r="T1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7">
        <f>(1000*CHOOSE(CONTROL!$C$42, 695, 695)*CHOOSE(CONTROL!$C$42, 0.5599, 0.5599)*CHOOSE(CONTROL!$C$42, 31, 31))/1000000</f>
        <v>12.063045499999998</v>
      </c>
      <c r="V115" s="57">
        <f>(1000*CHOOSE(CONTROL!$C$42, 500, 500)*CHOOSE(CONTROL!$C$42, 0.275, 0.275)*CHOOSE(CONTROL!$C$42, 31, 31))/1000000</f>
        <v>4.2625000000000002</v>
      </c>
      <c r="W115" s="57">
        <f>(1000*CHOOSE(CONTROL!$C$42, 0.1146, 0.1146)*CHOOSE(CONTROL!$C$42, 121.5, 121.5)*CHOOSE(CONTROL!$C$42, 31, 31))/1000000</f>
        <v>0.43164089999999994</v>
      </c>
      <c r="X115" s="57">
        <f>(31*0.1790888*245000/1000000)+(31*0.2374*100000/1000000)</f>
        <v>2.0961194359999999</v>
      </c>
      <c r="Y115" s="57"/>
      <c r="Z115" s="14"/>
      <c r="AA115" s="56"/>
      <c r="AB115" s="50">
        <f>(B115*194.205+C115*267.466+D115*133.845+E115*53.484+F115*40+G115*185+H115*0+I115*100+J115*300)/(194.205+267.466+133.845+53.484+0+40+185+100+300)</f>
        <v>7.8731853618524337</v>
      </c>
      <c r="AC115" s="45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7.749002158273381</v>
      </c>
    </row>
    <row r="116" spans="1:29" ht="15.75" x14ac:dyDescent="0.25">
      <c r="A116" s="13">
        <v>44409</v>
      </c>
      <c r="B116" s="14">
        <f>CHOOSE(CONTROL!$C$42, 7.4695, 7.4695) * CHOOSE(CONTROL!$C$21, $C$9, 100%, $E$9)</f>
        <v>7.4695</v>
      </c>
      <c r="C116" s="14">
        <f>CHOOSE(CONTROL!$C$42, 7.4776, 7.4776) * CHOOSE(CONTROL!$C$21, $C$9, 100%, $E$9)</f>
        <v>7.4775999999999998</v>
      </c>
      <c r="D116" s="14">
        <f>CHOOSE(CONTROL!$C$42, 7.6825, 7.6825) * CHOOSE(CONTROL!$C$21, $C$9, 100%, $E$9)</f>
        <v>7.6825000000000001</v>
      </c>
      <c r="E116" s="14">
        <f>CHOOSE(CONTROL!$C$42, 7.714, 7.714) * CHOOSE(CONTROL!$C$21, $C$9, 100%, $E$9)</f>
        <v>7.7140000000000004</v>
      </c>
      <c r="F116" s="14">
        <f>CHOOSE(CONTROL!$C$42, 7.4567, 7.4567)*CHOOSE(CONTROL!$C$21, $C$9, 100%, $E$9)</f>
        <v>7.4566999999999997</v>
      </c>
      <c r="G116" s="14">
        <f>CHOOSE(CONTROL!$C$42, 7.4734, 7.4734)*CHOOSE(CONTROL!$C$21, $C$9, 100%, $E$9)</f>
        <v>7.4733999999999998</v>
      </c>
      <c r="H116" s="14">
        <f>CHOOSE(CONTROL!$C$42, 7.7026, 7.7026) * CHOOSE(CONTROL!$C$21, $C$9, 100%, $E$9)</f>
        <v>7.7026000000000003</v>
      </c>
      <c r="I116" s="14">
        <f>CHOOSE(CONTROL!$C$42, 7.501, 7.501)* CHOOSE(CONTROL!$C$21, $C$9, 100%, $E$9)</f>
        <v>7.5010000000000003</v>
      </c>
      <c r="J116" s="14">
        <f>CHOOSE(CONTROL!$C$42, 7.4497, 7.4497)* CHOOSE(CONTROL!$C$21, $C$9, 100%, $E$9)</f>
        <v>7.4497</v>
      </c>
      <c r="K116" s="53">
        <f>CHOOSE(CONTROL!$C$42, 7.4971, 7.4971) * CHOOSE(CONTROL!$C$21, $C$9, 100%, $E$9)</f>
        <v>7.4970999999999997</v>
      </c>
      <c r="L116" s="14">
        <f>CHOOSE(CONTROL!$C$42, 8.2896, 8.2896) * CHOOSE(CONTROL!$C$21, $C$9, 100%, $E$9)</f>
        <v>8.2896000000000001</v>
      </c>
      <c r="M116" s="14">
        <f>CHOOSE(CONTROL!$C$42, 7.3048, 7.3048) * CHOOSE(CONTROL!$C$21, $C$9, 100%, $E$9)</f>
        <v>7.3048000000000002</v>
      </c>
      <c r="N116" s="14">
        <f>CHOOSE(CONTROL!$C$42, 7.3211, 7.3211) * CHOOSE(CONTROL!$C$21, $C$9, 100%, $E$9)</f>
        <v>7.3211000000000004</v>
      </c>
      <c r="O116" s="14">
        <f>CHOOSE(CONTROL!$C$42, 7.5525, 7.5525) * CHOOSE(CONTROL!$C$21, $C$9, 100%, $E$9)</f>
        <v>7.5525000000000002</v>
      </c>
      <c r="P116" s="14">
        <f>CHOOSE(CONTROL!$C$42, 7.3546, 7.3546) * CHOOSE(CONTROL!$C$21, $C$9, 100%, $E$9)</f>
        <v>7.3545999999999996</v>
      </c>
      <c r="Q116" s="14">
        <f>CHOOSE(CONTROL!$C$42, 8.1472, 8.1472) * CHOOSE(CONTROL!$C$21, $C$9, 100%, $E$9)</f>
        <v>8.1471999999999998</v>
      </c>
      <c r="R116" s="14">
        <f>CHOOSE(CONTROL!$C$42, 8.7546, 8.7546) * CHOOSE(CONTROL!$C$21, $C$9, 100%, $E$9)</f>
        <v>8.7545999999999999</v>
      </c>
      <c r="S116" s="14">
        <f>CHOOSE(CONTROL!$C$42, 7.1669, 7.1669) * CHOOSE(CONTROL!$C$21, $C$9, 100%, $E$9)</f>
        <v>7.1669</v>
      </c>
      <c r="T1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7">
        <f>(1000*CHOOSE(CONTROL!$C$42, 695, 695)*CHOOSE(CONTROL!$C$42, 0.5599, 0.5599)*CHOOSE(CONTROL!$C$42, 31, 31))/1000000</f>
        <v>12.063045499999998</v>
      </c>
      <c r="V116" s="57">
        <f>(1000*CHOOSE(CONTROL!$C$42, 500, 500)*CHOOSE(CONTROL!$C$42, 0.275, 0.275)*CHOOSE(CONTROL!$C$42, 31, 31))/1000000</f>
        <v>4.2625000000000002</v>
      </c>
      <c r="W116" s="57">
        <f>(1000*CHOOSE(CONTROL!$C$42, 0.1146, 0.1146)*CHOOSE(CONTROL!$C$42, 121.5, 121.5)*CHOOSE(CONTROL!$C$42, 31, 31))/1000000</f>
        <v>0.43164089999999994</v>
      </c>
      <c r="X116" s="57">
        <f>(31*0.1790888*245000/1000000)+(31*0.2374*100000/1000000)</f>
        <v>2.0961194359999999</v>
      </c>
      <c r="Y116" s="57"/>
      <c r="Z116" s="14"/>
      <c r="AA116" s="56"/>
      <c r="AB116" s="50">
        <f>(B116*194.205+C116*267.466+D116*133.845+E116*53.484+F116*40+G116*185+H116*0+I116*100+J116*300)/(194.205+267.466+133.845+53.484+0+40+185+100+300)</f>
        <v>7.5018169525902669</v>
      </c>
      <c r="AC116" s="45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7.3852165467625905</v>
      </c>
    </row>
    <row r="117" spans="1:29" ht="15.75" x14ac:dyDescent="0.25">
      <c r="A117" s="13">
        <v>44440</v>
      </c>
      <c r="B117" s="14">
        <f>CHOOSE(CONTROL!$C$42, 7.0101, 7.0101) * CHOOSE(CONTROL!$C$21, $C$9, 100%, $E$9)</f>
        <v>7.0101000000000004</v>
      </c>
      <c r="C117" s="14">
        <f>CHOOSE(CONTROL!$C$42, 7.0181, 7.0181) * CHOOSE(CONTROL!$C$21, $C$9, 100%, $E$9)</f>
        <v>7.0180999999999996</v>
      </c>
      <c r="D117" s="14">
        <f>CHOOSE(CONTROL!$C$42, 7.2231, 7.2231) * CHOOSE(CONTROL!$C$21, $C$9, 100%, $E$9)</f>
        <v>7.2230999999999996</v>
      </c>
      <c r="E117" s="14">
        <f>CHOOSE(CONTROL!$C$42, 7.2546, 7.2546) * CHOOSE(CONTROL!$C$21, $C$9, 100%, $E$9)</f>
        <v>7.2545999999999999</v>
      </c>
      <c r="F117" s="14">
        <f>CHOOSE(CONTROL!$C$42, 6.9973, 6.9973)*CHOOSE(CONTROL!$C$21, $C$9, 100%, $E$9)</f>
        <v>6.9973000000000001</v>
      </c>
      <c r="G117" s="14">
        <f>CHOOSE(CONTROL!$C$42, 7.0139, 7.0139)*CHOOSE(CONTROL!$C$21, $C$9, 100%, $E$9)</f>
        <v>7.0138999999999996</v>
      </c>
      <c r="H117" s="14">
        <f>CHOOSE(CONTROL!$C$42, 7.2432, 7.2432) * CHOOSE(CONTROL!$C$21, $C$9, 100%, $E$9)</f>
        <v>7.2431999999999999</v>
      </c>
      <c r="I117" s="14">
        <f>CHOOSE(CONTROL!$C$42, 7.0401, 7.0401)* CHOOSE(CONTROL!$C$21, $C$9, 100%, $E$9)</f>
        <v>7.0400999999999998</v>
      </c>
      <c r="J117" s="14">
        <f>CHOOSE(CONTROL!$C$42, 6.9903, 6.9903)* CHOOSE(CONTROL!$C$21, $C$9, 100%, $E$9)</f>
        <v>6.9903000000000004</v>
      </c>
      <c r="K117" s="53">
        <f>CHOOSE(CONTROL!$C$42, 7.0362, 7.0362) * CHOOSE(CONTROL!$C$21, $C$9, 100%, $E$9)</f>
        <v>7.0362</v>
      </c>
      <c r="L117" s="14">
        <f>CHOOSE(CONTROL!$C$42, 7.8302, 7.8302) * CHOOSE(CONTROL!$C$21, $C$9, 100%, $E$9)</f>
        <v>7.8301999999999996</v>
      </c>
      <c r="M117" s="14">
        <f>CHOOSE(CONTROL!$C$42, 6.8547, 6.8547) * CHOOSE(CONTROL!$C$21, $C$9, 100%, $E$9)</f>
        <v>6.8547000000000002</v>
      </c>
      <c r="N117" s="14">
        <f>CHOOSE(CONTROL!$C$42, 6.871, 6.871) * CHOOSE(CONTROL!$C$21, $C$9, 100%, $E$9)</f>
        <v>6.8710000000000004</v>
      </c>
      <c r="O117" s="14">
        <f>CHOOSE(CONTROL!$C$42, 7.1025, 7.1025) * CHOOSE(CONTROL!$C$21, $C$9, 100%, $E$9)</f>
        <v>7.1025</v>
      </c>
      <c r="P117" s="14">
        <f>CHOOSE(CONTROL!$C$42, 6.9032, 6.9032) * CHOOSE(CONTROL!$C$21, $C$9, 100%, $E$9)</f>
        <v>6.9032</v>
      </c>
      <c r="Q117" s="14">
        <f>CHOOSE(CONTROL!$C$42, 7.6972, 7.6972) * CHOOSE(CONTROL!$C$21, $C$9, 100%, $E$9)</f>
        <v>7.6971999999999996</v>
      </c>
      <c r="R117" s="14">
        <f>CHOOSE(CONTROL!$C$42, 8.3034, 8.3034) * CHOOSE(CONTROL!$C$21, $C$9, 100%, $E$9)</f>
        <v>8.3033999999999999</v>
      </c>
      <c r="S117" s="14">
        <f>CHOOSE(CONTROL!$C$42, 6.7254, 6.7254) * CHOOSE(CONTROL!$C$21, $C$9, 100%, $E$9)</f>
        <v>6.7253999999999996</v>
      </c>
      <c r="T1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7">
        <f>(1000*CHOOSE(CONTROL!$C$42, 695, 695)*CHOOSE(CONTROL!$C$42, 0.5599, 0.5599)*CHOOSE(CONTROL!$C$42, 30, 30))/1000000</f>
        <v>11.673914999999997</v>
      </c>
      <c r="V117" s="57">
        <f>(1000*CHOOSE(CONTROL!$C$42, 500, 500)*CHOOSE(CONTROL!$C$42, 0.275, 0.275)*CHOOSE(CONTROL!$C$42, 30, 30))/1000000</f>
        <v>4.125</v>
      </c>
      <c r="W117" s="57">
        <f>(1000*CHOOSE(CONTROL!$C$42, 0.1146, 0.1146)*CHOOSE(CONTROL!$C$42, 121.5, 121.5)*CHOOSE(CONTROL!$C$42, 30, 30))/1000000</f>
        <v>0.417717</v>
      </c>
      <c r="X117" s="57">
        <f>(30*0.1790888*245000/1000000)+(30*0.2374*100000/1000000)</f>
        <v>2.0285026799999999</v>
      </c>
      <c r="Y117" s="57"/>
      <c r="Z117" s="14"/>
      <c r="AA117" s="56"/>
      <c r="AB117" s="50">
        <f>(B117*194.205+C117*267.466+D117*133.845+E117*53.484+F117*40+G117*185+H117*0+I117*100+J117*300)/(194.205+267.466+133.845+53.484+0+40+185+100+300)</f>
        <v>7.0422636978021966</v>
      </c>
      <c r="AC117" s="45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6.9349575539568349</v>
      </c>
    </row>
    <row r="118" spans="1:29" ht="15.75" x14ac:dyDescent="0.25">
      <c r="A118" s="13">
        <v>44470</v>
      </c>
      <c r="B118" s="14">
        <f>CHOOSE(CONTROL!$C$42, 6.8804, 6.8804) * CHOOSE(CONTROL!$C$21, $C$9, 100%, $E$9)</f>
        <v>6.8803999999999998</v>
      </c>
      <c r="C118" s="14">
        <f>CHOOSE(CONTROL!$C$42, 6.8857, 6.8857) * CHOOSE(CONTROL!$C$21, $C$9, 100%, $E$9)</f>
        <v>6.8856999999999999</v>
      </c>
      <c r="D118" s="14">
        <f>CHOOSE(CONTROL!$C$42, 7.0956, 7.0956) * CHOOSE(CONTROL!$C$21, $C$9, 100%, $E$9)</f>
        <v>7.0956000000000001</v>
      </c>
      <c r="E118" s="14">
        <f>CHOOSE(CONTROL!$C$42, 7.1247, 7.1247) * CHOOSE(CONTROL!$C$21, $C$9, 100%, $E$9)</f>
        <v>7.1246999999999998</v>
      </c>
      <c r="F118" s="14">
        <f>CHOOSE(CONTROL!$C$42, 6.8696, 6.8696)*CHOOSE(CONTROL!$C$21, $C$9, 100%, $E$9)</f>
        <v>6.8696000000000002</v>
      </c>
      <c r="G118" s="14">
        <f>CHOOSE(CONTROL!$C$42, 6.8859, 6.8859)*CHOOSE(CONTROL!$C$21, $C$9, 100%, $E$9)</f>
        <v>6.8859000000000004</v>
      </c>
      <c r="H118" s="14">
        <f>CHOOSE(CONTROL!$C$42, 7.1152, 7.1152) * CHOOSE(CONTROL!$C$21, $C$9, 100%, $E$9)</f>
        <v>7.1151999999999997</v>
      </c>
      <c r="I118" s="14">
        <f>CHOOSE(CONTROL!$C$42, 6.9117, 6.9117)* CHOOSE(CONTROL!$C$21, $C$9, 100%, $E$9)</f>
        <v>6.9116999999999997</v>
      </c>
      <c r="J118" s="14">
        <f>CHOOSE(CONTROL!$C$42, 6.8626, 6.8626)* CHOOSE(CONTROL!$C$21, $C$9, 100%, $E$9)</f>
        <v>6.8625999999999996</v>
      </c>
      <c r="K118" s="53">
        <f>CHOOSE(CONTROL!$C$42, 6.9078, 6.9078) * CHOOSE(CONTROL!$C$21, $C$9, 100%, $E$9)</f>
        <v>6.9077999999999999</v>
      </c>
      <c r="L118" s="14">
        <f>CHOOSE(CONTROL!$C$42, 7.7022, 7.7022) * CHOOSE(CONTROL!$C$21, $C$9, 100%, $E$9)</f>
        <v>7.7022000000000004</v>
      </c>
      <c r="M118" s="14">
        <f>CHOOSE(CONTROL!$C$42, 6.7297, 6.7297) * CHOOSE(CONTROL!$C$21, $C$9, 100%, $E$9)</f>
        <v>6.7297000000000002</v>
      </c>
      <c r="N118" s="14">
        <f>CHOOSE(CONTROL!$C$42, 6.7457, 6.7457) * CHOOSE(CONTROL!$C$21, $C$9, 100%, $E$9)</f>
        <v>6.7457000000000003</v>
      </c>
      <c r="O118" s="14">
        <f>CHOOSE(CONTROL!$C$42, 6.9771, 6.9771) * CHOOSE(CONTROL!$C$21, $C$9, 100%, $E$9)</f>
        <v>6.9771000000000001</v>
      </c>
      <c r="P118" s="14">
        <f>CHOOSE(CONTROL!$C$42, 6.7774, 6.7774) * CHOOSE(CONTROL!$C$21, $C$9, 100%, $E$9)</f>
        <v>6.7774000000000001</v>
      </c>
      <c r="Q118" s="14">
        <f>CHOOSE(CONTROL!$C$42, 7.5718, 7.5718) * CHOOSE(CONTROL!$C$21, $C$9, 100%, $E$9)</f>
        <v>7.5717999999999996</v>
      </c>
      <c r="R118" s="14">
        <f>CHOOSE(CONTROL!$C$42, 8.1778, 8.1778) * CHOOSE(CONTROL!$C$21, $C$9, 100%, $E$9)</f>
        <v>8.1777999999999995</v>
      </c>
      <c r="S118" s="14">
        <f>CHOOSE(CONTROL!$C$42, 6.6024, 6.6024) * CHOOSE(CONTROL!$C$21, $C$9, 100%, $E$9)</f>
        <v>6.6024000000000003</v>
      </c>
      <c r="T1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7">
        <f>(1000*CHOOSE(CONTROL!$C$42, 695, 695)*CHOOSE(CONTROL!$C$42, 0.5599, 0.5599)*CHOOSE(CONTROL!$C$42, 31, 31))/1000000</f>
        <v>12.063045499999998</v>
      </c>
      <c r="V118" s="57">
        <f>(1000*CHOOSE(CONTROL!$C$42, 500, 500)*CHOOSE(CONTROL!$C$42, 0.275, 0.275)*CHOOSE(CONTROL!$C$42, 31, 31))/1000000</f>
        <v>4.2625000000000002</v>
      </c>
      <c r="W118" s="57">
        <f>(1000*CHOOSE(CONTROL!$C$42, 0.1146, 0.1146)*CHOOSE(CONTROL!$C$42, 121.5, 121.5)*CHOOSE(CONTROL!$C$42, 31, 31))/1000000</f>
        <v>0.43164089999999994</v>
      </c>
      <c r="X118" s="57">
        <f>(31*0.1790888*245000/1000000)+(31*0.2374*100000/1000000)</f>
        <v>2.0961194359999999</v>
      </c>
      <c r="Y118" s="57"/>
      <c r="Z118" s="14"/>
      <c r="AA118" s="56"/>
      <c r="AB118" s="50">
        <f>(B118*131.881+C118*277.167+D118*79.08+E118*125.872+F118*40+G118*185+H118*0+I118*100+J118*300)/(131.881+277.167+79.08+125.872+0+40+185+100+300)</f>
        <v>6.9188285962066187</v>
      </c>
      <c r="AC118" s="45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6.8096611510791369</v>
      </c>
    </row>
    <row r="119" spans="1:29" ht="15.75" x14ac:dyDescent="0.25">
      <c r="A119" s="13">
        <v>44501</v>
      </c>
      <c r="B119" s="14">
        <f>CHOOSE(CONTROL!$C$42, 7.0755, 7.0755) * CHOOSE(CONTROL!$C$21, $C$9, 100%, $E$9)</f>
        <v>7.0754999999999999</v>
      </c>
      <c r="C119" s="14">
        <f>CHOOSE(CONTROL!$C$42, 7.0805, 7.0805) * CHOOSE(CONTROL!$C$21, $C$9, 100%, $E$9)</f>
        <v>7.0804999999999998</v>
      </c>
      <c r="D119" s="14">
        <f>CHOOSE(CONTROL!$C$42, 7.1443, 7.1443) * CHOOSE(CONTROL!$C$21, $C$9, 100%, $E$9)</f>
        <v>7.1443000000000003</v>
      </c>
      <c r="E119" s="14">
        <f>CHOOSE(CONTROL!$C$42, 7.1784, 7.1784) * CHOOSE(CONTROL!$C$21, $C$9, 100%, $E$9)</f>
        <v>7.1783999999999999</v>
      </c>
      <c r="F119" s="14">
        <f>CHOOSE(CONTROL!$C$42, 7.0777, 7.0777)*CHOOSE(CONTROL!$C$21, $C$9, 100%, $E$9)</f>
        <v>7.0777000000000001</v>
      </c>
      <c r="G119" s="14">
        <f>CHOOSE(CONTROL!$C$42, 7.0944, 7.0944)*CHOOSE(CONTROL!$C$21, $C$9, 100%, $E$9)</f>
        <v>7.0944000000000003</v>
      </c>
      <c r="H119" s="14">
        <f>CHOOSE(CONTROL!$C$42, 7.1676, 7.1676) * CHOOSE(CONTROL!$C$21, $C$9, 100%, $E$9)</f>
        <v>7.1676000000000002</v>
      </c>
      <c r="I119" s="14">
        <f>CHOOSE(CONTROL!$C$42, 7.1115, 7.1115)* CHOOSE(CONTROL!$C$21, $C$9, 100%, $E$9)</f>
        <v>7.1115000000000004</v>
      </c>
      <c r="J119" s="14">
        <f>CHOOSE(CONTROL!$C$42, 7.0707, 7.0707)* CHOOSE(CONTROL!$C$21, $C$9, 100%, $E$9)</f>
        <v>7.0707000000000004</v>
      </c>
      <c r="K119" s="53">
        <f>CHOOSE(CONTROL!$C$42, 7.1076, 7.1076) * CHOOSE(CONTROL!$C$21, $C$9, 100%, $E$9)</f>
        <v>7.1075999999999997</v>
      </c>
      <c r="L119" s="14">
        <f>CHOOSE(CONTROL!$C$42, 7.7546, 7.7546) * CHOOSE(CONTROL!$C$21, $C$9, 100%, $E$9)</f>
        <v>7.7545999999999999</v>
      </c>
      <c r="M119" s="14">
        <f>CHOOSE(CONTROL!$C$42, 6.9335, 6.9335) * CHOOSE(CONTROL!$C$21, $C$9, 100%, $E$9)</f>
        <v>6.9335000000000004</v>
      </c>
      <c r="N119" s="14">
        <f>CHOOSE(CONTROL!$C$42, 6.9498, 6.9498) * CHOOSE(CONTROL!$C$21, $C$9, 100%, $E$9)</f>
        <v>6.9497999999999998</v>
      </c>
      <c r="O119" s="14">
        <f>CHOOSE(CONTROL!$C$42, 7.0285, 7.0285) * CHOOSE(CONTROL!$C$21, $C$9, 100%, $E$9)</f>
        <v>7.0285000000000002</v>
      </c>
      <c r="P119" s="14">
        <f>CHOOSE(CONTROL!$C$42, 6.9731, 6.9731) * CHOOSE(CONTROL!$C$21, $C$9, 100%, $E$9)</f>
        <v>6.9730999999999996</v>
      </c>
      <c r="Q119" s="14">
        <f>CHOOSE(CONTROL!$C$42, 7.6232, 7.6232) * CHOOSE(CONTROL!$C$21, $C$9, 100%, $E$9)</f>
        <v>7.6231999999999998</v>
      </c>
      <c r="R119" s="14">
        <f>CHOOSE(CONTROL!$C$42, 8.2292, 8.2292) * CHOOSE(CONTROL!$C$21, $C$9, 100%, $E$9)</f>
        <v>8.2292000000000005</v>
      </c>
      <c r="S119" s="14">
        <f>CHOOSE(CONTROL!$C$42, 6.7903, 6.7903) * CHOOSE(CONTROL!$C$21, $C$9, 100%, $E$9)</f>
        <v>6.7903000000000002</v>
      </c>
      <c r="T1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7">
        <f>(1000*CHOOSE(CONTROL!$C$42, 695, 695)*CHOOSE(CONTROL!$C$42, 0.5599, 0.5599)*CHOOSE(CONTROL!$C$42, 30, 30))/1000000</f>
        <v>11.673914999999997</v>
      </c>
      <c r="V119" s="57">
        <f>(1000*CHOOSE(CONTROL!$C$42, 500, 500)*CHOOSE(CONTROL!$C$42, 0.275, 0.275)*CHOOSE(CONTROL!$C$42, 30, 30))/1000000</f>
        <v>4.125</v>
      </c>
      <c r="W119" s="57">
        <f>(1000*CHOOSE(CONTROL!$C$42, 0.1146, 0.1146)*CHOOSE(CONTROL!$C$42, 121.5, 121.5)*CHOOSE(CONTROL!$C$42, 30, 30))/1000000</f>
        <v>0.417717</v>
      </c>
      <c r="X119" s="57">
        <f>(30*0.1790888*100000/1000000)+(30*0.2374*100000/1000000)</f>
        <v>1.2494664</v>
      </c>
      <c r="Y119" s="57"/>
      <c r="Z119" s="14"/>
      <c r="AA119" s="56"/>
      <c r="AB119" s="50">
        <f>(B119*122.58+C119*297.941+D119*89.177+E119*40.302+F119*40+G119*160+H119*0+I119*100+J119*300)/(122.58+297.941+89.177+40.302+0+40+160+100+300)</f>
        <v>7.0903210073043477</v>
      </c>
      <c r="AC119" s="45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6.9831935251798551</v>
      </c>
    </row>
    <row r="120" spans="1:29" ht="15.75" x14ac:dyDescent="0.25">
      <c r="A120" s="13">
        <v>44531</v>
      </c>
      <c r="B120" s="14">
        <f>CHOOSE(CONTROL!$C$42, 7.5728, 7.5728) * CHOOSE(CONTROL!$C$21, $C$9, 100%, $E$9)</f>
        <v>7.5728</v>
      </c>
      <c r="C120" s="14">
        <f>CHOOSE(CONTROL!$C$42, 7.5778, 7.5778) * CHOOSE(CONTROL!$C$21, $C$9, 100%, $E$9)</f>
        <v>7.5777999999999999</v>
      </c>
      <c r="D120" s="14">
        <f>CHOOSE(CONTROL!$C$42, 7.6416, 7.6416) * CHOOSE(CONTROL!$C$21, $C$9, 100%, $E$9)</f>
        <v>7.6416000000000004</v>
      </c>
      <c r="E120" s="14">
        <f>CHOOSE(CONTROL!$C$42, 7.6757, 7.6757) * CHOOSE(CONTROL!$C$21, $C$9, 100%, $E$9)</f>
        <v>7.6757</v>
      </c>
      <c r="F120" s="14">
        <f>CHOOSE(CONTROL!$C$42, 7.5771, 7.5771)*CHOOSE(CONTROL!$C$21, $C$9, 100%, $E$9)</f>
        <v>7.5770999999999997</v>
      </c>
      <c r="G120" s="14">
        <f>CHOOSE(CONTROL!$C$42, 7.5943, 7.5943)*CHOOSE(CONTROL!$C$21, $C$9, 100%, $E$9)</f>
        <v>7.5942999999999996</v>
      </c>
      <c r="H120" s="14">
        <f>CHOOSE(CONTROL!$C$42, 7.6649, 7.6649) * CHOOSE(CONTROL!$C$21, $C$9, 100%, $E$9)</f>
        <v>7.6649000000000003</v>
      </c>
      <c r="I120" s="14">
        <f>CHOOSE(CONTROL!$C$42, 7.6104, 7.6104)* CHOOSE(CONTROL!$C$21, $C$9, 100%, $E$9)</f>
        <v>7.6104000000000003</v>
      </c>
      <c r="J120" s="14">
        <f>CHOOSE(CONTROL!$C$42, 7.5701, 7.5701)* CHOOSE(CONTROL!$C$21, $C$9, 100%, $E$9)</f>
        <v>7.5701000000000001</v>
      </c>
      <c r="K120" s="53">
        <f>CHOOSE(CONTROL!$C$42, 7.6065, 7.6065) * CHOOSE(CONTROL!$C$21, $C$9, 100%, $E$9)</f>
        <v>7.6064999999999996</v>
      </c>
      <c r="L120" s="14">
        <f>CHOOSE(CONTROL!$C$42, 8.2519, 8.2519) * CHOOSE(CONTROL!$C$21, $C$9, 100%, $E$9)</f>
        <v>8.2518999999999991</v>
      </c>
      <c r="M120" s="14">
        <f>CHOOSE(CONTROL!$C$42, 7.4226, 7.4226) * CHOOSE(CONTROL!$C$21, $C$9, 100%, $E$9)</f>
        <v>7.4226000000000001</v>
      </c>
      <c r="N120" s="14">
        <f>CHOOSE(CONTROL!$C$42, 7.4395, 7.4395) * CHOOSE(CONTROL!$C$21, $C$9, 100%, $E$9)</f>
        <v>7.4394999999999998</v>
      </c>
      <c r="O120" s="14">
        <f>CHOOSE(CONTROL!$C$42, 7.5156, 7.5156) * CHOOSE(CONTROL!$C$21, $C$9, 100%, $E$9)</f>
        <v>7.5156000000000001</v>
      </c>
      <c r="P120" s="14">
        <f>CHOOSE(CONTROL!$C$42, 7.4617, 7.4617) * CHOOSE(CONTROL!$C$21, $C$9, 100%, $E$9)</f>
        <v>7.4617000000000004</v>
      </c>
      <c r="Q120" s="14">
        <f>CHOOSE(CONTROL!$C$42, 8.1103, 8.1103) * CHOOSE(CONTROL!$C$21, $C$9, 100%, $E$9)</f>
        <v>8.1103000000000005</v>
      </c>
      <c r="R120" s="14">
        <f>CHOOSE(CONTROL!$C$42, 8.7175, 8.7175) * CHOOSE(CONTROL!$C$21, $C$9, 100%, $E$9)</f>
        <v>8.7174999999999994</v>
      </c>
      <c r="S120" s="14">
        <f>CHOOSE(CONTROL!$C$42, 7.2681, 7.2681) * CHOOSE(CONTROL!$C$21, $C$9, 100%, $E$9)</f>
        <v>7.2680999999999996</v>
      </c>
      <c r="T1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7">
        <f>(1000*CHOOSE(CONTROL!$C$42, 695, 695)*CHOOSE(CONTROL!$C$42, 0.5599, 0.5599)*CHOOSE(CONTROL!$C$42, 31, 31))/1000000</f>
        <v>12.063045499999998</v>
      </c>
      <c r="V120" s="57">
        <f>(1000*CHOOSE(CONTROL!$C$42, 500, 500)*CHOOSE(CONTROL!$C$42, 0.275, 0.275)*CHOOSE(CONTROL!$C$42, 31, 31))/1000000</f>
        <v>4.2625000000000002</v>
      </c>
      <c r="W120" s="57">
        <f>(1000*CHOOSE(CONTROL!$C$42, 0.1146, 0.1146)*CHOOSE(CONTROL!$C$42, 121.5, 121.5)*CHOOSE(CONTROL!$C$42, 31, 31))/1000000</f>
        <v>0.43164089999999994</v>
      </c>
      <c r="X120" s="57">
        <f>(31*0.1790888*100000/1000000)+(31*0.2374*100000/1000000)</f>
        <v>1.2911152800000001</v>
      </c>
      <c r="Y120" s="57"/>
      <c r="Z120" s="14"/>
      <c r="AA120" s="56"/>
      <c r="AB120" s="50">
        <f>(B120*122.58+C120*297.941+D120*89.177+E120*40.302+F120*40+G120*160+H120*0+I120*100+J120*300)/(122.58+297.941+89.177+40.302+0+40+160+100+300)</f>
        <v>7.5887427464347814</v>
      </c>
      <c r="AC120" s="45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7.4713496402877695</v>
      </c>
    </row>
    <row r="121" spans="1:29" ht="15.75" x14ac:dyDescent="0.25">
      <c r="A121" s="13">
        <v>44562</v>
      </c>
      <c r="B121" s="14">
        <f>CHOOSE(CONTROL!$C$42, 8.0417, 8.0417) * CHOOSE(CONTROL!$C$21, $C$9, 100%, $E$9)</f>
        <v>8.0417000000000005</v>
      </c>
      <c r="C121" s="14">
        <f>CHOOSE(CONTROL!$C$42, 8.0468, 8.0468) * CHOOSE(CONTROL!$C$21, $C$9, 100%, $E$9)</f>
        <v>8.0467999999999993</v>
      </c>
      <c r="D121" s="14">
        <f>CHOOSE(CONTROL!$C$42, 8.1054, 8.1054) * CHOOSE(CONTROL!$C$21, $C$9, 100%, $E$9)</f>
        <v>8.1053999999999995</v>
      </c>
      <c r="E121" s="14">
        <f>CHOOSE(CONTROL!$C$42, 8.1395, 8.1395) * CHOOSE(CONTROL!$C$21, $C$9, 100%, $E$9)</f>
        <v>8.1395</v>
      </c>
      <c r="F121" s="14">
        <f>CHOOSE(CONTROL!$C$42, 8.0408, 8.0408)*CHOOSE(CONTROL!$C$21, $C$9, 100%, $E$9)</f>
        <v>8.0408000000000008</v>
      </c>
      <c r="G121" s="14">
        <f>CHOOSE(CONTROL!$C$42, 8.0572, 8.0572)*CHOOSE(CONTROL!$C$21, $C$9, 100%, $E$9)</f>
        <v>8.0571999999999999</v>
      </c>
      <c r="H121" s="14">
        <f>CHOOSE(CONTROL!$C$42, 8.1287, 8.1287) * CHOOSE(CONTROL!$C$21, $C$9, 100%, $E$9)</f>
        <v>8.1287000000000003</v>
      </c>
      <c r="I121" s="14">
        <f>CHOOSE(CONTROL!$C$42, 8.0771, 8.0771)* CHOOSE(CONTROL!$C$21, $C$9, 100%, $E$9)</f>
        <v>8.0770999999999997</v>
      </c>
      <c r="J121" s="14">
        <f>CHOOSE(CONTROL!$C$42, 8.0338, 8.0338)* CHOOSE(CONTROL!$C$21, $C$9, 100%, $E$9)</f>
        <v>8.0337999999999994</v>
      </c>
      <c r="K121" s="53">
        <f>CHOOSE(CONTROL!$C$42, 8.0732, 8.0732) * CHOOSE(CONTROL!$C$21, $C$9, 100%, $E$9)</f>
        <v>8.0731999999999999</v>
      </c>
      <c r="L121" s="14">
        <f>CHOOSE(CONTROL!$C$42, 8.7157, 8.7157) * CHOOSE(CONTROL!$C$21, $C$9, 100%, $E$9)</f>
        <v>8.7157</v>
      </c>
      <c r="M121" s="14">
        <f>CHOOSE(CONTROL!$C$42, 7.8769, 7.8769) * CHOOSE(CONTROL!$C$21, $C$9, 100%, $E$9)</f>
        <v>7.8769</v>
      </c>
      <c r="N121" s="14">
        <f>CHOOSE(CONTROL!$C$42, 7.8929, 7.8929) * CHOOSE(CONTROL!$C$21, $C$9, 100%, $E$9)</f>
        <v>7.8929</v>
      </c>
      <c r="O121" s="14">
        <f>CHOOSE(CONTROL!$C$42, 7.9698, 7.9698) * CHOOSE(CONTROL!$C$21, $C$9, 100%, $E$9)</f>
        <v>7.9698000000000002</v>
      </c>
      <c r="P121" s="14">
        <f>CHOOSE(CONTROL!$C$42, 7.9189, 7.9189) * CHOOSE(CONTROL!$C$21, $C$9, 100%, $E$9)</f>
        <v>7.9188999999999998</v>
      </c>
      <c r="Q121" s="14">
        <f>CHOOSE(CONTROL!$C$42, 8.5645, 8.5645) * CHOOSE(CONTROL!$C$21, $C$9, 100%, $E$9)</f>
        <v>8.5645000000000007</v>
      </c>
      <c r="R121" s="14">
        <f>CHOOSE(CONTROL!$C$42, 9.1729, 9.1729) * CHOOSE(CONTROL!$C$21, $C$9, 100%, $E$9)</f>
        <v>9.1729000000000003</v>
      </c>
      <c r="S121" s="14">
        <f>CHOOSE(CONTROL!$C$42, 7.7187, 7.7187) * CHOOSE(CONTROL!$C$21, $C$9, 100%, $E$9)</f>
        <v>7.7187000000000001</v>
      </c>
      <c r="T1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7">
        <f>(1000*CHOOSE(CONTROL!$C$42, 695, 695)*CHOOSE(CONTROL!$C$42, 0.5599, 0.5599)*CHOOSE(CONTROL!$C$42, 31, 31))/1000000</f>
        <v>12.063045499999998</v>
      </c>
      <c r="V121" s="57">
        <f>(1000*CHOOSE(CONTROL!$C$42, 500, 500)*CHOOSE(CONTROL!$C$42, 0.275, 0.275)*CHOOSE(CONTROL!$C$42, 31, 31))/1000000</f>
        <v>4.2625000000000002</v>
      </c>
      <c r="W121" s="57">
        <f>(1000*CHOOSE(CONTROL!$C$42, 0.1146, 0.1146)*CHOOSE(CONTROL!$C$42, 121.5, 121.5)*CHOOSE(CONTROL!$C$42, 31, 31))/1000000</f>
        <v>0.43164089999999994</v>
      </c>
      <c r="X121" s="57">
        <f>(31*0.1790888*100000/1000000)+(31*0.2374*100000/1000000)</f>
        <v>1.2911152800000001</v>
      </c>
      <c r="Y121" s="57"/>
      <c r="Z121" s="14"/>
      <c r="AA121" s="56"/>
      <c r="AB121" s="50">
        <f>(B121*122.58+C121*297.941+D121*89.177+E121*40.302+F121*40+G121*160+H121*0+I121*100+J121*300)/(122.58+297.941+89.177+40.302+0+40+160+100+300)</f>
        <v>8.0545309648695653</v>
      </c>
      <c r="AC121" s="45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7.9259697841726622</v>
      </c>
    </row>
    <row r="122" spans="1:29" ht="15.75" x14ac:dyDescent="0.25">
      <c r="A122" s="13">
        <v>44593</v>
      </c>
      <c r="B122" s="14">
        <f>CHOOSE(CONTROL!$C$42, 8.2015, 8.2015) * CHOOSE(CONTROL!$C$21, $C$9, 100%, $E$9)</f>
        <v>8.2014999999999993</v>
      </c>
      <c r="C122" s="14">
        <f>CHOOSE(CONTROL!$C$42, 8.2066, 8.2066) * CHOOSE(CONTROL!$C$21, $C$9, 100%, $E$9)</f>
        <v>8.2065999999999999</v>
      </c>
      <c r="D122" s="14">
        <f>CHOOSE(CONTROL!$C$42, 8.2652, 8.2652) * CHOOSE(CONTROL!$C$21, $C$9, 100%, $E$9)</f>
        <v>8.2652000000000001</v>
      </c>
      <c r="E122" s="14">
        <f>CHOOSE(CONTROL!$C$42, 8.2993, 8.2993) * CHOOSE(CONTROL!$C$21, $C$9, 100%, $E$9)</f>
        <v>8.2993000000000006</v>
      </c>
      <c r="F122" s="14">
        <f>CHOOSE(CONTROL!$C$42, 8.2006, 8.2006)*CHOOSE(CONTROL!$C$21, $C$9, 100%, $E$9)</f>
        <v>8.2005999999999997</v>
      </c>
      <c r="G122" s="14">
        <f>CHOOSE(CONTROL!$C$42, 8.217, 8.217)*CHOOSE(CONTROL!$C$21, $C$9, 100%, $E$9)</f>
        <v>8.2170000000000005</v>
      </c>
      <c r="H122" s="14">
        <f>CHOOSE(CONTROL!$C$42, 8.2885, 8.2885) * CHOOSE(CONTROL!$C$21, $C$9, 100%, $E$9)</f>
        <v>8.2885000000000009</v>
      </c>
      <c r="I122" s="14">
        <f>CHOOSE(CONTROL!$C$42, 8.2374, 8.2374)* CHOOSE(CONTROL!$C$21, $C$9, 100%, $E$9)</f>
        <v>8.2373999999999992</v>
      </c>
      <c r="J122" s="14">
        <f>CHOOSE(CONTROL!$C$42, 8.1936, 8.1936)* CHOOSE(CONTROL!$C$21, $C$9, 100%, $E$9)</f>
        <v>8.1936</v>
      </c>
      <c r="K122" s="53">
        <f>CHOOSE(CONTROL!$C$42, 8.2335, 8.2335) * CHOOSE(CONTROL!$C$21, $C$9, 100%, $E$9)</f>
        <v>8.2334999999999994</v>
      </c>
      <c r="L122" s="14">
        <f>CHOOSE(CONTROL!$C$42, 8.8755, 8.8755) * CHOOSE(CONTROL!$C$21, $C$9, 100%, $E$9)</f>
        <v>8.8755000000000006</v>
      </c>
      <c r="M122" s="14">
        <f>CHOOSE(CONTROL!$C$42, 8.0334, 8.0334) * CHOOSE(CONTROL!$C$21, $C$9, 100%, $E$9)</f>
        <v>8.0334000000000003</v>
      </c>
      <c r="N122" s="14">
        <f>CHOOSE(CONTROL!$C$42, 8.0494, 8.0494) * CHOOSE(CONTROL!$C$21, $C$9, 100%, $E$9)</f>
        <v>8.0494000000000003</v>
      </c>
      <c r="O122" s="14">
        <f>CHOOSE(CONTROL!$C$42, 8.1264, 8.1264) * CHOOSE(CONTROL!$C$21, $C$9, 100%, $E$9)</f>
        <v>8.1264000000000003</v>
      </c>
      <c r="P122" s="14">
        <f>CHOOSE(CONTROL!$C$42, 8.0759, 8.0759) * CHOOSE(CONTROL!$C$21, $C$9, 100%, $E$9)</f>
        <v>8.0759000000000007</v>
      </c>
      <c r="Q122" s="14">
        <f>CHOOSE(CONTROL!$C$42, 8.7211, 8.7211) * CHOOSE(CONTROL!$C$21, $C$9, 100%, $E$9)</f>
        <v>8.7210999999999999</v>
      </c>
      <c r="R122" s="14">
        <f>CHOOSE(CONTROL!$C$42, 9.3299, 9.3299) * CHOOSE(CONTROL!$C$21, $C$9, 100%, $E$9)</f>
        <v>9.3299000000000003</v>
      </c>
      <c r="S122" s="14">
        <f>CHOOSE(CONTROL!$C$42, 7.8723, 7.8723) * CHOOSE(CONTROL!$C$21, $C$9, 100%, $E$9)</f>
        <v>7.8723000000000001</v>
      </c>
      <c r="T1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7">
        <f>(1000*CHOOSE(CONTROL!$C$42, 695, 695)*CHOOSE(CONTROL!$C$42, 0.5599, 0.5599)*CHOOSE(CONTROL!$C$42, 28, 28))/1000000</f>
        <v>10.895653999999999</v>
      </c>
      <c r="V122" s="57">
        <f>(1000*CHOOSE(CONTROL!$C$42, 500, 500)*CHOOSE(CONTROL!$C$42, 0.275, 0.275)*CHOOSE(CONTROL!$C$42, 28, 28))/1000000</f>
        <v>3.85</v>
      </c>
      <c r="W122" s="57">
        <f>(1000*CHOOSE(CONTROL!$C$42, 0.1146, 0.1146)*CHOOSE(CONTROL!$C$42, 121.5, 121.5)*CHOOSE(CONTROL!$C$42, 28, 28))/1000000</f>
        <v>0.38986920000000003</v>
      </c>
      <c r="X122" s="57">
        <f>(28*0.1790888*100000/1000000)+(28*0.2374*100000/1000000)</f>
        <v>1.16616864</v>
      </c>
      <c r="Y122" s="57"/>
      <c r="Z122" s="14"/>
      <c r="AA122" s="56"/>
      <c r="AB122" s="50">
        <f>(B122*122.58+C122*297.941+D122*89.177+E122*40.302+F122*40+G122*160+H122*0+I122*100+J122*300)/(122.58+297.941+89.177+40.302+0+40+160+100+300)</f>
        <v>8.2143744431304349</v>
      </c>
      <c r="AC122" s="45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8.082587050359713</v>
      </c>
    </row>
    <row r="123" spans="1:29" ht="15.75" x14ac:dyDescent="0.25">
      <c r="A123" s="13">
        <v>44621</v>
      </c>
      <c r="B123" s="14">
        <f>CHOOSE(CONTROL!$C$42, 7.9853, 7.9853) * CHOOSE(CONTROL!$C$21, $C$9, 100%, $E$9)</f>
        <v>7.9852999999999996</v>
      </c>
      <c r="C123" s="14">
        <f>CHOOSE(CONTROL!$C$42, 7.9904, 7.9904) * CHOOSE(CONTROL!$C$21, $C$9, 100%, $E$9)</f>
        <v>7.9904000000000002</v>
      </c>
      <c r="D123" s="14">
        <f>CHOOSE(CONTROL!$C$42, 8.049, 8.049) * CHOOSE(CONTROL!$C$21, $C$9, 100%, $E$9)</f>
        <v>8.0489999999999995</v>
      </c>
      <c r="E123" s="14">
        <f>CHOOSE(CONTROL!$C$42, 8.0831, 8.0831) * CHOOSE(CONTROL!$C$21, $C$9, 100%, $E$9)</f>
        <v>8.0831</v>
      </c>
      <c r="F123" s="14">
        <f>CHOOSE(CONTROL!$C$42, 7.9839, 7.9839)*CHOOSE(CONTROL!$C$21, $C$9, 100%, $E$9)</f>
        <v>7.9839000000000002</v>
      </c>
      <c r="G123" s="14">
        <f>CHOOSE(CONTROL!$C$42, 8.0001, 8.0001)*CHOOSE(CONTROL!$C$21, $C$9, 100%, $E$9)</f>
        <v>8.0000999999999998</v>
      </c>
      <c r="H123" s="14">
        <f>CHOOSE(CONTROL!$C$42, 8.0723, 8.0723) * CHOOSE(CONTROL!$C$21, $C$9, 100%, $E$9)</f>
        <v>8.0723000000000003</v>
      </c>
      <c r="I123" s="14">
        <f>CHOOSE(CONTROL!$C$42, 8.0206, 8.0206)* CHOOSE(CONTROL!$C$21, $C$9, 100%, $E$9)</f>
        <v>8.0206</v>
      </c>
      <c r="J123" s="14">
        <f>CHOOSE(CONTROL!$C$42, 7.9769, 7.9769)* CHOOSE(CONTROL!$C$21, $C$9, 100%, $E$9)</f>
        <v>7.9768999999999997</v>
      </c>
      <c r="K123" s="53">
        <f>CHOOSE(CONTROL!$C$42, 8.0167, 8.0167) * CHOOSE(CONTROL!$C$21, $C$9, 100%, $E$9)</f>
        <v>8.0167000000000002</v>
      </c>
      <c r="L123" s="14">
        <f>CHOOSE(CONTROL!$C$42, 8.6593, 8.6593) * CHOOSE(CONTROL!$C$21, $C$9, 100%, $E$9)</f>
        <v>8.6593</v>
      </c>
      <c r="M123" s="14">
        <f>CHOOSE(CONTROL!$C$42, 7.8212, 7.8212) * CHOOSE(CONTROL!$C$21, $C$9, 100%, $E$9)</f>
        <v>7.8212000000000002</v>
      </c>
      <c r="N123" s="14">
        <f>CHOOSE(CONTROL!$C$42, 7.8371, 7.8371) * CHOOSE(CONTROL!$C$21, $C$9, 100%, $E$9)</f>
        <v>7.8371000000000004</v>
      </c>
      <c r="O123" s="14">
        <f>CHOOSE(CONTROL!$C$42, 7.9146, 7.9146) * CHOOSE(CONTROL!$C$21, $C$9, 100%, $E$9)</f>
        <v>7.9146000000000001</v>
      </c>
      <c r="P123" s="14">
        <f>CHOOSE(CONTROL!$C$42, 7.8635, 7.8635) * CHOOSE(CONTROL!$C$21, $C$9, 100%, $E$9)</f>
        <v>7.8635000000000002</v>
      </c>
      <c r="Q123" s="14">
        <f>CHOOSE(CONTROL!$C$42, 8.5093, 8.5093) * CHOOSE(CONTROL!$C$21, $C$9, 100%, $E$9)</f>
        <v>8.5092999999999996</v>
      </c>
      <c r="R123" s="14">
        <f>CHOOSE(CONTROL!$C$42, 9.1176, 9.1176) * CHOOSE(CONTROL!$C$21, $C$9, 100%, $E$9)</f>
        <v>9.1175999999999995</v>
      </c>
      <c r="S123" s="14">
        <f>CHOOSE(CONTROL!$C$42, 7.6646, 7.6646) * CHOOSE(CONTROL!$C$21, $C$9, 100%, $E$9)</f>
        <v>7.6646000000000001</v>
      </c>
      <c r="T1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7">
        <f>(1000*CHOOSE(CONTROL!$C$42, 695, 695)*CHOOSE(CONTROL!$C$42, 0.5599, 0.5599)*CHOOSE(CONTROL!$C$42, 31, 31))/1000000</f>
        <v>12.063045499999998</v>
      </c>
      <c r="V123" s="57">
        <f>(1000*CHOOSE(CONTROL!$C$42, 500, 500)*CHOOSE(CONTROL!$C$42, 0.275, 0.275)*CHOOSE(CONTROL!$C$42, 31, 31))/1000000</f>
        <v>4.2625000000000002</v>
      </c>
      <c r="W123" s="57">
        <f>(1000*CHOOSE(CONTROL!$C$42, 0.1146, 0.1146)*CHOOSE(CONTROL!$C$42, 121.5, 121.5)*CHOOSE(CONTROL!$C$42, 31, 31))/1000000</f>
        <v>0.43164089999999994</v>
      </c>
      <c r="X123" s="57">
        <f>(31*0.1790888*100000/1000000)+(31*0.2374*100000/1000000)</f>
        <v>1.2911152800000001</v>
      </c>
      <c r="Y123" s="57"/>
      <c r="Z123" s="14"/>
      <c r="AA123" s="56"/>
      <c r="AB123" s="50">
        <f>(B123*122.58+C123*297.941+D123*89.177+E123*40.302+F123*40+G123*160+H123*0+I123*100+J123*300)/(122.58+297.941+89.177+40.302+0+40+160+100+300)</f>
        <v>7.9978770518260855</v>
      </c>
      <c r="AC123" s="45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7.8705338129496409</v>
      </c>
    </row>
    <row r="124" spans="1:29" ht="15.75" x14ac:dyDescent="0.25">
      <c r="A124" s="13">
        <v>44652</v>
      </c>
      <c r="B124" s="14">
        <f>CHOOSE(CONTROL!$C$42, 7.979, 7.979) * CHOOSE(CONTROL!$C$21, $C$9, 100%, $E$9)</f>
        <v>7.9790000000000001</v>
      </c>
      <c r="C124" s="14">
        <f>CHOOSE(CONTROL!$C$42, 7.9835, 7.9835) * CHOOSE(CONTROL!$C$21, $C$9, 100%, $E$9)</f>
        <v>7.9835000000000003</v>
      </c>
      <c r="D124" s="14">
        <f>CHOOSE(CONTROL!$C$42, 8.1916, 8.1916) * CHOOSE(CONTROL!$C$21, $C$9, 100%, $E$9)</f>
        <v>8.1915999999999993</v>
      </c>
      <c r="E124" s="14">
        <f>CHOOSE(CONTROL!$C$42, 8.2237, 8.2237) * CHOOSE(CONTROL!$C$21, $C$9, 100%, $E$9)</f>
        <v>8.2236999999999991</v>
      </c>
      <c r="F124" s="14">
        <f>CHOOSE(CONTROL!$C$42, 7.9663, 7.9663)*CHOOSE(CONTROL!$C$21, $C$9, 100%, $E$9)</f>
        <v>7.9663000000000004</v>
      </c>
      <c r="G124" s="14">
        <f>CHOOSE(CONTROL!$C$42, 7.9823, 7.9823)*CHOOSE(CONTROL!$C$21, $C$9, 100%, $E$9)</f>
        <v>7.9823000000000004</v>
      </c>
      <c r="H124" s="14">
        <f>CHOOSE(CONTROL!$C$42, 8.2135, 8.2135) * CHOOSE(CONTROL!$C$21, $C$9, 100%, $E$9)</f>
        <v>8.2134999999999998</v>
      </c>
      <c r="I124" s="14">
        <f>CHOOSE(CONTROL!$C$42, 8.0134, 8.0134)* CHOOSE(CONTROL!$C$21, $C$9, 100%, $E$9)</f>
        <v>8.0134000000000007</v>
      </c>
      <c r="J124" s="14">
        <f>CHOOSE(CONTROL!$C$42, 7.9593, 7.9593)* CHOOSE(CONTROL!$C$21, $C$9, 100%, $E$9)</f>
        <v>7.9592999999999998</v>
      </c>
      <c r="K124" s="53">
        <f>CHOOSE(CONTROL!$C$42, 8.0096, 8.0096) * CHOOSE(CONTROL!$C$21, $C$9, 100%, $E$9)</f>
        <v>8.0096000000000007</v>
      </c>
      <c r="L124" s="14">
        <f>CHOOSE(CONTROL!$C$42, 8.8005, 8.8005) * CHOOSE(CONTROL!$C$21, $C$9, 100%, $E$9)</f>
        <v>8.8004999999999995</v>
      </c>
      <c r="M124" s="14">
        <f>CHOOSE(CONTROL!$C$42, 7.804, 7.804) * CHOOSE(CONTROL!$C$21, $C$9, 100%, $E$9)</f>
        <v>7.8040000000000003</v>
      </c>
      <c r="N124" s="14">
        <f>CHOOSE(CONTROL!$C$42, 7.8196, 7.8196) * CHOOSE(CONTROL!$C$21, $C$9, 100%, $E$9)</f>
        <v>7.8196000000000003</v>
      </c>
      <c r="O124" s="14">
        <f>CHOOSE(CONTROL!$C$42, 8.0529, 8.0529) * CHOOSE(CONTROL!$C$21, $C$9, 100%, $E$9)</f>
        <v>8.0528999999999993</v>
      </c>
      <c r="P124" s="14">
        <f>CHOOSE(CONTROL!$C$42, 7.8565, 7.8565) * CHOOSE(CONTROL!$C$21, $C$9, 100%, $E$9)</f>
        <v>7.8564999999999996</v>
      </c>
      <c r="Q124" s="14">
        <f>CHOOSE(CONTROL!$C$42, 8.6476, 8.6476) * CHOOSE(CONTROL!$C$21, $C$9, 100%, $E$9)</f>
        <v>8.6476000000000006</v>
      </c>
      <c r="R124" s="14">
        <f>CHOOSE(CONTROL!$C$42, 9.2562, 9.2562) * CHOOSE(CONTROL!$C$21, $C$9, 100%, $E$9)</f>
        <v>9.2561999999999998</v>
      </c>
      <c r="S124" s="14">
        <f>CHOOSE(CONTROL!$C$42, 7.6577, 7.6577) * CHOOSE(CONTROL!$C$21, $C$9, 100%, $E$9)</f>
        <v>7.6577000000000002</v>
      </c>
      <c r="T1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7">
        <f>(1000*CHOOSE(CONTROL!$C$42, 695, 695)*CHOOSE(CONTROL!$C$42, 0.5599, 0.5599)*CHOOSE(CONTROL!$C$42, 30, 30))/1000000</f>
        <v>11.673914999999997</v>
      </c>
      <c r="V124" s="57">
        <f>(1000*CHOOSE(CONTROL!$C$42, 500, 500)*CHOOSE(CONTROL!$C$42, 0.275, 0.275)*CHOOSE(CONTROL!$C$42, 30, 30))/1000000</f>
        <v>4.125</v>
      </c>
      <c r="W124" s="57">
        <f>(1000*CHOOSE(CONTROL!$C$42, 0.1146, 0.1146)*CHOOSE(CONTROL!$C$42, 121.5, 121.5)*CHOOSE(CONTROL!$C$42, 30, 30))/1000000</f>
        <v>0.417717</v>
      </c>
      <c r="X124" s="57">
        <f>(30*0.1790888*245000/1000000)+(30*0.2374*100000/1000000)</f>
        <v>2.0285026799999999</v>
      </c>
      <c r="Y124" s="57"/>
      <c r="Z124" s="14"/>
      <c r="AA124" s="56"/>
      <c r="AB124" s="50">
        <f>(B124*141.293+C124*267.993+D124*115.016+E124*89.698+F124*40+G124*185+H124*0+I124*100+J124*300)/(141.293+267.993+115.016+89.698+0+40+185+100+300)</f>
        <v>8.0155132935431794</v>
      </c>
      <c r="AC124" s="45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7.8849805755395677</v>
      </c>
    </row>
    <row r="125" spans="1:29" ht="15.75" x14ac:dyDescent="0.25">
      <c r="A125" s="13">
        <v>44682</v>
      </c>
      <c r="B125" s="14">
        <f>CHOOSE(CONTROL!$C$42, 8.0673, 8.0673) * CHOOSE(CONTROL!$C$21, $C$9, 100%, $E$9)</f>
        <v>8.0672999999999995</v>
      </c>
      <c r="C125" s="14">
        <f>CHOOSE(CONTROL!$C$42, 8.0753, 8.0753) * CHOOSE(CONTROL!$C$21, $C$9, 100%, $E$9)</f>
        <v>8.0753000000000004</v>
      </c>
      <c r="D125" s="14">
        <f>CHOOSE(CONTROL!$C$42, 8.2803, 8.2803) * CHOOSE(CONTROL!$C$21, $C$9, 100%, $E$9)</f>
        <v>8.2803000000000004</v>
      </c>
      <c r="E125" s="14">
        <f>CHOOSE(CONTROL!$C$42, 8.3118, 8.3118) * CHOOSE(CONTROL!$C$21, $C$9, 100%, $E$9)</f>
        <v>8.3117999999999999</v>
      </c>
      <c r="F125" s="14">
        <f>CHOOSE(CONTROL!$C$42, 8.0535, 8.0535)*CHOOSE(CONTROL!$C$21, $C$9, 100%, $E$9)</f>
        <v>8.0534999999999997</v>
      </c>
      <c r="G125" s="14">
        <f>CHOOSE(CONTROL!$C$42, 8.0699, 8.0699)*CHOOSE(CONTROL!$C$21, $C$9, 100%, $E$9)</f>
        <v>8.0699000000000005</v>
      </c>
      <c r="H125" s="14">
        <f>CHOOSE(CONTROL!$C$42, 8.3004, 8.3004) * CHOOSE(CONTROL!$C$21, $C$9, 100%, $E$9)</f>
        <v>8.3003999999999998</v>
      </c>
      <c r="I125" s="14">
        <f>CHOOSE(CONTROL!$C$42, 8.1006, 8.1006)* CHOOSE(CONTROL!$C$21, $C$9, 100%, $E$9)</f>
        <v>8.1006</v>
      </c>
      <c r="J125" s="14">
        <f>CHOOSE(CONTROL!$C$42, 8.0465, 8.0465)* CHOOSE(CONTROL!$C$21, $C$9, 100%, $E$9)</f>
        <v>8.0465</v>
      </c>
      <c r="K125" s="53">
        <f>CHOOSE(CONTROL!$C$42, 8.0967, 8.0967) * CHOOSE(CONTROL!$C$21, $C$9, 100%, $E$9)</f>
        <v>8.0967000000000002</v>
      </c>
      <c r="L125" s="14">
        <f>CHOOSE(CONTROL!$C$42, 8.8874, 8.8874) * CHOOSE(CONTROL!$C$21, $C$9, 100%, $E$9)</f>
        <v>8.8873999999999995</v>
      </c>
      <c r="M125" s="14">
        <f>CHOOSE(CONTROL!$C$42, 7.8893, 7.8893) * CHOOSE(CONTROL!$C$21, $C$9, 100%, $E$9)</f>
        <v>7.8893000000000004</v>
      </c>
      <c r="N125" s="14">
        <f>CHOOSE(CONTROL!$C$42, 7.9054, 7.9054) * CHOOSE(CONTROL!$C$21, $C$9, 100%, $E$9)</f>
        <v>7.9054000000000002</v>
      </c>
      <c r="O125" s="14">
        <f>CHOOSE(CONTROL!$C$42, 8.138, 8.138) * CHOOSE(CONTROL!$C$21, $C$9, 100%, $E$9)</f>
        <v>8.1379999999999999</v>
      </c>
      <c r="P125" s="14">
        <f>CHOOSE(CONTROL!$C$42, 7.9419, 7.9419) * CHOOSE(CONTROL!$C$21, $C$9, 100%, $E$9)</f>
        <v>7.9419000000000004</v>
      </c>
      <c r="Q125" s="14">
        <f>CHOOSE(CONTROL!$C$42, 8.7327, 8.7327) * CHOOSE(CONTROL!$C$21, $C$9, 100%, $E$9)</f>
        <v>8.7326999999999995</v>
      </c>
      <c r="R125" s="14">
        <f>CHOOSE(CONTROL!$C$42, 9.3415, 9.3415) * CHOOSE(CONTROL!$C$21, $C$9, 100%, $E$9)</f>
        <v>9.3414999999999999</v>
      </c>
      <c r="S125" s="14">
        <f>CHOOSE(CONTROL!$C$42, 7.7412, 7.7412) * CHOOSE(CONTROL!$C$21, $C$9, 100%, $E$9)</f>
        <v>7.7412000000000001</v>
      </c>
      <c r="T1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7">
        <f>(1000*CHOOSE(CONTROL!$C$42, 695, 695)*CHOOSE(CONTROL!$C$42, 0.5599, 0.5599)*CHOOSE(CONTROL!$C$42, 31, 31))/1000000</f>
        <v>12.063045499999998</v>
      </c>
      <c r="V125" s="57">
        <f>(1000*CHOOSE(CONTROL!$C$42, 500, 500)*CHOOSE(CONTROL!$C$42, 0.275, 0.275)*CHOOSE(CONTROL!$C$42, 31, 31))/1000000</f>
        <v>4.2625000000000002</v>
      </c>
      <c r="W125" s="57">
        <f>(1000*CHOOSE(CONTROL!$C$42, 0.1146, 0.1146)*CHOOSE(CONTROL!$C$42, 121.5, 121.5)*CHOOSE(CONTROL!$C$42, 31, 31))/1000000</f>
        <v>0.43164089999999994</v>
      </c>
      <c r="X125" s="57">
        <f>(31*0.1790888*245000/1000000)+(31*0.2374*100000/1000000)</f>
        <v>2.0961194359999999</v>
      </c>
      <c r="Y125" s="57"/>
      <c r="Z125" s="14"/>
      <c r="AA125" s="56"/>
      <c r="AB125" s="50">
        <f>(B125*194.205+C125*267.466+D125*133.845+E125*53.484+F125*40+G125*185+H125*0+I125*100+J125*300)/(194.205+267.466+133.845+53.484+0+40+185+100+300)</f>
        <v>8.0992815941915222</v>
      </c>
      <c r="AC125" s="45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7.9703539568345336</v>
      </c>
    </row>
    <row r="126" spans="1:29" ht="15.75" x14ac:dyDescent="0.25">
      <c r="A126" s="13">
        <v>44713</v>
      </c>
      <c r="B126" s="14">
        <f>CHOOSE(CONTROL!$C$42, 8.3128, 8.3128) * CHOOSE(CONTROL!$C$21, $C$9, 100%, $E$9)</f>
        <v>8.3127999999999993</v>
      </c>
      <c r="C126" s="14">
        <f>CHOOSE(CONTROL!$C$42, 8.3209, 8.3209) * CHOOSE(CONTROL!$C$21, $C$9, 100%, $E$9)</f>
        <v>8.3209</v>
      </c>
      <c r="D126" s="14">
        <f>CHOOSE(CONTROL!$C$42, 8.5258, 8.5258) * CHOOSE(CONTROL!$C$21, $C$9, 100%, $E$9)</f>
        <v>8.5258000000000003</v>
      </c>
      <c r="E126" s="14">
        <f>CHOOSE(CONTROL!$C$42, 8.5573, 8.5573) * CHOOSE(CONTROL!$C$21, $C$9, 100%, $E$9)</f>
        <v>8.5572999999999997</v>
      </c>
      <c r="F126" s="14">
        <f>CHOOSE(CONTROL!$C$42, 8.2994, 8.2994)*CHOOSE(CONTROL!$C$21, $C$9, 100%, $E$9)</f>
        <v>8.2994000000000003</v>
      </c>
      <c r="G126" s="14">
        <f>CHOOSE(CONTROL!$C$42, 8.3159, 8.3159)*CHOOSE(CONTROL!$C$21, $C$9, 100%, $E$9)</f>
        <v>8.3158999999999992</v>
      </c>
      <c r="H126" s="14">
        <f>CHOOSE(CONTROL!$C$42, 8.5459, 8.5459) * CHOOSE(CONTROL!$C$21, $C$9, 100%, $E$9)</f>
        <v>8.5458999999999996</v>
      </c>
      <c r="I126" s="14">
        <f>CHOOSE(CONTROL!$C$42, 8.3469, 8.3469)* CHOOSE(CONTROL!$C$21, $C$9, 100%, $E$9)</f>
        <v>8.3468999999999998</v>
      </c>
      <c r="J126" s="14">
        <f>CHOOSE(CONTROL!$C$42, 8.2924, 8.2924)* CHOOSE(CONTROL!$C$21, $C$9, 100%, $E$9)</f>
        <v>8.2924000000000007</v>
      </c>
      <c r="K126" s="53">
        <f>CHOOSE(CONTROL!$C$42, 8.343, 8.343) * CHOOSE(CONTROL!$C$21, $C$9, 100%, $E$9)</f>
        <v>8.343</v>
      </c>
      <c r="L126" s="14">
        <f>CHOOSE(CONTROL!$C$42, 9.1329, 9.1329) * CHOOSE(CONTROL!$C$21, $C$9, 100%, $E$9)</f>
        <v>9.1328999999999994</v>
      </c>
      <c r="M126" s="14">
        <f>CHOOSE(CONTROL!$C$42, 8.1302, 8.1302) * CHOOSE(CONTROL!$C$21, $C$9, 100%, $E$9)</f>
        <v>8.1302000000000003</v>
      </c>
      <c r="N126" s="14">
        <f>CHOOSE(CONTROL!$C$42, 8.1464, 8.1464) * CHOOSE(CONTROL!$C$21, $C$9, 100%, $E$9)</f>
        <v>8.1463999999999999</v>
      </c>
      <c r="O126" s="14">
        <f>CHOOSE(CONTROL!$C$42, 8.3785, 8.3785) * CHOOSE(CONTROL!$C$21, $C$9, 100%, $E$9)</f>
        <v>8.3785000000000007</v>
      </c>
      <c r="P126" s="14">
        <f>CHOOSE(CONTROL!$C$42, 8.1832, 8.1832) * CHOOSE(CONTROL!$C$21, $C$9, 100%, $E$9)</f>
        <v>8.1831999999999994</v>
      </c>
      <c r="Q126" s="14">
        <f>CHOOSE(CONTROL!$C$42, 8.9732, 8.9732) * CHOOSE(CONTROL!$C$21, $C$9, 100%, $E$9)</f>
        <v>8.9732000000000003</v>
      </c>
      <c r="R126" s="14">
        <f>CHOOSE(CONTROL!$C$42, 9.5827, 9.5827) * CHOOSE(CONTROL!$C$21, $C$9, 100%, $E$9)</f>
        <v>9.5827000000000009</v>
      </c>
      <c r="S126" s="14">
        <f>CHOOSE(CONTROL!$C$42, 7.9772, 7.9772) * CHOOSE(CONTROL!$C$21, $C$9, 100%, $E$9)</f>
        <v>7.9771999999999998</v>
      </c>
      <c r="T1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7">
        <f>(1000*CHOOSE(CONTROL!$C$42, 695, 695)*CHOOSE(CONTROL!$C$42, 0.5599, 0.5599)*CHOOSE(CONTROL!$C$42, 30, 30))/1000000</f>
        <v>11.673914999999997</v>
      </c>
      <c r="V126" s="57">
        <f>(1000*CHOOSE(CONTROL!$C$42, 500, 500)*CHOOSE(CONTROL!$C$42, 0.275, 0.275)*CHOOSE(CONTROL!$C$42, 30, 30))/1000000</f>
        <v>4.125</v>
      </c>
      <c r="W126" s="57">
        <f>(1000*CHOOSE(CONTROL!$C$42, 0.1146, 0.1146)*CHOOSE(CONTROL!$C$42, 121.5, 121.5)*CHOOSE(CONTROL!$C$42, 30, 30))/1000000</f>
        <v>0.417717</v>
      </c>
      <c r="X126" s="57">
        <f>(30*0.1790888*245000/1000000)+(30*0.2374*100000/1000000)</f>
        <v>2.0285026799999999</v>
      </c>
      <c r="Y126" s="57"/>
      <c r="Z126" s="14"/>
      <c r="AA126" s="56"/>
      <c r="AB126" s="50">
        <f>(B126*194.205+C126*267.466+D126*133.845+E126*53.484+F126*40+G126*185+H126*0+I126*100+J126*300)/(194.205+267.466+133.845+53.484+0+40+185+100+300)</f>
        <v>8.3450447390894809</v>
      </c>
      <c r="AC126" s="45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8.2112223021582729</v>
      </c>
    </row>
    <row r="127" spans="1:29" ht="15.75" x14ac:dyDescent="0.25">
      <c r="A127" s="13">
        <v>44743</v>
      </c>
      <c r="B127" s="14">
        <f>CHOOSE(CONTROL!$C$42, 8.1704, 8.1704) * CHOOSE(CONTROL!$C$21, $C$9, 100%, $E$9)</f>
        <v>8.1704000000000008</v>
      </c>
      <c r="C127" s="14">
        <f>CHOOSE(CONTROL!$C$42, 8.1784, 8.1784) * CHOOSE(CONTROL!$C$21, $C$9, 100%, $E$9)</f>
        <v>8.1783999999999999</v>
      </c>
      <c r="D127" s="14">
        <f>CHOOSE(CONTROL!$C$42, 8.3834, 8.3834) * CHOOSE(CONTROL!$C$21, $C$9, 100%, $E$9)</f>
        <v>8.3834</v>
      </c>
      <c r="E127" s="14">
        <f>CHOOSE(CONTROL!$C$42, 8.4148, 8.4148) * CHOOSE(CONTROL!$C$21, $C$9, 100%, $E$9)</f>
        <v>8.4147999999999996</v>
      </c>
      <c r="F127" s="14">
        <f>CHOOSE(CONTROL!$C$42, 8.1573, 8.1573)*CHOOSE(CONTROL!$C$21, $C$9, 100%, $E$9)</f>
        <v>8.1572999999999993</v>
      </c>
      <c r="G127" s="14">
        <f>CHOOSE(CONTROL!$C$42, 8.174, 8.174)*CHOOSE(CONTROL!$C$21, $C$9, 100%, $E$9)</f>
        <v>8.1739999999999995</v>
      </c>
      <c r="H127" s="14">
        <f>CHOOSE(CONTROL!$C$42, 8.4035, 8.4035) * CHOOSE(CONTROL!$C$21, $C$9, 100%, $E$9)</f>
        <v>8.4034999999999993</v>
      </c>
      <c r="I127" s="14">
        <f>CHOOSE(CONTROL!$C$42, 8.204, 8.204)* CHOOSE(CONTROL!$C$21, $C$9, 100%, $E$9)</f>
        <v>8.2040000000000006</v>
      </c>
      <c r="J127" s="14">
        <f>CHOOSE(CONTROL!$C$42, 8.1503, 8.1503)* CHOOSE(CONTROL!$C$21, $C$9, 100%, $E$9)</f>
        <v>8.1502999999999997</v>
      </c>
      <c r="K127" s="53">
        <f>CHOOSE(CONTROL!$C$42, 8.2001, 8.2001) * CHOOSE(CONTROL!$C$21, $C$9, 100%, $E$9)</f>
        <v>8.2001000000000008</v>
      </c>
      <c r="L127" s="14">
        <f>CHOOSE(CONTROL!$C$42, 8.9905, 8.9905) * CHOOSE(CONTROL!$C$21, $C$9, 100%, $E$9)</f>
        <v>8.9905000000000008</v>
      </c>
      <c r="M127" s="14">
        <f>CHOOSE(CONTROL!$C$42, 7.991, 7.991) * CHOOSE(CONTROL!$C$21, $C$9, 100%, $E$9)</f>
        <v>7.9909999999999997</v>
      </c>
      <c r="N127" s="14">
        <f>CHOOSE(CONTROL!$C$42, 8.0073, 8.0073) * CHOOSE(CONTROL!$C$21, $C$9, 100%, $E$9)</f>
        <v>8.0073000000000008</v>
      </c>
      <c r="O127" s="14">
        <f>CHOOSE(CONTROL!$C$42, 8.239, 8.239) * CHOOSE(CONTROL!$C$21, $C$9, 100%, $E$9)</f>
        <v>8.2390000000000008</v>
      </c>
      <c r="P127" s="14">
        <f>CHOOSE(CONTROL!$C$42, 8.0432, 8.0432) * CHOOSE(CONTROL!$C$21, $C$9, 100%, $E$9)</f>
        <v>8.0432000000000006</v>
      </c>
      <c r="Q127" s="14">
        <f>CHOOSE(CONTROL!$C$42, 8.8337, 8.8337) * CHOOSE(CONTROL!$C$21, $C$9, 100%, $E$9)</f>
        <v>8.8337000000000003</v>
      </c>
      <c r="R127" s="14">
        <f>CHOOSE(CONTROL!$C$42, 9.4428, 9.4428) * CHOOSE(CONTROL!$C$21, $C$9, 100%, $E$9)</f>
        <v>9.4428000000000001</v>
      </c>
      <c r="S127" s="14">
        <f>CHOOSE(CONTROL!$C$42, 7.8403, 7.8403) * CHOOSE(CONTROL!$C$21, $C$9, 100%, $E$9)</f>
        <v>7.8403</v>
      </c>
      <c r="T1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7">
        <f>(1000*CHOOSE(CONTROL!$C$42, 695, 695)*CHOOSE(CONTROL!$C$42, 0.5599, 0.5599)*CHOOSE(CONTROL!$C$42, 31, 31))/1000000</f>
        <v>12.063045499999998</v>
      </c>
      <c r="V127" s="57">
        <f>(1000*CHOOSE(CONTROL!$C$42, 500, 500)*CHOOSE(CONTROL!$C$42, 0.275, 0.275)*CHOOSE(CONTROL!$C$42, 31, 31))/1000000</f>
        <v>4.2625000000000002</v>
      </c>
      <c r="W127" s="57">
        <f>(1000*CHOOSE(CONTROL!$C$42, 0.1146, 0.1146)*CHOOSE(CONTROL!$C$42, 121.5, 121.5)*CHOOSE(CONTROL!$C$42, 31, 31))/1000000</f>
        <v>0.43164089999999994</v>
      </c>
      <c r="X127" s="57">
        <f>(31*0.1790888*245000/1000000)+(31*0.2374*100000/1000000)</f>
        <v>2.0961194359999999</v>
      </c>
      <c r="Y127" s="57"/>
      <c r="Z127" s="14"/>
      <c r="AA127" s="56"/>
      <c r="AB127" s="50">
        <f>(B127*194.205+C127*267.466+D127*133.845+E127*53.484+F127*40+G127*185+H127*0+I127*100+J127*300)/(194.205+267.466+133.845+53.484+0+40+185+100+300)</f>
        <v>8.202732969073784</v>
      </c>
      <c r="AC127" s="45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8.0718460431654684</v>
      </c>
    </row>
    <row r="128" spans="1:29" ht="15.75" x14ac:dyDescent="0.25">
      <c r="A128" s="13">
        <v>44774</v>
      </c>
      <c r="B128" s="14">
        <f>CHOOSE(CONTROL!$C$42, 7.7834, 7.7834) * CHOOSE(CONTROL!$C$21, $C$9, 100%, $E$9)</f>
        <v>7.7834000000000003</v>
      </c>
      <c r="C128" s="14">
        <f>CHOOSE(CONTROL!$C$42, 7.7914, 7.7914) * CHOOSE(CONTROL!$C$21, $C$9, 100%, $E$9)</f>
        <v>7.7914000000000003</v>
      </c>
      <c r="D128" s="14">
        <f>CHOOSE(CONTROL!$C$42, 7.9964, 7.9964) * CHOOSE(CONTROL!$C$21, $C$9, 100%, $E$9)</f>
        <v>7.9964000000000004</v>
      </c>
      <c r="E128" s="14">
        <f>CHOOSE(CONTROL!$C$42, 8.0278, 8.0278) * CHOOSE(CONTROL!$C$21, $C$9, 100%, $E$9)</f>
        <v>8.0277999999999992</v>
      </c>
      <c r="F128" s="14">
        <f>CHOOSE(CONTROL!$C$42, 7.7706, 7.7706)*CHOOSE(CONTROL!$C$21, $C$9, 100%, $E$9)</f>
        <v>7.7706</v>
      </c>
      <c r="G128" s="14">
        <f>CHOOSE(CONTROL!$C$42, 7.7872, 7.7872)*CHOOSE(CONTROL!$C$21, $C$9, 100%, $E$9)</f>
        <v>7.7872000000000003</v>
      </c>
      <c r="H128" s="14">
        <f>CHOOSE(CONTROL!$C$42, 8.0165, 8.0165) * CHOOSE(CONTROL!$C$21, $C$9, 100%, $E$9)</f>
        <v>8.0165000000000006</v>
      </c>
      <c r="I128" s="14">
        <f>CHOOSE(CONTROL!$C$42, 7.8158, 7.8158)* CHOOSE(CONTROL!$C$21, $C$9, 100%, $E$9)</f>
        <v>7.8158000000000003</v>
      </c>
      <c r="J128" s="14">
        <f>CHOOSE(CONTROL!$C$42, 7.7636, 7.7636)* CHOOSE(CONTROL!$C$21, $C$9, 100%, $E$9)</f>
        <v>7.7636000000000003</v>
      </c>
      <c r="K128" s="53">
        <f>CHOOSE(CONTROL!$C$42, 7.8119, 7.8119) * CHOOSE(CONTROL!$C$21, $C$9, 100%, $E$9)</f>
        <v>7.8118999999999996</v>
      </c>
      <c r="L128" s="14">
        <f>CHOOSE(CONTROL!$C$42, 8.6035, 8.6035) * CHOOSE(CONTROL!$C$21, $C$9, 100%, $E$9)</f>
        <v>8.6035000000000004</v>
      </c>
      <c r="M128" s="14">
        <f>CHOOSE(CONTROL!$C$42, 7.6122, 7.6122) * CHOOSE(CONTROL!$C$21, $C$9, 100%, $E$9)</f>
        <v>7.6121999999999996</v>
      </c>
      <c r="N128" s="14">
        <f>CHOOSE(CONTROL!$C$42, 7.6285, 7.6285) * CHOOSE(CONTROL!$C$21, $C$9, 100%, $E$9)</f>
        <v>7.6284999999999998</v>
      </c>
      <c r="O128" s="14">
        <f>CHOOSE(CONTROL!$C$42, 7.8599, 7.8599) * CHOOSE(CONTROL!$C$21, $C$9, 100%, $E$9)</f>
        <v>7.8598999999999997</v>
      </c>
      <c r="P128" s="14">
        <f>CHOOSE(CONTROL!$C$42, 7.6629, 7.6629) * CHOOSE(CONTROL!$C$21, $C$9, 100%, $E$9)</f>
        <v>7.6628999999999996</v>
      </c>
      <c r="Q128" s="14">
        <f>CHOOSE(CONTROL!$C$42, 8.4546, 8.4546) * CHOOSE(CONTROL!$C$21, $C$9, 100%, $E$9)</f>
        <v>8.4545999999999992</v>
      </c>
      <c r="R128" s="14">
        <f>CHOOSE(CONTROL!$C$42, 9.0627, 9.0627) * CHOOSE(CONTROL!$C$21, $C$9, 100%, $E$9)</f>
        <v>9.0626999999999995</v>
      </c>
      <c r="S128" s="14">
        <f>CHOOSE(CONTROL!$C$42, 7.4684, 7.4684) * CHOOSE(CONTROL!$C$21, $C$9, 100%, $E$9)</f>
        <v>7.4683999999999999</v>
      </c>
      <c r="T1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7">
        <f>(1000*CHOOSE(CONTROL!$C$42, 695, 695)*CHOOSE(CONTROL!$C$42, 0.5599, 0.5599)*CHOOSE(CONTROL!$C$42, 31, 31))/1000000</f>
        <v>12.063045499999998</v>
      </c>
      <c r="V128" s="57">
        <f>(1000*CHOOSE(CONTROL!$C$42, 500, 500)*CHOOSE(CONTROL!$C$42, 0.275, 0.275)*CHOOSE(CONTROL!$C$42, 31, 31))/1000000</f>
        <v>4.2625000000000002</v>
      </c>
      <c r="W128" s="57">
        <f>(1000*CHOOSE(CONTROL!$C$42, 0.1146, 0.1146)*CHOOSE(CONTROL!$C$42, 121.5, 121.5)*CHOOSE(CONTROL!$C$42, 31, 31))/1000000</f>
        <v>0.43164089999999994</v>
      </c>
      <c r="X128" s="57">
        <f>(31*0.1790888*245000/1000000)+(31*0.2374*100000/1000000)</f>
        <v>2.0961194359999999</v>
      </c>
      <c r="Y128" s="57"/>
      <c r="Z128" s="14"/>
      <c r="AA128" s="56"/>
      <c r="AB128" s="50">
        <f>(B128*194.205+C128*267.466+D128*133.845+E128*53.484+F128*40+G128*185+H128*0+I128*100+J128*300)/(194.205+267.466+133.845+53.484+0+40+185+100+300)</f>
        <v>7.8157478827315545</v>
      </c>
      <c r="AC128" s="45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7.6927460431654673</v>
      </c>
    </row>
    <row r="129" spans="1:29" ht="15.75" x14ac:dyDescent="0.25">
      <c r="A129" s="13">
        <v>44805</v>
      </c>
      <c r="B129" s="14">
        <f>CHOOSE(CONTROL!$C$42, 7.3046, 7.3046) * CHOOSE(CONTROL!$C$21, $C$9, 100%, $E$9)</f>
        <v>7.3045999999999998</v>
      </c>
      <c r="C129" s="14">
        <f>CHOOSE(CONTROL!$C$42, 7.3126, 7.3126) * CHOOSE(CONTROL!$C$21, $C$9, 100%, $E$9)</f>
        <v>7.3125999999999998</v>
      </c>
      <c r="D129" s="14">
        <f>CHOOSE(CONTROL!$C$42, 7.5176, 7.5176) * CHOOSE(CONTROL!$C$21, $C$9, 100%, $E$9)</f>
        <v>7.5175999999999998</v>
      </c>
      <c r="E129" s="14">
        <f>CHOOSE(CONTROL!$C$42, 7.5491, 7.5491) * CHOOSE(CONTROL!$C$21, $C$9, 100%, $E$9)</f>
        <v>7.5491000000000001</v>
      </c>
      <c r="F129" s="14">
        <f>CHOOSE(CONTROL!$C$42, 7.2918, 7.2918)*CHOOSE(CONTROL!$C$21, $C$9, 100%, $E$9)</f>
        <v>7.2918000000000003</v>
      </c>
      <c r="G129" s="14">
        <f>CHOOSE(CONTROL!$C$42, 7.3084, 7.3084)*CHOOSE(CONTROL!$C$21, $C$9, 100%, $E$9)</f>
        <v>7.3083999999999998</v>
      </c>
      <c r="H129" s="14">
        <f>CHOOSE(CONTROL!$C$42, 7.5377, 7.5377) * CHOOSE(CONTROL!$C$21, $C$9, 100%, $E$9)</f>
        <v>7.5377000000000001</v>
      </c>
      <c r="I129" s="14">
        <f>CHOOSE(CONTROL!$C$42, 7.3355, 7.3355)* CHOOSE(CONTROL!$C$21, $C$9, 100%, $E$9)</f>
        <v>7.3354999999999997</v>
      </c>
      <c r="J129" s="14">
        <f>CHOOSE(CONTROL!$C$42, 7.2848, 7.2848)* CHOOSE(CONTROL!$C$21, $C$9, 100%, $E$9)</f>
        <v>7.2847999999999997</v>
      </c>
      <c r="K129" s="53">
        <f>CHOOSE(CONTROL!$C$42, 7.3316, 7.3316) * CHOOSE(CONTROL!$C$21, $C$9, 100%, $E$9)</f>
        <v>7.3315999999999999</v>
      </c>
      <c r="L129" s="14">
        <f>CHOOSE(CONTROL!$C$42, 8.1247, 8.1247) * CHOOSE(CONTROL!$C$21, $C$9, 100%, $E$9)</f>
        <v>8.1247000000000007</v>
      </c>
      <c r="M129" s="14">
        <f>CHOOSE(CONTROL!$C$42, 7.1432, 7.1432) * CHOOSE(CONTROL!$C$21, $C$9, 100%, $E$9)</f>
        <v>7.1432000000000002</v>
      </c>
      <c r="N129" s="14">
        <f>CHOOSE(CONTROL!$C$42, 7.1595, 7.1595) * CHOOSE(CONTROL!$C$21, $C$9, 100%, $E$9)</f>
        <v>7.1595000000000004</v>
      </c>
      <c r="O129" s="14">
        <f>CHOOSE(CONTROL!$C$42, 7.3909, 7.3909) * CHOOSE(CONTROL!$C$21, $C$9, 100%, $E$9)</f>
        <v>7.3909000000000002</v>
      </c>
      <c r="P129" s="14">
        <f>CHOOSE(CONTROL!$C$42, 7.1925, 7.1925) * CHOOSE(CONTROL!$C$21, $C$9, 100%, $E$9)</f>
        <v>7.1924999999999999</v>
      </c>
      <c r="Q129" s="14">
        <f>CHOOSE(CONTROL!$C$42, 7.9856, 7.9856) * CHOOSE(CONTROL!$C$21, $C$9, 100%, $E$9)</f>
        <v>7.9855999999999998</v>
      </c>
      <c r="R129" s="14">
        <f>CHOOSE(CONTROL!$C$42, 8.5926, 8.5926) * CHOOSE(CONTROL!$C$21, $C$9, 100%, $E$9)</f>
        <v>8.5925999999999991</v>
      </c>
      <c r="S129" s="14">
        <f>CHOOSE(CONTROL!$C$42, 7.0084, 7.0084) * CHOOSE(CONTROL!$C$21, $C$9, 100%, $E$9)</f>
        <v>7.0084</v>
      </c>
      <c r="T1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7">
        <f>(1000*CHOOSE(CONTROL!$C$42, 695, 695)*CHOOSE(CONTROL!$C$42, 0.5599, 0.5599)*CHOOSE(CONTROL!$C$42, 30, 30))/1000000</f>
        <v>11.673914999999997</v>
      </c>
      <c r="V129" s="57">
        <f>(1000*CHOOSE(CONTROL!$C$42, 500, 500)*CHOOSE(CONTROL!$C$42, 0.275, 0.275)*CHOOSE(CONTROL!$C$42, 30, 30))/1000000</f>
        <v>4.125</v>
      </c>
      <c r="W129" s="57">
        <f>(1000*CHOOSE(CONTROL!$C$42, 0.1146, 0.1146)*CHOOSE(CONTROL!$C$42, 121.5, 121.5)*CHOOSE(CONTROL!$C$42, 30, 30))/1000000</f>
        <v>0.417717</v>
      </c>
      <c r="X129" s="57">
        <f>(30*0.1790888*245000/1000000)+(30*0.2374*100000/1000000)</f>
        <v>2.0285026799999999</v>
      </c>
      <c r="Y129" s="57"/>
      <c r="Z129" s="14"/>
      <c r="AA129" s="56"/>
      <c r="AB129" s="50">
        <f>(B129*194.205+C129*267.466+D129*133.845+E129*53.484+F129*40+G129*185+H129*0+I129*100+J129*300)/(194.205+267.466+133.845+53.484+0+40+185+100+300)</f>
        <v>7.3368343414442698</v>
      </c>
      <c r="AC129" s="45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7.2235446043165457</v>
      </c>
    </row>
    <row r="130" spans="1:29" ht="15.75" x14ac:dyDescent="0.25">
      <c r="A130" s="13">
        <v>44835</v>
      </c>
      <c r="B130" s="14">
        <f>CHOOSE(CONTROL!$C$42, 7.1695, 7.1695) * CHOOSE(CONTROL!$C$21, $C$9, 100%, $E$9)</f>
        <v>7.1695000000000002</v>
      </c>
      <c r="C130" s="14">
        <f>CHOOSE(CONTROL!$C$42, 7.1748, 7.1748) * CHOOSE(CONTROL!$C$21, $C$9, 100%, $E$9)</f>
        <v>7.1748000000000003</v>
      </c>
      <c r="D130" s="14">
        <f>CHOOSE(CONTROL!$C$42, 7.3847, 7.3847) * CHOOSE(CONTROL!$C$21, $C$9, 100%, $E$9)</f>
        <v>7.3846999999999996</v>
      </c>
      <c r="E130" s="14">
        <f>CHOOSE(CONTROL!$C$42, 7.4139, 7.4139) * CHOOSE(CONTROL!$C$21, $C$9, 100%, $E$9)</f>
        <v>7.4138999999999999</v>
      </c>
      <c r="F130" s="14">
        <f>CHOOSE(CONTROL!$C$42, 7.1587, 7.1587)*CHOOSE(CONTROL!$C$21, $C$9, 100%, $E$9)</f>
        <v>7.1586999999999996</v>
      </c>
      <c r="G130" s="14">
        <f>CHOOSE(CONTROL!$C$42, 7.1751, 7.1751)*CHOOSE(CONTROL!$C$21, $C$9, 100%, $E$9)</f>
        <v>7.1750999999999996</v>
      </c>
      <c r="H130" s="14">
        <f>CHOOSE(CONTROL!$C$42, 7.4043, 7.4043) * CHOOSE(CONTROL!$C$21, $C$9, 100%, $E$9)</f>
        <v>7.4043000000000001</v>
      </c>
      <c r="I130" s="14">
        <f>CHOOSE(CONTROL!$C$42, 7.2018, 7.2018)* CHOOSE(CONTROL!$C$21, $C$9, 100%, $E$9)</f>
        <v>7.2018000000000004</v>
      </c>
      <c r="J130" s="14">
        <f>CHOOSE(CONTROL!$C$42, 7.1517, 7.1517)* CHOOSE(CONTROL!$C$21, $C$9, 100%, $E$9)</f>
        <v>7.1516999999999999</v>
      </c>
      <c r="K130" s="53">
        <f>CHOOSE(CONTROL!$C$42, 7.1979, 7.1979) * CHOOSE(CONTROL!$C$21, $C$9, 100%, $E$9)</f>
        <v>7.1978999999999997</v>
      </c>
      <c r="L130" s="14">
        <f>CHOOSE(CONTROL!$C$42, 7.9913, 7.9913) * CHOOSE(CONTROL!$C$21, $C$9, 100%, $E$9)</f>
        <v>7.9912999999999998</v>
      </c>
      <c r="M130" s="14">
        <f>CHOOSE(CONTROL!$C$42, 7.0129, 7.0129) * CHOOSE(CONTROL!$C$21, $C$9, 100%, $E$9)</f>
        <v>7.0129000000000001</v>
      </c>
      <c r="N130" s="14">
        <f>CHOOSE(CONTROL!$C$42, 7.0289, 7.0289) * CHOOSE(CONTROL!$C$21, $C$9, 100%, $E$9)</f>
        <v>7.0289000000000001</v>
      </c>
      <c r="O130" s="14">
        <f>CHOOSE(CONTROL!$C$42, 7.2603, 7.2603) * CHOOSE(CONTROL!$C$21, $C$9, 100%, $E$9)</f>
        <v>7.2603</v>
      </c>
      <c r="P130" s="14">
        <f>CHOOSE(CONTROL!$C$42, 7.0615, 7.0615) * CHOOSE(CONTROL!$C$21, $C$9, 100%, $E$9)</f>
        <v>7.0614999999999997</v>
      </c>
      <c r="Q130" s="14">
        <f>CHOOSE(CONTROL!$C$42, 7.855, 7.855) * CHOOSE(CONTROL!$C$21, $C$9, 100%, $E$9)</f>
        <v>7.8550000000000004</v>
      </c>
      <c r="R130" s="14">
        <f>CHOOSE(CONTROL!$C$42, 8.4617, 8.4617) * CHOOSE(CONTROL!$C$21, $C$9, 100%, $E$9)</f>
        <v>8.4617000000000004</v>
      </c>
      <c r="S130" s="14">
        <f>CHOOSE(CONTROL!$C$42, 6.8802, 6.8802) * CHOOSE(CONTROL!$C$21, $C$9, 100%, $E$9)</f>
        <v>6.8802000000000003</v>
      </c>
      <c r="T1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7">
        <f>(1000*CHOOSE(CONTROL!$C$42, 695, 695)*CHOOSE(CONTROL!$C$42, 0.5599, 0.5599)*CHOOSE(CONTROL!$C$42, 31, 31))/1000000</f>
        <v>12.063045499999998</v>
      </c>
      <c r="V130" s="57">
        <f>(1000*CHOOSE(CONTROL!$C$42, 500, 500)*CHOOSE(CONTROL!$C$42, 0.275, 0.275)*CHOOSE(CONTROL!$C$42, 31, 31))/1000000</f>
        <v>4.2625000000000002</v>
      </c>
      <c r="W130" s="57">
        <f>(1000*CHOOSE(CONTROL!$C$42, 0.1146, 0.1146)*CHOOSE(CONTROL!$C$42, 121.5, 121.5)*CHOOSE(CONTROL!$C$42, 31, 31))/1000000</f>
        <v>0.43164089999999994</v>
      </c>
      <c r="X130" s="57">
        <f>(31*0.1790888*245000/1000000)+(31*0.2374*100000/1000000)</f>
        <v>2.0961194359999999</v>
      </c>
      <c r="Y130" s="57"/>
      <c r="Z130" s="14"/>
      <c r="AA130" s="56"/>
      <c r="AB130" s="50">
        <f>(B130*131.881+C130*277.167+D130*79.08+E130*125.872+F130*40+G130*185+H130*0+I130*100+J130*300)/(131.881+277.167+79.08+125.872+0+40+185+100+300)</f>
        <v>7.2080343970137211</v>
      </c>
      <c r="AC130" s="45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7.0929906474820141</v>
      </c>
    </row>
    <row r="131" spans="1:29" ht="15.75" x14ac:dyDescent="0.25">
      <c r="A131" s="13">
        <v>44866</v>
      </c>
      <c r="B131" s="14">
        <f>CHOOSE(CONTROL!$C$42, 7.3728, 7.3728) * CHOOSE(CONTROL!$C$21, $C$9, 100%, $E$9)</f>
        <v>7.3727999999999998</v>
      </c>
      <c r="C131" s="14">
        <f>CHOOSE(CONTROL!$C$42, 7.3779, 7.3779) * CHOOSE(CONTROL!$C$21, $C$9, 100%, $E$9)</f>
        <v>7.3779000000000003</v>
      </c>
      <c r="D131" s="14">
        <f>CHOOSE(CONTROL!$C$42, 7.4417, 7.4417) * CHOOSE(CONTROL!$C$21, $C$9, 100%, $E$9)</f>
        <v>7.4417</v>
      </c>
      <c r="E131" s="14">
        <f>CHOOSE(CONTROL!$C$42, 7.4758, 7.4758) * CHOOSE(CONTROL!$C$21, $C$9, 100%, $E$9)</f>
        <v>7.4757999999999996</v>
      </c>
      <c r="F131" s="14">
        <f>CHOOSE(CONTROL!$C$42, 7.3751, 7.3751)*CHOOSE(CONTROL!$C$21, $C$9, 100%, $E$9)</f>
        <v>7.3750999999999998</v>
      </c>
      <c r="G131" s="14">
        <f>CHOOSE(CONTROL!$C$42, 7.3917, 7.3917)*CHOOSE(CONTROL!$C$21, $C$9, 100%, $E$9)</f>
        <v>7.3917000000000002</v>
      </c>
      <c r="H131" s="14">
        <f>CHOOSE(CONTROL!$C$42, 7.465, 7.465) * CHOOSE(CONTROL!$C$21, $C$9, 100%, $E$9)</f>
        <v>7.4649999999999999</v>
      </c>
      <c r="I131" s="14">
        <f>CHOOSE(CONTROL!$C$42, 7.4098, 7.4098)* CHOOSE(CONTROL!$C$21, $C$9, 100%, $E$9)</f>
        <v>7.4097999999999997</v>
      </c>
      <c r="J131" s="14">
        <f>CHOOSE(CONTROL!$C$42, 7.3681, 7.3681)* CHOOSE(CONTROL!$C$21, $C$9, 100%, $E$9)</f>
        <v>7.3681000000000001</v>
      </c>
      <c r="K131" s="53">
        <f>CHOOSE(CONTROL!$C$42, 7.4059, 7.4059) * CHOOSE(CONTROL!$C$21, $C$9, 100%, $E$9)</f>
        <v>7.4058999999999999</v>
      </c>
      <c r="L131" s="14">
        <f>CHOOSE(CONTROL!$C$42, 8.052, 8.052) * CHOOSE(CONTROL!$C$21, $C$9, 100%, $E$9)</f>
        <v>8.0519999999999996</v>
      </c>
      <c r="M131" s="14">
        <f>CHOOSE(CONTROL!$C$42, 7.2248, 7.2248) * CHOOSE(CONTROL!$C$21, $C$9, 100%, $E$9)</f>
        <v>7.2248000000000001</v>
      </c>
      <c r="N131" s="14">
        <f>CHOOSE(CONTROL!$C$42, 7.2411, 7.2411) * CHOOSE(CONTROL!$C$21, $C$9, 100%, $E$9)</f>
        <v>7.2411000000000003</v>
      </c>
      <c r="O131" s="14">
        <f>CHOOSE(CONTROL!$C$42, 7.3197, 7.3197) * CHOOSE(CONTROL!$C$21, $C$9, 100%, $E$9)</f>
        <v>7.3197000000000001</v>
      </c>
      <c r="P131" s="14">
        <f>CHOOSE(CONTROL!$C$42, 7.2653, 7.2653) * CHOOSE(CONTROL!$C$21, $C$9, 100%, $E$9)</f>
        <v>7.2652999999999999</v>
      </c>
      <c r="Q131" s="14">
        <f>CHOOSE(CONTROL!$C$42, 7.9144, 7.9144) * CHOOSE(CONTROL!$C$21, $C$9, 100%, $E$9)</f>
        <v>7.9143999999999997</v>
      </c>
      <c r="R131" s="14">
        <f>CHOOSE(CONTROL!$C$42, 8.5212, 8.5212) * CHOOSE(CONTROL!$C$21, $C$9, 100%, $E$9)</f>
        <v>8.5212000000000003</v>
      </c>
      <c r="S131" s="14">
        <f>CHOOSE(CONTROL!$C$42, 7.076, 7.076) * CHOOSE(CONTROL!$C$21, $C$9, 100%, $E$9)</f>
        <v>7.0759999999999996</v>
      </c>
      <c r="T1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7">
        <f>(1000*CHOOSE(CONTROL!$C$42, 695, 695)*CHOOSE(CONTROL!$C$42, 0.5599, 0.5599)*CHOOSE(CONTROL!$C$42, 30, 30))/1000000</f>
        <v>11.673914999999997</v>
      </c>
      <c r="V131" s="57">
        <f>(1000*CHOOSE(CONTROL!$C$42, 500, 500)*CHOOSE(CONTROL!$C$42, 0.275, 0.275)*CHOOSE(CONTROL!$C$42, 30, 30))/1000000</f>
        <v>4.125</v>
      </c>
      <c r="W131" s="57">
        <f>(1000*CHOOSE(CONTROL!$C$42, 0.1146, 0.1146)*CHOOSE(CONTROL!$C$42, 121.5, 121.5)*CHOOSE(CONTROL!$C$42, 30, 30))/1000000</f>
        <v>0.417717</v>
      </c>
      <c r="X131" s="57">
        <f>(30*0.1790888*100000/1000000)+(30*0.2374*100000/1000000)</f>
        <v>1.2494664</v>
      </c>
      <c r="Y131" s="57"/>
      <c r="Z131" s="14"/>
      <c r="AA131" s="56"/>
      <c r="AB131" s="50">
        <f>(B131*122.58+C131*297.941+D131*89.177+E131*40.302+F131*40+G131*160+H131*0+I131*100+J131*300)/(122.58+297.941+89.177+40.302+0+40+160+100+300)</f>
        <v>7.3877746959999993</v>
      </c>
      <c r="AC131" s="45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7.2745776978417256</v>
      </c>
    </row>
    <row r="132" spans="1:29" ht="15.75" x14ac:dyDescent="0.25">
      <c r="A132" s="13">
        <v>44896</v>
      </c>
      <c r="B132" s="14">
        <f>CHOOSE(CONTROL!$C$42, 7.891, 7.891) * CHOOSE(CONTROL!$C$21, $C$9, 100%, $E$9)</f>
        <v>7.891</v>
      </c>
      <c r="C132" s="14">
        <f>CHOOSE(CONTROL!$C$42, 7.8961, 7.8961) * CHOOSE(CONTROL!$C$21, $C$9, 100%, $E$9)</f>
        <v>7.8960999999999997</v>
      </c>
      <c r="D132" s="14">
        <f>CHOOSE(CONTROL!$C$42, 7.9599, 7.9599) * CHOOSE(CONTROL!$C$21, $C$9, 100%, $E$9)</f>
        <v>7.9599000000000002</v>
      </c>
      <c r="E132" s="14">
        <f>CHOOSE(CONTROL!$C$42, 7.994, 7.994) * CHOOSE(CONTROL!$C$21, $C$9, 100%, $E$9)</f>
        <v>7.9939999999999998</v>
      </c>
      <c r="F132" s="14">
        <f>CHOOSE(CONTROL!$C$42, 7.8953, 7.8953)*CHOOSE(CONTROL!$C$21, $C$9, 100%, $E$9)</f>
        <v>7.8952999999999998</v>
      </c>
      <c r="G132" s="14">
        <f>CHOOSE(CONTROL!$C$42, 7.9125, 7.9125)*CHOOSE(CONTROL!$C$21, $C$9, 100%, $E$9)</f>
        <v>7.9124999999999996</v>
      </c>
      <c r="H132" s="14">
        <f>CHOOSE(CONTROL!$C$42, 7.9832, 7.9832) * CHOOSE(CONTROL!$C$21, $C$9, 100%, $E$9)</f>
        <v>7.9832000000000001</v>
      </c>
      <c r="I132" s="14">
        <f>CHOOSE(CONTROL!$C$42, 7.9296, 7.9296)* CHOOSE(CONTROL!$C$21, $C$9, 100%, $E$9)</f>
        <v>7.9295999999999998</v>
      </c>
      <c r="J132" s="14">
        <f>CHOOSE(CONTROL!$C$42, 7.8883, 7.8883)* CHOOSE(CONTROL!$C$21, $C$9, 100%, $E$9)</f>
        <v>7.8883000000000001</v>
      </c>
      <c r="K132" s="53">
        <f>CHOOSE(CONTROL!$C$42, 7.9257, 7.9257) * CHOOSE(CONTROL!$C$21, $C$9, 100%, $E$9)</f>
        <v>7.9257</v>
      </c>
      <c r="L132" s="14">
        <f>CHOOSE(CONTROL!$C$42, 8.5702, 8.5702) * CHOOSE(CONTROL!$C$21, $C$9, 100%, $E$9)</f>
        <v>8.5701999999999998</v>
      </c>
      <c r="M132" s="14">
        <f>CHOOSE(CONTROL!$C$42, 7.7344, 7.7344) * CHOOSE(CONTROL!$C$21, $C$9, 100%, $E$9)</f>
        <v>7.7343999999999999</v>
      </c>
      <c r="N132" s="14">
        <f>CHOOSE(CONTROL!$C$42, 7.7513, 7.7513) * CHOOSE(CONTROL!$C$21, $C$9, 100%, $E$9)</f>
        <v>7.7512999999999996</v>
      </c>
      <c r="O132" s="14">
        <f>CHOOSE(CONTROL!$C$42, 7.8273, 7.8273) * CHOOSE(CONTROL!$C$21, $C$9, 100%, $E$9)</f>
        <v>7.8273000000000001</v>
      </c>
      <c r="P132" s="14">
        <f>CHOOSE(CONTROL!$C$42, 7.7744, 7.7744) * CHOOSE(CONTROL!$C$21, $C$9, 100%, $E$9)</f>
        <v>7.7744</v>
      </c>
      <c r="Q132" s="14">
        <f>CHOOSE(CONTROL!$C$42, 8.422, 8.422) * CHOOSE(CONTROL!$C$21, $C$9, 100%, $E$9)</f>
        <v>8.4220000000000006</v>
      </c>
      <c r="R132" s="14">
        <f>CHOOSE(CONTROL!$C$42, 9.0301, 9.0301) * CHOOSE(CONTROL!$C$21, $C$9, 100%, $E$9)</f>
        <v>9.0300999999999991</v>
      </c>
      <c r="S132" s="14">
        <f>CHOOSE(CONTROL!$C$42, 7.5739, 7.5739) * CHOOSE(CONTROL!$C$21, $C$9, 100%, $E$9)</f>
        <v>7.5739000000000001</v>
      </c>
      <c r="T1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7">
        <f>(1000*CHOOSE(CONTROL!$C$42, 695, 695)*CHOOSE(CONTROL!$C$42, 0.5599, 0.5599)*CHOOSE(CONTROL!$C$42, 31, 31))/1000000</f>
        <v>12.063045499999998</v>
      </c>
      <c r="V132" s="57">
        <f>(1000*CHOOSE(CONTROL!$C$42, 500, 500)*CHOOSE(CONTROL!$C$42, 0.275, 0.275)*CHOOSE(CONTROL!$C$42, 31, 31))/1000000</f>
        <v>4.2625000000000002</v>
      </c>
      <c r="W132" s="57">
        <f>(1000*CHOOSE(CONTROL!$C$42, 0.1146, 0.1146)*CHOOSE(CONTROL!$C$42, 121.5, 121.5)*CHOOSE(CONTROL!$C$42, 31, 31))/1000000</f>
        <v>0.43164089999999994</v>
      </c>
      <c r="X132" s="57">
        <f>(31*0.1790888*100000/1000000)+(31*0.2374*100000/1000000)</f>
        <v>1.2911152800000001</v>
      </c>
      <c r="Y132" s="57"/>
      <c r="Z132" s="14"/>
      <c r="AA132" s="56"/>
      <c r="AB132" s="50">
        <f>(B132*122.58+C132*297.941+D132*89.177+E132*40.302+F132*40+G132*160+H132*0+I132*100+J132*300)/(122.58+297.941+89.177+40.302+0+40+160+100+300)</f>
        <v>7.9070668699130442</v>
      </c>
      <c r="AC132" s="45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7.7832338129496401</v>
      </c>
    </row>
    <row r="133" spans="1:29" ht="15.75" x14ac:dyDescent="0.25">
      <c r="A133" s="13">
        <v>44927</v>
      </c>
      <c r="B133" s="14">
        <f>CHOOSE(CONTROL!$C$42, 8.7074, 8.7074) * CHOOSE(CONTROL!$C$21, $C$9, 100%, $E$9)</f>
        <v>8.7073999999999998</v>
      </c>
      <c r="C133" s="14">
        <f>CHOOSE(CONTROL!$C$42, 8.7124, 8.7124) * CHOOSE(CONTROL!$C$21, $C$9, 100%, $E$9)</f>
        <v>8.7124000000000006</v>
      </c>
      <c r="D133" s="14">
        <f>CHOOSE(CONTROL!$C$42, 8.771, 8.771) * CHOOSE(CONTROL!$C$21, $C$9, 100%, $E$9)</f>
        <v>8.7710000000000008</v>
      </c>
      <c r="E133" s="14">
        <f>CHOOSE(CONTROL!$C$42, 8.8051, 8.8051) * CHOOSE(CONTROL!$C$21, $C$9, 100%, $E$9)</f>
        <v>8.8050999999999995</v>
      </c>
      <c r="F133" s="14">
        <f>CHOOSE(CONTROL!$C$42, 8.7065, 8.7065)*CHOOSE(CONTROL!$C$21, $C$9, 100%, $E$9)</f>
        <v>8.7065000000000001</v>
      </c>
      <c r="G133" s="14">
        <f>CHOOSE(CONTROL!$C$42, 8.7229, 8.7229)*CHOOSE(CONTROL!$C$21, $C$9, 100%, $E$9)</f>
        <v>8.7228999999999992</v>
      </c>
      <c r="H133" s="14">
        <f>CHOOSE(CONTROL!$C$42, 8.7943, 8.7943) * CHOOSE(CONTROL!$C$21, $C$9, 100%, $E$9)</f>
        <v>8.7942999999999998</v>
      </c>
      <c r="I133" s="14">
        <f>CHOOSE(CONTROL!$C$42, 8.7449, 8.7449)* CHOOSE(CONTROL!$C$21, $C$9, 100%, $E$9)</f>
        <v>8.7448999999999995</v>
      </c>
      <c r="J133" s="14">
        <f>CHOOSE(CONTROL!$C$42, 8.6995, 8.6995)* CHOOSE(CONTROL!$C$21, $C$9, 100%, $E$9)</f>
        <v>8.6995000000000005</v>
      </c>
      <c r="K133" s="53">
        <f>CHOOSE(CONTROL!$C$42, 8.741, 8.741) * CHOOSE(CONTROL!$C$21, $C$9, 100%, $E$9)</f>
        <v>8.7409999999999997</v>
      </c>
      <c r="L133" s="14">
        <f>CHOOSE(CONTROL!$C$42, 9.3813, 9.3813) * CHOOSE(CONTROL!$C$21, $C$9, 100%, $E$9)</f>
        <v>9.3812999999999995</v>
      </c>
      <c r="M133" s="14">
        <f>CHOOSE(CONTROL!$C$42, 8.5289, 8.5289) * CHOOSE(CONTROL!$C$21, $C$9, 100%, $E$9)</f>
        <v>8.5289000000000001</v>
      </c>
      <c r="N133" s="14">
        <f>CHOOSE(CONTROL!$C$42, 8.545, 8.545) * CHOOSE(CONTROL!$C$21, $C$9, 100%, $E$9)</f>
        <v>8.5449999999999999</v>
      </c>
      <c r="O133" s="14">
        <f>CHOOSE(CONTROL!$C$42, 8.6218, 8.6218) * CHOOSE(CONTROL!$C$21, $C$9, 100%, $E$9)</f>
        <v>8.6218000000000004</v>
      </c>
      <c r="P133" s="14">
        <f>CHOOSE(CONTROL!$C$42, 8.5729, 8.5729) * CHOOSE(CONTROL!$C$21, $C$9, 100%, $E$9)</f>
        <v>8.5729000000000006</v>
      </c>
      <c r="Q133" s="14">
        <f>CHOOSE(CONTROL!$C$42, 9.2165, 9.2165) * CHOOSE(CONTROL!$C$21, $C$9, 100%, $E$9)</f>
        <v>9.2164999999999999</v>
      </c>
      <c r="R133" s="14">
        <f>CHOOSE(CONTROL!$C$42, 9.8266, 9.8266) * CHOOSE(CONTROL!$C$21, $C$9, 100%, $E$9)</f>
        <v>9.8265999999999991</v>
      </c>
      <c r="S133" s="14">
        <f>CHOOSE(CONTROL!$C$42, 8.3584, 8.3584) * CHOOSE(CONTROL!$C$21, $C$9, 100%, $E$9)</f>
        <v>8.3583999999999996</v>
      </c>
      <c r="T1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7">
        <f>(1000*CHOOSE(CONTROL!$C$42, 695, 695)*CHOOSE(CONTROL!$C$42, 0.5599, 0.5599)*CHOOSE(CONTROL!$C$42, 31, 31))/1000000</f>
        <v>12.063045499999998</v>
      </c>
      <c r="V133" s="57">
        <f>(1000*CHOOSE(CONTROL!$C$42, 500, 500)*CHOOSE(CONTROL!$C$42, 0.275, 0.275)*CHOOSE(CONTROL!$C$42, 31, 31))/1000000</f>
        <v>4.2625000000000002</v>
      </c>
      <c r="W133" s="57">
        <f>(1000*CHOOSE(CONTROL!$C$42, 0.1146, 0.1146)*CHOOSE(CONTROL!$C$42, 121.5, 121.5)*CHOOSE(CONTROL!$C$42, 31, 31))/1000000</f>
        <v>0.43164089999999994</v>
      </c>
      <c r="X133" s="57">
        <f>(31*0.1790888*100000/1000000)+(31*0.2374*100000/1000000)</f>
        <v>1.2911152800000001</v>
      </c>
      <c r="Y133" s="57"/>
      <c r="Z133" s="14"/>
      <c r="AA133" s="56"/>
      <c r="AB133" s="50">
        <f>(B133*122.58+C133*297.941+D133*89.177+E133*40.302+F133*40+G133*160+H133*0+I133*100+J133*300)/(122.58+297.941+89.177+40.302+0+40+160+100+300)</f>
        <v>8.7203764066086968</v>
      </c>
      <c r="AC133" s="45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8.5782633093525185</v>
      </c>
    </row>
    <row r="134" spans="1:29" ht="15.75" x14ac:dyDescent="0.25">
      <c r="A134" s="13">
        <v>44958</v>
      </c>
      <c r="B134" s="14">
        <f>CHOOSE(CONTROL!$C$42, 8.8804, 8.8804) * CHOOSE(CONTROL!$C$21, $C$9, 100%, $E$9)</f>
        <v>8.8803999999999998</v>
      </c>
      <c r="C134" s="14">
        <f>CHOOSE(CONTROL!$C$42, 8.8855, 8.8855) * CHOOSE(CONTROL!$C$21, $C$9, 100%, $E$9)</f>
        <v>8.8855000000000004</v>
      </c>
      <c r="D134" s="14">
        <f>CHOOSE(CONTROL!$C$42, 8.9441, 8.9441) * CHOOSE(CONTROL!$C$21, $C$9, 100%, $E$9)</f>
        <v>8.9441000000000006</v>
      </c>
      <c r="E134" s="14">
        <f>CHOOSE(CONTROL!$C$42, 8.9782, 8.9782) * CHOOSE(CONTROL!$C$21, $C$9, 100%, $E$9)</f>
        <v>8.9781999999999993</v>
      </c>
      <c r="F134" s="14">
        <f>CHOOSE(CONTROL!$C$42, 8.8795, 8.8795)*CHOOSE(CONTROL!$C$21, $C$9, 100%, $E$9)</f>
        <v>8.8795000000000002</v>
      </c>
      <c r="G134" s="14">
        <f>CHOOSE(CONTROL!$C$42, 8.8959, 8.8959)*CHOOSE(CONTROL!$C$21, $C$9, 100%, $E$9)</f>
        <v>8.8958999999999993</v>
      </c>
      <c r="H134" s="14">
        <f>CHOOSE(CONTROL!$C$42, 8.9674, 8.9674) * CHOOSE(CONTROL!$C$21, $C$9, 100%, $E$9)</f>
        <v>8.9673999999999996</v>
      </c>
      <c r="I134" s="14">
        <f>CHOOSE(CONTROL!$C$42, 8.9185, 8.9185)* CHOOSE(CONTROL!$C$21, $C$9, 100%, $E$9)</f>
        <v>8.9184999999999999</v>
      </c>
      <c r="J134" s="14">
        <f>CHOOSE(CONTROL!$C$42, 8.8725, 8.8725)* CHOOSE(CONTROL!$C$21, $C$9, 100%, $E$9)</f>
        <v>8.8725000000000005</v>
      </c>
      <c r="K134" s="53">
        <f>CHOOSE(CONTROL!$C$42, 8.9146, 8.9146) * CHOOSE(CONTROL!$C$21, $C$9, 100%, $E$9)</f>
        <v>8.9146000000000001</v>
      </c>
      <c r="L134" s="14">
        <f>CHOOSE(CONTROL!$C$42, 9.5544, 9.5544) * CHOOSE(CONTROL!$C$21, $C$9, 100%, $E$9)</f>
        <v>9.5543999999999993</v>
      </c>
      <c r="M134" s="14">
        <f>CHOOSE(CONTROL!$C$42, 8.6984, 8.6984) * CHOOSE(CONTROL!$C$21, $C$9, 100%, $E$9)</f>
        <v>8.6983999999999995</v>
      </c>
      <c r="N134" s="14">
        <f>CHOOSE(CONTROL!$C$42, 8.7144, 8.7144) * CHOOSE(CONTROL!$C$21, $C$9, 100%, $E$9)</f>
        <v>8.7143999999999995</v>
      </c>
      <c r="O134" s="14">
        <f>CHOOSE(CONTROL!$C$42, 8.7914, 8.7914) * CHOOSE(CONTROL!$C$21, $C$9, 100%, $E$9)</f>
        <v>8.7913999999999994</v>
      </c>
      <c r="P134" s="14">
        <f>CHOOSE(CONTROL!$C$42, 8.743, 8.743) * CHOOSE(CONTROL!$C$21, $C$9, 100%, $E$9)</f>
        <v>8.7430000000000003</v>
      </c>
      <c r="Q134" s="14">
        <f>CHOOSE(CONTROL!$C$42, 9.3861, 9.3861) * CHOOSE(CONTROL!$C$21, $C$9, 100%, $E$9)</f>
        <v>9.3861000000000008</v>
      </c>
      <c r="R134" s="14">
        <f>CHOOSE(CONTROL!$C$42, 9.9965, 9.9965) * CHOOSE(CONTROL!$C$21, $C$9, 100%, $E$9)</f>
        <v>9.9964999999999993</v>
      </c>
      <c r="S134" s="14">
        <f>CHOOSE(CONTROL!$C$42, 8.5247, 8.5247) * CHOOSE(CONTROL!$C$21, $C$9, 100%, $E$9)</f>
        <v>8.5246999999999993</v>
      </c>
      <c r="T1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7">
        <f>(1000*CHOOSE(CONTROL!$C$42, 695, 695)*CHOOSE(CONTROL!$C$42, 0.5599, 0.5599)*CHOOSE(CONTROL!$C$42, 28, 28))/1000000</f>
        <v>10.895653999999999</v>
      </c>
      <c r="V134" s="57">
        <f>(1000*CHOOSE(CONTROL!$C$42, 500, 500)*CHOOSE(CONTROL!$C$42, 0.275, 0.275)*CHOOSE(CONTROL!$C$42, 28, 28))/1000000</f>
        <v>3.85</v>
      </c>
      <c r="W134" s="57">
        <f>(1000*CHOOSE(CONTROL!$C$42, 0.1146, 0.1146)*CHOOSE(CONTROL!$C$42, 121.5, 121.5)*CHOOSE(CONTROL!$C$42, 28, 28))/1000000</f>
        <v>0.38986920000000003</v>
      </c>
      <c r="X134" s="57">
        <f>(28*0.1790888*100000/1000000)+(28*0.2374*100000/1000000)</f>
        <v>1.16616864</v>
      </c>
      <c r="Y134" s="57"/>
      <c r="Z134" s="14"/>
      <c r="AA134" s="56"/>
      <c r="AB134" s="50">
        <f>(B134*122.58+C134*297.941+D134*89.177+E134*40.302+F134*40+G134*160+H134*0+I134*100+J134*300)/(122.58+297.941+89.177+40.302+0+40+160+100+300)</f>
        <v>8.8934657474782615</v>
      </c>
      <c r="AC134" s="45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8.7478892086330937</v>
      </c>
    </row>
    <row r="135" spans="1:29" ht="15.75" x14ac:dyDescent="0.25">
      <c r="A135" s="13">
        <v>44986</v>
      </c>
      <c r="B135" s="14">
        <f>CHOOSE(CONTROL!$C$42, 8.6463, 8.6463) * CHOOSE(CONTROL!$C$21, $C$9, 100%, $E$9)</f>
        <v>8.6463000000000001</v>
      </c>
      <c r="C135" s="14">
        <f>CHOOSE(CONTROL!$C$42, 8.6514, 8.6514) * CHOOSE(CONTROL!$C$21, $C$9, 100%, $E$9)</f>
        <v>8.6514000000000006</v>
      </c>
      <c r="D135" s="14">
        <f>CHOOSE(CONTROL!$C$42, 8.71, 8.71) * CHOOSE(CONTROL!$C$21, $C$9, 100%, $E$9)</f>
        <v>8.7100000000000009</v>
      </c>
      <c r="E135" s="14">
        <f>CHOOSE(CONTROL!$C$42, 8.7441, 8.7441) * CHOOSE(CONTROL!$C$21, $C$9, 100%, $E$9)</f>
        <v>8.7440999999999995</v>
      </c>
      <c r="F135" s="14">
        <f>CHOOSE(CONTROL!$C$42, 8.6449, 8.6449)*CHOOSE(CONTROL!$C$21, $C$9, 100%, $E$9)</f>
        <v>8.6448999999999998</v>
      </c>
      <c r="G135" s="14">
        <f>CHOOSE(CONTROL!$C$42, 8.6611, 8.6611)*CHOOSE(CONTROL!$C$21, $C$9, 100%, $E$9)</f>
        <v>8.6610999999999994</v>
      </c>
      <c r="H135" s="14">
        <f>CHOOSE(CONTROL!$C$42, 8.7333, 8.7333) * CHOOSE(CONTROL!$C$21, $C$9, 100%, $E$9)</f>
        <v>8.7332999999999998</v>
      </c>
      <c r="I135" s="14">
        <f>CHOOSE(CONTROL!$C$42, 8.6836, 8.6836)* CHOOSE(CONTROL!$C$21, $C$9, 100%, $E$9)</f>
        <v>8.6836000000000002</v>
      </c>
      <c r="J135" s="14">
        <f>CHOOSE(CONTROL!$C$42, 8.6379, 8.6379)* CHOOSE(CONTROL!$C$21, $C$9, 100%, $E$9)</f>
        <v>8.6379000000000001</v>
      </c>
      <c r="K135" s="53">
        <f>CHOOSE(CONTROL!$C$42, 8.6798, 8.6798) * CHOOSE(CONTROL!$C$21, $C$9, 100%, $E$9)</f>
        <v>8.6798000000000002</v>
      </c>
      <c r="L135" s="14">
        <f>CHOOSE(CONTROL!$C$42, 9.3203, 9.3203) * CHOOSE(CONTROL!$C$21, $C$9, 100%, $E$9)</f>
        <v>9.3202999999999996</v>
      </c>
      <c r="M135" s="14">
        <f>CHOOSE(CONTROL!$C$42, 8.4686, 8.4686) * CHOOSE(CONTROL!$C$21, $C$9, 100%, $E$9)</f>
        <v>8.4686000000000003</v>
      </c>
      <c r="N135" s="14">
        <f>CHOOSE(CONTROL!$C$42, 8.4845, 8.4845) * CHOOSE(CONTROL!$C$21, $C$9, 100%, $E$9)</f>
        <v>8.4845000000000006</v>
      </c>
      <c r="O135" s="14">
        <f>CHOOSE(CONTROL!$C$42, 8.5621, 8.5621) * CHOOSE(CONTROL!$C$21, $C$9, 100%, $E$9)</f>
        <v>8.5620999999999992</v>
      </c>
      <c r="P135" s="14">
        <f>CHOOSE(CONTROL!$C$42, 8.513, 8.513) * CHOOSE(CONTROL!$C$21, $C$9, 100%, $E$9)</f>
        <v>8.5129999999999999</v>
      </c>
      <c r="Q135" s="14">
        <f>CHOOSE(CONTROL!$C$42, 9.1568, 9.1568) * CHOOSE(CONTROL!$C$21, $C$9, 100%, $E$9)</f>
        <v>9.1568000000000005</v>
      </c>
      <c r="R135" s="14">
        <f>CHOOSE(CONTROL!$C$42, 9.7667, 9.7667) * CHOOSE(CONTROL!$C$21, $C$9, 100%, $E$9)</f>
        <v>9.7667000000000002</v>
      </c>
      <c r="S135" s="14">
        <f>CHOOSE(CONTROL!$C$42, 8.2997, 8.2997) * CHOOSE(CONTROL!$C$21, $C$9, 100%, $E$9)</f>
        <v>8.2996999999999996</v>
      </c>
      <c r="T1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7">
        <f>(1000*CHOOSE(CONTROL!$C$42, 695, 695)*CHOOSE(CONTROL!$C$42, 0.5599, 0.5599)*CHOOSE(CONTROL!$C$42, 31, 31))/1000000</f>
        <v>12.063045499999998</v>
      </c>
      <c r="V135" s="57">
        <f>(1000*CHOOSE(CONTROL!$C$42, 500, 500)*CHOOSE(CONTROL!$C$42, 0.275, 0.275)*CHOOSE(CONTROL!$C$42, 31, 31))/1000000</f>
        <v>4.2625000000000002</v>
      </c>
      <c r="W135" s="57">
        <f>(1000*CHOOSE(CONTROL!$C$42, 0.1146, 0.1146)*CHOOSE(CONTROL!$C$42, 121.5, 121.5)*CHOOSE(CONTROL!$C$42, 31, 31))/1000000</f>
        <v>0.43164089999999994</v>
      </c>
      <c r="X135" s="57">
        <f>(31*0.1790888*100000/1000000)+(31*0.2374*100000/1000000)</f>
        <v>1.2911152800000001</v>
      </c>
      <c r="Y135" s="57"/>
      <c r="Z135" s="14"/>
      <c r="AA135" s="56"/>
      <c r="AB135" s="50">
        <f>(B135*122.58+C135*297.941+D135*89.177+E135*40.302+F135*40+G135*160+H135*0+I135*100+J135*300)/(122.58+297.941+89.177+40.302+0+40+160+100+300)</f>
        <v>8.6590509648695644</v>
      </c>
      <c r="AC135" s="45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8.5182812949640283</v>
      </c>
    </row>
    <row r="136" spans="1:29" ht="15.75" x14ac:dyDescent="0.25">
      <c r="A136" s="13">
        <v>45017</v>
      </c>
      <c r="B136" s="14">
        <f>CHOOSE(CONTROL!$C$42, 8.6394, 8.6394) * CHOOSE(CONTROL!$C$21, $C$9, 100%, $E$9)</f>
        <v>8.6394000000000002</v>
      </c>
      <c r="C136" s="14">
        <f>CHOOSE(CONTROL!$C$42, 8.6439, 8.6439) * CHOOSE(CONTROL!$C$21, $C$9, 100%, $E$9)</f>
        <v>8.6439000000000004</v>
      </c>
      <c r="D136" s="14">
        <f>CHOOSE(CONTROL!$C$42, 8.852, 8.852) * CHOOSE(CONTROL!$C$21, $C$9, 100%, $E$9)</f>
        <v>8.8520000000000003</v>
      </c>
      <c r="E136" s="14">
        <f>CHOOSE(CONTROL!$C$42, 8.8841, 8.8841) * CHOOSE(CONTROL!$C$21, $C$9, 100%, $E$9)</f>
        <v>8.8841000000000001</v>
      </c>
      <c r="F136" s="14">
        <f>CHOOSE(CONTROL!$C$42, 8.6267, 8.6267)*CHOOSE(CONTROL!$C$21, $C$9, 100%, $E$9)</f>
        <v>8.6266999999999996</v>
      </c>
      <c r="G136" s="14">
        <f>CHOOSE(CONTROL!$C$42, 8.6427, 8.6427)*CHOOSE(CONTROL!$C$21, $C$9, 100%, $E$9)</f>
        <v>8.6426999999999996</v>
      </c>
      <c r="H136" s="14">
        <f>CHOOSE(CONTROL!$C$42, 8.8739, 8.8739) * CHOOSE(CONTROL!$C$21, $C$9, 100%, $E$9)</f>
        <v>8.8739000000000008</v>
      </c>
      <c r="I136" s="14">
        <f>CHOOSE(CONTROL!$C$42, 8.6759, 8.6759)* CHOOSE(CONTROL!$C$21, $C$9, 100%, $E$9)</f>
        <v>8.6759000000000004</v>
      </c>
      <c r="J136" s="14">
        <f>CHOOSE(CONTROL!$C$42, 8.6197, 8.6197)* CHOOSE(CONTROL!$C$21, $C$9, 100%, $E$9)</f>
        <v>8.6196999999999999</v>
      </c>
      <c r="K136" s="53">
        <f>CHOOSE(CONTROL!$C$42, 8.672, 8.672) * CHOOSE(CONTROL!$C$21, $C$9, 100%, $E$9)</f>
        <v>8.6720000000000006</v>
      </c>
      <c r="L136" s="14">
        <f>CHOOSE(CONTROL!$C$42, 9.4609, 9.4609) * CHOOSE(CONTROL!$C$21, $C$9, 100%, $E$9)</f>
        <v>9.4609000000000005</v>
      </c>
      <c r="M136" s="14">
        <f>CHOOSE(CONTROL!$C$42, 8.4508, 8.4508) * CHOOSE(CONTROL!$C$21, $C$9, 100%, $E$9)</f>
        <v>8.4507999999999992</v>
      </c>
      <c r="N136" s="14">
        <f>CHOOSE(CONTROL!$C$42, 8.4664, 8.4664) * CHOOSE(CONTROL!$C$21, $C$9, 100%, $E$9)</f>
        <v>8.4664000000000001</v>
      </c>
      <c r="O136" s="14">
        <f>CHOOSE(CONTROL!$C$42, 8.6998, 8.6998) * CHOOSE(CONTROL!$C$21, $C$9, 100%, $E$9)</f>
        <v>8.6997999999999998</v>
      </c>
      <c r="P136" s="14">
        <f>CHOOSE(CONTROL!$C$42, 8.5054, 8.5054) * CHOOSE(CONTROL!$C$21, $C$9, 100%, $E$9)</f>
        <v>8.5053999999999998</v>
      </c>
      <c r="Q136" s="14">
        <f>CHOOSE(CONTROL!$C$42, 9.2945, 9.2945) * CHOOSE(CONTROL!$C$21, $C$9, 100%, $E$9)</f>
        <v>9.2944999999999993</v>
      </c>
      <c r="R136" s="14">
        <f>CHOOSE(CONTROL!$C$42, 9.9047, 9.9047) * CHOOSE(CONTROL!$C$21, $C$9, 100%, $E$9)</f>
        <v>9.9047000000000001</v>
      </c>
      <c r="S136" s="14">
        <f>CHOOSE(CONTROL!$C$42, 8.2923, 8.2923) * CHOOSE(CONTROL!$C$21, $C$9, 100%, $E$9)</f>
        <v>8.2922999999999991</v>
      </c>
      <c r="T1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7">
        <f>(1000*CHOOSE(CONTROL!$C$42, 695, 695)*CHOOSE(CONTROL!$C$42, 0.5599, 0.5599)*CHOOSE(CONTROL!$C$42, 30, 30))/1000000</f>
        <v>11.673914999999997</v>
      </c>
      <c r="V136" s="57">
        <f>(1000*CHOOSE(CONTROL!$C$42, 500, 500)*CHOOSE(CONTROL!$C$42, 0.275, 0.275)*CHOOSE(CONTROL!$C$42, 30, 30))/1000000</f>
        <v>4.125</v>
      </c>
      <c r="W136" s="57">
        <f>(1000*CHOOSE(CONTROL!$C$42, 0.1146, 0.1146)*CHOOSE(CONTROL!$C$42, 121.5, 121.5)*CHOOSE(CONTROL!$C$42, 30, 30))/1000000</f>
        <v>0.417717</v>
      </c>
      <c r="X136" s="57">
        <f>(30*0.1790888*245000/1000000)+(30*0.2374*100000/1000000)</f>
        <v>2.0285026799999999</v>
      </c>
      <c r="Y136" s="57"/>
      <c r="Z136" s="14"/>
      <c r="AA136" s="56"/>
      <c r="AB136" s="50">
        <f>(B136*141.293+C136*267.993+D136*115.016+E136*89.698+F136*40+G136*185+H136*0+I136*100+J136*300)/(141.293+267.993+115.016+89.698+0+40+185+100+300)</f>
        <v>8.6760827850686031</v>
      </c>
      <c r="AC136" s="45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8.5321107913669056</v>
      </c>
    </row>
    <row r="137" spans="1:29" ht="15.75" x14ac:dyDescent="0.25">
      <c r="A137" s="13">
        <v>45047</v>
      </c>
      <c r="B137" s="14">
        <f>CHOOSE(CONTROL!$C$42, 8.7349, 8.7349) * CHOOSE(CONTROL!$C$21, $C$9, 100%, $E$9)</f>
        <v>8.7348999999999997</v>
      </c>
      <c r="C137" s="14">
        <f>CHOOSE(CONTROL!$C$42, 8.7429, 8.7429) * CHOOSE(CONTROL!$C$21, $C$9, 100%, $E$9)</f>
        <v>8.7429000000000006</v>
      </c>
      <c r="D137" s="14">
        <f>CHOOSE(CONTROL!$C$42, 8.9479, 8.9479) * CHOOSE(CONTROL!$C$21, $C$9, 100%, $E$9)</f>
        <v>8.9479000000000006</v>
      </c>
      <c r="E137" s="14">
        <f>CHOOSE(CONTROL!$C$42, 8.9793, 8.9793) * CHOOSE(CONTROL!$C$21, $C$9, 100%, $E$9)</f>
        <v>8.9793000000000003</v>
      </c>
      <c r="F137" s="14">
        <f>CHOOSE(CONTROL!$C$42, 8.7211, 8.7211)*CHOOSE(CONTROL!$C$21, $C$9, 100%, $E$9)</f>
        <v>8.7210999999999999</v>
      </c>
      <c r="G137" s="14">
        <f>CHOOSE(CONTROL!$C$42, 8.7375, 8.7375)*CHOOSE(CONTROL!$C$21, $C$9, 100%, $E$9)</f>
        <v>8.7375000000000007</v>
      </c>
      <c r="H137" s="14">
        <f>CHOOSE(CONTROL!$C$42, 8.968, 8.968) * CHOOSE(CONTROL!$C$21, $C$9, 100%, $E$9)</f>
        <v>8.968</v>
      </c>
      <c r="I137" s="14">
        <f>CHOOSE(CONTROL!$C$42, 8.7703, 8.7703)* CHOOSE(CONTROL!$C$21, $C$9, 100%, $E$9)</f>
        <v>8.7703000000000007</v>
      </c>
      <c r="J137" s="14">
        <f>CHOOSE(CONTROL!$C$42, 8.7141, 8.7141)* CHOOSE(CONTROL!$C$21, $C$9, 100%, $E$9)</f>
        <v>8.7141000000000002</v>
      </c>
      <c r="K137" s="53">
        <f>CHOOSE(CONTROL!$C$42, 8.7664, 8.7664) * CHOOSE(CONTROL!$C$21, $C$9, 100%, $E$9)</f>
        <v>8.7664000000000009</v>
      </c>
      <c r="L137" s="14">
        <f>CHOOSE(CONTROL!$C$42, 9.555, 9.555) * CHOOSE(CONTROL!$C$21, $C$9, 100%, $E$9)</f>
        <v>9.5549999999999997</v>
      </c>
      <c r="M137" s="14">
        <f>CHOOSE(CONTROL!$C$42, 8.5432, 8.5432) * CHOOSE(CONTROL!$C$21, $C$9, 100%, $E$9)</f>
        <v>8.5432000000000006</v>
      </c>
      <c r="N137" s="14">
        <f>CHOOSE(CONTROL!$C$42, 8.5593, 8.5593) * CHOOSE(CONTROL!$C$21, $C$9, 100%, $E$9)</f>
        <v>8.5593000000000004</v>
      </c>
      <c r="O137" s="14">
        <f>CHOOSE(CONTROL!$C$42, 8.7919, 8.7919) * CHOOSE(CONTROL!$C$21, $C$9, 100%, $E$9)</f>
        <v>8.7919</v>
      </c>
      <c r="P137" s="14">
        <f>CHOOSE(CONTROL!$C$42, 8.5978, 8.5978) * CHOOSE(CONTROL!$C$21, $C$9, 100%, $E$9)</f>
        <v>8.5977999999999994</v>
      </c>
      <c r="Q137" s="14">
        <f>CHOOSE(CONTROL!$C$42, 9.3866, 9.3866) * CHOOSE(CONTROL!$C$21, $C$9, 100%, $E$9)</f>
        <v>9.3865999999999996</v>
      </c>
      <c r="R137" s="14">
        <f>CHOOSE(CONTROL!$C$42, 9.9971, 9.9971) * CHOOSE(CONTROL!$C$21, $C$9, 100%, $E$9)</f>
        <v>9.9970999999999997</v>
      </c>
      <c r="S137" s="14">
        <f>CHOOSE(CONTROL!$C$42, 8.3827, 8.3827) * CHOOSE(CONTROL!$C$21, $C$9, 100%, $E$9)</f>
        <v>8.3826999999999998</v>
      </c>
      <c r="T1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7">
        <f>(1000*CHOOSE(CONTROL!$C$42, 695, 695)*CHOOSE(CONTROL!$C$42, 0.5599, 0.5599)*CHOOSE(CONTROL!$C$42, 31, 31))/1000000</f>
        <v>12.063045499999998</v>
      </c>
      <c r="V137" s="57">
        <f>(1000*CHOOSE(CONTROL!$C$42, 500, 500)*CHOOSE(CONTROL!$C$42, 0.275, 0.275)*CHOOSE(CONTROL!$C$42, 31, 31))/1000000</f>
        <v>4.2625000000000002</v>
      </c>
      <c r="W137" s="57">
        <f>(1000*CHOOSE(CONTROL!$C$42, 0.1146, 0.1146)*CHOOSE(CONTROL!$C$42, 121.5, 121.5)*CHOOSE(CONTROL!$C$42, 31, 31))/1000000</f>
        <v>0.43164089999999994</v>
      </c>
      <c r="X137" s="57">
        <f>(31*0.1790888*245000/1000000)+(31*0.2374*100000/1000000)</f>
        <v>2.0961194359999999</v>
      </c>
      <c r="Y137" s="57"/>
      <c r="Z137" s="14"/>
      <c r="AA137" s="56"/>
      <c r="AB137" s="50">
        <f>(B137*194.205+C137*267.466+D137*133.845+E137*53.484+F137*40+G137*185+H137*0+I137*100+J137*300)/(194.205+267.466+133.845+53.484+0+40+185+100+300)</f>
        <v>8.7670422312401897</v>
      </c>
      <c r="AC137" s="45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8.6245417266187054</v>
      </c>
    </row>
    <row r="138" spans="1:29" ht="15.75" x14ac:dyDescent="0.25">
      <c r="A138" s="13">
        <v>45078</v>
      </c>
      <c r="B138" s="14">
        <f>CHOOSE(CONTROL!$C$42, 9.0008, 9.0008) * CHOOSE(CONTROL!$C$21, $C$9, 100%, $E$9)</f>
        <v>9.0007999999999999</v>
      </c>
      <c r="C138" s="14">
        <f>CHOOSE(CONTROL!$C$42, 9.0088, 9.0088) * CHOOSE(CONTROL!$C$21, $C$9, 100%, $E$9)</f>
        <v>9.0088000000000008</v>
      </c>
      <c r="D138" s="14">
        <f>CHOOSE(CONTROL!$C$42, 9.2138, 9.2138) * CHOOSE(CONTROL!$C$21, $C$9, 100%, $E$9)</f>
        <v>9.2138000000000009</v>
      </c>
      <c r="E138" s="14">
        <f>CHOOSE(CONTROL!$C$42, 9.2452, 9.2452) * CHOOSE(CONTROL!$C$21, $C$9, 100%, $E$9)</f>
        <v>9.2452000000000005</v>
      </c>
      <c r="F138" s="14">
        <f>CHOOSE(CONTROL!$C$42, 8.9873, 8.9873)*CHOOSE(CONTROL!$C$21, $C$9, 100%, $E$9)</f>
        <v>8.9872999999999994</v>
      </c>
      <c r="G138" s="14">
        <f>CHOOSE(CONTROL!$C$42, 9.0038, 9.0038)*CHOOSE(CONTROL!$C$21, $C$9, 100%, $E$9)</f>
        <v>9.0038</v>
      </c>
      <c r="H138" s="14">
        <f>CHOOSE(CONTROL!$C$42, 9.2339, 9.2339) * CHOOSE(CONTROL!$C$21, $C$9, 100%, $E$9)</f>
        <v>9.2339000000000002</v>
      </c>
      <c r="I138" s="14">
        <f>CHOOSE(CONTROL!$C$42, 9.037, 9.037)* CHOOSE(CONTROL!$C$21, $C$9, 100%, $E$9)</f>
        <v>9.0370000000000008</v>
      </c>
      <c r="J138" s="14">
        <f>CHOOSE(CONTROL!$C$42, 8.9803, 8.9803)* CHOOSE(CONTROL!$C$21, $C$9, 100%, $E$9)</f>
        <v>8.9802999999999997</v>
      </c>
      <c r="K138" s="53">
        <f>CHOOSE(CONTROL!$C$42, 9.0331, 9.0331) * CHOOSE(CONTROL!$C$21, $C$9, 100%, $E$9)</f>
        <v>9.0330999999999992</v>
      </c>
      <c r="L138" s="14">
        <f>CHOOSE(CONTROL!$C$42, 9.8209, 9.8209) * CHOOSE(CONTROL!$C$21, $C$9, 100%, $E$9)</f>
        <v>9.8209</v>
      </c>
      <c r="M138" s="14">
        <f>CHOOSE(CONTROL!$C$42, 8.804, 8.804) * CHOOSE(CONTROL!$C$21, $C$9, 100%, $E$9)</f>
        <v>8.8040000000000003</v>
      </c>
      <c r="N138" s="14">
        <f>CHOOSE(CONTROL!$C$42, 8.8202, 8.8202) * CHOOSE(CONTROL!$C$21, $C$9, 100%, $E$9)</f>
        <v>8.8201999999999998</v>
      </c>
      <c r="O138" s="14">
        <f>CHOOSE(CONTROL!$C$42, 9.0524, 9.0524) * CHOOSE(CONTROL!$C$21, $C$9, 100%, $E$9)</f>
        <v>9.0524000000000004</v>
      </c>
      <c r="P138" s="14">
        <f>CHOOSE(CONTROL!$C$42, 8.8591, 8.8591) * CHOOSE(CONTROL!$C$21, $C$9, 100%, $E$9)</f>
        <v>8.8590999999999998</v>
      </c>
      <c r="Q138" s="14">
        <f>CHOOSE(CONTROL!$C$42, 9.6471, 9.6471) * CHOOSE(CONTROL!$C$21, $C$9, 100%, $E$9)</f>
        <v>9.6471</v>
      </c>
      <c r="R138" s="14">
        <f>CHOOSE(CONTROL!$C$42, 10.2582, 10.2582) * CHOOSE(CONTROL!$C$21, $C$9, 100%, $E$9)</f>
        <v>10.2582</v>
      </c>
      <c r="S138" s="14">
        <f>CHOOSE(CONTROL!$C$42, 8.6382, 8.6382) * CHOOSE(CONTROL!$C$21, $C$9, 100%, $E$9)</f>
        <v>8.6381999999999994</v>
      </c>
      <c r="T1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7">
        <f>(1000*CHOOSE(CONTROL!$C$42, 695, 695)*CHOOSE(CONTROL!$C$42, 0.5599, 0.5599)*CHOOSE(CONTROL!$C$42, 30, 30))/1000000</f>
        <v>11.673914999999997</v>
      </c>
      <c r="V138" s="57">
        <f>(1000*CHOOSE(CONTROL!$C$42, 500, 500)*CHOOSE(CONTROL!$C$42, 0.275, 0.275)*CHOOSE(CONTROL!$C$42, 30, 30))/1000000</f>
        <v>4.125</v>
      </c>
      <c r="W138" s="57">
        <f>(1000*CHOOSE(CONTROL!$C$42, 0.1146, 0.1146)*CHOOSE(CONTROL!$C$42, 121.5, 121.5)*CHOOSE(CONTROL!$C$42, 30, 30))/1000000</f>
        <v>0.417717</v>
      </c>
      <c r="X138" s="57">
        <f>(30*0.1790888*245000/1000000)+(30*0.2374*100000/1000000)</f>
        <v>2.0285026799999999</v>
      </c>
      <c r="Y138" s="57"/>
      <c r="Z138" s="14"/>
      <c r="AA138" s="56"/>
      <c r="AB138" s="50">
        <f>(B138*194.205+C138*267.466+D138*133.845+E138*53.484+F138*40+G138*185+H138*0+I138*100+J138*300)/(194.205+267.466+133.845+53.484+0+40+185+100+300)</f>
        <v>9.0331431731554162</v>
      </c>
      <c r="AC138" s="45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8.885352517985611</v>
      </c>
    </row>
    <row r="139" spans="1:29" ht="15.75" x14ac:dyDescent="0.25">
      <c r="A139" s="13">
        <v>45108</v>
      </c>
      <c r="B139" s="14">
        <f>CHOOSE(CONTROL!$C$42, 8.8465, 8.8465) * CHOOSE(CONTROL!$C$21, $C$9, 100%, $E$9)</f>
        <v>8.8465000000000007</v>
      </c>
      <c r="C139" s="14">
        <f>CHOOSE(CONTROL!$C$42, 8.8545, 8.8545) * CHOOSE(CONTROL!$C$21, $C$9, 100%, $E$9)</f>
        <v>8.8544999999999998</v>
      </c>
      <c r="D139" s="14">
        <f>CHOOSE(CONTROL!$C$42, 9.0595, 9.0595) * CHOOSE(CONTROL!$C$21, $C$9, 100%, $E$9)</f>
        <v>9.0594999999999999</v>
      </c>
      <c r="E139" s="14">
        <f>CHOOSE(CONTROL!$C$42, 9.091, 9.091) * CHOOSE(CONTROL!$C$21, $C$9, 100%, $E$9)</f>
        <v>9.0909999999999993</v>
      </c>
      <c r="F139" s="14">
        <f>CHOOSE(CONTROL!$C$42, 8.8335, 8.8335)*CHOOSE(CONTROL!$C$21, $C$9, 100%, $E$9)</f>
        <v>8.8335000000000008</v>
      </c>
      <c r="G139" s="14">
        <f>CHOOSE(CONTROL!$C$42, 8.8501, 8.8501)*CHOOSE(CONTROL!$C$21, $C$9, 100%, $E$9)</f>
        <v>8.8500999999999994</v>
      </c>
      <c r="H139" s="14">
        <f>CHOOSE(CONTROL!$C$42, 9.0796, 9.0796) * CHOOSE(CONTROL!$C$21, $C$9, 100%, $E$9)</f>
        <v>9.0795999999999992</v>
      </c>
      <c r="I139" s="14">
        <f>CHOOSE(CONTROL!$C$42, 8.8822, 8.8822)* CHOOSE(CONTROL!$C$21, $C$9, 100%, $E$9)</f>
        <v>8.8821999999999992</v>
      </c>
      <c r="J139" s="14">
        <f>CHOOSE(CONTROL!$C$42, 8.8265, 8.8265)* CHOOSE(CONTROL!$C$21, $C$9, 100%, $E$9)</f>
        <v>8.8264999999999993</v>
      </c>
      <c r="K139" s="53">
        <f>CHOOSE(CONTROL!$C$42, 8.8784, 8.8784) * CHOOSE(CONTROL!$C$21, $C$9, 100%, $E$9)</f>
        <v>8.8783999999999992</v>
      </c>
      <c r="L139" s="14">
        <f>CHOOSE(CONTROL!$C$42, 9.6666, 9.6666) * CHOOSE(CONTROL!$C$21, $C$9, 100%, $E$9)</f>
        <v>9.6666000000000007</v>
      </c>
      <c r="M139" s="14">
        <f>CHOOSE(CONTROL!$C$42, 8.6533, 8.6533) * CHOOSE(CONTROL!$C$21, $C$9, 100%, $E$9)</f>
        <v>8.6532999999999998</v>
      </c>
      <c r="N139" s="14">
        <f>CHOOSE(CONTROL!$C$42, 8.6696, 8.6696) * CHOOSE(CONTROL!$C$21, $C$9, 100%, $E$9)</f>
        <v>8.6696000000000009</v>
      </c>
      <c r="O139" s="14">
        <f>CHOOSE(CONTROL!$C$42, 8.9012, 8.9012) * CHOOSE(CONTROL!$C$21, $C$9, 100%, $E$9)</f>
        <v>8.9011999999999993</v>
      </c>
      <c r="P139" s="14">
        <f>CHOOSE(CONTROL!$C$42, 8.7075, 8.7075) * CHOOSE(CONTROL!$C$21, $C$9, 100%, $E$9)</f>
        <v>8.7074999999999996</v>
      </c>
      <c r="Q139" s="14">
        <f>CHOOSE(CONTROL!$C$42, 9.4959, 9.4959) * CHOOSE(CONTROL!$C$21, $C$9, 100%, $E$9)</f>
        <v>9.4959000000000007</v>
      </c>
      <c r="R139" s="14">
        <f>CHOOSE(CONTROL!$C$42, 10.1067, 10.1067) * CHOOSE(CONTROL!$C$21, $C$9, 100%, $E$9)</f>
        <v>10.1067</v>
      </c>
      <c r="S139" s="14">
        <f>CHOOSE(CONTROL!$C$42, 8.49, 8.49) * CHOOSE(CONTROL!$C$21, $C$9, 100%, $E$9)</f>
        <v>8.49</v>
      </c>
      <c r="T1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7">
        <f>(1000*CHOOSE(CONTROL!$C$42, 695, 695)*CHOOSE(CONTROL!$C$42, 0.5599, 0.5599)*CHOOSE(CONTROL!$C$42, 31, 31))/1000000</f>
        <v>12.063045499999998</v>
      </c>
      <c r="V139" s="57">
        <f>(1000*CHOOSE(CONTROL!$C$42, 500, 500)*CHOOSE(CONTROL!$C$42, 0.275, 0.275)*CHOOSE(CONTROL!$C$42, 31, 31))/1000000</f>
        <v>4.2625000000000002</v>
      </c>
      <c r="W139" s="57">
        <f>(1000*CHOOSE(CONTROL!$C$42, 0.1146, 0.1146)*CHOOSE(CONTROL!$C$42, 121.5, 121.5)*CHOOSE(CONTROL!$C$42, 31, 31))/1000000</f>
        <v>0.43164089999999994</v>
      </c>
      <c r="X139" s="57">
        <f>(31*0.1790888*245000/1000000)+(31*0.2374*100000/1000000)</f>
        <v>2.0961194359999999</v>
      </c>
      <c r="Y139" s="57"/>
      <c r="Z139" s="14"/>
      <c r="AA139" s="56"/>
      <c r="AB139" s="50">
        <f>(B139*194.205+C139*267.466+D139*133.845+E139*53.484+F139*40+G139*185+H139*0+I139*100+J139*300)/(194.205+267.466+133.845+53.484+0+40+185+100+300)</f>
        <v>8.8790286899529036</v>
      </c>
      <c r="AC139" s="45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8.7344057553956844</v>
      </c>
    </row>
    <row r="140" spans="1:29" ht="15.75" x14ac:dyDescent="0.25">
      <c r="A140" s="13">
        <v>45139</v>
      </c>
      <c r="B140" s="14">
        <f>CHOOSE(CONTROL!$C$42, 8.4274, 8.4274) * CHOOSE(CONTROL!$C$21, $C$9, 100%, $E$9)</f>
        <v>8.4274000000000004</v>
      </c>
      <c r="C140" s="14">
        <f>CHOOSE(CONTROL!$C$42, 8.4355, 8.4355) * CHOOSE(CONTROL!$C$21, $C$9, 100%, $E$9)</f>
        <v>8.4354999999999993</v>
      </c>
      <c r="D140" s="14">
        <f>CHOOSE(CONTROL!$C$42, 8.6404, 8.6404) * CHOOSE(CONTROL!$C$21, $C$9, 100%, $E$9)</f>
        <v>8.6403999999999996</v>
      </c>
      <c r="E140" s="14">
        <f>CHOOSE(CONTROL!$C$42, 8.6719, 8.6719) * CHOOSE(CONTROL!$C$21, $C$9, 100%, $E$9)</f>
        <v>8.6719000000000008</v>
      </c>
      <c r="F140" s="14">
        <f>CHOOSE(CONTROL!$C$42, 8.4146, 8.4146)*CHOOSE(CONTROL!$C$21, $C$9, 100%, $E$9)</f>
        <v>8.4146000000000001</v>
      </c>
      <c r="G140" s="14">
        <f>CHOOSE(CONTROL!$C$42, 8.4313, 8.4313)*CHOOSE(CONTROL!$C$21, $C$9, 100%, $E$9)</f>
        <v>8.4313000000000002</v>
      </c>
      <c r="H140" s="14">
        <f>CHOOSE(CONTROL!$C$42, 8.6605, 8.6605) * CHOOSE(CONTROL!$C$21, $C$9, 100%, $E$9)</f>
        <v>8.6605000000000008</v>
      </c>
      <c r="I140" s="14">
        <f>CHOOSE(CONTROL!$C$42, 8.4619, 8.4619)* CHOOSE(CONTROL!$C$21, $C$9, 100%, $E$9)</f>
        <v>8.4619</v>
      </c>
      <c r="J140" s="14">
        <f>CHOOSE(CONTROL!$C$42, 8.4076, 8.4076)* CHOOSE(CONTROL!$C$21, $C$9, 100%, $E$9)</f>
        <v>8.4076000000000004</v>
      </c>
      <c r="K140" s="53">
        <f>CHOOSE(CONTROL!$C$42, 8.458, 8.458) * CHOOSE(CONTROL!$C$21, $C$9, 100%, $E$9)</f>
        <v>8.4580000000000002</v>
      </c>
      <c r="L140" s="14">
        <f>CHOOSE(CONTROL!$C$42, 9.2475, 9.2475) * CHOOSE(CONTROL!$C$21, $C$9, 100%, $E$9)</f>
        <v>9.2475000000000005</v>
      </c>
      <c r="M140" s="14">
        <f>CHOOSE(CONTROL!$C$42, 8.243, 8.243) * CHOOSE(CONTROL!$C$21, $C$9, 100%, $E$9)</f>
        <v>8.2430000000000003</v>
      </c>
      <c r="N140" s="14">
        <f>CHOOSE(CONTROL!$C$42, 8.2594, 8.2594) * CHOOSE(CONTROL!$C$21, $C$9, 100%, $E$9)</f>
        <v>8.2593999999999994</v>
      </c>
      <c r="O140" s="14">
        <f>CHOOSE(CONTROL!$C$42, 8.4908, 8.4908) * CHOOSE(CONTROL!$C$21, $C$9, 100%, $E$9)</f>
        <v>8.4908000000000001</v>
      </c>
      <c r="P140" s="14">
        <f>CHOOSE(CONTROL!$C$42, 8.2957, 8.2957) * CHOOSE(CONTROL!$C$21, $C$9, 100%, $E$9)</f>
        <v>8.2957000000000001</v>
      </c>
      <c r="Q140" s="14">
        <f>CHOOSE(CONTROL!$C$42, 9.0855, 9.0855) * CHOOSE(CONTROL!$C$21, $C$9, 100%, $E$9)</f>
        <v>9.0854999999999997</v>
      </c>
      <c r="R140" s="14">
        <f>CHOOSE(CONTROL!$C$42, 9.6952, 9.6952) * CHOOSE(CONTROL!$C$21, $C$9, 100%, $E$9)</f>
        <v>9.6951999999999998</v>
      </c>
      <c r="S140" s="14">
        <f>CHOOSE(CONTROL!$C$42, 8.0873, 8.0873) * CHOOSE(CONTROL!$C$21, $C$9, 100%, $E$9)</f>
        <v>8.0873000000000008</v>
      </c>
      <c r="T1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7">
        <f>(1000*CHOOSE(CONTROL!$C$42, 695, 695)*CHOOSE(CONTROL!$C$42, 0.5599, 0.5599)*CHOOSE(CONTROL!$C$42, 31, 31))/1000000</f>
        <v>12.063045499999998</v>
      </c>
      <c r="V140" s="57">
        <f>(1000*CHOOSE(CONTROL!$C$42, 500, 500)*CHOOSE(CONTROL!$C$42, 0.275, 0.275)*CHOOSE(CONTROL!$C$42, 31, 31))/1000000</f>
        <v>4.2625000000000002</v>
      </c>
      <c r="W140" s="57">
        <f>(1000*CHOOSE(CONTROL!$C$42, 0.1146, 0.1146)*CHOOSE(CONTROL!$C$42, 121.5, 121.5)*CHOOSE(CONTROL!$C$42, 31, 31))/1000000</f>
        <v>0.43164089999999994</v>
      </c>
      <c r="X140" s="57">
        <f>(31*0.1790888*245000/1000000)+(31*0.2374*100000/1000000)</f>
        <v>2.0961194359999999</v>
      </c>
      <c r="Y140" s="57"/>
      <c r="Z140" s="14"/>
      <c r="AA140" s="56"/>
      <c r="AB140" s="50">
        <f>(B140*194.205+C140*267.466+D140*133.845+E140*53.484+F140*40+G140*185+H140*0+I140*100+J140*300)/(194.205+267.466+133.845+53.484+0+40+185+100+300)</f>
        <v>8.4599524313971752</v>
      </c>
      <c r="AC140" s="45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8.3238848920863315</v>
      </c>
    </row>
    <row r="141" spans="1:29" ht="15.75" x14ac:dyDescent="0.25">
      <c r="A141" s="13">
        <v>45170</v>
      </c>
      <c r="B141" s="14">
        <f>CHOOSE(CONTROL!$C$42, 7.909, 7.909) * CHOOSE(CONTROL!$C$21, $C$9, 100%, $E$9)</f>
        <v>7.9089999999999998</v>
      </c>
      <c r="C141" s="14">
        <f>CHOOSE(CONTROL!$C$42, 7.917, 7.917) * CHOOSE(CONTROL!$C$21, $C$9, 100%, $E$9)</f>
        <v>7.9169999999999998</v>
      </c>
      <c r="D141" s="14">
        <f>CHOOSE(CONTROL!$C$42, 8.122, 8.122) * CHOOSE(CONTROL!$C$21, $C$9, 100%, $E$9)</f>
        <v>8.1219999999999999</v>
      </c>
      <c r="E141" s="14">
        <f>CHOOSE(CONTROL!$C$42, 8.1535, 8.1535) * CHOOSE(CONTROL!$C$21, $C$9, 100%, $E$9)</f>
        <v>8.1534999999999993</v>
      </c>
      <c r="F141" s="14">
        <f>CHOOSE(CONTROL!$C$42, 7.8962, 7.8962)*CHOOSE(CONTROL!$C$21, $C$9, 100%, $E$9)</f>
        <v>7.8962000000000003</v>
      </c>
      <c r="G141" s="14">
        <f>CHOOSE(CONTROL!$C$42, 7.9128, 7.9128)*CHOOSE(CONTROL!$C$21, $C$9, 100%, $E$9)</f>
        <v>7.9127999999999998</v>
      </c>
      <c r="H141" s="14">
        <f>CHOOSE(CONTROL!$C$42, 8.1421, 8.1421) * CHOOSE(CONTROL!$C$21, $C$9, 100%, $E$9)</f>
        <v>8.1420999999999992</v>
      </c>
      <c r="I141" s="14">
        <f>CHOOSE(CONTROL!$C$42, 7.9418, 7.9418)* CHOOSE(CONTROL!$C$21, $C$9, 100%, $E$9)</f>
        <v>7.9417999999999997</v>
      </c>
      <c r="J141" s="14">
        <f>CHOOSE(CONTROL!$C$42, 7.8892, 7.8892)* CHOOSE(CONTROL!$C$21, $C$9, 100%, $E$9)</f>
        <v>7.8891999999999998</v>
      </c>
      <c r="K141" s="53">
        <f>CHOOSE(CONTROL!$C$42, 7.9379, 7.9379) * CHOOSE(CONTROL!$C$21, $C$9, 100%, $E$9)</f>
        <v>7.9379</v>
      </c>
      <c r="L141" s="14">
        <f>CHOOSE(CONTROL!$C$42, 8.7291, 8.7291) * CHOOSE(CONTROL!$C$21, $C$9, 100%, $E$9)</f>
        <v>8.7291000000000007</v>
      </c>
      <c r="M141" s="14">
        <f>CHOOSE(CONTROL!$C$42, 7.7352, 7.7352) * CHOOSE(CONTROL!$C$21, $C$9, 100%, $E$9)</f>
        <v>7.7351999999999999</v>
      </c>
      <c r="N141" s="14">
        <f>CHOOSE(CONTROL!$C$42, 7.7515, 7.7515) * CHOOSE(CONTROL!$C$21, $C$9, 100%, $E$9)</f>
        <v>7.7515000000000001</v>
      </c>
      <c r="O141" s="14">
        <f>CHOOSE(CONTROL!$C$42, 7.983, 7.983) * CHOOSE(CONTROL!$C$21, $C$9, 100%, $E$9)</f>
        <v>7.9829999999999997</v>
      </c>
      <c r="P141" s="14">
        <f>CHOOSE(CONTROL!$C$42, 7.7864, 7.7864) * CHOOSE(CONTROL!$C$21, $C$9, 100%, $E$9)</f>
        <v>7.7864000000000004</v>
      </c>
      <c r="Q141" s="14">
        <f>CHOOSE(CONTROL!$C$42, 8.5777, 8.5777) * CHOOSE(CONTROL!$C$21, $C$9, 100%, $E$9)</f>
        <v>8.5777000000000001</v>
      </c>
      <c r="R141" s="14">
        <f>CHOOSE(CONTROL!$C$42, 9.1861, 9.1861) * CHOOSE(CONTROL!$C$21, $C$9, 100%, $E$9)</f>
        <v>9.1860999999999997</v>
      </c>
      <c r="S141" s="14">
        <f>CHOOSE(CONTROL!$C$42, 7.5891, 7.5891) * CHOOSE(CONTROL!$C$21, $C$9, 100%, $E$9)</f>
        <v>7.5891000000000002</v>
      </c>
      <c r="T1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7">
        <f>(1000*CHOOSE(CONTROL!$C$42, 695, 695)*CHOOSE(CONTROL!$C$42, 0.5599, 0.5599)*CHOOSE(CONTROL!$C$42, 30, 30))/1000000</f>
        <v>11.673914999999997</v>
      </c>
      <c r="V141" s="57">
        <f>(1000*CHOOSE(CONTROL!$C$42, 500, 500)*CHOOSE(CONTROL!$C$42, 0.275, 0.275)*CHOOSE(CONTROL!$C$42, 30, 30))/1000000</f>
        <v>4.125</v>
      </c>
      <c r="W141" s="57">
        <f>(1000*CHOOSE(CONTROL!$C$42, 0.1146, 0.1146)*CHOOSE(CONTROL!$C$42, 121.5, 121.5)*CHOOSE(CONTROL!$C$42, 30, 30))/1000000</f>
        <v>0.417717</v>
      </c>
      <c r="X141" s="57">
        <f>(30*0.1790888*245000/1000000)+(30*0.2374*100000/1000000)</f>
        <v>2.0285026799999999</v>
      </c>
      <c r="Y141" s="57"/>
      <c r="Z141" s="14"/>
      <c r="AA141" s="56"/>
      <c r="AB141" s="50">
        <f>(B141*194.205+C141*267.466+D141*133.845+E141*53.484+F141*40+G141*185+H141*0+I141*100+J141*300)/(194.205+267.466+133.845+53.484+0+40+185+100+300)</f>
        <v>7.9413834780219785</v>
      </c>
      <c r="AC141" s="45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7.8158460431654673</v>
      </c>
    </row>
    <row r="142" spans="1:29" ht="15.75" x14ac:dyDescent="0.25">
      <c r="A142" s="13">
        <v>45200</v>
      </c>
      <c r="B142" s="14">
        <f>CHOOSE(CONTROL!$C$42, 7.7628, 7.7628) * CHOOSE(CONTROL!$C$21, $C$9, 100%, $E$9)</f>
        <v>7.7628000000000004</v>
      </c>
      <c r="C142" s="14">
        <f>CHOOSE(CONTROL!$C$42, 7.7682, 7.7682) * CHOOSE(CONTROL!$C$21, $C$9, 100%, $E$9)</f>
        <v>7.7682000000000002</v>
      </c>
      <c r="D142" s="14">
        <f>CHOOSE(CONTROL!$C$42, 7.9781, 7.9781) * CHOOSE(CONTROL!$C$21, $C$9, 100%, $E$9)</f>
        <v>7.9781000000000004</v>
      </c>
      <c r="E142" s="14">
        <f>CHOOSE(CONTROL!$C$42, 8.0072, 8.0072) * CHOOSE(CONTROL!$C$21, $C$9, 100%, $E$9)</f>
        <v>8.0071999999999992</v>
      </c>
      <c r="F142" s="14">
        <f>CHOOSE(CONTROL!$C$42, 7.7521, 7.7521)*CHOOSE(CONTROL!$C$21, $C$9, 100%, $E$9)</f>
        <v>7.7521000000000004</v>
      </c>
      <c r="G142" s="14">
        <f>CHOOSE(CONTROL!$C$42, 7.7684, 7.7684)*CHOOSE(CONTROL!$C$21, $C$9, 100%, $E$9)</f>
        <v>7.7683999999999997</v>
      </c>
      <c r="H142" s="14">
        <f>CHOOSE(CONTROL!$C$42, 7.9977, 7.9977) * CHOOSE(CONTROL!$C$21, $C$9, 100%, $E$9)</f>
        <v>7.9977</v>
      </c>
      <c r="I142" s="14">
        <f>CHOOSE(CONTROL!$C$42, 7.797, 7.797)* CHOOSE(CONTROL!$C$21, $C$9, 100%, $E$9)</f>
        <v>7.7969999999999997</v>
      </c>
      <c r="J142" s="14">
        <f>CHOOSE(CONTROL!$C$42, 7.7451, 7.7451)* CHOOSE(CONTROL!$C$21, $C$9, 100%, $E$9)</f>
        <v>7.7450999999999999</v>
      </c>
      <c r="K142" s="53">
        <f>CHOOSE(CONTROL!$C$42, 7.7931, 7.7931) * CHOOSE(CONTROL!$C$21, $C$9, 100%, $E$9)</f>
        <v>7.7930999999999999</v>
      </c>
      <c r="L142" s="14">
        <f>CHOOSE(CONTROL!$C$42, 8.5847, 8.5847) * CHOOSE(CONTROL!$C$21, $C$9, 100%, $E$9)</f>
        <v>8.5846999999999998</v>
      </c>
      <c r="M142" s="14">
        <f>CHOOSE(CONTROL!$C$42, 7.5941, 7.5941) * CHOOSE(CONTROL!$C$21, $C$9, 100%, $E$9)</f>
        <v>7.5941000000000001</v>
      </c>
      <c r="N142" s="14">
        <f>CHOOSE(CONTROL!$C$42, 7.6101, 7.6101) * CHOOSE(CONTROL!$C$21, $C$9, 100%, $E$9)</f>
        <v>7.6101000000000001</v>
      </c>
      <c r="O142" s="14">
        <f>CHOOSE(CONTROL!$C$42, 7.8415, 7.8415) * CHOOSE(CONTROL!$C$21, $C$9, 100%, $E$9)</f>
        <v>7.8414999999999999</v>
      </c>
      <c r="P142" s="14">
        <f>CHOOSE(CONTROL!$C$42, 7.6445, 7.6445) * CHOOSE(CONTROL!$C$21, $C$9, 100%, $E$9)</f>
        <v>7.6444999999999999</v>
      </c>
      <c r="Q142" s="14">
        <f>CHOOSE(CONTROL!$C$42, 8.4362, 8.4362) * CHOOSE(CONTROL!$C$21, $C$9, 100%, $E$9)</f>
        <v>8.4361999999999995</v>
      </c>
      <c r="R142" s="14">
        <f>CHOOSE(CONTROL!$C$42, 9.0443, 9.0443) * CHOOSE(CONTROL!$C$21, $C$9, 100%, $E$9)</f>
        <v>9.0442999999999998</v>
      </c>
      <c r="S142" s="14">
        <f>CHOOSE(CONTROL!$C$42, 7.4504, 7.4504) * CHOOSE(CONTROL!$C$21, $C$9, 100%, $E$9)</f>
        <v>7.4504000000000001</v>
      </c>
      <c r="T1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7">
        <f>(1000*CHOOSE(CONTROL!$C$42, 695, 695)*CHOOSE(CONTROL!$C$42, 0.5599, 0.5599)*CHOOSE(CONTROL!$C$42, 31, 31))/1000000</f>
        <v>12.063045499999998</v>
      </c>
      <c r="V142" s="57">
        <f>(1000*CHOOSE(CONTROL!$C$42, 500, 500)*CHOOSE(CONTROL!$C$42, 0.275, 0.275)*CHOOSE(CONTROL!$C$42, 31, 31))/1000000</f>
        <v>4.2625000000000002</v>
      </c>
      <c r="W142" s="57">
        <f>(1000*CHOOSE(CONTROL!$C$42, 0.1146, 0.1146)*CHOOSE(CONTROL!$C$42, 121.5, 121.5)*CHOOSE(CONTROL!$C$42, 31, 31))/1000000</f>
        <v>0.43164089999999994</v>
      </c>
      <c r="X142" s="57">
        <f>(31*0.1790888*245000/1000000)+(31*0.2374*100000/1000000)</f>
        <v>2.0961194359999999</v>
      </c>
      <c r="Y142" s="57"/>
      <c r="Z142" s="14"/>
      <c r="AA142" s="56"/>
      <c r="AB142" s="50">
        <f>(B142*131.881+C142*277.167+D142*79.08+E142*125.872+F142*40+G142*185+H142*0+I142*100+J142*300)/(131.881+277.167+79.08+125.872+0+40+185+100+300)</f>
        <v>7.8015439407586751</v>
      </c>
      <c r="AC142" s="45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7.6744496402877687</v>
      </c>
    </row>
    <row r="143" spans="1:29" ht="15.75" x14ac:dyDescent="0.25">
      <c r="A143" s="13">
        <v>45231</v>
      </c>
      <c r="B143" s="14">
        <f>CHOOSE(CONTROL!$C$42, 7.9831, 7.9831) * CHOOSE(CONTROL!$C$21, $C$9, 100%, $E$9)</f>
        <v>7.9831000000000003</v>
      </c>
      <c r="C143" s="14">
        <f>CHOOSE(CONTROL!$C$42, 7.9881, 7.9881) * CHOOSE(CONTROL!$C$21, $C$9, 100%, $E$9)</f>
        <v>7.9881000000000002</v>
      </c>
      <c r="D143" s="14">
        <f>CHOOSE(CONTROL!$C$42, 8.0519, 8.0519) * CHOOSE(CONTROL!$C$21, $C$9, 100%, $E$9)</f>
        <v>8.0518999999999998</v>
      </c>
      <c r="E143" s="14">
        <f>CHOOSE(CONTROL!$C$42, 8.086, 8.086) * CHOOSE(CONTROL!$C$21, $C$9, 100%, $E$9)</f>
        <v>8.0860000000000003</v>
      </c>
      <c r="F143" s="14">
        <f>CHOOSE(CONTROL!$C$42, 7.9853, 7.9853)*CHOOSE(CONTROL!$C$21, $C$9, 100%, $E$9)</f>
        <v>7.9852999999999996</v>
      </c>
      <c r="G143" s="14">
        <f>CHOOSE(CONTROL!$C$42, 8.002, 8.002)*CHOOSE(CONTROL!$C$21, $C$9, 100%, $E$9)</f>
        <v>8.0020000000000007</v>
      </c>
      <c r="H143" s="14">
        <f>CHOOSE(CONTROL!$C$42, 8.0752, 8.0752) * CHOOSE(CONTROL!$C$21, $C$9, 100%, $E$9)</f>
        <v>8.0752000000000006</v>
      </c>
      <c r="I143" s="14">
        <f>CHOOSE(CONTROL!$C$42, 8.0219, 8.0219)* CHOOSE(CONTROL!$C$21, $C$9, 100%, $E$9)</f>
        <v>8.0219000000000005</v>
      </c>
      <c r="J143" s="14">
        <f>CHOOSE(CONTROL!$C$42, 7.9783, 7.9783)* CHOOSE(CONTROL!$C$21, $C$9, 100%, $E$9)</f>
        <v>7.9782999999999999</v>
      </c>
      <c r="K143" s="53">
        <f>CHOOSE(CONTROL!$C$42, 8.018, 8.018) * CHOOSE(CONTROL!$C$21, $C$9, 100%, $E$9)</f>
        <v>8.0180000000000007</v>
      </c>
      <c r="L143" s="14">
        <f>CHOOSE(CONTROL!$C$42, 8.6622, 8.6622) * CHOOSE(CONTROL!$C$21, $C$9, 100%, $E$9)</f>
        <v>8.6622000000000003</v>
      </c>
      <c r="M143" s="14">
        <f>CHOOSE(CONTROL!$C$42, 7.8225, 7.8225) * CHOOSE(CONTROL!$C$21, $C$9, 100%, $E$9)</f>
        <v>7.8224999999999998</v>
      </c>
      <c r="N143" s="14">
        <f>CHOOSE(CONTROL!$C$42, 7.8388, 7.8388) * CHOOSE(CONTROL!$C$21, $C$9, 100%, $E$9)</f>
        <v>7.8388</v>
      </c>
      <c r="O143" s="14">
        <f>CHOOSE(CONTROL!$C$42, 7.9175, 7.9175) * CHOOSE(CONTROL!$C$21, $C$9, 100%, $E$9)</f>
        <v>7.9175000000000004</v>
      </c>
      <c r="P143" s="14">
        <f>CHOOSE(CONTROL!$C$42, 7.8648, 7.8648) * CHOOSE(CONTROL!$C$21, $C$9, 100%, $E$9)</f>
        <v>7.8647999999999998</v>
      </c>
      <c r="Q143" s="14">
        <f>CHOOSE(CONTROL!$C$42, 8.5122, 8.5122) * CHOOSE(CONTROL!$C$21, $C$9, 100%, $E$9)</f>
        <v>8.5122</v>
      </c>
      <c r="R143" s="14">
        <f>CHOOSE(CONTROL!$C$42, 9.1204, 9.1204) * CHOOSE(CONTROL!$C$21, $C$9, 100%, $E$9)</f>
        <v>9.1204000000000001</v>
      </c>
      <c r="S143" s="14">
        <f>CHOOSE(CONTROL!$C$42, 7.6624, 7.6624) * CHOOSE(CONTROL!$C$21, $C$9, 100%, $E$9)</f>
        <v>7.6623999999999999</v>
      </c>
      <c r="T1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7">
        <f>(1000*CHOOSE(CONTROL!$C$42, 695, 695)*CHOOSE(CONTROL!$C$42, 0.5599, 0.5599)*CHOOSE(CONTROL!$C$42, 30, 30))/1000000</f>
        <v>11.673914999999997</v>
      </c>
      <c r="V143" s="57">
        <f>(1000*CHOOSE(CONTROL!$C$42, 500, 500)*CHOOSE(CONTROL!$C$42, 0.275, 0.275)*CHOOSE(CONTROL!$C$42, 30, 30))/1000000</f>
        <v>4.125</v>
      </c>
      <c r="W143" s="57">
        <f>(1000*CHOOSE(CONTROL!$C$42, 0.1146, 0.1146)*CHOOSE(CONTROL!$C$42, 121.5, 121.5)*CHOOSE(CONTROL!$C$42, 30, 30))/1000000</f>
        <v>0.417717</v>
      </c>
      <c r="X143" s="57">
        <f>(30*0.1790888*100000/1000000)+(30*0.2374*100000/1000000)</f>
        <v>1.2494664</v>
      </c>
      <c r="Y143" s="57"/>
      <c r="Z143" s="14"/>
      <c r="AA143" s="56"/>
      <c r="AB143" s="50">
        <f>(B143*122.58+C143*297.941+D143*89.177+E143*40.302+F143*40+G143*160+H143*0+I143*100+J143*300)/(122.58+297.941+89.177+40.302+0+40+160+100+300)</f>
        <v>7.9981644855652183</v>
      </c>
      <c r="AC143" s="45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7.872582014388489</v>
      </c>
    </row>
    <row r="144" spans="1:29" ht="15.75" x14ac:dyDescent="0.25">
      <c r="A144" s="13">
        <v>45261</v>
      </c>
      <c r="B144" s="14">
        <f>CHOOSE(CONTROL!$C$42, 8.5442, 8.5442) * CHOOSE(CONTROL!$C$21, $C$9, 100%, $E$9)</f>
        <v>8.5442</v>
      </c>
      <c r="C144" s="14">
        <f>CHOOSE(CONTROL!$C$42, 8.5493, 8.5493) * CHOOSE(CONTROL!$C$21, $C$9, 100%, $E$9)</f>
        <v>8.5493000000000006</v>
      </c>
      <c r="D144" s="14">
        <f>CHOOSE(CONTROL!$C$42, 8.6131, 8.6131) * CHOOSE(CONTROL!$C$21, $C$9, 100%, $E$9)</f>
        <v>8.6130999999999993</v>
      </c>
      <c r="E144" s="14">
        <f>CHOOSE(CONTROL!$C$42, 8.6472, 8.6472) * CHOOSE(CONTROL!$C$21, $C$9, 100%, $E$9)</f>
        <v>8.6471999999999998</v>
      </c>
      <c r="F144" s="14">
        <f>CHOOSE(CONTROL!$C$42, 8.5485, 8.5485)*CHOOSE(CONTROL!$C$21, $C$9, 100%, $E$9)</f>
        <v>8.5485000000000007</v>
      </c>
      <c r="G144" s="14">
        <f>CHOOSE(CONTROL!$C$42, 8.5657, 8.5657)*CHOOSE(CONTROL!$C$21, $C$9, 100%, $E$9)</f>
        <v>8.5656999999999996</v>
      </c>
      <c r="H144" s="14">
        <f>CHOOSE(CONTROL!$C$42, 8.6364, 8.6364) * CHOOSE(CONTROL!$C$21, $C$9, 100%, $E$9)</f>
        <v>8.6364000000000001</v>
      </c>
      <c r="I144" s="14">
        <f>CHOOSE(CONTROL!$C$42, 8.5849, 8.5849)* CHOOSE(CONTROL!$C$21, $C$9, 100%, $E$9)</f>
        <v>8.5848999999999993</v>
      </c>
      <c r="J144" s="14">
        <f>CHOOSE(CONTROL!$C$42, 8.5415, 8.5415)* CHOOSE(CONTROL!$C$21, $C$9, 100%, $E$9)</f>
        <v>8.5414999999999992</v>
      </c>
      <c r="K144" s="53">
        <f>CHOOSE(CONTROL!$C$42, 8.581, 8.581) * CHOOSE(CONTROL!$C$21, $C$9, 100%, $E$9)</f>
        <v>8.5809999999999995</v>
      </c>
      <c r="L144" s="14">
        <f>CHOOSE(CONTROL!$C$42, 9.2234, 9.2234) * CHOOSE(CONTROL!$C$21, $C$9, 100%, $E$9)</f>
        <v>9.2233999999999998</v>
      </c>
      <c r="M144" s="14">
        <f>CHOOSE(CONTROL!$C$42, 8.3742, 8.3742) * CHOOSE(CONTROL!$C$21, $C$9, 100%, $E$9)</f>
        <v>8.3742000000000001</v>
      </c>
      <c r="N144" s="14">
        <f>CHOOSE(CONTROL!$C$42, 8.3911, 8.3911) * CHOOSE(CONTROL!$C$21, $C$9, 100%, $E$9)</f>
        <v>8.3910999999999998</v>
      </c>
      <c r="O144" s="14">
        <f>CHOOSE(CONTROL!$C$42, 8.4671, 8.4671) * CHOOSE(CONTROL!$C$21, $C$9, 100%, $E$9)</f>
        <v>8.4671000000000003</v>
      </c>
      <c r="P144" s="14">
        <f>CHOOSE(CONTROL!$C$42, 8.4162, 8.4162) * CHOOSE(CONTROL!$C$21, $C$9, 100%, $E$9)</f>
        <v>8.4161999999999999</v>
      </c>
      <c r="Q144" s="14">
        <f>CHOOSE(CONTROL!$C$42, 9.0618, 9.0618) * CHOOSE(CONTROL!$C$21, $C$9, 100%, $E$9)</f>
        <v>9.0617999999999999</v>
      </c>
      <c r="R144" s="14">
        <f>CHOOSE(CONTROL!$C$42, 9.6715, 9.6715) * CHOOSE(CONTROL!$C$21, $C$9, 100%, $E$9)</f>
        <v>9.6715</v>
      </c>
      <c r="S144" s="14">
        <f>CHOOSE(CONTROL!$C$42, 8.2016, 8.2016) * CHOOSE(CONTROL!$C$21, $C$9, 100%, $E$9)</f>
        <v>8.2015999999999991</v>
      </c>
      <c r="T1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7">
        <f>(1000*CHOOSE(CONTROL!$C$42, 695, 695)*CHOOSE(CONTROL!$C$42, 0.5599, 0.5599)*CHOOSE(CONTROL!$C$42, 31, 31))/1000000</f>
        <v>12.063045499999998</v>
      </c>
      <c r="V144" s="57">
        <f>(1000*CHOOSE(CONTROL!$C$42, 500, 500)*CHOOSE(CONTROL!$C$42, 0.275, 0.275)*CHOOSE(CONTROL!$C$42, 31, 31))/1000000</f>
        <v>4.2625000000000002</v>
      </c>
      <c r="W144" s="57">
        <f>(1000*CHOOSE(CONTROL!$C$42, 0.1146, 0.1146)*CHOOSE(CONTROL!$C$42, 121.5, 121.5)*CHOOSE(CONTROL!$C$42, 31, 31))/1000000</f>
        <v>0.43164089999999994</v>
      </c>
      <c r="X144" s="57">
        <f>(31*0.1790888*100000/1000000)+(31*0.2374*100000/1000000)</f>
        <v>1.2911152800000001</v>
      </c>
      <c r="Y144" s="57"/>
      <c r="Z144" s="14"/>
      <c r="AA144" s="56"/>
      <c r="AB144" s="50">
        <f>(B144*122.58+C144*297.941+D144*89.177+E144*40.302+F144*40+G144*160+H144*0+I144*100+J144*300)/(122.58+297.941+89.177+40.302+0+40+160+100+300)</f>
        <v>8.560449478608696</v>
      </c>
      <c r="AC144" s="45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8.4233215827338128</v>
      </c>
    </row>
    <row r="145" spans="1:29" ht="15.75" x14ac:dyDescent="0.25">
      <c r="A145" s="13">
        <v>45292</v>
      </c>
      <c r="B145" s="14">
        <f>CHOOSE(CONTROL!$C$42, 9.0939, 9.0939) * CHOOSE(CONTROL!$C$21, $C$9, 100%, $E$9)</f>
        <v>9.0938999999999997</v>
      </c>
      <c r="C145" s="14">
        <f>CHOOSE(CONTROL!$C$42, 9.0989, 9.0989) * CHOOSE(CONTROL!$C$21, $C$9, 100%, $E$9)</f>
        <v>9.0989000000000004</v>
      </c>
      <c r="D145" s="14">
        <f>CHOOSE(CONTROL!$C$42, 9.1576, 9.1576) * CHOOSE(CONTROL!$C$21, $C$9, 100%, $E$9)</f>
        <v>9.1576000000000004</v>
      </c>
      <c r="E145" s="14">
        <f>CHOOSE(CONTROL!$C$42, 9.1917, 9.1917) * CHOOSE(CONTROL!$C$21, $C$9, 100%, $E$9)</f>
        <v>9.1917000000000009</v>
      </c>
      <c r="F145" s="14">
        <f>CHOOSE(CONTROL!$C$42, 9.093, 9.093)*CHOOSE(CONTROL!$C$21, $C$9, 100%, $E$9)</f>
        <v>9.093</v>
      </c>
      <c r="G145" s="14">
        <f>CHOOSE(CONTROL!$C$42, 9.1094, 9.1094)*CHOOSE(CONTROL!$C$21, $C$9, 100%, $E$9)</f>
        <v>9.1094000000000008</v>
      </c>
      <c r="H145" s="14">
        <f>CHOOSE(CONTROL!$C$42, 9.1809, 9.1809) * CHOOSE(CONTROL!$C$21, $C$9, 100%, $E$9)</f>
        <v>9.1808999999999994</v>
      </c>
      <c r="I145" s="14">
        <f>CHOOSE(CONTROL!$C$42, 9.1326, 9.1326)* CHOOSE(CONTROL!$C$21, $C$9, 100%, $E$9)</f>
        <v>9.1326000000000001</v>
      </c>
      <c r="J145" s="14">
        <f>CHOOSE(CONTROL!$C$42, 9.086, 9.086)* CHOOSE(CONTROL!$C$21, $C$9, 100%, $E$9)</f>
        <v>9.0860000000000003</v>
      </c>
      <c r="K145" s="53">
        <f>CHOOSE(CONTROL!$C$42, 9.1287, 9.1287) * CHOOSE(CONTROL!$C$21, $C$9, 100%, $E$9)</f>
        <v>9.1287000000000003</v>
      </c>
      <c r="L145" s="14">
        <f>CHOOSE(CONTROL!$C$42, 9.7679, 9.7679) * CHOOSE(CONTROL!$C$21, $C$9, 100%, $E$9)</f>
        <v>9.7678999999999991</v>
      </c>
      <c r="M145" s="14">
        <f>CHOOSE(CONTROL!$C$42, 8.9075, 8.9075) * CHOOSE(CONTROL!$C$21, $C$9, 100%, $E$9)</f>
        <v>8.9075000000000006</v>
      </c>
      <c r="N145" s="14">
        <f>CHOOSE(CONTROL!$C$42, 8.9236, 8.9236) * CHOOSE(CONTROL!$C$21, $C$9, 100%, $E$9)</f>
        <v>8.9236000000000004</v>
      </c>
      <c r="O145" s="14">
        <f>CHOOSE(CONTROL!$C$42, 9.0004, 9.0004) * CHOOSE(CONTROL!$C$21, $C$9, 100%, $E$9)</f>
        <v>9.0004000000000008</v>
      </c>
      <c r="P145" s="14">
        <f>CHOOSE(CONTROL!$C$42, 8.9527, 8.9527) * CHOOSE(CONTROL!$C$21, $C$9, 100%, $E$9)</f>
        <v>8.9527000000000001</v>
      </c>
      <c r="Q145" s="14">
        <f>CHOOSE(CONTROL!$C$42, 9.5951, 9.5951) * CHOOSE(CONTROL!$C$21, $C$9, 100%, $E$9)</f>
        <v>9.5951000000000004</v>
      </c>
      <c r="R145" s="14">
        <f>CHOOSE(CONTROL!$C$42, 10.2061, 10.2061) * CHOOSE(CONTROL!$C$21, $C$9, 100%, $E$9)</f>
        <v>10.206099999999999</v>
      </c>
      <c r="S145" s="14">
        <f>CHOOSE(CONTROL!$C$42, 8.7298, 8.7298) * CHOOSE(CONTROL!$C$21, $C$9, 100%, $E$9)</f>
        <v>8.7297999999999991</v>
      </c>
      <c r="T1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7">
        <f>(1000*CHOOSE(CONTROL!$C$42, 695, 695)*CHOOSE(CONTROL!$C$42, 0.5599, 0.5599)*CHOOSE(CONTROL!$C$42, 31, 31))/1000000</f>
        <v>12.063045499999998</v>
      </c>
      <c r="V145" s="57">
        <f>(1000*CHOOSE(CONTROL!$C$42, 500, 500)*CHOOSE(CONTROL!$C$42, 0.275, 0.275)*CHOOSE(CONTROL!$C$42, 31, 31))/1000000</f>
        <v>4.2625000000000002</v>
      </c>
      <c r="W145" s="57">
        <f>(1000*CHOOSE(CONTROL!$C$42, 0.1146, 0.1146)*CHOOSE(CONTROL!$C$42, 121.5, 121.5)*CHOOSE(CONTROL!$C$42, 31, 31))/1000000</f>
        <v>0.43164089999999994</v>
      </c>
      <c r="X145" s="57">
        <f>(31*0.1790888*100000/1000000)+(31*0.2374*100000/1000000)</f>
        <v>1.2911152800000001</v>
      </c>
      <c r="Y145" s="57"/>
      <c r="Z145" s="14"/>
      <c r="AA145" s="56"/>
      <c r="AB145" s="50">
        <f>(B145*122.58+C145*297.941+D145*89.177+E145*40.302+F145*40+G145*160+H145*0+I145*100+J145*300)/(122.58+297.941+89.177+40.302+0+40+160+100+300)</f>
        <v>9.106992013478262</v>
      </c>
      <c r="AC145" s="45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8.9570359712230232</v>
      </c>
    </row>
    <row r="146" spans="1:29" ht="15.75" x14ac:dyDescent="0.25">
      <c r="A146" s="13">
        <v>45323</v>
      </c>
      <c r="B146" s="14">
        <f>CHOOSE(CONTROL!$C$42, 9.2746, 9.2746) * CHOOSE(CONTROL!$C$21, $C$9, 100%, $E$9)</f>
        <v>9.2745999999999995</v>
      </c>
      <c r="C146" s="14">
        <f>CHOOSE(CONTROL!$C$42, 9.2797, 9.2797) * CHOOSE(CONTROL!$C$21, $C$9, 100%, $E$9)</f>
        <v>9.2797000000000001</v>
      </c>
      <c r="D146" s="14">
        <f>CHOOSE(CONTROL!$C$42, 9.3383, 9.3383) * CHOOSE(CONTROL!$C$21, $C$9, 100%, $E$9)</f>
        <v>9.3383000000000003</v>
      </c>
      <c r="E146" s="14">
        <f>CHOOSE(CONTROL!$C$42, 9.3724, 9.3724) * CHOOSE(CONTROL!$C$21, $C$9, 100%, $E$9)</f>
        <v>9.3724000000000007</v>
      </c>
      <c r="F146" s="14">
        <f>CHOOSE(CONTROL!$C$42, 9.2737, 9.2737)*CHOOSE(CONTROL!$C$21, $C$9, 100%, $E$9)</f>
        <v>9.2736999999999998</v>
      </c>
      <c r="G146" s="14">
        <f>CHOOSE(CONTROL!$C$42, 9.2901, 9.2901)*CHOOSE(CONTROL!$C$21, $C$9, 100%, $E$9)</f>
        <v>9.2901000000000007</v>
      </c>
      <c r="H146" s="14">
        <f>CHOOSE(CONTROL!$C$42, 9.3616, 9.3616) * CHOOSE(CONTROL!$C$21, $C$9, 100%, $E$9)</f>
        <v>9.3615999999999993</v>
      </c>
      <c r="I146" s="14">
        <f>CHOOSE(CONTROL!$C$42, 9.3139, 9.3139)* CHOOSE(CONTROL!$C$21, $C$9, 100%, $E$9)</f>
        <v>9.3139000000000003</v>
      </c>
      <c r="J146" s="14">
        <f>CHOOSE(CONTROL!$C$42, 9.2667, 9.2667)* CHOOSE(CONTROL!$C$21, $C$9, 100%, $E$9)</f>
        <v>9.2667000000000002</v>
      </c>
      <c r="K146" s="53">
        <f>CHOOSE(CONTROL!$C$42, 9.31, 9.31) * CHOOSE(CONTROL!$C$21, $C$9, 100%, $E$9)</f>
        <v>9.31</v>
      </c>
      <c r="L146" s="14">
        <f>CHOOSE(CONTROL!$C$42, 9.9486, 9.9486) * CHOOSE(CONTROL!$C$21, $C$9, 100%, $E$9)</f>
        <v>9.9486000000000008</v>
      </c>
      <c r="M146" s="14">
        <f>CHOOSE(CONTROL!$C$42, 9.0845, 9.0845) * CHOOSE(CONTROL!$C$21, $C$9, 100%, $E$9)</f>
        <v>9.0845000000000002</v>
      </c>
      <c r="N146" s="14">
        <f>CHOOSE(CONTROL!$C$42, 9.1006, 9.1006) * CHOOSE(CONTROL!$C$21, $C$9, 100%, $E$9)</f>
        <v>9.1006</v>
      </c>
      <c r="O146" s="14">
        <f>CHOOSE(CONTROL!$C$42, 9.1775, 9.1775) * CHOOSE(CONTROL!$C$21, $C$9, 100%, $E$9)</f>
        <v>9.1775000000000002</v>
      </c>
      <c r="P146" s="14">
        <f>CHOOSE(CONTROL!$C$42, 9.1303, 9.1303) * CHOOSE(CONTROL!$C$21, $C$9, 100%, $E$9)</f>
        <v>9.1303000000000001</v>
      </c>
      <c r="Q146" s="14">
        <f>CHOOSE(CONTROL!$C$42, 9.7722, 9.7722) * CHOOSE(CONTROL!$C$21, $C$9, 100%, $E$9)</f>
        <v>9.7721999999999998</v>
      </c>
      <c r="R146" s="14">
        <f>CHOOSE(CONTROL!$C$42, 10.3836, 10.3836) * CHOOSE(CONTROL!$C$21, $C$9, 100%, $E$9)</f>
        <v>10.383599999999999</v>
      </c>
      <c r="S146" s="14">
        <f>CHOOSE(CONTROL!$C$42, 8.9035, 8.9035) * CHOOSE(CONTROL!$C$21, $C$9, 100%, $E$9)</f>
        <v>8.9034999999999993</v>
      </c>
      <c r="T14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7">
        <f>(1000*CHOOSE(CONTROL!$C$42, 695, 695)*CHOOSE(CONTROL!$C$42, 0.5599, 0.5599)*CHOOSE(CONTROL!$C$42, 29, 29))/1000000</f>
        <v>11.284784499999999</v>
      </c>
      <c r="V146" s="57">
        <f>(1000*CHOOSE(CONTROL!$C$42, 500, 500)*CHOOSE(CONTROL!$C$42, 0.275, 0.275)*CHOOSE(CONTROL!$C$42, 29, 29))/1000000</f>
        <v>3.9874999999999998</v>
      </c>
      <c r="W146" s="57">
        <f>(1000*CHOOSE(CONTROL!$C$42, 0.1146, 0.1146)*CHOOSE(CONTROL!$C$42, 121.5, 121.5)*CHOOSE(CONTROL!$C$42, 29, 29))/1000000</f>
        <v>0.40379309999999996</v>
      </c>
      <c r="X146" s="57">
        <f>(29*0.1790888*100000/1000000)+(29*0.2374*100000/1000000)</f>
        <v>1.2078175199999999</v>
      </c>
      <c r="Y146" s="57"/>
      <c r="Z146" s="14"/>
      <c r="AA146" s="56"/>
      <c r="AB146" s="50">
        <f>(B146*122.58+C146*297.941+D146*89.177+E146*40.302+F146*40+G146*160+H146*0+I146*100+J146*300)/(122.58+297.941+89.177+40.302+0+40+160+100+300)</f>
        <v>9.2877700953043494</v>
      </c>
      <c r="AC146" s="45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9.1341676258992806</v>
      </c>
    </row>
    <row r="147" spans="1:29" ht="15.75" x14ac:dyDescent="0.25">
      <c r="A147" s="13">
        <v>45352</v>
      </c>
      <c r="B147" s="14">
        <f>CHOOSE(CONTROL!$C$42, 9.0301, 9.0301) * CHOOSE(CONTROL!$C$21, $C$9, 100%, $E$9)</f>
        <v>9.0300999999999991</v>
      </c>
      <c r="C147" s="14">
        <f>CHOOSE(CONTROL!$C$42, 9.0352, 9.0352) * CHOOSE(CONTROL!$C$21, $C$9, 100%, $E$9)</f>
        <v>9.0351999999999997</v>
      </c>
      <c r="D147" s="14">
        <f>CHOOSE(CONTROL!$C$42, 9.0938, 9.0938) * CHOOSE(CONTROL!$C$21, $C$9, 100%, $E$9)</f>
        <v>9.0937999999999999</v>
      </c>
      <c r="E147" s="14">
        <f>CHOOSE(CONTROL!$C$42, 9.1279, 9.1279) * CHOOSE(CONTROL!$C$21, $C$9, 100%, $E$9)</f>
        <v>9.1279000000000003</v>
      </c>
      <c r="F147" s="14">
        <f>CHOOSE(CONTROL!$C$42, 9.0287, 9.0287)*CHOOSE(CONTROL!$C$21, $C$9, 100%, $E$9)</f>
        <v>9.0287000000000006</v>
      </c>
      <c r="G147" s="14">
        <f>CHOOSE(CONTROL!$C$42, 9.045, 9.045)*CHOOSE(CONTROL!$C$21, $C$9, 100%, $E$9)</f>
        <v>9.0449999999999999</v>
      </c>
      <c r="H147" s="14">
        <f>CHOOSE(CONTROL!$C$42, 9.1171, 9.1171) * CHOOSE(CONTROL!$C$21, $C$9, 100%, $E$9)</f>
        <v>9.1171000000000006</v>
      </c>
      <c r="I147" s="14">
        <f>CHOOSE(CONTROL!$C$42, 9.0687, 9.0687)* CHOOSE(CONTROL!$C$21, $C$9, 100%, $E$9)</f>
        <v>9.0686999999999998</v>
      </c>
      <c r="J147" s="14">
        <f>CHOOSE(CONTROL!$C$42, 9.0217, 9.0217)* CHOOSE(CONTROL!$C$21, $C$9, 100%, $E$9)</f>
        <v>9.0216999999999992</v>
      </c>
      <c r="K147" s="53">
        <f>CHOOSE(CONTROL!$C$42, 9.0648, 9.0648) * CHOOSE(CONTROL!$C$21, $C$9, 100%, $E$9)</f>
        <v>9.0648</v>
      </c>
      <c r="L147" s="14">
        <f>CHOOSE(CONTROL!$C$42, 9.7041, 9.7041) * CHOOSE(CONTROL!$C$21, $C$9, 100%, $E$9)</f>
        <v>9.7041000000000004</v>
      </c>
      <c r="M147" s="14">
        <f>CHOOSE(CONTROL!$C$42, 8.8446, 8.8446) * CHOOSE(CONTROL!$C$21, $C$9, 100%, $E$9)</f>
        <v>8.8445999999999998</v>
      </c>
      <c r="N147" s="14">
        <f>CHOOSE(CONTROL!$C$42, 8.8605, 8.8605) * CHOOSE(CONTROL!$C$21, $C$9, 100%, $E$9)</f>
        <v>8.8605</v>
      </c>
      <c r="O147" s="14">
        <f>CHOOSE(CONTROL!$C$42, 8.938, 8.938) * CHOOSE(CONTROL!$C$21, $C$9, 100%, $E$9)</f>
        <v>8.9380000000000006</v>
      </c>
      <c r="P147" s="14">
        <f>CHOOSE(CONTROL!$C$42, 8.8901, 8.8901) * CHOOSE(CONTROL!$C$21, $C$9, 100%, $E$9)</f>
        <v>8.8901000000000003</v>
      </c>
      <c r="Q147" s="14">
        <f>CHOOSE(CONTROL!$C$42, 9.5327, 9.5327) * CHOOSE(CONTROL!$C$21, $C$9, 100%, $E$9)</f>
        <v>9.5327000000000002</v>
      </c>
      <c r="R147" s="14">
        <f>CHOOSE(CONTROL!$C$42, 10.1435, 10.1435) * CHOOSE(CONTROL!$C$21, $C$9, 100%, $E$9)</f>
        <v>10.1435</v>
      </c>
      <c r="S147" s="14">
        <f>CHOOSE(CONTROL!$C$42, 8.6685, 8.6685) * CHOOSE(CONTROL!$C$21, $C$9, 100%, $E$9)</f>
        <v>8.6684999999999999</v>
      </c>
      <c r="T1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7">
        <f>(1000*CHOOSE(CONTROL!$C$42, 695, 695)*CHOOSE(CONTROL!$C$42, 0.5599, 0.5599)*CHOOSE(CONTROL!$C$42, 31, 31))/1000000</f>
        <v>12.063045499999998</v>
      </c>
      <c r="V147" s="57">
        <f>(1000*CHOOSE(CONTROL!$C$42, 500, 500)*CHOOSE(CONTROL!$C$42, 0.275, 0.275)*CHOOSE(CONTROL!$C$42, 31, 31))/1000000</f>
        <v>4.2625000000000002</v>
      </c>
      <c r="W147" s="57">
        <f>(1000*CHOOSE(CONTROL!$C$42, 0.1146, 0.1146)*CHOOSE(CONTROL!$C$42, 121.5, 121.5)*CHOOSE(CONTROL!$C$42, 31, 31))/1000000</f>
        <v>0.43164089999999994</v>
      </c>
      <c r="X147" s="57">
        <f>(31*0.1790888*100000/1000000)+(31*0.2374*100000/1000000)</f>
        <v>1.2911152800000001</v>
      </c>
      <c r="Y147" s="57"/>
      <c r="Z147" s="14"/>
      <c r="AA147" s="56"/>
      <c r="AB147" s="50">
        <f>(B147*122.58+C147*297.941+D147*89.177+E147*40.302+F147*40+G147*160+H147*0+I147*100+J147*300)/(122.58+297.941+89.177+40.302+0+40+160+100+300)</f>
        <v>9.0429779213913033</v>
      </c>
      <c r="AC147" s="45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8.8943942446043174</v>
      </c>
    </row>
    <row r="148" spans="1:29" ht="15.75" x14ac:dyDescent="0.25">
      <c r="A148" s="13">
        <v>45383</v>
      </c>
      <c r="B148" s="14">
        <f>CHOOSE(CONTROL!$C$42, 9.0228, 9.0228) * CHOOSE(CONTROL!$C$21, $C$9, 100%, $E$9)</f>
        <v>9.0228000000000002</v>
      </c>
      <c r="C148" s="14">
        <f>CHOOSE(CONTROL!$C$42, 9.0273, 9.0273) * CHOOSE(CONTROL!$C$21, $C$9, 100%, $E$9)</f>
        <v>9.0273000000000003</v>
      </c>
      <c r="D148" s="14">
        <f>CHOOSE(CONTROL!$C$42, 9.2354, 9.2354) * CHOOSE(CONTROL!$C$21, $C$9, 100%, $E$9)</f>
        <v>9.2354000000000003</v>
      </c>
      <c r="E148" s="14">
        <f>CHOOSE(CONTROL!$C$42, 9.2675, 9.2675) * CHOOSE(CONTROL!$C$21, $C$9, 100%, $E$9)</f>
        <v>9.2675000000000001</v>
      </c>
      <c r="F148" s="14">
        <f>CHOOSE(CONTROL!$C$42, 9.0102, 9.0102)*CHOOSE(CONTROL!$C$21, $C$9, 100%, $E$9)</f>
        <v>9.0101999999999993</v>
      </c>
      <c r="G148" s="14">
        <f>CHOOSE(CONTROL!$C$42, 9.0261, 9.0261)*CHOOSE(CONTROL!$C$21, $C$9, 100%, $E$9)</f>
        <v>9.0260999999999996</v>
      </c>
      <c r="H148" s="14">
        <f>CHOOSE(CONTROL!$C$42, 9.2573, 9.2573) * CHOOSE(CONTROL!$C$21, $C$9, 100%, $E$9)</f>
        <v>9.2573000000000008</v>
      </c>
      <c r="I148" s="14">
        <f>CHOOSE(CONTROL!$C$42, 9.0605, 9.0605)* CHOOSE(CONTROL!$C$21, $C$9, 100%, $E$9)</f>
        <v>9.0604999999999993</v>
      </c>
      <c r="J148" s="14">
        <f>CHOOSE(CONTROL!$C$42, 9.0032, 9.0032)* CHOOSE(CONTROL!$C$21, $C$9, 100%, $E$9)</f>
        <v>9.0031999999999996</v>
      </c>
      <c r="K148" s="53">
        <f>CHOOSE(CONTROL!$C$42, 9.0567, 9.0567) * CHOOSE(CONTROL!$C$21, $C$9, 100%, $E$9)</f>
        <v>9.0566999999999993</v>
      </c>
      <c r="L148" s="14">
        <f>CHOOSE(CONTROL!$C$42, 9.8443, 9.8443) * CHOOSE(CONTROL!$C$21, $C$9, 100%, $E$9)</f>
        <v>9.8443000000000005</v>
      </c>
      <c r="M148" s="14">
        <f>CHOOSE(CONTROL!$C$42, 8.8264, 8.8264) * CHOOSE(CONTROL!$C$21, $C$9, 100%, $E$9)</f>
        <v>8.8263999999999996</v>
      </c>
      <c r="N148" s="14">
        <f>CHOOSE(CONTROL!$C$42, 8.842, 8.842) * CHOOSE(CONTROL!$C$21, $C$9, 100%, $E$9)</f>
        <v>8.8420000000000005</v>
      </c>
      <c r="O148" s="14">
        <f>CHOOSE(CONTROL!$C$42, 9.0753, 9.0753) * CHOOSE(CONTROL!$C$21, $C$9, 100%, $E$9)</f>
        <v>9.0753000000000004</v>
      </c>
      <c r="P148" s="14">
        <f>CHOOSE(CONTROL!$C$42, 8.8821, 8.8821) * CHOOSE(CONTROL!$C$21, $C$9, 100%, $E$9)</f>
        <v>8.8820999999999994</v>
      </c>
      <c r="Q148" s="14">
        <f>CHOOSE(CONTROL!$C$42, 9.67, 9.67) * CHOOSE(CONTROL!$C$21, $C$9, 100%, $E$9)</f>
        <v>9.67</v>
      </c>
      <c r="R148" s="14">
        <f>CHOOSE(CONTROL!$C$42, 10.2812, 10.2812) * CHOOSE(CONTROL!$C$21, $C$9, 100%, $E$9)</f>
        <v>10.2812</v>
      </c>
      <c r="S148" s="14">
        <f>CHOOSE(CONTROL!$C$42, 8.6608, 8.6608) * CHOOSE(CONTROL!$C$21, $C$9, 100%, $E$9)</f>
        <v>8.6608000000000001</v>
      </c>
      <c r="T1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7">
        <f>(1000*CHOOSE(CONTROL!$C$42, 695, 695)*CHOOSE(CONTROL!$C$42, 0.5599, 0.5599)*CHOOSE(CONTROL!$C$42, 30, 30))/1000000</f>
        <v>11.673914999999997</v>
      </c>
      <c r="V148" s="57">
        <f>(1000*CHOOSE(CONTROL!$C$42, 500, 500)*CHOOSE(CONTROL!$C$42, 0.275, 0.275)*CHOOSE(CONTROL!$C$42, 30, 30))/1000000</f>
        <v>4.125</v>
      </c>
      <c r="W148" s="57">
        <f>(1000*CHOOSE(CONTROL!$C$42, 0.1146, 0.1146)*CHOOSE(CONTROL!$C$42, 121.5, 121.5)*CHOOSE(CONTROL!$C$42, 30, 30))/1000000</f>
        <v>0.417717</v>
      </c>
      <c r="X148" s="57">
        <f>(30*0.1790888*245000/1000000)+(30*0.2374*100000/1000000)</f>
        <v>2.0285026799999999</v>
      </c>
      <c r="Y148" s="57"/>
      <c r="Z148" s="14"/>
      <c r="AA148" s="56"/>
      <c r="AB148" s="50">
        <f>(B148*141.293+C148*267.993+D148*115.016+E148*89.698+F148*40+G148*185+H148*0+I148*100+J148*300)/(141.293+267.993+115.016+89.698+0+40+185+100+300)</f>
        <v>9.0596070788539151</v>
      </c>
      <c r="AC148" s="45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8.9078410071942447</v>
      </c>
    </row>
    <row r="149" spans="1:29" ht="15.75" x14ac:dyDescent="0.25">
      <c r="A149" s="13">
        <v>45413</v>
      </c>
      <c r="B149" s="14">
        <f>CHOOSE(CONTROL!$C$42, 9.1225, 9.1225) * CHOOSE(CONTROL!$C$21, $C$9, 100%, $E$9)</f>
        <v>9.1225000000000005</v>
      </c>
      <c r="C149" s="14">
        <f>CHOOSE(CONTROL!$C$42, 9.1305, 9.1305) * CHOOSE(CONTROL!$C$21, $C$9, 100%, $E$9)</f>
        <v>9.1304999999999996</v>
      </c>
      <c r="D149" s="14">
        <f>CHOOSE(CONTROL!$C$42, 9.3355, 9.3355) * CHOOSE(CONTROL!$C$21, $C$9, 100%, $E$9)</f>
        <v>9.3354999999999997</v>
      </c>
      <c r="E149" s="14">
        <f>CHOOSE(CONTROL!$C$42, 9.367, 9.367) * CHOOSE(CONTROL!$C$21, $C$9, 100%, $E$9)</f>
        <v>9.3670000000000009</v>
      </c>
      <c r="F149" s="14">
        <f>CHOOSE(CONTROL!$C$42, 9.1087, 9.1087)*CHOOSE(CONTROL!$C$21, $C$9, 100%, $E$9)</f>
        <v>9.1087000000000007</v>
      </c>
      <c r="G149" s="14">
        <f>CHOOSE(CONTROL!$C$42, 9.1251, 9.1251)*CHOOSE(CONTROL!$C$21, $C$9, 100%, $E$9)</f>
        <v>9.1250999999999998</v>
      </c>
      <c r="H149" s="14">
        <f>CHOOSE(CONTROL!$C$42, 9.3556, 9.3556) * CHOOSE(CONTROL!$C$21, $C$9, 100%, $E$9)</f>
        <v>9.3556000000000008</v>
      </c>
      <c r="I149" s="14">
        <f>CHOOSE(CONTROL!$C$42, 9.1591, 9.1591)* CHOOSE(CONTROL!$C$21, $C$9, 100%, $E$9)</f>
        <v>9.1591000000000005</v>
      </c>
      <c r="J149" s="14">
        <f>CHOOSE(CONTROL!$C$42, 9.1017, 9.1017)* CHOOSE(CONTROL!$C$21, $C$9, 100%, $E$9)</f>
        <v>9.1016999999999992</v>
      </c>
      <c r="K149" s="53">
        <f>CHOOSE(CONTROL!$C$42, 9.1552, 9.1552) * CHOOSE(CONTROL!$C$21, $C$9, 100%, $E$9)</f>
        <v>9.1552000000000007</v>
      </c>
      <c r="L149" s="14">
        <f>CHOOSE(CONTROL!$C$42, 9.9426, 9.9426) * CHOOSE(CONTROL!$C$21, $C$9, 100%, $E$9)</f>
        <v>9.9426000000000005</v>
      </c>
      <c r="M149" s="14">
        <f>CHOOSE(CONTROL!$C$42, 8.9229, 8.9229) * CHOOSE(CONTROL!$C$21, $C$9, 100%, $E$9)</f>
        <v>8.9229000000000003</v>
      </c>
      <c r="N149" s="14">
        <f>CHOOSE(CONTROL!$C$42, 8.939, 8.939) * CHOOSE(CONTROL!$C$21, $C$9, 100%, $E$9)</f>
        <v>8.9390000000000001</v>
      </c>
      <c r="O149" s="14">
        <f>CHOOSE(CONTROL!$C$42, 9.1716, 9.1716) * CHOOSE(CONTROL!$C$21, $C$9, 100%, $E$9)</f>
        <v>9.1715999999999998</v>
      </c>
      <c r="P149" s="14">
        <f>CHOOSE(CONTROL!$C$42, 8.9787, 8.9787) * CHOOSE(CONTROL!$C$21, $C$9, 100%, $E$9)</f>
        <v>8.9786999999999999</v>
      </c>
      <c r="Q149" s="14">
        <f>CHOOSE(CONTROL!$C$42, 9.7663, 9.7663) * CHOOSE(CONTROL!$C$21, $C$9, 100%, $E$9)</f>
        <v>9.7662999999999993</v>
      </c>
      <c r="R149" s="14">
        <f>CHOOSE(CONTROL!$C$42, 10.3777, 10.3777) * CHOOSE(CONTROL!$C$21, $C$9, 100%, $E$9)</f>
        <v>10.377700000000001</v>
      </c>
      <c r="S149" s="14">
        <f>CHOOSE(CONTROL!$C$42, 8.7552, 8.7552) * CHOOSE(CONTROL!$C$21, $C$9, 100%, $E$9)</f>
        <v>8.7552000000000003</v>
      </c>
      <c r="T1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7">
        <f>(1000*CHOOSE(CONTROL!$C$42, 695, 695)*CHOOSE(CONTROL!$C$42, 0.5599, 0.5599)*CHOOSE(CONTROL!$C$42, 31, 31))/1000000</f>
        <v>12.063045499999998</v>
      </c>
      <c r="V149" s="57">
        <f>(1000*CHOOSE(CONTROL!$C$42, 500, 500)*CHOOSE(CONTROL!$C$42, 0.275, 0.275)*CHOOSE(CONTROL!$C$42, 31, 31))/1000000</f>
        <v>4.2625000000000002</v>
      </c>
      <c r="W149" s="57">
        <f>(1000*CHOOSE(CONTROL!$C$42, 0.1146, 0.1146)*CHOOSE(CONTROL!$C$42, 121.5, 121.5)*CHOOSE(CONTROL!$C$42, 31, 31))/1000000</f>
        <v>0.43164089999999994</v>
      </c>
      <c r="X149" s="57">
        <f>(31*0.1790888*245000/1000000)+(31*0.2374*100000/1000000)</f>
        <v>2.0961194359999999</v>
      </c>
      <c r="Y149" s="57"/>
      <c r="Z149" s="14"/>
      <c r="AA149" s="56"/>
      <c r="AB149" s="50">
        <f>(B149*194.205+C149*267.466+D149*133.845+E149*53.484+F149*40+G149*185+H149*0+I149*100+J149*300)/(194.205+267.466+133.845+53.484+0+40+185+100+300)</f>
        <v>9.1547406208791227</v>
      </c>
      <c r="AC149" s="45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9.0044143884892094</v>
      </c>
    </row>
    <row r="150" spans="1:29" ht="15.75" x14ac:dyDescent="0.25">
      <c r="A150" s="13">
        <v>45444</v>
      </c>
      <c r="B150" s="14">
        <f>CHOOSE(CONTROL!$C$42, 9.4002, 9.4002) * CHOOSE(CONTROL!$C$21, $C$9, 100%, $E$9)</f>
        <v>9.4001999999999999</v>
      </c>
      <c r="C150" s="14">
        <f>CHOOSE(CONTROL!$C$42, 9.4083, 9.4083) * CHOOSE(CONTROL!$C$21, $C$9, 100%, $E$9)</f>
        <v>9.4083000000000006</v>
      </c>
      <c r="D150" s="14">
        <f>CHOOSE(CONTROL!$C$42, 9.6132, 9.6132) * CHOOSE(CONTROL!$C$21, $C$9, 100%, $E$9)</f>
        <v>9.6132000000000009</v>
      </c>
      <c r="E150" s="14">
        <f>CHOOSE(CONTROL!$C$42, 9.6447, 9.6447) * CHOOSE(CONTROL!$C$21, $C$9, 100%, $E$9)</f>
        <v>9.6447000000000003</v>
      </c>
      <c r="F150" s="14">
        <f>CHOOSE(CONTROL!$C$42, 9.3868, 9.3868)*CHOOSE(CONTROL!$C$21, $C$9, 100%, $E$9)</f>
        <v>9.3867999999999991</v>
      </c>
      <c r="G150" s="14">
        <f>CHOOSE(CONTROL!$C$42, 9.4033, 9.4033)*CHOOSE(CONTROL!$C$21, $C$9, 100%, $E$9)</f>
        <v>9.4032999999999998</v>
      </c>
      <c r="H150" s="14">
        <f>CHOOSE(CONTROL!$C$42, 9.6333, 9.6333) * CHOOSE(CONTROL!$C$21, $C$9, 100%, $E$9)</f>
        <v>9.6333000000000002</v>
      </c>
      <c r="I150" s="14">
        <f>CHOOSE(CONTROL!$C$42, 9.4377, 9.4377)* CHOOSE(CONTROL!$C$21, $C$9, 100%, $E$9)</f>
        <v>9.4376999999999995</v>
      </c>
      <c r="J150" s="14">
        <f>CHOOSE(CONTROL!$C$42, 9.3798, 9.3798)* CHOOSE(CONTROL!$C$21, $C$9, 100%, $E$9)</f>
        <v>9.3797999999999995</v>
      </c>
      <c r="K150" s="53">
        <f>CHOOSE(CONTROL!$C$42, 9.4338, 9.4338) * CHOOSE(CONTROL!$C$21, $C$9, 100%, $E$9)</f>
        <v>9.4337999999999997</v>
      </c>
      <c r="L150" s="14">
        <f>CHOOSE(CONTROL!$C$42, 10.2203, 10.2203) * CHOOSE(CONTROL!$C$21, $C$9, 100%, $E$9)</f>
        <v>10.2203</v>
      </c>
      <c r="M150" s="14">
        <f>CHOOSE(CONTROL!$C$42, 9.1953, 9.1953) * CHOOSE(CONTROL!$C$21, $C$9, 100%, $E$9)</f>
        <v>9.1952999999999996</v>
      </c>
      <c r="N150" s="14">
        <f>CHOOSE(CONTROL!$C$42, 9.2115, 9.2115) * CHOOSE(CONTROL!$C$21, $C$9, 100%, $E$9)</f>
        <v>9.2114999999999991</v>
      </c>
      <c r="O150" s="14">
        <f>CHOOSE(CONTROL!$C$42, 9.4436, 9.4436) * CHOOSE(CONTROL!$C$21, $C$9, 100%, $E$9)</f>
        <v>9.4436</v>
      </c>
      <c r="P150" s="14">
        <f>CHOOSE(CONTROL!$C$42, 9.2515, 9.2515) * CHOOSE(CONTROL!$C$21, $C$9, 100%, $E$9)</f>
        <v>9.2515000000000001</v>
      </c>
      <c r="Q150" s="14">
        <f>CHOOSE(CONTROL!$C$42, 10.0383, 10.0383) * CHOOSE(CONTROL!$C$21, $C$9, 100%, $E$9)</f>
        <v>10.0383</v>
      </c>
      <c r="R150" s="14">
        <f>CHOOSE(CONTROL!$C$42, 10.6504, 10.6504) * CHOOSE(CONTROL!$C$21, $C$9, 100%, $E$9)</f>
        <v>10.650399999999999</v>
      </c>
      <c r="S150" s="14">
        <f>CHOOSE(CONTROL!$C$42, 9.022, 9.022) * CHOOSE(CONTROL!$C$21, $C$9, 100%, $E$9)</f>
        <v>9.0220000000000002</v>
      </c>
      <c r="T1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7">
        <f>(1000*CHOOSE(CONTROL!$C$42, 695, 695)*CHOOSE(CONTROL!$C$42, 0.5599, 0.5599)*CHOOSE(CONTROL!$C$42, 30, 30))/1000000</f>
        <v>11.673914999999997</v>
      </c>
      <c r="V150" s="57">
        <f>(1000*CHOOSE(CONTROL!$C$42, 500, 500)*CHOOSE(CONTROL!$C$42, 0.275, 0.275)*CHOOSE(CONTROL!$C$42, 30, 30))/1000000</f>
        <v>4.125</v>
      </c>
      <c r="W150" s="57">
        <f>(1000*CHOOSE(CONTROL!$C$42, 0.1146, 0.1146)*CHOOSE(CONTROL!$C$42, 121.5, 121.5)*CHOOSE(CONTROL!$C$42, 30, 30))/1000000</f>
        <v>0.417717</v>
      </c>
      <c r="X150" s="57">
        <f>(30*0.1790888*245000/1000000)+(30*0.2374*100000/1000000)</f>
        <v>2.0285026799999999</v>
      </c>
      <c r="Y150" s="57"/>
      <c r="Z150" s="14"/>
      <c r="AA150" s="56"/>
      <c r="AB150" s="50">
        <f>(B150*194.205+C150*267.466+D150*133.845+E150*53.484+F150*40+G150*185+H150*0+I150*100+J150*300)/(194.205+267.466+133.845+53.484+0+40+185+100+300)</f>
        <v>9.4327116150706463</v>
      </c>
      <c r="AC150" s="45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9.2767827338129489</v>
      </c>
    </row>
    <row r="151" spans="1:29" ht="15.75" x14ac:dyDescent="0.25">
      <c r="A151" s="13">
        <v>45474</v>
      </c>
      <c r="B151" s="14">
        <f>CHOOSE(CONTROL!$C$42, 9.2391, 9.2391) * CHOOSE(CONTROL!$C$21, $C$9, 100%, $E$9)</f>
        <v>9.2391000000000005</v>
      </c>
      <c r="C151" s="14">
        <f>CHOOSE(CONTROL!$C$42, 9.2471, 9.2471) * CHOOSE(CONTROL!$C$21, $C$9, 100%, $E$9)</f>
        <v>9.2470999999999997</v>
      </c>
      <c r="D151" s="14">
        <f>CHOOSE(CONTROL!$C$42, 9.4521, 9.4521) * CHOOSE(CONTROL!$C$21, $C$9, 100%, $E$9)</f>
        <v>9.4520999999999997</v>
      </c>
      <c r="E151" s="14">
        <f>CHOOSE(CONTROL!$C$42, 9.4835, 9.4835) * CHOOSE(CONTROL!$C$21, $C$9, 100%, $E$9)</f>
        <v>9.4834999999999994</v>
      </c>
      <c r="F151" s="14">
        <f>CHOOSE(CONTROL!$C$42, 9.2261, 9.2261)*CHOOSE(CONTROL!$C$21, $C$9, 100%, $E$9)</f>
        <v>9.2261000000000006</v>
      </c>
      <c r="G151" s="14">
        <f>CHOOSE(CONTROL!$C$42, 9.2427, 9.2427)*CHOOSE(CONTROL!$C$21, $C$9, 100%, $E$9)</f>
        <v>9.2426999999999992</v>
      </c>
      <c r="H151" s="14">
        <f>CHOOSE(CONTROL!$C$42, 9.4722, 9.4722) * CHOOSE(CONTROL!$C$21, $C$9, 100%, $E$9)</f>
        <v>9.4722000000000008</v>
      </c>
      <c r="I151" s="14">
        <f>CHOOSE(CONTROL!$C$42, 9.2761, 9.2761)* CHOOSE(CONTROL!$C$21, $C$9, 100%, $E$9)</f>
        <v>9.2760999999999996</v>
      </c>
      <c r="J151" s="14">
        <f>CHOOSE(CONTROL!$C$42, 9.2191, 9.2191)* CHOOSE(CONTROL!$C$21, $C$9, 100%, $E$9)</f>
        <v>9.2190999999999992</v>
      </c>
      <c r="K151" s="53">
        <f>CHOOSE(CONTROL!$C$42, 9.2722, 9.2722) * CHOOSE(CONTROL!$C$21, $C$9, 100%, $E$9)</f>
        <v>9.2721999999999998</v>
      </c>
      <c r="L151" s="14">
        <f>CHOOSE(CONTROL!$C$42, 10.0592, 10.0592) * CHOOSE(CONTROL!$C$21, $C$9, 100%, $E$9)</f>
        <v>10.059200000000001</v>
      </c>
      <c r="M151" s="14">
        <f>CHOOSE(CONTROL!$C$42, 9.0379, 9.0379) * CHOOSE(CONTROL!$C$21, $C$9, 100%, $E$9)</f>
        <v>9.0379000000000005</v>
      </c>
      <c r="N151" s="14">
        <f>CHOOSE(CONTROL!$C$42, 9.0541, 9.0541) * CHOOSE(CONTROL!$C$21, $C$9, 100%, $E$9)</f>
        <v>9.0541</v>
      </c>
      <c r="O151" s="14">
        <f>CHOOSE(CONTROL!$C$42, 9.2858, 9.2858) * CHOOSE(CONTROL!$C$21, $C$9, 100%, $E$9)</f>
        <v>9.2858000000000001</v>
      </c>
      <c r="P151" s="14">
        <f>CHOOSE(CONTROL!$C$42, 9.0932, 9.0932) * CHOOSE(CONTROL!$C$21, $C$9, 100%, $E$9)</f>
        <v>9.0931999999999995</v>
      </c>
      <c r="Q151" s="14">
        <f>CHOOSE(CONTROL!$C$42, 9.8805, 9.8805) * CHOOSE(CONTROL!$C$21, $C$9, 100%, $E$9)</f>
        <v>9.8804999999999996</v>
      </c>
      <c r="R151" s="14">
        <f>CHOOSE(CONTROL!$C$42, 10.4922, 10.4922) * CHOOSE(CONTROL!$C$21, $C$9, 100%, $E$9)</f>
        <v>10.4922</v>
      </c>
      <c r="S151" s="14">
        <f>CHOOSE(CONTROL!$C$42, 8.8672, 8.8672) * CHOOSE(CONTROL!$C$21, $C$9, 100%, $E$9)</f>
        <v>8.8672000000000004</v>
      </c>
      <c r="T1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7">
        <f>(1000*CHOOSE(CONTROL!$C$42, 695, 695)*CHOOSE(CONTROL!$C$42, 0.5599, 0.5599)*CHOOSE(CONTROL!$C$42, 31, 31))/1000000</f>
        <v>12.063045499999998</v>
      </c>
      <c r="V151" s="57">
        <f>(1000*CHOOSE(CONTROL!$C$42, 500, 500)*CHOOSE(CONTROL!$C$42, 0.275, 0.275)*CHOOSE(CONTROL!$C$42, 31, 31))/1000000</f>
        <v>4.2625000000000002</v>
      </c>
      <c r="W151" s="57">
        <f>(1000*CHOOSE(CONTROL!$C$42, 0.1146, 0.1146)*CHOOSE(CONTROL!$C$42, 121.5, 121.5)*CHOOSE(CONTROL!$C$42, 31, 31))/1000000</f>
        <v>0.43164089999999994</v>
      </c>
      <c r="X151" s="57">
        <f>(31*0.1790888*245000/1000000)+(31*0.2374*100000/1000000)</f>
        <v>2.0961194359999999</v>
      </c>
      <c r="Y151" s="57"/>
      <c r="Z151" s="14"/>
      <c r="AA151" s="56"/>
      <c r="AB151" s="50">
        <f>(B151*194.205+C151*267.466+D151*133.845+E151*53.484+F151*40+G151*185+H151*0+I151*100+J151*300)/(194.205+267.466+133.845+53.484+0+40+185+100+300)</f>
        <v>9.2717265326530605</v>
      </c>
      <c r="AC151" s="45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9.1191410071942443</v>
      </c>
    </row>
    <row r="152" spans="1:29" ht="15.75" x14ac:dyDescent="0.25">
      <c r="A152" s="13">
        <v>45505</v>
      </c>
      <c r="B152" s="14">
        <f>CHOOSE(CONTROL!$C$42, 8.8014, 8.8014) * CHOOSE(CONTROL!$C$21, $C$9, 100%, $E$9)</f>
        <v>8.8013999999999992</v>
      </c>
      <c r="C152" s="14">
        <f>CHOOSE(CONTROL!$C$42, 8.8094, 8.8094) * CHOOSE(CONTROL!$C$21, $C$9, 100%, $E$9)</f>
        <v>8.8094000000000001</v>
      </c>
      <c r="D152" s="14">
        <f>CHOOSE(CONTROL!$C$42, 9.0144, 9.0144) * CHOOSE(CONTROL!$C$21, $C$9, 100%, $E$9)</f>
        <v>9.0144000000000002</v>
      </c>
      <c r="E152" s="14">
        <f>CHOOSE(CONTROL!$C$42, 9.0459, 9.0459) * CHOOSE(CONTROL!$C$21, $C$9, 100%, $E$9)</f>
        <v>9.0458999999999996</v>
      </c>
      <c r="F152" s="14">
        <f>CHOOSE(CONTROL!$C$42, 8.7886, 8.7886)*CHOOSE(CONTROL!$C$21, $C$9, 100%, $E$9)</f>
        <v>8.7886000000000006</v>
      </c>
      <c r="G152" s="14">
        <f>CHOOSE(CONTROL!$C$42, 8.8053, 8.8053)*CHOOSE(CONTROL!$C$21, $C$9, 100%, $E$9)</f>
        <v>8.8053000000000008</v>
      </c>
      <c r="H152" s="14">
        <f>CHOOSE(CONTROL!$C$42, 9.0345, 9.0345) * CHOOSE(CONTROL!$C$21, $C$9, 100%, $E$9)</f>
        <v>9.0344999999999995</v>
      </c>
      <c r="I152" s="14">
        <f>CHOOSE(CONTROL!$C$42, 8.837, 8.837)* CHOOSE(CONTROL!$C$21, $C$9, 100%, $E$9)</f>
        <v>8.8369999999999997</v>
      </c>
      <c r="J152" s="14">
        <f>CHOOSE(CONTROL!$C$42, 8.7816, 8.7816)* CHOOSE(CONTROL!$C$21, $C$9, 100%, $E$9)</f>
        <v>8.7815999999999992</v>
      </c>
      <c r="K152" s="53">
        <f>CHOOSE(CONTROL!$C$42, 8.8331, 8.8331) * CHOOSE(CONTROL!$C$21, $C$9, 100%, $E$9)</f>
        <v>8.8331</v>
      </c>
      <c r="L152" s="14">
        <f>CHOOSE(CONTROL!$C$42, 9.6215, 9.6215) * CHOOSE(CONTROL!$C$21, $C$9, 100%, $E$9)</f>
        <v>9.6214999999999993</v>
      </c>
      <c r="M152" s="14">
        <f>CHOOSE(CONTROL!$C$42, 8.6093, 8.6093) * CHOOSE(CONTROL!$C$21, $C$9, 100%, $E$9)</f>
        <v>8.6092999999999993</v>
      </c>
      <c r="N152" s="14">
        <f>CHOOSE(CONTROL!$C$42, 8.6257, 8.6257) * CHOOSE(CONTROL!$C$21, $C$9, 100%, $E$9)</f>
        <v>8.6257000000000001</v>
      </c>
      <c r="O152" s="14">
        <f>CHOOSE(CONTROL!$C$42, 8.8571, 8.8571) * CHOOSE(CONTROL!$C$21, $C$9, 100%, $E$9)</f>
        <v>8.8571000000000009</v>
      </c>
      <c r="P152" s="14">
        <f>CHOOSE(CONTROL!$C$42, 8.6632, 8.6632) * CHOOSE(CONTROL!$C$21, $C$9, 100%, $E$9)</f>
        <v>8.6631999999999998</v>
      </c>
      <c r="Q152" s="14">
        <f>CHOOSE(CONTROL!$C$42, 9.4518, 9.4518) * CHOOSE(CONTROL!$C$21, $C$9, 100%, $E$9)</f>
        <v>9.4518000000000004</v>
      </c>
      <c r="R152" s="14">
        <f>CHOOSE(CONTROL!$C$42, 10.0624, 10.0624) * CHOOSE(CONTROL!$C$21, $C$9, 100%, $E$9)</f>
        <v>10.0624</v>
      </c>
      <c r="S152" s="14">
        <f>CHOOSE(CONTROL!$C$42, 8.4466, 8.4466) * CHOOSE(CONTROL!$C$21, $C$9, 100%, $E$9)</f>
        <v>8.4466000000000001</v>
      </c>
      <c r="T1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7">
        <f>(1000*CHOOSE(CONTROL!$C$42, 695, 695)*CHOOSE(CONTROL!$C$42, 0.5599, 0.5599)*CHOOSE(CONTROL!$C$42, 31, 31))/1000000</f>
        <v>12.063045499999998</v>
      </c>
      <c r="V152" s="57">
        <f>(1000*CHOOSE(CONTROL!$C$42, 500, 500)*CHOOSE(CONTROL!$C$42, 0.275, 0.275)*CHOOSE(CONTROL!$C$42, 31, 31))/1000000</f>
        <v>4.2625000000000002</v>
      </c>
      <c r="W152" s="57">
        <f>(1000*CHOOSE(CONTROL!$C$42, 0.1146, 0.1146)*CHOOSE(CONTROL!$C$42, 121.5, 121.5)*CHOOSE(CONTROL!$C$42, 31, 31))/1000000</f>
        <v>0.43164089999999994</v>
      </c>
      <c r="X152" s="57">
        <f>(31*0.1790888*245000/1000000)+(31*0.2374*100000/1000000)</f>
        <v>2.0961194359999999</v>
      </c>
      <c r="Y152" s="57"/>
      <c r="Z152" s="14"/>
      <c r="AA152" s="56"/>
      <c r="AB152" s="50">
        <f>(B152*194.205+C152*267.466+D152*133.845+E152*53.484+F152*40+G152*185+H152*0+I152*100+J152*300)/(194.205+267.466+133.845+53.484+0+40+185+100+300)</f>
        <v>8.834017779434852</v>
      </c>
      <c r="AC152" s="45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8.6903575539568347</v>
      </c>
    </row>
    <row r="153" spans="1:29" ht="15.75" x14ac:dyDescent="0.25">
      <c r="A153" s="13">
        <v>45536</v>
      </c>
      <c r="B153" s="14">
        <f>CHOOSE(CONTROL!$C$42, 8.2599, 8.2599) * CHOOSE(CONTROL!$C$21, $C$9, 100%, $E$9)</f>
        <v>8.2599</v>
      </c>
      <c r="C153" s="14">
        <f>CHOOSE(CONTROL!$C$42, 8.268, 8.268) * CHOOSE(CONTROL!$C$21, $C$9, 100%, $E$9)</f>
        <v>8.2680000000000007</v>
      </c>
      <c r="D153" s="14">
        <f>CHOOSE(CONTROL!$C$42, 8.4729, 8.4729) * CHOOSE(CONTROL!$C$21, $C$9, 100%, $E$9)</f>
        <v>8.4728999999999992</v>
      </c>
      <c r="E153" s="14">
        <f>CHOOSE(CONTROL!$C$42, 8.5044, 8.5044) * CHOOSE(CONTROL!$C$21, $C$9, 100%, $E$9)</f>
        <v>8.5044000000000004</v>
      </c>
      <c r="F153" s="14">
        <f>CHOOSE(CONTROL!$C$42, 8.2471, 8.2471)*CHOOSE(CONTROL!$C$21, $C$9, 100%, $E$9)</f>
        <v>8.2470999999999997</v>
      </c>
      <c r="G153" s="14">
        <f>CHOOSE(CONTROL!$C$42, 8.2638, 8.2638)*CHOOSE(CONTROL!$C$21, $C$9, 100%, $E$9)</f>
        <v>8.2637999999999998</v>
      </c>
      <c r="H153" s="14">
        <f>CHOOSE(CONTROL!$C$42, 8.493, 8.493) * CHOOSE(CONTROL!$C$21, $C$9, 100%, $E$9)</f>
        <v>8.4930000000000003</v>
      </c>
      <c r="I153" s="14">
        <f>CHOOSE(CONTROL!$C$42, 8.2939, 8.2939)* CHOOSE(CONTROL!$C$21, $C$9, 100%, $E$9)</f>
        <v>8.2939000000000007</v>
      </c>
      <c r="J153" s="14">
        <f>CHOOSE(CONTROL!$C$42, 8.2401, 8.2401)* CHOOSE(CONTROL!$C$21, $C$9, 100%, $E$9)</f>
        <v>8.2401</v>
      </c>
      <c r="K153" s="53">
        <f>CHOOSE(CONTROL!$C$42, 8.29, 8.29) * CHOOSE(CONTROL!$C$21, $C$9, 100%, $E$9)</f>
        <v>8.2899999999999991</v>
      </c>
      <c r="L153" s="14">
        <f>CHOOSE(CONTROL!$C$42, 9.08, 9.08) * CHOOSE(CONTROL!$C$21, $C$9, 100%, $E$9)</f>
        <v>9.08</v>
      </c>
      <c r="M153" s="14">
        <f>CHOOSE(CONTROL!$C$42, 8.079, 8.079) * CHOOSE(CONTROL!$C$21, $C$9, 100%, $E$9)</f>
        <v>8.0790000000000006</v>
      </c>
      <c r="N153" s="14">
        <f>CHOOSE(CONTROL!$C$42, 8.0953, 8.0953) * CHOOSE(CONTROL!$C$21, $C$9, 100%, $E$9)</f>
        <v>8.0952999999999999</v>
      </c>
      <c r="O153" s="14">
        <f>CHOOSE(CONTROL!$C$42, 8.3267, 8.3267) * CHOOSE(CONTROL!$C$21, $C$9, 100%, $E$9)</f>
        <v>8.3267000000000007</v>
      </c>
      <c r="P153" s="14">
        <f>CHOOSE(CONTROL!$C$42, 8.1312, 8.1312) * CHOOSE(CONTROL!$C$21, $C$9, 100%, $E$9)</f>
        <v>8.1311999999999998</v>
      </c>
      <c r="Q153" s="14">
        <f>CHOOSE(CONTROL!$C$42, 8.9214, 8.9214) * CHOOSE(CONTROL!$C$21, $C$9, 100%, $E$9)</f>
        <v>8.9214000000000002</v>
      </c>
      <c r="R153" s="14">
        <f>CHOOSE(CONTROL!$C$42, 9.5307, 9.5307) * CHOOSE(CONTROL!$C$21, $C$9, 100%, $E$9)</f>
        <v>9.5306999999999995</v>
      </c>
      <c r="S153" s="14">
        <f>CHOOSE(CONTROL!$C$42, 7.9263, 7.9263) * CHOOSE(CONTROL!$C$21, $C$9, 100%, $E$9)</f>
        <v>7.9263000000000003</v>
      </c>
      <c r="T1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7">
        <f>(1000*CHOOSE(CONTROL!$C$42, 695, 695)*CHOOSE(CONTROL!$C$42, 0.5599, 0.5599)*CHOOSE(CONTROL!$C$42, 30, 30))/1000000</f>
        <v>11.673914999999997</v>
      </c>
      <c r="V153" s="57">
        <f>(1000*CHOOSE(CONTROL!$C$42, 500, 500)*CHOOSE(CONTROL!$C$42, 0.275, 0.275)*CHOOSE(CONTROL!$C$42, 30, 30))/1000000</f>
        <v>4.125</v>
      </c>
      <c r="W153" s="57">
        <f>(1000*CHOOSE(CONTROL!$C$42, 0.1146, 0.1146)*CHOOSE(CONTROL!$C$42, 121.5, 121.5)*CHOOSE(CONTROL!$C$42, 30, 30))/1000000</f>
        <v>0.417717</v>
      </c>
      <c r="X153" s="57">
        <f>(30*0.1790888*245000/1000000)+(30*0.2374*100000/1000000)</f>
        <v>2.0285026799999999</v>
      </c>
      <c r="Y153" s="57"/>
      <c r="Z153" s="14"/>
      <c r="AA153" s="56"/>
      <c r="AB153" s="50">
        <f>(B153*194.205+C153*267.466+D153*133.845+E153*53.484+F153*40+G153*185+H153*0+I153*100+J153*300)/(194.205+267.466+133.845+53.484+0+40+185+100+300)</f>
        <v>8.292413184929357</v>
      </c>
      <c r="AC153" s="45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8.1597618705035977</v>
      </c>
    </row>
    <row r="154" spans="1:29" ht="15.75" x14ac:dyDescent="0.25">
      <c r="A154" s="13">
        <v>45566</v>
      </c>
      <c r="B154" s="14">
        <f>CHOOSE(CONTROL!$C$42, 8.1074, 8.1074) * CHOOSE(CONTROL!$C$21, $C$9, 100%, $E$9)</f>
        <v>8.1074000000000002</v>
      </c>
      <c r="C154" s="14">
        <f>CHOOSE(CONTROL!$C$42, 8.1127, 8.1127) * CHOOSE(CONTROL!$C$21, $C$9, 100%, $E$9)</f>
        <v>8.1127000000000002</v>
      </c>
      <c r="D154" s="14">
        <f>CHOOSE(CONTROL!$C$42, 8.3226, 8.3226) * CHOOSE(CONTROL!$C$21, $C$9, 100%, $E$9)</f>
        <v>8.3225999999999996</v>
      </c>
      <c r="E154" s="14">
        <f>CHOOSE(CONTROL!$C$42, 8.3518, 8.3518) * CHOOSE(CONTROL!$C$21, $C$9, 100%, $E$9)</f>
        <v>8.3518000000000008</v>
      </c>
      <c r="F154" s="14">
        <f>CHOOSE(CONTROL!$C$42, 8.0966, 8.0966)*CHOOSE(CONTROL!$C$21, $C$9, 100%, $E$9)</f>
        <v>8.0966000000000005</v>
      </c>
      <c r="G154" s="14">
        <f>CHOOSE(CONTROL!$C$42, 8.1129, 8.1129)*CHOOSE(CONTROL!$C$21, $C$9, 100%, $E$9)</f>
        <v>8.1128999999999998</v>
      </c>
      <c r="H154" s="14">
        <f>CHOOSE(CONTROL!$C$42, 8.3422, 8.3422) * CHOOSE(CONTROL!$C$21, $C$9, 100%, $E$9)</f>
        <v>8.3422000000000001</v>
      </c>
      <c r="I154" s="14">
        <f>CHOOSE(CONTROL!$C$42, 8.1426, 8.1426)* CHOOSE(CONTROL!$C$21, $C$9, 100%, $E$9)</f>
        <v>8.1425999999999998</v>
      </c>
      <c r="J154" s="14">
        <f>CHOOSE(CONTROL!$C$42, 8.0896, 8.0896)* CHOOSE(CONTROL!$C$21, $C$9, 100%, $E$9)</f>
        <v>8.0896000000000008</v>
      </c>
      <c r="K154" s="53">
        <f>CHOOSE(CONTROL!$C$42, 8.1387, 8.1387) * CHOOSE(CONTROL!$C$21, $C$9, 100%, $E$9)</f>
        <v>8.1387</v>
      </c>
      <c r="L154" s="14">
        <f>CHOOSE(CONTROL!$C$42, 8.9292, 8.9292) * CHOOSE(CONTROL!$C$21, $C$9, 100%, $E$9)</f>
        <v>8.9291999999999998</v>
      </c>
      <c r="M154" s="14">
        <f>CHOOSE(CONTROL!$C$42, 7.9315, 7.9315) * CHOOSE(CONTROL!$C$21, $C$9, 100%, $E$9)</f>
        <v>7.9314999999999998</v>
      </c>
      <c r="N154" s="14">
        <f>CHOOSE(CONTROL!$C$42, 7.9475, 7.9475) * CHOOSE(CONTROL!$C$21, $C$9, 100%, $E$9)</f>
        <v>7.9474999999999998</v>
      </c>
      <c r="O154" s="14">
        <f>CHOOSE(CONTROL!$C$42, 8.179, 8.179) * CHOOSE(CONTROL!$C$21, $C$9, 100%, $E$9)</f>
        <v>8.1790000000000003</v>
      </c>
      <c r="P154" s="14">
        <f>CHOOSE(CONTROL!$C$42, 7.983, 7.983) * CHOOSE(CONTROL!$C$21, $C$9, 100%, $E$9)</f>
        <v>7.9829999999999997</v>
      </c>
      <c r="Q154" s="14">
        <f>CHOOSE(CONTROL!$C$42, 8.7737, 8.7737) * CHOOSE(CONTROL!$C$21, $C$9, 100%, $E$9)</f>
        <v>8.7736999999999998</v>
      </c>
      <c r="R154" s="14">
        <f>CHOOSE(CONTROL!$C$42, 9.3826, 9.3826) * CHOOSE(CONTROL!$C$21, $C$9, 100%, $E$9)</f>
        <v>9.3826000000000001</v>
      </c>
      <c r="S154" s="14">
        <f>CHOOSE(CONTROL!$C$42, 7.7814, 7.7814) * CHOOSE(CONTROL!$C$21, $C$9, 100%, $E$9)</f>
        <v>7.7813999999999997</v>
      </c>
      <c r="T1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7">
        <f>(1000*CHOOSE(CONTROL!$C$42, 695, 695)*CHOOSE(CONTROL!$C$42, 0.5599, 0.5599)*CHOOSE(CONTROL!$C$42, 31, 31))/1000000</f>
        <v>12.063045499999998</v>
      </c>
      <c r="V154" s="57">
        <f>(1000*CHOOSE(CONTROL!$C$42, 500, 500)*CHOOSE(CONTROL!$C$42, 0.275, 0.275)*CHOOSE(CONTROL!$C$42, 31, 31))/1000000</f>
        <v>4.2625000000000002</v>
      </c>
      <c r="W154" s="57">
        <f>(1000*CHOOSE(CONTROL!$C$42, 0.1146, 0.1146)*CHOOSE(CONTROL!$C$42, 121.5, 121.5)*CHOOSE(CONTROL!$C$42, 31, 31))/1000000</f>
        <v>0.43164089999999994</v>
      </c>
      <c r="X154" s="57">
        <f>(31*0.1790888*245000/1000000)+(31*0.2374*100000/1000000)</f>
        <v>2.0961194359999999</v>
      </c>
      <c r="Y154" s="57"/>
      <c r="Z154" s="14"/>
      <c r="AA154" s="56"/>
      <c r="AB154" s="50">
        <f>(B154*131.881+C154*277.167+D154*79.08+E154*125.872+F154*40+G154*185+H154*0+I154*100+J154*300)/(131.881+277.167+79.08+125.872+0+40+185+100+300)</f>
        <v>8.1461535253430171</v>
      </c>
      <c r="AC154" s="45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8.0120359712230211</v>
      </c>
    </row>
    <row r="155" spans="1:29" ht="15.75" x14ac:dyDescent="0.25">
      <c r="A155" s="13">
        <v>45597</v>
      </c>
      <c r="B155" s="14">
        <f>CHOOSE(CONTROL!$C$42, 8.3374, 8.3374) * CHOOSE(CONTROL!$C$21, $C$9, 100%, $E$9)</f>
        <v>8.3374000000000006</v>
      </c>
      <c r="C155" s="14">
        <f>CHOOSE(CONTROL!$C$42, 8.3424, 8.3424) * CHOOSE(CONTROL!$C$21, $C$9, 100%, $E$9)</f>
        <v>8.3423999999999996</v>
      </c>
      <c r="D155" s="14">
        <f>CHOOSE(CONTROL!$C$42, 8.4063, 8.4063) * CHOOSE(CONTROL!$C$21, $C$9, 100%, $E$9)</f>
        <v>8.4062999999999999</v>
      </c>
      <c r="E155" s="14">
        <f>CHOOSE(CONTROL!$C$42, 8.4404, 8.4404) * CHOOSE(CONTROL!$C$21, $C$9, 100%, $E$9)</f>
        <v>8.4404000000000003</v>
      </c>
      <c r="F155" s="14">
        <f>CHOOSE(CONTROL!$C$42, 8.3396, 8.3396)*CHOOSE(CONTROL!$C$21, $C$9, 100%, $E$9)</f>
        <v>8.3396000000000008</v>
      </c>
      <c r="G155" s="14">
        <f>CHOOSE(CONTROL!$C$42, 8.3563, 8.3563)*CHOOSE(CONTROL!$C$21, $C$9, 100%, $E$9)</f>
        <v>8.3562999999999992</v>
      </c>
      <c r="H155" s="14">
        <f>CHOOSE(CONTROL!$C$42, 8.4296, 8.4296) * CHOOSE(CONTROL!$C$21, $C$9, 100%, $E$9)</f>
        <v>8.4296000000000006</v>
      </c>
      <c r="I155" s="14">
        <f>CHOOSE(CONTROL!$C$42, 8.3774, 8.3774)* CHOOSE(CONTROL!$C$21, $C$9, 100%, $E$9)</f>
        <v>8.3773999999999997</v>
      </c>
      <c r="J155" s="14">
        <f>CHOOSE(CONTROL!$C$42, 8.3326, 8.3326)* CHOOSE(CONTROL!$C$21, $C$9, 100%, $E$9)</f>
        <v>8.3325999999999993</v>
      </c>
      <c r="K155" s="53">
        <f>CHOOSE(CONTROL!$C$42, 8.3735, 8.3735) * CHOOSE(CONTROL!$C$21, $C$9, 100%, $E$9)</f>
        <v>8.3734999999999999</v>
      </c>
      <c r="L155" s="14">
        <f>CHOOSE(CONTROL!$C$42, 9.0166, 9.0166) * CHOOSE(CONTROL!$C$21, $C$9, 100%, $E$9)</f>
        <v>9.0166000000000004</v>
      </c>
      <c r="M155" s="14">
        <f>CHOOSE(CONTROL!$C$42, 8.1696, 8.1696) * CHOOSE(CONTROL!$C$21, $C$9, 100%, $E$9)</f>
        <v>8.1696000000000009</v>
      </c>
      <c r="N155" s="14">
        <f>CHOOSE(CONTROL!$C$42, 8.1859, 8.1859) * CHOOSE(CONTROL!$C$21, $C$9, 100%, $E$9)</f>
        <v>8.1859000000000002</v>
      </c>
      <c r="O155" s="14">
        <f>CHOOSE(CONTROL!$C$42, 8.2645, 8.2645) * CHOOSE(CONTROL!$C$21, $C$9, 100%, $E$9)</f>
        <v>8.2645</v>
      </c>
      <c r="P155" s="14">
        <f>CHOOSE(CONTROL!$C$42, 8.213, 8.213) * CHOOSE(CONTROL!$C$21, $C$9, 100%, $E$9)</f>
        <v>8.2129999999999992</v>
      </c>
      <c r="Q155" s="14">
        <f>CHOOSE(CONTROL!$C$42, 8.8592, 8.8592) * CHOOSE(CONTROL!$C$21, $C$9, 100%, $E$9)</f>
        <v>8.8591999999999995</v>
      </c>
      <c r="R155" s="14">
        <f>CHOOSE(CONTROL!$C$42, 9.4684, 9.4684) * CHOOSE(CONTROL!$C$21, $C$9, 100%, $E$9)</f>
        <v>9.4684000000000008</v>
      </c>
      <c r="S155" s="14">
        <f>CHOOSE(CONTROL!$C$42, 8.0029, 8.0029) * CHOOSE(CONTROL!$C$21, $C$9, 100%, $E$9)</f>
        <v>8.0029000000000003</v>
      </c>
      <c r="T1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7">
        <f>(1000*CHOOSE(CONTROL!$C$42, 695, 695)*CHOOSE(CONTROL!$C$42, 0.5599, 0.5599)*CHOOSE(CONTROL!$C$42, 30, 30))/1000000</f>
        <v>11.673914999999997</v>
      </c>
      <c r="V155" s="57">
        <f>(1000*CHOOSE(CONTROL!$C$42, 500, 500)*CHOOSE(CONTROL!$C$42, 0.275, 0.275)*CHOOSE(CONTROL!$C$42, 30, 30))/1000000</f>
        <v>4.125</v>
      </c>
      <c r="W155" s="57">
        <f>(1000*CHOOSE(CONTROL!$C$42, 0.1146, 0.1146)*CHOOSE(CONTROL!$C$42, 121.5, 121.5)*CHOOSE(CONTROL!$C$42, 30, 30))/1000000</f>
        <v>0.417717</v>
      </c>
      <c r="X155" s="57">
        <f>(30*0.1790888*100000/1000000)+(30*0.2374*100000/1000000)</f>
        <v>1.2494664</v>
      </c>
      <c r="Y155" s="57"/>
      <c r="Z155" s="14"/>
      <c r="AA155" s="56"/>
      <c r="AB155" s="50">
        <f>(B155*122.58+C155*297.941+D155*89.177+E155*40.302+F155*40+G155*160+H155*0+I155*100+J155*300)/(122.58+297.941+89.177+40.302+0+40+160+100+300)</f>
        <v>8.3525800924347813</v>
      </c>
      <c r="AC155" s="45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8.2197949640287771</v>
      </c>
    </row>
    <row r="156" spans="1:29" ht="15.75" x14ac:dyDescent="0.25">
      <c r="A156" s="13">
        <v>45627</v>
      </c>
      <c r="B156" s="14">
        <f>CHOOSE(CONTROL!$C$42, 8.9235, 8.9235) * CHOOSE(CONTROL!$C$21, $C$9, 100%, $E$9)</f>
        <v>8.9235000000000007</v>
      </c>
      <c r="C156" s="14">
        <f>CHOOSE(CONTROL!$C$42, 8.9285, 8.9285) * CHOOSE(CONTROL!$C$21, $C$9, 100%, $E$9)</f>
        <v>8.9284999999999997</v>
      </c>
      <c r="D156" s="14">
        <f>CHOOSE(CONTROL!$C$42, 8.9924, 8.9924) * CHOOSE(CONTROL!$C$21, $C$9, 100%, $E$9)</f>
        <v>8.9923999999999999</v>
      </c>
      <c r="E156" s="14">
        <f>CHOOSE(CONTROL!$C$42, 9.0265, 9.0265) * CHOOSE(CONTROL!$C$21, $C$9, 100%, $E$9)</f>
        <v>9.0265000000000004</v>
      </c>
      <c r="F156" s="14">
        <f>CHOOSE(CONTROL!$C$42, 8.9278, 8.9278)*CHOOSE(CONTROL!$C$21, $C$9, 100%, $E$9)</f>
        <v>8.9277999999999995</v>
      </c>
      <c r="G156" s="14">
        <f>CHOOSE(CONTROL!$C$42, 8.945, 8.945)*CHOOSE(CONTROL!$C$21, $C$9, 100%, $E$9)</f>
        <v>8.9450000000000003</v>
      </c>
      <c r="H156" s="14">
        <f>CHOOSE(CONTROL!$C$42, 9.0157, 9.0157) * CHOOSE(CONTROL!$C$21, $C$9, 100%, $E$9)</f>
        <v>9.0157000000000007</v>
      </c>
      <c r="I156" s="14">
        <f>CHOOSE(CONTROL!$C$42, 8.9653, 8.9653)* CHOOSE(CONTROL!$C$21, $C$9, 100%, $E$9)</f>
        <v>8.9652999999999992</v>
      </c>
      <c r="J156" s="14">
        <f>CHOOSE(CONTROL!$C$42, 8.9208, 8.9208)* CHOOSE(CONTROL!$C$21, $C$9, 100%, $E$9)</f>
        <v>8.9207999999999998</v>
      </c>
      <c r="K156" s="53">
        <f>CHOOSE(CONTROL!$C$42, 8.9614, 8.9614) * CHOOSE(CONTROL!$C$21, $C$9, 100%, $E$9)</f>
        <v>8.9613999999999994</v>
      </c>
      <c r="L156" s="14">
        <f>CHOOSE(CONTROL!$C$42, 9.6027, 9.6027) * CHOOSE(CONTROL!$C$21, $C$9, 100%, $E$9)</f>
        <v>9.6027000000000005</v>
      </c>
      <c r="M156" s="14">
        <f>CHOOSE(CONTROL!$C$42, 8.7457, 8.7457) * CHOOSE(CONTROL!$C$21, $C$9, 100%, $E$9)</f>
        <v>8.7456999999999994</v>
      </c>
      <c r="N156" s="14">
        <f>CHOOSE(CONTROL!$C$42, 8.7626, 8.7626) * CHOOSE(CONTROL!$C$21, $C$9, 100%, $E$9)</f>
        <v>8.7626000000000008</v>
      </c>
      <c r="O156" s="14">
        <f>CHOOSE(CONTROL!$C$42, 8.8386, 8.8386) * CHOOSE(CONTROL!$C$21, $C$9, 100%, $E$9)</f>
        <v>8.8385999999999996</v>
      </c>
      <c r="P156" s="14">
        <f>CHOOSE(CONTROL!$C$42, 8.7888, 8.7888) * CHOOSE(CONTROL!$C$21, $C$9, 100%, $E$9)</f>
        <v>8.7888000000000002</v>
      </c>
      <c r="Q156" s="14">
        <f>CHOOSE(CONTROL!$C$42, 9.4333, 9.4333) * CHOOSE(CONTROL!$C$21, $C$9, 100%, $E$9)</f>
        <v>9.4332999999999991</v>
      </c>
      <c r="R156" s="14">
        <f>CHOOSE(CONTROL!$C$42, 10.0439, 10.0439) * CHOOSE(CONTROL!$C$21, $C$9, 100%, $E$9)</f>
        <v>10.043900000000001</v>
      </c>
      <c r="S156" s="14">
        <f>CHOOSE(CONTROL!$C$42, 8.566, 8.566) * CHOOSE(CONTROL!$C$21, $C$9, 100%, $E$9)</f>
        <v>8.5660000000000007</v>
      </c>
      <c r="T1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7">
        <f>(1000*CHOOSE(CONTROL!$C$42, 695, 695)*CHOOSE(CONTROL!$C$42, 0.5599, 0.5599)*CHOOSE(CONTROL!$C$42, 31, 31))/1000000</f>
        <v>12.063045499999998</v>
      </c>
      <c r="V156" s="57">
        <f>(1000*CHOOSE(CONTROL!$C$42, 500, 500)*CHOOSE(CONTROL!$C$42, 0.275, 0.275)*CHOOSE(CONTROL!$C$42, 31, 31))/1000000</f>
        <v>4.2625000000000002</v>
      </c>
      <c r="W156" s="57">
        <f>(1000*CHOOSE(CONTROL!$C$42, 0.1146, 0.1146)*CHOOSE(CONTROL!$C$42, 121.5, 121.5)*CHOOSE(CONTROL!$C$42, 31, 31))/1000000</f>
        <v>0.43164089999999994</v>
      </c>
      <c r="X156" s="57">
        <f>(31*0.1790888*100000/1000000)+(31*0.2374*100000/1000000)</f>
        <v>1.2911152800000001</v>
      </c>
      <c r="Y156" s="57"/>
      <c r="Z156" s="14"/>
      <c r="AA156" s="56"/>
      <c r="AB156" s="50">
        <f>(B156*122.58+C156*297.941+D156*89.177+E156*40.302+F156*40+G156*160+H156*0+I156*100+J156*300)/(122.58+297.941+89.177+40.302+0+40+160+100+300)</f>
        <v>8.9398192228695645</v>
      </c>
      <c r="AC156" s="45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8.7949798561151074</v>
      </c>
    </row>
    <row r="157" spans="1:29" ht="15.75" x14ac:dyDescent="0.25">
      <c r="A157" s="13">
        <v>45658</v>
      </c>
      <c r="B157" s="14">
        <f>CHOOSE(CONTROL!$C$42, 9.4785, 9.4785) * CHOOSE(CONTROL!$C$21, $C$9, 100%, $E$9)</f>
        <v>9.4785000000000004</v>
      </c>
      <c r="C157" s="14">
        <f>CHOOSE(CONTROL!$C$42, 9.4836, 9.4836) * CHOOSE(CONTROL!$C$21, $C$9, 100%, $E$9)</f>
        <v>9.4835999999999991</v>
      </c>
      <c r="D157" s="14">
        <f>CHOOSE(CONTROL!$C$42, 9.5422, 9.5422) * CHOOSE(CONTROL!$C$21, $C$9, 100%, $E$9)</f>
        <v>9.5421999999999993</v>
      </c>
      <c r="E157" s="14">
        <f>CHOOSE(CONTROL!$C$42, 9.5763, 9.5763) * CHOOSE(CONTROL!$C$21, $C$9, 100%, $E$9)</f>
        <v>9.5762999999999998</v>
      </c>
      <c r="F157" s="14">
        <f>CHOOSE(CONTROL!$C$42, 9.4776, 9.4776)*CHOOSE(CONTROL!$C$21, $C$9, 100%, $E$9)</f>
        <v>9.4776000000000007</v>
      </c>
      <c r="G157" s="14">
        <f>CHOOSE(CONTROL!$C$42, 9.494, 9.494)*CHOOSE(CONTROL!$C$21, $C$9, 100%, $E$9)</f>
        <v>9.4939999999999998</v>
      </c>
      <c r="H157" s="14">
        <f>CHOOSE(CONTROL!$C$42, 9.5655, 9.5655) * CHOOSE(CONTROL!$C$21, $C$9, 100%, $E$9)</f>
        <v>9.5655000000000001</v>
      </c>
      <c r="I157" s="14">
        <f>CHOOSE(CONTROL!$C$42, 9.5185, 9.5185)* CHOOSE(CONTROL!$C$21, $C$9, 100%, $E$9)</f>
        <v>9.5184999999999995</v>
      </c>
      <c r="J157" s="14">
        <f>CHOOSE(CONTROL!$C$42, 9.4706, 9.4706)* CHOOSE(CONTROL!$C$21, $C$9, 100%, $E$9)</f>
        <v>9.4705999999999992</v>
      </c>
      <c r="K157" s="53">
        <f>CHOOSE(CONTROL!$C$42, 9.5146, 9.5146) * CHOOSE(CONTROL!$C$21, $C$9, 100%, $E$9)</f>
        <v>9.5145999999999997</v>
      </c>
      <c r="L157" s="14">
        <f>CHOOSE(CONTROL!$C$42, 10.1525, 10.1525) * CHOOSE(CONTROL!$C$21, $C$9, 100%, $E$9)</f>
        <v>10.1525</v>
      </c>
      <c r="M157" s="14">
        <f>CHOOSE(CONTROL!$C$42, 9.2843, 9.2843) * CHOOSE(CONTROL!$C$21, $C$9, 100%, $E$9)</f>
        <v>9.2843</v>
      </c>
      <c r="N157" s="14">
        <f>CHOOSE(CONTROL!$C$42, 9.3003, 9.3003) * CHOOSE(CONTROL!$C$21, $C$9, 100%, $E$9)</f>
        <v>9.3003</v>
      </c>
      <c r="O157" s="14">
        <f>CHOOSE(CONTROL!$C$42, 9.3772, 9.3772) * CHOOSE(CONTROL!$C$21, $C$9, 100%, $E$9)</f>
        <v>9.3772000000000002</v>
      </c>
      <c r="P157" s="14">
        <f>CHOOSE(CONTROL!$C$42, 9.3306, 9.3306) * CHOOSE(CONTROL!$C$21, $C$9, 100%, $E$9)</f>
        <v>9.3306000000000004</v>
      </c>
      <c r="Q157" s="14">
        <f>CHOOSE(CONTROL!$C$42, 9.9719, 9.9719) * CHOOSE(CONTROL!$C$21, $C$9, 100%, $E$9)</f>
        <v>9.9718999999999998</v>
      </c>
      <c r="R157" s="14">
        <f>CHOOSE(CONTROL!$C$42, 10.5838, 10.5838) * CHOOSE(CONTROL!$C$21, $C$9, 100%, $E$9)</f>
        <v>10.5838</v>
      </c>
      <c r="S157" s="14">
        <f>CHOOSE(CONTROL!$C$42, 9.0994, 9.0994) * CHOOSE(CONTROL!$C$21, $C$9, 100%, $E$9)</f>
        <v>9.0993999999999993</v>
      </c>
      <c r="T1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7">
        <f>(1000*CHOOSE(CONTROL!$C$42, 695, 695)*CHOOSE(CONTROL!$C$42, 0.5599, 0.5599)*CHOOSE(CONTROL!$C$42, 31, 31))/1000000</f>
        <v>12.063045499999998</v>
      </c>
      <c r="V157" s="57">
        <f>(1000*CHOOSE(CONTROL!$C$42, 500, 500)*CHOOSE(CONTROL!$C$42, 0.275, 0.275)*CHOOSE(CONTROL!$C$42, 31, 31))/1000000</f>
        <v>4.2625000000000002</v>
      </c>
      <c r="W157" s="57">
        <f>(1000*CHOOSE(CONTROL!$C$42, 0.1146, 0.1146)*CHOOSE(CONTROL!$C$42, 121.5, 121.5)*CHOOSE(CONTROL!$C$42, 31, 31))/1000000</f>
        <v>0.43164089999999994</v>
      </c>
      <c r="X157" s="57">
        <f>(31*0.1790888*100000/1000000)+(31*0.2374*100000/1000000)</f>
        <v>1.2911152800000001</v>
      </c>
      <c r="Y157" s="57"/>
      <c r="Z157" s="14"/>
      <c r="AA157" s="56"/>
      <c r="AB157" s="50">
        <f>(B157*122.58+C157*297.941+D157*89.177+E157*40.302+F157*40+G157*160+H157*0+I157*100+J157*300)/(122.58+297.941+89.177+40.302+0+40+160+100+300)</f>
        <v>9.4917309648695642</v>
      </c>
      <c r="AC157" s="45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9.3339884892086342</v>
      </c>
    </row>
    <row r="158" spans="1:29" ht="15.75" x14ac:dyDescent="0.25">
      <c r="A158" s="13">
        <v>45689</v>
      </c>
      <c r="B158" s="14">
        <f>CHOOSE(CONTROL!$C$42, 9.667, 9.667) * CHOOSE(CONTROL!$C$21, $C$9, 100%, $E$9)</f>
        <v>9.6669999999999998</v>
      </c>
      <c r="C158" s="14">
        <f>CHOOSE(CONTROL!$C$42, 9.672, 9.672) * CHOOSE(CONTROL!$C$21, $C$9, 100%, $E$9)</f>
        <v>9.6720000000000006</v>
      </c>
      <c r="D158" s="14">
        <f>CHOOSE(CONTROL!$C$42, 9.7306, 9.7306) * CHOOSE(CONTROL!$C$21, $C$9, 100%, $E$9)</f>
        <v>9.7306000000000008</v>
      </c>
      <c r="E158" s="14">
        <f>CHOOSE(CONTROL!$C$42, 9.7647, 9.7647) * CHOOSE(CONTROL!$C$21, $C$9, 100%, $E$9)</f>
        <v>9.7646999999999995</v>
      </c>
      <c r="F158" s="14">
        <f>CHOOSE(CONTROL!$C$42, 9.666, 9.666)*CHOOSE(CONTROL!$C$21, $C$9, 100%, $E$9)</f>
        <v>9.6660000000000004</v>
      </c>
      <c r="G158" s="14">
        <f>CHOOSE(CONTROL!$C$42, 9.6824, 9.6824)*CHOOSE(CONTROL!$C$21, $C$9, 100%, $E$9)</f>
        <v>9.6823999999999995</v>
      </c>
      <c r="H158" s="14">
        <f>CHOOSE(CONTROL!$C$42, 9.7539, 9.7539) * CHOOSE(CONTROL!$C$21, $C$9, 100%, $E$9)</f>
        <v>9.7538999999999998</v>
      </c>
      <c r="I158" s="14">
        <f>CHOOSE(CONTROL!$C$42, 9.7075, 9.7075)* CHOOSE(CONTROL!$C$21, $C$9, 100%, $E$9)</f>
        <v>9.7074999999999996</v>
      </c>
      <c r="J158" s="14">
        <f>CHOOSE(CONTROL!$C$42, 9.659, 9.659)* CHOOSE(CONTROL!$C$21, $C$9, 100%, $E$9)</f>
        <v>9.6590000000000007</v>
      </c>
      <c r="K158" s="53">
        <f>CHOOSE(CONTROL!$C$42, 9.7036, 9.7036) * CHOOSE(CONTROL!$C$21, $C$9, 100%, $E$9)</f>
        <v>9.7035999999999998</v>
      </c>
      <c r="L158" s="14">
        <f>CHOOSE(CONTROL!$C$42, 10.3409, 10.3409) * CHOOSE(CONTROL!$C$21, $C$9, 100%, $E$9)</f>
        <v>10.3409</v>
      </c>
      <c r="M158" s="14">
        <f>CHOOSE(CONTROL!$C$42, 9.4688, 9.4688) * CHOOSE(CONTROL!$C$21, $C$9, 100%, $E$9)</f>
        <v>9.4687999999999999</v>
      </c>
      <c r="N158" s="14">
        <f>CHOOSE(CONTROL!$C$42, 9.4849, 9.4849) * CHOOSE(CONTROL!$C$21, $C$9, 100%, $E$9)</f>
        <v>9.4848999999999997</v>
      </c>
      <c r="O158" s="14">
        <f>CHOOSE(CONTROL!$C$42, 9.5618, 9.5618) * CHOOSE(CONTROL!$C$21, $C$9, 100%, $E$9)</f>
        <v>9.5617999999999999</v>
      </c>
      <c r="P158" s="14">
        <f>CHOOSE(CONTROL!$C$42, 9.5157, 9.5157) * CHOOSE(CONTROL!$C$21, $C$9, 100%, $E$9)</f>
        <v>9.5157000000000007</v>
      </c>
      <c r="Q158" s="14">
        <f>CHOOSE(CONTROL!$C$42, 10.1565, 10.1565) * CHOOSE(CONTROL!$C$21, $C$9, 100%, $E$9)</f>
        <v>10.156499999999999</v>
      </c>
      <c r="R158" s="14">
        <f>CHOOSE(CONTROL!$C$42, 10.7689, 10.7689) * CHOOSE(CONTROL!$C$21, $C$9, 100%, $E$9)</f>
        <v>10.7689</v>
      </c>
      <c r="S158" s="14">
        <f>CHOOSE(CONTROL!$C$42, 9.2804, 9.2804) * CHOOSE(CONTROL!$C$21, $C$9, 100%, $E$9)</f>
        <v>9.2804000000000002</v>
      </c>
      <c r="T1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7">
        <f>(1000*CHOOSE(CONTROL!$C$42, 695, 695)*CHOOSE(CONTROL!$C$42, 0.5599, 0.5599)*CHOOSE(CONTROL!$C$42, 28, 28))/1000000</f>
        <v>10.895653999999999</v>
      </c>
      <c r="V158" s="57">
        <f>(1000*CHOOSE(CONTROL!$C$42, 500, 500)*CHOOSE(CONTROL!$C$42, 0.275, 0.275)*CHOOSE(CONTROL!$C$42, 28, 28))/1000000</f>
        <v>3.85</v>
      </c>
      <c r="W158" s="57">
        <f>(1000*CHOOSE(CONTROL!$C$42, 0.1146, 0.1146)*CHOOSE(CONTROL!$C$42, 121.5, 121.5)*CHOOSE(CONTROL!$C$42, 28, 28))/1000000</f>
        <v>0.38986920000000003</v>
      </c>
      <c r="X158" s="57">
        <f>(28*0.1790888*100000/1000000)+(28*0.2374*100000/1000000)</f>
        <v>1.16616864</v>
      </c>
      <c r="Y158" s="57"/>
      <c r="Z158" s="14"/>
      <c r="AA158" s="56"/>
      <c r="AB158" s="50">
        <f>(B158*122.58+C158*297.941+D158*89.177+E158*40.302+F158*40+G158*160+H158*0+I158*100+J158*300)/(122.58+297.941+89.177+40.302+0+40+160+100+300)</f>
        <v>9.680193797913045</v>
      </c>
      <c r="AC158" s="45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9.5186258992805755</v>
      </c>
    </row>
    <row r="159" spans="1:29" ht="15.75" x14ac:dyDescent="0.25">
      <c r="A159" s="13">
        <v>45717</v>
      </c>
      <c r="B159" s="14">
        <f>CHOOSE(CONTROL!$C$42, 9.4121, 9.4121) * CHOOSE(CONTROL!$C$21, $C$9, 100%, $E$9)</f>
        <v>9.4121000000000006</v>
      </c>
      <c r="C159" s="14">
        <f>CHOOSE(CONTROL!$C$42, 9.4172, 9.4172) * CHOOSE(CONTROL!$C$21, $C$9, 100%, $E$9)</f>
        <v>9.4171999999999993</v>
      </c>
      <c r="D159" s="14">
        <f>CHOOSE(CONTROL!$C$42, 9.4758, 9.4758) * CHOOSE(CONTROL!$C$21, $C$9, 100%, $E$9)</f>
        <v>9.4757999999999996</v>
      </c>
      <c r="E159" s="14">
        <f>CHOOSE(CONTROL!$C$42, 9.5099, 9.5099) * CHOOSE(CONTROL!$C$21, $C$9, 100%, $E$9)</f>
        <v>9.5099</v>
      </c>
      <c r="F159" s="14">
        <f>CHOOSE(CONTROL!$C$42, 9.4107, 9.4107)*CHOOSE(CONTROL!$C$21, $C$9, 100%, $E$9)</f>
        <v>9.4107000000000003</v>
      </c>
      <c r="G159" s="14">
        <f>CHOOSE(CONTROL!$C$42, 9.4269, 9.4269)*CHOOSE(CONTROL!$C$21, $C$9, 100%, $E$9)</f>
        <v>9.4268999999999998</v>
      </c>
      <c r="H159" s="14">
        <f>CHOOSE(CONTROL!$C$42, 9.4991, 9.4991) * CHOOSE(CONTROL!$C$21, $C$9, 100%, $E$9)</f>
        <v>9.4991000000000003</v>
      </c>
      <c r="I159" s="14">
        <f>CHOOSE(CONTROL!$C$42, 9.4518, 9.4518)* CHOOSE(CONTROL!$C$21, $C$9, 100%, $E$9)</f>
        <v>9.4518000000000004</v>
      </c>
      <c r="J159" s="14">
        <f>CHOOSE(CONTROL!$C$42, 9.4037, 9.4037)* CHOOSE(CONTROL!$C$21, $C$9, 100%, $E$9)</f>
        <v>9.4037000000000006</v>
      </c>
      <c r="K159" s="53">
        <f>CHOOSE(CONTROL!$C$42, 9.4479, 9.4479) * CHOOSE(CONTROL!$C$21, $C$9, 100%, $E$9)</f>
        <v>9.4479000000000006</v>
      </c>
      <c r="L159" s="14">
        <f>CHOOSE(CONTROL!$C$42, 10.0861, 10.0861) * CHOOSE(CONTROL!$C$21, $C$9, 100%, $E$9)</f>
        <v>10.0861</v>
      </c>
      <c r="M159" s="14">
        <f>CHOOSE(CONTROL!$C$42, 9.2187, 9.2187) * CHOOSE(CONTROL!$C$21, $C$9, 100%, $E$9)</f>
        <v>9.2187000000000001</v>
      </c>
      <c r="N159" s="14">
        <f>CHOOSE(CONTROL!$C$42, 9.2346, 9.2346) * CHOOSE(CONTROL!$C$21, $C$9, 100%, $E$9)</f>
        <v>9.2346000000000004</v>
      </c>
      <c r="O159" s="14">
        <f>CHOOSE(CONTROL!$C$42, 9.3121, 9.3121) * CHOOSE(CONTROL!$C$21, $C$9, 100%, $E$9)</f>
        <v>9.3120999999999992</v>
      </c>
      <c r="P159" s="14">
        <f>CHOOSE(CONTROL!$C$42, 9.2653, 9.2653) * CHOOSE(CONTROL!$C$21, $C$9, 100%, $E$9)</f>
        <v>9.2652999999999999</v>
      </c>
      <c r="Q159" s="14">
        <f>CHOOSE(CONTROL!$C$42, 9.9068, 9.9068) * CHOOSE(CONTROL!$C$21, $C$9, 100%, $E$9)</f>
        <v>9.9068000000000005</v>
      </c>
      <c r="R159" s="14">
        <f>CHOOSE(CONTROL!$C$42, 10.5186, 10.5186) * CHOOSE(CONTROL!$C$21, $C$9, 100%, $E$9)</f>
        <v>10.518599999999999</v>
      </c>
      <c r="S159" s="14">
        <f>CHOOSE(CONTROL!$C$42, 9.0355, 9.0355) * CHOOSE(CONTROL!$C$21, $C$9, 100%, $E$9)</f>
        <v>9.0355000000000008</v>
      </c>
      <c r="T1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7">
        <f>(1000*CHOOSE(CONTROL!$C$42, 695, 695)*CHOOSE(CONTROL!$C$42, 0.5599, 0.5599)*CHOOSE(CONTROL!$C$42, 31, 31))/1000000</f>
        <v>12.063045499999998</v>
      </c>
      <c r="V159" s="57">
        <f>(1000*CHOOSE(CONTROL!$C$42, 500, 500)*CHOOSE(CONTROL!$C$42, 0.275, 0.275)*CHOOSE(CONTROL!$C$42, 31, 31))/1000000</f>
        <v>4.2625000000000002</v>
      </c>
      <c r="W159" s="57">
        <f>(1000*CHOOSE(CONTROL!$C$42, 0.1146, 0.1146)*CHOOSE(CONTROL!$C$42, 121.5, 121.5)*CHOOSE(CONTROL!$C$42, 31, 31))/1000000</f>
        <v>0.43164089999999994</v>
      </c>
      <c r="X159" s="57">
        <f>(31*0.1790888*100000/1000000)+(31*0.2374*100000/1000000)</f>
        <v>1.2911152800000001</v>
      </c>
      <c r="Y159" s="57"/>
      <c r="Z159" s="14"/>
      <c r="AA159" s="56"/>
      <c r="AB159" s="50">
        <f>(B159*122.58+C159*297.941+D159*89.177+E159*40.302+F159*40+G159*160+H159*0+I159*100+J159*300)/(122.58+297.941+89.177+40.302+0+40+160+100+300)</f>
        <v>9.4250596605217378</v>
      </c>
      <c r="AC159" s="45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9.2686525179856094</v>
      </c>
    </row>
    <row r="160" spans="1:29" ht="15.75" x14ac:dyDescent="0.25">
      <c r="A160" s="13">
        <v>45748</v>
      </c>
      <c r="B160" s="14">
        <f>CHOOSE(CONTROL!$C$42, 9.4044, 9.4044) * CHOOSE(CONTROL!$C$21, $C$9, 100%, $E$9)</f>
        <v>9.4044000000000008</v>
      </c>
      <c r="C160" s="14">
        <f>CHOOSE(CONTROL!$C$42, 9.4089, 9.4089) * CHOOSE(CONTROL!$C$21, $C$9, 100%, $E$9)</f>
        <v>9.4088999999999992</v>
      </c>
      <c r="D160" s="14">
        <f>CHOOSE(CONTROL!$C$42, 9.617, 9.617) * CHOOSE(CONTROL!$C$21, $C$9, 100%, $E$9)</f>
        <v>9.6170000000000009</v>
      </c>
      <c r="E160" s="14">
        <f>CHOOSE(CONTROL!$C$42, 9.6491, 9.6491) * CHOOSE(CONTROL!$C$21, $C$9, 100%, $E$9)</f>
        <v>9.6491000000000007</v>
      </c>
      <c r="F160" s="14">
        <f>CHOOSE(CONTROL!$C$42, 9.3918, 9.3918)*CHOOSE(CONTROL!$C$21, $C$9, 100%, $E$9)</f>
        <v>9.3917999999999999</v>
      </c>
      <c r="G160" s="14">
        <f>CHOOSE(CONTROL!$C$42, 9.4077, 9.4077)*CHOOSE(CONTROL!$C$21, $C$9, 100%, $E$9)</f>
        <v>9.4077000000000002</v>
      </c>
      <c r="H160" s="14">
        <f>CHOOSE(CONTROL!$C$42, 9.6389, 9.6389) * CHOOSE(CONTROL!$C$21, $C$9, 100%, $E$9)</f>
        <v>9.6388999999999996</v>
      </c>
      <c r="I160" s="14">
        <f>CHOOSE(CONTROL!$C$42, 9.4433, 9.4433)* CHOOSE(CONTROL!$C$21, $C$9, 100%, $E$9)</f>
        <v>9.4433000000000007</v>
      </c>
      <c r="J160" s="14">
        <f>CHOOSE(CONTROL!$C$42, 9.3848, 9.3848)* CHOOSE(CONTROL!$C$21, $C$9, 100%, $E$9)</f>
        <v>9.3848000000000003</v>
      </c>
      <c r="K160" s="53">
        <f>CHOOSE(CONTROL!$C$42, 9.4394, 9.4394) * CHOOSE(CONTROL!$C$21, $C$9, 100%, $E$9)</f>
        <v>9.4393999999999991</v>
      </c>
      <c r="L160" s="14">
        <f>CHOOSE(CONTROL!$C$42, 10.2259, 10.2259) * CHOOSE(CONTROL!$C$21, $C$9, 100%, $E$9)</f>
        <v>10.225899999999999</v>
      </c>
      <c r="M160" s="14">
        <f>CHOOSE(CONTROL!$C$42, 9.2002, 9.2002) * CHOOSE(CONTROL!$C$21, $C$9, 100%, $E$9)</f>
        <v>9.2002000000000006</v>
      </c>
      <c r="N160" s="14">
        <f>CHOOSE(CONTROL!$C$42, 9.2158, 9.2158) * CHOOSE(CONTROL!$C$21, $C$9, 100%, $E$9)</f>
        <v>9.2157999999999998</v>
      </c>
      <c r="O160" s="14">
        <f>CHOOSE(CONTROL!$C$42, 9.4491, 9.4491) * CHOOSE(CONTROL!$C$21, $C$9, 100%, $E$9)</f>
        <v>9.4490999999999996</v>
      </c>
      <c r="P160" s="14">
        <f>CHOOSE(CONTROL!$C$42, 9.257, 9.257) * CHOOSE(CONTROL!$C$21, $C$9, 100%, $E$9)</f>
        <v>9.2569999999999997</v>
      </c>
      <c r="Q160" s="14">
        <f>CHOOSE(CONTROL!$C$42, 10.0438, 10.0438) * CHOOSE(CONTROL!$C$21, $C$9, 100%, $E$9)</f>
        <v>10.043799999999999</v>
      </c>
      <c r="R160" s="14">
        <f>CHOOSE(CONTROL!$C$42, 10.6559, 10.6559) * CHOOSE(CONTROL!$C$21, $C$9, 100%, $E$9)</f>
        <v>10.655900000000001</v>
      </c>
      <c r="S160" s="14">
        <f>CHOOSE(CONTROL!$C$42, 9.0274, 9.0274) * CHOOSE(CONTROL!$C$21, $C$9, 100%, $E$9)</f>
        <v>9.0274000000000001</v>
      </c>
      <c r="T1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7">
        <f>(1000*CHOOSE(CONTROL!$C$42, 695, 695)*CHOOSE(CONTROL!$C$42, 0.5599, 0.5599)*CHOOSE(CONTROL!$C$42, 30, 30))/1000000</f>
        <v>11.673914999999997</v>
      </c>
      <c r="V160" s="57">
        <f>(1000*CHOOSE(CONTROL!$C$42, 500, 500)*CHOOSE(CONTROL!$C$42, 0.275, 0.275)*CHOOSE(CONTROL!$C$42, 30, 30))/1000000</f>
        <v>4.125</v>
      </c>
      <c r="W160" s="57">
        <f>(1000*CHOOSE(CONTROL!$C$42, 0.1146, 0.1146)*CHOOSE(CONTROL!$C$42, 121.5, 121.5)*CHOOSE(CONTROL!$C$42, 30, 30))/1000000</f>
        <v>0.417717</v>
      </c>
      <c r="X160" s="57">
        <f>(30*0.1790888*245000/1000000)+(30*0.2374*100000/1000000)</f>
        <v>2.0285026799999999</v>
      </c>
      <c r="Y160" s="57"/>
      <c r="Z160" s="14"/>
      <c r="AA160" s="56"/>
      <c r="AB160" s="50">
        <f>(B160*141.293+C160*267.993+D160*115.016+E160*89.698+F160*40+G160*185+H160*0+I160*100+J160*300)/(141.293+267.993+115.016+89.698+0+40+185+100+300)</f>
        <v>9.4413039311541578</v>
      </c>
      <c r="AC160" s="45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9.2817992805755392</v>
      </c>
    </row>
    <row r="161" spans="1:29" ht="15.75" x14ac:dyDescent="0.25">
      <c r="A161" s="13">
        <v>45778</v>
      </c>
      <c r="B161" s="14">
        <f>CHOOSE(CONTROL!$C$42, 9.5083, 9.5083) * CHOOSE(CONTROL!$C$21, $C$9, 100%, $E$9)</f>
        <v>9.5083000000000002</v>
      </c>
      <c r="C161" s="14">
        <f>CHOOSE(CONTROL!$C$42, 9.5163, 9.5163) * CHOOSE(CONTROL!$C$21, $C$9, 100%, $E$9)</f>
        <v>9.5162999999999993</v>
      </c>
      <c r="D161" s="14">
        <f>CHOOSE(CONTROL!$C$42, 9.7213, 9.7213) * CHOOSE(CONTROL!$C$21, $C$9, 100%, $E$9)</f>
        <v>9.7212999999999994</v>
      </c>
      <c r="E161" s="14">
        <f>CHOOSE(CONTROL!$C$42, 9.7527, 9.7527) * CHOOSE(CONTROL!$C$21, $C$9, 100%, $E$9)</f>
        <v>9.7527000000000008</v>
      </c>
      <c r="F161" s="14">
        <f>CHOOSE(CONTROL!$C$42, 9.4944, 9.4944)*CHOOSE(CONTROL!$C$21, $C$9, 100%, $E$9)</f>
        <v>9.4944000000000006</v>
      </c>
      <c r="G161" s="14">
        <f>CHOOSE(CONTROL!$C$42, 9.5109, 9.5109)*CHOOSE(CONTROL!$C$21, $C$9, 100%, $E$9)</f>
        <v>9.5108999999999995</v>
      </c>
      <c r="H161" s="14">
        <f>CHOOSE(CONTROL!$C$42, 9.7414, 9.7414) * CHOOSE(CONTROL!$C$21, $C$9, 100%, $E$9)</f>
        <v>9.7414000000000005</v>
      </c>
      <c r="I161" s="14">
        <f>CHOOSE(CONTROL!$C$42, 9.5461, 9.5461)* CHOOSE(CONTROL!$C$21, $C$9, 100%, $E$9)</f>
        <v>9.5460999999999991</v>
      </c>
      <c r="J161" s="14">
        <f>CHOOSE(CONTROL!$C$42, 9.4874, 9.4874)* CHOOSE(CONTROL!$C$21, $C$9, 100%, $E$9)</f>
        <v>9.4873999999999992</v>
      </c>
      <c r="K161" s="53">
        <f>CHOOSE(CONTROL!$C$42, 9.5422, 9.5422) * CHOOSE(CONTROL!$C$21, $C$9, 100%, $E$9)</f>
        <v>9.5421999999999993</v>
      </c>
      <c r="L161" s="14">
        <f>CHOOSE(CONTROL!$C$42, 10.3284, 10.3284) * CHOOSE(CONTROL!$C$21, $C$9, 100%, $E$9)</f>
        <v>10.3284</v>
      </c>
      <c r="M161" s="14">
        <f>CHOOSE(CONTROL!$C$42, 9.3007, 9.3007) * CHOOSE(CONTROL!$C$21, $C$9, 100%, $E$9)</f>
        <v>9.3007000000000009</v>
      </c>
      <c r="N161" s="14">
        <f>CHOOSE(CONTROL!$C$42, 9.3168, 9.3168) * CHOOSE(CONTROL!$C$21, $C$9, 100%, $E$9)</f>
        <v>9.3168000000000006</v>
      </c>
      <c r="O161" s="14">
        <f>CHOOSE(CONTROL!$C$42, 9.5495, 9.5495) * CHOOSE(CONTROL!$C$21, $C$9, 100%, $E$9)</f>
        <v>9.5495000000000001</v>
      </c>
      <c r="P161" s="14">
        <f>CHOOSE(CONTROL!$C$42, 9.3577, 9.3577) * CHOOSE(CONTROL!$C$21, $C$9, 100%, $E$9)</f>
        <v>9.3576999999999995</v>
      </c>
      <c r="Q161" s="14">
        <f>CHOOSE(CONTROL!$C$42, 10.1442, 10.1442) * CHOOSE(CONTROL!$C$21, $C$9, 100%, $E$9)</f>
        <v>10.1442</v>
      </c>
      <c r="R161" s="14">
        <f>CHOOSE(CONTROL!$C$42, 10.7565, 10.7565) * CHOOSE(CONTROL!$C$21, $C$9, 100%, $E$9)</f>
        <v>10.756500000000001</v>
      </c>
      <c r="S161" s="14">
        <f>CHOOSE(CONTROL!$C$42, 9.1259, 9.1259) * CHOOSE(CONTROL!$C$21, $C$9, 100%, $E$9)</f>
        <v>9.1258999999999997</v>
      </c>
      <c r="T1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7">
        <f>(1000*CHOOSE(CONTROL!$C$42, 695, 695)*CHOOSE(CONTROL!$C$42, 0.5599, 0.5599)*CHOOSE(CONTROL!$C$42, 31, 31))/1000000</f>
        <v>12.063045499999998</v>
      </c>
      <c r="V161" s="57">
        <f>(1000*CHOOSE(CONTROL!$C$42, 500, 500)*CHOOSE(CONTROL!$C$42, 0.275, 0.275)*CHOOSE(CONTROL!$C$42, 31, 31))/1000000</f>
        <v>4.2625000000000002</v>
      </c>
      <c r="W161" s="57">
        <f>(1000*CHOOSE(CONTROL!$C$42, 0.1146, 0.1146)*CHOOSE(CONTROL!$C$42, 121.5, 121.5)*CHOOSE(CONTROL!$C$42, 31, 31))/1000000</f>
        <v>0.43164089999999994</v>
      </c>
      <c r="X161" s="57">
        <f>(31*0.1790888*245000/1000000)+(31*0.2374*100000/1000000)</f>
        <v>2.0961194359999999</v>
      </c>
      <c r="Y161" s="57"/>
      <c r="Z161" s="14"/>
      <c r="AA161" s="56"/>
      <c r="AB161" s="50">
        <f>(B161*194.205+C161*267.466+D161*133.845+E161*53.484+F161*40+G161*185+H161*0+I161*100+J161*300)/(194.205+267.466+133.845+53.484+0+40+185+100+300)</f>
        <v>9.5406039266875986</v>
      </c>
      <c r="AC161" s="45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9.3824151079136691</v>
      </c>
    </row>
    <row r="162" spans="1:29" ht="15.75" x14ac:dyDescent="0.25">
      <c r="A162" s="13">
        <v>45809</v>
      </c>
      <c r="B162" s="14">
        <f>CHOOSE(CONTROL!$C$42, 9.7977, 9.7977) * CHOOSE(CONTROL!$C$21, $C$9, 100%, $E$9)</f>
        <v>9.7977000000000007</v>
      </c>
      <c r="C162" s="14">
        <f>CHOOSE(CONTROL!$C$42, 9.8058, 9.8058) * CHOOSE(CONTROL!$C$21, $C$9, 100%, $E$9)</f>
        <v>9.8057999999999996</v>
      </c>
      <c r="D162" s="14">
        <f>CHOOSE(CONTROL!$C$42, 10.0107, 10.0107) * CHOOSE(CONTROL!$C$21, $C$9, 100%, $E$9)</f>
        <v>10.0107</v>
      </c>
      <c r="E162" s="14">
        <f>CHOOSE(CONTROL!$C$42, 10.0422, 10.0422) * CHOOSE(CONTROL!$C$21, $C$9, 100%, $E$9)</f>
        <v>10.042199999999999</v>
      </c>
      <c r="F162" s="14">
        <f>CHOOSE(CONTROL!$C$42, 9.7843, 9.7843)*CHOOSE(CONTROL!$C$21, $C$9, 100%, $E$9)</f>
        <v>9.7843</v>
      </c>
      <c r="G162" s="14">
        <f>CHOOSE(CONTROL!$C$42, 9.8008, 9.8008)*CHOOSE(CONTROL!$C$21, $C$9, 100%, $E$9)</f>
        <v>9.8008000000000006</v>
      </c>
      <c r="H162" s="14">
        <f>CHOOSE(CONTROL!$C$42, 10.0308, 10.0308) * CHOOSE(CONTROL!$C$21, $C$9, 100%, $E$9)</f>
        <v>10.030799999999999</v>
      </c>
      <c r="I162" s="14">
        <f>CHOOSE(CONTROL!$C$42, 9.8365, 9.8365)* CHOOSE(CONTROL!$C$21, $C$9, 100%, $E$9)</f>
        <v>9.8364999999999991</v>
      </c>
      <c r="J162" s="14">
        <f>CHOOSE(CONTROL!$C$42, 9.7773, 9.7773)* CHOOSE(CONTROL!$C$21, $C$9, 100%, $E$9)</f>
        <v>9.7773000000000003</v>
      </c>
      <c r="K162" s="53">
        <f>CHOOSE(CONTROL!$C$42, 9.8326, 9.8326) * CHOOSE(CONTROL!$C$21, $C$9, 100%, $E$9)</f>
        <v>9.8325999999999993</v>
      </c>
      <c r="L162" s="14">
        <f>CHOOSE(CONTROL!$C$42, 10.6178, 10.6178) * CHOOSE(CONTROL!$C$21, $C$9, 100%, $E$9)</f>
        <v>10.617800000000001</v>
      </c>
      <c r="M162" s="14">
        <f>CHOOSE(CONTROL!$C$42, 9.5847, 9.5847) * CHOOSE(CONTROL!$C$21, $C$9, 100%, $E$9)</f>
        <v>9.5846999999999998</v>
      </c>
      <c r="N162" s="14">
        <f>CHOOSE(CONTROL!$C$42, 9.6008, 9.6008) * CHOOSE(CONTROL!$C$21, $C$9, 100%, $E$9)</f>
        <v>9.6007999999999996</v>
      </c>
      <c r="O162" s="14">
        <f>CHOOSE(CONTROL!$C$42, 9.833, 9.833) * CHOOSE(CONTROL!$C$21, $C$9, 100%, $E$9)</f>
        <v>9.8330000000000002</v>
      </c>
      <c r="P162" s="14">
        <f>CHOOSE(CONTROL!$C$42, 9.6421, 9.6421) * CHOOSE(CONTROL!$C$21, $C$9, 100%, $E$9)</f>
        <v>9.6420999999999992</v>
      </c>
      <c r="Q162" s="14">
        <f>CHOOSE(CONTROL!$C$42, 10.4277, 10.4277) * CHOOSE(CONTROL!$C$21, $C$9, 100%, $E$9)</f>
        <v>10.4277</v>
      </c>
      <c r="R162" s="14">
        <f>CHOOSE(CONTROL!$C$42, 11.0408, 11.0408) * CHOOSE(CONTROL!$C$21, $C$9, 100%, $E$9)</f>
        <v>11.040800000000001</v>
      </c>
      <c r="S162" s="14">
        <f>CHOOSE(CONTROL!$C$42, 9.404, 9.404) * CHOOSE(CONTROL!$C$21, $C$9, 100%, $E$9)</f>
        <v>9.4039999999999999</v>
      </c>
      <c r="T1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7">
        <f>(1000*CHOOSE(CONTROL!$C$42, 695, 695)*CHOOSE(CONTROL!$C$42, 0.5599, 0.5599)*CHOOSE(CONTROL!$C$42, 30, 30))/1000000</f>
        <v>11.673914999999997</v>
      </c>
      <c r="V162" s="57">
        <f>(1000*CHOOSE(CONTROL!$C$42, 500, 500)*CHOOSE(CONTROL!$C$42, 0.275, 0.275)*CHOOSE(CONTROL!$C$42, 30, 30))/1000000</f>
        <v>4.125</v>
      </c>
      <c r="W162" s="57">
        <f>(1000*CHOOSE(CONTROL!$C$42, 0.1146, 0.1146)*CHOOSE(CONTROL!$C$42, 121.5, 121.5)*CHOOSE(CONTROL!$C$42, 30, 30))/1000000</f>
        <v>0.417717</v>
      </c>
      <c r="X162" s="57">
        <f>(30*0.1790888*245000/1000000)+(30*0.2374*100000/1000000)</f>
        <v>2.0285026799999999</v>
      </c>
      <c r="Y162" s="57"/>
      <c r="Z162" s="14"/>
      <c r="AA162" s="56"/>
      <c r="AB162" s="50">
        <f>(B162*194.205+C162*267.466+D162*133.845+E162*53.484+F162*40+G162*185+H162*0+I162*100+J162*300)/(194.205+267.466+133.845+53.484+0+40+185+100+300)</f>
        <v>9.8303136558869717</v>
      </c>
      <c r="AC162" s="45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9.666332374100719</v>
      </c>
    </row>
    <row r="163" spans="1:29" ht="15.75" x14ac:dyDescent="0.25">
      <c r="A163" s="13">
        <v>45839</v>
      </c>
      <c r="B163" s="14">
        <f>CHOOSE(CONTROL!$C$42, 9.6298, 9.6298) * CHOOSE(CONTROL!$C$21, $C$9, 100%, $E$9)</f>
        <v>9.6297999999999995</v>
      </c>
      <c r="C163" s="14">
        <f>CHOOSE(CONTROL!$C$42, 9.6378, 9.6378) * CHOOSE(CONTROL!$C$21, $C$9, 100%, $E$9)</f>
        <v>9.6378000000000004</v>
      </c>
      <c r="D163" s="14">
        <f>CHOOSE(CONTROL!$C$42, 9.8428, 9.8428) * CHOOSE(CONTROL!$C$21, $C$9, 100%, $E$9)</f>
        <v>9.8428000000000004</v>
      </c>
      <c r="E163" s="14">
        <f>CHOOSE(CONTROL!$C$42, 9.8742, 9.8742) * CHOOSE(CONTROL!$C$21, $C$9, 100%, $E$9)</f>
        <v>9.8742000000000001</v>
      </c>
      <c r="F163" s="14">
        <f>CHOOSE(CONTROL!$C$42, 9.6168, 9.6168)*CHOOSE(CONTROL!$C$21, $C$9, 100%, $E$9)</f>
        <v>9.6167999999999996</v>
      </c>
      <c r="G163" s="14">
        <f>CHOOSE(CONTROL!$C$42, 9.6334, 9.6334)*CHOOSE(CONTROL!$C$21, $C$9, 100%, $E$9)</f>
        <v>9.6334</v>
      </c>
      <c r="H163" s="14">
        <f>CHOOSE(CONTROL!$C$42, 9.8629, 9.8629) * CHOOSE(CONTROL!$C$21, $C$9, 100%, $E$9)</f>
        <v>9.8628999999999998</v>
      </c>
      <c r="I163" s="14">
        <f>CHOOSE(CONTROL!$C$42, 9.668, 9.668)* CHOOSE(CONTROL!$C$21, $C$9, 100%, $E$9)</f>
        <v>9.6679999999999993</v>
      </c>
      <c r="J163" s="14">
        <f>CHOOSE(CONTROL!$C$42, 9.6098, 9.6098)* CHOOSE(CONTROL!$C$21, $C$9, 100%, $E$9)</f>
        <v>9.6097999999999999</v>
      </c>
      <c r="K163" s="53">
        <f>CHOOSE(CONTROL!$C$42, 9.6641, 9.6641) * CHOOSE(CONTROL!$C$21, $C$9, 100%, $E$9)</f>
        <v>9.6640999999999995</v>
      </c>
      <c r="L163" s="14">
        <f>CHOOSE(CONTROL!$C$42, 10.4499, 10.4499) * CHOOSE(CONTROL!$C$21, $C$9, 100%, $E$9)</f>
        <v>10.4499</v>
      </c>
      <c r="M163" s="14">
        <f>CHOOSE(CONTROL!$C$42, 9.4205, 9.4205) * CHOOSE(CONTROL!$C$21, $C$9, 100%, $E$9)</f>
        <v>9.4205000000000005</v>
      </c>
      <c r="N163" s="14">
        <f>CHOOSE(CONTROL!$C$42, 9.4368, 9.4368) * CHOOSE(CONTROL!$C$21, $C$9, 100%, $E$9)</f>
        <v>9.4367999999999999</v>
      </c>
      <c r="O163" s="14">
        <f>CHOOSE(CONTROL!$C$42, 9.6685, 9.6685) * CHOOSE(CONTROL!$C$21, $C$9, 100%, $E$9)</f>
        <v>9.6684999999999999</v>
      </c>
      <c r="P163" s="14">
        <f>CHOOSE(CONTROL!$C$42, 9.4771, 9.4771) * CHOOSE(CONTROL!$C$21, $C$9, 100%, $E$9)</f>
        <v>9.4771000000000001</v>
      </c>
      <c r="Q163" s="14">
        <f>CHOOSE(CONTROL!$C$42, 10.2632, 10.2632) * CHOOSE(CONTROL!$C$21, $C$9, 100%, $E$9)</f>
        <v>10.263199999999999</v>
      </c>
      <c r="R163" s="14">
        <f>CHOOSE(CONTROL!$C$42, 10.8758, 10.8758) * CHOOSE(CONTROL!$C$21, $C$9, 100%, $E$9)</f>
        <v>10.8758</v>
      </c>
      <c r="S163" s="14">
        <f>CHOOSE(CONTROL!$C$42, 9.2426, 9.2426) * CHOOSE(CONTROL!$C$21, $C$9, 100%, $E$9)</f>
        <v>9.2425999999999995</v>
      </c>
      <c r="T1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7">
        <f>(1000*CHOOSE(CONTROL!$C$42, 695, 695)*CHOOSE(CONTROL!$C$42, 0.5599, 0.5599)*CHOOSE(CONTROL!$C$42, 31, 31))/1000000</f>
        <v>12.063045499999998</v>
      </c>
      <c r="V163" s="57">
        <f>(1000*CHOOSE(CONTROL!$C$42, 500, 500)*CHOOSE(CONTROL!$C$42, 0.275, 0.275)*CHOOSE(CONTROL!$C$42, 31, 31))/1000000</f>
        <v>4.2625000000000002</v>
      </c>
      <c r="W163" s="57">
        <f>(1000*CHOOSE(CONTROL!$C$42, 0.1146, 0.1146)*CHOOSE(CONTROL!$C$42, 121.5, 121.5)*CHOOSE(CONTROL!$C$42, 31, 31))/1000000</f>
        <v>0.43164089999999994</v>
      </c>
      <c r="X163" s="57">
        <f>(31*0.1790888*245000/1000000)+(31*0.2374*100000/1000000)</f>
        <v>2.0961194359999999</v>
      </c>
      <c r="Y163" s="57"/>
      <c r="Z163" s="14"/>
      <c r="AA163" s="56"/>
      <c r="AB163" s="50">
        <f>(B163*194.205+C163*267.466+D163*133.845+E163*53.484+F163*40+G163*185+H163*0+I163*100+J163*300)/(194.205+267.466+133.845+53.484+0+40+185+100+300)</f>
        <v>9.662520724175824</v>
      </c>
      <c r="AC163" s="45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9.5019791366906468</v>
      </c>
    </row>
    <row r="164" spans="1:29" ht="15.75" x14ac:dyDescent="0.25">
      <c r="A164" s="13">
        <v>45870</v>
      </c>
      <c r="B164" s="14">
        <f>CHOOSE(CONTROL!$C$42, 9.1736, 9.1736) * CHOOSE(CONTROL!$C$21, $C$9, 100%, $E$9)</f>
        <v>9.1736000000000004</v>
      </c>
      <c r="C164" s="14">
        <f>CHOOSE(CONTROL!$C$42, 9.1816, 9.1816) * CHOOSE(CONTROL!$C$21, $C$9, 100%, $E$9)</f>
        <v>9.1815999999999995</v>
      </c>
      <c r="D164" s="14">
        <f>CHOOSE(CONTROL!$C$42, 9.3866, 9.3866) * CHOOSE(CONTROL!$C$21, $C$9, 100%, $E$9)</f>
        <v>9.3865999999999996</v>
      </c>
      <c r="E164" s="14">
        <f>CHOOSE(CONTROL!$C$42, 9.418, 9.418) * CHOOSE(CONTROL!$C$21, $C$9, 100%, $E$9)</f>
        <v>9.4179999999999993</v>
      </c>
      <c r="F164" s="14">
        <f>CHOOSE(CONTROL!$C$42, 9.1607, 9.1607)*CHOOSE(CONTROL!$C$21, $C$9, 100%, $E$9)</f>
        <v>9.1607000000000003</v>
      </c>
      <c r="G164" s="14">
        <f>CHOOSE(CONTROL!$C$42, 9.1774, 9.1774)*CHOOSE(CONTROL!$C$21, $C$9, 100%, $E$9)</f>
        <v>9.1774000000000004</v>
      </c>
      <c r="H164" s="14">
        <f>CHOOSE(CONTROL!$C$42, 9.4066, 9.4066) * CHOOSE(CONTROL!$C$21, $C$9, 100%, $E$9)</f>
        <v>9.4065999999999992</v>
      </c>
      <c r="I164" s="14">
        <f>CHOOSE(CONTROL!$C$42, 9.2103, 9.2103)* CHOOSE(CONTROL!$C$21, $C$9, 100%, $E$9)</f>
        <v>9.2103000000000002</v>
      </c>
      <c r="J164" s="14">
        <f>CHOOSE(CONTROL!$C$42, 9.1537, 9.1537)* CHOOSE(CONTROL!$C$21, $C$9, 100%, $E$9)</f>
        <v>9.1537000000000006</v>
      </c>
      <c r="K164" s="53">
        <f>CHOOSE(CONTROL!$C$42, 9.2064, 9.2064) * CHOOSE(CONTROL!$C$21, $C$9, 100%, $E$9)</f>
        <v>9.2064000000000004</v>
      </c>
      <c r="L164" s="14">
        <f>CHOOSE(CONTROL!$C$42, 9.9936, 9.9936) * CHOOSE(CONTROL!$C$21, $C$9, 100%, $E$9)</f>
        <v>9.9936000000000007</v>
      </c>
      <c r="M164" s="14">
        <f>CHOOSE(CONTROL!$C$42, 8.9739, 8.9739) * CHOOSE(CONTROL!$C$21, $C$9, 100%, $E$9)</f>
        <v>8.9739000000000004</v>
      </c>
      <c r="N164" s="14">
        <f>CHOOSE(CONTROL!$C$42, 8.9902, 8.9902) * CHOOSE(CONTROL!$C$21, $C$9, 100%, $E$9)</f>
        <v>8.9901999999999997</v>
      </c>
      <c r="O164" s="14">
        <f>CHOOSE(CONTROL!$C$42, 9.2216, 9.2216) * CHOOSE(CONTROL!$C$21, $C$9, 100%, $E$9)</f>
        <v>9.2216000000000005</v>
      </c>
      <c r="P164" s="14">
        <f>CHOOSE(CONTROL!$C$42, 9.0288, 9.0288) * CHOOSE(CONTROL!$C$21, $C$9, 100%, $E$9)</f>
        <v>9.0288000000000004</v>
      </c>
      <c r="Q164" s="14">
        <f>CHOOSE(CONTROL!$C$42, 9.8163, 9.8163) * CHOOSE(CONTROL!$C$21, $C$9, 100%, $E$9)</f>
        <v>9.8163</v>
      </c>
      <c r="R164" s="14">
        <f>CHOOSE(CONTROL!$C$42, 10.4278, 10.4278) * CHOOSE(CONTROL!$C$21, $C$9, 100%, $E$9)</f>
        <v>10.4278</v>
      </c>
      <c r="S164" s="14">
        <f>CHOOSE(CONTROL!$C$42, 8.8042, 8.8042) * CHOOSE(CONTROL!$C$21, $C$9, 100%, $E$9)</f>
        <v>8.8041999999999998</v>
      </c>
      <c r="T1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7">
        <f>(1000*CHOOSE(CONTROL!$C$42, 695, 695)*CHOOSE(CONTROL!$C$42, 0.5599, 0.5599)*CHOOSE(CONTROL!$C$42, 31, 31))/1000000</f>
        <v>12.063045499999998</v>
      </c>
      <c r="V164" s="57">
        <f>(1000*CHOOSE(CONTROL!$C$42, 500, 500)*CHOOSE(CONTROL!$C$42, 0.275, 0.275)*CHOOSE(CONTROL!$C$42, 31, 31))/1000000</f>
        <v>4.2625000000000002</v>
      </c>
      <c r="W164" s="57">
        <f>(1000*CHOOSE(CONTROL!$C$42, 0.1146, 0.1146)*CHOOSE(CONTROL!$C$42, 121.5, 121.5)*CHOOSE(CONTROL!$C$42, 31, 31))/1000000</f>
        <v>0.43164089999999994</v>
      </c>
      <c r="X164" s="57">
        <f>(31*0.1790888*245000/1000000)+(31*0.2374*100000/1000000)</f>
        <v>2.0961194359999999</v>
      </c>
      <c r="Y164" s="57"/>
      <c r="Z164" s="14"/>
      <c r="AA164" s="56"/>
      <c r="AB164" s="50">
        <f>(B164*194.205+C164*267.466+D164*133.845+E164*53.484+F164*40+G164*185+H164*0+I164*100+J164*300)/(194.205+267.466+133.845+53.484+0+40+185+100+300)</f>
        <v>9.2062587147566717</v>
      </c>
      <c r="AC164" s="45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9.0550503597122294</v>
      </c>
    </row>
    <row r="165" spans="1:29" ht="15.75" x14ac:dyDescent="0.25">
      <c r="A165" s="13">
        <v>45901</v>
      </c>
      <c r="B165" s="14">
        <f>CHOOSE(CONTROL!$C$42, 8.6092, 8.6092) * CHOOSE(CONTROL!$C$21, $C$9, 100%, $E$9)</f>
        <v>8.6091999999999995</v>
      </c>
      <c r="C165" s="14">
        <f>CHOOSE(CONTROL!$C$42, 8.6172, 8.6172) * CHOOSE(CONTROL!$C$21, $C$9, 100%, $E$9)</f>
        <v>8.6172000000000004</v>
      </c>
      <c r="D165" s="14">
        <f>CHOOSE(CONTROL!$C$42, 8.8222, 8.8222) * CHOOSE(CONTROL!$C$21, $C$9, 100%, $E$9)</f>
        <v>8.8222000000000005</v>
      </c>
      <c r="E165" s="14">
        <f>CHOOSE(CONTROL!$C$42, 8.8537, 8.8537) * CHOOSE(CONTROL!$C$21, $C$9, 100%, $E$9)</f>
        <v>8.8536999999999999</v>
      </c>
      <c r="F165" s="14">
        <f>CHOOSE(CONTROL!$C$42, 8.5964, 8.5964)*CHOOSE(CONTROL!$C$21, $C$9, 100%, $E$9)</f>
        <v>8.5963999999999992</v>
      </c>
      <c r="G165" s="14">
        <f>CHOOSE(CONTROL!$C$42, 8.613, 8.613)*CHOOSE(CONTROL!$C$21, $C$9, 100%, $E$9)</f>
        <v>8.6129999999999995</v>
      </c>
      <c r="H165" s="14">
        <f>CHOOSE(CONTROL!$C$42, 8.8423, 8.8423) * CHOOSE(CONTROL!$C$21, $C$9, 100%, $E$9)</f>
        <v>8.8422999999999998</v>
      </c>
      <c r="I165" s="14">
        <f>CHOOSE(CONTROL!$C$42, 8.6442, 8.6442)* CHOOSE(CONTROL!$C$21, $C$9, 100%, $E$9)</f>
        <v>8.6441999999999997</v>
      </c>
      <c r="J165" s="14">
        <f>CHOOSE(CONTROL!$C$42, 8.5894, 8.5894)* CHOOSE(CONTROL!$C$21, $C$9, 100%, $E$9)</f>
        <v>8.5893999999999995</v>
      </c>
      <c r="K165" s="53">
        <f>CHOOSE(CONTROL!$C$42, 8.6403, 8.6403) * CHOOSE(CONTROL!$C$21, $C$9, 100%, $E$9)</f>
        <v>8.6402999999999999</v>
      </c>
      <c r="L165" s="14">
        <f>CHOOSE(CONTROL!$C$42, 9.4293, 9.4293) * CHOOSE(CONTROL!$C$21, $C$9, 100%, $E$9)</f>
        <v>9.4292999999999996</v>
      </c>
      <c r="M165" s="14">
        <f>CHOOSE(CONTROL!$C$42, 8.4211, 8.4211) * CHOOSE(CONTROL!$C$21, $C$9, 100%, $E$9)</f>
        <v>8.4210999999999991</v>
      </c>
      <c r="N165" s="14">
        <f>CHOOSE(CONTROL!$C$42, 8.4374, 8.4374) * CHOOSE(CONTROL!$C$21, $C$9, 100%, $E$9)</f>
        <v>8.4374000000000002</v>
      </c>
      <c r="O165" s="14">
        <f>CHOOSE(CONTROL!$C$42, 8.6688, 8.6688) * CHOOSE(CONTROL!$C$21, $C$9, 100%, $E$9)</f>
        <v>8.6687999999999992</v>
      </c>
      <c r="P165" s="14">
        <f>CHOOSE(CONTROL!$C$42, 8.4743, 8.4743) * CHOOSE(CONTROL!$C$21, $C$9, 100%, $E$9)</f>
        <v>8.4742999999999995</v>
      </c>
      <c r="Q165" s="14">
        <f>CHOOSE(CONTROL!$C$42, 9.2635, 9.2635) * CHOOSE(CONTROL!$C$21, $C$9, 100%, $E$9)</f>
        <v>9.2635000000000005</v>
      </c>
      <c r="R165" s="14">
        <f>CHOOSE(CONTROL!$C$42, 9.8737, 9.8737) * CHOOSE(CONTROL!$C$21, $C$9, 100%, $E$9)</f>
        <v>9.8736999999999995</v>
      </c>
      <c r="S165" s="14">
        <f>CHOOSE(CONTROL!$C$42, 8.2619, 8.2619) * CHOOSE(CONTROL!$C$21, $C$9, 100%, $E$9)</f>
        <v>8.2619000000000007</v>
      </c>
      <c r="T1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7">
        <f>(1000*CHOOSE(CONTROL!$C$42, 695, 695)*CHOOSE(CONTROL!$C$42, 0.5599, 0.5599)*CHOOSE(CONTROL!$C$42, 30, 30))/1000000</f>
        <v>11.673914999999997</v>
      </c>
      <c r="V165" s="57">
        <f>(1000*CHOOSE(CONTROL!$C$42, 500, 500)*CHOOSE(CONTROL!$C$42, 0.275, 0.275)*CHOOSE(CONTROL!$C$42, 30, 30))/1000000</f>
        <v>4.125</v>
      </c>
      <c r="W165" s="57">
        <f>(1000*CHOOSE(CONTROL!$C$42, 0.1146, 0.1146)*CHOOSE(CONTROL!$C$42, 121.5, 121.5)*CHOOSE(CONTROL!$C$42, 30, 30))/1000000</f>
        <v>0.417717</v>
      </c>
      <c r="X165" s="57">
        <f>(30*0.1790888*245000/1000000)+(30*0.2374*100000/1000000)</f>
        <v>2.0285026799999999</v>
      </c>
      <c r="Y165" s="57"/>
      <c r="Z165" s="14"/>
      <c r="AA165" s="56"/>
      <c r="AB165" s="50">
        <f>(B165*194.205+C165*267.466+D165*133.845+E165*53.484+F165*40+G165*185+H165*0+I165*100+J165*300)/(194.205+267.466+133.845+53.484+0+40+185+100+300)</f>
        <v>8.6417561624803749</v>
      </c>
      <c r="AC165" s="45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8.5020057553956843</v>
      </c>
    </row>
    <row r="166" spans="1:29" ht="15.75" x14ac:dyDescent="0.25">
      <c r="A166" s="13">
        <v>45931</v>
      </c>
      <c r="B166" s="14">
        <f>CHOOSE(CONTROL!$C$42, 8.4502, 8.4502) * CHOOSE(CONTROL!$C$21, $C$9, 100%, $E$9)</f>
        <v>8.4502000000000006</v>
      </c>
      <c r="C166" s="14">
        <f>CHOOSE(CONTROL!$C$42, 8.4555, 8.4555) * CHOOSE(CONTROL!$C$21, $C$9, 100%, $E$9)</f>
        <v>8.4555000000000007</v>
      </c>
      <c r="D166" s="14">
        <f>CHOOSE(CONTROL!$C$42, 8.6655, 8.6655) * CHOOSE(CONTROL!$C$21, $C$9, 100%, $E$9)</f>
        <v>8.6654999999999998</v>
      </c>
      <c r="E166" s="14">
        <f>CHOOSE(CONTROL!$C$42, 8.6946, 8.6946) * CHOOSE(CONTROL!$C$21, $C$9, 100%, $E$9)</f>
        <v>8.6945999999999994</v>
      </c>
      <c r="F166" s="14">
        <f>CHOOSE(CONTROL!$C$42, 8.4394, 8.4394)*CHOOSE(CONTROL!$C$21, $C$9, 100%, $E$9)</f>
        <v>8.4393999999999991</v>
      </c>
      <c r="G166" s="14">
        <f>CHOOSE(CONTROL!$C$42, 8.4558, 8.4558)*CHOOSE(CONTROL!$C$21, $C$9, 100%, $E$9)</f>
        <v>8.4558</v>
      </c>
      <c r="H166" s="14">
        <f>CHOOSE(CONTROL!$C$42, 8.6851, 8.6851) * CHOOSE(CONTROL!$C$21, $C$9, 100%, $E$9)</f>
        <v>8.6851000000000003</v>
      </c>
      <c r="I166" s="14">
        <f>CHOOSE(CONTROL!$C$42, 8.4865, 8.4865)* CHOOSE(CONTROL!$C$21, $C$9, 100%, $E$9)</f>
        <v>8.4864999999999995</v>
      </c>
      <c r="J166" s="14">
        <f>CHOOSE(CONTROL!$C$42, 8.4324, 8.4324)* CHOOSE(CONTROL!$C$21, $C$9, 100%, $E$9)</f>
        <v>8.4323999999999995</v>
      </c>
      <c r="K166" s="53">
        <f>CHOOSE(CONTROL!$C$42, 8.4826, 8.4826) * CHOOSE(CONTROL!$C$21, $C$9, 100%, $E$9)</f>
        <v>8.4825999999999997</v>
      </c>
      <c r="L166" s="14">
        <f>CHOOSE(CONTROL!$C$42, 9.2721, 9.2721) * CHOOSE(CONTROL!$C$21, $C$9, 100%, $E$9)</f>
        <v>9.2721</v>
      </c>
      <c r="M166" s="14">
        <f>CHOOSE(CONTROL!$C$42, 8.2674, 8.2674) * CHOOSE(CONTROL!$C$21, $C$9, 100%, $E$9)</f>
        <v>8.2674000000000003</v>
      </c>
      <c r="N166" s="14">
        <f>CHOOSE(CONTROL!$C$42, 8.2834, 8.2834) * CHOOSE(CONTROL!$C$21, $C$9, 100%, $E$9)</f>
        <v>8.2834000000000003</v>
      </c>
      <c r="O166" s="14">
        <f>CHOOSE(CONTROL!$C$42, 8.5148, 8.5148) * CHOOSE(CONTROL!$C$21, $C$9, 100%, $E$9)</f>
        <v>8.5147999999999993</v>
      </c>
      <c r="P166" s="14">
        <f>CHOOSE(CONTROL!$C$42, 8.3199, 8.3199) * CHOOSE(CONTROL!$C$21, $C$9, 100%, $E$9)</f>
        <v>8.3199000000000005</v>
      </c>
      <c r="Q166" s="14">
        <f>CHOOSE(CONTROL!$C$42, 9.1095, 9.1095) * CHOOSE(CONTROL!$C$21, $C$9, 100%, $E$9)</f>
        <v>9.1095000000000006</v>
      </c>
      <c r="R166" s="14">
        <f>CHOOSE(CONTROL!$C$42, 9.7193, 9.7193) * CHOOSE(CONTROL!$C$21, $C$9, 100%, $E$9)</f>
        <v>9.7193000000000005</v>
      </c>
      <c r="S166" s="14">
        <f>CHOOSE(CONTROL!$C$42, 8.1109, 8.1109) * CHOOSE(CONTROL!$C$21, $C$9, 100%, $E$9)</f>
        <v>8.1109000000000009</v>
      </c>
      <c r="T1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7">
        <f>(1000*CHOOSE(CONTROL!$C$42, 695, 695)*CHOOSE(CONTROL!$C$42, 0.5599, 0.5599)*CHOOSE(CONTROL!$C$42, 31, 31))/1000000</f>
        <v>12.063045499999998</v>
      </c>
      <c r="V166" s="57">
        <f>(1000*CHOOSE(CONTROL!$C$42, 500, 500)*CHOOSE(CONTROL!$C$42, 0.275, 0.275)*CHOOSE(CONTROL!$C$42, 31, 31))/1000000</f>
        <v>4.2625000000000002</v>
      </c>
      <c r="W166" s="57">
        <f>(1000*CHOOSE(CONTROL!$C$42, 0.1146, 0.1146)*CHOOSE(CONTROL!$C$42, 121.5, 121.5)*CHOOSE(CONTROL!$C$42, 31, 31))/1000000</f>
        <v>0.43164089999999994</v>
      </c>
      <c r="X166" s="57">
        <f>(31*0.1790888*245000/1000000)+(31*0.2374*100000/1000000)</f>
        <v>2.0961194359999999</v>
      </c>
      <c r="Y166" s="57"/>
      <c r="Z166" s="14"/>
      <c r="AA166" s="56"/>
      <c r="AB166" s="50">
        <f>(B166*131.881+C166*277.167+D166*79.08+E166*125.872+F166*40+G166*185+H166*0+I166*100+J166*300)/(131.881+277.167+79.08+125.872+0+40+185+100+300)</f>
        <v>8.4890636205811134</v>
      </c>
      <c r="AC166" s="45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8.3480517985611513</v>
      </c>
    </row>
    <row r="167" spans="1:29" ht="15.75" x14ac:dyDescent="0.25">
      <c r="A167" s="13">
        <v>45962</v>
      </c>
      <c r="B167" s="14">
        <f>CHOOSE(CONTROL!$C$42, 8.69, 8.69) * CHOOSE(CONTROL!$C$21, $C$9, 100%, $E$9)</f>
        <v>8.69</v>
      </c>
      <c r="C167" s="14">
        <f>CHOOSE(CONTROL!$C$42, 8.6951, 8.6951) * CHOOSE(CONTROL!$C$21, $C$9, 100%, $E$9)</f>
        <v>8.6951000000000001</v>
      </c>
      <c r="D167" s="14">
        <f>CHOOSE(CONTROL!$C$42, 8.7589, 8.7589) * CHOOSE(CONTROL!$C$21, $C$9, 100%, $E$9)</f>
        <v>8.7589000000000006</v>
      </c>
      <c r="E167" s="14">
        <f>CHOOSE(CONTROL!$C$42, 8.793, 8.793) * CHOOSE(CONTROL!$C$21, $C$9, 100%, $E$9)</f>
        <v>8.7929999999999993</v>
      </c>
      <c r="F167" s="14">
        <f>CHOOSE(CONTROL!$C$42, 8.6923, 8.6923)*CHOOSE(CONTROL!$C$21, $C$9, 100%, $E$9)</f>
        <v>8.6922999999999995</v>
      </c>
      <c r="G167" s="14">
        <f>CHOOSE(CONTROL!$C$42, 8.7089, 8.7089)*CHOOSE(CONTROL!$C$21, $C$9, 100%, $E$9)</f>
        <v>8.7088999999999999</v>
      </c>
      <c r="H167" s="14">
        <f>CHOOSE(CONTROL!$C$42, 8.7822, 8.7822) * CHOOSE(CONTROL!$C$21, $C$9, 100%, $E$9)</f>
        <v>8.7821999999999996</v>
      </c>
      <c r="I167" s="14">
        <f>CHOOSE(CONTROL!$C$42, 8.7311, 8.7311)* CHOOSE(CONTROL!$C$21, $C$9, 100%, $E$9)</f>
        <v>8.7310999999999996</v>
      </c>
      <c r="J167" s="14">
        <f>CHOOSE(CONTROL!$C$42, 8.6853, 8.6853)* CHOOSE(CONTROL!$C$21, $C$9, 100%, $E$9)</f>
        <v>8.6852999999999998</v>
      </c>
      <c r="K167" s="53">
        <f>CHOOSE(CONTROL!$C$42, 8.7272, 8.7272) * CHOOSE(CONTROL!$C$21, $C$9, 100%, $E$9)</f>
        <v>8.7271999999999998</v>
      </c>
      <c r="L167" s="14">
        <f>CHOOSE(CONTROL!$C$42, 9.3692, 9.3692) * CHOOSE(CONTROL!$C$21, $C$9, 100%, $E$9)</f>
        <v>9.3691999999999993</v>
      </c>
      <c r="M167" s="14">
        <f>CHOOSE(CONTROL!$C$42, 8.515, 8.515) * CHOOSE(CONTROL!$C$21, $C$9, 100%, $E$9)</f>
        <v>8.5150000000000006</v>
      </c>
      <c r="N167" s="14">
        <f>CHOOSE(CONTROL!$C$42, 8.5313, 8.5313) * CHOOSE(CONTROL!$C$21, $C$9, 100%, $E$9)</f>
        <v>8.5312999999999999</v>
      </c>
      <c r="O167" s="14">
        <f>CHOOSE(CONTROL!$C$42, 8.6099, 8.6099) * CHOOSE(CONTROL!$C$21, $C$9, 100%, $E$9)</f>
        <v>8.6098999999999997</v>
      </c>
      <c r="P167" s="14">
        <f>CHOOSE(CONTROL!$C$42, 8.5594, 8.5594) * CHOOSE(CONTROL!$C$21, $C$9, 100%, $E$9)</f>
        <v>8.5594000000000001</v>
      </c>
      <c r="Q167" s="14">
        <f>CHOOSE(CONTROL!$C$42, 9.2046, 9.2046) * CHOOSE(CONTROL!$C$21, $C$9, 100%, $E$9)</f>
        <v>9.2045999999999992</v>
      </c>
      <c r="R167" s="14">
        <f>CHOOSE(CONTROL!$C$42, 9.8146, 9.8146) * CHOOSE(CONTROL!$C$21, $C$9, 100%, $E$9)</f>
        <v>9.8146000000000004</v>
      </c>
      <c r="S167" s="14">
        <f>CHOOSE(CONTROL!$C$42, 8.3417, 8.3417) * CHOOSE(CONTROL!$C$21, $C$9, 100%, $E$9)</f>
        <v>8.3416999999999994</v>
      </c>
      <c r="T1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7">
        <f>(1000*CHOOSE(CONTROL!$C$42, 695, 695)*CHOOSE(CONTROL!$C$42, 0.5599, 0.5599)*CHOOSE(CONTROL!$C$42, 30, 30))/1000000</f>
        <v>11.673914999999997</v>
      </c>
      <c r="V167" s="57">
        <f>(1000*CHOOSE(CONTROL!$C$42, 500, 500)*CHOOSE(CONTROL!$C$42, 0.275, 0.275)*CHOOSE(CONTROL!$C$42, 30, 30))/1000000</f>
        <v>4.125</v>
      </c>
      <c r="W167" s="57">
        <f>(1000*CHOOSE(CONTROL!$C$42, 0.1146, 0.1146)*CHOOSE(CONTROL!$C$42, 121.5, 121.5)*CHOOSE(CONTROL!$C$42, 30, 30))/1000000</f>
        <v>0.417717</v>
      </c>
      <c r="X167" s="57">
        <f>(30*0.1790888*100000/1000000)+(30*0.2374*100000/1000000)</f>
        <v>1.2494664</v>
      </c>
      <c r="Y167" s="57"/>
      <c r="Z167" s="14"/>
      <c r="AA167" s="56"/>
      <c r="AB167" s="50">
        <f>(B167*122.58+C167*297.941+D167*89.177+E167*40.302+F167*40+G167*160+H167*0+I167*100+J167*300)/(122.58+297.941+89.177+40.302+0+40+160+100+300)</f>
        <v>8.7053312177391309</v>
      </c>
      <c r="AC167" s="45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8.5653388489208631</v>
      </c>
    </row>
    <row r="168" spans="1:29" ht="15.75" x14ac:dyDescent="0.25">
      <c r="A168" s="13">
        <v>45992</v>
      </c>
      <c r="B168" s="14">
        <f>CHOOSE(CONTROL!$C$42, 9.3009, 9.3009) * CHOOSE(CONTROL!$C$21, $C$9, 100%, $E$9)</f>
        <v>9.3009000000000004</v>
      </c>
      <c r="C168" s="14">
        <f>CHOOSE(CONTROL!$C$42, 9.306, 9.306) * CHOOSE(CONTROL!$C$21, $C$9, 100%, $E$9)</f>
        <v>9.3059999999999992</v>
      </c>
      <c r="D168" s="14">
        <f>CHOOSE(CONTROL!$C$42, 9.3698, 9.3698) * CHOOSE(CONTROL!$C$21, $C$9, 100%, $E$9)</f>
        <v>9.3697999999999997</v>
      </c>
      <c r="E168" s="14">
        <f>CHOOSE(CONTROL!$C$42, 9.4039, 9.4039) * CHOOSE(CONTROL!$C$21, $C$9, 100%, $E$9)</f>
        <v>9.4039000000000001</v>
      </c>
      <c r="F168" s="14">
        <f>CHOOSE(CONTROL!$C$42, 9.3052, 9.3052)*CHOOSE(CONTROL!$C$21, $C$9, 100%, $E$9)</f>
        <v>9.3051999999999992</v>
      </c>
      <c r="G168" s="14">
        <f>CHOOSE(CONTROL!$C$42, 9.3224, 9.3224)*CHOOSE(CONTROL!$C$21, $C$9, 100%, $E$9)</f>
        <v>9.3224</v>
      </c>
      <c r="H168" s="14">
        <f>CHOOSE(CONTROL!$C$42, 9.3931, 9.3931) * CHOOSE(CONTROL!$C$21, $C$9, 100%, $E$9)</f>
        <v>9.3931000000000004</v>
      </c>
      <c r="I168" s="14">
        <f>CHOOSE(CONTROL!$C$42, 9.3439, 9.3439)* CHOOSE(CONTROL!$C$21, $C$9, 100%, $E$9)</f>
        <v>9.3438999999999997</v>
      </c>
      <c r="J168" s="14">
        <f>CHOOSE(CONTROL!$C$42, 9.2982, 9.2982)* CHOOSE(CONTROL!$C$21, $C$9, 100%, $E$9)</f>
        <v>9.2981999999999996</v>
      </c>
      <c r="K168" s="53">
        <f>CHOOSE(CONTROL!$C$42, 9.3401, 9.3401) * CHOOSE(CONTROL!$C$21, $C$9, 100%, $E$9)</f>
        <v>9.3400999999999996</v>
      </c>
      <c r="L168" s="14">
        <f>CHOOSE(CONTROL!$C$42, 9.9801, 9.9801) * CHOOSE(CONTROL!$C$21, $C$9, 100%, $E$9)</f>
        <v>9.9801000000000002</v>
      </c>
      <c r="M168" s="14">
        <f>CHOOSE(CONTROL!$C$42, 9.1154, 9.1154) * CHOOSE(CONTROL!$C$21, $C$9, 100%, $E$9)</f>
        <v>9.1153999999999993</v>
      </c>
      <c r="N168" s="14">
        <f>CHOOSE(CONTROL!$C$42, 9.1323, 9.1323) * CHOOSE(CONTROL!$C$21, $C$9, 100%, $E$9)</f>
        <v>9.1323000000000008</v>
      </c>
      <c r="O168" s="14">
        <f>CHOOSE(CONTROL!$C$42, 9.2083, 9.2083) * CHOOSE(CONTROL!$C$21, $C$9, 100%, $E$9)</f>
        <v>9.2082999999999995</v>
      </c>
      <c r="P168" s="14">
        <f>CHOOSE(CONTROL!$C$42, 9.1597, 9.1597) * CHOOSE(CONTROL!$C$21, $C$9, 100%, $E$9)</f>
        <v>9.1597000000000008</v>
      </c>
      <c r="Q168" s="14">
        <f>CHOOSE(CONTROL!$C$42, 9.803, 9.803) * CHOOSE(CONTROL!$C$21, $C$9, 100%, $E$9)</f>
        <v>9.8030000000000008</v>
      </c>
      <c r="R168" s="14">
        <f>CHOOSE(CONTROL!$C$42, 10.4145, 10.4145) * CHOOSE(CONTROL!$C$21, $C$9, 100%, $E$9)</f>
        <v>10.4145</v>
      </c>
      <c r="S168" s="14">
        <f>CHOOSE(CONTROL!$C$42, 8.9287, 8.9287) * CHOOSE(CONTROL!$C$21, $C$9, 100%, $E$9)</f>
        <v>8.9286999999999992</v>
      </c>
      <c r="T1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7">
        <f>(1000*CHOOSE(CONTROL!$C$42, 695, 695)*CHOOSE(CONTROL!$C$42, 0.5599, 0.5599)*CHOOSE(CONTROL!$C$42, 31, 31))/1000000</f>
        <v>12.063045499999998</v>
      </c>
      <c r="V168" s="57">
        <f>(1000*CHOOSE(CONTROL!$C$42, 500, 500)*CHOOSE(CONTROL!$C$42, 0.275, 0.275)*CHOOSE(CONTROL!$C$42, 31, 31))/1000000</f>
        <v>4.2625000000000002</v>
      </c>
      <c r="W168" s="57">
        <f>(1000*CHOOSE(CONTROL!$C$42, 0.1146, 0.1146)*CHOOSE(CONTROL!$C$42, 121.5, 121.5)*CHOOSE(CONTROL!$C$42, 31, 31))/1000000</f>
        <v>0.43164089999999994</v>
      </c>
      <c r="X168" s="57">
        <f>(31*0.1790888*100000/1000000)+(31*0.2374*100000/1000000)</f>
        <v>1.2911152800000001</v>
      </c>
      <c r="Y168" s="57"/>
      <c r="Z168" s="14"/>
      <c r="AA168" s="56"/>
      <c r="AB168" s="50">
        <f>(B168*122.58+C168*297.941+D168*89.177+E168*40.302+F168*40+G168*160+H168*0+I168*100+J168*300)/(122.58+297.941+89.177+40.302+0+40+160+100+300)</f>
        <v>9.3173494786086959</v>
      </c>
      <c r="AC168" s="45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9.1648525179856097</v>
      </c>
    </row>
    <row r="169" spans="1:29" ht="15.75" x14ac:dyDescent="0.25">
      <c r="A169" s="13">
        <v>46023</v>
      </c>
      <c r="B169" s="14">
        <f>CHOOSE(CONTROL!$C$42, 9.8202, 9.8202) * CHOOSE(CONTROL!$C$21, $C$9, 100%, $E$9)</f>
        <v>9.8201999999999998</v>
      </c>
      <c r="C169" s="14">
        <f>CHOOSE(CONTROL!$C$42, 9.8253, 9.8253) * CHOOSE(CONTROL!$C$21, $C$9, 100%, $E$9)</f>
        <v>9.8253000000000004</v>
      </c>
      <c r="D169" s="14">
        <f>CHOOSE(CONTROL!$C$42, 9.8839, 9.8839) * CHOOSE(CONTROL!$C$21, $C$9, 100%, $E$9)</f>
        <v>9.8839000000000006</v>
      </c>
      <c r="E169" s="14">
        <f>CHOOSE(CONTROL!$C$42, 9.918, 9.918) * CHOOSE(CONTROL!$C$21, $C$9, 100%, $E$9)</f>
        <v>9.9179999999999993</v>
      </c>
      <c r="F169" s="14">
        <f>CHOOSE(CONTROL!$C$42, 9.8193, 9.8193)*CHOOSE(CONTROL!$C$21, $C$9, 100%, $E$9)</f>
        <v>9.8193000000000001</v>
      </c>
      <c r="G169" s="14">
        <f>CHOOSE(CONTROL!$C$42, 9.8357, 9.8357)*CHOOSE(CONTROL!$C$21, $C$9, 100%, $E$9)</f>
        <v>9.8356999999999992</v>
      </c>
      <c r="H169" s="14">
        <f>CHOOSE(CONTROL!$C$42, 9.9072, 9.9072) * CHOOSE(CONTROL!$C$21, $C$9, 100%, $E$9)</f>
        <v>9.9071999999999996</v>
      </c>
      <c r="I169" s="14">
        <f>CHOOSE(CONTROL!$C$42, 9.8612, 9.8612)* CHOOSE(CONTROL!$C$21, $C$9, 100%, $E$9)</f>
        <v>9.8612000000000002</v>
      </c>
      <c r="J169" s="14">
        <f>CHOOSE(CONTROL!$C$42, 9.8123, 9.8123)* CHOOSE(CONTROL!$C$21, $C$9, 100%, $E$9)</f>
        <v>9.8123000000000005</v>
      </c>
      <c r="K169" s="53">
        <f>CHOOSE(CONTROL!$C$42, 9.8573, 9.8573) * CHOOSE(CONTROL!$C$21, $C$9, 100%, $E$9)</f>
        <v>9.8573000000000004</v>
      </c>
      <c r="L169" s="14">
        <f>CHOOSE(CONTROL!$C$42, 10.4942, 10.4942) * CHOOSE(CONTROL!$C$21, $C$9, 100%, $E$9)</f>
        <v>10.494199999999999</v>
      </c>
      <c r="M169" s="14">
        <f>CHOOSE(CONTROL!$C$42, 9.619, 9.619) * CHOOSE(CONTROL!$C$21, $C$9, 100%, $E$9)</f>
        <v>9.6189999999999998</v>
      </c>
      <c r="N169" s="14">
        <f>CHOOSE(CONTROL!$C$42, 9.635, 9.635) * CHOOSE(CONTROL!$C$21, $C$9, 100%, $E$9)</f>
        <v>9.6349999999999998</v>
      </c>
      <c r="O169" s="14">
        <f>CHOOSE(CONTROL!$C$42, 9.7119, 9.7119) * CHOOSE(CONTROL!$C$21, $C$9, 100%, $E$9)</f>
        <v>9.7119</v>
      </c>
      <c r="P169" s="14">
        <f>CHOOSE(CONTROL!$C$42, 9.6663, 9.6663) * CHOOSE(CONTROL!$C$21, $C$9, 100%, $E$9)</f>
        <v>9.6662999999999997</v>
      </c>
      <c r="Q169" s="14">
        <f>CHOOSE(CONTROL!$C$42, 10.3066, 10.3066) * CHOOSE(CONTROL!$C$21, $C$9, 100%, $E$9)</f>
        <v>10.3066</v>
      </c>
      <c r="R169" s="14">
        <f>CHOOSE(CONTROL!$C$42, 10.9194, 10.9194) * CHOOSE(CONTROL!$C$21, $C$9, 100%, $E$9)</f>
        <v>10.9194</v>
      </c>
      <c r="S169" s="14">
        <f>CHOOSE(CONTROL!$C$42, 9.4277, 9.4277) * CHOOSE(CONTROL!$C$21, $C$9, 100%, $E$9)</f>
        <v>9.4276999999999997</v>
      </c>
      <c r="T1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7">
        <f>(1000*CHOOSE(CONTROL!$C$42, 695, 695)*CHOOSE(CONTROL!$C$42, 0.5599, 0.5599)*CHOOSE(CONTROL!$C$42, 31, 31))/1000000</f>
        <v>12.063045499999998</v>
      </c>
      <c r="V169" s="57">
        <f>(1000*CHOOSE(CONTROL!$C$42, 500, 500)*CHOOSE(CONTROL!$C$42, 0.275, 0.275)*CHOOSE(CONTROL!$C$42, 31, 31))/1000000</f>
        <v>4.2625000000000002</v>
      </c>
      <c r="W169" s="57">
        <f>(1000*CHOOSE(CONTROL!$C$42, 0.1146, 0.1146)*CHOOSE(CONTROL!$C$42, 121.5, 121.5)*CHOOSE(CONTROL!$C$42, 31, 31))/1000000</f>
        <v>0.43164089999999994</v>
      </c>
      <c r="X169" s="57">
        <f>(31*0.1790888*100000/1000000)+(31*0.2374*100000/1000000)</f>
        <v>1.2911152800000001</v>
      </c>
      <c r="Y169" s="57"/>
      <c r="Z169" s="14"/>
      <c r="AA169" s="56"/>
      <c r="AB169" s="50">
        <f>(B169*122.58+C169*297.941+D169*89.177+E169*40.302+F169*40+G169*160+H169*0+I169*100+J169*300)/(122.58+297.941+89.177+40.302+0+40+160+100+300)</f>
        <v>9.8335179213913051</v>
      </c>
      <c r="AC169" s="45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9.6688323741007203</v>
      </c>
    </row>
    <row r="170" spans="1:29" ht="15.75" x14ac:dyDescent="0.25">
      <c r="A170" s="13">
        <v>46054</v>
      </c>
      <c r="B170" s="14">
        <f>CHOOSE(CONTROL!$C$42, 10.0154, 10.0154) * CHOOSE(CONTROL!$C$21, $C$9, 100%, $E$9)</f>
        <v>10.0154</v>
      </c>
      <c r="C170" s="14">
        <f>CHOOSE(CONTROL!$C$42, 10.0205, 10.0205) * CHOOSE(CONTROL!$C$21, $C$9, 100%, $E$9)</f>
        <v>10.0205</v>
      </c>
      <c r="D170" s="14">
        <f>CHOOSE(CONTROL!$C$42, 10.0791, 10.0791) * CHOOSE(CONTROL!$C$21, $C$9, 100%, $E$9)</f>
        <v>10.0791</v>
      </c>
      <c r="E170" s="14">
        <f>CHOOSE(CONTROL!$C$42, 10.1132, 10.1132) * CHOOSE(CONTROL!$C$21, $C$9, 100%, $E$9)</f>
        <v>10.113200000000001</v>
      </c>
      <c r="F170" s="14">
        <f>CHOOSE(CONTROL!$C$42, 10.0145, 10.0145)*CHOOSE(CONTROL!$C$21, $C$9, 100%, $E$9)</f>
        <v>10.0145</v>
      </c>
      <c r="G170" s="14">
        <f>CHOOSE(CONTROL!$C$42, 10.0309, 10.0309)*CHOOSE(CONTROL!$C$21, $C$9, 100%, $E$9)</f>
        <v>10.030900000000001</v>
      </c>
      <c r="H170" s="14">
        <f>CHOOSE(CONTROL!$C$42, 10.1024, 10.1024) * CHOOSE(CONTROL!$C$21, $C$9, 100%, $E$9)</f>
        <v>10.102399999999999</v>
      </c>
      <c r="I170" s="14">
        <f>CHOOSE(CONTROL!$C$42, 10.057, 10.057)* CHOOSE(CONTROL!$C$21, $C$9, 100%, $E$9)</f>
        <v>10.057</v>
      </c>
      <c r="J170" s="14">
        <f>CHOOSE(CONTROL!$C$42, 10.0075, 10.0075)* CHOOSE(CONTROL!$C$21, $C$9, 100%, $E$9)</f>
        <v>10.0075</v>
      </c>
      <c r="K170" s="53">
        <f>CHOOSE(CONTROL!$C$42, 10.0531, 10.0531) * CHOOSE(CONTROL!$C$21, $C$9, 100%, $E$9)</f>
        <v>10.053100000000001</v>
      </c>
      <c r="L170" s="14">
        <f>CHOOSE(CONTROL!$C$42, 10.6894, 10.6894) * CHOOSE(CONTROL!$C$21, $C$9, 100%, $E$9)</f>
        <v>10.689399999999999</v>
      </c>
      <c r="M170" s="14">
        <f>CHOOSE(CONTROL!$C$42, 9.8102, 9.8102) * CHOOSE(CONTROL!$C$21, $C$9, 100%, $E$9)</f>
        <v>9.8102</v>
      </c>
      <c r="N170" s="14">
        <f>CHOOSE(CONTROL!$C$42, 9.8262, 9.8262) * CHOOSE(CONTROL!$C$21, $C$9, 100%, $E$9)</f>
        <v>9.8262</v>
      </c>
      <c r="O170" s="14">
        <f>CHOOSE(CONTROL!$C$42, 9.9031, 9.9031) * CHOOSE(CONTROL!$C$21, $C$9, 100%, $E$9)</f>
        <v>9.9031000000000002</v>
      </c>
      <c r="P170" s="14">
        <f>CHOOSE(CONTROL!$C$42, 9.8581, 9.8581) * CHOOSE(CONTROL!$C$21, $C$9, 100%, $E$9)</f>
        <v>9.8581000000000003</v>
      </c>
      <c r="Q170" s="14">
        <f>CHOOSE(CONTROL!$C$42, 10.4978, 10.4978) * CHOOSE(CONTROL!$C$21, $C$9, 100%, $E$9)</f>
        <v>10.4978</v>
      </c>
      <c r="R170" s="14">
        <f>CHOOSE(CONTROL!$C$42, 11.1111, 11.1111) * CHOOSE(CONTROL!$C$21, $C$9, 100%, $E$9)</f>
        <v>11.1111</v>
      </c>
      <c r="S170" s="14">
        <f>CHOOSE(CONTROL!$C$42, 9.6153, 9.6153) * CHOOSE(CONTROL!$C$21, $C$9, 100%, $E$9)</f>
        <v>9.6152999999999995</v>
      </c>
      <c r="T1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7">
        <f>(1000*CHOOSE(CONTROL!$C$42, 695, 695)*CHOOSE(CONTROL!$C$42, 0.5599, 0.5599)*CHOOSE(CONTROL!$C$42, 28, 28))/1000000</f>
        <v>10.895653999999999</v>
      </c>
      <c r="V170" s="57">
        <f>(1000*CHOOSE(CONTROL!$C$42, 500, 500)*CHOOSE(CONTROL!$C$42, 0.275, 0.275)*CHOOSE(CONTROL!$C$42, 28, 28))/1000000</f>
        <v>3.85</v>
      </c>
      <c r="W170" s="57">
        <f>(1000*CHOOSE(CONTROL!$C$42, 0.1146, 0.1146)*CHOOSE(CONTROL!$C$42, 121.5, 121.5)*CHOOSE(CONTROL!$C$42, 28, 28))/1000000</f>
        <v>0.38986920000000003</v>
      </c>
      <c r="X170" s="57">
        <f>(28*0.1790888*100000/1000000)+(28*0.2374*100000/1000000)</f>
        <v>1.16616864</v>
      </c>
      <c r="Y170" s="57"/>
      <c r="Z170" s="14"/>
      <c r="AA170" s="56"/>
      <c r="AB170" s="50">
        <f>(B170*122.58+C170*297.941+D170*89.177+E170*40.302+F170*40+G170*160+H170*0+I170*100+J170*300)/(122.58+297.941+89.177+40.302+0+40+160+100+300)</f>
        <v>10.028770095304349</v>
      </c>
      <c r="AC170" s="45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9.8601187050359709</v>
      </c>
    </row>
    <row r="171" spans="1:29" ht="15.75" x14ac:dyDescent="0.25">
      <c r="A171" s="13">
        <v>46082</v>
      </c>
      <c r="B171" s="14">
        <f>CHOOSE(CONTROL!$C$42, 9.7514, 9.7514) * CHOOSE(CONTROL!$C$21, $C$9, 100%, $E$9)</f>
        <v>9.7514000000000003</v>
      </c>
      <c r="C171" s="14">
        <f>CHOOSE(CONTROL!$C$42, 9.7565, 9.7565) * CHOOSE(CONTROL!$C$21, $C$9, 100%, $E$9)</f>
        <v>9.7565000000000008</v>
      </c>
      <c r="D171" s="14">
        <f>CHOOSE(CONTROL!$C$42, 9.8151, 9.8151) * CHOOSE(CONTROL!$C$21, $C$9, 100%, $E$9)</f>
        <v>9.8150999999999993</v>
      </c>
      <c r="E171" s="14">
        <f>CHOOSE(CONTROL!$C$42, 9.8492, 9.8492) * CHOOSE(CONTROL!$C$21, $C$9, 100%, $E$9)</f>
        <v>9.8491999999999997</v>
      </c>
      <c r="F171" s="14">
        <f>CHOOSE(CONTROL!$C$42, 9.75, 9.75)*CHOOSE(CONTROL!$C$21, $C$9, 100%, $E$9)</f>
        <v>9.75</v>
      </c>
      <c r="G171" s="14">
        <f>CHOOSE(CONTROL!$C$42, 9.7662, 9.7662)*CHOOSE(CONTROL!$C$21, $C$9, 100%, $E$9)</f>
        <v>9.7661999999999995</v>
      </c>
      <c r="H171" s="14">
        <f>CHOOSE(CONTROL!$C$42, 9.8384, 9.8384) * CHOOSE(CONTROL!$C$21, $C$9, 100%, $E$9)</f>
        <v>9.8384</v>
      </c>
      <c r="I171" s="14">
        <f>CHOOSE(CONTROL!$C$42, 9.7922, 9.7922)* CHOOSE(CONTROL!$C$21, $C$9, 100%, $E$9)</f>
        <v>9.7921999999999993</v>
      </c>
      <c r="J171" s="14">
        <f>CHOOSE(CONTROL!$C$42, 9.743, 9.743)* CHOOSE(CONTROL!$C$21, $C$9, 100%, $E$9)</f>
        <v>9.7430000000000003</v>
      </c>
      <c r="K171" s="53">
        <f>CHOOSE(CONTROL!$C$42, 9.7883, 9.7883) * CHOOSE(CONTROL!$C$21, $C$9, 100%, $E$9)</f>
        <v>9.7882999999999996</v>
      </c>
      <c r="L171" s="14">
        <f>CHOOSE(CONTROL!$C$42, 10.4254, 10.4254) * CHOOSE(CONTROL!$C$21, $C$9, 100%, $E$9)</f>
        <v>10.4254</v>
      </c>
      <c r="M171" s="14">
        <f>CHOOSE(CONTROL!$C$42, 9.551, 9.551) * CHOOSE(CONTROL!$C$21, $C$9, 100%, $E$9)</f>
        <v>9.5510000000000002</v>
      </c>
      <c r="N171" s="14">
        <f>CHOOSE(CONTROL!$C$42, 9.5669, 9.5669) * CHOOSE(CONTROL!$C$21, $C$9, 100%, $E$9)</f>
        <v>9.5669000000000004</v>
      </c>
      <c r="O171" s="14">
        <f>CHOOSE(CONTROL!$C$42, 9.6445, 9.6445) * CHOOSE(CONTROL!$C$21, $C$9, 100%, $E$9)</f>
        <v>9.6445000000000007</v>
      </c>
      <c r="P171" s="14">
        <f>CHOOSE(CONTROL!$C$42, 9.5987, 9.5987) * CHOOSE(CONTROL!$C$21, $C$9, 100%, $E$9)</f>
        <v>9.5986999999999991</v>
      </c>
      <c r="Q171" s="14">
        <f>CHOOSE(CONTROL!$C$42, 10.2392, 10.2392) * CHOOSE(CONTROL!$C$21, $C$9, 100%, $E$9)</f>
        <v>10.2392</v>
      </c>
      <c r="R171" s="14">
        <f>CHOOSE(CONTROL!$C$42, 10.8518, 10.8518) * CHOOSE(CONTROL!$C$21, $C$9, 100%, $E$9)</f>
        <v>10.851800000000001</v>
      </c>
      <c r="S171" s="14">
        <f>CHOOSE(CONTROL!$C$42, 9.3616, 9.3616) * CHOOSE(CONTROL!$C$21, $C$9, 100%, $E$9)</f>
        <v>9.3615999999999993</v>
      </c>
      <c r="T1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7">
        <f>(1000*CHOOSE(CONTROL!$C$42, 695, 695)*CHOOSE(CONTROL!$C$42, 0.5599, 0.5599)*CHOOSE(CONTROL!$C$42, 31, 31))/1000000</f>
        <v>12.063045499999998</v>
      </c>
      <c r="V171" s="57">
        <f>(1000*CHOOSE(CONTROL!$C$42, 500, 500)*CHOOSE(CONTROL!$C$42, 0.275, 0.275)*CHOOSE(CONTROL!$C$42, 31, 31))/1000000</f>
        <v>4.2625000000000002</v>
      </c>
      <c r="W171" s="57">
        <f>(1000*CHOOSE(CONTROL!$C$42, 0.1146, 0.1146)*CHOOSE(CONTROL!$C$42, 121.5, 121.5)*CHOOSE(CONTROL!$C$42, 31, 31))/1000000</f>
        <v>0.43164089999999994</v>
      </c>
      <c r="X171" s="57">
        <f>(31*0.1790888*100000/1000000)+(31*0.2374*100000/1000000)</f>
        <v>1.2911152800000001</v>
      </c>
      <c r="Y171" s="57"/>
      <c r="Z171" s="14"/>
      <c r="AA171" s="56"/>
      <c r="AB171" s="50">
        <f>(B171*122.58+C171*297.941+D171*89.177+E171*40.302+F171*40+G171*160+H171*0+I171*100+J171*300)/(122.58+297.941+89.177+40.302+0+40+160+100+300)</f>
        <v>9.7644553126956524</v>
      </c>
      <c r="AC171" s="45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9.6011561151079157</v>
      </c>
    </row>
    <row r="172" spans="1:29" ht="15.75" x14ac:dyDescent="0.25">
      <c r="A172" s="13">
        <v>46113</v>
      </c>
      <c r="B172" s="14">
        <f>CHOOSE(CONTROL!$C$42, 9.7434, 9.7434) * CHOOSE(CONTROL!$C$21, $C$9, 100%, $E$9)</f>
        <v>9.7433999999999994</v>
      </c>
      <c r="C172" s="14">
        <f>CHOOSE(CONTROL!$C$42, 9.7479, 9.7479) * CHOOSE(CONTROL!$C$21, $C$9, 100%, $E$9)</f>
        <v>9.7478999999999996</v>
      </c>
      <c r="D172" s="14">
        <f>CHOOSE(CONTROL!$C$42, 9.956, 9.956) * CHOOSE(CONTROL!$C$21, $C$9, 100%, $E$9)</f>
        <v>9.9559999999999995</v>
      </c>
      <c r="E172" s="14">
        <f>CHOOSE(CONTROL!$C$42, 9.9881, 9.9881) * CHOOSE(CONTROL!$C$21, $C$9, 100%, $E$9)</f>
        <v>9.9880999999999993</v>
      </c>
      <c r="F172" s="14">
        <f>CHOOSE(CONTROL!$C$42, 9.7307, 9.7307)*CHOOSE(CONTROL!$C$21, $C$9, 100%, $E$9)</f>
        <v>9.7307000000000006</v>
      </c>
      <c r="G172" s="14">
        <f>CHOOSE(CONTROL!$C$42, 9.7467, 9.7467)*CHOOSE(CONTROL!$C$21, $C$9, 100%, $E$9)</f>
        <v>9.7467000000000006</v>
      </c>
      <c r="H172" s="14">
        <f>CHOOSE(CONTROL!$C$42, 9.9779, 9.9779) * CHOOSE(CONTROL!$C$21, $C$9, 100%, $E$9)</f>
        <v>9.9779</v>
      </c>
      <c r="I172" s="14">
        <f>CHOOSE(CONTROL!$C$42, 9.7834, 9.7834)* CHOOSE(CONTROL!$C$21, $C$9, 100%, $E$9)</f>
        <v>9.7834000000000003</v>
      </c>
      <c r="J172" s="14">
        <f>CHOOSE(CONTROL!$C$42, 9.7237, 9.7237)* CHOOSE(CONTROL!$C$21, $C$9, 100%, $E$9)</f>
        <v>9.7236999999999991</v>
      </c>
      <c r="K172" s="53">
        <f>CHOOSE(CONTROL!$C$42, 9.7795, 9.7795) * CHOOSE(CONTROL!$C$21, $C$9, 100%, $E$9)</f>
        <v>9.7795000000000005</v>
      </c>
      <c r="L172" s="14">
        <f>CHOOSE(CONTROL!$C$42, 10.5649, 10.5649) * CHOOSE(CONTROL!$C$21, $C$9, 100%, $E$9)</f>
        <v>10.5649</v>
      </c>
      <c r="M172" s="14">
        <f>CHOOSE(CONTROL!$C$42, 9.5322, 9.5322) * CHOOSE(CONTROL!$C$21, $C$9, 100%, $E$9)</f>
        <v>9.5321999999999996</v>
      </c>
      <c r="N172" s="14">
        <f>CHOOSE(CONTROL!$C$42, 9.5478, 9.5478) * CHOOSE(CONTROL!$C$21, $C$9, 100%, $E$9)</f>
        <v>9.5478000000000005</v>
      </c>
      <c r="O172" s="14">
        <f>CHOOSE(CONTROL!$C$42, 9.7812, 9.7812) * CHOOSE(CONTROL!$C$21, $C$9, 100%, $E$9)</f>
        <v>9.7812000000000001</v>
      </c>
      <c r="P172" s="14">
        <f>CHOOSE(CONTROL!$C$42, 9.5901, 9.5901) * CHOOSE(CONTROL!$C$21, $C$9, 100%, $E$9)</f>
        <v>9.5900999999999996</v>
      </c>
      <c r="Q172" s="14">
        <f>CHOOSE(CONTROL!$C$42, 10.3759, 10.3759) * CHOOSE(CONTROL!$C$21, $C$9, 100%, $E$9)</f>
        <v>10.3759</v>
      </c>
      <c r="R172" s="14">
        <f>CHOOSE(CONTROL!$C$42, 10.9888, 10.9888) * CHOOSE(CONTROL!$C$21, $C$9, 100%, $E$9)</f>
        <v>10.988799999999999</v>
      </c>
      <c r="S172" s="14">
        <f>CHOOSE(CONTROL!$C$42, 9.3531, 9.3531) * CHOOSE(CONTROL!$C$21, $C$9, 100%, $E$9)</f>
        <v>9.3530999999999995</v>
      </c>
      <c r="T1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7">
        <f>(1000*CHOOSE(CONTROL!$C$42, 695, 695)*CHOOSE(CONTROL!$C$42, 0.5599, 0.5599)*CHOOSE(CONTROL!$C$42, 30, 30))/1000000</f>
        <v>11.673914999999997</v>
      </c>
      <c r="V172" s="57">
        <f>(1000*CHOOSE(CONTROL!$C$42, 500, 500)*CHOOSE(CONTROL!$C$42, 0.275, 0.275)*CHOOSE(CONTROL!$C$42, 30, 30))/1000000</f>
        <v>4.125</v>
      </c>
      <c r="W172" s="57">
        <f>(1000*CHOOSE(CONTROL!$C$42, 0.1146, 0.1146)*CHOOSE(CONTROL!$C$42, 121.5, 121.5)*CHOOSE(CONTROL!$C$42, 30, 30))/1000000</f>
        <v>0.417717</v>
      </c>
      <c r="X172" s="57">
        <f>(30*0.1790888*245000/1000000)+(30*0.2374*100000/1000000)</f>
        <v>2.0285026799999999</v>
      </c>
      <c r="Y172" s="57"/>
      <c r="Z172" s="14"/>
      <c r="AA172" s="56"/>
      <c r="AB172" s="50">
        <f>(B172*141.293+C172*267.993+D172*115.016+E172*89.698+F172*40+G172*185+H172*0+I172*100+J172*300)/(141.293+267.993+115.016+89.698+0+40+185+100+300)</f>
        <v>9.7803652709443085</v>
      </c>
      <c r="AC172" s="45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9.6139856115107918</v>
      </c>
    </row>
    <row r="173" spans="1:29" ht="15.75" x14ac:dyDescent="0.25">
      <c r="A173" s="13">
        <v>46143</v>
      </c>
      <c r="B173" s="14">
        <f>CHOOSE(CONTROL!$C$42, 9.8509, 9.8509) * CHOOSE(CONTROL!$C$21, $C$9, 100%, $E$9)</f>
        <v>9.8508999999999993</v>
      </c>
      <c r="C173" s="14">
        <f>CHOOSE(CONTROL!$C$42, 9.859, 9.859) * CHOOSE(CONTROL!$C$21, $C$9, 100%, $E$9)</f>
        <v>9.859</v>
      </c>
      <c r="D173" s="14">
        <f>CHOOSE(CONTROL!$C$42, 10.0639, 10.0639) * CHOOSE(CONTROL!$C$21, $C$9, 100%, $E$9)</f>
        <v>10.0639</v>
      </c>
      <c r="E173" s="14">
        <f>CHOOSE(CONTROL!$C$42, 10.0954, 10.0954) * CHOOSE(CONTROL!$C$21, $C$9, 100%, $E$9)</f>
        <v>10.0954</v>
      </c>
      <c r="F173" s="14">
        <f>CHOOSE(CONTROL!$C$42, 9.8371, 9.8371)*CHOOSE(CONTROL!$C$21, $C$9, 100%, $E$9)</f>
        <v>9.8370999999999995</v>
      </c>
      <c r="G173" s="14">
        <f>CHOOSE(CONTROL!$C$42, 9.8535, 9.8535)*CHOOSE(CONTROL!$C$21, $C$9, 100%, $E$9)</f>
        <v>9.8535000000000004</v>
      </c>
      <c r="H173" s="14">
        <f>CHOOSE(CONTROL!$C$42, 10.084, 10.084) * CHOOSE(CONTROL!$C$21, $C$9, 100%, $E$9)</f>
        <v>10.084</v>
      </c>
      <c r="I173" s="14">
        <f>CHOOSE(CONTROL!$C$42, 9.8898, 9.8898)* CHOOSE(CONTROL!$C$21, $C$9, 100%, $E$9)</f>
        <v>9.8897999999999993</v>
      </c>
      <c r="J173" s="14">
        <f>CHOOSE(CONTROL!$C$42, 9.8301, 9.8301)* CHOOSE(CONTROL!$C$21, $C$9, 100%, $E$9)</f>
        <v>9.8300999999999998</v>
      </c>
      <c r="K173" s="53">
        <f>CHOOSE(CONTROL!$C$42, 9.8859, 9.8859) * CHOOSE(CONTROL!$C$21, $C$9, 100%, $E$9)</f>
        <v>9.8858999999999995</v>
      </c>
      <c r="L173" s="14">
        <f>CHOOSE(CONTROL!$C$42, 10.671, 10.671) * CHOOSE(CONTROL!$C$21, $C$9, 100%, $E$9)</f>
        <v>10.670999999999999</v>
      </c>
      <c r="M173" s="14">
        <f>CHOOSE(CONTROL!$C$42, 9.6364, 9.6364) * CHOOSE(CONTROL!$C$21, $C$9, 100%, $E$9)</f>
        <v>9.6364000000000001</v>
      </c>
      <c r="N173" s="14">
        <f>CHOOSE(CONTROL!$C$42, 9.6525, 9.6525) * CHOOSE(CONTROL!$C$21, $C$9, 100%, $E$9)</f>
        <v>9.6524999999999999</v>
      </c>
      <c r="O173" s="14">
        <f>CHOOSE(CONTROL!$C$42, 9.8851, 9.8851) * CHOOSE(CONTROL!$C$21, $C$9, 100%, $E$9)</f>
        <v>9.8850999999999996</v>
      </c>
      <c r="P173" s="14">
        <f>CHOOSE(CONTROL!$C$42, 9.6943, 9.6943) * CHOOSE(CONTROL!$C$21, $C$9, 100%, $E$9)</f>
        <v>9.6943000000000001</v>
      </c>
      <c r="Q173" s="14">
        <f>CHOOSE(CONTROL!$C$42, 10.4798, 10.4798) * CHOOSE(CONTROL!$C$21, $C$9, 100%, $E$9)</f>
        <v>10.479799999999999</v>
      </c>
      <c r="R173" s="14">
        <f>CHOOSE(CONTROL!$C$42, 11.093, 11.093) * CHOOSE(CONTROL!$C$21, $C$9, 100%, $E$9)</f>
        <v>11.093</v>
      </c>
      <c r="S173" s="14">
        <f>CHOOSE(CONTROL!$C$42, 9.4551, 9.4551) * CHOOSE(CONTROL!$C$21, $C$9, 100%, $E$9)</f>
        <v>9.4550999999999998</v>
      </c>
      <c r="T1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7">
        <f>(1000*CHOOSE(CONTROL!$C$42, 695, 695)*CHOOSE(CONTROL!$C$42, 0.5599, 0.5599)*CHOOSE(CONTROL!$C$42, 31, 31))/1000000</f>
        <v>12.063045499999998</v>
      </c>
      <c r="V173" s="57">
        <f>(1000*CHOOSE(CONTROL!$C$42, 500, 500)*CHOOSE(CONTROL!$C$42, 0.275, 0.275)*CHOOSE(CONTROL!$C$42, 31, 31))/1000000</f>
        <v>4.2625000000000002</v>
      </c>
      <c r="W173" s="57">
        <f>(1000*CHOOSE(CONTROL!$C$42, 0.1146, 0.1146)*CHOOSE(CONTROL!$C$42, 121.5, 121.5)*CHOOSE(CONTROL!$C$42, 31, 31))/1000000</f>
        <v>0.43164089999999994</v>
      </c>
      <c r="X173" s="57">
        <f>(31*0.1790888*245000/1000000)+(31*0.2374*100000/1000000)</f>
        <v>2.0961194359999999</v>
      </c>
      <c r="Y173" s="57"/>
      <c r="Z173" s="14"/>
      <c r="AA173" s="56"/>
      <c r="AB173" s="50">
        <f>(B173*194.205+C173*267.466+D173*133.845+E173*53.484+F173*40+G173*185+H173*0+I173*100+J173*300)/(194.205+267.466+133.845+53.484+0+40+185+100+300)</f>
        <v>9.8833421488226048</v>
      </c>
      <c r="AC173" s="45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9.7182165467625907</v>
      </c>
    </row>
    <row r="174" spans="1:29" ht="15.75" x14ac:dyDescent="0.25">
      <c r="A174" s="13">
        <v>46174</v>
      </c>
      <c r="B174" s="14">
        <f>CHOOSE(CONTROL!$C$42, 10.1509, 10.1509) * CHOOSE(CONTROL!$C$21, $C$9, 100%, $E$9)</f>
        <v>10.1509</v>
      </c>
      <c r="C174" s="14">
        <f>CHOOSE(CONTROL!$C$42, 10.1589, 10.1589) * CHOOSE(CONTROL!$C$21, $C$9, 100%, $E$9)</f>
        <v>10.158899999999999</v>
      </c>
      <c r="D174" s="14">
        <f>CHOOSE(CONTROL!$C$42, 10.3639, 10.3639) * CHOOSE(CONTROL!$C$21, $C$9, 100%, $E$9)</f>
        <v>10.363899999999999</v>
      </c>
      <c r="E174" s="14">
        <f>CHOOSE(CONTROL!$C$42, 10.3953, 10.3953) * CHOOSE(CONTROL!$C$21, $C$9, 100%, $E$9)</f>
        <v>10.395300000000001</v>
      </c>
      <c r="F174" s="14">
        <f>CHOOSE(CONTROL!$C$42, 10.1374, 10.1374)*CHOOSE(CONTROL!$C$21, $C$9, 100%, $E$9)</f>
        <v>10.1374</v>
      </c>
      <c r="G174" s="14">
        <f>CHOOSE(CONTROL!$C$42, 10.1539, 10.1539)*CHOOSE(CONTROL!$C$21, $C$9, 100%, $E$9)</f>
        <v>10.1539</v>
      </c>
      <c r="H174" s="14">
        <f>CHOOSE(CONTROL!$C$42, 10.384, 10.384) * CHOOSE(CONTROL!$C$21, $C$9, 100%, $E$9)</f>
        <v>10.384</v>
      </c>
      <c r="I174" s="14">
        <f>CHOOSE(CONTROL!$C$42, 10.1907, 10.1907)* CHOOSE(CONTROL!$C$21, $C$9, 100%, $E$9)</f>
        <v>10.1907</v>
      </c>
      <c r="J174" s="14">
        <f>CHOOSE(CONTROL!$C$42, 10.1304, 10.1304)* CHOOSE(CONTROL!$C$21, $C$9, 100%, $E$9)</f>
        <v>10.1304</v>
      </c>
      <c r="K174" s="53">
        <f>CHOOSE(CONTROL!$C$42, 10.1868, 10.1868) * CHOOSE(CONTROL!$C$21, $C$9, 100%, $E$9)</f>
        <v>10.1868</v>
      </c>
      <c r="L174" s="14">
        <f>CHOOSE(CONTROL!$C$42, 10.971, 10.971) * CHOOSE(CONTROL!$C$21, $C$9, 100%, $E$9)</f>
        <v>10.971</v>
      </c>
      <c r="M174" s="14">
        <f>CHOOSE(CONTROL!$C$42, 9.9305, 9.9305) * CHOOSE(CONTROL!$C$21, $C$9, 100%, $E$9)</f>
        <v>9.9305000000000003</v>
      </c>
      <c r="N174" s="14">
        <f>CHOOSE(CONTROL!$C$42, 9.9467, 9.9467) * CHOOSE(CONTROL!$C$21, $C$9, 100%, $E$9)</f>
        <v>9.9466999999999999</v>
      </c>
      <c r="O174" s="14">
        <f>CHOOSE(CONTROL!$C$42, 10.1789, 10.1789) * CHOOSE(CONTROL!$C$21, $C$9, 100%, $E$9)</f>
        <v>10.178900000000001</v>
      </c>
      <c r="P174" s="14">
        <f>CHOOSE(CONTROL!$C$42, 9.989, 9.989) * CHOOSE(CONTROL!$C$21, $C$9, 100%, $E$9)</f>
        <v>9.9890000000000008</v>
      </c>
      <c r="Q174" s="14">
        <f>CHOOSE(CONTROL!$C$42, 10.7736, 10.7736) * CHOOSE(CONTROL!$C$21, $C$9, 100%, $E$9)</f>
        <v>10.7736</v>
      </c>
      <c r="R174" s="14">
        <f>CHOOSE(CONTROL!$C$42, 11.3875, 11.3875) * CHOOSE(CONTROL!$C$21, $C$9, 100%, $E$9)</f>
        <v>11.387499999999999</v>
      </c>
      <c r="S174" s="14">
        <f>CHOOSE(CONTROL!$C$42, 9.7433, 9.7433) * CHOOSE(CONTROL!$C$21, $C$9, 100%, $E$9)</f>
        <v>9.7432999999999996</v>
      </c>
      <c r="T1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7">
        <f>(1000*CHOOSE(CONTROL!$C$42, 695, 695)*CHOOSE(CONTROL!$C$42, 0.5599, 0.5599)*CHOOSE(CONTROL!$C$42, 30, 30))/1000000</f>
        <v>11.673914999999997</v>
      </c>
      <c r="V174" s="57">
        <f>(1000*CHOOSE(CONTROL!$C$42, 500, 500)*CHOOSE(CONTROL!$C$42, 0.275, 0.275)*CHOOSE(CONTROL!$C$42, 30, 30))/1000000</f>
        <v>4.125</v>
      </c>
      <c r="W174" s="57">
        <f>(1000*CHOOSE(CONTROL!$C$42, 0.1146, 0.1146)*CHOOSE(CONTROL!$C$42, 121.5, 121.5)*CHOOSE(CONTROL!$C$42, 30, 30))/1000000</f>
        <v>0.417717</v>
      </c>
      <c r="X174" s="57">
        <f>(30*0.1790888*245000/1000000)+(30*0.2374*100000/1000000)</f>
        <v>2.0285026799999999</v>
      </c>
      <c r="Y174" s="57"/>
      <c r="Z174" s="14"/>
      <c r="AA174" s="56"/>
      <c r="AB174" s="50">
        <f>(B174*194.205+C174*267.466+D174*133.845+E174*53.484+F174*40+G174*185+H174*0+I174*100+J174*300)/(194.205+267.466+133.845+53.484+0+40+185+100+300)</f>
        <v>10.183525747723706</v>
      </c>
      <c r="AC174" s="45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10.012341726618708</v>
      </c>
    </row>
    <row r="175" spans="1:29" ht="15.75" x14ac:dyDescent="0.25">
      <c r="A175" s="13">
        <v>46204</v>
      </c>
      <c r="B175" s="14">
        <f>CHOOSE(CONTROL!$C$42, 9.9768, 9.9768) * CHOOSE(CONTROL!$C$21, $C$9, 100%, $E$9)</f>
        <v>9.9768000000000008</v>
      </c>
      <c r="C175" s="14">
        <f>CHOOSE(CONTROL!$C$42, 9.9849, 9.9849) * CHOOSE(CONTROL!$C$21, $C$9, 100%, $E$9)</f>
        <v>9.9848999999999997</v>
      </c>
      <c r="D175" s="14">
        <f>CHOOSE(CONTROL!$C$42, 10.1898, 10.1898) * CHOOSE(CONTROL!$C$21, $C$9, 100%, $E$9)</f>
        <v>10.1898</v>
      </c>
      <c r="E175" s="14">
        <f>CHOOSE(CONTROL!$C$42, 10.2213, 10.2213) * CHOOSE(CONTROL!$C$21, $C$9, 100%, $E$9)</f>
        <v>10.221299999999999</v>
      </c>
      <c r="F175" s="14">
        <f>CHOOSE(CONTROL!$C$42, 9.9638, 9.9638)*CHOOSE(CONTROL!$C$21, $C$9, 100%, $E$9)</f>
        <v>9.9638000000000009</v>
      </c>
      <c r="G175" s="14">
        <f>CHOOSE(CONTROL!$C$42, 9.9804, 9.9804)*CHOOSE(CONTROL!$C$21, $C$9, 100%, $E$9)</f>
        <v>9.9803999999999995</v>
      </c>
      <c r="H175" s="14">
        <f>CHOOSE(CONTROL!$C$42, 10.2099, 10.2099) * CHOOSE(CONTROL!$C$21, $C$9, 100%, $E$9)</f>
        <v>10.209899999999999</v>
      </c>
      <c r="I175" s="14">
        <f>CHOOSE(CONTROL!$C$42, 10.0161, 10.0161)* CHOOSE(CONTROL!$C$21, $C$9, 100%, $E$9)</f>
        <v>10.0161</v>
      </c>
      <c r="J175" s="14">
        <f>CHOOSE(CONTROL!$C$42, 9.9568, 9.9568)* CHOOSE(CONTROL!$C$21, $C$9, 100%, $E$9)</f>
        <v>9.9567999999999994</v>
      </c>
      <c r="K175" s="53">
        <f>CHOOSE(CONTROL!$C$42, 10.0122, 10.0122) * CHOOSE(CONTROL!$C$21, $C$9, 100%, $E$9)</f>
        <v>10.0122</v>
      </c>
      <c r="L175" s="14">
        <f>CHOOSE(CONTROL!$C$42, 10.7969, 10.7969) * CHOOSE(CONTROL!$C$21, $C$9, 100%, $E$9)</f>
        <v>10.796900000000001</v>
      </c>
      <c r="M175" s="14">
        <f>CHOOSE(CONTROL!$C$42, 9.7605, 9.7605) * CHOOSE(CONTROL!$C$21, $C$9, 100%, $E$9)</f>
        <v>9.7605000000000004</v>
      </c>
      <c r="N175" s="14">
        <f>CHOOSE(CONTROL!$C$42, 9.7768, 9.7768) * CHOOSE(CONTROL!$C$21, $C$9, 100%, $E$9)</f>
        <v>9.7767999999999997</v>
      </c>
      <c r="O175" s="14">
        <f>CHOOSE(CONTROL!$C$42, 10.0084, 10.0084) * CHOOSE(CONTROL!$C$21, $C$9, 100%, $E$9)</f>
        <v>10.0084</v>
      </c>
      <c r="P175" s="14">
        <f>CHOOSE(CONTROL!$C$42, 9.818, 9.818) * CHOOSE(CONTROL!$C$21, $C$9, 100%, $E$9)</f>
        <v>9.8179999999999996</v>
      </c>
      <c r="Q175" s="14">
        <f>CHOOSE(CONTROL!$C$42, 10.6031, 10.6031) * CHOOSE(CONTROL!$C$21, $C$9, 100%, $E$9)</f>
        <v>10.6031</v>
      </c>
      <c r="R175" s="14">
        <f>CHOOSE(CONTROL!$C$42, 11.2166, 11.2166) * CHOOSE(CONTROL!$C$21, $C$9, 100%, $E$9)</f>
        <v>11.2166</v>
      </c>
      <c r="S175" s="14">
        <f>CHOOSE(CONTROL!$C$42, 9.5761, 9.5761) * CHOOSE(CONTROL!$C$21, $C$9, 100%, $E$9)</f>
        <v>9.5761000000000003</v>
      </c>
      <c r="T1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7">
        <f>(1000*CHOOSE(CONTROL!$C$42, 695, 695)*CHOOSE(CONTROL!$C$42, 0.5599, 0.5599)*CHOOSE(CONTROL!$C$42, 31, 31))/1000000</f>
        <v>12.063045499999998</v>
      </c>
      <c r="V175" s="57">
        <f>(1000*CHOOSE(CONTROL!$C$42, 500, 500)*CHOOSE(CONTROL!$C$42, 0.275, 0.275)*CHOOSE(CONTROL!$C$42, 31, 31))/1000000</f>
        <v>4.2625000000000002</v>
      </c>
      <c r="W175" s="57">
        <f>(1000*CHOOSE(CONTROL!$C$42, 0.1146, 0.1146)*CHOOSE(CONTROL!$C$42, 121.5, 121.5)*CHOOSE(CONTROL!$C$42, 31, 31))/1000000</f>
        <v>0.43164089999999994</v>
      </c>
      <c r="X175" s="57">
        <f>(31*0.1790888*245000/1000000)+(31*0.2374*100000/1000000)</f>
        <v>2.0961194359999999</v>
      </c>
      <c r="Y175" s="57"/>
      <c r="Z175" s="14"/>
      <c r="AA175" s="56"/>
      <c r="AB175" s="50">
        <f>(B175*194.205+C175*267.466+D175*133.845+E175*53.484+F175*40+G175*185+H175*0+I175*100+J175*300)/(194.205+267.466+133.845+53.484+0+40+185+100+300)</f>
        <v>10.009632258712715</v>
      </c>
      <c r="AC175" s="45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9.8420805755395691</v>
      </c>
    </row>
    <row r="176" spans="1:29" ht="15.75" x14ac:dyDescent="0.25">
      <c r="A176" s="13">
        <v>46235</v>
      </c>
      <c r="B176" s="14">
        <f>CHOOSE(CONTROL!$C$42, 9.5041, 9.5041) * CHOOSE(CONTROL!$C$21, $C$9, 100%, $E$9)</f>
        <v>9.5040999999999993</v>
      </c>
      <c r="C176" s="14">
        <f>CHOOSE(CONTROL!$C$42, 9.5122, 9.5122) * CHOOSE(CONTROL!$C$21, $C$9, 100%, $E$9)</f>
        <v>9.5122</v>
      </c>
      <c r="D176" s="14">
        <f>CHOOSE(CONTROL!$C$42, 9.7171, 9.7171) * CHOOSE(CONTROL!$C$21, $C$9, 100%, $E$9)</f>
        <v>9.7171000000000003</v>
      </c>
      <c r="E176" s="14">
        <f>CHOOSE(CONTROL!$C$42, 9.7486, 9.7486) * CHOOSE(CONTROL!$C$21, $C$9, 100%, $E$9)</f>
        <v>9.7485999999999997</v>
      </c>
      <c r="F176" s="14">
        <f>CHOOSE(CONTROL!$C$42, 9.4913, 9.4913)*CHOOSE(CONTROL!$C$21, $C$9, 100%, $E$9)</f>
        <v>9.4913000000000007</v>
      </c>
      <c r="G176" s="14">
        <f>CHOOSE(CONTROL!$C$42, 9.508, 9.508)*CHOOSE(CONTROL!$C$21, $C$9, 100%, $E$9)</f>
        <v>9.5079999999999991</v>
      </c>
      <c r="H176" s="14">
        <f>CHOOSE(CONTROL!$C$42, 9.7372, 9.7372) * CHOOSE(CONTROL!$C$21, $C$9, 100%, $E$9)</f>
        <v>9.7371999999999996</v>
      </c>
      <c r="I176" s="14">
        <f>CHOOSE(CONTROL!$C$42, 9.542, 9.542)* CHOOSE(CONTROL!$C$21, $C$9, 100%, $E$9)</f>
        <v>9.5419999999999998</v>
      </c>
      <c r="J176" s="14">
        <f>CHOOSE(CONTROL!$C$42, 9.4843, 9.4843)* CHOOSE(CONTROL!$C$21, $C$9, 100%, $E$9)</f>
        <v>9.4842999999999993</v>
      </c>
      <c r="K176" s="53">
        <f>CHOOSE(CONTROL!$C$42, 9.5381, 9.5381) * CHOOSE(CONTROL!$C$21, $C$9, 100%, $E$9)</f>
        <v>9.5381</v>
      </c>
      <c r="L176" s="14">
        <f>CHOOSE(CONTROL!$C$42, 10.3242, 10.3242) * CHOOSE(CONTROL!$C$21, $C$9, 100%, $E$9)</f>
        <v>10.324199999999999</v>
      </c>
      <c r="M176" s="14">
        <f>CHOOSE(CONTROL!$C$42, 9.2977, 9.2977) * CHOOSE(CONTROL!$C$21, $C$9, 100%, $E$9)</f>
        <v>9.2977000000000007</v>
      </c>
      <c r="N176" s="14">
        <f>CHOOSE(CONTROL!$C$42, 9.314, 9.314) * CHOOSE(CONTROL!$C$21, $C$9, 100%, $E$9)</f>
        <v>9.3140000000000001</v>
      </c>
      <c r="O176" s="14">
        <f>CHOOSE(CONTROL!$C$42, 9.5454, 9.5454) * CHOOSE(CONTROL!$C$21, $C$9, 100%, $E$9)</f>
        <v>9.5454000000000008</v>
      </c>
      <c r="P176" s="14">
        <f>CHOOSE(CONTROL!$C$42, 9.3536, 9.3536) * CHOOSE(CONTROL!$C$21, $C$9, 100%, $E$9)</f>
        <v>9.3536000000000001</v>
      </c>
      <c r="Q176" s="14">
        <f>CHOOSE(CONTROL!$C$42, 10.1401, 10.1401) * CHOOSE(CONTROL!$C$21, $C$9, 100%, $E$9)</f>
        <v>10.1401</v>
      </c>
      <c r="R176" s="14">
        <f>CHOOSE(CONTROL!$C$42, 10.7525, 10.7525) * CHOOSE(CONTROL!$C$21, $C$9, 100%, $E$9)</f>
        <v>10.7525</v>
      </c>
      <c r="S176" s="14">
        <f>CHOOSE(CONTROL!$C$42, 9.1219, 9.1219) * CHOOSE(CONTROL!$C$21, $C$9, 100%, $E$9)</f>
        <v>9.1219000000000001</v>
      </c>
      <c r="T1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7">
        <f>(1000*CHOOSE(CONTROL!$C$42, 695, 695)*CHOOSE(CONTROL!$C$42, 0.5599, 0.5599)*CHOOSE(CONTROL!$C$42, 31, 31))/1000000</f>
        <v>12.063045499999998</v>
      </c>
      <c r="V176" s="57">
        <f>(1000*CHOOSE(CONTROL!$C$42, 500, 500)*CHOOSE(CONTROL!$C$42, 0.275, 0.275)*CHOOSE(CONTROL!$C$42, 31, 31))/1000000</f>
        <v>4.2625000000000002</v>
      </c>
      <c r="W176" s="57">
        <f>(1000*CHOOSE(CONTROL!$C$42, 0.1146, 0.1146)*CHOOSE(CONTROL!$C$42, 121.5, 121.5)*CHOOSE(CONTROL!$C$42, 31, 31))/1000000</f>
        <v>0.43164089999999994</v>
      </c>
      <c r="X176" s="57">
        <f>(31*0.1790888*245000/1000000)+(31*0.2374*100000/1000000)</f>
        <v>2.0961194359999999</v>
      </c>
      <c r="Y176" s="57"/>
      <c r="Z176" s="14"/>
      <c r="AA176" s="56"/>
      <c r="AB176" s="50">
        <f>(B176*194.205+C176*267.466+D176*133.845+E176*53.484+F176*40+G176*185+H176*0+I176*100+J176*300)/(194.205+267.466+133.845+53.484+0+40+185+100+300)</f>
        <v>9.5369193073783372</v>
      </c>
      <c r="AC176" s="45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9.378994244604316</v>
      </c>
    </row>
    <row r="177" spans="1:29" ht="15.75" x14ac:dyDescent="0.25">
      <c r="A177" s="13">
        <v>46266</v>
      </c>
      <c r="B177" s="14">
        <f>CHOOSE(CONTROL!$C$42, 8.9194, 8.9194) * CHOOSE(CONTROL!$C$21, $C$9, 100%, $E$9)</f>
        <v>8.9193999999999996</v>
      </c>
      <c r="C177" s="14">
        <f>CHOOSE(CONTROL!$C$42, 8.9275, 8.9275) * CHOOSE(CONTROL!$C$21, $C$9, 100%, $E$9)</f>
        <v>8.9275000000000002</v>
      </c>
      <c r="D177" s="14">
        <f>CHOOSE(CONTROL!$C$42, 9.1324, 9.1324) * CHOOSE(CONTROL!$C$21, $C$9, 100%, $E$9)</f>
        <v>9.1324000000000005</v>
      </c>
      <c r="E177" s="14">
        <f>CHOOSE(CONTROL!$C$42, 9.1639, 9.1639) * CHOOSE(CONTROL!$C$21, $C$9, 100%, $E$9)</f>
        <v>9.1638999999999999</v>
      </c>
      <c r="F177" s="14">
        <f>CHOOSE(CONTROL!$C$42, 8.9066, 8.9066)*CHOOSE(CONTROL!$C$21, $C$9, 100%, $E$9)</f>
        <v>8.9065999999999992</v>
      </c>
      <c r="G177" s="14">
        <f>CHOOSE(CONTROL!$C$42, 8.9233, 8.9233)*CHOOSE(CONTROL!$C$21, $C$9, 100%, $E$9)</f>
        <v>8.9232999999999993</v>
      </c>
      <c r="H177" s="14">
        <f>CHOOSE(CONTROL!$C$42, 9.1525, 9.1525) * CHOOSE(CONTROL!$C$21, $C$9, 100%, $E$9)</f>
        <v>9.1524999999999999</v>
      </c>
      <c r="I177" s="14">
        <f>CHOOSE(CONTROL!$C$42, 8.9554, 8.9554)* CHOOSE(CONTROL!$C$21, $C$9, 100%, $E$9)</f>
        <v>8.9553999999999991</v>
      </c>
      <c r="J177" s="14">
        <f>CHOOSE(CONTROL!$C$42, 8.8996, 8.8996)* CHOOSE(CONTROL!$C$21, $C$9, 100%, $E$9)</f>
        <v>8.8995999999999995</v>
      </c>
      <c r="K177" s="53">
        <f>CHOOSE(CONTROL!$C$42, 8.9515, 8.9515) * CHOOSE(CONTROL!$C$21, $C$9, 100%, $E$9)</f>
        <v>8.9514999999999993</v>
      </c>
      <c r="L177" s="14">
        <f>CHOOSE(CONTROL!$C$42, 9.7395, 9.7395) * CHOOSE(CONTROL!$C$21, $C$9, 100%, $E$9)</f>
        <v>9.7394999999999996</v>
      </c>
      <c r="M177" s="14">
        <f>CHOOSE(CONTROL!$C$42, 8.7249, 8.7249) * CHOOSE(CONTROL!$C$21, $C$9, 100%, $E$9)</f>
        <v>8.7248999999999999</v>
      </c>
      <c r="N177" s="14">
        <f>CHOOSE(CONTROL!$C$42, 8.7413, 8.7413) * CHOOSE(CONTROL!$C$21, $C$9, 100%, $E$9)</f>
        <v>8.7413000000000007</v>
      </c>
      <c r="O177" s="14">
        <f>CHOOSE(CONTROL!$C$42, 8.9727, 8.9727) * CHOOSE(CONTROL!$C$21, $C$9, 100%, $E$9)</f>
        <v>8.9726999999999997</v>
      </c>
      <c r="P177" s="14">
        <f>CHOOSE(CONTROL!$C$42, 8.7791, 8.7791) * CHOOSE(CONTROL!$C$21, $C$9, 100%, $E$9)</f>
        <v>8.7790999999999997</v>
      </c>
      <c r="Q177" s="14">
        <f>CHOOSE(CONTROL!$C$42, 9.5674, 9.5674) * CHOOSE(CONTROL!$C$21, $C$9, 100%, $E$9)</f>
        <v>9.5673999999999992</v>
      </c>
      <c r="R177" s="14">
        <f>CHOOSE(CONTROL!$C$42, 10.1783, 10.1783) * CHOOSE(CONTROL!$C$21, $C$9, 100%, $E$9)</f>
        <v>10.1783</v>
      </c>
      <c r="S177" s="14">
        <f>CHOOSE(CONTROL!$C$42, 8.5601, 8.5601) * CHOOSE(CONTROL!$C$21, $C$9, 100%, $E$9)</f>
        <v>8.5601000000000003</v>
      </c>
      <c r="T1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7">
        <f>(1000*CHOOSE(CONTROL!$C$42, 695, 695)*CHOOSE(CONTROL!$C$42, 0.5599, 0.5599)*CHOOSE(CONTROL!$C$42, 30, 30))/1000000</f>
        <v>11.673914999999997</v>
      </c>
      <c r="V177" s="57">
        <f>(1000*CHOOSE(CONTROL!$C$42, 500, 500)*CHOOSE(CONTROL!$C$42, 0.275, 0.275)*CHOOSE(CONTROL!$C$42, 30, 30))/1000000</f>
        <v>4.125</v>
      </c>
      <c r="W177" s="57">
        <f>(1000*CHOOSE(CONTROL!$C$42, 0.1146, 0.1146)*CHOOSE(CONTROL!$C$42, 121.5, 121.5)*CHOOSE(CONTROL!$C$42, 30, 30))/1000000</f>
        <v>0.417717</v>
      </c>
      <c r="X177" s="57">
        <f>(30*0.1790888*245000/1000000)+(30*0.2374*100000/1000000)</f>
        <v>2.0285026799999999</v>
      </c>
      <c r="Y177" s="57"/>
      <c r="Z177" s="14"/>
      <c r="AA177" s="56"/>
      <c r="AB177" s="50">
        <f>(B177*194.205+C177*267.466+D177*133.845+E177*53.484+F177*40+G177*185+H177*0+I177*100+J177*300)/(194.205+267.466+133.845+53.484+0+40+185+100+300)</f>
        <v>8.9520701708006278</v>
      </c>
      <c r="AC177" s="45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8.8060007194244605</v>
      </c>
    </row>
    <row r="178" spans="1:29" ht="15.75" x14ac:dyDescent="0.25">
      <c r="A178" s="13">
        <v>46296</v>
      </c>
      <c r="B178" s="14">
        <f>CHOOSE(CONTROL!$C$42, 8.7548, 8.7548) * CHOOSE(CONTROL!$C$21, $C$9, 100%, $E$9)</f>
        <v>8.7547999999999995</v>
      </c>
      <c r="C178" s="14">
        <f>CHOOSE(CONTROL!$C$42, 8.7601, 8.7601) * CHOOSE(CONTROL!$C$21, $C$9, 100%, $E$9)</f>
        <v>8.7600999999999996</v>
      </c>
      <c r="D178" s="14">
        <f>CHOOSE(CONTROL!$C$42, 8.9701, 8.9701) * CHOOSE(CONTROL!$C$21, $C$9, 100%, $E$9)</f>
        <v>8.9701000000000004</v>
      </c>
      <c r="E178" s="14">
        <f>CHOOSE(CONTROL!$C$42, 8.9992, 8.9992) * CHOOSE(CONTROL!$C$21, $C$9, 100%, $E$9)</f>
        <v>8.9992000000000001</v>
      </c>
      <c r="F178" s="14">
        <f>CHOOSE(CONTROL!$C$42, 8.744, 8.744)*CHOOSE(CONTROL!$C$21, $C$9, 100%, $E$9)</f>
        <v>8.7439999999999998</v>
      </c>
      <c r="G178" s="14">
        <f>CHOOSE(CONTROL!$C$42, 8.7604, 8.7604)*CHOOSE(CONTROL!$C$21, $C$9, 100%, $E$9)</f>
        <v>8.7604000000000006</v>
      </c>
      <c r="H178" s="14">
        <f>CHOOSE(CONTROL!$C$42, 8.9897, 8.9897) * CHOOSE(CONTROL!$C$21, $C$9, 100%, $E$9)</f>
        <v>8.9896999999999991</v>
      </c>
      <c r="I178" s="14">
        <f>CHOOSE(CONTROL!$C$42, 8.792, 8.792)* CHOOSE(CONTROL!$C$21, $C$9, 100%, $E$9)</f>
        <v>8.7919999999999998</v>
      </c>
      <c r="J178" s="14">
        <f>CHOOSE(CONTROL!$C$42, 8.737, 8.737)* CHOOSE(CONTROL!$C$21, $C$9, 100%, $E$9)</f>
        <v>8.7370000000000001</v>
      </c>
      <c r="K178" s="53">
        <f>CHOOSE(CONTROL!$C$42, 8.7881, 8.7881) * CHOOSE(CONTROL!$C$21, $C$9, 100%, $E$9)</f>
        <v>8.7881</v>
      </c>
      <c r="L178" s="14">
        <f>CHOOSE(CONTROL!$C$42, 9.5767, 9.5767) * CHOOSE(CONTROL!$C$21, $C$9, 100%, $E$9)</f>
        <v>9.5767000000000007</v>
      </c>
      <c r="M178" s="14">
        <f>CHOOSE(CONTROL!$C$42, 8.5657, 8.5657) * CHOOSE(CONTROL!$C$21, $C$9, 100%, $E$9)</f>
        <v>8.5656999999999996</v>
      </c>
      <c r="N178" s="14">
        <f>CHOOSE(CONTROL!$C$42, 8.5817, 8.5817) * CHOOSE(CONTROL!$C$21, $C$9, 100%, $E$9)</f>
        <v>8.5816999999999997</v>
      </c>
      <c r="O178" s="14">
        <f>CHOOSE(CONTROL!$C$42, 8.8132, 8.8132) * CHOOSE(CONTROL!$C$21, $C$9, 100%, $E$9)</f>
        <v>8.8132000000000001</v>
      </c>
      <c r="P178" s="14">
        <f>CHOOSE(CONTROL!$C$42, 8.6191, 8.6191) * CHOOSE(CONTROL!$C$21, $C$9, 100%, $E$9)</f>
        <v>8.6190999999999995</v>
      </c>
      <c r="Q178" s="14">
        <f>CHOOSE(CONTROL!$C$42, 9.4079, 9.4079) * CHOOSE(CONTROL!$C$21, $C$9, 100%, $E$9)</f>
        <v>9.4078999999999997</v>
      </c>
      <c r="R178" s="14">
        <f>CHOOSE(CONTROL!$C$42, 10.0184, 10.0184) * CHOOSE(CONTROL!$C$21, $C$9, 100%, $E$9)</f>
        <v>10.0184</v>
      </c>
      <c r="S178" s="14">
        <f>CHOOSE(CONTROL!$C$42, 8.4035, 8.4035) * CHOOSE(CONTROL!$C$21, $C$9, 100%, $E$9)</f>
        <v>8.4034999999999993</v>
      </c>
      <c r="T1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7">
        <f>(1000*CHOOSE(CONTROL!$C$42, 695, 695)*CHOOSE(CONTROL!$C$42, 0.5599, 0.5599)*CHOOSE(CONTROL!$C$42, 31, 31))/1000000</f>
        <v>12.063045499999998</v>
      </c>
      <c r="V178" s="57">
        <f>(1000*CHOOSE(CONTROL!$C$42, 500, 500)*CHOOSE(CONTROL!$C$42, 0.275, 0.275)*CHOOSE(CONTROL!$C$42, 31, 31))/1000000</f>
        <v>4.2625000000000002</v>
      </c>
      <c r="W178" s="57">
        <f>(1000*CHOOSE(CONTROL!$C$42, 0.1146, 0.1146)*CHOOSE(CONTROL!$C$42, 121.5, 121.5)*CHOOSE(CONTROL!$C$42, 31, 31))/1000000</f>
        <v>0.43164089999999994</v>
      </c>
      <c r="X178" s="57">
        <f>(31*0.1790888*245000/1000000)+(31*0.2374*100000/1000000)</f>
        <v>2.0961194359999999</v>
      </c>
      <c r="Y178" s="57"/>
      <c r="Z178" s="14"/>
      <c r="AA178" s="56"/>
      <c r="AB178" s="50">
        <f>(B178*131.881+C178*277.167+D178*79.08+E178*125.872+F178*40+G178*185+H178*0+I178*100+J178*300)/(131.881+277.167+79.08+125.872+0+40+185+100+300)</f>
        <v>8.7937362598062947</v>
      </c>
      <c r="AC178" s="45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8.6465093525179864</v>
      </c>
    </row>
    <row r="179" spans="1:29" ht="15.75" x14ac:dyDescent="0.25">
      <c r="A179" s="13">
        <v>46327</v>
      </c>
      <c r="B179" s="14">
        <f>CHOOSE(CONTROL!$C$42, 9.0032, 9.0032) * CHOOSE(CONTROL!$C$21, $C$9, 100%, $E$9)</f>
        <v>9.0031999999999996</v>
      </c>
      <c r="C179" s="14">
        <f>CHOOSE(CONTROL!$C$42, 9.0083, 9.0083) * CHOOSE(CONTROL!$C$21, $C$9, 100%, $E$9)</f>
        <v>9.0083000000000002</v>
      </c>
      <c r="D179" s="14">
        <f>CHOOSE(CONTROL!$C$42, 9.0721, 9.0721) * CHOOSE(CONTROL!$C$21, $C$9, 100%, $E$9)</f>
        <v>9.0721000000000007</v>
      </c>
      <c r="E179" s="14">
        <f>CHOOSE(CONTROL!$C$42, 9.1062, 9.1062) * CHOOSE(CONTROL!$C$21, $C$9, 100%, $E$9)</f>
        <v>9.1061999999999994</v>
      </c>
      <c r="F179" s="14">
        <f>CHOOSE(CONTROL!$C$42, 9.0055, 9.0055)*CHOOSE(CONTROL!$C$21, $C$9, 100%, $E$9)</f>
        <v>9.0054999999999996</v>
      </c>
      <c r="G179" s="14">
        <f>CHOOSE(CONTROL!$C$42, 9.0221, 9.0221)*CHOOSE(CONTROL!$C$21, $C$9, 100%, $E$9)</f>
        <v>9.0221</v>
      </c>
      <c r="H179" s="14">
        <f>CHOOSE(CONTROL!$C$42, 9.0954, 9.0954) * CHOOSE(CONTROL!$C$21, $C$9, 100%, $E$9)</f>
        <v>9.0953999999999997</v>
      </c>
      <c r="I179" s="14">
        <f>CHOOSE(CONTROL!$C$42, 9.0453, 9.0453)* CHOOSE(CONTROL!$C$21, $C$9, 100%, $E$9)</f>
        <v>9.0452999999999992</v>
      </c>
      <c r="J179" s="14">
        <f>CHOOSE(CONTROL!$C$42, 8.9985, 8.9985)* CHOOSE(CONTROL!$C$21, $C$9, 100%, $E$9)</f>
        <v>8.9984999999999999</v>
      </c>
      <c r="K179" s="53">
        <f>CHOOSE(CONTROL!$C$42, 9.0414, 9.0414) * CHOOSE(CONTROL!$C$21, $C$9, 100%, $E$9)</f>
        <v>9.0413999999999994</v>
      </c>
      <c r="L179" s="14">
        <f>CHOOSE(CONTROL!$C$42, 9.6824, 9.6824) * CHOOSE(CONTROL!$C$21, $C$9, 100%, $E$9)</f>
        <v>9.6823999999999995</v>
      </c>
      <c r="M179" s="14">
        <f>CHOOSE(CONTROL!$C$42, 8.8218, 8.8218) * CHOOSE(CONTROL!$C$21, $C$9, 100%, $E$9)</f>
        <v>8.8217999999999996</v>
      </c>
      <c r="N179" s="14">
        <f>CHOOSE(CONTROL!$C$42, 8.8381, 8.8381) * CHOOSE(CONTROL!$C$21, $C$9, 100%, $E$9)</f>
        <v>8.8381000000000007</v>
      </c>
      <c r="O179" s="14">
        <f>CHOOSE(CONTROL!$C$42, 8.9168, 8.9168) * CHOOSE(CONTROL!$C$21, $C$9, 100%, $E$9)</f>
        <v>8.9168000000000003</v>
      </c>
      <c r="P179" s="14">
        <f>CHOOSE(CONTROL!$C$42, 8.8672, 8.8672) * CHOOSE(CONTROL!$C$21, $C$9, 100%, $E$9)</f>
        <v>8.8672000000000004</v>
      </c>
      <c r="Q179" s="14">
        <f>CHOOSE(CONTROL!$C$42, 9.5115, 9.5115) * CHOOSE(CONTROL!$C$21, $C$9, 100%, $E$9)</f>
        <v>9.5114999999999998</v>
      </c>
      <c r="R179" s="14">
        <f>CHOOSE(CONTROL!$C$42, 10.1222, 10.1222) * CHOOSE(CONTROL!$C$21, $C$9, 100%, $E$9)</f>
        <v>10.122199999999999</v>
      </c>
      <c r="S179" s="14">
        <f>CHOOSE(CONTROL!$C$42, 8.6427, 8.6427) * CHOOSE(CONTROL!$C$21, $C$9, 100%, $E$9)</f>
        <v>8.6426999999999996</v>
      </c>
      <c r="T1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7">
        <f>(1000*CHOOSE(CONTROL!$C$42, 695, 695)*CHOOSE(CONTROL!$C$42, 0.5599, 0.5599)*CHOOSE(CONTROL!$C$42, 30, 30))/1000000</f>
        <v>11.673914999999997</v>
      </c>
      <c r="V179" s="57">
        <f>(1000*CHOOSE(CONTROL!$C$42, 500, 500)*CHOOSE(CONTROL!$C$42, 0.275, 0.275)*CHOOSE(CONTROL!$C$42, 30, 30))/1000000</f>
        <v>4.125</v>
      </c>
      <c r="W179" s="57">
        <f>(1000*CHOOSE(CONTROL!$C$42, 0.1146, 0.1146)*CHOOSE(CONTROL!$C$42, 121.5, 121.5)*CHOOSE(CONTROL!$C$42, 30, 30))/1000000</f>
        <v>0.417717</v>
      </c>
      <c r="X179" s="57">
        <f>(30*0.1790888*100000/1000000)+(30*0.2374*100000/1000000)</f>
        <v>1.2494664</v>
      </c>
      <c r="Y179" s="57"/>
      <c r="Z179" s="14"/>
      <c r="AA179" s="56"/>
      <c r="AB179" s="50">
        <f>(B179*122.58+C179*297.941+D179*89.177+E179*40.302+F179*40+G179*160+H179*0+I179*100+J179*300)/(122.58+297.941+89.177+40.302+0+40+160+100+300)</f>
        <v>9.0186181742608689</v>
      </c>
      <c r="AC179" s="45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8.8723280575539576</v>
      </c>
    </row>
    <row r="180" spans="1:29" ht="15.75" x14ac:dyDescent="0.25">
      <c r="A180" s="13">
        <v>46357</v>
      </c>
      <c r="B180" s="14">
        <f>CHOOSE(CONTROL!$C$42, 9.6362, 9.6362) * CHOOSE(CONTROL!$C$21, $C$9, 100%, $E$9)</f>
        <v>9.6362000000000005</v>
      </c>
      <c r="C180" s="14">
        <f>CHOOSE(CONTROL!$C$42, 9.6413, 9.6413) * CHOOSE(CONTROL!$C$21, $C$9, 100%, $E$9)</f>
        <v>9.6412999999999993</v>
      </c>
      <c r="D180" s="14">
        <f>CHOOSE(CONTROL!$C$42, 9.7051, 9.7051) * CHOOSE(CONTROL!$C$21, $C$9, 100%, $E$9)</f>
        <v>9.7050999999999998</v>
      </c>
      <c r="E180" s="14">
        <f>CHOOSE(CONTROL!$C$42, 9.7392, 9.7392) * CHOOSE(CONTROL!$C$21, $C$9, 100%, $E$9)</f>
        <v>9.7392000000000003</v>
      </c>
      <c r="F180" s="14">
        <f>CHOOSE(CONTROL!$C$42, 9.6405, 9.6405)*CHOOSE(CONTROL!$C$21, $C$9, 100%, $E$9)</f>
        <v>9.6404999999999994</v>
      </c>
      <c r="G180" s="14">
        <f>CHOOSE(CONTROL!$C$42, 9.6577, 9.6577)*CHOOSE(CONTROL!$C$21, $C$9, 100%, $E$9)</f>
        <v>9.6577000000000002</v>
      </c>
      <c r="H180" s="14">
        <f>CHOOSE(CONTROL!$C$42, 9.7284, 9.7284) * CHOOSE(CONTROL!$C$21, $C$9, 100%, $E$9)</f>
        <v>9.7284000000000006</v>
      </c>
      <c r="I180" s="14">
        <f>CHOOSE(CONTROL!$C$42, 9.6803, 9.6803)* CHOOSE(CONTROL!$C$21, $C$9, 100%, $E$9)</f>
        <v>9.6803000000000008</v>
      </c>
      <c r="J180" s="14">
        <f>CHOOSE(CONTROL!$C$42, 9.6335, 9.6335)* CHOOSE(CONTROL!$C$21, $C$9, 100%, $E$9)</f>
        <v>9.6334999999999997</v>
      </c>
      <c r="K180" s="53">
        <f>CHOOSE(CONTROL!$C$42, 9.6764, 9.6764) * CHOOSE(CONTROL!$C$21, $C$9, 100%, $E$9)</f>
        <v>9.6763999999999992</v>
      </c>
      <c r="L180" s="14">
        <f>CHOOSE(CONTROL!$C$42, 10.3154, 10.3154) * CHOOSE(CONTROL!$C$21, $C$9, 100%, $E$9)</f>
        <v>10.3154</v>
      </c>
      <c r="M180" s="14">
        <f>CHOOSE(CONTROL!$C$42, 9.4438, 9.4438) * CHOOSE(CONTROL!$C$21, $C$9, 100%, $E$9)</f>
        <v>9.4437999999999995</v>
      </c>
      <c r="N180" s="14">
        <f>CHOOSE(CONTROL!$C$42, 9.4607, 9.4607) * CHOOSE(CONTROL!$C$21, $C$9, 100%, $E$9)</f>
        <v>9.4606999999999992</v>
      </c>
      <c r="O180" s="14">
        <f>CHOOSE(CONTROL!$C$42, 9.5367, 9.5367) * CHOOSE(CONTROL!$C$21, $C$9, 100%, $E$9)</f>
        <v>9.5366999999999997</v>
      </c>
      <c r="P180" s="14">
        <f>CHOOSE(CONTROL!$C$42, 9.4891, 9.4891) * CHOOSE(CONTROL!$C$21, $C$9, 100%, $E$9)</f>
        <v>9.4891000000000005</v>
      </c>
      <c r="Q180" s="14">
        <f>CHOOSE(CONTROL!$C$42, 10.1314, 10.1314) * CHOOSE(CONTROL!$C$21, $C$9, 100%, $E$9)</f>
        <v>10.131399999999999</v>
      </c>
      <c r="R180" s="14">
        <f>CHOOSE(CONTROL!$C$42, 10.7438, 10.7438) * CHOOSE(CONTROL!$C$21, $C$9, 100%, $E$9)</f>
        <v>10.7438</v>
      </c>
      <c r="S180" s="14">
        <f>CHOOSE(CONTROL!$C$42, 9.2509, 9.2509) * CHOOSE(CONTROL!$C$21, $C$9, 100%, $E$9)</f>
        <v>9.2508999999999997</v>
      </c>
      <c r="T1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7">
        <f>(1000*CHOOSE(CONTROL!$C$42, 695, 695)*CHOOSE(CONTROL!$C$42, 0.5599, 0.5599)*CHOOSE(CONTROL!$C$42, 31, 31))/1000000</f>
        <v>12.063045499999998</v>
      </c>
      <c r="V180" s="57">
        <f>(1000*CHOOSE(CONTROL!$C$42, 500, 500)*CHOOSE(CONTROL!$C$42, 0.275, 0.275)*CHOOSE(CONTROL!$C$42, 31, 31))/1000000</f>
        <v>4.2625000000000002</v>
      </c>
      <c r="W180" s="57">
        <f>(1000*CHOOSE(CONTROL!$C$42, 0.1146, 0.1146)*CHOOSE(CONTROL!$C$42, 121.5, 121.5)*CHOOSE(CONTROL!$C$42, 31, 31))/1000000</f>
        <v>0.43164089999999994</v>
      </c>
      <c r="X180" s="57">
        <f>(31*0.1790888*100000/1000000)+(31*0.2374*100000/1000000)</f>
        <v>1.2911152800000001</v>
      </c>
      <c r="Y180" s="57"/>
      <c r="Z180" s="14"/>
      <c r="AA180" s="56"/>
      <c r="AB180" s="50">
        <f>(B180*122.58+C180*297.941+D180*89.177+E180*40.302+F180*40+G180*160+H180*0+I180*100+J180*300)/(122.58+297.941+89.177+40.302+0+40+160+100+300)</f>
        <v>9.6527451307826073</v>
      </c>
      <c r="AC180" s="45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9.493396402877698</v>
      </c>
    </row>
    <row r="181" spans="1:29" ht="15.75" x14ac:dyDescent="0.25">
      <c r="A181" s="13">
        <v>46388</v>
      </c>
      <c r="B181" s="14">
        <f>CHOOSE(CONTROL!$C$42, 10.1565, 10.1565) * CHOOSE(CONTROL!$C$21, $C$9, 100%, $E$9)</f>
        <v>10.156499999999999</v>
      </c>
      <c r="C181" s="14">
        <f>CHOOSE(CONTROL!$C$42, 10.1616, 10.1616) * CHOOSE(CONTROL!$C$21, $C$9, 100%, $E$9)</f>
        <v>10.1616</v>
      </c>
      <c r="D181" s="14">
        <f>CHOOSE(CONTROL!$C$42, 10.2202, 10.2202) * CHOOSE(CONTROL!$C$21, $C$9, 100%, $E$9)</f>
        <v>10.2202</v>
      </c>
      <c r="E181" s="14">
        <f>CHOOSE(CONTROL!$C$42, 10.2543, 10.2543) * CHOOSE(CONTROL!$C$21, $C$9, 100%, $E$9)</f>
        <v>10.254300000000001</v>
      </c>
      <c r="F181" s="14">
        <f>CHOOSE(CONTROL!$C$42, 10.1556, 10.1556)*CHOOSE(CONTROL!$C$21, $C$9, 100%, $E$9)</f>
        <v>10.1556</v>
      </c>
      <c r="G181" s="14">
        <f>CHOOSE(CONTROL!$C$42, 10.172, 10.172)*CHOOSE(CONTROL!$C$21, $C$9, 100%, $E$9)</f>
        <v>10.172000000000001</v>
      </c>
      <c r="H181" s="14">
        <f>CHOOSE(CONTROL!$C$42, 10.2435, 10.2435) * CHOOSE(CONTROL!$C$21, $C$9, 100%, $E$9)</f>
        <v>10.243499999999999</v>
      </c>
      <c r="I181" s="14">
        <f>CHOOSE(CONTROL!$C$42, 10.1986, 10.1986)* CHOOSE(CONTROL!$C$21, $C$9, 100%, $E$9)</f>
        <v>10.198600000000001</v>
      </c>
      <c r="J181" s="14">
        <f>CHOOSE(CONTROL!$C$42, 10.1486, 10.1486)* CHOOSE(CONTROL!$C$21, $C$9, 100%, $E$9)</f>
        <v>10.1486</v>
      </c>
      <c r="K181" s="53">
        <f>CHOOSE(CONTROL!$C$42, 10.1947, 10.1947) * CHOOSE(CONTROL!$C$21, $C$9, 100%, $E$9)</f>
        <v>10.194699999999999</v>
      </c>
      <c r="L181" s="14">
        <f>CHOOSE(CONTROL!$C$42, 10.8305, 10.8305) * CHOOSE(CONTROL!$C$21, $C$9, 100%, $E$9)</f>
        <v>10.830500000000001</v>
      </c>
      <c r="M181" s="14">
        <f>CHOOSE(CONTROL!$C$42, 9.9484, 9.9484) * CHOOSE(CONTROL!$C$21, $C$9, 100%, $E$9)</f>
        <v>9.9483999999999995</v>
      </c>
      <c r="N181" s="14">
        <f>CHOOSE(CONTROL!$C$42, 9.9644, 9.9644) * CHOOSE(CONTROL!$C$21, $C$9, 100%, $E$9)</f>
        <v>9.9643999999999995</v>
      </c>
      <c r="O181" s="14">
        <f>CHOOSE(CONTROL!$C$42, 10.0413, 10.0413) * CHOOSE(CONTROL!$C$21, $C$9, 100%, $E$9)</f>
        <v>10.0413</v>
      </c>
      <c r="P181" s="14">
        <f>CHOOSE(CONTROL!$C$42, 9.9967, 9.9967) * CHOOSE(CONTROL!$C$21, $C$9, 100%, $E$9)</f>
        <v>9.9967000000000006</v>
      </c>
      <c r="Q181" s="14">
        <f>CHOOSE(CONTROL!$C$42, 10.636, 10.636) * CHOOSE(CONTROL!$C$21, $C$9, 100%, $E$9)</f>
        <v>10.635999999999999</v>
      </c>
      <c r="R181" s="14">
        <f>CHOOSE(CONTROL!$C$42, 11.2496, 11.2496) * CHOOSE(CONTROL!$C$21, $C$9, 100%, $E$9)</f>
        <v>11.249599999999999</v>
      </c>
      <c r="S181" s="14">
        <f>CHOOSE(CONTROL!$C$42, 9.7509, 9.7509) * CHOOSE(CONTROL!$C$21, $C$9, 100%, $E$9)</f>
        <v>9.7508999999999997</v>
      </c>
      <c r="T1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7">
        <f>(1000*CHOOSE(CONTROL!$C$42, 695, 695)*CHOOSE(CONTROL!$C$42, 0.5599, 0.5599)*CHOOSE(CONTROL!$C$42, 31, 31))/1000000</f>
        <v>12.063045499999998</v>
      </c>
      <c r="V181" s="57">
        <f>(1000*CHOOSE(CONTROL!$C$42, 500, 500)*CHOOSE(CONTROL!$C$42, 0.275, 0.275)*CHOOSE(CONTROL!$C$42, 31, 31))/1000000</f>
        <v>4.2625000000000002</v>
      </c>
      <c r="W181" s="57">
        <f>(1000*CHOOSE(CONTROL!$C$42, 0.1146, 0.1146)*CHOOSE(CONTROL!$C$42, 121.5, 121.5)*CHOOSE(CONTROL!$C$42, 31, 31))/1000000</f>
        <v>0.43164089999999994</v>
      </c>
      <c r="X181" s="57">
        <f>(31*0.1790888*100000/1000000)+(31*0.2374*100000/1000000)</f>
        <v>1.2911152800000001</v>
      </c>
      <c r="Y181" s="57"/>
      <c r="Z181" s="14"/>
      <c r="AA181" s="56"/>
      <c r="AB181" s="50">
        <f>(B181*122.58+C181*297.941+D181*89.177+E181*40.302+F181*40+G181*160+H181*0+I181*100+J181*300)/(122.58+297.941+89.177+40.302+0+40+160+100+300)</f>
        <v>10.169913573565216</v>
      </c>
      <c r="AC181" s="45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9.9983762589928062</v>
      </c>
    </row>
    <row r="182" spans="1:29" ht="15.75" x14ac:dyDescent="0.25">
      <c r="A182" s="13">
        <v>46419</v>
      </c>
      <c r="B182" s="14">
        <f>CHOOSE(CONTROL!$C$42, 10.3584, 10.3584) * CHOOSE(CONTROL!$C$21, $C$9, 100%, $E$9)</f>
        <v>10.3584</v>
      </c>
      <c r="C182" s="14">
        <f>CHOOSE(CONTROL!$C$42, 10.3635, 10.3635) * CHOOSE(CONTROL!$C$21, $C$9, 100%, $E$9)</f>
        <v>10.3635</v>
      </c>
      <c r="D182" s="14">
        <f>CHOOSE(CONTROL!$C$42, 10.4221, 10.4221) * CHOOSE(CONTROL!$C$21, $C$9, 100%, $E$9)</f>
        <v>10.4221</v>
      </c>
      <c r="E182" s="14">
        <f>CHOOSE(CONTROL!$C$42, 10.4562, 10.4562) * CHOOSE(CONTROL!$C$21, $C$9, 100%, $E$9)</f>
        <v>10.456200000000001</v>
      </c>
      <c r="F182" s="14">
        <f>CHOOSE(CONTROL!$C$42, 10.3575, 10.3575)*CHOOSE(CONTROL!$C$21, $C$9, 100%, $E$9)</f>
        <v>10.3575</v>
      </c>
      <c r="G182" s="14">
        <f>CHOOSE(CONTROL!$C$42, 10.3739, 10.3739)*CHOOSE(CONTROL!$C$21, $C$9, 100%, $E$9)</f>
        <v>10.373900000000001</v>
      </c>
      <c r="H182" s="14">
        <f>CHOOSE(CONTROL!$C$42, 10.4454, 10.4454) * CHOOSE(CONTROL!$C$21, $C$9, 100%, $E$9)</f>
        <v>10.445399999999999</v>
      </c>
      <c r="I182" s="14">
        <f>CHOOSE(CONTROL!$C$42, 10.4011, 10.4011)* CHOOSE(CONTROL!$C$21, $C$9, 100%, $E$9)</f>
        <v>10.4011</v>
      </c>
      <c r="J182" s="14">
        <f>CHOOSE(CONTROL!$C$42, 10.3505, 10.3505)* CHOOSE(CONTROL!$C$21, $C$9, 100%, $E$9)</f>
        <v>10.3505</v>
      </c>
      <c r="K182" s="53">
        <f>CHOOSE(CONTROL!$C$42, 10.3972, 10.3972) * CHOOSE(CONTROL!$C$21, $C$9, 100%, $E$9)</f>
        <v>10.3972</v>
      </c>
      <c r="L182" s="14">
        <f>CHOOSE(CONTROL!$C$42, 11.0324, 11.0324) * CHOOSE(CONTROL!$C$21, $C$9, 100%, $E$9)</f>
        <v>11.032400000000001</v>
      </c>
      <c r="M182" s="14">
        <f>CHOOSE(CONTROL!$C$42, 10.1461, 10.1461) * CHOOSE(CONTROL!$C$21, $C$9, 100%, $E$9)</f>
        <v>10.146100000000001</v>
      </c>
      <c r="N182" s="14">
        <f>CHOOSE(CONTROL!$C$42, 10.1622, 10.1622) * CHOOSE(CONTROL!$C$21, $C$9, 100%, $E$9)</f>
        <v>10.1622</v>
      </c>
      <c r="O182" s="14">
        <f>CHOOSE(CONTROL!$C$42, 10.2391, 10.2391) * CHOOSE(CONTROL!$C$21, $C$9, 100%, $E$9)</f>
        <v>10.239100000000001</v>
      </c>
      <c r="P182" s="14">
        <f>CHOOSE(CONTROL!$C$42, 10.1951, 10.1951) * CHOOSE(CONTROL!$C$21, $C$9, 100%, $E$9)</f>
        <v>10.1951</v>
      </c>
      <c r="Q182" s="14">
        <f>CHOOSE(CONTROL!$C$42, 10.8338, 10.8338) * CHOOSE(CONTROL!$C$21, $C$9, 100%, $E$9)</f>
        <v>10.8338</v>
      </c>
      <c r="R182" s="14">
        <f>CHOOSE(CONTROL!$C$42, 11.4479, 11.4479) * CHOOSE(CONTROL!$C$21, $C$9, 100%, $E$9)</f>
        <v>11.447900000000001</v>
      </c>
      <c r="S182" s="14">
        <f>CHOOSE(CONTROL!$C$42, 9.9449, 9.9449) * CHOOSE(CONTROL!$C$21, $C$9, 100%, $E$9)</f>
        <v>9.9449000000000005</v>
      </c>
      <c r="T1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7">
        <f>(1000*CHOOSE(CONTROL!$C$42, 695, 695)*CHOOSE(CONTROL!$C$42, 0.5599, 0.5599)*CHOOSE(CONTROL!$C$42, 28, 28))/1000000</f>
        <v>10.895653999999999</v>
      </c>
      <c r="V182" s="57">
        <f>(1000*CHOOSE(CONTROL!$C$42, 500, 500)*CHOOSE(CONTROL!$C$42, 0.275, 0.275)*CHOOSE(CONTROL!$C$42, 28, 28))/1000000</f>
        <v>3.85</v>
      </c>
      <c r="W182" s="57">
        <f>(1000*CHOOSE(CONTROL!$C$42, 0.1146, 0.1146)*CHOOSE(CONTROL!$C$42, 121.5, 121.5)*CHOOSE(CONTROL!$C$42, 28, 28))/1000000</f>
        <v>0.38986920000000003</v>
      </c>
      <c r="X182" s="57">
        <f>(28*0.1790888*100000/1000000)+(28*0.2374*100000/1000000)</f>
        <v>1.16616864</v>
      </c>
      <c r="Y182" s="57"/>
      <c r="Z182" s="14"/>
      <c r="AA182" s="56"/>
      <c r="AB182" s="50">
        <f>(B182*122.58+C182*297.941+D182*89.177+E182*40.302+F182*40+G182*160+H182*0+I182*100+J182*300)/(122.58+297.941+89.177+40.302+0+40+160+100+300)</f>
        <v>10.37186574747826</v>
      </c>
      <c r="AC182" s="45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10.196228057553958</v>
      </c>
    </row>
    <row r="183" spans="1:29" ht="15.75" x14ac:dyDescent="0.25">
      <c r="A183" s="13">
        <v>46447</v>
      </c>
      <c r="B183" s="14">
        <f>CHOOSE(CONTROL!$C$42, 10.0853, 10.0853) * CHOOSE(CONTROL!$C$21, $C$9, 100%, $E$9)</f>
        <v>10.0853</v>
      </c>
      <c r="C183" s="14">
        <f>CHOOSE(CONTROL!$C$42, 10.0904, 10.0904) * CHOOSE(CONTROL!$C$21, $C$9, 100%, $E$9)</f>
        <v>10.090400000000001</v>
      </c>
      <c r="D183" s="14">
        <f>CHOOSE(CONTROL!$C$42, 10.149, 10.149) * CHOOSE(CONTROL!$C$21, $C$9, 100%, $E$9)</f>
        <v>10.148999999999999</v>
      </c>
      <c r="E183" s="14">
        <f>CHOOSE(CONTROL!$C$42, 10.1831, 10.1831) * CHOOSE(CONTROL!$C$21, $C$9, 100%, $E$9)</f>
        <v>10.1831</v>
      </c>
      <c r="F183" s="14">
        <f>CHOOSE(CONTROL!$C$42, 10.0839, 10.0839)*CHOOSE(CONTROL!$C$21, $C$9, 100%, $E$9)</f>
        <v>10.0839</v>
      </c>
      <c r="G183" s="14">
        <f>CHOOSE(CONTROL!$C$42, 10.1001, 10.1001)*CHOOSE(CONTROL!$C$21, $C$9, 100%, $E$9)</f>
        <v>10.100099999999999</v>
      </c>
      <c r="H183" s="14">
        <f>CHOOSE(CONTROL!$C$42, 10.1723, 10.1723) * CHOOSE(CONTROL!$C$21, $C$9, 100%, $E$9)</f>
        <v>10.1723</v>
      </c>
      <c r="I183" s="14">
        <f>CHOOSE(CONTROL!$C$42, 10.1272, 10.1272)* CHOOSE(CONTROL!$C$21, $C$9, 100%, $E$9)</f>
        <v>10.1272</v>
      </c>
      <c r="J183" s="14">
        <f>CHOOSE(CONTROL!$C$42, 10.0769, 10.0769)* CHOOSE(CONTROL!$C$21, $C$9, 100%, $E$9)</f>
        <v>10.0769</v>
      </c>
      <c r="K183" s="53">
        <f>CHOOSE(CONTROL!$C$42, 10.1233, 10.1233) * CHOOSE(CONTROL!$C$21, $C$9, 100%, $E$9)</f>
        <v>10.1233</v>
      </c>
      <c r="L183" s="14">
        <f>CHOOSE(CONTROL!$C$42, 10.7593, 10.7593) * CHOOSE(CONTROL!$C$21, $C$9, 100%, $E$9)</f>
        <v>10.7593</v>
      </c>
      <c r="M183" s="14">
        <f>CHOOSE(CONTROL!$C$42, 9.8781, 9.8781) * CHOOSE(CONTROL!$C$21, $C$9, 100%, $E$9)</f>
        <v>9.8780999999999999</v>
      </c>
      <c r="N183" s="14">
        <f>CHOOSE(CONTROL!$C$42, 9.894, 9.894) * CHOOSE(CONTROL!$C$21, $C$9, 100%, $E$9)</f>
        <v>9.8940000000000001</v>
      </c>
      <c r="O183" s="14">
        <f>CHOOSE(CONTROL!$C$42, 9.9716, 9.9716) * CHOOSE(CONTROL!$C$21, $C$9, 100%, $E$9)</f>
        <v>9.9716000000000005</v>
      </c>
      <c r="P183" s="14">
        <f>CHOOSE(CONTROL!$C$42, 9.9268, 9.9268) * CHOOSE(CONTROL!$C$21, $C$9, 100%, $E$9)</f>
        <v>9.9268000000000001</v>
      </c>
      <c r="Q183" s="14">
        <f>CHOOSE(CONTROL!$C$42, 10.5663, 10.5663) * CHOOSE(CONTROL!$C$21, $C$9, 100%, $E$9)</f>
        <v>10.5663</v>
      </c>
      <c r="R183" s="14">
        <f>CHOOSE(CONTROL!$C$42, 11.1797, 11.1797) * CHOOSE(CONTROL!$C$21, $C$9, 100%, $E$9)</f>
        <v>11.1797</v>
      </c>
      <c r="S183" s="14">
        <f>CHOOSE(CONTROL!$C$42, 9.6825, 9.6825) * CHOOSE(CONTROL!$C$21, $C$9, 100%, $E$9)</f>
        <v>9.6824999999999992</v>
      </c>
      <c r="T1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7">
        <f>(1000*CHOOSE(CONTROL!$C$42, 695, 695)*CHOOSE(CONTROL!$C$42, 0.5599, 0.5599)*CHOOSE(CONTROL!$C$42, 31, 31))/1000000</f>
        <v>12.063045499999998</v>
      </c>
      <c r="V183" s="57">
        <f>(1000*CHOOSE(CONTROL!$C$42, 500, 500)*CHOOSE(CONTROL!$C$42, 0.275, 0.275)*CHOOSE(CONTROL!$C$42, 31, 31))/1000000</f>
        <v>4.2625000000000002</v>
      </c>
      <c r="W183" s="57">
        <f>(1000*CHOOSE(CONTROL!$C$42, 0.1146, 0.1146)*CHOOSE(CONTROL!$C$42, 121.5, 121.5)*CHOOSE(CONTROL!$C$42, 31, 31))/1000000</f>
        <v>0.43164089999999994</v>
      </c>
      <c r="X183" s="57">
        <f>(31*0.1790888*100000/1000000)+(31*0.2374*100000/1000000)</f>
        <v>1.2911152800000001</v>
      </c>
      <c r="Y183" s="57"/>
      <c r="Z183" s="14"/>
      <c r="AA183" s="56"/>
      <c r="AB183" s="50">
        <f>(B183*122.58+C183*297.941+D183*89.177+E183*40.302+F183*40+G183*160+H183*0+I183*100+J183*300)/(122.58+297.941+89.177+40.302+0+40+160+100+300)</f>
        <v>10.098450964869564</v>
      </c>
      <c r="AC183" s="45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9.9283999999999999</v>
      </c>
    </row>
    <row r="184" spans="1:29" ht="15.75" x14ac:dyDescent="0.25">
      <c r="A184" s="13">
        <v>46478</v>
      </c>
      <c r="B184" s="14">
        <f>CHOOSE(CONTROL!$C$42, 10.077, 10.077) * CHOOSE(CONTROL!$C$21, $C$9, 100%, $E$9)</f>
        <v>10.077</v>
      </c>
      <c r="C184" s="14">
        <f>CHOOSE(CONTROL!$C$42, 10.0815, 10.0815) * CHOOSE(CONTROL!$C$21, $C$9, 100%, $E$9)</f>
        <v>10.0815</v>
      </c>
      <c r="D184" s="14">
        <f>CHOOSE(CONTROL!$C$42, 10.2896, 10.2896) * CHOOSE(CONTROL!$C$21, $C$9, 100%, $E$9)</f>
        <v>10.2896</v>
      </c>
      <c r="E184" s="14">
        <f>CHOOSE(CONTROL!$C$42, 10.3217, 10.3217) * CHOOSE(CONTROL!$C$21, $C$9, 100%, $E$9)</f>
        <v>10.3217</v>
      </c>
      <c r="F184" s="14">
        <f>CHOOSE(CONTROL!$C$42, 10.0644, 10.0644)*CHOOSE(CONTROL!$C$21, $C$9, 100%, $E$9)</f>
        <v>10.064399999999999</v>
      </c>
      <c r="G184" s="14">
        <f>CHOOSE(CONTROL!$C$42, 10.0803, 10.0803)*CHOOSE(CONTROL!$C$21, $C$9, 100%, $E$9)</f>
        <v>10.080299999999999</v>
      </c>
      <c r="H184" s="14">
        <f>CHOOSE(CONTROL!$C$42, 10.3115, 10.3115) * CHOOSE(CONTROL!$C$21, $C$9, 100%, $E$9)</f>
        <v>10.311500000000001</v>
      </c>
      <c r="I184" s="14">
        <f>CHOOSE(CONTROL!$C$42, 10.118, 10.118)* CHOOSE(CONTROL!$C$21, $C$9, 100%, $E$9)</f>
        <v>10.118</v>
      </c>
      <c r="J184" s="14">
        <f>CHOOSE(CONTROL!$C$42, 10.0574, 10.0574)* CHOOSE(CONTROL!$C$21, $C$9, 100%, $E$9)</f>
        <v>10.057399999999999</v>
      </c>
      <c r="K184" s="53">
        <f>CHOOSE(CONTROL!$C$42, 10.1142, 10.1142) * CHOOSE(CONTROL!$C$21, $C$9, 100%, $E$9)</f>
        <v>10.1142</v>
      </c>
      <c r="L184" s="14">
        <f>CHOOSE(CONTROL!$C$42, 10.8985, 10.8985) * CHOOSE(CONTROL!$C$21, $C$9, 100%, $E$9)</f>
        <v>10.8985</v>
      </c>
      <c r="M184" s="14">
        <f>CHOOSE(CONTROL!$C$42, 9.859, 9.859) * CHOOSE(CONTROL!$C$21, $C$9, 100%, $E$9)</f>
        <v>9.859</v>
      </c>
      <c r="N184" s="14">
        <f>CHOOSE(CONTROL!$C$42, 9.8746, 9.8746) * CHOOSE(CONTROL!$C$21, $C$9, 100%, $E$9)</f>
        <v>9.8745999999999992</v>
      </c>
      <c r="O184" s="14">
        <f>CHOOSE(CONTROL!$C$42, 10.1079, 10.1079) * CHOOSE(CONTROL!$C$21, $C$9, 100%, $E$9)</f>
        <v>10.107900000000001</v>
      </c>
      <c r="P184" s="14">
        <f>CHOOSE(CONTROL!$C$42, 9.9179, 9.9179) * CHOOSE(CONTROL!$C$21, $C$9, 100%, $E$9)</f>
        <v>9.9178999999999995</v>
      </c>
      <c r="Q184" s="14">
        <f>CHOOSE(CONTROL!$C$42, 10.7026, 10.7026) * CHOOSE(CONTROL!$C$21, $C$9, 100%, $E$9)</f>
        <v>10.7026</v>
      </c>
      <c r="R184" s="14">
        <f>CHOOSE(CONTROL!$C$42, 11.3164, 11.3164) * CHOOSE(CONTROL!$C$21, $C$9, 100%, $E$9)</f>
        <v>11.3164</v>
      </c>
      <c r="S184" s="14">
        <f>CHOOSE(CONTROL!$C$42, 9.6737, 9.6737) * CHOOSE(CONTROL!$C$21, $C$9, 100%, $E$9)</f>
        <v>9.6737000000000002</v>
      </c>
      <c r="T1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7">
        <f>(1000*CHOOSE(CONTROL!$C$42, 695, 695)*CHOOSE(CONTROL!$C$42, 0.5599, 0.5599)*CHOOSE(CONTROL!$C$42, 30, 30))/1000000</f>
        <v>11.673914999999997</v>
      </c>
      <c r="V184" s="57">
        <f>(1000*CHOOSE(CONTROL!$C$42, 500, 500)*CHOOSE(CONTROL!$C$42, 0.275, 0.275)*CHOOSE(CONTROL!$C$42, 30, 30))/1000000</f>
        <v>4.125</v>
      </c>
      <c r="W184" s="57">
        <f>(1000*CHOOSE(CONTROL!$C$42, 0.1146, 0.1146)*CHOOSE(CONTROL!$C$42, 121.5, 121.5)*CHOOSE(CONTROL!$C$42, 30, 30))/1000000</f>
        <v>0.417717</v>
      </c>
      <c r="X184" s="57">
        <f>(30*0.1790888*245000/1000000)+(30*0.2374*100000/1000000)</f>
        <v>2.0285026799999999</v>
      </c>
      <c r="Y184" s="57"/>
      <c r="Z184" s="14"/>
      <c r="AA184" s="56"/>
      <c r="AB184" s="50">
        <f>(B184*141.293+C184*267.993+D184*115.016+E184*89.698+F184*40+G184*185+H184*0+I184*100+J184*300)/(141.293+267.993+115.016+89.698+0+40+185+100+300)</f>
        <v>10.11407342267958</v>
      </c>
      <c r="AC184" s="45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9.9409014388489201</v>
      </c>
    </row>
    <row r="185" spans="1:29" ht="15.75" x14ac:dyDescent="0.25">
      <c r="A185" s="13">
        <v>46508</v>
      </c>
      <c r="B185" s="14">
        <f>CHOOSE(CONTROL!$C$42, 10.1882, 10.1882) * CHOOSE(CONTROL!$C$21, $C$9, 100%, $E$9)</f>
        <v>10.1882</v>
      </c>
      <c r="C185" s="14">
        <f>CHOOSE(CONTROL!$C$42, 10.1962, 10.1962) * CHOOSE(CONTROL!$C$21, $C$9, 100%, $E$9)</f>
        <v>10.196199999999999</v>
      </c>
      <c r="D185" s="14">
        <f>CHOOSE(CONTROL!$C$42, 10.4012, 10.4012) * CHOOSE(CONTROL!$C$21, $C$9, 100%, $E$9)</f>
        <v>10.401199999999999</v>
      </c>
      <c r="E185" s="14">
        <f>CHOOSE(CONTROL!$C$42, 10.4327, 10.4327) * CHOOSE(CONTROL!$C$21, $C$9, 100%, $E$9)</f>
        <v>10.432700000000001</v>
      </c>
      <c r="F185" s="14">
        <f>CHOOSE(CONTROL!$C$42, 10.1744, 10.1744)*CHOOSE(CONTROL!$C$21, $C$9, 100%, $E$9)</f>
        <v>10.1744</v>
      </c>
      <c r="G185" s="14">
        <f>CHOOSE(CONTROL!$C$42, 10.1908, 10.1908)*CHOOSE(CONTROL!$C$21, $C$9, 100%, $E$9)</f>
        <v>10.190799999999999</v>
      </c>
      <c r="H185" s="14">
        <f>CHOOSE(CONTROL!$C$42, 10.4213, 10.4213) * CHOOSE(CONTROL!$C$21, $C$9, 100%, $E$9)</f>
        <v>10.4213</v>
      </c>
      <c r="I185" s="14">
        <f>CHOOSE(CONTROL!$C$42, 10.2282, 10.2282)* CHOOSE(CONTROL!$C$21, $C$9, 100%, $E$9)</f>
        <v>10.228199999999999</v>
      </c>
      <c r="J185" s="14">
        <f>CHOOSE(CONTROL!$C$42, 10.1674, 10.1674)* CHOOSE(CONTROL!$C$21, $C$9, 100%, $E$9)</f>
        <v>10.167400000000001</v>
      </c>
      <c r="K185" s="53">
        <f>CHOOSE(CONTROL!$C$42, 10.2243, 10.2243) * CHOOSE(CONTROL!$C$21, $C$9, 100%, $E$9)</f>
        <v>10.224299999999999</v>
      </c>
      <c r="L185" s="14">
        <f>CHOOSE(CONTROL!$C$42, 11.0083, 11.0083) * CHOOSE(CONTROL!$C$21, $C$9, 100%, $E$9)</f>
        <v>11.0083</v>
      </c>
      <c r="M185" s="14">
        <f>CHOOSE(CONTROL!$C$42, 9.9667, 9.9667) * CHOOSE(CONTROL!$C$21, $C$9, 100%, $E$9)</f>
        <v>9.9666999999999994</v>
      </c>
      <c r="N185" s="14">
        <f>CHOOSE(CONTROL!$C$42, 9.9828, 9.9828) * CHOOSE(CONTROL!$C$21, $C$9, 100%, $E$9)</f>
        <v>9.9827999999999992</v>
      </c>
      <c r="O185" s="14">
        <f>CHOOSE(CONTROL!$C$42, 10.2155, 10.2155) * CHOOSE(CONTROL!$C$21, $C$9, 100%, $E$9)</f>
        <v>10.2155</v>
      </c>
      <c r="P185" s="14">
        <f>CHOOSE(CONTROL!$C$42, 10.0257, 10.0257) * CHOOSE(CONTROL!$C$21, $C$9, 100%, $E$9)</f>
        <v>10.025700000000001</v>
      </c>
      <c r="Q185" s="14">
        <f>CHOOSE(CONTROL!$C$42, 10.8102, 10.8102) * CHOOSE(CONTROL!$C$21, $C$9, 100%, $E$9)</f>
        <v>10.8102</v>
      </c>
      <c r="R185" s="14">
        <f>CHOOSE(CONTROL!$C$42, 11.4242, 11.4242) * CHOOSE(CONTROL!$C$21, $C$9, 100%, $E$9)</f>
        <v>11.424200000000001</v>
      </c>
      <c r="S185" s="14">
        <f>CHOOSE(CONTROL!$C$42, 9.7792, 9.7792) * CHOOSE(CONTROL!$C$21, $C$9, 100%, $E$9)</f>
        <v>9.7791999999999994</v>
      </c>
      <c r="T1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7">
        <f>(1000*CHOOSE(CONTROL!$C$42, 695, 695)*CHOOSE(CONTROL!$C$42, 0.5599, 0.5599)*CHOOSE(CONTROL!$C$42, 31, 31))/1000000</f>
        <v>12.063045499999998</v>
      </c>
      <c r="V185" s="57">
        <f>(1000*CHOOSE(CONTROL!$C$42, 500, 500)*CHOOSE(CONTROL!$C$42, 0.275, 0.275)*CHOOSE(CONTROL!$C$42, 31, 31))/1000000</f>
        <v>4.2625000000000002</v>
      </c>
      <c r="W185" s="57">
        <f>(1000*CHOOSE(CONTROL!$C$42, 0.1146, 0.1146)*CHOOSE(CONTROL!$C$42, 121.5, 121.5)*CHOOSE(CONTROL!$C$42, 31, 31))/1000000</f>
        <v>0.43164089999999994</v>
      </c>
      <c r="X185" s="57">
        <f>(31*0.1790888*245000/1000000)+(31*0.2374*100000/1000000)</f>
        <v>2.0961194359999999</v>
      </c>
      <c r="Y185" s="57"/>
      <c r="Z185" s="14"/>
      <c r="AA185" s="56"/>
      <c r="AB185" s="50">
        <f>(B185*194.205+C185*267.466+D185*133.845+E185*53.484+F185*40+G185*185+H185*0+I185*100+J185*300)/(194.205+267.466+133.845+53.484+0+40+185+100+300)</f>
        <v>10.220707496860282</v>
      </c>
      <c r="AC185" s="45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10.04870287769784</v>
      </c>
    </row>
    <row r="186" spans="1:29" ht="15.75" x14ac:dyDescent="0.25">
      <c r="A186" s="13">
        <v>46539</v>
      </c>
      <c r="B186" s="14">
        <f>CHOOSE(CONTROL!$C$42, 10.4984, 10.4984) * CHOOSE(CONTROL!$C$21, $C$9, 100%, $E$9)</f>
        <v>10.4984</v>
      </c>
      <c r="C186" s="14">
        <f>CHOOSE(CONTROL!$C$42, 10.5064, 10.5064) * CHOOSE(CONTROL!$C$21, $C$9, 100%, $E$9)</f>
        <v>10.506399999999999</v>
      </c>
      <c r="D186" s="14">
        <f>CHOOSE(CONTROL!$C$42, 10.7114, 10.7114) * CHOOSE(CONTROL!$C$21, $C$9, 100%, $E$9)</f>
        <v>10.711399999999999</v>
      </c>
      <c r="E186" s="14">
        <f>CHOOSE(CONTROL!$C$42, 10.7429, 10.7429) * CHOOSE(CONTROL!$C$21, $C$9, 100%, $E$9)</f>
        <v>10.742900000000001</v>
      </c>
      <c r="F186" s="14">
        <f>CHOOSE(CONTROL!$C$42, 10.485, 10.485)*CHOOSE(CONTROL!$C$21, $C$9, 100%, $E$9)</f>
        <v>10.484999999999999</v>
      </c>
      <c r="G186" s="14">
        <f>CHOOSE(CONTROL!$C$42, 10.5015, 10.5015)*CHOOSE(CONTROL!$C$21, $C$9, 100%, $E$9)</f>
        <v>10.5015</v>
      </c>
      <c r="H186" s="14">
        <f>CHOOSE(CONTROL!$C$42, 10.7315, 10.7315) * CHOOSE(CONTROL!$C$21, $C$9, 100%, $E$9)</f>
        <v>10.7315</v>
      </c>
      <c r="I186" s="14">
        <f>CHOOSE(CONTROL!$C$42, 10.5393, 10.5393)* CHOOSE(CONTROL!$C$21, $C$9, 100%, $E$9)</f>
        <v>10.539300000000001</v>
      </c>
      <c r="J186" s="14">
        <f>CHOOSE(CONTROL!$C$42, 10.478, 10.478)* CHOOSE(CONTROL!$C$21, $C$9, 100%, $E$9)</f>
        <v>10.478</v>
      </c>
      <c r="K186" s="53">
        <f>CHOOSE(CONTROL!$C$42, 10.5354, 10.5354) * CHOOSE(CONTROL!$C$21, $C$9, 100%, $E$9)</f>
        <v>10.535399999999999</v>
      </c>
      <c r="L186" s="14">
        <f>CHOOSE(CONTROL!$C$42, 11.3185, 11.3185) * CHOOSE(CONTROL!$C$21, $C$9, 100%, $E$9)</f>
        <v>11.3185</v>
      </c>
      <c r="M186" s="14">
        <f>CHOOSE(CONTROL!$C$42, 10.271, 10.271) * CHOOSE(CONTROL!$C$21, $C$9, 100%, $E$9)</f>
        <v>10.271000000000001</v>
      </c>
      <c r="N186" s="14">
        <f>CHOOSE(CONTROL!$C$42, 10.2871, 10.2871) * CHOOSE(CONTROL!$C$21, $C$9, 100%, $E$9)</f>
        <v>10.287100000000001</v>
      </c>
      <c r="O186" s="14">
        <f>CHOOSE(CONTROL!$C$42, 10.5193, 10.5193) * CHOOSE(CONTROL!$C$21, $C$9, 100%, $E$9)</f>
        <v>10.519299999999999</v>
      </c>
      <c r="P186" s="14">
        <f>CHOOSE(CONTROL!$C$42, 10.3305, 10.3305) * CHOOSE(CONTROL!$C$21, $C$9, 100%, $E$9)</f>
        <v>10.330500000000001</v>
      </c>
      <c r="Q186" s="14">
        <f>CHOOSE(CONTROL!$C$42, 11.114, 11.114) * CHOOSE(CONTROL!$C$21, $C$9, 100%, $E$9)</f>
        <v>11.114000000000001</v>
      </c>
      <c r="R186" s="14">
        <f>CHOOSE(CONTROL!$C$42, 11.7288, 11.7288) * CHOOSE(CONTROL!$C$21, $C$9, 100%, $E$9)</f>
        <v>11.7288</v>
      </c>
      <c r="S186" s="14">
        <f>CHOOSE(CONTROL!$C$42, 10.0773, 10.0773) * CHOOSE(CONTROL!$C$21, $C$9, 100%, $E$9)</f>
        <v>10.077299999999999</v>
      </c>
      <c r="T1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7">
        <f>(1000*CHOOSE(CONTROL!$C$42, 695, 695)*CHOOSE(CONTROL!$C$42, 0.5599, 0.5599)*CHOOSE(CONTROL!$C$42, 30, 30))/1000000</f>
        <v>11.673914999999997</v>
      </c>
      <c r="V186" s="57">
        <f>(1000*CHOOSE(CONTROL!$C$42, 500, 500)*CHOOSE(CONTROL!$C$42, 0.275, 0.275)*CHOOSE(CONTROL!$C$42, 30, 30))/1000000</f>
        <v>4.125</v>
      </c>
      <c r="W186" s="57">
        <f>(1000*CHOOSE(CONTROL!$C$42, 0.1146, 0.1146)*CHOOSE(CONTROL!$C$42, 121.5, 121.5)*CHOOSE(CONTROL!$C$42, 30, 30))/1000000</f>
        <v>0.417717</v>
      </c>
      <c r="X186" s="57">
        <f>(30*0.1790888*245000/1000000)+(30*0.2374*100000/1000000)</f>
        <v>2.0285026799999999</v>
      </c>
      <c r="Y186" s="57"/>
      <c r="Z186" s="14"/>
      <c r="AA186" s="56"/>
      <c r="AB186" s="50">
        <f>(B186*194.205+C186*267.466+D186*133.845+E186*53.484+F186*40+G186*185+H186*0+I186*100+J186*300)/(194.205+267.466+133.845+53.484+0+40+185+100+300)</f>
        <v>10.531157496860281</v>
      </c>
      <c r="AC186" s="45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10.352934532374102</v>
      </c>
    </row>
    <row r="187" spans="1:29" ht="15.75" x14ac:dyDescent="0.25">
      <c r="A187" s="13">
        <v>46569</v>
      </c>
      <c r="B187" s="14">
        <f>CHOOSE(CONTROL!$C$42, 10.3184, 10.3184) * CHOOSE(CONTROL!$C$21, $C$9, 100%, $E$9)</f>
        <v>10.3184</v>
      </c>
      <c r="C187" s="14">
        <f>CHOOSE(CONTROL!$C$42, 10.3264, 10.3264) * CHOOSE(CONTROL!$C$21, $C$9, 100%, $E$9)</f>
        <v>10.3264</v>
      </c>
      <c r="D187" s="14">
        <f>CHOOSE(CONTROL!$C$42, 10.5314, 10.5314) * CHOOSE(CONTROL!$C$21, $C$9, 100%, $E$9)</f>
        <v>10.5314</v>
      </c>
      <c r="E187" s="14">
        <f>CHOOSE(CONTROL!$C$42, 10.5629, 10.5629) * CHOOSE(CONTROL!$C$21, $C$9, 100%, $E$9)</f>
        <v>10.562900000000001</v>
      </c>
      <c r="F187" s="14">
        <f>CHOOSE(CONTROL!$C$42, 10.3054, 10.3054)*CHOOSE(CONTROL!$C$21, $C$9, 100%, $E$9)</f>
        <v>10.305400000000001</v>
      </c>
      <c r="G187" s="14">
        <f>CHOOSE(CONTROL!$C$42, 10.322, 10.322)*CHOOSE(CONTROL!$C$21, $C$9, 100%, $E$9)</f>
        <v>10.321999999999999</v>
      </c>
      <c r="H187" s="14">
        <f>CHOOSE(CONTROL!$C$42, 10.5515, 10.5515) * CHOOSE(CONTROL!$C$21, $C$9, 100%, $E$9)</f>
        <v>10.551500000000001</v>
      </c>
      <c r="I187" s="14">
        <f>CHOOSE(CONTROL!$C$42, 10.3588, 10.3588)* CHOOSE(CONTROL!$C$21, $C$9, 100%, $E$9)</f>
        <v>10.3588</v>
      </c>
      <c r="J187" s="14">
        <f>CHOOSE(CONTROL!$C$42, 10.2984, 10.2984)* CHOOSE(CONTROL!$C$21, $C$9, 100%, $E$9)</f>
        <v>10.298400000000001</v>
      </c>
      <c r="K187" s="53">
        <f>CHOOSE(CONTROL!$C$42, 10.3549, 10.3549) * CHOOSE(CONTROL!$C$21, $C$9, 100%, $E$9)</f>
        <v>10.354900000000001</v>
      </c>
      <c r="L187" s="14">
        <f>CHOOSE(CONTROL!$C$42, 11.1385, 11.1385) * CHOOSE(CONTROL!$C$21, $C$9, 100%, $E$9)</f>
        <v>11.138500000000001</v>
      </c>
      <c r="M187" s="14">
        <f>CHOOSE(CONTROL!$C$42, 10.0951, 10.0951) * CHOOSE(CONTROL!$C$21, $C$9, 100%, $E$9)</f>
        <v>10.0951</v>
      </c>
      <c r="N187" s="14">
        <f>CHOOSE(CONTROL!$C$42, 10.1114, 10.1114) * CHOOSE(CONTROL!$C$21, $C$9, 100%, $E$9)</f>
        <v>10.1114</v>
      </c>
      <c r="O187" s="14">
        <f>CHOOSE(CONTROL!$C$42, 10.343, 10.343) * CHOOSE(CONTROL!$C$21, $C$9, 100%, $E$9)</f>
        <v>10.343</v>
      </c>
      <c r="P187" s="14">
        <f>CHOOSE(CONTROL!$C$42, 10.1537, 10.1537) * CHOOSE(CONTROL!$C$21, $C$9, 100%, $E$9)</f>
        <v>10.153700000000001</v>
      </c>
      <c r="Q187" s="14">
        <f>CHOOSE(CONTROL!$C$42, 10.9377, 10.9377) * CHOOSE(CONTROL!$C$21, $C$9, 100%, $E$9)</f>
        <v>10.9377</v>
      </c>
      <c r="R187" s="14">
        <f>CHOOSE(CONTROL!$C$42, 11.5521, 11.5521) * CHOOSE(CONTROL!$C$21, $C$9, 100%, $E$9)</f>
        <v>11.552099999999999</v>
      </c>
      <c r="S187" s="14">
        <f>CHOOSE(CONTROL!$C$42, 9.9043, 9.9043) * CHOOSE(CONTROL!$C$21, $C$9, 100%, $E$9)</f>
        <v>9.9042999999999992</v>
      </c>
      <c r="T1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7">
        <f>(1000*CHOOSE(CONTROL!$C$42, 695, 695)*CHOOSE(CONTROL!$C$42, 0.5599, 0.5599)*CHOOSE(CONTROL!$C$42, 31, 31))/1000000</f>
        <v>12.063045499999998</v>
      </c>
      <c r="V187" s="57">
        <f>(1000*CHOOSE(CONTROL!$C$42, 500, 500)*CHOOSE(CONTROL!$C$42, 0.275, 0.275)*CHOOSE(CONTROL!$C$42, 31, 31))/1000000</f>
        <v>4.2625000000000002</v>
      </c>
      <c r="W187" s="57">
        <f>(1000*CHOOSE(CONTROL!$C$42, 0.1146, 0.1146)*CHOOSE(CONTROL!$C$42, 121.5, 121.5)*CHOOSE(CONTROL!$C$42, 31, 31))/1000000</f>
        <v>0.43164089999999994</v>
      </c>
      <c r="X187" s="57">
        <f>(31*0.1790888*245000/1000000)+(31*0.2374*100000/1000000)</f>
        <v>2.0961194359999999</v>
      </c>
      <c r="Y187" s="57"/>
      <c r="Z187" s="14"/>
      <c r="AA187" s="56"/>
      <c r="AB187" s="50">
        <f>(B187*194.205+C187*267.466+D187*133.845+E187*53.484+F187*40+G187*185+H187*0+I187*100+J187*300)/(194.205+267.466+133.845+53.484+0+40+185+100+300)</f>
        <v>10.351297606750393</v>
      </c>
      <c r="AC187" s="45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10.176838848920864</v>
      </c>
    </row>
    <row r="188" spans="1:29" ht="15.75" x14ac:dyDescent="0.25">
      <c r="A188" s="13">
        <v>46600</v>
      </c>
      <c r="B188" s="14">
        <f>CHOOSE(CONTROL!$C$42, 9.8295, 9.8295) * CHOOSE(CONTROL!$C$21, $C$9, 100%, $E$9)</f>
        <v>9.8294999999999995</v>
      </c>
      <c r="C188" s="14">
        <f>CHOOSE(CONTROL!$C$42, 9.8375, 9.8375) * CHOOSE(CONTROL!$C$21, $C$9, 100%, $E$9)</f>
        <v>9.8375000000000004</v>
      </c>
      <c r="D188" s="14">
        <f>CHOOSE(CONTROL!$C$42, 10.0425, 10.0425) * CHOOSE(CONTROL!$C$21, $C$9, 100%, $E$9)</f>
        <v>10.0425</v>
      </c>
      <c r="E188" s="14">
        <f>CHOOSE(CONTROL!$C$42, 10.074, 10.074) * CHOOSE(CONTROL!$C$21, $C$9, 100%, $E$9)</f>
        <v>10.074</v>
      </c>
      <c r="F188" s="14">
        <f>CHOOSE(CONTROL!$C$42, 9.8167, 9.8167)*CHOOSE(CONTROL!$C$21, $C$9, 100%, $E$9)</f>
        <v>9.8167000000000009</v>
      </c>
      <c r="G188" s="14">
        <f>CHOOSE(CONTROL!$C$42, 9.8334, 9.8334)*CHOOSE(CONTROL!$C$21, $C$9, 100%, $E$9)</f>
        <v>9.8333999999999993</v>
      </c>
      <c r="H188" s="14">
        <f>CHOOSE(CONTROL!$C$42, 10.0626, 10.0626) * CHOOSE(CONTROL!$C$21, $C$9, 100%, $E$9)</f>
        <v>10.0626</v>
      </c>
      <c r="I188" s="14">
        <f>CHOOSE(CONTROL!$C$42, 9.8684, 9.8684)* CHOOSE(CONTROL!$C$21, $C$9, 100%, $E$9)</f>
        <v>9.8683999999999994</v>
      </c>
      <c r="J188" s="14">
        <f>CHOOSE(CONTROL!$C$42, 9.8097, 9.8097)* CHOOSE(CONTROL!$C$21, $C$9, 100%, $E$9)</f>
        <v>9.8096999999999994</v>
      </c>
      <c r="K188" s="53">
        <f>CHOOSE(CONTROL!$C$42, 9.8645, 9.8645) * CHOOSE(CONTROL!$C$21, $C$9, 100%, $E$9)</f>
        <v>9.8644999999999996</v>
      </c>
      <c r="L188" s="14">
        <f>CHOOSE(CONTROL!$C$42, 10.6496, 10.6496) * CHOOSE(CONTROL!$C$21, $C$9, 100%, $E$9)</f>
        <v>10.6496</v>
      </c>
      <c r="M188" s="14">
        <f>CHOOSE(CONTROL!$C$42, 9.6164, 9.6164) * CHOOSE(CONTROL!$C$21, $C$9, 100%, $E$9)</f>
        <v>9.6164000000000005</v>
      </c>
      <c r="N188" s="14">
        <f>CHOOSE(CONTROL!$C$42, 9.6327, 9.6327) * CHOOSE(CONTROL!$C$21, $C$9, 100%, $E$9)</f>
        <v>9.6326999999999998</v>
      </c>
      <c r="O188" s="14">
        <f>CHOOSE(CONTROL!$C$42, 9.8641, 9.8641) * CHOOSE(CONTROL!$C$21, $C$9, 100%, $E$9)</f>
        <v>9.8641000000000005</v>
      </c>
      <c r="P188" s="14">
        <f>CHOOSE(CONTROL!$C$42, 9.6733, 9.6733) * CHOOSE(CONTROL!$C$21, $C$9, 100%, $E$9)</f>
        <v>9.6732999999999993</v>
      </c>
      <c r="Q188" s="14">
        <f>CHOOSE(CONTROL!$C$42, 10.4588, 10.4588) * CHOOSE(CONTROL!$C$21, $C$9, 100%, $E$9)</f>
        <v>10.4588</v>
      </c>
      <c r="R188" s="14">
        <f>CHOOSE(CONTROL!$C$42, 11.072, 11.072) * CHOOSE(CONTROL!$C$21, $C$9, 100%, $E$9)</f>
        <v>11.071999999999999</v>
      </c>
      <c r="S188" s="14">
        <f>CHOOSE(CONTROL!$C$42, 9.4346, 9.4346) * CHOOSE(CONTROL!$C$21, $C$9, 100%, $E$9)</f>
        <v>9.4345999999999997</v>
      </c>
      <c r="T1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7">
        <f>(1000*CHOOSE(CONTROL!$C$42, 695, 695)*CHOOSE(CONTROL!$C$42, 0.5599, 0.5599)*CHOOSE(CONTROL!$C$42, 31, 31))/1000000</f>
        <v>12.063045499999998</v>
      </c>
      <c r="V188" s="57">
        <f>(1000*CHOOSE(CONTROL!$C$42, 500, 500)*CHOOSE(CONTROL!$C$42, 0.275, 0.275)*CHOOSE(CONTROL!$C$42, 31, 31))/1000000</f>
        <v>4.2625000000000002</v>
      </c>
      <c r="W188" s="57">
        <f>(1000*CHOOSE(CONTROL!$C$42, 0.1146, 0.1146)*CHOOSE(CONTROL!$C$42, 121.5, 121.5)*CHOOSE(CONTROL!$C$42, 31, 31))/1000000</f>
        <v>0.43164089999999994</v>
      </c>
      <c r="X188" s="57">
        <f>(31*0.1790888*245000/1000000)+(31*0.2374*100000/1000000)</f>
        <v>2.0961194359999999</v>
      </c>
      <c r="Y188" s="57"/>
      <c r="Z188" s="14"/>
      <c r="AA188" s="56"/>
      <c r="AB188" s="50">
        <f>(B188*194.205+C188*267.466+D188*133.845+E188*53.484+F188*40+G188*185+H188*0+I188*100+J188*300)/(194.205+267.466+133.845+53.484+0+40+185+100+300)</f>
        <v>9.8623768061224499</v>
      </c>
      <c r="AC188" s="45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9.6978381294964038</v>
      </c>
    </row>
    <row r="189" spans="1:29" ht="15.75" x14ac:dyDescent="0.25">
      <c r="A189" s="13">
        <v>46631</v>
      </c>
      <c r="B189" s="14">
        <f>CHOOSE(CONTROL!$C$42, 9.2248, 9.2248) * CHOOSE(CONTROL!$C$21, $C$9, 100%, $E$9)</f>
        <v>9.2248000000000001</v>
      </c>
      <c r="C189" s="14">
        <f>CHOOSE(CONTROL!$C$42, 9.2328, 9.2328) * CHOOSE(CONTROL!$C$21, $C$9, 100%, $E$9)</f>
        <v>9.2327999999999992</v>
      </c>
      <c r="D189" s="14">
        <f>CHOOSE(CONTROL!$C$42, 9.4378, 9.4378) * CHOOSE(CONTROL!$C$21, $C$9, 100%, $E$9)</f>
        <v>9.4377999999999993</v>
      </c>
      <c r="E189" s="14">
        <f>CHOOSE(CONTROL!$C$42, 9.4693, 9.4693) * CHOOSE(CONTROL!$C$21, $C$9, 100%, $E$9)</f>
        <v>9.4693000000000005</v>
      </c>
      <c r="F189" s="14">
        <f>CHOOSE(CONTROL!$C$42, 9.2119, 9.2119)*CHOOSE(CONTROL!$C$21, $C$9, 100%, $E$9)</f>
        <v>9.2119</v>
      </c>
      <c r="G189" s="14">
        <f>CHOOSE(CONTROL!$C$42, 9.2286, 9.2286)*CHOOSE(CONTROL!$C$21, $C$9, 100%, $E$9)</f>
        <v>9.2286000000000001</v>
      </c>
      <c r="H189" s="14">
        <f>CHOOSE(CONTROL!$C$42, 9.4579, 9.4579) * CHOOSE(CONTROL!$C$21, $C$9, 100%, $E$9)</f>
        <v>9.4579000000000004</v>
      </c>
      <c r="I189" s="14">
        <f>CHOOSE(CONTROL!$C$42, 9.2617, 9.2617)* CHOOSE(CONTROL!$C$21, $C$9, 100%, $E$9)</f>
        <v>9.2616999999999994</v>
      </c>
      <c r="J189" s="14">
        <f>CHOOSE(CONTROL!$C$42, 9.2049, 9.2049)* CHOOSE(CONTROL!$C$21, $C$9, 100%, $E$9)</f>
        <v>9.2049000000000003</v>
      </c>
      <c r="K189" s="53">
        <f>CHOOSE(CONTROL!$C$42, 9.2578, 9.2578) * CHOOSE(CONTROL!$C$21, $C$9, 100%, $E$9)</f>
        <v>9.2577999999999996</v>
      </c>
      <c r="L189" s="14">
        <f>CHOOSE(CONTROL!$C$42, 10.0449, 10.0449) * CHOOSE(CONTROL!$C$21, $C$9, 100%, $E$9)</f>
        <v>10.0449</v>
      </c>
      <c r="M189" s="14">
        <f>CHOOSE(CONTROL!$C$42, 9.024, 9.024) * CHOOSE(CONTROL!$C$21, $C$9, 100%, $E$9)</f>
        <v>9.0239999999999991</v>
      </c>
      <c r="N189" s="14">
        <f>CHOOSE(CONTROL!$C$42, 9.0404, 9.0404) * CHOOSE(CONTROL!$C$21, $C$9, 100%, $E$9)</f>
        <v>9.0404</v>
      </c>
      <c r="O189" s="14">
        <f>CHOOSE(CONTROL!$C$42, 9.2718, 9.2718) * CHOOSE(CONTROL!$C$21, $C$9, 100%, $E$9)</f>
        <v>9.2718000000000007</v>
      </c>
      <c r="P189" s="14">
        <f>CHOOSE(CONTROL!$C$42, 9.0791, 9.0791) * CHOOSE(CONTROL!$C$21, $C$9, 100%, $E$9)</f>
        <v>9.0791000000000004</v>
      </c>
      <c r="Q189" s="14">
        <f>CHOOSE(CONTROL!$C$42, 9.8665, 9.8665) * CHOOSE(CONTROL!$C$21, $C$9, 100%, $E$9)</f>
        <v>9.8665000000000003</v>
      </c>
      <c r="R189" s="14">
        <f>CHOOSE(CONTROL!$C$42, 10.4782, 10.4782) * CHOOSE(CONTROL!$C$21, $C$9, 100%, $E$9)</f>
        <v>10.478199999999999</v>
      </c>
      <c r="S189" s="14">
        <f>CHOOSE(CONTROL!$C$42, 8.8535, 8.8535) * CHOOSE(CONTROL!$C$21, $C$9, 100%, $E$9)</f>
        <v>8.8535000000000004</v>
      </c>
      <c r="T1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7">
        <f>(1000*CHOOSE(CONTROL!$C$42, 695, 695)*CHOOSE(CONTROL!$C$42, 0.5599, 0.5599)*CHOOSE(CONTROL!$C$42, 30, 30))/1000000</f>
        <v>11.673914999999997</v>
      </c>
      <c r="V189" s="57">
        <f>(1000*CHOOSE(CONTROL!$C$42, 500, 500)*CHOOSE(CONTROL!$C$42, 0.275, 0.275)*CHOOSE(CONTROL!$C$42, 30, 30))/1000000</f>
        <v>4.125</v>
      </c>
      <c r="W189" s="57">
        <f>(1000*CHOOSE(CONTROL!$C$42, 0.1146, 0.1146)*CHOOSE(CONTROL!$C$42, 121.5, 121.5)*CHOOSE(CONTROL!$C$42, 30, 30))/1000000</f>
        <v>0.417717</v>
      </c>
      <c r="X189" s="57">
        <f>(30*0.1790888*245000/1000000)+(30*0.2374*100000/1000000)</f>
        <v>2.0285026799999999</v>
      </c>
      <c r="Y189" s="57"/>
      <c r="Z189" s="14"/>
      <c r="AA189" s="56"/>
      <c r="AB189" s="50">
        <f>(B189*194.205+C189*267.466+D189*133.845+E189*53.484+F189*40+G189*185+H189*0+I189*100+J189*300)/(194.205+267.466+133.845+53.484+0+40+185+100+300)</f>
        <v>9.2574786114599696</v>
      </c>
      <c r="AC189" s="45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9.1052302158273388</v>
      </c>
    </row>
    <row r="190" spans="1:29" ht="15.75" x14ac:dyDescent="0.25">
      <c r="A190" s="13">
        <v>46661</v>
      </c>
      <c r="B190" s="14">
        <f>CHOOSE(CONTROL!$C$42, 9.0546, 9.0546) * CHOOSE(CONTROL!$C$21, $C$9, 100%, $E$9)</f>
        <v>9.0546000000000006</v>
      </c>
      <c r="C190" s="14">
        <f>CHOOSE(CONTROL!$C$42, 9.0599, 9.0599) * CHOOSE(CONTROL!$C$21, $C$9, 100%, $E$9)</f>
        <v>9.0599000000000007</v>
      </c>
      <c r="D190" s="14">
        <f>CHOOSE(CONTROL!$C$42, 9.2698, 9.2698) * CHOOSE(CONTROL!$C$21, $C$9, 100%, $E$9)</f>
        <v>9.2698</v>
      </c>
      <c r="E190" s="14">
        <f>CHOOSE(CONTROL!$C$42, 9.2989, 9.2989) * CHOOSE(CONTROL!$C$21, $C$9, 100%, $E$9)</f>
        <v>9.2988999999999997</v>
      </c>
      <c r="F190" s="14">
        <f>CHOOSE(CONTROL!$C$42, 9.0438, 9.0438)*CHOOSE(CONTROL!$C$21, $C$9, 100%, $E$9)</f>
        <v>9.0437999999999992</v>
      </c>
      <c r="G190" s="14">
        <f>CHOOSE(CONTROL!$C$42, 9.0601, 9.0601)*CHOOSE(CONTROL!$C$21, $C$9, 100%, $E$9)</f>
        <v>9.0601000000000003</v>
      </c>
      <c r="H190" s="14">
        <f>CHOOSE(CONTROL!$C$42, 9.2894, 9.2894) * CHOOSE(CONTROL!$C$21, $C$9, 100%, $E$9)</f>
        <v>9.2894000000000005</v>
      </c>
      <c r="I190" s="14">
        <f>CHOOSE(CONTROL!$C$42, 9.0927, 9.0927)* CHOOSE(CONTROL!$C$21, $C$9, 100%, $E$9)</f>
        <v>9.0927000000000007</v>
      </c>
      <c r="J190" s="14">
        <f>CHOOSE(CONTROL!$C$42, 9.0368, 9.0368)* CHOOSE(CONTROL!$C$21, $C$9, 100%, $E$9)</f>
        <v>9.0367999999999995</v>
      </c>
      <c r="K190" s="53">
        <f>CHOOSE(CONTROL!$C$42, 9.0888, 9.0888) * CHOOSE(CONTROL!$C$21, $C$9, 100%, $E$9)</f>
        <v>9.0888000000000009</v>
      </c>
      <c r="L190" s="14">
        <f>CHOOSE(CONTROL!$C$42, 9.8764, 9.8764) * CHOOSE(CONTROL!$C$21, $C$9, 100%, $E$9)</f>
        <v>9.8764000000000003</v>
      </c>
      <c r="M190" s="14">
        <f>CHOOSE(CONTROL!$C$42, 8.8593, 8.8593) * CHOOSE(CONTROL!$C$21, $C$9, 100%, $E$9)</f>
        <v>8.8592999999999993</v>
      </c>
      <c r="N190" s="14">
        <f>CHOOSE(CONTROL!$C$42, 8.8753, 8.8753) * CHOOSE(CONTROL!$C$21, $C$9, 100%, $E$9)</f>
        <v>8.8752999999999993</v>
      </c>
      <c r="O190" s="14">
        <f>CHOOSE(CONTROL!$C$42, 9.1068, 9.1068) * CHOOSE(CONTROL!$C$21, $C$9, 100%, $E$9)</f>
        <v>9.1067999999999998</v>
      </c>
      <c r="P190" s="14">
        <f>CHOOSE(CONTROL!$C$42, 8.9136, 8.9136) * CHOOSE(CONTROL!$C$21, $C$9, 100%, $E$9)</f>
        <v>8.9136000000000006</v>
      </c>
      <c r="Q190" s="14">
        <f>CHOOSE(CONTROL!$C$42, 9.7015, 9.7015) * CHOOSE(CONTROL!$C$21, $C$9, 100%, $E$9)</f>
        <v>9.7014999999999993</v>
      </c>
      <c r="R190" s="14">
        <f>CHOOSE(CONTROL!$C$42, 10.3127, 10.3127) * CHOOSE(CONTROL!$C$21, $C$9, 100%, $E$9)</f>
        <v>10.3127</v>
      </c>
      <c r="S190" s="14">
        <f>CHOOSE(CONTROL!$C$42, 8.6916, 8.6916) * CHOOSE(CONTROL!$C$21, $C$9, 100%, $E$9)</f>
        <v>8.6915999999999993</v>
      </c>
      <c r="T1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7">
        <f>(1000*CHOOSE(CONTROL!$C$42, 695, 695)*CHOOSE(CONTROL!$C$42, 0.5599, 0.5599)*CHOOSE(CONTROL!$C$42, 31, 31))/1000000</f>
        <v>12.063045499999998</v>
      </c>
      <c r="V190" s="57">
        <f>(1000*CHOOSE(CONTROL!$C$42, 500, 500)*CHOOSE(CONTROL!$C$42, 0.275, 0.275)*CHOOSE(CONTROL!$C$42, 31, 31))/1000000</f>
        <v>4.2625000000000002</v>
      </c>
      <c r="W190" s="57">
        <f>(1000*CHOOSE(CONTROL!$C$42, 0.1146, 0.1146)*CHOOSE(CONTROL!$C$42, 121.5, 121.5)*CHOOSE(CONTROL!$C$42, 31, 31))/1000000</f>
        <v>0.43164089999999994</v>
      </c>
      <c r="X190" s="57">
        <f>(31*0.1790888*245000/1000000)+(31*0.2374*100000/1000000)</f>
        <v>2.0961194359999999</v>
      </c>
      <c r="Y190" s="57"/>
      <c r="Z190" s="14"/>
      <c r="AA190" s="56"/>
      <c r="AB190" s="50">
        <f>(B190*131.881+C190*277.167+D190*79.08+E190*125.872+F190*40+G190*185+H190*0+I190*100+J190*300)/(131.881+277.167+79.08+125.872+0+40+185+100+300)</f>
        <v>9.0935774259079913</v>
      </c>
      <c r="AC190" s="45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8.9402388489208633</v>
      </c>
    </row>
    <row r="191" spans="1:29" ht="15.75" x14ac:dyDescent="0.25">
      <c r="A191" s="13">
        <v>46692</v>
      </c>
      <c r="B191" s="14">
        <f>CHOOSE(CONTROL!$C$42, 9.3115, 9.3115) * CHOOSE(CONTROL!$C$21, $C$9, 100%, $E$9)</f>
        <v>9.3115000000000006</v>
      </c>
      <c r="C191" s="14">
        <f>CHOOSE(CONTROL!$C$42, 9.3166, 9.3166) * CHOOSE(CONTROL!$C$21, $C$9, 100%, $E$9)</f>
        <v>9.3165999999999993</v>
      </c>
      <c r="D191" s="14">
        <f>CHOOSE(CONTROL!$C$42, 9.3804, 9.3804) * CHOOSE(CONTROL!$C$21, $C$9, 100%, $E$9)</f>
        <v>9.3803999999999998</v>
      </c>
      <c r="E191" s="14">
        <f>CHOOSE(CONTROL!$C$42, 9.4145, 9.4145) * CHOOSE(CONTROL!$C$21, $C$9, 100%, $E$9)</f>
        <v>9.4145000000000003</v>
      </c>
      <c r="F191" s="14">
        <f>CHOOSE(CONTROL!$C$42, 9.3138, 9.3138)*CHOOSE(CONTROL!$C$21, $C$9, 100%, $E$9)</f>
        <v>9.3138000000000005</v>
      </c>
      <c r="G191" s="14">
        <f>CHOOSE(CONTROL!$C$42, 9.3304, 9.3304)*CHOOSE(CONTROL!$C$21, $C$9, 100%, $E$9)</f>
        <v>9.3303999999999991</v>
      </c>
      <c r="H191" s="14">
        <f>CHOOSE(CONTROL!$C$42, 9.4037, 9.4037) * CHOOSE(CONTROL!$C$21, $C$9, 100%, $E$9)</f>
        <v>9.4037000000000006</v>
      </c>
      <c r="I191" s="14">
        <f>CHOOSE(CONTROL!$C$42, 9.3546, 9.3546)* CHOOSE(CONTROL!$C$21, $C$9, 100%, $E$9)</f>
        <v>9.3545999999999996</v>
      </c>
      <c r="J191" s="14">
        <f>CHOOSE(CONTROL!$C$42, 9.3068, 9.3068)* CHOOSE(CONTROL!$C$21, $C$9, 100%, $E$9)</f>
        <v>9.3068000000000008</v>
      </c>
      <c r="K191" s="53">
        <f>CHOOSE(CONTROL!$C$42, 9.3507, 9.3507) * CHOOSE(CONTROL!$C$21, $C$9, 100%, $E$9)</f>
        <v>9.3506999999999998</v>
      </c>
      <c r="L191" s="14">
        <f>CHOOSE(CONTROL!$C$42, 9.9907, 9.9907) * CHOOSE(CONTROL!$C$21, $C$9, 100%, $E$9)</f>
        <v>9.9907000000000004</v>
      </c>
      <c r="M191" s="14">
        <f>CHOOSE(CONTROL!$C$42, 9.1238, 9.1238) * CHOOSE(CONTROL!$C$21, $C$9, 100%, $E$9)</f>
        <v>9.1237999999999992</v>
      </c>
      <c r="N191" s="14">
        <f>CHOOSE(CONTROL!$C$42, 9.1401, 9.1401) * CHOOSE(CONTROL!$C$21, $C$9, 100%, $E$9)</f>
        <v>9.1401000000000003</v>
      </c>
      <c r="O191" s="14">
        <f>CHOOSE(CONTROL!$C$42, 9.2187, 9.2187) * CHOOSE(CONTROL!$C$21, $C$9, 100%, $E$9)</f>
        <v>9.2187000000000001</v>
      </c>
      <c r="P191" s="14">
        <f>CHOOSE(CONTROL!$C$42, 9.1701, 9.1701) * CHOOSE(CONTROL!$C$21, $C$9, 100%, $E$9)</f>
        <v>9.1700999999999997</v>
      </c>
      <c r="Q191" s="14">
        <f>CHOOSE(CONTROL!$C$42, 9.8134, 9.8134) * CHOOSE(CONTROL!$C$21, $C$9, 100%, $E$9)</f>
        <v>9.8133999999999997</v>
      </c>
      <c r="R191" s="14">
        <f>CHOOSE(CONTROL!$C$42, 10.425, 10.425) * CHOOSE(CONTROL!$C$21, $C$9, 100%, $E$9)</f>
        <v>10.425000000000001</v>
      </c>
      <c r="S191" s="14">
        <f>CHOOSE(CONTROL!$C$42, 8.9389, 8.9389) * CHOOSE(CONTROL!$C$21, $C$9, 100%, $E$9)</f>
        <v>8.9389000000000003</v>
      </c>
      <c r="T1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7">
        <f>(1000*CHOOSE(CONTROL!$C$42, 695, 695)*CHOOSE(CONTROL!$C$42, 0.5599, 0.5599)*CHOOSE(CONTROL!$C$42, 30, 30))/1000000</f>
        <v>11.673914999999997</v>
      </c>
      <c r="V191" s="57">
        <f>(1000*CHOOSE(CONTROL!$C$42, 500, 500)*CHOOSE(CONTROL!$C$42, 0.275, 0.275)*CHOOSE(CONTROL!$C$42, 30, 30))/1000000</f>
        <v>4.125</v>
      </c>
      <c r="W191" s="57">
        <f>(1000*CHOOSE(CONTROL!$C$42, 0.1146, 0.1146)*CHOOSE(CONTROL!$C$42, 121.5, 121.5)*CHOOSE(CONTROL!$C$42, 30, 30))/1000000</f>
        <v>0.417717</v>
      </c>
      <c r="X191" s="57">
        <f>(30*0.1790888*100000/1000000)+(30*0.2374*100000/1000000)</f>
        <v>1.2494664</v>
      </c>
      <c r="Y191" s="57"/>
      <c r="Z191" s="14"/>
      <c r="AA191" s="56"/>
      <c r="AB191" s="50">
        <f>(B191*122.58+C191*297.941+D191*89.177+E191*40.302+F191*40+G191*160+H191*0+I191*100+J191*300)/(122.58+297.941+89.177+40.302+0+40+160+100+300)</f>
        <v>9.3270051307826094</v>
      </c>
      <c r="AC191" s="45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9.1744122302158289</v>
      </c>
    </row>
    <row r="192" spans="1:29" ht="15.75" x14ac:dyDescent="0.25">
      <c r="A192" s="13">
        <v>46722</v>
      </c>
      <c r="B192" s="14">
        <f>CHOOSE(CONTROL!$C$42, 9.9662, 9.9662) * CHOOSE(CONTROL!$C$21, $C$9, 100%, $E$9)</f>
        <v>9.9662000000000006</v>
      </c>
      <c r="C192" s="14">
        <f>CHOOSE(CONTROL!$C$42, 9.9713, 9.9713) * CHOOSE(CONTROL!$C$21, $C$9, 100%, $E$9)</f>
        <v>9.9712999999999994</v>
      </c>
      <c r="D192" s="14">
        <f>CHOOSE(CONTROL!$C$42, 10.0351, 10.0351) * CHOOSE(CONTROL!$C$21, $C$9, 100%, $E$9)</f>
        <v>10.0351</v>
      </c>
      <c r="E192" s="14">
        <f>CHOOSE(CONTROL!$C$42, 10.0692, 10.0692) * CHOOSE(CONTROL!$C$21, $C$9, 100%, $E$9)</f>
        <v>10.0692</v>
      </c>
      <c r="F192" s="14">
        <f>CHOOSE(CONTROL!$C$42, 9.9705, 9.9705)*CHOOSE(CONTROL!$C$21, $C$9, 100%, $E$9)</f>
        <v>9.9704999999999995</v>
      </c>
      <c r="G192" s="14">
        <f>CHOOSE(CONTROL!$C$42, 9.9877, 9.9877)*CHOOSE(CONTROL!$C$21, $C$9, 100%, $E$9)</f>
        <v>9.9877000000000002</v>
      </c>
      <c r="H192" s="14">
        <f>CHOOSE(CONTROL!$C$42, 10.0584, 10.0584) * CHOOSE(CONTROL!$C$21, $C$9, 100%, $E$9)</f>
        <v>10.058400000000001</v>
      </c>
      <c r="I192" s="14">
        <f>CHOOSE(CONTROL!$C$42, 10.0113, 10.0113)* CHOOSE(CONTROL!$C$21, $C$9, 100%, $E$9)</f>
        <v>10.0113</v>
      </c>
      <c r="J192" s="14">
        <f>CHOOSE(CONTROL!$C$42, 9.9635, 9.9635)* CHOOSE(CONTROL!$C$21, $C$9, 100%, $E$9)</f>
        <v>9.9634999999999998</v>
      </c>
      <c r="K192" s="53">
        <f>CHOOSE(CONTROL!$C$42, 10.0074, 10.0074) * CHOOSE(CONTROL!$C$21, $C$9, 100%, $E$9)</f>
        <v>10.007400000000001</v>
      </c>
      <c r="L192" s="14">
        <f>CHOOSE(CONTROL!$C$42, 10.6454, 10.6454) * CHOOSE(CONTROL!$C$21, $C$9, 100%, $E$9)</f>
        <v>10.6454</v>
      </c>
      <c r="M192" s="14">
        <f>CHOOSE(CONTROL!$C$42, 9.7671, 9.7671) * CHOOSE(CONTROL!$C$21, $C$9, 100%, $E$9)</f>
        <v>9.7670999999999992</v>
      </c>
      <c r="N192" s="14">
        <f>CHOOSE(CONTROL!$C$42, 9.7839, 9.7839) * CHOOSE(CONTROL!$C$21, $C$9, 100%, $E$9)</f>
        <v>9.7838999999999992</v>
      </c>
      <c r="O192" s="14">
        <f>CHOOSE(CONTROL!$C$42, 9.86, 9.86) * CHOOSE(CONTROL!$C$21, $C$9, 100%, $E$9)</f>
        <v>9.86</v>
      </c>
      <c r="P192" s="14">
        <f>CHOOSE(CONTROL!$C$42, 9.8133, 9.8133) * CHOOSE(CONTROL!$C$21, $C$9, 100%, $E$9)</f>
        <v>9.8132999999999999</v>
      </c>
      <c r="Q192" s="14">
        <f>CHOOSE(CONTROL!$C$42, 10.4547, 10.4547) * CHOOSE(CONTROL!$C$21, $C$9, 100%, $E$9)</f>
        <v>10.454700000000001</v>
      </c>
      <c r="R192" s="14">
        <f>CHOOSE(CONTROL!$C$42, 11.0678, 11.0678) * CHOOSE(CONTROL!$C$21, $C$9, 100%, $E$9)</f>
        <v>11.0678</v>
      </c>
      <c r="S192" s="14">
        <f>CHOOSE(CONTROL!$C$42, 9.568, 9.568) * CHOOSE(CONTROL!$C$21, $C$9, 100%, $E$9)</f>
        <v>9.5679999999999996</v>
      </c>
      <c r="T1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7">
        <f>(1000*CHOOSE(CONTROL!$C$42, 695, 695)*CHOOSE(CONTROL!$C$42, 0.5599, 0.5599)*CHOOSE(CONTROL!$C$42, 31, 31))/1000000</f>
        <v>12.063045499999998</v>
      </c>
      <c r="V192" s="57">
        <f>(1000*CHOOSE(CONTROL!$C$42, 500, 500)*CHOOSE(CONTROL!$C$42, 0.275, 0.275)*CHOOSE(CONTROL!$C$42, 31, 31))/1000000</f>
        <v>4.2625000000000002</v>
      </c>
      <c r="W192" s="57">
        <f>(1000*CHOOSE(CONTROL!$C$42, 0.1146, 0.1146)*CHOOSE(CONTROL!$C$42, 121.5, 121.5)*CHOOSE(CONTROL!$C$42, 31, 31))/1000000</f>
        <v>0.43164089999999994</v>
      </c>
      <c r="X192" s="57">
        <f>(31*0.1790888*100000/1000000)+(31*0.2374*100000/1000000)</f>
        <v>1.2911152800000001</v>
      </c>
      <c r="Y192" s="57"/>
      <c r="Z192" s="14"/>
      <c r="AA192" s="56"/>
      <c r="AB192" s="50">
        <f>(B192*122.58+C192*297.941+D192*89.177+E192*40.302+F192*40+G192*160+H192*0+I192*100+J192*300)/(122.58+297.941+89.177+40.302+0+40+160+100+300)</f>
        <v>9.9828320873043452</v>
      </c>
      <c r="AC192" s="45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9.8168201438848914</v>
      </c>
    </row>
    <row r="193" spans="1:29" ht="15.75" x14ac:dyDescent="0.25">
      <c r="A193" s="13">
        <v>46753</v>
      </c>
      <c r="B193" s="14">
        <f>CHOOSE(CONTROL!$C$42, 10.495, 10.495) * CHOOSE(CONTROL!$C$21, $C$9, 100%, $E$9)</f>
        <v>10.494999999999999</v>
      </c>
      <c r="C193" s="14">
        <f>CHOOSE(CONTROL!$C$42, 10.5001, 10.5001) * CHOOSE(CONTROL!$C$21, $C$9, 100%, $E$9)</f>
        <v>10.5001</v>
      </c>
      <c r="D193" s="14">
        <f>CHOOSE(CONTROL!$C$42, 10.5587, 10.5587) * CHOOSE(CONTROL!$C$21, $C$9, 100%, $E$9)</f>
        <v>10.5587</v>
      </c>
      <c r="E193" s="14">
        <f>CHOOSE(CONTROL!$C$42, 10.5928, 10.5928) * CHOOSE(CONTROL!$C$21, $C$9, 100%, $E$9)</f>
        <v>10.5928</v>
      </c>
      <c r="F193" s="14">
        <f>CHOOSE(CONTROL!$C$42, 10.4941, 10.4941)*CHOOSE(CONTROL!$C$21, $C$9, 100%, $E$9)</f>
        <v>10.4941</v>
      </c>
      <c r="G193" s="14">
        <f>CHOOSE(CONTROL!$C$42, 10.5105, 10.5105)*CHOOSE(CONTROL!$C$21, $C$9, 100%, $E$9)</f>
        <v>10.5105</v>
      </c>
      <c r="H193" s="14">
        <f>CHOOSE(CONTROL!$C$42, 10.582, 10.582) * CHOOSE(CONTROL!$C$21, $C$9, 100%, $E$9)</f>
        <v>10.582000000000001</v>
      </c>
      <c r="I193" s="14">
        <f>CHOOSE(CONTROL!$C$42, 10.5381, 10.5381)* CHOOSE(CONTROL!$C$21, $C$9, 100%, $E$9)</f>
        <v>10.5381</v>
      </c>
      <c r="J193" s="14">
        <f>CHOOSE(CONTROL!$C$42, 10.4871, 10.4871)* CHOOSE(CONTROL!$C$21, $C$9, 100%, $E$9)</f>
        <v>10.4871</v>
      </c>
      <c r="K193" s="53">
        <f>CHOOSE(CONTROL!$C$42, 10.5342, 10.5342) * CHOOSE(CONTROL!$C$21, $C$9, 100%, $E$9)</f>
        <v>10.5342</v>
      </c>
      <c r="L193" s="14">
        <f>CHOOSE(CONTROL!$C$42, 11.169, 11.169) * CHOOSE(CONTROL!$C$21, $C$9, 100%, $E$9)</f>
        <v>11.169</v>
      </c>
      <c r="M193" s="14">
        <f>CHOOSE(CONTROL!$C$42, 10.28, 10.28) * CHOOSE(CONTROL!$C$21, $C$9, 100%, $E$9)</f>
        <v>10.28</v>
      </c>
      <c r="N193" s="14">
        <f>CHOOSE(CONTROL!$C$42, 10.296, 10.296) * CHOOSE(CONTROL!$C$21, $C$9, 100%, $E$9)</f>
        <v>10.295999999999999</v>
      </c>
      <c r="O193" s="14">
        <f>CHOOSE(CONTROL!$C$42, 10.3729, 10.3729) * CHOOSE(CONTROL!$C$21, $C$9, 100%, $E$9)</f>
        <v>10.3729</v>
      </c>
      <c r="P193" s="14">
        <f>CHOOSE(CONTROL!$C$42, 10.3293, 10.3293) * CHOOSE(CONTROL!$C$21, $C$9, 100%, $E$9)</f>
        <v>10.3293</v>
      </c>
      <c r="Q193" s="14">
        <f>CHOOSE(CONTROL!$C$42, 10.9676, 10.9676) * CHOOSE(CONTROL!$C$21, $C$9, 100%, $E$9)</f>
        <v>10.967599999999999</v>
      </c>
      <c r="R193" s="14">
        <f>CHOOSE(CONTROL!$C$42, 11.582, 11.582) * CHOOSE(CONTROL!$C$21, $C$9, 100%, $E$9)</f>
        <v>11.582000000000001</v>
      </c>
      <c r="S193" s="14">
        <f>CHOOSE(CONTROL!$C$42, 10.0761, 10.0761) * CHOOSE(CONTROL!$C$21, $C$9, 100%, $E$9)</f>
        <v>10.0761</v>
      </c>
      <c r="T1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7">
        <f>(1000*CHOOSE(CONTROL!$C$42, 695, 695)*CHOOSE(CONTROL!$C$42, 0.5599, 0.5599)*CHOOSE(CONTROL!$C$42, 31, 31))/1000000</f>
        <v>12.063045499999998</v>
      </c>
      <c r="V193" s="57">
        <f>(1000*CHOOSE(CONTROL!$C$42, 500, 500)*CHOOSE(CONTROL!$C$42, 0.275, 0.275)*CHOOSE(CONTROL!$C$42, 31, 31))/1000000</f>
        <v>4.2625000000000002</v>
      </c>
      <c r="W193" s="57">
        <f>(1000*CHOOSE(CONTROL!$C$42, 0.1146, 0.1146)*CHOOSE(CONTROL!$C$42, 121.5, 121.5)*CHOOSE(CONTROL!$C$42, 31, 31))/1000000</f>
        <v>0.43164089999999994</v>
      </c>
      <c r="X193" s="57">
        <f>(31*0.1790888*100000/1000000)+(31*0.2374*100000/1000000)</f>
        <v>1.2911152800000001</v>
      </c>
      <c r="Y193" s="57"/>
      <c r="Z193" s="14"/>
      <c r="AA193" s="56"/>
      <c r="AB193" s="50">
        <f>(B193*122.58+C193*297.941+D193*89.177+E193*40.302+F193*40+G193*160+H193*0+I193*100+J193*300)/(122.58+297.941+89.177+40.302+0+40+160+100+300)</f>
        <v>10.508500530086957</v>
      </c>
      <c r="AC193" s="45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10.330120143884892</v>
      </c>
    </row>
    <row r="194" spans="1:29" ht="15.75" x14ac:dyDescent="0.25">
      <c r="A194" s="13">
        <v>46784</v>
      </c>
      <c r="B194" s="14">
        <f>CHOOSE(CONTROL!$C$42, 10.7037, 10.7037) * CHOOSE(CONTROL!$C$21, $C$9, 100%, $E$9)</f>
        <v>10.7037</v>
      </c>
      <c r="C194" s="14">
        <f>CHOOSE(CONTROL!$C$42, 10.7087, 10.7087) * CHOOSE(CONTROL!$C$21, $C$9, 100%, $E$9)</f>
        <v>10.7087</v>
      </c>
      <c r="D194" s="14">
        <f>CHOOSE(CONTROL!$C$42, 10.7673, 10.7673) * CHOOSE(CONTROL!$C$21, $C$9, 100%, $E$9)</f>
        <v>10.767300000000001</v>
      </c>
      <c r="E194" s="14">
        <f>CHOOSE(CONTROL!$C$42, 10.8015, 10.8015) * CHOOSE(CONTROL!$C$21, $C$9, 100%, $E$9)</f>
        <v>10.801500000000001</v>
      </c>
      <c r="F194" s="14">
        <f>CHOOSE(CONTROL!$C$42, 10.7028, 10.7028)*CHOOSE(CONTROL!$C$21, $C$9, 100%, $E$9)</f>
        <v>10.7028</v>
      </c>
      <c r="G194" s="14">
        <f>CHOOSE(CONTROL!$C$42, 10.7191, 10.7191)*CHOOSE(CONTROL!$C$21, $C$9, 100%, $E$9)</f>
        <v>10.719099999999999</v>
      </c>
      <c r="H194" s="14">
        <f>CHOOSE(CONTROL!$C$42, 10.7906, 10.7906) * CHOOSE(CONTROL!$C$21, $C$9, 100%, $E$9)</f>
        <v>10.7906</v>
      </c>
      <c r="I194" s="14">
        <f>CHOOSE(CONTROL!$C$42, 10.7474, 10.7474)* CHOOSE(CONTROL!$C$21, $C$9, 100%, $E$9)</f>
        <v>10.747400000000001</v>
      </c>
      <c r="J194" s="14">
        <f>CHOOSE(CONTROL!$C$42, 10.6958, 10.6958)* CHOOSE(CONTROL!$C$21, $C$9, 100%, $E$9)</f>
        <v>10.6958</v>
      </c>
      <c r="K194" s="53">
        <f>CHOOSE(CONTROL!$C$42, 10.7435, 10.7435) * CHOOSE(CONTROL!$C$21, $C$9, 100%, $E$9)</f>
        <v>10.743499999999999</v>
      </c>
      <c r="L194" s="14">
        <f>CHOOSE(CONTROL!$C$42, 11.3776, 11.3776) * CHOOSE(CONTROL!$C$21, $C$9, 100%, $E$9)</f>
        <v>11.377599999999999</v>
      </c>
      <c r="M194" s="14">
        <f>CHOOSE(CONTROL!$C$42, 10.4843, 10.4843) * CHOOSE(CONTROL!$C$21, $C$9, 100%, $E$9)</f>
        <v>10.484299999999999</v>
      </c>
      <c r="N194" s="14">
        <f>CHOOSE(CONTROL!$C$42, 10.5003, 10.5003) * CHOOSE(CONTROL!$C$21, $C$9, 100%, $E$9)</f>
        <v>10.500299999999999</v>
      </c>
      <c r="O194" s="14">
        <f>CHOOSE(CONTROL!$C$42, 10.5772, 10.5772) * CHOOSE(CONTROL!$C$21, $C$9, 100%, $E$9)</f>
        <v>10.577199999999999</v>
      </c>
      <c r="P194" s="14">
        <f>CHOOSE(CONTROL!$C$42, 10.5343, 10.5343) * CHOOSE(CONTROL!$C$21, $C$9, 100%, $E$9)</f>
        <v>10.5343</v>
      </c>
      <c r="Q194" s="14">
        <f>CHOOSE(CONTROL!$C$42, 11.1719, 11.1719) * CHOOSE(CONTROL!$C$21, $C$9, 100%, $E$9)</f>
        <v>11.171900000000001</v>
      </c>
      <c r="R194" s="14">
        <f>CHOOSE(CONTROL!$C$42, 11.7869, 11.7869) * CHOOSE(CONTROL!$C$21, $C$9, 100%, $E$9)</f>
        <v>11.786899999999999</v>
      </c>
      <c r="S194" s="14">
        <f>CHOOSE(CONTROL!$C$42, 10.2766, 10.2766) * CHOOSE(CONTROL!$C$21, $C$9, 100%, $E$9)</f>
        <v>10.2766</v>
      </c>
      <c r="T19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7">
        <f>(1000*CHOOSE(CONTROL!$C$42, 695, 695)*CHOOSE(CONTROL!$C$42, 0.5599, 0.5599)*CHOOSE(CONTROL!$C$42, 29, 29))/1000000</f>
        <v>11.284784499999999</v>
      </c>
      <c r="V194" s="57">
        <f>(1000*CHOOSE(CONTROL!$C$42, 500, 500)*CHOOSE(CONTROL!$C$42, 0.275, 0.275)*CHOOSE(CONTROL!$C$42, 29, 29))/1000000</f>
        <v>3.9874999999999998</v>
      </c>
      <c r="W194" s="57">
        <f>(1000*CHOOSE(CONTROL!$C$42, 0.1146, 0.1146)*CHOOSE(CONTROL!$C$42, 121.5, 121.5)*CHOOSE(CONTROL!$C$42, 29, 29))/1000000</f>
        <v>0.40379309999999996</v>
      </c>
      <c r="X194" s="57">
        <f>(29*0.1790888*100000/1000000)+(29*0.2374*100000/1000000)</f>
        <v>1.2078175199999999</v>
      </c>
      <c r="Y194" s="57"/>
      <c r="Z194" s="14"/>
      <c r="AA194" s="56"/>
      <c r="AB194" s="50">
        <f>(B194*122.58+C194*297.941+D194*89.177+E194*40.302+F194*40+G194*160+H194*0+I194*100+J194*300)/(122.58+297.941+89.177+40.302+0+40+160+100+300)</f>
        <v>10.717205128521739</v>
      </c>
      <c r="AC194" s="45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10.534520863309353</v>
      </c>
    </row>
    <row r="195" spans="1:29" ht="15.75" x14ac:dyDescent="0.25">
      <c r="A195" s="13">
        <v>46813</v>
      </c>
      <c r="B195" s="14">
        <f>CHOOSE(CONTROL!$C$42, 10.4215, 10.4215) * CHOOSE(CONTROL!$C$21, $C$9, 100%, $E$9)</f>
        <v>10.4215</v>
      </c>
      <c r="C195" s="14">
        <f>CHOOSE(CONTROL!$C$42, 10.4265, 10.4265) * CHOOSE(CONTROL!$C$21, $C$9, 100%, $E$9)</f>
        <v>10.426500000000001</v>
      </c>
      <c r="D195" s="14">
        <f>CHOOSE(CONTROL!$C$42, 10.4851, 10.4851) * CHOOSE(CONTROL!$C$21, $C$9, 100%, $E$9)</f>
        <v>10.485099999999999</v>
      </c>
      <c r="E195" s="14">
        <f>CHOOSE(CONTROL!$C$42, 10.5192, 10.5192) * CHOOSE(CONTROL!$C$21, $C$9, 100%, $E$9)</f>
        <v>10.5192</v>
      </c>
      <c r="F195" s="14">
        <f>CHOOSE(CONTROL!$C$42, 10.42, 10.42)*CHOOSE(CONTROL!$C$21, $C$9, 100%, $E$9)</f>
        <v>10.42</v>
      </c>
      <c r="G195" s="14">
        <f>CHOOSE(CONTROL!$C$42, 10.4363, 10.4363)*CHOOSE(CONTROL!$C$21, $C$9, 100%, $E$9)</f>
        <v>10.436299999999999</v>
      </c>
      <c r="H195" s="14">
        <f>CHOOSE(CONTROL!$C$42, 10.5084, 10.5084) * CHOOSE(CONTROL!$C$21, $C$9, 100%, $E$9)</f>
        <v>10.5084</v>
      </c>
      <c r="I195" s="14">
        <f>CHOOSE(CONTROL!$C$42, 10.4643, 10.4643)* CHOOSE(CONTROL!$C$21, $C$9, 100%, $E$9)</f>
        <v>10.4643</v>
      </c>
      <c r="J195" s="14">
        <f>CHOOSE(CONTROL!$C$42, 10.413, 10.413)* CHOOSE(CONTROL!$C$21, $C$9, 100%, $E$9)</f>
        <v>10.413</v>
      </c>
      <c r="K195" s="53">
        <f>CHOOSE(CONTROL!$C$42, 10.4604, 10.4604) * CHOOSE(CONTROL!$C$21, $C$9, 100%, $E$9)</f>
        <v>10.4604</v>
      </c>
      <c r="L195" s="14">
        <f>CHOOSE(CONTROL!$C$42, 11.0954, 11.0954) * CHOOSE(CONTROL!$C$21, $C$9, 100%, $E$9)</f>
        <v>11.0954</v>
      </c>
      <c r="M195" s="14">
        <f>CHOOSE(CONTROL!$C$42, 10.2074, 10.2074) * CHOOSE(CONTROL!$C$21, $C$9, 100%, $E$9)</f>
        <v>10.2074</v>
      </c>
      <c r="N195" s="14">
        <f>CHOOSE(CONTROL!$C$42, 10.2233, 10.2233) * CHOOSE(CONTROL!$C$21, $C$9, 100%, $E$9)</f>
        <v>10.2233</v>
      </c>
      <c r="O195" s="14">
        <f>CHOOSE(CONTROL!$C$42, 10.3008, 10.3008) * CHOOSE(CONTROL!$C$21, $C$9, 100%, $E$9)</f>
        <v>10.300800000000001</v>
      </c>
      <c r="P195" s="14">
        <f>CHOOSE(CONTROL!$C$42, 10.257, 10.257) * CHOOSE(CONTROL!$C$21, $C$9, 100%, $E$9)</f>
        <v>10.257</v>
      </c>
      <c r="Q195" s="14">
        <f>CHOOSE(CONTROL!$C$42, 10.8955, 10.8955) * CHOOSE(CONTROL!$C$21, $C$9, 100%, $E$9)</f>
        <v>10.8955</v>
      </c>
      <c r="R195" s="14">
        <f>CHOOSE(CONTROL!$C$42, 11.5098, 11.5098) * CHOOSE(CONTROL!$C$21, $C$9, 100%, $E$9)</f>
        <v>11.5098</v>
      </c>
      <c r="S195" s="14">
        <f>CHOOSE(CONTROL!$C$42, 10.0054, 10.0054) * CHOOSE(CONTROL!$C$21, $C$9, 100%, $E$9)</f>
        <v>10.0054</v>
      </c>
      <c r="T1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7">
        <f>(1000*CHOOSE(CONTROL!$C$42, 695, 695)*CHOOSE(CONTROL!$C$42, 0.5599, 0.5599)*CHOOSE(CONTROL!$C$42, 31, 31))/1000000</f>
        <v>12.063045499999998</v>
      </c>
      <c r="V195" s="57">
        <f>(1000*CHOOSE(CONTROL!$C$42, 500, 500)*CHOOSE(CONTROL!$C$42, 0.275, 0.275)*CHOOSE(CONTROL!$C$42, 31, 31))/1000000</f>
        <v>4.2625000000000002</v>
      </c>
      <c r="W195" s="57">
        <f>(1000*CHOOSE(CONTROL!$C$42, 0.1146, 0.1146)*CHOOSE(CONTROL!$C$42, 121.5, 121.5)*CHOOSE(CONTROL!$C$42, 31, 31))/1000000</f>
        <v>0.43164089999999994</v>
      </c>
      <c r="X195" s="57">
        <f>(31*0.1790888*100000/1000000)+(31*0.2374*100000/1000000)</f>
        <v>1.2911152800000001</v>
      </c>
      <c r="Y195" s="57"/>
      <c r="Z195" s="14"/>
      <c r="AA195" s="56"/>
      <c r="AB195" s="50">
        <f>(B195*122.58+C195*297.941+D195*89.177+E195*40.302+F195*40+G195*160+H195*0+I195*100+J195*300)/(122.58+297.941+89.177+40.302+0+40+160+100+300)</f>
        <v>10.434662493565218</v>
      </c>
      <c r="AC195" s="45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10.25778417266187</v>
      </c>
    </row>
    <row r="196" spans="1:29" ht="15.75" x14ac:dyDescent="0.25">
      <c r="A196" s="13">
        <v>46844</v>
      </c>
      <c r="B196" s="14">
        <f>CHOOSE(CONTROL!$C$42, 10.4128, 10.4128) * CHOOSE(CONTROL!$C$21, $C$9, 100%, $E$9)</f>
        <v>10.412800000000001</v>
      </c>
      <c r="C196" s="14">
        <f>CHOOSE(CONTROL!$C$42, 10.4173, 10.4173) * CHOOSE(CONTROL!$C$21, $C$9, 100%, $E$9)</f>
        <v>10.417299999999999</v>
      </c>
      <c r="D196" s="14">
        <f>CHOOSE(CONTROL!$C$42, 10.6254, 10.6254) * CHOOSE(CONTROL!$C$21, $C$9, 100%, $E$9)</f>
        <v>10.625400000000001</v>
      </c>
      <c r="E196" s="14">
        <f>CHOOSE(CONTROL!$C$42, 10.6576, 10.6576) * CHOOSE(CONTROL!$C$21, $C$9, 100%, $E$9)</f>
        <v>10.6576</v>
      </c>
      <c r="F196" s="14">
        <f>CHOOSE(CONTROL!$C$42, 10.4002, 10.4002)*CHOOSE(CONTROL!$C$21, $C$9, 100%, $E$9)</f>
        <v>10.4002</v>
      </c>
      <c r="G196" s="14">
        <f>CHOOSE(CONTROL!$C$42, 10.4161, 10.4161)*CHOOSE(CONTROL!$C$21, $C$9, 100%, $E$9)</f>
        <v>10.4161</v>
      </c>
      <c r="H196" s="14">
        <f>CHOOSE(CONTROL!$C$42, 10.6473, 10.6473) * CHOOSE(CONTROL!$C$21, $C$9, 100%, $E$9)</f>
        <v>10.6473</v>
      </c>
      <c r="I196" s="14">
        <f>CHOOSE(CONTROL!$C$42, 10.4549, 10.4549)* CHOOSE(CONTROL!$C$21, $C$9, 100%, $E$9)</f>
        <v>10.4549</v>
      </c>
      <c r="J196" s="14">
        <f>CHOOSE(CONTROL!$C$42, 10.3932, 10.3932)* CHOOSE(CONTROL!$C$21, $C$9, 100%, $E$9)</f>
        <v>10.3932</v>
      </c>
      <c r="K196" s="53">
        <f>CHOOSE(CONTROL!$C$42, 10.451, 10.451) * CHOOSE(CONTROL!$C$21, $C$9, 100%, $E$9)</f>
        <v>10.451000000000001</v>
      </c>
      <c r="L196" s="14">
        <f>CHOOSE(CONTROL!$C$42, 11.2343, 11.2343) * CHOOSE(CONTROL!$C$21, $C$9, 100%, $E$9)</f>
        <v>11.234299999999999</v>
      </c>
      <c r="M196" s="14">
        <f>CHOOSE(CONTROL!$C$42, 10.1879, 10.1879) * CHOOSE(CONTROL!$C$21, $C$9, 100%, $E$9)</f>
        <v>10.187900000000001</v>
      </c>
      <c r="N196" s="14">
        <f>CHOOSE(CONTROL!$C$42, 10.2036, 10.2036) * CHOOSE(CONTROL!$C$21, $C$9, 100%, $E$9)</f>
        <v>10.2036</v>
      </c>
      <c r="O196" s="14">
        <f>CHOOSE(CONTROL!$C$42, 10.4369, 10.4369) * CHOOSE(CONTROL!$C$21, $C$9, 100%, $E$9)</f>
        <v>10.4369</v>
      </c>
      <c r="P196" s="14">
        <f>CHOOSE(CONTROL!$C$42, 10.2478, 10.2478) * CHOOSE(CONTROL!$C$21, $C$9, 100%, $E$9)</f>
        <v>10.2478</v>
      </c>
      <c r="Q196" s="14">
        <f>CHOOSE(CONTROL!$C$42, 11.0316, 11.0316) * CHOOSE(CONTROL!$C$21, $C$9, 100%, $E$9)</f>
        <v>11.031599999999999</v>
      </c>
      <c r="R196" s="14">
        <f>CHOOSE(CONTROL!$C$42, 11.6462, 11.6462) * CHOOSE(CONTROL!$C$21, $C$9, 100%, $E$9)</f>
        <v>11.6462</v>
      </c>
      <c r="S196" s="14">
        <f>CHOOSE(CONTROL!$C$42, 9.9964, 9.9964) * CHOOSE(CONTROL!$C$21, $C$9, 100%, $E$9)</f>
        <v>9.9963999999999995</v>
      </c>
      <c r="T1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7">
        <f>(1000*CHOOSE(CONTROL!$C$42, 695, 695)*CHOOSE(CONTROL!$C$42, 0.5599, 0.5599)*CHOOSE(CONTROL!$C$42, 30, 30))/1000000</f>
        <v>11.673914999999997</v>
      </c>
      <c r="V196" s="57">
        <f>(1000*CHOOSE(CONTROL!$C$42, 500, 500)*CHOOSE(CONTROL!$C$42, 0.275, 0.275)*CHOOSE(CONTROL!$C$42, 30, 30))/1000000</f>
        <v>4.125</v>
      </c>
      <c r="W196" s="57">
        <f>(1000*CHOOSE(CONTROL!$C$42, 0.1146, 0.1146)*CHOOSE(CONTROL!$C$42, 121.5, 121.5)*CHOOSE(CONTROL!$C$42, 30, 30))/1000000</f>
        <v>0.417717</v>
      </c>
      <c r="X196" s="57">
        <f>(30*0.1790888*245000/1000000)+(30*0.2374*100000/1000000)</f>
        <v>2.0285026799999999</v>
      </c>
      <c r="Y196" s="57"/>
      <c r="Z196" s="14"/>
      <c r="AA196" s="56"/>
      <c r="AB196" s="50">
        <f>(B196*141.293+C196*267.993+D196*115.016+E196*89.698+F196*40+G196*185+H196*0+I196*100+J196*300)/(141.293+267.993+115.016+89.698+0+40+185+100+300)</f>
        <v>10.449969443502825</v>
      </c>
      <c r="AC196" s="45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10.269996402877698</v>
      </c>
    </row>
    <row r="197" spans="1:29" ht="15.75" x14ac:dyDescent="0.25">
      <c r="A197" s="13">
        <v>46874</v>
      </c>
      <c r="B197" s="14">
        <f>CHOOSE(CONTROL!$C$42, 10.5277, 10.5277) * CHOOSE(CONTROL!$C$21, $C$9, 100%, $E$9)</f>
        <v>10.527699999999999</v>
      </c>
      <c r="C197" s="14">
        <f>CHOOSE(CONTROL!$C$42, 10.5357, 10.5357) * CHOOSE(CONTROL!$C$21, $C$9, 100%, $E$9)</f>
        <v>10.5357</v>
      </c>
      <c r="D197" s="14">
        <f>CHOOSE(CONTROL!$C$42, 10.7407, 10.7407) * CHOOSE(CONTROL!$C$21, $C$9, 100%, $E$9)</f>
        <v>10.7407</v>
      </c>
      <c r="E197" s="14">
        <f>CHOOSE(CONTROL!$C$42, 10.7721, 10.7721) * CHOOSE(CONTROL!$C$21, $C$9, 100%, $E$9)</f>
        <v>10.7721</v>
      </c>
      <c r="F197" s="14">
        <f>CHOOSE(CONTROL!$C$42, 10.5139, 10.5139)*CHOOSE(CONTROL!$C$21, $C$9, 100%, $E$9)</f>
        <v>10.5139</v>
      </c>
      <c r="G197" s="14">
        <f>CHOOSE(CONTROL!$C$42, 10.5303, 10.5303)*CHOOSE(CONTROL!$C$21, $C$9, 100%, $E$9)</f>
        <v>10.5303</v>
      </c>
      <c r="H197" s="14">
        <f>CHOOSE(CONTROL!$C$42, 10.7608, 10.7608) * CHOOSE(CONTROL!$C$21, $C$9, 100%, $E$9)</f>
        <v>10.7608</v>
      </c>
      <c r="I197" s="14">
        <f>CHOOSE(CONTROL!$C$42, 10.5687, 10.5687)* CHOOSE(CONTROL!$C$21, $C$9, 100%, $E$9)</f>
        <v>10.5687</v>
      </c>
      <c r="J197" s="14">
        <f>CHOOSE(CONTROL!$C$42, 10.5069, 10.5069)* CHOOSE(CONTROL!$C$21, $C$9, 100%, $E$9)</f>
        <v>10.5069</v>
      </c>
      <c r="K197" s="53">
        <f>CHOOSE(CONTROL!$C$42, 10.5648, 10.5648) * CHOOSE(CONTROL!$C$21, $C$9, 100%, $E$9)</f>
        <v>10.5648</v>
      </c>
      <c r="L197" s="14">
        <f>CHOOSE(CONTROL!$C$42, 11.3478, 11.3478) * CHOOSE(CONTROL!$C$21, $C$9, 100%, $E$9)</f>
        <v>11.347799999999999</v>
      </c>
      <c r="M197" s="14">
        <f>CHOOSE(CONTROL!$C$42, 10.2993, 10.2993) * CHOOSE(CONTROL!$C$21, $C$9, 100%, $E$9)</f>
        <v>10.299300000000001</v>
      </c>
      <c r="N197" s="14">
        <f>CHOOSE(CONTROL!$C$42, 10.3153, 10.3153) * CHOOSE(CONTROL!$C$21, $C$9, 100%, $E$9)</f>
        <v>10.315300000000001</v>
      </c>
      <c r="O197" s="14">
        <f>CHOOSE(CONTROL!$C$42, 10.548, 10.548) * CHOOSE(CONTROL!$C$21, $C$9, 100%, $E$9)</f>
        <v>10.548</v>
      </c>
      <c r="P197" s="14">
        <f>CHOOSE(CONTROL!$C$42, 10.3593, 10.3593) * CHOOSE(CONTROL!$C$21, $C$9, 100%, $E$9)</f>
        <v>10.359299999999999</v>
      </c>
      <c r="Q197" s="14">
        <f>CHOOSE(CONTROL!$C$42, 11.1427, 11.1427) * CHOOSE(CONTROL!$C$21, $C$9, 100%, $E$9)</f>
        <v>11.1427</v>
      </c>
      <c r="R197" s="14">
        <f>CHOOSE(CONTROL!$C$42, 11.7575, 11.7575) * CHOOSE(CONTROL!$C$21, $C$9, 100%, $E$9)</f>
        <v>11.7575</v>
      </c>
      <c r="S197" s="14">
        <f>CHOOSE(CONTROL!$C$42, 10.1054, 10.1054) * CHOOSE(CONTROL!$C$21, $C$9, 100%, $E$9)</f>
        <v>10.105399999999999</v>
      </c>
      <c r="T1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7">
        <f>(1000*CHOOSE(CONTROL!$C$42, 695, 695)*CHOOSE(CONTROL!$C$42, 0.5599, 0.5599)*CHOOSE(CONTROL!$C$42, 31, 31))/1000000</f>
        <v>12.063045499999998</v>
      </c>
      <c r="V197" s="57">
        <f>(1000*CHOOSE(CONTROL!$C$42, 500, 500)*CHOOSE(CONTROL!$C$42, 0.275, 0.275)*CHOOSE(CONTROL!$C$42, 31, 31))/1000000</f>
        <v>4.2625000000000002</v>
      </c>
      <c r="W197" s="57">
        <f>(1000*CHOOSE(CONTROL!$C$42, 0.1146, 0.1146)*CHOOSE(CONTROL!$C$42, 121.5, 121.5)*CHOOSE(CONTROL!$C$42, 31, 31))/1000000</f>
        <v>0.43164089999999994</v>
      </c>
      <c r="X197" s="57">
        <f>(31*0.1790888*245000/1000000)+(31*0.2374*100000/1000000)</f>
        <v>2.0961194359999999</v>
      </c>
      <c r="Y197" s="57"/>
      <c r="Z197" s="14"/>
      <c r="AA197" s="56"/>
      <c r="AB197" s="50">
        <f>(B197*194.205+C197*267.466+D197*133.845+E197*53.484+F197*40+G197*185+H197*0+I197*100+J197*300)/(194.205+267.466+133.845+53.484+0+40+185+100+300)</f>
        <v>10.560281791679749</v>
      </c>
      <c r="AC197" s="45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10.38139568345324</v>
      </c>
    </row>
    <row r="198" spans="1:29" ht="15.75" x14ac:dyDescent="0.25">
      <c r="A198" s="13">
        <v>46905</v>
      </c>
      <c r="B198" s="14">
        <f>CHOOSE(CONTROL!$C$42, 10.8482, 10.8482) * CHOOSE(CONTROL!$C$21, $C$9, 100%, $E$9)</f>
        <v>10.8482</v>
      </c>
      <c r="C198" s="14">
        <f>CHOOSE(CONTROL!$C$42, 10.8563, 10.8563) * CHOOSE(CONTROL!$C$21, $C$9, 100%, $E$9)</f>
        <v>10.856299999999999</v>
      </c>
      <c r="D198" s="14">
        <f>CHOOSE(CONTROL!$C$42, 11.0612, 11.0612) * CHOOSE(CONTROL!$C$21, $C$9, 100%, $E$9)</f>
        <v>11.061199999999999</v>
      </c>
      <c r="E198" s="14">
        <f>CHOOSE(CONTROL!$C$42, 11.0927, 11.0927) * CHOOSE(CONTROL!$C$21, $C$9, 100%, $E$9)</f>
        <v>11.092700000000001</v>
      </c>
      <c r="F198" s="14">
        <f>CHOOSE(CONTROL!$C$42, 10.8348, 10.8348)*CHOOSE(CONTROL!$C$21, $C$9, 100%, $E$9)</f>
        <v>10.8348</v>
      </c>
      <c r="G198" s="14">
        <f>CHOOSE(CONTROL!$C$42, 10.8513, 10.8513)*CHOOSE(CONTROL!$C$21, $C$9, 100%, $E$9)</f>
        <v>10.8513</v>
      </c>
      <c r="H198" s="14">
        <f>CHOOSE(CONTROL!$C$42, 11.0813, 11.0813) * CHOOSE(CONTROL!$C$21, $C$9, 100%, $E$9)</f>
        <v>11.081300000000001</v>
      </c>
      <c r="I198" s="14">
        <f>CHOOSE(CONTROL!$C$42, 10.8903, 10.8903)* CHOOSE(CONTROL!$C$21, $C$9, 100%, $E$9)</f>
        <v>10.8903</v>
      </c>
      <c r="J198" s="14">
        <f>CHOOSE(CONTROL!$C$42, 10.8278, 10.8278)* CHOOSE(CONTROL!$C$21, $C$9, 100%, $E$9)</f>
        <v>10.8278</v>
      </c>
      <c r="K198" s="53">
        <f>CHOOSE(CONTROL!$C$42, 10.8864, 10.8864) * CHOOSE(CONTROL!$C$21, $C$9, 100%, $E$9)</f>
        <v>10.8864</v>
      </c>
      <c r="L198" s="14">
        <f>CHOOSE(CONTROL!$C$42, 11.6683, 11.6683) * CHOOSE(CONTROL!$C$21, $C$9, 100%, $E$9)</f>
        <v>11.6683</v>
      </c>
      <c r="M198" s="14">
        <f>CHOOSE(CONTROL!$C$42, 10.6136, 10.6136) * CHOOSE(CONTROL!$C$21, $C$9, 100%, $E$9)</f>
        <v>10.6136</v>
      </c>
      <c r="N198" s="14">
        <f>CHOOSE(CONTROL!$C$42, 10.6298, 10.6298) * CHOOSE(CONTROL!$C$21, $C$9, 100%, $E$9)</f>
        <v>10.629799999999999</v>
      </c>
      <c r="O198" s="14">
        <f>CHOOSE(CONTROL!$C$42, 10.862, 10.862) * CHOOSE(CONTROL!$C$21, $C$9, 100%, $E$9)</f>
        <v>10.862</v>
      </c>
      <c r="P198" s="14">
        <f>CHOOSE(CONTROL!$C$42, 10.6742, 10.6742) * CHOOSE(CONTROL!$C$21, $C$9, 100%, $E$9)</f>
        <v>10.674200000000001</v>
      </c>
      <c r="Q198" s="14">
        <f>CHOOSE(CONTROL!$C$42, 11.4567, 11.4567) * CHOOSE(CONTROL!$C$21, $C$9, 100%, $E$9)</f>
        <v>11.4567</v>
      </c>
      <c r="R198" s="14">
        <f>CHOOSE(CONTROL!$C$42, 12.0723, 12.0723) * CHOOSE(CONTROL!$C$21, $C$9, 100%, $E$9)</f>
        <v>12.0723</v>
      </c>
      <c r="S198" s="14">
        <f>CHOOSE(CONTROL!$C$42, 10.4134, 10.4134) * CHOOSE(CONTROL!$C$21, $C$9, 100%, $E$9)</f>
        <v>10.413399999999999</v>
      </c>
      <c r="T1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7">
        <f>(1000*CHOOSE(CONTROL!$C$42, 695, 695)*CHOOSE(CONTROL!$C$42, 0.5599, 0.5599)*CHOOSE(CONTROL!$C$42, 30, 30))/1000000</f>
        <v>11.673914999999997</v>
      </c>
      <c r="V198" s="57">
        <f>(1000*CHOOSE(CONTROL!$C$42, 500, 500)*CHOOSE(CONTROL!$C$42, 0.275, 0.275)*CHOOSE(CONTROL!$C$42, 30, 30))/1000000</f>
        <v>4.125</v>
      </c>
      <c r="W198" s="57">
        <f>(1000*CHOOSE(CONTROL!$C$42, 0.1146, 0.1146)*CHOOSE(CONTROL!$C$42, 121.5, 121.5)*CHOOSE(CONTROL!$C$42, 30, 30))/1000000</f>
        <v>0.417717</v>
      </c>
      <c r="X198" s="57">
        <f>(30*0.1790888*245000/1000000)+(30*0.2374*100000/1000000)</f>
        <v>2.0285026799999999</v>
      </c>
      <c r="Y198" s="57"/>
      <c r="Z198" s="14"/>
      <c r="AA198" s="56"/>
      <c r="AB198" s="50">
        <f>(B198*194.205+C198*267.466+D198*133.845+E198*53.484+F198*40+G198*185+H198*0+I198*100+J198*300)/(194.205+267.466+133.845+53.484+0+40+185+100+300)</f>
        <v>10.881072682574569</v>
      </c>
      <c r="AC198" s="45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10.695743884892087</v>
      </c>
    </row>
    <row r="199" spans="1:29" ht="15.75" x14ac:dyDescent="0.25">
      <c r="A199" s="13">
        <v>46935</v>
      </c>
      <c r="B199" s="14">
        <f>CHOOSE(CONTROL!$C$42, 10.6622, 10.6622) * CHOOSE(CONTROL!$C$21, $C$9, 100%, $E$9)</f>
        <v>10.6622</v>
      </c>
      <c r="C199" s="14">
        <f>CHOOSE(CONTROL!$C$42, 10.6703, 10.6703) * CHOOSE(CONTROL!$C$21, $C$9, 100%, $E$9)</f>
        <v>10.670299999999999</v>
      </c>
      <c r="D199" s="14">
        <f>CHOOSE(CONTROL!$C$42, 10.8752, 10.8752) * CHOOSE(CONTROL!$C$21, $C$9, 100%, $E$9)</f>
        <v>10.8752</v>
      </c>
      <c r="E199" s="14">
        <f>CHOOSE(CONTROL!$C$42, 10.9067, 10.9067) * CHOOSE(CONTROL!$C$21, $C$9, 100%, $E$9)</f>
        <v>10.906700000000001</v>
      </c>
      <c r="F199" s="14">
        <f>CHOOSE(CONTROL!$C$42, 10.6492, 10.6492)*CHOOSE(CONTROL!$C$21, $C$9, 100%, $E$9)</f>
        <v>10.6492</v>
      </c>
      <c r="G199" s="14">
        <f>CHOOSE(CONTROL!$C$42, 10.6658, 10.6658)*CHOOSE(CONTROL!$C$21, $C$9, 100%, $E$9)</f>
        <v>10.665800000000001</v>
      </c>
      <c r="H199" s="14">
        <f>CHOOSE(CONTROL!$C$42, 10.8953, 10.8953) * CHOOSE(CONTROL!$C$21, $C$9, 100%, $E$9)</f>
        <v>10.895300000000001</v>
      </c>
      <c r="I199" s="14">
        <f>CHOOSE(CONTROL!$C$42, 10.7037, 10.7037)* CHOOSE(CONTROL!$C$21, $C$9, 100%, $E$9)</f>
        <v>10.7037</v>
      </c>
      <c r="J199" s="14">
        <f>CHOOSE(CONTROL!$C$42, 10.6422, 10.6422)* CHOOSE(CONTROL!$C$21, $C$9, 100%, $E$9)</f>
        <v>10.642200000000001</v>
      </c>
      <c r="K199" s="53">
        <f>CHOOSE(CONTROL!$C$42, 10.6998, 10.6998) * CHOOSE(CONTROL!$C$21, $C$9, 100%, $E$9)</f>
        <v>10.6998</v>
      </c>
      <c r="L199" s="14">
        <f>CHOOSE(CONTROL!$C$42, 11.4823, 11.4823) * CHOOSE(CONTROL!$C$21, $C$9, 100%, $E$9)</f>
        <v>11.4823</v>
      </c>
      <c r="M199" s="14">
        <f>CHOOSE(CONTROL!$C$42, 10.4318, 10.4318) * CHOOSE(CONTROL!$C$21, $C$9, 100%, $E$9)</f>
        <v>10.431800000000001</v>
      </c>
      <c r="N199" s="14">
        <f>CHOOSE(CONTROL!$C$42, 10.4481, 10.4481) * CHOOSE(CONTROL!$C$21, $C$9, 100%, $E$9)</f>
        <v>10.4481</v>
      </c>
      <c r="O199" s="14">
        <f>CHOOSE(CONTROL!$C$42, 10.6798, 10.6798) * CHOOSE(CONTROL!$C$21, $C$9, 100%, $E$9)</f>
        <v>10.6798</v>
      </c>
      <c r="P199" s="14">
        <f>CHOOSE(CONTROL!$C$42, 10.4915, 10.4915) * CHOOSE(CONTROL!$C$21, $C$9, 100%, $E$9)</f>
        <v>10.4915</v>
      </c>
      <c r="Q199" s="14">
        <f>CHOOSE(CONTROL!$C$42, 11.2745, 11.2745) * CHOOSE(CONTROL!$C$21, $C$9, 100%, $E$9)</f>
        <v>11.2745</v>
      </c>
      <c r="R199" s="14">
        <f>CHOOSE(CONTROL!$C$42, 11.8897, 11.8897) * CHOOSE(CONTROL!$C$21, $C$9, 100%, $E$9)</f>
        <v>11.889699999999999</v>
      </c>
      <c r="S199" s="14">
        <f>CHOOSE(CONTROL!$C$42, 10.2347, 10.2347) * CHOOSE(CONTROL!$C$21, $C$9, 100%, $E$9)</f>
        <v>10.2347</v>
      </c>
      <c r="T1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7">
        <f>(1000*CHOOSE(CONTROL!$C$42, 695, 695)*CHOOSE(CONTROL!$C$42, 0.5599, 0.5599)*CHOOSE(CONTROL!$C$42, 31, 31))/1000000</f>
        <v>12.063045499999998</v>
      </c>
      <c r="V199" s="57">
        <f>(1000*CHOOSE(CONTROL!$C$42, 500, 500)*CHOOSE(CONTROL!$C$42, 0.275, 0.275)*CHOOSE(CONTROL!$C$42, 31, 31))/1000000</f>
        <v>4.2625000000000002</v>
      </c>
      <c r="W199" s="57">
        <f>(1000*CHOOSE(CONTROL!$C$42, 0.1146, 0.1146)*CHOOSE(CONTROL!$C$42, 121.5, 121.5)*CHOOSE(CONTROL!$C$42, 31, 31))/1000000</f>
        <v>0.43164089999999994</v>
      </c>
      <c r="X199" s="57">
        <f>(31*0.1790888*245000/1000000)+(31*0.2374*100000/1000000)</f>
        <v>2.0961194359999999</v>
      </c>
      <c r="Y199" s="57"/>
      <c r="Z199" s="14"/>
      <c r="AA199" s="56"/>
      <c r="AB199" s="50">
        <f>(B199*194.205+C199*267.466+D199*133.845+E199*53.484+F199*40+G199*185+H199*0+I199*100+J199*300)/(194.205+267.466+133.845+53.484+0+40+185+100+300)</f>
        <v>10.695204943171115</v>
      </c>
      <c r="AC199" s="45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10.513725179856113</v>
      </c>
    </row>
    <row r="200" spans="1:29" ht="15.75" x14ac:dyDescent="0.25">
      <c r="A200" s="13">
        <v>46966</v>
      </c>
      <c r="B200" s="14">
        <f>CHOOSE(CONTROL!$C$42, 10.157, 10.157) * CHOOSE(CONTROL!$C$21, $C$9, 100%, $E$9)</f>
        <v>10.157</v>
      </c>
      <c r="C200" s="14">
        <f>CHOOSE(CONTROL!$C$42, 10.1651, 10.1651) * CHOOSE(CONTROL!$C$21, $C$9, 100%, $E$9)</f>
        <v>10.165100000000001</v>
      </c>
      <c r="D200" s="14">
        <f>CHOOSE(CONTROL!$C$42, 10.37, 10.37) * CHOOSE(CONTROL!$C$21, $C$9, 100%, $E$9)</f>
        <v>10.37</v>
      </c>
      <c r="E200" s="14">
        <f>CHOOSE(CONTROL!$C$42, 10.4015, 10.4015) * CHOOSE(CONTROL!$C$21, $C$9, 100%, $E$9)</f>
        <v>10.4015</v>
      </c>
      <c r="F200" s="14">
        <f>CHOOSE(CONTROL!$C$42, 10.1442, 10.1442)*CHOOSE(CONTROL!$C$21, $C$9, 100%, $E$9)</f>
        <v>10.1442</v>
      </c>
      <c r="G200" s="14">
        <f>CHOOSE(CONTROL!$C$42, 10.1609, 10.1609)*CHOOSE(CONTROL!$C$21, $C$9, 100%, $E$9)</f>
        <v>10.1609</v>
      </c>
      <c r="H200" s="14">
        <f>CHOOSE(CONTROL!$C$42, 10.3901, 10.3901) * CHOOSE(CONTROL!$C$21, $C$9, 100%, $E$9)</f>
        <v>10.3901</v>
      </c>
      <c r="I200" s="14">
        <f>CHOOSE(CONTROL!$C$42, 10.1969, 10.1969)* CHOOSE(CONTROL!$C$21, $C$9, 100%, $E$9)</f>
        <v>10.196899999999999</v>
      </c>
      <c r="J200" s="14">
        <f>CHOOSE(CONTROL!$C$42, 10.1372, 10.1372)* CHOOSE(CONTROL!$C$21, $C$9, 100%, $E$9)</f>
        <v>10.1372</v>
      </c>
      <c r="K200" s="53">
        <f>CHOOSE(CONTROL!$C$42, 10.193, 10.193) * CHOOSE(CONTROL!$C$21, $C$9, 100%, $E$9)</f>
        <v>10.193</v>
      </c>
      <c r="L200" s="14">
        <f>CHOOSE(CONTROL!$C$42, 10.9771, 10.9771) * CHOOSE(CONTROL!$C$21, $C$9, 100%, $E$9)</f>
        <v>10.9771</v>
      </c>
      <c r="M200" s="14">
        <f>CHOOSE(CONTROL!$C$42, 9.9372, 9.9372) * CHOOSE(CONTROL!$C$21, $C$9, 100%, $E$9)</f>
        <v>9.9372000000000007</v>
      </c>
      <c r="N200" s="14">
        <f>CHOOSE(CONTROL!$C$42, 9.9535, 9.9535) * CHOOSE(CONTROL!$C$21, $C$9, 100%, $E$9)</f>
        <v>9.9535</v>
      </c>
      <c r="O200" s="14">
        <f>CHOOSE(CONTROL!$C$42, 10.1849, 10.1849) * CHOOSE(CONTROL!$C$21, $C$9, 100%, $E$9)</f>
        <v>10.184900000000001</v>
      </c>
      <c r="P200" s="14">
        <f>CHOOSE(CONTROL!$C$42, 9.9951, 9.9951) * CHOOSE(CONTROL!$C$21, $C$9, 100%, $E$9)</f>
        <v>9.9951000000000008</v>
      </c>
      <c r="Q200" s="14">
        <f>CHOOSE(CONTROL!$C$42, 10.7796, 10.7796) * CHOOSE(CONTROL!$C$21, $C$9, 100%, $E$9)</f>
        <v>10.7796</v>
      </c>
      <c r="R200" s="14">
        <f>CHOOSE(CONTROL!$C$42, 11.3936, 11.3936) * CHOOSE(CONTROL!$C$21, $C$9, 100%, $E$9)</f>
        <v>11.393599999999999</v>
      </c>
      <c r="S200" s="14">
        <f>CHOOSE(CONTROL!$C$42, 9.7493, 9.7493) * CHOOSE(CONTROL!$C$21, $C$9, 100%, $E$9)</f>
        <v>9.7492999999999999</v>
      </c>
      <c r="T2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7">
        <f>(1000*CHOOSE(CONTROL!$C$42, 695, 695)*CHOOSE(CONTROL!$C$42, 0.5599, 0.5599)*CHOOSE(CONTROL!$C$42, 31, 31))/1000000</f>
        <v>12.063045499999998</v>
      </c>
      <c r="V200" s="57">
        <f>(1000*CHOOSE(CONTROL!$C$42, 500, 500)*CHOOSE(CONTROL!$C$42, 0.275, 0.275)*CHOOSE(CONTROL!$C$42, 31, 31))/1000000</f>
        <v>4.2625000000000002</v>
      </c>
      <c r="W200" s="57">
        <f>(1000*CHOOSE(CONTROL!$C$42, 0.1146, 0.1146)*CHOOSE(CONTROL!$C$42, 121.5, 121.5)*CHOOSE(CONTROL!$C$42, 31, 31))/1000000</f>
        <v>0.43164089999999994</v>
      </c>
      <c r="X200" s="57">
        <f>(31*0.1790888*245000/1000000)+(31*0.2374*100000/1000000)</f>
        <v>2.0961194359999999</v>
      </c>
      <c r="Y200" s="57"/>
      <c r="Z200" s="14"/>
      <c r="AA200" s="56"/>
      <c r="AB200" s="50">
        <f>(B200*194.205+C200*267.466+D200*133.845+E200*53.484+F200*40+G200*185+H200*0+I200*100+J200*300)/(194.205+267.466+133.845+53.484+0+40+185+100+300)</f>
        <v>10.189976293249607</v>
      </c>
      <c r="AC200" s="45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10.01878201438849</v>
      </c>
    </row>
    <row r="201" spans="1:29" ht="15.75" x14ac:dyDescent="0.25">
      <c r="A201" s="13">
        <v>46997</v>
      </c>
      <c r="B201" s="14">
        <f>CHOOSE(CONTROL!$C$42, 9.5321, 9.5321) * CHOOSE(CONTROL!$C$21, $C$9, 100%, $E$9)</f>
        <v>9.5320999999999998</v>
      </c>
      <c r="C201" s="14">
        <f>CHOOSE(CONTROL!$C$42, 9.5402, 9.5402) * CHOOSE(CONTROL!$C$21, $C$9, 100%, $E$9)</f>
        <v>9.5402000000000005</v>
      </c>
      <c r="D201" s="14">
        <f>CHOOSE(CONTROL!$C$42, 9.7451, 9.7451) * CHOOSE(CONTROL!$C$21, $C$9, 100%, $E$9)</f>
        <v>9.7451000000000008</v>
      </c>
      <c r="E201" s="14">
        <f>CHOOSE(CONTROL!$C$42, 9.7766, 9.7766) * CHOOSE(CONTROL!$C$21, $C$9, 100%, $E$9)</f>
        <v>9.7766000000000002</v>
      </c>
      <c r="F201" s="14">
        <f>CHOOSE(CONTROL!$C$42, 9.5193, 9.5193)*CHOOSE(CONTROL!$C$21, $C$9, 100%, $E$9)</f>
        <v>9.5192999999999994</v>
      </c>
      <c r="G201" s="14">
        <f>CHOOSE(CONTROL!$C$42, 9.536, 9.536)*CHOOSE(CONTROL!$C$21, $C$9, 100%, $E$9)</f>
        <v>9.5359999999999996</v>
      </c>
      <c r="H201" s="14">
        <f>CHOOSE(CONTROL!$C$42, 9.7652, 9.7652) * CHOOSE(CONTROL!$C$21, $C$9, 100%, $E$9)</f>
        <v>9.7652000000000001</v>
      </c>
      <c r="I201" s="14">
        <f>CHOOSE(CONTROL!$C$42, 9.57, 9.57)* CHOOSE(CONTROL!$C$21, $C$9, 100%, $E$9)</f>
        <v>9.57</v>
      </c>
      <c r="J201" s="14">
        <f>CHOOSE(CONTROL!$C$42, 9.5123, 9.5123)* CHOOSE(CONTROL!$C$21, $C$9, 100%, $E$9)</f>
        <v>9.5122999999999998</v>
      </c>
      <c r="K201" s="53">
        <f>CHOOSE(CONTROL!$C$42, 9.5661, 9.5661) * CHOOSE(CONTROL!$C$21, $C$9, 100%, $E$9)</f>
        <v>9.5661000000000005</v>
      </c>
      <c r="L201" s="14">
        <f>CHOOSE(CONTROL!$C$42, 10.3522, 10.3522) * CHOOSE(CONTROL!$C$21, $C$9, 100%, $E$9)</f>
        <v>10.3522</v>
      </c>
      <c r="M201" s="14">
        <f>CHOOSE(CONTROL!$C$42, 9.3251, 9.3251) * CHOOSE(CONTROL!$C$21, $C$9, 100%, $E$9)</f>
        <v>9.3251000000000008</v>
      </c>
      <c r="N201" s="14">
        <f>CHOOSE(CONTROL!$C$42, 9.3414, 9.3414) * CHOOSE(CONTROL!$C$21, $C$9, 100%, $E$9)</f>
        <v>9.3414000000000001</v>
      </c>
      <c r="O201" s="14">
        <f>CHOOSE(CONTROL!$C$42, 9.5728, 9.5728) * CHOOSE(CONTROL!$C$21, $C$9, 100%, $E$9)</f>
        <v>9.5728000000000009</v>
      </c>
      <c r="P201" s="14">
        <f>CHOOSE(CONTROL!$C$42, 9.3811, 9.3811) * CHOOSE(CONTROL!$C$21, $C$9, 100%, $E$9)</f>
        <v>9.3811</v>
      </c>
      <c r="Q201" s="14">
        <f>CHOOSE(CONTROL!$C$42, 10.1675, 10.1675) * CHOOSE(CONTROL!$C$21, $C$9, 100%, $E$9)</f>
        <v>10.1675</v>
      </c>
      <c r="R201" s="14">
        <f>CHOOSE(CONTROL!$C$42, 10.78, 10.78) * CHOOSE(CONTROL!$C$21, $C$9, 100%, $E$9)</f>
        <v>10.78</v>
      </c>
      <c r="S201" s="14">
        <f>CHOOSE(CONTROL!$C$42, 9.1488, 9.1488) * CHOOSE(CONTROL!$C$21, $C$9, 100%, $E$9)</f>
        <v>9.1487999999999996</v>
      </c>
      <c r="T2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7">
        <f>(1000*CHOOSE(CONTROL!$C$42, 695, 695)*CHOOSE(CONTROL!$C$42, 0.5599, 0.5599)*CHOOSE(CONTROL!$C$42, 30, 30))/1000000</f>
        <v>11.673914999999997</v>
      </c>
      <c r="V201" s="57">
        <f>(1000*CHOOSE(CONTROL!$C$42, 500, 500)*CHOOSE(CONTROL!$C$42, 0.275, 0.275)*CHOOSE(CONTROL!$C$42, 30, 30))/1000000</f>
        <v>4.125</v>
      </c>
      <c r="W201" s="57">
        <f>(1000*CHOOSE(CONTROL!$C$42, 0.1146, 0.1146)*CHOOSE(CONTROL!$C$42, 121.5, 121.5)*CHOOSE(CONTROL!$C$42, 30, 30))/1000000</f>
        <v>0.417717</v>
      </c>
      <c r="X201" s="57">
        <f>(30*0.1790888*245000/1000000)+(30*0.2374*100000/1000000)</f>
        <v>2.0285026799999999</v>
      </c>
      <c r="Y201" s="57"/>
      <c r="Z201" s="14"/>
      <c r="AA201" s="56"/>
      <c r="AB201" s="50">
        <f>(B201*194.205+C201*267.466+D201*133.845+E201*53.484+F201*40+G201*185+H201*0+I201*100+J201*300)/(194.205+267.466+133.845+53.484+0+40+185+100+300)</f>
        <v>9.5649193073783358</v>
      </c>
      <c r="AC201" s="45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9.406408633093525</v>
      </c>
    </row>
    <row r="202" spans="1:29" ht="15.75" x14ac:dyDescent="0.25">
      <c r="A202" s="13">
        <v>47027</v>
      </c>
      <c r="B202" s="14">
        <f>CHOOSE(CONTROL!$C$42, 9.3563, 9.3563) * CHOOSE(CONTROL!$C$21, $C$9, 100%, $E$9)</f>
        <v>9.3562999999999992</v>
      </c>
      <c r="C202" s="14">
        <f>CHOOSE(CONTROL!$C$42, 9.3616, 9.3616) * CHOOSE(CONTROL!$C$21, $C$9, 100%, $E$9)</f>
        <v>9.3615999999999993</v>
      </c>
      <c r="D202" s="14">
        <f>CHOOSE(CONTROL!$C$42, 9.5716, 9.5716) * CHOOSE(CONTROL!$C$21, $C$9, 100%, $E$9)</f>
        <v>9.5716000000000001</v>
      </c>
      <c r="E202" s="14">
        <f>CHOOSE(CONTROL!$C$42, 9.6007, 9.6007) * CHOOSE(CONTROL!$C$21, $C$9, 100%, $E$9)</f>
        <v>9.6006999999999998</v>
      </c>
      <c r="F202" s="14">
        <f>CHOOSE(CONTROL!$C$42, 9.3455, 9.3455)*CHOOSE(CONTROL!$C$21, $C$9, 100%, $E$9)</f>
        <v>9.3454999999999995</v>
      </c>
      <c r="G202" s="14">
        <f>CHOOSE(CONTROL!$C$42, 9.3619, 9.3619)*CHOOSE(CONTROL!$C$21, $C$9, 100%, $E$9)</f>
        <v>9.3619000000000003</v>
      </c>
      <c r="H202" s="14">
        <f>CHOOSE(CONTROL!$C$42, 9.5911, 9.5911) * CHOOSE(CONTROL!$C$21, $C$9, 100%, $E$9)</f>
        <v>9.5911000000000008</v>
      </c>
      <c r="I202" s="14">
        <f>CHOOSE(CONTROL!$C$42, 9.3954, 9.3954)* CHOOSE(CONTROL!$C$21, $C$9, 100%, $E$9)</f>
        <v>9.3954000000000004</v>
      </c>
      <c r="J202" s="14">
        <f>CHOOSE(CONTROL!$C$42, 9.3385, 9.3385)* CHOOSE(CONTROL!$C$21, $C$9, 100%, $E$9)</f>
        <v>9.3384999999999998</v>
      </c>
      <c r="K202" s="53">
        <f>CHOOSE(CONTROL!$C$42, 9.3915, 9.3915) * CHOOSE(CONTROL!$C$21, $C$9, 100%, $E$9)</f>
        <v>9.3915000000000006</v>
      </c>
      <c r="L202" s="14">
        <f>CHOOSE(CONTROL!$C$42, 10.1781, 10.1781) * CHOOSE(CONTROL!$C$21, $C$9, 100%, $E$9)</f>
        <v>10.178100000000001</v>
      </c>
      <c r="M202" s="14">
        <f>CHOOSE(CONTROL!$C$42, 9.1549, 9.1549) * CHOOSE(CONTROL!$C$21, $C$9, 100%, $E$9)</f>
        <v>9.1548999999999996</v>
      </c>
      <c r="N202" s="14">
        <f>CHOOSE(CONTROL!$C$42, 9.1709, 9.1709) * CHOOSE(CONTROL!$C$21, $C$9, 100%, $E$9)</f>
        <v>9.1708999999999996</v>
      </c>
      <c r="O202" s="14">
        <f>CHOOSE(CONTROL!$C$42, 9.4023, 9.4023) * CHOOSE(CONTROL!$C$21, $C$9, 100%, $E$9)</f>
        <v>9.4023000000000003</v>
      </c>
      <c r="P202" s="14">
        <f>CHOOSE(CONTROL!$C$42, 9.2101, 9.2101) * CHOOSE(CONTROL!$C$21, $C$9, 100%, $E$9)</f>
        <v>9.2101000000000006</v>
      </c>
      <c r="Q202" s="14">
        <f>CHOOSE(CONTROL!$C$42, 9.997, 9.997) * CHOOSE(CONTROL!$C$21, $C$9, 100%, $E$9)</f>
        <v>9.9969999999999999</v>
      </c>
      <c r="R202" s="14">
        <f>CHOOSE(CONTROL!$C$42, 10.609, 10.609) * CHOOSE(CONTROL!$C$21, $C$9, 100%, $E$9)</f>
        <v>10.609</v>
      </c>
      <c r="S202" s="14">
        <f>CHOOSE(CONTROL!$C$42, 8.9815, 8.9815) * CHOOSE(CONTROL!$C$21, $C$9, 100%, $E$9)</f>
        <v>8.9815000000000005</v>
      </c>
      <c r="T2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7">
        <f>(1000*CHOOSE(CONTROL!$C$42, 695, 695)*CHOOSE(CONTROL!$C$42, 0.5599, 0.5599)*CHOOSE(CONTROL!$C$42, 31, 31))/1000000</f>
        <v>12.063045499999998</v>
      </c>
      <c r="V202" s="57">
        <f>(1000*CHOOSE(CONTROL!$C$42, 500, 500)*CHOOSE(CONTROL!$C$42, 0.275, 0.275)*CHOOSE(CONTROL!$C$42, 31, 31))/1000000</f>
        <v>4.2625000000000002</v>
      </c>
      <c r="W202" s="57">
        <f>(1000*CHOOSE(CONTROL!$C$42, 0.1146, 0.1146)*CHOOSE(CONTROL!$C$42, 121.5, 121.5)*CHOOSE(CONTROL!$C$42, 31, 31))/1000000</f>
        <v>0.43164089999999994</v>
      </c>
      <c r="X202" s="57">
        <f>(31*0.1790888*245000/1000000)+(31*0.2374*100000/1000000)</f>
        <v>2.0961194359999999</v>
      </c>
      <c r="Y202" s="57"/>
      <c r="Z202" s="14"/>
      <c r="AA202" s="56"/>
      <c r="AB202" s="50">
        <f>(B202*131.881+C202*277.167+D202*79.08+E202*125.872+F202*40+G202*185+H202*0+I202*100+J202*300)/(131.881+277.167+79.08+125.872+0+40+185+100+300)</f>
        <v>9.3953896092816773</v>
      </c>
      <c r="AC202" s="45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9.2359402877697843</v>
      </c>
    </row>
    <row r="203" spans="1:29" ht="15.75" x14ac:dyDescent="0.25">
      <c r="A203" s="13">
        <v>47058</v>
      </c>
      <c r="B203" s="14">
        <f>CHOOSE(CONTROL!$C$42, 9.6219, 9.6219) * CHOOSE(CONTROL!$C$21, $C$9, 100%, $E$9)</f>
        <v>9.6219000000000001</v>
      </c>
      <c r="C203" s="14">
        <f>CHOOSE(CONTROL!$C$42, 9.6269, 9.6269) * CHOOSE(CONTROL!$C$21, $C$9, 100%, $E$9)</f>
        <v>9.6268999999999991</v>
      </c>
      <c r="D203" s="14">
        <f>CHOOSE(CONTROL!$C$42, 9.6907, 9.6907) * CHOOSE(CONTROL!$C$21, $C$9, 100%, $E$9)</f>
        <v>9.6906999999999996</v>
      </c>
      <c r="E203" s="14">
        <f>CHOOSE(CONTROL!$C$42, 9.7248, 9.7248) * CHOOSE(CONTROL!$C$21, $C$9, 100%, $E$9)</f>
        <v>9.7248000000000001</v>
      </c>
      <c r="F203" s="14">
        <f>CHOOSE(CONTROL!$C$42, 9.6241, 9.6241)*CHOOSE(CONTROL!$C$21, $C$9, 100%, $E$9)</f>
        <v>9.6241000000000003</v>
      </c>
      <c r="G203" s="14">
        <f>CHOOSE(CONTROL!$C$42, 9.6408, 9.6408)*CHOOSE(CONTROL!$C$21, $C$9, 100%, $E$9)</f>
        <v>9.6408000000000005</v>
      </c>
      <c r="H203" s="14">
        <f>CHOOSE(CONTROL!$C$42, 9.714, 9.714) * CHOOSE(CONTROL!$C$21, $C$9, 100%, $E$9)</f>
        <v>9.7140000000000004</v>
      </c>
      <c r="I203" s="14">
        <f>CHOOSE(CONTROL!$C$42, 9.6659, 9.6659)* CHOOSE(CONTROL!$C$21, $C$9, 100%, $E$9)</f>
        <v>9.6659000000000006</v>
      </c>
      <c r="J203" s="14">
        <f>CHOOSE(CONTROL!$C$42, 9.6171, 9.6171)* CHOOSE(CONTROL!$C$21, $C$9, 100%, $E$9)</f>
        <v>9.6171000000000006</v>
      </c>
      <c r="K203" s="53">
        <f>CHOOSE(CONTROL!$C$42, 9.662, 9.662) * CHOOSE(CONTROL!$C$21, $C$9, 100%, $E$9)</f>
        <v>9.6620000000000008</v>
      </c>
      <c r="L203" s="14">
        <f>CHOOSE(CONTROL!$C$42, 10.301, 10.301) * CHOOSE(CONTROL!$C$21, $C$9, 100%, $E$9)</f>
        <v>10.301</v>
      </c>
      <c r="M203" s="14">
        <f>CHOOSE(CONTROL!$C$42, 9.4277, 9.4277) * CHOOSE(CONTROL!$C$21, $C$9, 100%, $E$9)</f>
        <v>9.4276999999999997</v>
      </c>
      <c r="N203" s="14">
        <f>CHOOSE(CONTROL!$C$42, 9.4441, 9.4441) * CHOOSE(CONTROL!$C$21, $C$9, 100%, $E$9)</f>
        <v>9.4441000000000006</v>
      </c>
      <c r="O203" s="14">
        <f>CHOOSE(CONTROL!$C$42, 9.5227, 9.5227) * CHOOSE(CONTROL!$C$21, $C$9, 100%, $E$9)</f>
        <v>9.5227000000000004</v>
      </c>
      <c r="P203" s="14">
        <f>CHOOSE(CONTROL!$C$42, 9.475, 9.475) * CHOOSE(CONTROL!$C$21, $C$9, 100%, $E$9)</f>
        <v>9.4749999999999996</v>
      </c>
      <c r="Q203" s="14">
        <f>CHOOSE(CONTROL!$C$42, 10.1174, 10.1174) * CHOOSE(CONTROL!$C$21, $C$9, 100%, $E$9)</f>
        <v>10.1174</v>
      </c>
      <c r="R203" s="14">
        <f>CHOOSE(CONTROL!$C$42, 10.7297, 10.7297) * CHOOSE(CONTROL!$C$21, $C$9, 100%, $E$9)</f>
        <v>10.729699999999999</v>
      </c>
      <c r="S203" s="14">
        <f>CHOOSE(CONTROL!$C$42, 9.2371, 9.2371) * CHOOSE(CONTROL!$C$21, $C$9, 100%, $E$9)</f>
        <v>9.2370999999999999</v>
      </c>
      <c r="T2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7">
        <f>(1000*CHOOSE(CONTROL!$C$42, 695, 695)*CHOOSE(CONTROL!$C$42, 0.5599, 0.5599)*CHOOSE(CONTROL!$C$42, 30, 30))/1000000</f>
        <v>11.673914999999997</v>
      </c>
      <c r="V203" s="57">
        <f>(1000*CHOOSE(CONTROL!$C$42, 500, 500)*CHOOSE(CONTROL!$C$42, 0.275, 0.275)*CHOOSE(CONTROL!$C$42, 30, 30))/1000000</f>
        <v>4.125</v>
      </c>
      <c r="W203" s="57">
        <f>(1000*CHOOSE(CONTROL!$C$42, 0.1146, 0.1146)*CHOOSE(CONTROL!$C$42, 121.5, 121.5)*CHOOSE(CONTROL!$C$42, 30, 30))/1000000</f>
        <v>0.417717</v>
      </c>
      <c r="X203" s="57">
        <f>(30*0.1790888*100000/1000000)+(30*0.2374*100000/1000000)</f>
        <v>1.2494664</v>
      </c>
      <c r="Y203" s="57"/>
      <c r="Z203" s="14"/>
      <c r="AA203" s="56"/>
      <c r="AB203" s="50">
        <f>(B203*122.58+C203*297.941+D203*89.177+E203*40.302+F203*40+G203*160+H203*0+I203*100+J203*300)/(122.58+297.941+89.177+40.302+0+40+160+100+300)</f>
        <v>9.6374166594782622</v>
      </c>
      <c r="AC203" s="45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9.4785071942446049</v>
      </c>
    </row>
    <row r="204" spans="1:29" ht="15.75" x14ac:dyDescent="0.25">
      <c r="A204" s="13">
        <v>47088</v>
      </c>
      <c r="B204" s="14">
        <f>CHOOSE(CONTROL!$C$42, 10.2984, 10.2984) * CHOOSE(CONTROL!$C$21, $C$9, 100%, $E$9)</f>
        <v>10.298400000000001</v>
      </c>
      <c r="C204" s="14">
        <f>CHOOSE(CONTROL!$C$42, 10.3034, 10.3034) * CHOOSE(CONTROL!$C$21, $C$9, 100%, $E$9)</f>
        <v>10.3034</v>
      </c>
      <c r="D204" s="14">
        <f>CHOOSE(CONTROL!$C$42, 10.3672, 10.3672) * CHOOSE(CONTROL!$C$21, $C$9, 100%, $E$9)</f>
        <v>10.3672</v>
      </c>
      <c r="E204" s="14">
        <f>CHOOSE(CONTROL!$C$42, 10.4013, 10.4013) * CHOOSE(CONTROL!$C$21, $C$9, 100%, $E$9)</f>
        <v>10.401300000000001</v>
      </c>
      <c r="F204" s="14">
        <f>CHOOSE(CONTROL!$C$42, 10.3027, 10.3027)*CHOOSE(CONTROL!$C$21, $C$9, 100%, $E$9)</f>
        <v>10.3027</v>
      </c>
      <c r="G204" s="14">
        <f>CHOOSE(CONTROL!$C$42, 10.3199, 10.3199)*CHOOSE(CONTROL!$C$21, $C$9, 100%, $E$9)</f>
        <v>10.319900000000001</v>
      </c>
      <c r="H204" s="14">
        <f>CHOOSE(CONTROL!$C$42, 10.3905, 10.3905) * CHOOSE(CONTROL!$C$21, $C$9, 100%, $E$9)</f>
        <v>10.390499999999999</v>
      </c>
      <c r="I204" s="14">
        <f>CHOOSE(CONTROL!$C$42, 10.3445, 10.3445)* CHOOSE(CONTROL!$C$21, $C$9, 100%, $E$9)</f>
        <v>10.3445</v>
      </c>
      <c r="J204" s="14">
        <f>CHOOSE(CONTROL!$C$42, 10.2957, 10.2957)* CHOOSE(CONTROL!$C$21, $C$9, 100%, $E$9)</f>
        <v>10.2957</v>
      </c>
      <c r="K204" s="53">
        <f>CHOOSE(CONTROL!$C$42, 10.3406, 10.3406) * CHOOSE(CONTROL!$C$21, $C$9, 100%, $E$9)</f>
        <v>10.3406</v>
      </c>
      <c r="L204" s="14">
        <f>CHOOSE(CONTROL!$C$42, 10.9775, 10.9775) * CHOOSE(CONTROL!$C$21, $C$9, 100%, $E$9)</f>
        <v>10.977499999999999</v>
      </c>
      <c r="M204" s="14">
        <f>CHOOSE(CONTROL!$C$42, 10.0924, 10.0924) * CHOOSE(CONTROL!$C$21, $C$9, 100%, $E$9)</f>
        <v>10.0924</v>
      </c>
      <c r="N204" s="14">
        <f>CHOOSE(CONTROL!$C$42, 10.1093, 10.1093) * CHOOSE(CONTROL!$C$21, $C$9, 100%, $E$9)</f>
        <v>10.109299999999999</v>
      </c>
      <c r="O204" s="14">
        <f>CHOOSE(CONTROL!$C$42, 10.1853, 10.1853) * CHOOSE(CONTROL!$C$21, $C$9, 100%, $E$9)</f>
        <v>10.1853</v>
      </c>
      <c r="P204" s="14">
        <f>CHOOSE(CONTROL!$C$42, 10.1397, 10.1397) * CHOOSE(CONTROL!$C$21, $C$9, 100%, $E$9)</f>
        <v>10.139699999999999</v>
      </c>
      <c r="Q204" s="14">
        <f>CHOOSE(CONTROL!$C$42, 10.78, 10.78) * CHOOSE(CONTROL!$C$21, $C$9, 100%, $E$9)</f>
        <v>10.78</v>
      </c>
      <c r="R204" s="14">
        <f>CHOOSE(CONTROL!$C$42, 11.394, 11.394) * CHOOSE(CONTROL!$C$21, $C$9, 100%, $E$9)</f>
        <v>11.394</v>
      </c>
      <c r="S204" s="14">
        <f>CHOOSE(CONTROL!$C$42, 9.8871, 9.8871) * CHOOSE(CONTROL!$C$21, $C$9, 100%, $E$9)</f>
        <v>9.8871000000000002</v>
      </c>
      <c r="T2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7">
        <f>(1000*CHOOSE(CONTROL!$C$42, 695, 695)*CHOOSE(CONTROL!$C$42, 0.5599, 0.5599)*CHOOSE(CONTROL!$C$42, 31, 31))/1000000</f>
        <v>12.063045499999998</v>
      </c>
      <c r="V204" s="57">
        <f>(1000*CHOOSE(CONTROL!$C$42, 500, 500)*CHOOSE(CONTROL!$C$42, 0.275, 0.275)*CHOOSE(CONTROL!$C$42, 31, 31))/1000000</f>
        <v>4.2625000000000002</v>
      </c>
      <c r="W204" s="57">
        <f>(1000*CHOOSE(CONTROL!$C$42, 0.1146, 0.1146)*CHOOSE(CONTROL!$C$42, 121.5, 121.5)*CHOOSE(CONTROL!$C$42, 31, 31))/1000000</f>
        <v>0.43164089999999994</v>
      </c>
      <c r="X204" s="57">
        <f>(31*0.1790888*100000/1000000)+(31*0.2374*100000/1000000)</f>
        <v>1.2911152800000001</v>
      </c>
      <c r="Y204" s="57"/>
      <c r="Z204" s="14"/>
      <c r="AA204" s="56"/>
      <c r="AB204" s="50">
        <f>(B204*122.58+C204*297.941+D204*89.177+E204*40.302+F204*40+G204*160+H204*0+I204*100+J204*300)/(122.58+297.941+89.177+40.302+0+40+160+100+300)</f>
        <v>10.315081876869565</v>
      </c>
      <c r="AC204" s="45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10.142284172661871</v>
      </c>
    </row>
    <row r="205" spans="1:29" ht="15.75" x14ac:dyDescent="0.25">
      <c r="A205" s="13">
        <v>47119</v>
      </c>
      <c r="B205" s="14">
        <f>CHOOSE(CONTROL!$C$42, 10.8441, 10.8441) * CHOOSE(CONTROL!$C$21, $C$9, 100%, $E$9)</f>
        <v>10.844099999999999</v>
      </c>
      <c r="C205" s="14">
        <f>CHOOSE(CONTROL!$C$42, 10.8492, 10.8492) * CHOOSE(CONTROL!$C$21, $C$9, 100%, $E$9)</f>
        <v>10.8492</v>
      </c>
      <c r="D205" s="14">
        <f>CHOOSE(CONTROL!$C$42, 10.9078, 10.9078) * CHOOSE(CONTROL!$C$21, $C$9, 100%, $E$9)</f>
        <v>10.9078</v>
      </c>
      <c r="E205" s="14">
        <f>CHOOSE(CONTROL!$C$42, 10.9419, 10.9419) * CHOOSE(CONTROL!$C$21, $C$9, 100%, $E$9)</f>
        <v>10.9419</v>
      </c>
      <c r="F205" s="14">
        <f>CHOOSE(CONTROL!$C$42, 10.8432, 10.8432)*CHOOSE(CONTROL!$C$21, $C$9, 100%, $E$9)</f>
        <v>10.8432</v>
      </c>
      <c r="G205" s="14">
        <f>CHOOSE(CONTROL!$C$42, 10.8596, 10.8596)*CHOOSE(CONTROL!$C$21, $C$9, 100%, $E$9)</f>
        <v>10.8596</v>
      </c>
      <c r="H205" s="14">
        <f>CHOOSE(CONTROL!$C$42, 10.9311, 10.9311) * CHOOSE(CONTROL!$C$21, $C$9, 100%, $E$9)</f>
        <v>10.931100000000001</v>
      </c>
      <c r="I205" s="14">
        <f>CHOOSE(CONTROL!$C$42, 10.8883, 10.8883)* CHOOSE(CONTROL!$C$21, $C$9, 100%, $E$9)</f>
        <v>10.888299999999999</v>
      </c>
      <c r="J205" s="14">
        <f>CHOOSE(CONTROL!$C$42, 10.8362, 10.8362)* CHOOSE(CONTROL!$C$21, $C$9, 100%, $E$9)</f>
        <v>10.8362</v>
      </c>
      <c r="K205" s="53">
        <f>CHOOSE(CONTROL!$C$42, 10.8844, 10.8844) * CHOOSE(CONTROL!$C$21, $C$9, 100%, $E$9)</f>
        <v>10.884399999999999</v>
      </c>
      <c r="L205" s="14">
        <f>CHOOSE(CONTROL!$C$42, 11.5181, 11.5181) * CHOOSE(CONTROL!$C$21, $C$9, 100%, $E$9)</f>
        <v>11.5181</v>
      </c>
      <c r="M205" s="14">
        <f>CHOOSE(CONTROL!$C$42, 10.6219, 10.6219) * CHOOSE(CONTROL!$C$21, $C$9, 100%, $E$9)</f>
        <v>10.6219</v>
      </c>
      <c r="N205" s="14">
        <f>CHOOSE(CONTROL!$C$42, 10.6379, 10.6379) * CHOOSE(CONTROL!$C$21, $C$9, 100%, $E$9)</f>
        <v>10.6379</v>
      </c>
      <c r="O205" s="14">
        <f>CHOOSE(CONTROL!$C$42, 10.7148, 10.7148) * CHOOSE(CONTROL!$C$21, $C$9, 100%, $E$9)</f>
        <v>10.7148</v>
      </c>
      <c r="P205" s="14">
        <f>CHOOSE(CONTROL!$C$42, 10.6723, 10.6723) * CHOOSE(CONTROL!$C$21, $C$9, 100%, $E$9)</f>
        <v>10.6723</v>
      </c>
      <c r="Q205" s="14">
        <f>CHOOSE(CONTROL!$C$42, 11.3095, 11.3095) * CHOOSE(CONTROL!$C$21, $C$9, 100%, $E$9)</f>
        <v>11.3095</v>
      </c>
      <c r="R205" s="14">
        <f>CHOOSE(CONTROL!$C$42, 11.9248, 11.9248) * CHOOSE(CONTROL!$C$21, $C$9, 100%, $E$9)</f>
        <v>11.924799999999999</v>
      </c>
      <c r="S205" s="14">
        <f>CHOOSE(CONTROL!$C$42, 10.4116, 10.4116) * CHOOSE(CONTROL!$C$21, $C$9, 100%, $E$9)</f>
        <v>10.4116</v>
      </c>
      <c r="T2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7">
        <f>(1000*CHOOSE(CONTROL!$C$42, 695, 695)*CHOOSE(CONTROL!$C$42, 0.5599, 0.5599)*CHOOSE(CONTROL!$C$42, 31, 31))/1000000</f>
        <v>12.063045499999998</v>
      </c>
      <c r="V205" s="57">
        <f>(1000*CHOOSE(CONTROL!$C$42, 500, 500)*CHOOSE(CONTROL!$C$42, 0.275, 0.275)*CHOOSE(CONTROL!$C$42, 31, 31))/1000000</f>
        <v>4.2625000000000002</v>
      </c>
      <c r="W205" s="57">
        <f>(1000*CHOOSE(CONTROL!$C$42, 0.1146, 0.1146)*CHOOSE(CONTROL!$C$42, 121.5, 121.5)*CHOOSE(CONTROL!$C$42, 31, 31))/1000000</f>
        <v>0.43164089999999994</v>
      </c>
      <c r="X205" s="57">
        <f>(31*0.1790888*100000/1000000)+(31*0.2374*100000/1000000)</f>
        <v>1.2911152800000001</v>
      </c>
      <c r="Y205" s="57"/>
      <c r="Z205" s="14"/>
      <c r="AA205" s="56"/>
      <c r="AB205" s="50">
        <f>(B205*122.58+C205*297.941+D205*89.177+E205*40.302+F205*40+G205*160+H205*0+I205*100+J205*300)/(122.58+297.941+89.177+40.302+0+40+160+100+300)</f>
        <v>10.857696182260868</v>
      </c>
      <c r="AC205" s="45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10.672178417266188</v>
      </c>
    </row>
    <row r="206" spans="1:29" ht="15.75" x14ac:dyDescent="0.25">
      <c r="A206" s="13">
        <v>47150</v>
      </c>
      <c r="B206" s="14">
        <f>CHOOSE(CONTROL!$C$42, 11.0597, 11.0597) * CHOOSE(CONTROL!$C$21, $C$9, 100%, $E$9)</f>
        <v>11.059699999999999</v>
      </c>
      <c r="C206" s="14">
        <f>CHOOSE(CONTROL!$C$42, 11.0648, 11.0648) * CHOOSE(CONTROL!$C$21, $C$9, 100%, $E$9)</f>
        <v>11.0648</v>
      </c>
      <c r="D206" s="14">
        <f>CHOOSE(CONTROL!$C$42, 11.1234, 11.1234) * CHOOSE(CONTROL!$C$21, $C$9, 100%, $E$9)</f>
        <v>11.1234</v>
      </c>
      <c r="E206" s="14">
        <f>CHOOSE(CONTROL!$C$42, 11.1575, 11.1575) * CHOOSE(CONTROL!$C$21, $C$9, 100%, $E$9)</f>
        <v>11.157500000000001</v>
      </c>
      <c r="F206" s="14">
        <f>CHOOSE(CONTROL!$C$42, 11.0588, 11.0588)*CHOOSE(CONTROL!$C$21, $C$9, 100%, $E$9)</f>
        <v>11.0588</v>
      </c>
      <c r="G206" s="14">
        <f>CHOOSE(CONTROL!$C$42, 11.0752, 11.0752)*CHOOSE(CONTROL!$C$21, $C$9, 100%, $E$9)</f>
        <v>11.075200000000001</v>
      </c>
      <c r="H206" s="14">
        <f>CHOOSE(CONTROL!$C$42, 11.1467, 11.1467) * CHOOSE(CONTROL!$C$21, $C$9, 100%, $E$9)</f>
        <v>11.146699999999999</v>
      </c>
      <c r="I206" s="14">
        <f>CHOOSE(CONTROL!$C$42, 11.1046, 11.1046)* CHOOSE(CONTROL!$C$21, $C$9, 100%, $E$9)</f>
        <v>11.1046</v>
      </c>
      <c r="J206" s="14">
        <f>CHOOSE(CONTROL!$C$42, 11.0518, 11.0518)* CHOOSE(CONTROL!$C$21, $C$9, 100%, $E$9)</f>
        <v>11.0518</v>
      </c>
      <c r="K206" s="53">
        <f>CHOOSE(CONTROL!$C$42, 11.1007, 11.1007) * CHOOSE(CONTROL!$C$21, $C$9, 100%, $E$9)</f>
        <v>11.1007</v>
      </c>
      <c r="L206" s="14">
        <f>CHOOSE(CONTROL!$C$42, 11.7337, 11.7337) * CHOOSE(CONTROL!$C$21, $C$9, 100%, $E$9)</f>
        <v>11.733700000000001</v>
      </c>
      <c r="M206" s="14">
        <f>CHOOSE(CONTROL!$C$42, 10.833, 10.833) * CHOOSE(CONTROL!$C$21, $C$9, 100%, $E$9)</f>
        <v>10.833</v>
      </c>
      <c r="N206" s="14">
        <f>CHOOSE(CONTROL!$C$42, 10.8491, 10.8491) * CHOOSE(CONTROL!$C$21, $C$9, 100%, $E$9)</f>
        <v>10.8491</v>
      </c>
      <c r="O206" s="14">
        <f>CHOOSE(CONTROL!$C$42, 10.926, 10.926) * CHOOSE(CONTROL!$C$21, $C$9, 100%, $E$9)</f>
        <v>10.926</v>
      </c>
      <c r="P206" s="14">
        <f>CHOOSE(CONTROL!$C$42, 10.8841, 10.8841) * CHOOSE(CONTROL!$C$21, $C$9, 100%, $E$9)</f>
        <v>10.8841</v>
      </c>
      <c r="Q206" s="14">
        <f>CHOOSE(CONTROL!$C$42, 11.5207, 11.5207) * CHOOSE(CONTROL!$C$21, $C$9, 100%, $E$9)</f>
        <v>11.5207</v>
      </c>
      <c r="R206" s="14">
        <f>CHOOSE(CONTROL!$C$42, 12.1365, 12.1365) * CHOOSE(CONTROL!$C$21, $C$9, 100%, $E$9)</f>
        <v>12.1365</v>
      </c>
      <c r="S206" s="14">
        <f>CHOOSE(CONTROL!$C$42, 10.6187, 10.6187) * CHOOSE(CONTROL!$C$21, $C$9, 100%, $E$9)</f>
        <v>10.6187</v>
      </c>
      <c r="T2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7">
        <f>(1000*CHOOSE(CONTROL!$C$42, 695, 695)*CHOOSE(CONTROL!$C$42, 0.5599, 0.5599)*CHOOSE(CONTROL!$C$42, 28, 28))/1000000</f>
        <v>10.895653999999999</v>
      </c>
      <c r="V206" s="57">
        <f>(1000*CHOOSE(CONTROL!$C$42, 500, 500)*CHOOSE(CONTROL!$C$42, 0.275, 0.275)*CHOOSE(CONTROL!$C$42, 28, 28))/1000000</f>
        <v>3.85</v>
      </c>
      <c r="W206" s="57">
        <f>(1000*CHOOSE(CONTROL!$C$42, 0.1146, 0.1146)*CHOOSE(CONTROL!$C$42, 121.5, 121.5)*CHOOSE(CONTROL!$C$42, 28, 28))/1000000</f>
        <v>0.38986920000000003</v>
      </c>
      <c r="X206" s="57">
        <f>(28*0.1790888*100000/1000000)+(28*0.2374*100000/1000000)</f>
        <v>1.16616864</v>
      </c>
      <c r="Y206" s="57"/>
      <c r="Z206" s="14"/>
      <c r="AA206" s="56"/>
      <c r="AB206" s="50">
        <f>(B206*122.58+C206*297.941+D206*89.177+E206*40.302+F206*40+G206*160+H206*0+I206*100+J206*300)/(122.58+297.941+89.177+40.302+0+40+160+100+300)</f>
        <v>11.073357051826088</v>
      </c>
      <c r="AC206" s="45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10.883430215827339</v>
      </c>
    </row>
    <row r="207" spans="1:29" ht="15.75" x14ac:dyDescent="0.25">
      <c r="A207" s="13">
        <v>47178</v>
      </c>
      <c r="B207" s="14">
        <f>CHOOSE(CONTROL!$C$42, 10.7681, 10.7681) * CHOOSE(CONTROL!$C$21, $C$9, 100%, $E$9)</f>
        <v>10.7681</v>
      </c>
      <c r="C207" s="14">
        <f>CHOOSE(CONTROL!$C$42, 10.7732, 10.7732) * CHOOSE(CONTROL!$C$21, $C$9, 100%, $E$9)</f>
        <v>10.773199999999999</v>
      </c>
      <c r="D207" s="14">
        <f>CHOOSE(CONTROL!$C$42, 10.8318, 10.8318) * CHOOSE(CONTROL!$C$21, $C$9, 100%, $E$9)</f>
        <v>10.831799999999999</v>
      </c>
      <c r="E207" s="14">
        <f>CHOOSE(CONTROL!$C$42, 10.8659, 10.8659) * CHOOSE(CONTROL!$C$21, $C$9, 100%, $E$9)</f>
        <v>10.8659</v>
      </c>
      <c r="F207" s="14">
        <f>CHOOSE(CONTROL!$C$42, 10.7667, 10.7667)*CHOOSE(CONTROL!$C$21, $C$9, 100%, $E$9)</f>
        <v>10.7667</v>
      </c>
      <c r="G207" s="14">
        <f>CHOOSE(CONTROL!$C$42, 10.7829, 10.7829)*CHOOSE(CONTROL!$C$21, $C$9, 100%, $E$9)</f>
        <v>10.7829</v>
      </c>
      <c r="H207" s="14">
        <f>CHOOSE(CONTROL!$C$42, 10.8551, 10.8551) * CHOOSE(CONTROL!$C$21, $C$9, 100%, $E$9)</f>
        <v>10.8551</v>
      </c>
      <c r="I207" s="14">
        <f>CHOOSE(CONTROL!$C$42, 10.8121, 10.8121)* CHOOSE(CONTROL!$C$21, $C$9, 100%, $E$9)</f>
        <v>10.812099999999999</v>
      </c>
      <c r="J207" s="14">
        <f>CHOOSE(CONTROL!$C$42, 10.7597, 10.7597)* CHOOSE(CONTROL!$C$21, $C$9, 100%, $E$9)</f>
        <v>10.7597</v>
      </c>
      <c r="K207" s="53">
        <f>CHOOSE(CONTROL!$C$42, 10.8082, 10.8082) * CHOOSE(CONTROL!$C$21, $C$9, 100%, $E$9)</f>
        <v>10.808199999999999</v>
      </c>
      <c r="L207" s="14">
        <f>CHOOSE(CONTROL!$C$42, 11.4421, 11.4421) * CHOOSE(CONTROL!$C$21, $C$9, 100%, $E$9)</f>
        <v>11.4421</v>
      </c>
      <c r="M207" s="14">
        <f>CHOOSE(CONTROL!$C$42, 10.5469, 10.5469) * CHOOSE(CONTROL!$C$21, $C$9, 100%, $E$9)</f>
        <v>10.546900000000001</v>
      </c>
      <c r="N207" s="14">
        <f>CHOOSE(CONTROL!$C$42, 10.5628, 10.5628) * CHOOSE(CONTROL!$C$21, $C$9, 100%, $E$9)</f>
        <v>10.562799999999999</v>
      </c>
      <c r="O207" s="14">
        <f>CHOOSE(CONTROL!$C$42, 10.6404, 10.6404) * CHOOSE(CONTROL!$C$21, $C$9, 100%, $E$9)</f>
        <v>10.6404</v>
      </c>
      <c r="P207" s="14">
        <f>CHOOSE(CONTROL!$C$42, 10.5976, 10.5976) * CHOOSE(CONTROL!$C$21, $C$9, 100%, $E$9)</f>
        <v>10.5976</v>
      </c>
      <c r="Q207" s="14">
        <f>CHOOSE(CONTROL!$C$42, 11.2351, 11.2351) * CHOOSE(CONTROL!$C$21, $C$9, 100%, $E$9)</f>
        <v>11.235099999999999</v>
      </c>
      <c r="R207" s="14">
        <f>CHOOSE(CONTROL!$C$42, 11.8501, 11.8501) * CHOOSE(CONTROL!$C$21, $C$9, 100%, $E$9)</f>
        <v>11.850099999999999</v>
      </c>
      <c r="S207" s="14">
        <f>CHOOSE(CONTROL!$C$42, 10.3385, 10.3385) * CHOOSE(CONTROL!$C$21, $C$9, 100%, $E$9)</f>
        <v>10.3385</v>
      </c>
      <c r="T2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7">
        <f>(1000*CHOOSE(CONTROL!$C$42, 695, 695)*CHOOSE(CONTROL!$C$42, 0.5599, 0.5599)*CHOOSE(CONTROL!$C$42, 31, 31))/1000000</f>
        <v>12.063045499999998</v>
      </c>
      <c r="V207" s="57">
        <f>(1000*CHOOSE(CONTROL!$C$42, 500, 500)*CHOOSE(CONTROL!$C$42, 0.275, 0.275)*CHOOSE(CONTROL!$C$42, 31, 31))/1000000</f>
        <v>4.2625000000000002</v>
      </c>
      <c r="W207" s="57">
        <f>(1000*CHOOSE(CONTROL!$C$42, 0.1146, 0.1146)*CHOOSE(CONTROL!$C$42, 121.5, 121.5)*CHOOSE(CONTROL!$C$42, 31, 31))/1000000</f>
        <v>0.43164089999999994</v>
      </c>
      <c r="X207" s="57">
        <f>(31*0.1790888*100000/1000000)+(31*0.2374*100000/1000000)</f>
        <v>1.2911152800000001</v>
      </c>
      <c r="Y207" s="57"/>
      <c r="Z207" s="14"/>
      <c r="AA207" s="56"/>
      <c r="AB207" s="50">
        <f>(B207*122.58+C207*297.941+D207*89.177+E207*40.302+F207*40+G207*160+H207*0+I207*100+J207*300)/(122.58+297.941+89.177+40.302+0+40+160+100+300)</f>
        <v>10.781433573565215</v>
      </c>
      <c r="AC207" s="45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10.597487769784173</v>
      </c>
    </row>
    <row r="208" spans="1:29" ht="15.75" x14ac:dyDescent="0.25">
      <c r="A208" s="13">
        <v>47209</v>
      </c>
      <c r="B208" s="14">
        <f>CHOOSE(CONTROL!$C$42, 10.7592, 10.7592) * CHOOSE(CONTROL!$C$21, $C$9, 100%, $E$9)</f>
        <v>10.7592</v>
      </c>
      <c r="C208" s="14">
        <f>CHOOSE(CONTROL!$C$42, 10.7636, 10.7636) * CHOOSE(CONTROL!$C$21, $C$9, 100%, $E$9)</f>
        <v>10.7636</v>
      </c>
      <c r="D208" s="14">
        <f>CHOOSE(CONTROL!$C$42, 10.9718, 10.9718) * CHOOSE(CONTROL!$C$21, $C$9, 100%, $E$9)</f>
        <v>10.9718</v>
      </c>
      <c r="E208" s="14">
        <f>CHOOSE(CONTROL!$C$42, 11.0039, 11.0039) * CHOOSE(CONTROL!$C$21, $C$9, 100%, $E$9)</f>
        <v>11.0039</v>
      </c>
      <c r="F208" s="14">
        <f>CHOOSE(CONTROL!$C$42, 10.7465, 10.7465)*CHOOSE(CONTROL!$C$21, $C$9, 100%, $E$9)</f>
        <v>10.746499999999999</v>
      </c>
      <c r="G208" s="14">
        <f>CHOOSE(CONTROL!$C$42, 10.7625, 10.7625)*CHOOSE(CONTROL!$C$21, $C$9, 100%, $E$9)</f>
        <v>10.762499999999999</v>
      </c>
      <c r="H208" s="14">
        <f>CHOOSE(CONTROL!$C$42, 10.9937, 10.9937) * CHOOSE(CONTROL!$C$21, $C$9, 100%, $E$9)</f>
        <v>10.9937</v>
      </c>
      <c r="I208" s="14">
        <f>CHOOSE(CONTROL!$C$42, 10.8023, 10.8023)* CHOOSE(CONTROL!$C$21, $C$9, 100%, $E$9)</f>
        <v>10.802300000000001</v>
      </c>
      <c r="J208" s="14">
        <f>CHOOSE(CONTROL!$C$42, 10.7395, 10.7395)* CHOOSE(CONTROL!$C$21, $C$9, 100%, $E$9)</f>
        <v>10.7395</v>
      </c>
      <c r="K208" s="53">
        <f>CHOOSE(CONTROL!$C$42, 10.7984, 10.7984) * CHOOSE(CONTROL!$C$21, $C$9, 100%, $E$9)</f>
        <v>10.798400000000001</v>
      </c>
      <c r="L208" s="14">
        <f>CHOOSE(CONTROL!$C$42, 11.5807, 11.5807) * CHOOSE(CONTROL!$C$21, $C$9, 100%, $E$9)</f>
        <v>11.5807</v>
      </c>
      <c r="M208" s="14">
        <f>CHOOSE(CONTROL!$C$42, 10.5271, 10.5271) * CHOOSE(CONTROL!$C$21, $C$9, 100%, $E$9)</f>
        <v>10.527100000000001</v>
      </c>
      <c r="N208" s="14">
        <f>CHOOSE(CONTROL!$C$42, 10.5428, 10.5428) * CHOOSE(CONTROL!$C$21, $C$9, 100%, $E$9)</f>
        <v>10.5428</v>
      </c>
      <c r="O208" s="14">
        <f>CHOOSE(CONTROL!$C$42, 10.7761, 10.7761) * CHOOSE(CONTROL!$C$21, $C$9, 100%, $E$9)</f>
        <v>10.7761</v>
      </c>
      <c r="P208" s="14">
        <f>CHOOSE(CONTROL!$C$42, 10.5881, 10.5881) * CHOOSE(CONTROL!$C$21, $C$9, 100%, $E$9)</f>
        <v>10.588100000000001</v>
      </c>
      <c r="Q208" s="14">
        <f>CHOOSE(CONTROL!$C$42, 11.3708, 11.3708) * CHOOSE(CONTROL!$C$21, $C$9, 100%, $E$9)</f>
        <v>11.370799999999999</v>
      </c>
      <c r="R208" s="14">
        <f>CHOOSE(CONTROL!$C$42, 11.9862, 11.9862) * CHOOSE(CONTROL!$C$21, $C$9, 100%, $E$9)</f>
        <v>11.9862</v>
      </c>
      <c r="S208" s="14">
        <f>CHOOSE(CONTROL!$C$42, 10.3292, 10.3292) * CHOOSE(CONTROL!$C$21, $C$9, 100%, $E$9)</f>
        <v>10.3292</v>
      </c>
      <c r="T2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7">
        <f>(1000*CHOOSE(CONTROL!$C$42, 695, 695)*CHOOSE(CONTROL!$C$42, 0.5599, 0.5599)*CHOOSE(CONTROL!$C$42, 30, 30))/1000000</f>
        <v>11.673914999999997</v>
      </c>
      <c r="V208" s="57">
        <f>(1000*CHOOSE(CONTROL!$C$42, 500, 500)*CHOOSE(CONTROL!$C$42, 0.275, 0.275)*CHOOSE(CONTROL!$C$42, 30, 30))/1000000</f>
        <v>4.125</v>
      </c>
      <c r="W208" s="57">
        <f>(1000*CHOOSE(CONTROL!$C$42, 0.1146, 0.1146)*CHOOSE(CONTROL!$C$42, 121.5, 121.5)*CHOOSE(CONTROL!$C$42, 30, 30))/1000000</f>
        <v>0.417717</v>
      </c>
      <c r="X208" s="57">
        <f>(30*0.1790888*245000/1000000)+(30*0.2374*100000/1000000)</f>
        <v>2.0285026799999999</v>
      </c>
      <c r="Y208" s="57"/>
      <c r="Z208" s="14"/>
      <c r="AA208" s="56"/>
      <c r="AB208" s="50">
        <f>(B208*141.293+C208*267.993+D208*115.016+E208*89.698+F208*40+G208*185+H208*0+I208*100+J208*300)/(141.293+267.993+115.016+89.698+0+40+185+100+300)</f>
        <v>10.796393842937851</v>
      </c>
      <c r="AC208" s="45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10.609354676258995</v>
      </c>
    </row>
    <row r="209" spans="1:29" ht="15.75" x14ac:dyDescent="0.25">
      <c r="A209" s="13">
        <v>47239</v>
      </c>
      <c r="B209" s="14">
        <f>CHOOSE(CONTROL!$C$42, 10.8778, 10.8778) * CHOOSE(CONTROL!$C$21, $C$9, 100%, $E$9)</f>
        <v>10.877800000000001</v>
      </c>
      <c r="C209" s="14">
        <f>CHOOSE(CONTROL!$C$42, 10.8858, 10.8858) * CHOOSE(CONTROL!$C$21, $C$9, 100%, $E$9)</f>
        <v>10.8858</v>
      </c>
      <c r="D209" s="14">
        <f>CHOOSE(CONTROL!$C$42, 11.0908, 11.0908) * CHOOSE(CONTROL!$C$21, $C$9, 100%, $E$9)</f>
        <v>11.0908</v>
      </c>
      <c r="E209" s="14">
        <f>CHOOSE(CONTROL!$C$42, 11.1222, 11.1222) * CHOOSE(CONTROL!$C$21, $C$9, 100%, $E$9)</f>
        <v>11.122199999999999</v>
      </c>
      <c r="F209" s="14">
        <f>CHOOSE(CONTROL!$C$42, 10.8639, 10.8639)*CHOOSE(CONTROL!$C$21, $C$9, 100%, $E$9)</f>
        <v>10.863899999999999</v>
      </c>
      <c r="G209" s="14">
        <f>CHOOSE(CONTROL!$C$42, 10.8804, 10.8804)*CHOOSE(CONTROL!$C$21, $C$9, 100%, $E$9)</f>
        <v>10.8804</v>
      </c>
      <c r="H209" s="14">
        <f>CHOOSE(CONTROL!$C$42, 11.1109, 11.1109) * CHOOSE(CONTROL!$C$21, $C$9, 100%, $E$9)</f>
        <v>11.110900000000001</v>
      </c>
      <c r="I209" s="14">
        <f>CHOOSE(CONTROL!$C$42, 10.9199, 10.9199)* CHOOSE(CONTROL!$C$21, $C$9, 100%, $E$9)</f>
        <v>10.9199</v>
      </c>
      <c r="J209" s="14">
        <f>CHOOSE(CONTROL!$C$42, 10.8569, 10.8569)* CHOOSE(CONTROL!$C$21, $C$9, 100%, $E$9)</f>
        <v>10.8569</v>
      </c>
      <c r="K209" s="53">
        <f>CHOOSE(CONTROL!$C$42, 10.916, 10.916) * CHOOSE(CONTROL!$C$21, $C$9, 100%, $E$9)</f>
        <v>10.916</v>
      </c>
      <c r="L209" s="14">
        <f>CHOOSE(CONTROL!$C$42, 11.6979, 11.6979) * CHOOSE(CONTROL!$C$21, $C$9, 100%, $E$9)</f>
        <v>11.697900000000001</v>
      </c>
      <c r="M209" s="14">
        <f>CHOOSE(CONTROL!$C$42, 10.6422, 10.6422) * CHOOSE(CONTROL!$C$21, $C$9, 100%, $E$9)</f>
        <v>10.642200000000001</v>
      </c>
      <c r="N209" s="14">
        <f>CHOOSE(CONTROL!$C$42, 10.6583, 10.6583) * CHOOSE(CONTROL!$C$21, $C$9, 100%, $E$9)</f>
        <v>10.658300000000001</v>
      </c>
      <c r="O209" s="14">
        <f>CHOOSE(CONTROL!$C$42, 10.8909, 10.8909) * CHOOSE(CONTROL!$C$21, $C$9, 100%, $E$9)</f>
        <v>10.8909</v>
      </c>
      <c r="P209" s="14">
        <f>CHOOSE(CONTROL!$C$42, 10.7032, 10.7032) * CHOOSE(CONTROL!$C$21, $C$9, 100%, $E$9)</f>
        <v>10.703200000000001</v>
      </c>
      <c r="Q209" s="14">
        <f>CHOOSE(CONTROL!$C$42, 11.4856, 11.4856) * CHOOSE(CONTROL!$C$21, $C$9, 100%, $E$9)</f>
        <v>11.4856</v>
      </c>
      <c r="R209" s="14">
        <f>CHOOSE(CONTROL!$C$42, 12.1013, 12.1013) * CHOOSE(CONTROL!$C$21, $C$9, 100%, $E$9)</f>
        <v>12.1013</v>
      </c>
      <c r="S209" s="14">
        <f>CHOOSE(CONTROL!$C$42, 10.4418, 10.4418) * CHOOSE(CONTROL!$C$21, $C$9, 100%, $E$9)</f>
        <v>10.441800000000001</v>
      </c>
      <c r="T2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7">
        <f>(1000*CHOOSE(CONTROL!$C$42, 695, 695)*CHOOSE(CONTROL!$C$42, 0.5599, 0.5599)*CHOOSE(CONTROL!$C$42, 31, 31))/1000000</f>
        <v>12.063045499999998</v>
      </c>
      <c r="V209" s="57">
        <f>(1000*CHOOSE(CONTROL!$C$42, 500, 500)*CHOOSE(CONTROL!$C$42, 0.275, 0.275)*CHOOSE(CONTROL!$C$42, 31, 31))/1000000</f>
        <v>4.2625000000000002</v>
      </c>
      <c r="W209" s="57">
        <f>(1000*CHOOSE(CONTROL!$C$42, 0.1146, 0.1146)*CHOOSE(CONTROL!$C$42, 121.5, 121.5)*CHOOSE(CONTROL!$C$42, 31, 31))/1000000</f>
        <v>0.43164089999999994</v>
      </c>
      <c r="X209" s="57">
        <f>(31*0.1790888*245000/1000000)+(31*0.2374*100000/1000000)</f>
        <v>2.0961194359999999</v>
      </c>
      <c r="Y209" s="57"/>
      <c r="Z209" s="14"/>
      <c r="AA209" s="56"/>
      <c r="AB209" s="50">
        <f>(B209*194.205+C209*267.466+D209*133.845+E209*53.484+F209*40+G209*185+H209*0+I209*100+J209*300)/(194.205+267.466+133.845+53.484+0+40+185+100+300)</f>
        <v>10.910441446310831</v>
      </c>
      <c r="AC209" s="45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10.724462589928057</v>
      </c>
    </row>
    <row r="210" spans="1:29" ht="15.75" x14ac:dyDescent="0.25">
      <c r="A210" s="13">
        <v>47270</v>
      </c>
      <c r="B210" s="14">
        <f>CHOOSE(CONTROL!$C$42, 11.209, 11.209) * CHOOSE(CONTROL!$C$21, $C$9, 100%, $E$9)</f>
        <v>11.209</v>
      </c>
      <c r="C210" s="14">
        <f>CHOOSE(CONTROL!$C$42, 11.217, 11.217) * CHOOSE(CONTROL!$C$21, $C$9, 100%, $E$9)</f>
        <v>11.217000000000001</v>
      </c>
      <c r="D210" s="14">
        <f>CHOOSE(CONTROL!$C$42, 11.422, 11.422) * CHOOSE(CONTROL!$C$21, $C$9, 100%, $E$9)</f>
        <v>11.422000000000001</v>
      </c>
      <c r="E210" s="14">
        <f>CHOOSE(CONTROL!$C$42, 11.4535, 11.4535) * CHOOSE(CONTROL!$C$21, $C$9, 100%, $E$9)</f>
        <v>11.4535</v>
      </c>
      <c r="F210" s="14">
        <f>CHOOSE(CONTROL!$C$42, 11.1955, 11.1955)*CHOOSE(CONTROL!$C$21, $C$9, 100%, $E$9)</f>
        <v>11.195499999999999</v>
      </c>
      <c r="G210" s="14">
        <f>CHOOSE(CONTROL!$C$42, 11.2121, 11.2121)*CHOOSE(CONTROL!$C$21, $C$9, 100%, $E$9)</f>
        <v>11.2121</v>
      </c>
      <c r="H210" s="14">
        <f>CHOOSE(CONTROL!$C$42, 11.4421, 11.4421) * CHOOSE(CONTROL!$C$21, $C$9, 100%, $E$9)</f>
        <v>11.4421</v>
      </c>
      <c r="I210" s="14">
        <f>CHOOSE(CONTROL!$C$42, 11.2521, 11.2521)* CHOOSE(CONTROL!$C$21, $C$9, 100%, $E$9)</f>
        <v>11.2521</v>
      </c>
      <c r="J210" s="14">
        <f>CHOOSE(CONTROL!$C$42, 11.1885, 11.1885)* CHOOSE(CONTROL!$C$21, $C$9, 100%, $E$9)</f>
        <v>11.188499999999999</v>
      </c>
      <c r="K210" s="53">
        <f>CHOOSE(CONTROL!$C$42, 11.2483, 11.2483) * CHOOSE(CONTROL!$C$21, $C$9, 100%, $E$9)</f>
        <v>11.2483</v>
      </c>
      <c r="L210" s="14">
        <f>CHOOSE(CONTROL!$C$42, 12.0291, 12.0291) * CHOOSE(CONTROL!$C$21, $C$9, 100%, $E$9)</f>
        <v>12.0291</v>
      </c>
      <c r="M210" s="14">
        <f>CHOOSE(CONTROL!$C$42, 10.967, 10.967) * CHOOSE(CONTROL!$C$21, $C$9, 100%, $E$9)</f>
        <v>10.967000000000001</v>
      </c>
      <c r="N210" s="14">
        <f>CHOOSE(CONTROL!$C$42, 10.9832, 10.9832) * CHOOSE(CONTROL!$C$21, $C$9, 100%, $E$9)</f>
        <v>10.9832</v>
      </c>
      <c r="O210" s="14">
        <f>CHOOSE(CONTROL!$C$42, 11.2153, 11.2153) * CHOOSE(CONTROL!$C$21, $C$9, 100%, $E$9)</f>
        <v>11.215299999999999</v>
      </c>
      <c r="P210" s="14">
        <f>CHOOSE(CONTROL!$C$42, 11.0287, 11.0287) * CHOOSE(CONTROL!$C$21, $C$9, 100%, $E$9)</f>
        <v>11.028700000000001</v>
      </c>
      <c r="Q210" s="14">
        <f>CHOOSE(CONTROL!$C$42, 11.81, 11.81) * CHOOSE(CONTROL!$C$21, $C$9, 100%, $E$9)</f>
        <v>11.81</v>
      </c>
      <c r="R210" s="14">
        <f>CHOOSE(CONTROL!$C$42, 12.4266, 12.4266) * CHOOSE(CONTROL!$C$21, $C$9, 100%, $E$9)</f>
        <v>12.426600000000001</v>
      </c>
      <c r="S210" s="14">
        <f>CHOOSE(CONTROL!$C$42, 10.7601, 10.7601) * CHOOSE(CONTROL!$C$21, $C$9, 100%, $E$9)</f>
        <v>10.7601</v>
      </c>
      <c r="T2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7">
        <f>(1000*CHOOSE(CONTROL!$C$42, 695, 695)*CHOOSE(CONTROL!$C$42, 0.5599, 0.5599)*CHOOSE(CONTROL!$C$42, 30, 30))/1000000</f>
        <v>11.673914999999997</v>
      </c>
      <c r="V210" s="57">
        <f>(1000*CHOOSE(CONTROL!$C$42, 500, 500)*CHOOSE(CONTROL!$C$42, 0.275, 0.275)*CHOOSE(CONTROL!$C$42, 30, 30))/1000000</f>
        <v>4.125</v>
      </c>
      <c r="W210" s="57">
        <f>(1000*CHOOSE(CONTROL!$C$42, 0.1146, 0.1146)*CHOOSE(CONTROL!$C$42, 121.5, 121.5)*CHOOSE(CONTROL!$C$42, 30, 30))/1000000</f>
        <v>0.417717</v>
      </c>
      <c r="X210" s="57">
        <f>(30*0.1790888*245000/1000000)+(30*0.2374*100000/1000000)</f>
        <v>2.0285026799999999</v>
      </c>
      <c r="Y210" s="57"/>
      <c r="Z210" s="14"/>
      <c r="AA210" s="56"/>
      <c r="AB210" s="50">
        <f>(B210*194.205+C210*267.466+D210*133.845+E210*53.484+F210*40+G210*185+H210*0+I210*100+J210*300)/(194.205+267.466+133.845+53.484+0+40+185+100+300)</f>
        <v>11.241903493720562</v>
      </c>
      <c r="AC210" s="45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11.049274100719424</v>
      </c>
    </row>
    <row r="211" spans="1:29" ht="15.75" x14ac:dyDescent="0.25">
      <c r="A211" s="13">
        <v>47300</v>
      </c>
      <c r="B211" s="14">
        <f>CHOOSE(CONTROL!$C$42, 11.0168, 11.0168) * CHOOSE(CONTROL!$C$21, $C$9, 100%, $E$9)</f>
        <v>11.0168</v>
      </c>
      <c r="C211" s="14">
        <f>CHOOSE(CONTROL!$C$42, 11.0248, 11.0248) * CHOOSE(CONTROL!$C$21, $C$9, 100%, $E$9)</f>
        <v>11.024800000000001</v>
      </c>
      <c r="D211" s="14">
        <f>CHOOSE(CONTROL!$C$42, 11.2298, 11.2298) * CHOOSE(CONTROL!$C$21, $C$9, 100%, $E$9)</f>
        <v>11.229799999999999</v>
      </c>
      <c r="E211" s="14">
        <f>CHOOSE(CONTROL!$C$42, 11.2613, 11.2613) * CHOOSE(CONTROL!$C$21, $C$9, 100%, $E$9)</f>
        <v>11.2613</v>
      </c>
      <c r="F211" s="14">
        <f>CHOOSE(CONTROL!$C$42, 11.0038, 11.0038)*CHOOSE(CONTROL!$C$21, $C$9, 100%, $E$9)</f>
        <v>11.0038</v>
      </c>
      <c r="G211" s="14">
        <f>CHOOSE(CONTROL!$C$42, 11.0204, 11.0204)*CHOOSE(CONTROL!$C$21, $C$9, 100%, $E$9)</f>
        <v>11.0204</v>
      </c>
      <c r="H211" s="14">
        <f>CHOOSE(CONTROL!$C$42, 11.2499, 11.2499) * CHOOSE(CONTROL!$C$21, $C$9, 100%, $E$9)</f>
        <v>11.2499</v>
      </c>
      <c r="I211" s="14">
        <f>CHOOSE(CONTROL!$C$42, 11.0594, 11.0594)* CHOOSE(CONTROL!$C$21, $C$9, 100%, $E$9)</f>
        <v>11.0594</v>
      </c>
      <c r="J211" s="14">
        <f>CHOOSE(CONTROL!$C$42, 10.9968, 10.9968)* CHOOSE(CONTROL!$C$21, $C$9, 100%, $E$9)</f>
        <v>10.9968</v>
      </c>
      <c r="K211" s="53">
        <f>CHOOSE(CONTROL!$C$42, 11.0555, 11.0555) * CHOOSE(CONTROL!$C$21, $C$9, 100%, $E$9)</f>
        <v>11.0555</v>
      </c>
      <c r="L211" s="14">
        <f>CHOOSE(CONTROL!$C$42, 11.8369, 11.8369) * CHOOSE(CONTROL!$C$21, $C$9, 100%, $E$9)</f>
        <v>11.8369</v>
      </c>
      <c r="M211" s="14">
        <f>CHOOSE(CONTROL!$C$42, 10.7792, 10.7792) * CHOOSE(CONTROL!$C$21, $C$9, 100%, $E$9)</f>
        <v>10.779199999999999</v>
      </c>
      <c r="N211" s="14">
        <f>CHOOSE(CONTROL!$C$42, 10.7954, 10.7954) * CHOOSE(CONTROL!$C$21, $C$9, 100%, $E$9)</f>
        <v>10.795400000000001</v>
      </c>
      <c r="O211" s="14">
        <f>CHOOSE(CONTROL!$C$42, 11.0271, 11.0271) * CHOOSE(CONTROL!$C$21, $C$9, 100%, $E$9)</f>
        <v>11.027100000000001</v>
      </c>
      <c r="P211" s="14">
        <f>CHOOSE(CONTROL!$C$42, 10.8398, 10.8398) * CHOOSE(CONTROL!$C$21, $C$9, 100%, $E$9)</f>
        <v>10.8398</v>
      </c>
      <c r="Q211" s="14">
        <f>CHOOSE(CONTROL!$C$42, 11.6218, 11.6218) * CHOOSE(CONTROL!$C$21, $C$9, 100%, $E$9)</f>
        <v>11.6218</v>
      </c>
      <c r="R211" s="14">
        <f>CHOOSE(CONTROL!$C$42, 12.2378, 12.2378) * CHOOSE(CONTROL!$C$21, $C$9, 100%, $E$9)</f>
        <v>12.2378</v>
      </c>
      <c r="S211" s="14">
        <f>CHOOSE(CONTROL!$C$42, 10.5754, 10.5754) * CHOOSE(CONTROL!$C$21, $C$9, 100%, $E$9)</f>
        <v>10.5754</v>
      </c>
      <c r="T2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7">
        <f>(1000*CHOOSE(CONTROL!$C$42, 695, 695)*CHOOSE(CONTROL!$C$42, 0.5599, 0.5599)*CHOOSE(CONTROL!$C$42, 31, 31))/1000000</f>
        <v>12.063045499999998</v>
      </c>
      <c r="V211" s="57">
        <f>(1000*CHOOSE(CONTROL!$C$42, 500, 500)*CHOOSE(CONTROL!$C$42, 0.275, 0.275)*CHOOSE(CONTROL!$C$42, 31, 31))/1000000</f>
        <v>4.2625000000000002</v>
      </c>
      <c r="W211" s="57">
        <f>(1000*CHOOSE(CONTROL!$C$42, 0.1146, 0.1146)*CHOOSE(CONTROL!$C$42, 121.5, 121.5)*CHOOSE(CONTROL!$C$42, 31, 31))/1000000</f>
        <v>0.43164089999999994</v>
      </c>
      <c r="X211" s="57">
        <f>(31*0.1790888*245000/1000000)+(31*0.2374*100000/1000000)</f>
        <v>2.0961194359999999</v>
      </c>
      <c r="Y211" s="57"/>
      <c r="Z211" s="14"/>
      <c r="AA211" s="56"/>
      <c r="AB211" s="50">
        <f>(B211*194.205+C211*267.466+D211*133.845+E211*53.484+F211*40+G211*185+H211*0+I211*100+J211*300)/(194.205+267.466+133.845+53.484+0+40+185+100+300)</f>
        <v>11.049870291208791</v>
      </c>
      <c r="AC211" s="45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10.861203597122302</v>
      </c>
    </row>
    <row r="212" spans="1:29" ht="15.75" x14ac:dyDescent="0.25">
      <c r="A212" s="13">
        <v>47331</v>
      </c>
      <c r="B212" s="14">
        <f>CHOOSE(CONTROL!$C$42, 10.4948, 10.4948) * CHOOSE(CONTROL!$C$21, $C$9, 100%, $E$9)</f>
        <v>10.4948</v>
      </c>
      <c r="C212" s="14">
        <f>CHOOSE(CONTROL!$C$42, 10.5028, 10.5028) * CHOOSE(CONTROL!$C$21, $C$9, 100%, $E$9)</f>
        <v>10.502800000000001</v>
      </c>
      <c r="D212" s="14">
        <f>CHOOSE(CONTROL!$C$42, 10.7078, 10.7078) * CHOOSE(CONTROL!$C$21, $C$9, 100%, $E$9)</f>
        <v>10.707800000000001</v>
      </c>
      <c r="E212" s="14">
        <f>CHOOSE(CONTROL!$C$42, 10.7392, 10.7392) * CHOOSE(CONTROL!$C$21, $C$9, 100%, $E$9)</f>
        <v>10.7392</v>
      </c>
      <c r="F212" s="14">
        <f>CHOOSE(CONTROL!$C$42, 10.482, 10.482)*CHOOSE(CONTROL!$C$21, $C$9, 100%, $E$9)</f>
        <v>10.481999999999999</v>
      </c>
      <c r="G212" s="14">
        <f>CHOOSE(CONTROL!$C$42, 10.4986, 10.4986)*CHOOSE(CONTROL!$C$21, $C$9, 100%, $E$9)</f>
        <v>10.4986</v>
      </c>
      <c r="H212" s="14">
        <f>CHOOSE(CONTROL!$C$42, 10.7279, 10.7279) * CHOOSE(CONTROL!$C$21, $C$9, 100%, $E$9)</f>
        <v>10.7279</v>
      </c>
      <c r="I212" s="14">
        <f>CHOOSE(CONTROL!$C$42, 10.5357, 10.5357)* CHOOSE(CONTROL!$C$21, $C$9, 100%, $E$9)</f>
        <v>10.5357</v>
      </c>
      <c r="J212" s="14">
        <f>CHOOSE(CONTROL!$C$42, 10.475, 10.475)* CHOOSE(CONTROL!$C$21, $C$9, 100%, $E$9)</f>
        <v>10.475</v>
      </c>
      <c r="K212" s="53">
        <f>CHOOSE(CONTROL!$C$42, 10.5318, 10.5318) * CHOOSE(CONTROL!$C$21, $C$9, 100%, $E$9)</f>
        <v>10.5318</v>
      </c>
      <c r="L212" s="14">
        <f>CHOOSE(CONTROL!$C$42, 11.3149, 11.3149) * CHOOSE(CONTROL!$C$21, $C$9, 100%, $E$9)</f>
        <v>11.3149</v>
      </c>
      <c r="M212" s="14">
        <f>CHOOSE(CONTROL!$C$42, 10.268, 10.268) * CHOOSE(CONTROL!$C$21, $C$9, 100%, $E$9)</f>
        <v>10.268000000000001</v>
      </c>
      <c r="N212" s="14">
        <f>CHOOSE(CONTROL!$C$42, 10.2844, 10.2844) * CHOOSE(CONTROL!$C$21, $C$9, 100%, $E$9)</f>
        <v>10.2844</v>
      </c>
      <c r="O212" s="14">
        <f>CHOOSE(CONTROL!$C$42, 10.5158, 10.5158) * CHOOSE(CONTROL!$C$21, $C$9, 100%, $E$9)</f>
        <v>10.5158</v>
      </c>
      <c r="P212" s="14">
        <f>CHOOSE(CONTROL!$C$42, 10.3269, 10.3269) * CHOOSE(CONTROL!$C$21, $C$9, 100%, $E$9)</f>
        <v>10.3269</v>
      </c>
      <c r="Q212" s="14">
        <f>CHOOSE(CONTROL!$C$42, 11.1105, 11.1105) * CHOOSE(CONTROL!$C$21, $C$9, 100%, $E$9)</f>
        <v>11.1105</v>
      </c>
      <c r="R212" s="14">
        <f>CHOOSE(CONTROL!$C$42, 11.7252, 11.7252) * CHOOSE(CONTROL!$C$21, $C$9, 100%, $E$9)</f>
        <v>11.725199999999999</v>
      </c>
      <c r="S212" s="14">
        <f>CHOOSE(CONTROL!$C$42, 10.0738, 10.0738) * CHOOSE(CONTROL!$C$21, $C$9, 100%, $E$9)</f>
        <v>10.0738</v>
      </c>
      <c r="T2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7">
        <f>(1000*CHOOSE(CONTROL!$C$42, 695, 695)*CHOOSE(CONTROL!$C$42, 0.5599, 0.5599)*CHOOSE(CONTROL!$C$42, 31, 31))/1000000</f>
        <v>12.063045499999998</v>
      </c>
      <c r="V212" s="57">
        <f>(1000*CHOOSE(CONTROL!$C$42, 500, 500)*CHOOSE(CONTROL!$C$42, 0.275, 0.275)*CHOOSE(CONTROL!$C$42, 31, 31))/1000000</f>
        <v>4.2625000000000002</v>
      </c>
      <c r="W212" s="57">
        <f>(1000*CHOOSE(CONTROL!$C$42, 0.1146, 0.1146)*CHOOSE(CONTROL!$C$42, 121.5, 121.5)*CHOOSE(CONTROL!$C$42, 31, 31))/1000000</f>
        <v>0.43164089999999994</v>
      </c>
      <c r="X212" s="57">
        <f>(31*0.1790888*245000/1000000)+(31*0.2374*100000/1000000)</f>
        <v>2.0961194359999999</v>
      </c>
      <c r="Y212" s="57"/>
      <c r="Z212" s="14"/>
      <c r="AA212" s="56"/>
      <c r="AB212" s="50">
        <f>(B212*194.205+C212*267.466+D212*133.845+E212*53.484+F212*40+G212*185+H212*0+I212*100+J212*300)/(194.205+267.466+133.845+53.484+0+40+185+100+300)</f>
        <v>10.527815072684458</v>
      </c>
      <c r="AC212" s="45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10.349776978417268</v>
      </c>
    </row>
    <row r="213" spans="1:29" ht="15.75" x14ac:dyDescent="0.25">
      <c r="A213" s="13">
        <v>47362</v>
      </c>
      <c r="B213" s="14">
        <f>CHOOSE(CONTROL!$C$42, 9.8491, 9.8491) * CHOOSE(CONTROL!$C$21, $C$9, 100%, $E$9)</f>
        <v>9.8491</v>
      </c>
      <c r="C213" s="14">
        <f>CHOOSE(CONTROL!$C$42, 9.8571, 9.8571) * CHOOSE(CONTROL!$C$21, $C$9, 100%, $E$9)</f>
        <v>9.8571000000000009</v>
      </c>
      <c r="D213" s="14">
        <f>CHOOSE(CONTROL!$C$42, 10.0621, 10.0621) * CHOOSE(CONTROL!$C$21, $C$9, 100%, $E$9)</f>
        <v>10.062099999999999</v>
      </c>
      <c r="E213" s="14">
        <f>CHOOSE(CONTROL!$C$42, 10.0936, 10.0936) * CHOOSE(CONTROL!$C$21, $C$9, 100%, $E$9)</f>
        <v>10.0936</v>
      </c>
      <c r="F213" s="14">
        <f>CHOOSE(CONTROL!$C$42, 9.8363, 9.8363)*CHOOSE(CONTROL!$C$21, $C$9, 100%, $E$9)</f>
        <v>9.8362999999999996</v>
      </c>
      <c r="G213" s="14">
        <f>CHOOSE(CONTROL!$C$42, 9.8529, 9.8529)*CHOOSE(CONTROL!$C$21, $C$9, 100%, $E$9)</f>
        <v>9.8529</v>
      </c>
      <c r="H213" s="14">
        <f>CHOOSE(CONTROL!$C$42, 10.0822, 10.0822) * CHOOSE(CONTROL!$C$21, $C$9, 100%, $E$9)</f>
        <v>10.0822</v>
      </c>
      <c r="I213" s="14">
        <f>CHOOSE(CONTROL!$C$42, 9.888, 9.888)* CHOOSE(CONTROL!$C$21, $C$9, 100%, $E$9)</f>
        <v>9.8879999999999999</v>
      </c>
      <c r="J213" s="14">
        <f>CHOOSE(CONTROL!$C$42, 9.8293, 9.8293)* CHOOSE(CONTROL!$C$21, $C$9, 100%, $E$9)</f>
        <v>9.8292999999999999</v>
      </c>
      <c r="K213" s="53">
        <f>CHOOSE(CONTROL!$C$42, 9.8841, 9.8841) * CHOOSE(CONTROL!$C$21, $C$9, 100%, $E$9)</f>
        <v>9.8841000000000001</v>
      </c>
      <c r="L213" s="14">
        <f>CHOOSE(CONTROL!$C$42, 10.6692, 10.6692) * CHOOSE(CONTROL!$C$21, $C$9, 100%, $E$9)</f>
        <v>10.6692</v>
      </c>
      <c r="M213" s="14">
        <f>CHOOSE(CONTROL!$C$42, 9.6355, 9.6355) * CHOOSE(CONTROL!$C$21, $C$9, 100%, $E$9)</f>
        <v>9.6355000000000004</v>
      </c>
      <c r="N213" s="14">
        <f>CHOOSE(CONTROL!$C$42, 9.6519, 9.6519) * CHOOSE(CONTROL!$C$21, $C$9, 100%, $E$9)</f>
        <v>9.6518999999999995</v>
      </c>
      <c r="O213" s="14">
        <f>CHOOSE(CONTROL!$C$42, 9.8833, 9.8833) * CHOOSE(CONTROL!$C$21, $C$9, 100%, $E$9)</f>
        <v>9.8833000000000002</v>
      </c>
      <c r="P213" s="14">
        <f>CHOOSE(CONTROL!$C$42, 9.6925, 9.6925) * CHOOSE(CONTROL!$C$21, $C$9, 100%, $E$9)</f>
        <v>9.6925000000000008</v>
      </c>
      <c r="Q213" s="14">
        <f>CHOOSE(CONTROL!$C$42, 10.478, 10.478) * CHOOSE(CONTROL!$C$21, $C$9, 100%, $E$9)</f>
        <v>10.478</v>
      </c>
      <c r="R213" s="14">
        <f>CHOOSE(CONTROL!$C$42, 11.0912, 11.0912) * CHOOSE(CONTROL!$C$21, $C$9, 100%, $E$9)</f>
        <v>11.091200000000001</v>
      </c>
      <c r="S213" s="14">
        <f>CHOOSE(CONTROL!$C$42, 9.4534, 9.4534) * CHOOSE(CONTROL!$C$21, $C$9, 100%, $E$9)</f>
        <v>9.4534000000000002</v>
      </c>
      <c r="T2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7">
        <f>(1000*CHOOSE(CONTROL!$C$42, 695, 695)*CHOOSE(CONTROL!$C$42, 0.5599, 0.5599)*CHOOSE(CONTROL!$C$42, 30, 30))/1000000</f>
        <v>11.673914999999997</v>
      </c>
      <c r="V213" s="57">
        <f>(1000*CHOOSE(CONTROL!$C$42, 500, 500)*CHOOSE(CONTROL!$C$42, 0.275, 0.275)*CHOOSE(CONTROL!$C$42, 30, 30))/1000000</f>
        <v>4.125</v>
      </c>
      <c r="W213" s="57">
        <f>(1000*CHOOSE(CONTROL!$C$42, 0.1146, 0.1146)*CHOOSE(CONTROL!$C$42, 121.5, 121.5)*CHOOSE(CONTROL!$C$42, 30, 30))/1000000</f>
        <v>0.417717</v>
      </c>
      <c r="X213" s="57">
        <f>(30*0.1790888*245000/1000000)+(30*0.2374*100000/1000000)</f>
        <v>2.0285026799999999</v>
      </c>
      <c r="Y213" s="57"/>
      <c r="Z213" s="14"/>
      <c r="AA213" s="56"/>
      <c r="AB213" s="50">
        <f>(B213*194.205+C213*267.466+D213*133.845+E213*53.484+F213*40+G213*185+H213*0+I213*100+J213*300)/(194.205+267.466+133.845+53.484+0+40+185+100+300)</f>
        <v>9.8819622849293562</v>
      </c>
      <c r="AC213" s="45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9.7170035971223019</v>
      </c>
    </row>
    <row r="214" spans="1:29" ht="15.75" x14ac:dyDescent="0.25">
      <c r="A214" s="13">
        <v>47392</v>
      </c>
      <c r="B214" s="14">
        <f>CHOOSE(CONTROL!$C$42, 9.6674, 9.6674) * CHOOSE(CONTROL!$C$21, $C$9, 100%, $E$9)</f>
        <v>9.6674000000000007</v>
      </c>
      <c r="C214" s="14">
        <f>CHOOSE(CONTROL!$C$42, 9.6728, 9.6728) * CHOOSE(CONTROL!$C$21, $C$9, 100%, $E$9)</f>
        <v>9.6728000000000005</v>
      </c>
      <c r="D214" s="14">
        <f>CHOOSE(CONTROL!$C$42, 9.8827, 9.8827) * CHOOSE(CONTROL!$C$21, $C$9, 100%, $E$9)</f>
        <v>9.8826999999999998</v>
      </c>
      <c r="E214" s="14">
        <f>CHOOSE(CONTROL!$C$42, 9.9118, 9.9118) * CHOOSE(CONTROL!$C$21, $C$9, 100%, $E$9)</f>
        <v>9.9117999999999995</v>
      </c>
      <c r="F214" s="14">
        <f>CHOOSE(CONTROL!$C$42, 9.6567, 9.6567)*CHOOSE(CONTROL!$C$21, $C$9, 100%, $E$9)</f>
        <v>9.6567000000000007</v>
      </c>
      <c r="G214" s="14">
        <f>CHOOSE(CONTROL!$C$42, 9.673, 9.673)*CHOOSE(CONTROL!$C$21, $C$9, 100%, $E$9)</f>
        <v>9.673</v>
      </c>
      <c r="H214" s="14">
        <f>CHOOSE(CONTROL!$C$42, 9.9023, 9.9023) * CHOOSE(CONTROL!$C$21, $C$9, 100%, $E$9)</f>
        <v>9.9023000000000003</v>
      </c>
      <c r="I214" s="14">
        <f>CHOOSE(CONTROL!$C$42, 9.7075, 9.7075)* CHOOSE(CONTROL!$C$21, $C$9, 100%, $E$9)</f>
        <v>9.7074999999999996</v>
      </c>
      <c r="J214" s="14">
        <f>CHOOSE(CONTROL!$C$42, 9.6497, 9.6497)* CHOOSE(CONTROL!$C$21, $C$9, 100%, $E$9)</f>
        <v>9.6496999999999993</v>
      </c>
      <c r="K214" s="53">
        <f>CHOOSE(CONTROL!$C$42, 9.7036, 9.7036) * CHOOSE(CONTROL!$C$21, $C$9, 100%, $E$9)</f>
        <v>9.7035999999999998</v>
      </c>
      <c r="L214" s="14">
        <f>CHOOSE(CONTROL!$C$42, 10.4893, 10.4893) * CHOOSE(CONTROL!$C$21, $C$9, 100%, $E$9)</f>
        <v>10.4893</v>
      </c>
      <c r="M214" s="14">
        <f>CHOOSE(CONTROL!$C$42, 9.4596, 9.4596) * CHOOSE(CONTROL!$C$21, $C$9, 100%, $E$9)</f>
        <v>9.4596</v>
      </c>
      <c r="N214" s="14">
        <f>CHOOSE(CONTROL!$C$42, 9.4757, 9.4757) * CHOOSE(CONTROL!$C$21, $C$9, 100%, $E$9)</f>
        <v>9.4756999999999998</v>
      </c>
      <c r="O214" s="14">
        <f>CHOOSE(CONTROL!$C$42, 9.7071, 9.7071) * CHOOSE(CONTROL!$C$21, $C$9, 100%, $E$9)</f>
        <v>9.7071000000000005</v>
      </c>
      <c r="P214" s="14">
        <f>CHOOSE(CONTROL!$C$42, 9.5158, 9.5158) * CHOOSE(CONTROL!$C$21, $C$9, 100%, $E$9)</f>
        <v>9.5158000000000005</v>
      </c>
      <c r="Q214" s="14">
        <f>CHOOSE(CONTROL!$C$42, 10.3018, 10.3018) * CHOOSE(CONTROL!$C$21, $C$9, 100%, $E$9)</f>
        <v>10.3018</v>
      </c>
      <c r="R214" s="14">
        <f>CHOOSE(CONTROL!$C$42, 10.9146, 10.9146) * CHOOSE(CONTROL!$C$21, $C$9, 100%, $E$9)</f>
        <v>10.9146</v>
      </c>
      <c r="S214" s="14">
        <f>CHOOSE(CONTROL!$C$42, 9.2805, 9.2805) * CHOOSE(CONTROL!$C$21, $C$9, 100%, $E$9)</f>
        <v>9.2805</v>
      </c>
      <c r="T2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7">
        <f>(1000*CHOOSE(CONTROL!$C$42, 695, 695)*CHOOSE(CONTROL!$C$42, 0.5599, 0.5599)*CHOOSE(CONTROL!$C$42, 31, 31))/1000000</f>
        <v>12.063045499999998</v>
      </c>
      <c r="V214" s="57">
        <f>(1000*CHOOSE(CONTROL!$C$42, 500, 500)*CHOOSE(CONTROL!$C$42, 0.275, 0.275)*CHOOSE(CONTROL!$C$42, 31, 31))/1000000</f>
        <v>4.2625000000000002</v>
      </c>
      <c r="W214" s="57">
        <f>(1000*CHOOSE(CONTROL!$C$42, 0.1146, 0.1146)*CHOOSE(CONTROL!$C$42, 121.5, 121.5)*CHOOSE(CONTROL!$C$42, 31, 31))/1000000</f>
        <v>0.43164089999999994</v>
      </c>
      <c r="X214" s="57">
        <f>(31*0.1790888*245000/1000000)+(31*0.2374*100000/1000000)</f>
        <v>2.0961194359999999</v>
      </c>
      <c r="Y214" s="57"/>
      <c r="Z214" s="14"/>
      <c r="AA214" s="56"/>
      <c r="AB214" s="50">
        <f>(B214*131.881+C214*277.167+D214*79.08+E214*125.872+F214*40+G214*185+H214*0+I214*100+J214*300)/(131.881+277.167+79.08+125.872+0+40+185+100+300)</f>
        <v>9.7066201312348674</v>
      </c>
      <c r="AC214" s="45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9.540835251798562</v>
      </c>
    </row>
    <row r="215" spans="1:29" ht="15.75" x14ac:dyDescent="0.25">
      <c r="A215" s="13">
        <v>47423</v>
      </c>
      <c r="B215" s="14">
        <f>CHOOSE(CONTROL!$C$42, 9.9419, 9.9419) * CHOOSE(CONTROL!$C$21, $C$9, 100%, $E$9)</f>
        <v>9.9419000000000004</v>
      </c>
      <c r="C215" s="14">
        <f>CHOOSE(CONTROL!$C$42, 9.9469, 9.9469) * CHOOSE(CONTROL!$C$21, $C$9, 100%, $E$9)</f>
        <v>9.9468999999999994</v>
      </c>
      <c r="D215" s="14">
        <f>CHOOSE(CONTROL!$C$42, 10.0107, 10.0107) * CHOOSE(CONTROL!$C$21, $C$9, 100%, $E$9)</f>
        <v>10.0107</v>
      </c>
      <c r="E215" s="14">
        <f>CHOOSE(CONTROL!$C$42, 10.0448, 10.0448) * CHOOSE(CONTROL!$C$21, $C$9, 100%, $E$9)</f>
        <v>10.0448</v>
      </c>
      <c r="F215" s="14">
        <f>CHOOSE(CONTROL!$C$42, 9.9441, 9.9441)*CHOOSE(CONTROL!$C$21, $C$9, 100%, $E$9)</f>
        <v>9.9441000000000006</v>
      </c>
      <c r="G215" s="14">
        <f>CHOOSE(CONTROL!$C$42, 9.9608, 9.9608)*CHOOSE(CONTROL!$C$21, $C$9, 100%, $E$9)</f>
        <v>9.9608000000000008</v>
      </c>
      <c r="H215" s="14">
        <f>CHOOSE(CONTROL!$C$42, 10.034, 10.034) * CHOOSE(CONTROL!$C$21, $C$9, 100%, $E$9)</f>
        <v>10.034000000000001</v>
      </c>
      <c r="I215" s="14">
        <f>CHOOSE(CONTROL!$C$42, 9.9869, 9.9869)* CHOOSE(CONTROL!$C$21, $C$9, 100%, $E$9)</f>
        <v>9.9869000000000003</v>
      </c>
      <c r="J215" s="14">
        <f>CHOOSE(CONTROL!$C$42, 9.9371, 9.9371)* CHOOSE(CONTROL!$C$21, $C$9, 100%, $E$9)</f>
        <v>9.9370999999999992</v>
      </c>
      <c r="K215" s="53">
        <f>CHOOSE(CONTROL!$C$42, 9.983, 9.983) * CHOOSE(CONTROL!$C$21, $C$9, 100%, $E$9)</f>
        <v>9.9830000000000005</v>
      </c>
      <c r="L215" s="14">
        <f>CHOOSE(CONTROL!$C$42, 10.621, 10.621) * CHOOSE(CONTROL!$C$21, $C$9, 100%, $E$9)</f>
        <v>10.621</v>
      </c>
      <c r="M215" s="14">
        <f>CHOOSE(CONTROL!$C$42, 9.7412, 9.7412) * CHOOSE(CONTROL!$C$21, $C$9, 100%, $E$9)</f>
        <v>9.7411999999999992</v>
      </c>
      <c r="N215" s="14">
        <f>CHOOSE(CONTROL!$C$42, 9.7575, 9.7575) * CHOOSE(CONTROL!$C$21, $C$9, 100%, $E$9)</f>
        <v>9.7575000000000003</v>
      </c>
      <c r="O215" s="14">
        <f>CHOOSE(CONTROL!$C$42, 9.8361, 9.8361) * CHOOSE(CONTROL!$C$21, $C$9, 100%, $E$9)</f>
        <v>9.8361000000000001</v>
      </c>
      <c r="P215" s="14">
        <f>CHOOSE(CONTROL!$C$42, 9.7894, 9.7894) * CHOOSE(CONTROL!$C$21, $C$9, 100%, $E$9)</f>
        <v>9.7894000000000005</v>
      </c>
      <c r="Q215" s="14">
        <f>CHOOSE(CONTROL!$C$42, 10.4308, 10.4308) * CHOOSE(CONTROL!$C$21, $C$9, 100%, $E$9)</f>
        <v>10.4308</v>
      </c>
      <c r="R215" s="14">
        <f>CHOOSE(CONTROL!$C$42, 11.0439, 11.0439) * CHOOSE(CONTROL!$C$21, $C$9, 100%, $E$9)</f>
        <v>11.043900000000001</v>
      </c>
      <c r="S215" s="14">
        <f>CHOOSE(CONTROL!$C$42, 9.5446, 9.5446) * CHOOSE(CONTROL!$C$21, $C$9, 100%, $E$9)</f>
        <v>9.5446000000000009</v>
      </c>
      <c r="T2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7">
        <f>(1000*CHOOSE(CONTROL!$C$42, 695, 695)*CHOOSE(CONTROL!$C$42, 0.5599, 0.5599)*CHOOSE(CONTROL!$C$42, 30, 30))/1000000</f>
        <v>11.673914999999997</v>
      </c>
      <c r="V215" s="57">
        <f>(1000*CHOOSE(CONTROL!$C$42, 500, 500)*CHOOSE(CONTROL!$C$42, 0.275, 0.275)*CHOOSE(CONTROL!$C$42, 30, 30))/1000000</f>
        <v>4.125</v>
      </c>
      <c r="W215" s="57">
        <f>(1000*CHOOSE(CONTROL!$C$42, 0.1146, 0.1146)*CHOOSE(CONTROL!$C$42, 121.5, 121.5)*CHOOSE(CONTROL!$C$42, 30, 30))/1000000</f>
        <v>0.417717</v>
      </c>
      <c r="X215" s="57">
        <f>(30*0.1790888*100000/1000000)+(30*0.2374*100000/1000000)</f>
        <v>1.2494664</v>
      </c>
      <c r="Y215" s="57"/>
      <c r="Z215" s="14"/>
      <c r="AA215" s="56"/>
      <c r="AB215" s="50">
        <f>(B215*122.58+C215*297.941+D215*89.177+E215*40.302+F215*40+G215*160+H215*0+I215*100+J215*300)/(122.58+297.941+89.177+40.302+0+40+160+100+300)</f>
        <v>9.9575036159999986</v>
      </c>
      <c r="AC215" s="45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9.7920856115107906</v>
      </c>
    </row>
    <row r="216" spans="1:29" ht="15.75" x14ac:dyDescent="0.25">
      <c r="A216" s="13">
        <v>47453</v>
      </c>
      <c r="B216" s="14">
        <f>CHOOSE(CONTROL!$C$42, 10.6409, 10.6409) * CHOOSE(CONTROL!$C$21, $C$9, 100%, $E$9)</f>
        <v>10.6409</v>
      </c>
      <c r="C216" s="14">
        <f>CHOOSE(CONTROL!$C$42, 10.646, 10.646) * CHOOSE(CONTROL!$C$21, $C$9, 100%, $E$9)</f>
        <v>10.646000000000001</v>
      </c>
      <c r="D216" s="14">
        <f>CHOOSE(CONTROL!$C$42, 10.7098, 10.7098) * CHOOSE(CONTROL!$C$21, $C$9, 100%, $E$9)</f>
        <v>10.7098</v>
      </c>
      <c r="E216" s="14">
        <f>CHOOSE(CONTROL!$C$42, 10.7439, 10.7439) * CHOOSE(CONTROL!$C$21, $C$9, 100%, $E$9)</f>
        <v>10.7439</v>
      </c>
      <c r="F216" s="14">
        <f>CHOOSE(CONTROL!$C$42, 10.6452, 10.6452)*CHOOSE(CONTROL!$C$21, $C$9, 100%, $E$9)</f>
        <v>10.645200000000001</v>
      </c>
      <c r="G216" s="14">
        <f>CHOOSE(CONTROL!$C$42, 10.6624, 10.6624)*CHOOSE(CONTROL!$C$21, $C$9, 100%, $E$9)</f>
        <v>10.6624</v>
      </c>
      <c r="H216" s="14">
        <f>CHOOSE(CONTROL!$C$42, 10.7331, 10.7331) * CHOOSE(CONTROL!$C$21, $C$9, 100%, $E$9)</f>
        <v>10.7331</v>
      </c>
      <c r="I216" s="14">
        <f>CHOOSE(CONTROL!$C$42, 10.6881, 10.6881)* CHOOSE(CONTROL!$C$21, $C$9, 100%, $E$9)</f>
        <v>10.6881</v>
      </c>
      <c r="J216" s="14">
        <f>CHOOSE(CONTROL!$C$42, 10.6382, 10.6382)* CHOOSE(CONTROL!$C$21, $C$9, 100%, $E$9)</f>
        <v>10.638199999999999</v>
      </c>
      <c r="K216" s="53">
        <f>CHOOSE(CONTROL!$C$42, 10.6842, 10.6842) * CHOOSE(CONTROL!$C$21, $C$9, 100%, $E$9)</f>
        <v>10.684200000000001</v>
      </c>
      <c r="L216" s="14">
        <f>CHOOSE(CONTROL!$C$42, 11.3201, 11.3201) * CHOOSE(CONTROL!$C$21, $C$9, 100%, $E$9)</f>
        <v>11.3201</v>
      </c>
      <c r="M216" s="14">
        <f>CHOOSE(CONTROL!$C$42, 10.4279, 10.4279) * CHOOSE(CONTROL!$C$21, $C$9, 100%, $E$9)</f>
        <v>10.427899999999999</v>
      </c>
      <c r="N216" s="14">
        <f>CHOOSE(CONTROL!$C$42, 10.4448, 10.4448) * CHOOSE(CONTROL!$C$21, $C$9, 100%, $E$9)</f>
        <v>10.444800000000001</v>
      </c>
      <c r="O216" s="14">
        <f>CHOOSE(CONTROL!$C$42, 10.5208, 10.5208) * CHOOSE(CONTROL!$C$21, $C$9, 100%, $E$9)</f>
        <v>10.520799999999999</v>
      </c>
      <c r="P216" s="14">
        <f>CHOOSE(CONTROL!$C$42, 10.4762, 10.4762) * CHOOSE(CONTROL!$C$21, $C$9, 100%, $E$9)</f>
        <v>10.4762</v>
      </c>
      <c r="Q216" s="14">
        <f>CHOOSE(CONTROL!$C$42, 11.1155, 11.1155) * CHOOSE(CONTROL!$C$21, $C$9, 100%, $E$9)</f>
        <v>11.115500000000001</v>
      </c>
      <c r="R216" s="14">
        <f>CHOOSE(CONTROL!$C$42, 11.7303, 11.7303) * CHOOSE(CONTROL!$C$21, $C$9, 100%, $E$9)</f>
        <v>11.7303</v>
      </c>
      <c r="S216" s="14">
        <f>CHOOSE(CONTROL!$C$42, 10.2163, 10.2163) * CHOOSE(CONTROL!$C$21, $C$9, 100%, $E$9)</f>
        <v>10.2163</v>
      </c>
      <c r="T2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7">
        <f>(1000*CHOOSE(CONTROL!$C$42, 695, 695)*CHOOSE(CONTROL!$C$42, 0.5599, 0.5599)*CHOOSE(CONTROL!$C$42, 31, 31))/1000000</f>
        <v>12.063045499999998</v>
      </c>
      <c r="V216" s="57">
        <f>(1000*CHOOSE(CONTROL!$C$42, 500, 500)*CHOOSE(CONTROL!$C$42, 0.275, 0.275)*CHOOSE(CONTROL!$C$42, 31, 31))/1000000</f>
        <v>4.2625000000000002</v>
      </c>
      <c r="W216" s="57">
        <f>(1000*CHOOSE(CONTROL!$C$42, 0.1146, 0.1146)*CHOOSE(CONTROL!$C$42, 121.5, 121.5)*CHOOSE(CONTROL!$C$42, 31, 31))/1000000</f>
        <v>0.43164089999999994</v>
      </c>
      <c r="X216" s="57">
        <f>(31*0.1790888*100000/1000000)+(31*0.2374*100000/1000000)</f>
        <v>1.2911152800000001</v>
      </c>
      <c r="Y216" s="57"/>
      <c r="Z216" s="14"/>
      <c r="AA216" s="56"/>
      <c r="AB216" s="50">
        <f>(B216*122.58+C216*297.941+D216*89.177+E216*40.302+F216*40+G216*160+H216*0+I216*100+J216*300)/(122.58+297.941+89.177+40.302+0+40+160+100+300)</f>
        <v>10.657714696000001</v>
      </c>
      <c r="AC216" s="45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10.477928057553955</v>
      </c>
    </row>
    <row r="217" spans="1:29" ht="15.75" x14ac:dyDescent="0.25">
      <c r="A217" s="13">
        <v>47484</v>
      </c>
      <c r="B217" s="14">
        <f>CHOOSE(CONTROL!$C$42, 11.1863, 11.1863) * CHOOSE(CONTROL!$C$21, $C$9, 100%, $E$9)</f>
        <v>11.186299999999999</v>
      </c>
      <c r="C217" s="14">
        <f>CHOOSE(CONTROL!$C$42, 11.1913, 11.1913) * CHOOSE(CONTROL!$C$21, $C$9, 100%, $E$9)</f>
        <v>11.1913</v>
      </c>
      <c r="D217" s="14">
        <f>CHOOSE(CONTROL!$C$42, 11.25, 11.25) * CHOOSE(CONTROL!$C$21, $C$9, 100%, $E$9)</f>
        <v>11.25</v>
      </c>
      <c r="E217" s="14">
        <f>CHOOSE(CONTROL!$C$42, 11.2841, 11.2841) * CHOOSE(CONTROL!$C$21, $C$9, 100%, $E$9)</f>
        <v>11.2841</v>
      </c>
      <c r="F217" s="14">
        <f>CHOOSE(CONTROL!$C$42, 11.1854, 11.1854)*CHOOSE(CONTROL!$C$21, $C$9, 100%, $E$9)</f>
        <v>11.1854</v>
      </c>
      <c r="G217" s="14">
        <f>CHOOSE(CONTROL!$C$42, 11.2018, 11.2018)*CHOOSE(CONTROL!$C$21, $C$9, 100%, $E$9)</f>
        <v>11.2018</v>
      </c>
      <c r="H217" s="14">
        <f>CHOOSE(CONTROL!$C$42, 11.2733, 11.2733) * CHOOSE(CONTROL!$C$21, $C$9, 100%, $E$9)</f>
        <v>11.273300000000001</v>
      </c>
      <c r="I217" s="14">
        <f>CHOOSE(CONTROL!$C$42, 11.2315, 11.2315)* CHOOSE(CONTROL!$C$21, $C$9, 100%, $E$9)</f>
        <v>11.2315</v>
      </c>
      <c r="J217" s="14">
        <f>CHOOSE(CONTROL!$C$42, 11.1784, 11.1784)* CHOOSE(CONTROL!$C$21, $C$9, 100%, $E$9)</f>
        <v>11.1784</v>
      </c>
      <c r="K217" s="53">
        <f>CHOOSE(CONTROL!$C$42, 11.2277, 11.2277) * CHOOSE(CONTROL!$C$21, $C$9, 100%, $E$9)</f>
        <v>11.2277</v>
      </c>
      <c r="L217" s="14">
        <f>CHOOSE(CONTROL!$C$42, 11.8603, 11.8603) * CHOOSE(CONTROL!$C$21, $C$9, 100%, $E$9)</f>
        <v>11.860300000000001</v>
      </c>
      <c r="M217" s="14">
        <f>CHOOSE(CONTROL!$C$42, 10.957, 10.957) * CHOOSE(CONTROL!$C$21, $C$9, 100%, $E$9)</f>
        <v>10.957000000000001</v>
      </c>
      <c r="N217" s="14">
        <f>CHOOSE(CONTROL!$C$42, 10.9731, 10.9731) * CHOOSE(CONTROL!$C$21, $C$9, 100%, $E$9)</f>
        <v>10.973100000000001</v>
      </c>
      <c r="O217" s="14">
        <f>CHOOSE(CONTROL!$C$42, 11.05, 11.05) * CHOOSE(CONTROL!$C$21, $C$9, 100%, $E$9)</f>
        <v>11.05</v>
      </c>
      <c r="P217" s="14">
        <f>CHOOSE(CONTROL!$C$42, 11.0085, 11.0085) * CHOOSE(CONTROL!$C$21, $C$9, 100%, $E$9)</f>
        <v>11.0085</v>
      </c>
      <c r="Q217" s="14">
        <f>CHOOSE(CONTROL!$C$42, 11.6447, 11.6447) * CHOOSE(CONTROL!$C$21, $C$9, 100%, $E$9)</f>
        <v>11.6447</v>
      </c>
      <c r="R217" s="14">
        <f>CHOOSE(CONTROL!$C$42, 12.2608, 12.2608) * CHOOSE(CONTROL!$C$21, $C$9, 100%, $E$9)</f>
        <v>12.2608</v>
      </c>
      <c r="S217" s="14">
        <f>CHOOSE(CONTROL!$C$42, 10.7404, 10.7404) * CHOOSE(CONTROL!$C$21, $C$9, 100%, $E$9)</f>
        <v>10.740399999999999</v>
      </c>
      <c r="T2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7">
        <f>(1000*CHOOSE(CONTROL!$C$42, 695, 695)*CHOOSE(CONTROL!$C$42, 0.5599, 0.5599)*CHOOSE(CONTROL!$C$42, 31, 31))/1000000</f>
        <v>12.063045499999998</v>
      </c>
      <c r="V217" s="57">
        <f>(1000*CHOOSE(CONTROL!$C$42, 500, 500)*CHOOSE(CONTROL!$C$42, 0.275, 0.275)*CHOOSE(CONTROL!$C$42, 31, 31))/1000000</f>
        <v>4.2625000000000002</v>
      </c>
      <c r="W217" s="57">
        <f>(1000*CHOOSE(CONTROL!$C$42, 0.1146, 0.1146)*CHOOSE(CONTROL!$C$42, 121.5, 121.5)*CHOOSE(CONTROL!$C$42, 31, 31))/1000000</f>
        <v>0.43164089999999994</v>
      </c>
      <c r="X217" s="57">
        <f>(31*0.1790888*100000/1000000)+(31*0.2374*100000/1000000)</f>
        <v>1.2911152800000001</v>
      </c>
      <c r="Y217" s="57"/>
      <c r="Z217" s="14"/>
      <c r="AA217" s="56"/>
      <c r="AB217" s="50">
        <f>(B217*122.58+C217*297.941+D217*89.177+E217*40.302+F217*40+G217*160+H217*0+I217*100+J217*300)/(122.58+297.941+89.177+40.302+0+40+160+100+300)</f>
        <v>11.199957230869565</v>
      </c>
      <c r="AC217" s="45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11.007487769784172</v>
      </c>
    </row>
    <row r="218" spans="1:29" ht="15.75" x14ac:dyDescent="0.25">
      <c r="A218" s="13">
        <v>47515</v>
      </c>
      <c r="B218" s="14">
        <f>CHOOSE(CONTROL!$C$42, 11.4087, 11.4087) * CHOOSE(CONTROL!$C$21, $C$9, 100%, $E$9)</f>
        <v>11.4087</v>
      </c>
      <c r="C218" s="14">
        <f>CHOOSE(CONTROL!$C$42, 11.4137, 11.4137) * CHOOSE(CONTROL!$C$21, $C$9, 100%, $E$9)</f>
        <v>11.4137</v>
      </c>
      <c r="D218" s="14">
        <f>CHOOSE(CONTROL!$C$42, 11.4723, 11.4723) * CHOOSE(CONTROL!$C$21, $C$9, 100%, $E$9)</f>
        <v>11.472300000000001</v>
      </c>
      <c r="E218" s="14">
        <f>CHOOSE(CONTROL!$C$42, 11.5065, 11.5065) * CHOOSE(CONTROL!$C$21, $C$9, 100%, $E$9)</f>
        <v>11.506500000000001</v>
      </c>
      <c r="F218" s="14">
        <f>CHOOSE(CONTROL!$C$42, 11.4078, 11.4078)*CHOOSE(CONTROL!$C$21, $C$9, 100%, $E$9)</f>
        <v>11.4078</v>
      </c>
      <c r="G218" s="14">
        <f>CHOOSE(CONTROL!$C$42, 11.4241, 11.4241)*CHOOSE(CONTROL!$C$21, $C$9, 100%, $E$9)</f>
        <v>11.424099999999999</v>
      </c>
      <c r="H218" s="14">
        <f>CHOOSE(CONTROL!$C$42, 11.4956, 11.4956) * CHOOSE(CONTROL!$C$21, $C$9, 100%, $E$9)</f>
        <v>11.4956</v>
      </c>
      <c r="I218" s="14">
        <f>CHOOSE(CONTROL!$C$42, 11.4546, 11.4546)* CHOOSE(CONTROL!$C$21, $C$9, 100%, $E$9)</f>
        <v>11.454599999999999</v>
      </c>
      <c r="J218" s="14">
        <f>CHOOSE(CONTROL!$C$42, 11.4008, 11.4008)* CHOOSE(CONTROL!$C$21, $C$9, 100%, $E$9)</f>
        <v>11.4008</v>
      </c>
      <c r="K218" s="53">
        <f>CHOOSE(CONTROL!$C$42, 11.4507, 11.4507) * CHOOSE(CONTROL!$C$21, $C$9, 100%, $E$9)</f>
        <v>11.450699999999999</v>
      </c>
      <c r="L218" s="14">
        <f>CHOOSE(CONTROL!$C$42, 12.0826, 12.0826) * CHOOSE(CONTROL!$C$21, $C$9, 100%, $E$9)</f>
        <v>12.082599999999999</v>
      </c>
      <c r="M218" s="14">
        <f>CHOOSE(CONTROL!$C$42, 11.1749, 11.1749) * CHOOSE(CONTROL!$C$21, $C$9, 100%, $E$9)</f>
        <v>11.174899999999999</v>
      </c>
      <c r="N218" s="14">
        <f>CHOOSE(CONTROL!$C$42, 11.1909, 11.1909) * CHOOSE(CONTROL!$C$21, $C$9, 100%, $E$9)</f>
        <v>11.190899999999999</v>
      </c>
      <c r="O218" s="14">
        <f>CHOOSE(CONTROL!$C$42, 11.2678, 11.2678) * CHOOSE(CONTROL!$C$21, $C$9, 100%, $E$9)</f>
        <v>11.267799999999999</v>
      </c>
      <c r="P218" s="14">
        <f>CHOOSE(CONTROL!$C$42, 11.227, 11.227) * CHOOSE(CONTROL!$C$21, $C$9, 100%, $E$9)</f>
        <v>11.227</v>
      </c>
      <c r="Q218" s="14">
        <f>CHOOSE(CONTROL!$C$42, 11.8625, 11.8625) * CHOOSE(CONTROL!$C$21, $C$9, 100%, $E$9)</f>
        <v>11.862500000000001</v>
      </c>
      <c r="R218" s="14">
        <f>CHOOSE(CONTROL!$C$42, 12.4792, 12.4792) * CHOOSE(CONTROL!$C$21, $C$9, 100%, $E$9)</f>
        <v>12.479200000000001</v>
      </c>
      <c r="S218" s="14">
        <f>CHOOSE(CONTROL!$C$42, 10.9541, 10.9541) * CHOOSE(CONTROL!$C$21, $C$9, 100%, $E$9)</f>
        <v>10.9541</v>
      </c>
      <c r="T2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7">
        <f>(1000*CHOOSE(CONTROL!$C$42, 695, 695)*CHOOSE(CONTROL!$C$42, 0.5599, 0.5599)*CHOOSE(CONTROL!$C$42, 28, 28))/1000000</f>
        <v>10.895653999999999</v>
      </c>
      <c r="V218" s="57">
        <f>(1000*CHOOSE(CONTROL!$C$42, 500, 500)*CHOOSE(CONTROL!$C$42, 0.275, 0.275)*CHOOSE(CONTROL!$C$42, 28, 28))/1000000</f>
        <v>3.85</v>
      </c>
      <c r="W218" s="57">
        <f>(1000*CHOOSE(CONTROL!$C$42, 0.1146, 0.1146)*CHOOSE(CONTROL!$C$42, 121.5, 121.5)*CHOOSE(CONTROL!$C$42, 28, 28))/1000000</f>
        <v>0.38986920000000003</v>
      </c>
      <c r="X218" s="57">
        <f>(28*0.1790888*100000/1000000)+(28*0.2374*100000/1000000)</f>
        <v>1.16616864</v>
      </c>
      <c r="Y218" s="57"/>
      <c r="Z218" s="14"/>
      <c r="AA218" s="56"/>
      <c r="AB218" s="50">
        <f>(B218*122.58+C218*297.941+D218*89.177+E218*40.302+F218*40+G218*160+H218*0+I218*100+J218*300)/(122.58+297.941+89.177+40.302+0+40+160+100+300)</f>
        <v>11.422396432869565</v>
      </c>
      <c r="AC218" s="45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11.225423021582733</v>
      </c>
    </row>
    <row r="219" spans="1:29" ht="15.75" x14ac:dyDescent="0.25">
      <c r="A219" s="13">
        <v>47543</v>
      </c>
      <c r="B219" s="14">
        <f>CHOOSE(CONTROL!$C$42, 11.1079, 11.1079) * CHOOSE(CONTROL!$C$21, $C$9, 100%, $E$9)</f>
        <v>11.107900000000001</v>
      </c>
      <c r="C219" s="14">
        <f>CHOOSE(CONTROL!$C$42, 11.1129, 11.1129) * CHOOSE(CONTROL!$C$21, $C$9, 100%, $E$9)</f>
        <v>11.1129</v>
      </c>
      <c r="D219" s="14">
        <f>CHOOSE(CONTROL!$C$42, 11.1715, 11.1715) * CHOOSE(CONTROL!$C$21, $C$9, 100%, $E$9)</f>
        <v>11.1715</v>
      </c>
      <c r="E219" s="14">
        <f>CHOOSE(CONTROL!$C$42, 11.2056, 11.2056) * CHOOSE(CONTROL!$C$21, $C$9, 100%, $E$9)</f>
        <v>11.2056</v>
      </c>
      <c r="F219" s="14">
        <f>CHOOSE(CONTROL!$C$42, 11.1064, 11.1064)*CHOOSE(CONTROL!$C$21, $C$9, 100%, $E$9)</f>
        <v>11.106400000000001</v>
      </c>
      <c r="G219" s="14">
        <f>CHOOSE(CONTROL!$C$42, 11.1227, 11.1227)*CHOOSE(CONTROL!$C$21, $C$9, 100%, $E$9)</f>
        <v>11.1227</v>
      </c>
      <c r="H219" s="14">
        <f>CHOOSE(CONTROL!$C$42, 11.1948, 11.1948) * CHOOSE(CONTROL!$C$21, $C$9, 100%, $E$9)</f>
        <v>11.194800000000001</v>
      </c>
      <c r="I219" s="14">
        <f>CHOOSE(CONTROL!$C$42, 11.1529, 11.1529)* CHOOSE(CONTROL!$C$21, $C$9, 100%, $E$9)</f>
        <v>11.152900000000001</v>
      </c>
      <c r="J219" s="14">
        <f>CHOOSE(CONTROL!$C$42, 11.0994, 11.0994)* CHOOSE(CONTROL!$C$21, $C$9, 100%, $E$9)</f>
        <v>11.099399999999999</v>
      </c>
      <c r="K219" s="53">
        <f>CHOOSE(CONTROL!$C$42, 11.149, 11.149) * CHOOSE(CONTROL!$C$21, $C$9, 100%, $E$9)</f>
        <v>11.148999999999999</v>
      </c>
      <c r="L219" s="14">
        <f>CHOOSE(CONTROL!$C$42, 11.7818, 11.7818) * CHOOSE(CONTROL!$C$21, $C$9, 100%, $E$9)</f>
        <v>11.7818</v>
      </c>
      <c r="M219" s="14">
        <f>CHOOSE(CONTROL!$C$42, 10.8797, 10.8797) * CHOOSE(CONTROL!$C$21, $C$9, 100%, $E$9)</f>
        <v>10.8797</v>
      </c>
      <c r="N219" s="14">
        <f>CHOOSE(CONTROL!$C$42, 10.8956, 10.8956) * CHOOSE(CONTROL!$C$21, $C$9, 100%, $E$9)</f>
        <v>10.8956</v>
      </c>
      <c r="O219" s="14">
        <f>CHOOSE(CONTROL!$C$42, 10.9732, 10.9732) * CHOOSE(CONTROL!$C$21, $C$9, 100%, $E$9)</f>
        <v>10.9732</v>
      </c>
      <c r="P219" s="14">
        <f>CHOOSE(CONTROL!$C$42, 10.9314, 10.9314) * CHOOSE(CONTROL!$C$21, $C$9, 100%, $E$9)</f>
        <v>10.9314</v>
      </c>
      <c r="Q219" s="14">
        <f>CHOOSE(CONTROL!$C$42, 11.5679, 11.5679) * CHOOSE(CONTROL!$C$21, $C$9, 100%, $E$9)</f>
        <v>11.5679</v>
      </c>
      <c r="R219" s="14">
        <f>CHOOSE(CONTROL!$C$42, 12.1838, 12.1838) * CHOOSE(CONTROL!$C$21, $C$9, 100%, $E$9)</f>
        <v>12.1838</v>
      </c>
      <c r="S219" s="14">
        <f>CHOOSE(CONTROL!$C$42, 10.665, 10.665) * CHOOSE(CONTROL!$C$21, $C$9, 100%, $E$9)</f>
        <v>10.664999999999999</v>
      </c>
      <c r="T2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7">
        <f>(1000*CHOOSE(CONTROL!$C$42, 695, 695)*CHOOSE(CONTROL!$C$42, 0.5599, 0.5599)*CHOOSE(CONTROL!$C$42, 31, 31))/1000000</f>
        <v>12.063045499999998</v>
      </c>
      <c r="V219" s="57">
        <f>(1000*CHOOSE(CONTROL!$C$42, 500, 500)*CHOOSE(CONTROL!$C$42, 0.275, 0.275)*CHOOSE(CONTROL!$C$42, 31, 31))/1000000</f>
        <v>4.2625000000000002</v>
      </c>
      <c r="W219" s="57">
        <f>(1000*CHOOSE(CONTROL!$C$42, 0.1146, 0.1146)*CHOOSE(CONTROL!$C$42, 121.5, 121.5)*CHOOSE(CONTROL!$C$42, 31, 31))/1000000</f>
        <v>0.43164089999999994</v>
      </c>
      <c r="X219" s="57">
        <f>(31*0.1790888*100000/1000000)+(31*0.2374*100000/1000000)</f>
        <v>1.2911152800000001</v>
      </c>
      <c r="Y219" s="57"/>
      <c r="Z219" s="14"/>
      <c r="AA219" s="56"/>
      <c r="AB219" s="50">
        <f>(B219*122.58+C219*297.941+D219*89.177+E219*40.302+F219*40+G219*160+H219*0+I219*100+J219*300)/(122.58+297.941+89.177+40.302+0+40+160+100+300)</f>
        <v>11.121253797913042</v>
      </c>
      <c r="AC219" s="45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10.93043165467626</v>
      </c>
    </row>
    <row r="220" spans="1:29" ht="15.75" x14ac:dyDescent="0.25">
      <c r="A220" s="13">
        <v>47574</v>
      </c>
      <c r="B220" s="14">
        <f>CHOOSE(CONTROL!$C$42, 11.0986, 11.0986) * CHOOSE(CONTROL!$C$21, $C$9, 100%, $E$9)</f>
        <v>11.098599999999999</v>
      </c>
      <c r="C220" s="14">
        <f>CHOOSE(CONTROL!$C$42, 11.1031, 11.1031) * CHOOSE(CONTROL!$C$21, $C$9, 100%, $E$9)</f>
        <v>11.1031</v>
      </c>
      <c r="D220" s="14">
        <f>CHOOSE(CONTROL!$C$42, 11.3112, 11.3112) * CHOOSE(CONTROL!$C$21, $C$9, 100%, $E$9)</f>
        <v>11.311199999999999</v>
      </c>
      <c r="E220" s="14">
        <f>CHOOSE(CONTROL!$C$42, 11.3433, 11.3433) * CHOOSE(CONTROL!$C$21, $C$9, 100%, $E$9)</f>
        <v>11.343299999999999</v>
      </c>
      <c r="F220" s="14">
        <f>CHOOSE(CONTROL!$C$42, 11.0859, 11.0859)*CHOOSE(CONTROL!$C$21, $C$9, 100%, $E$9)</f>
        <v>11.085900000000001</v>
      </c>
      <c r="G220" s="14">
        <f>CHOOSE(CONTROL!$C$42, 11.1019, 11.1019)*CHOOSE(CONTROL!$C$21, $C$9, 100%, $E$9)</f>
        <v>11.101900000000001</v>
      </c>
      <c r="H220" s="14">
        <f>CHOOSE(CONTROL!$C$42, 11.3331, 11.3331) * CHOOSE(CONTROL!$C$21, $C$9, 100%, $E$9)</f>
        <v>11.3331</v>
      </c>
      <c r="I220" s="14">
        <f>CHOOSE(CONTROL!$C$42, 11.1428, 11.1428)* CHOOSE(CONTROL!$C$21, $C$9, 100%, $E$9)</f>
        <v>11.142799999999999</v>
      </c>
      <c r="J220" s="14">
        <f>CHOOSE(CONTROL!$C$42, 11.0789, 11.0789)* CHOOSE(CONTROL!$C$21, $C$9, 100%, $E$9)</f>
        <v>11.078900000000001</v>
      </c>
      <c r="K220" s="53">
        <f>CHOOSE(CONTROL!$C$42, 11.1389, 11.1389) * CHOOSE(CONTROL!$C$21, $C$9, 100%, $E$9)</f>
        <v>11.1389</v>
      </c>
      <c r="L220" s="14">
        <f>CHOOSE(CONTROL!$C$42, 11.9201, 11.9201) * CHOOSE(CONTROL!$C$21, $C$9, 100%, $E$9)</f>
        <v>11.9201</v>
      </c>
      <c r="M220" s="14">
        <f>CHOOSE(CONTROL!$C$42, 10.8596, 10.8596) * CHOOSE(CONTROL!$C$21, $C$9, 100%, $E$9)</f>
        <v>10.8596</v>
      </c>
      <c r="N220" s="14">
        <f>CHOOSE(CONTROL!$C$42, 10.8753, 10.8753) * CHOOSE(CONTROL!$C$21, $C$9, 100%, $E$9)</f>
        <v>10.875299999999999</v>
      </c>
      <c r="O220" s="14">
        <f>CHOOSE(CONTROL!$C$42, 11.1086, 11.1086) * CHOOSE(CONTROL!$C$21, $C$9, 100%, $E$9)</f>
        <v>11.108599999999999</v>
      </c>
      <c r="P220" s="14">
        <f>CHOOSE(CONTROL!$C$42, 10.9216, 10.9216) * CHOOSE(CONTROL!$C$21, $C$9, 100%, $E$9)</f>
        <v>10.9216</v>
      </c>
      <c r="Q220" s="14">
        <f>CHOOSE(CONTROL!$C$42, 11.7033, 11.7033) * CHOOSE(CONTROL!$C$21, $C$9, 100%, $E$9)</f>
        <v>11.7033</v>
      </c>
      <c r="R220" s="14">
        <f>CHOOSE(CONTROL!$C$42, 12.3195, 12.3195) * CHOOSE(CONTROL!$C$21, $C$9, 100%, $E$9)</f>
        <v>12.3195</v>
      </c>
      <c r="S220" s="14">
        <f>CHOOSE(CONTROL!$C$42, 10.6554, 10.6554) * CHOOSE(CONTROL!$C$21, $C$9, 100%, $E$9)</f>
        <v>10.6554</v>
      </c>
      <c r="T2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7">
        <f>(1000*CHOOSE(CONTROL!$C$42, 695, 695)*CHOOSE(CONTROL!$C$42, 0.5599, 0.5599)*CHOOSE(CONTROL!$C$42, 30, 30))/1000000</f>
        <v>11.673914999999997</v>
      </c>
      <c r="V220" s="57">
        <f>(1000*CHOOSE(CONTROL!$C$42, 500, 500)*CHOOSE(CONTROL!$C$42, 0.275, 0.275)*CHOOSE(CONTROL!$C$42, 30, 30))/1000000</f>
        <v>4.125</v>
      </c>
      <c r="W220" s="57">
        <f>(1000*CHOOSE(CONTROL!$C$42, 0.1146, 0.1146)*CHOOSE(CONTROL!$C$42, 121.5, 121.5)*CHOOSE(CONTROL!$C$42, 30, 30))/1000000</f>
        <v>0.417717</v>
      </c>
      <c r="X220" s="57">
        <f>(30*0.1790888*245000/1000000)+(30*0.2374*100000/1000000)</f>
        <v>2.0285026799999999</v>
      </c>
      <c r="Y220" s="57"/>
      <c r="Z220" s="14"/>
      <c r="AA220" s="56"/>
      <c r="AB220" s="50">
        <f>(B220*141.293+C220*267.993+D220*115.016+E220*89.698+F220*40+G220*185+H220*0+I220*100+J220*300)/(141.293+267.993+115.016+89.698+0+40+185+100+300)</f>
        <v>11.135904253995157</v>
      </c>
      <c r="AC220" s="45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10.941998561151077</v>
      </c>
    </row>
    <row r="221" spans="1:29" ht="15.75" x14ac:dyDescent="0.25">
      <c r="A221" s="13">
        <v>47604</v>
      </c>
      <c r="B221" s="14">
        <f>CHOOSE(CONTROL!$C$42, 11.2209, 11.2209) * CHOOSE(CONTROL!$C$21, $C$9, 100%, $E$9)</f>
        <v>11.2209</v>
      </c>
      <c r="C221" s="14">
        <f>CHOOSE(CONTROL!$C$42, 11.2289, 11.2289) * CHOOSE(CONTROL!$C$21, $C$9, 100%, $E$9)</f>
        <v>11.228899999999999</v>
      </c>
      <c r="D221" s="14">
        <f>CHOOSE(CONTROL!$C$42, 11.4339, 11.4339) * CHOOSE(CONTROL!$C$21, $C$9, 100%, $E$9)</f>
        <v>11.4339</v>
      </c>
      <c r="E221" s="14">
        <f>CHOOSE(CONTROL!$C$42, 11.4654, 11.4654) * CHOOSE(CONTROL!$C$21, $C$9, 100%, $E$9)</f>
        <v>11.465400000000001</v>
      </c>
      <c r="F221" s="14">
        <f>CHOOSE(CONTROL!$C$42, 11.2071, 11.2071)*CHOOSE(CONTROL!$C$21, $C$9, 100%, $E$9)</f>
        <v>11.207100000000001</v>
      </c>
      <c r="G221" s="14">
        <f>CHOOSE(CONTROL!$C$42, 11.2235, 11.2235)*CHOOSE(CONTROL!$C$21, $C$9, 100%, $E$9)</f>
        <v>11.2235</v>
      </c>
      <c r="H221" s="14">
        <f>CHOOSE(CONTROL!$C$42, 11.454, 11.454) * CHOOSE(CONTROL!$C$21, $C$9, 100%, $E$9)</f>
        <v>11.454000000000001</v>
      </c>
      <c r="I221" s="14">
        <f>CHOOSE(CONTROL!$C$42, 11.2641, 11.2641)* CHOOSE(CONTROL!$C$21, $C$9, 100%, $E$9)</f>
        <v>11.264099999999999</v>
      </c>
      <c r="J221" s="14">
        <f>CHOOSE(CONTROL!$C$42, 11.2001, 11.2001)* CHOOSE(CONTROL!$C$21, $C$9, 100%, $E$9)</f>
        <v>11.200100000000001</v>
      </c>
      <c r="K221" s="53">
        <f>CHOOSE(CONTROL!$C$42, 11.2602, 11.2602) * CHOOSE(CONTROL!$C$21, $C$9, 100%, $E$9)</f>
        <v>11.260199999999999</v>
      </c>
      <c r="L221" s="14">
        <f>CHOOSE(CONTROL!$C$42, 12.041, 12.041) * CHOOSE(CONTROL!$C$21, $C$9, 100%, $E$9)</f>
        <v>12.041</v>
      </c>
      <c r="M221" s="14">
        <f>CHOOSE(CONTROL!$C$42, 10.9783, 10.9783) * CHOOSE(CONTROL!$C$21, $C$9, 100%, $E$9)</f>
        <v>10.978300000000001</v>
      </c>
      <c r="N221" s="14">
        <f>CHOOSE(CONTROL!$C$42, 10.9944, 10.9944) * CHOOSE(CONTROL!$C$21, $C$9, 100%, $E$9)</f>
        <v>10.994400000000001</v>
      </c>
      <c r="O221" s="14">
        <f>CHOOSE(CONTROL!$C$42, 11.227, 11.227) * CHOOSE(CONTROL!$C$21, $C$9, 100%, $E$9)</f>
        <v>11.227</v>
      </c>
      <c r="P221" s="14">
        <f>CHOOSE(CONTROL!$C$42, 11.0404, 11.0404) * CHOOSE(CONTROL!$C$21, $C$9, 100%, $E$9)</f>
        <v>11.0404</v>
      </c>
      <c r="Q221" s="14">
        <f>CHOOSE(CONTROL!$C$42, 11.8217, 11.8217) * CHOOSE(CONTROL!$C$21, $C$9, 100%, $E$9)</f>
        <v>11.8217</v>
      </c>
      <c r="R221" s="14">
        <f>CHOOSE(CONTROL!$C$42, 12.4383, 12.4383) * CHOOSE(CONTROL!$C$21, $C$9, 100%, $E$9)</f>
        <v>12.4383</v>
      </c>
      <c r="S221" s="14">
        <f>CHOOSE(CONTROL!$C$42, 10.7715, 10.7715) * CHOOSE(CONTROL!$C$21, $C$9, 100%, $E$9)</f>
        <v>10.7715</v>
      </c>
      <c r="T2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7">
        <f>(1000*CHOOSE(CONTROL!$C$42, 695, 695)*CHOOSE(CONTROL!$C$42, 0.5599, 0.5599)*CHOOSE(CONTROL!$C$42, 31, 31))/1000000</f>
        <v>12.063045499999998</v>
      </c>
      <c r="V221" s="57">
        <f>(1000*CHOOSE(CONTROL!$C$42, 500, 500)*CHOOSE(CONTROL!$C$42, 0.275, 0.275)*CHOOSE(CONTROL!$C$42, 31, 31))/1000000</f>
        <v>4.2625000000000002</v>
      </c>
      <c r="W221" s="57">
        <f>(1000*CHOOSE(CONTROL!$C$42, 0.1146, 0.1146)*CHOOSE(CONTROL!$C$42, 121.5, 121.5)*CHOOSE(CONTROL!$C$42, 31, 31))/1000000</f>
        <v>0.43164089999999994</v>
      </c>
      <c r="X221" s="57">
        <f>(31*0.1790888*245000/1000000)+(31*0.2374*100000/1000000)</f>
        <v>2.0961194359999999</v>
      </c>
      <c r="Y221" s="57"/>
      <c r="Z221" s="14"/>
      <c r="AA221" s="56"/>
      <c r="AB221" s="50">
        <f>(B221*194.205+C221*267.466+D221*133.845+E221*53.484+F221*40+G221*185+H221*0+I221*100+J221*300)/(194.205+267.466+133.845+53.484+0+40+185+100+300)</f>
        <v>11.253658674254318</v>
      </c>
      <c r="AC221" s="45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11.060720863309353</v>
      </c>
    </row>
    <row r="222" spans="1:29" ht="15.75" x14ac:dyDescent="0.25">
      <c r="A222" s="13">
        <v>47635</v>
      </c>
      <c r="B222" s="14">
        <f>CHOOSE(CONTROL!$C$42, 11.5626, 11.5626) * CHOOSE(CONTROL!$C$21, $C$9, 100%, $E$9)</f>
        <v>11.5626</v>
      </c>
      <c r="C222" s="14">
        <f>CHOOSE(CONTROL!$C$42, 11.5706, 11.5706) * CHOOSE(CONTROL!$C$21, $C$9, 100%, $E$9)</f>
        <v>11.570600000000001</v>
      </c>
      <c r="D222" s="14">
        <f>CHOOSE(CONTROL!$C$42, 11.7756, 11.7756) * CHOOSE(CONTROL!$C$21, $C$9, 100%, $E$9)</f>
        <v>11.775600000000001</v>
      </c>
      <c r="E222" s="14">
        <f>CHOOSE(CONTROL!$C$42, 11.8071, 11.8071) * CHOOSE(CONTROL!$C$21, $C$9, 100%, $E$9)</f>
        <v>11.8071</v>
      </c>
      <c r="F222" s="14">
        <f>CHOOSE(CONTROL!$C$42, 11.5491, 11.5491)*CHOOSE(CONTROL!$C$21, $C$9, 100%, $E$9)</f>
        <v>11.549099999999999</v>
      </c>
      <c r="G222" s="14">
        <f>CHOOSE(CONTROL!$C$42, 11.5657, 11.5657)*CHOOSE(CONTROL!$C$21, $C$9, 100%, $E$9)</f>
        <v>11.5657</v>
      </c>
      <c r="H222" s="14">
        <f>CHOOSE(CONTROL!$C$42, 11.7957, 11.7957) * CHOOSE(CONTROL!$C$21, $C$9, 100%, $E$9)</f>
        <v>11.7957</v>
      </c>
      <c r="I222" s="14">
        <f>CHOOSE(CONTROL!$C$42, 11.6069, 11.6069)* CHOOSE(CONTROL!$C$21, $C$9, 100%, $E$9)</f>
        <v>11.6069</v>
      </c>
      <c r="J222" s="14">
        <f>CHOOSE(CONTROL!$C$42, 11.5421, 11.5421)* CHOOSE(CONTROL!$C$21, $C$9, 100%, $E$9)</f>
        <v>11.5421</v>
      </c>
      <c r="K222" s="53">
        <f>CHOOSE(CONTROL!$C$42, 11.603, 11.603) * CHOOSE(CONTROL!$C$21, $C$9, 100%, $E$9)</f>
        <v>11.603</v>
      </c>
      <c r="L222" s="14">
        <f>CHOOSE(CONTROL!$C$42, 12.3827, 12.3827) * CHOOSE(CONTROL!$C$21, $C$9, 100%, $E$9)</f>
        <v>12.3827</v>
      </c>
      <c r="M222" s="14">
        <f>CHOOSE(CONTROL!$C$42, 11.3133, 11.3133) * CHOOSE(CONTROL!$C$21, $C$9, 100%, $E$9)</f>
        <v>11.3133</v>
      </c>
      <c r="N222" s="14">
        <f>CHOOSE(CONTROL!$C$42, 11.3295, 11.3295) * CHOOSE(CONTROL!$C$21, $C$9, 100%, $E$9)</f>
        <v>11.329499999999999</v>
      </c>
      <c r="O222" s="14">
        <f>CHOOSE(CONTROL!$C$42, 11.5617, 11.5617) * CHOOSE(CONTROL!$C$21, $C$9, 100%, $E$9)</f>
        <v>11.5617</v>
      </c>
      <c r="P222" s="14">
        <f>CHOOSE(CONTROL!$C$42, 11.3761, 11.3761) * CHOOSE(CONTROL!$C$21, $C$9, 100%, $E$9)</f>
        <v>11.376099999999999</v>
      </c>
      <c r="Q222" s="14">
        <f>CHOOSE(CONTROL!$C$42, 12.1564, 12.1564) * CHOOSE(CONTROL!$C$21, $C$9, 100%, $E$9)</f>
        <v>12.1564</v>
      </c>
      <c r="R222" s="14">
        <f>CHOOSE(CONTROL!$C$42, 12.7738, 12.7738) * CHOOSE(CONTROL!$C$21, $C$9, 100%, $E$9)</f>
        <v>12.7738</v>
      </c>
      <c r="S222" s="14">
        <f>CHOOSE(CONTROL!$C$42, 11.0999, 11.0999) * CHOOSE(CONTROL!$C$21, $C$9, 100%, $E$9)</f>
        <v>11.0999</v>
      </c>
      <c r="T2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7">
        <f>(1000*CHOOSE(CONTROL!$C$42, 695, 695)*CHOOSE(CONTROL!$C$42, 0.5599, 0.5599)*CHOOSE(CONTROL!$C$42, 30, 30))/1000000</f>
        <v>11.673914999999997</v>
      </c>
      <c r="V222" s="57">
        <f>(1000*CHOOSE(CONTROL!$C$42, 500, 500)*CHOOSE(CONTROL!$C$42, 0.275, 0.275)*CHOOSE(CONTROL!$C$42, 30, 30))/1000000</f>
        <v>4.125</v>
      </c>
      <c r="W222" s="57">
        <f>(1000*CHOOSE(CONTROL!$C$42, 0.1146, 0.1146)*CHOOSE(CONTROL!$C$42, 121.5, 121.5)*CHOOSE(CONTROL!$C$42, 30, 30))/1000000</f>
        <v>0.417717</v>
      </c>
      <c r="X222" s="57">
        <f>(30*0.1790888*245000/1000000)+(30*0.2374*100000/1000000)</f>
        <v>2.0285026799999999</v>
      </c>
      <c r="Y222" s="57"/>
      <c r="Z222" s="14"/>
      <c r="AA222" s="56"/>
      <c r="AB222" s="50">
        <f>(B222*194.205+C222*267.466+D222*133.845+E222*53.484+F222*40+G222*185+H222*0+I222*100+J222*300)/(194.205+267.466+133.845+53.484+0+40+185+100+300)</f>
        <v>11.595597685243328</v>
      </c>
      <c r="AC222" s="45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11.395760431654676</v>
      </c>
    </row>
    <row r="223" spans="1:29" ht="15.75" x14ac:dyDescent="0.25">
      <c r="A223" s="13">
        <v>47665</v>
      </c>
      <c r="B223" s="14">
        <f>CHOOSE(CONTROL!$C$42, 11.3643, 11.3643) * CHOOSE(CONTROL!$C$21, $C$9, 100%, $E$9)</f>
        <v>11.3643</v>
      </c>
      <c r="C223" s="14">
        <f>CHOOSE(CONTROL!$C$42, 11.3724, 11.3724) * CHOOSE(CONTROL!$C$21, $C$9, 100%, $E$9)</f>
        <v>11.372400000000001</v>
      </c>
      <c r="D223" s="14">
        <f>CHOOSE(CONTROL!$C$42, 11.5773, 11.5773) * CHOOSE(CONTROL!$C$21, $C$9, 100%, $E$9)</f>
        <v>11.577299999999999</v>
      </c>
      <c r="E223" s="14">
        <f>CHOOSE(CONTROL!$C$42, 11.6088, 11.6088) * CHOOSE(CONTROL!$C$21, $C$9, 100%, $E$9)</f>
        <v>11.6088</v>
      </c>
      <c r="F223" s="14">
        <f>CHOOSE(CONTROL!$C$42, 11.3513, 11.3513)*CHOOSE(CONTROL!$C$21, $C$9, 100%, $E$9)</f>
        <v>11.3513</v>
      </c>
      <c r="G223" s="14">
        <f>CHOOSE(CONTROL!$C$42, 11.3679, 11.3679)*CHOOSE(CONTROL!$C$21, $C$9, 100%, $E$9)</f>
        <v>11.367900000000001</v>
      </c>
      <c r="H223" s="14">
        <f>CHOOSE(CONTROL!$C$42, 11.5974, 11.5974) * CHOOSE(CONTROL!$C$21, $C$9, 100%, $E$9)</f>
        <v>11.5974</v>
      </c>
      <c r="I223" s="14">
        <f>CHOOSE(CONTROL!$C$42, 11.408, 11.408)* CHOOSE(CONTROL!$C$21, $C$9, 100%, $E$9)</f>
        <v>11.407999999999999</v>
      </c>
      <c r="J223" s="14">
        <f>CHOOSE(CONTROL!$C$42, 11.3443, 11.3443)* CHOOSE(CONTROL!$C$21, $C$9, 100%, $E$9)</f>
        <v>11.3443</v>
      </c>
      <c r="K223" s="53">
        <f>CHOOSE(CONTROL!$C$42, 11.4041, 11.4041) * CHOOSE(CONTROL!$C$21, $C$9, 100%, $E$9)</f>
        <v>11.4041</v>
      </c>
      <c r="L223" s="14">
        <f>CHOOSE(CONTROL!$C$42, 12.1844, 12.1844) * CHOOSE(CONTROL!$C$21, $C$9, 100%, $E$9)</f>
        <v>12.1844</v>
      </c>
      <c r="M223" s="14">
        <f>CHOOSE(CONTROL!$C$42, 11.1196, 11.1196) * CHOOSE(CONTROL!$C$21, $C$9, 100%, $E$9)</f>
        <v>11.1196</v>
      </c>
      <c r="N223" s="14">
        <f>CHOOSE(CONTROL!$C$42, 11.1358, 11.1358) * CHOOSE(CONTROL!$C$21, $C$9, 100%, $E$9)</f>
        <v>11.1358</v>
      </c>
      <c r="O223" s="14">
        <f>CHOOSE(CONTROL!$C$42, 11.3675, 11.3675) * CHOOSE(CONTROL!$C$21, $C$9, 100%, $E$9)</f>
        <v>11.3675</v>
      </c>
      <c r="P223" s="14">
        <f>CHOOSE(CONTROL!$C$42, 11.1813, 11.1813) * CHOOSE(CONTROL!$C$21, $C$9, 100%, $E$9)</f>
        <v>11.1813</v>
      </c>
      <c r="Q223" s="14">
        <f>CHOOSE(CONTROL!$C$42, 11.9622, 11.9622) * CHOOSE(CONTROL!$C$21, $C$9, 100%, $E$9)</f>
        <v>11.962199999999999</v>
      </c>
      <c r="R223" s="14">
        <f>CHOOSE(CONTROL!$C$42, 12.5791, 12.5791) * CHOOSE(CONTROL!$C$21, $C$9, 100%, $E$9)</f>
        <v>12.5791</v>
      </c>
      <c r="S223" s="14">
        <f>CHOOSE(CONTROL!$C$42, 10.9094, 10.9094) * CHOOSE(CONTROL!$C$21, $C$9, 100%, $E$9)</f>
        <v>10.9094</v>
      </c>
      <c r="T2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7">
        <f>(1000*CHOOSE(CONTROL!$C$42, 695, 695)*CHOOSE(CONTROL!$C$42, 0.5599, 0.5599)*CHOOSE(CONTROL!$C$42, 31, 31))/1000000</f>
        <v>12.063045499999998</v>
      </c>
      <c r="V223" s="57">
        <f>(1000*CHOOSE(CONTROL!$C$42, 500, 500)*CHOOSE(CONTROL!$C$42, 0.275, 0.275)*CHOOSE(CONTROL!$C$42, 31, 31))/1000000</f>
        <v>4.2625000000000002</v>
      </c>
      <c r="W223" s="57">
        <f>(1000*CHOOSE(CONTROL!$C$42, 0.1146, 0.1146)*CHOOSE(CONTROL!$C$42, 121.5, 121.5)*CHOOSE(CONTROL!$C$42, 31, 31))/1000000</f>
        <v>0.43164089999999994</v>
      </c>
      <c r="X223" s="57">
        <f>(31*0.1790888*245000/1000000)+(31*0.2374*100000/1000000)</f>
        <v>2.0961194359999999</v>
      </c>
      <c r="Y223" s="57"/>
      <c r="Z223" s="14"/>
      <c r="AA223" s="56"/>
      <c r="AB223" s="50">
        <f>(B223*194.205+C223*267.466+D223*133.845+E223*53.484+F223*40+G223*185+H223*0+I223*100+J223*300)/(194.205+267.466+133.845+53.484+0+40+185+100+300)</f>
        <v>11.397477627629513</v>
      </c>
      <c r="AC223" s="45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11.201761870503599</v>
      </c>
    </row>
    <row r="224" spans="1:29" ht="15.75" x14ac:dyDescent="0.25">
      <c r="A224" s="13">
        <v>47696</v>
      </c>
      <c r="B224" s="14">
        <f>CHOOSE(CONTROL!$C$42, 10.8036, 10.8036) * CHOOSE(CONTROL!$C$21, $C$9, 100%, $E$9)</f>
        <v>10.803599999999999</v>
      </c>
      <c r="C224" s="14">
        <f>CHOOSE(CONTROL!$C$42, 10.8116, 10.8116) * CHOOSE(CONTROL!$C$21, $C$9, 100%, $E$9)</f>
        <v>10.8116</v>
      </c>
      <c r="D224" s="14">
        <f>CHOOSE(CONTROL!$C$42, 11.0166, 11.0166) * CHOOSE(CONTROL!$C$21, $C$9, 100%, $E$9)</f>
        <v>11.0166</v>
      </c>
      <c r="E224" s="14">
        <f>CHOOSE(CONTROL!$C$42, 11.0481, 11.0481) * CHOOSE(CONTROL!$C$21, $C$9, 100%, $E$9)</f>
        <v>11.0481</v>
      </c>
      <c r="F224" s="14">
        <f>CHOOSE(CONTROL!$C$42, 10.7908, 10.7908)*CHOOSE(CONTROL!$C$21, $C$9, 100%, $E$9)</f>
        <v>10.790800000000001</v>
      </c>
      <c r="G224" s="14">
        <f>CHOOSE(CONTROL!$C$42, 10.8075, 10.8075)*CHOOSE(CONTROL!$C$21, $C$9, 100%, $E$9)</f>
        <v>10.807499999999999</v>
      </c>
      <c r="H224" s="14">
        <f>CHOOSE(CONTROL!$C$42, 11.0367, 11.0367) * CHOOSE(CONTROL!$C$21, $C$9, 100%, $E$9)</f>
        <v>11.0367</v>
      </c>
      <c r="I224" s="14">
        <f>CHOOSE(CONTROL!$C$42, 10.8455, 10.8455)* CHOOSE(CONTROL!$C$21, $C$9, 100%, $E$9)</f>
        <v>10.845499999999999</v>
      </c>
      <c r="J224" s="14">
        <f>CHOOSE(CONTROL!$C$42, 10.7838, 10.7838)* CHOOSE(CONTROL!$C$21, $C$9, 100%, $E$9)</f>
        <v>10.783799999999999</v>
      </c>
      <c r="K224" s="53">
        <f>CHOOSE(CONTROL!$C$42, 10.8416, 10.8416) * CHOOSE(CONTROL!$C$21, $C$9, 100%, $E$9)</f>
        <v>10.8416</v>
      </c>
      <c r="L224" s="14">
        <f>CHOOSE(CONTROL!$C$42, 11.6237, 11.6237) * CHOOSE(CONTROL!$C$21, $C$9, 100%, $E$9)</f>
        <v>11.623699999999999</v>
      </c>
      <c r="M224" s="14">
        <f>CHOOSE(CONTROL!$C$42, 10.5705, 10.5705) * CHOOSE(CONTROL!$C$21, $C$9, 100%, $E$9)</f>
        <v>10.570499999999999</v>
      </c>
      <c r="N224" s="14">
        <f>CHOOSE(CONTROL!$C$42, 10.5869, 10.5869) * CHOOSE(CONTROL!$C$21, $C$9, 100%, $E$9)</f>
        <v>10.5869</v>
      </c>
      <c r="O224" s="14">
        <f>CHOOSE(CONTROL!$C$42, 10.8182, 10.8182) * CHOOSE(CONTROL!$C$21, $C$9, 100%, $E$9)</f>
        <v>10.818199999999999</v>
      </c>
      <c r="P224" s="14">
        <f>CHOOSE(CONTROL!$C$42, 10.6304, 10.6304) * CHOOSE(CONTROL!$C$21, $C$9, 100%, $E$9)</f>
        <v>10.6304</v>
      </c>
      <c r="Q224" s="14">
        <f>CHOOSE(CONTROL!$C$42, 11.4129, 11.4129) * CHOOSE(CONTROL!$C$21, $C$9, 100%, $E$9)</f>
        <v>11.4129</v>
      </c>
      <c r="R224" s="14">
        <f>CHOOSE(CONTROL!$C$42, 12.0285, 12.0285) * CHOOSE(CONTROL!$C$21, $C$9, 100%, $E$9)</f>
        <v>12.028499999999999</v>
      </c>
      <c r="S224" s="14">
        <f>CHOOSE(CONTROL!$C$42, 10.3705, 10.3705) * CHOOSE(CONTROL!$C$21, $C$9, 100%, $E$9)</f>
        <v>10.3705</v>
      </c>
      <c r="T2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7">
        <f>(1000*CHOOSE(CONTROL!$C$42, 695, 695)*CHOOSE(CONTROL!$C$42, 0.5599, 0.5599)*CHOOSE(CONTROL!$C$42, 31, 31))/1000000</f>
        <v>12.063045499999998</v>
      </c>
      <c r="V224" s="57">
        <f>(1000*CHOOSE(CONTROL!$C$42, 500, 500)*CHOOSE(CONTROL!$C$42, 0.275, 0.275)*CHOOSE(CONTROL!$C$42, 31, 31))/1000000</f>
        <v>4.2625000000000002</v>
      </c>
      <c r="W224" s="57">
        <f>(1000*CHOOSE(CONTROL!$C$42, 0.1146, 0.1146)*CHOOSE(CONTROL!$C$42, 121.5, 121.5)*CHOOSE(CONTROL!$C$42, 31, 31))/1000000</f>
        <v>0.43164089999999994</v>
      </c>
      <c r="X224" s="57">
        <f>(31*0.1790888*245000/1000000)+(31*0.2374*100000/1000000)</f>
        <v>2.0961194359999999</v>
      </c>
      <c r="Y224" s="57"/>
      <c r="Z224" s="14"/>
      <c r="AA224" s="56"/>
      <c r="AB224" s="50">
        <f>(B224*194.205+C224*267.466+D224*133.845+E224*53.484+F224*40+G224*185+H224*0+I224*100+J224*300)/(194.205+267.466+133.845+53.484+0+40+185+100+300)</f>
        <v>10.836712284929357</v>
      </c>
      <c r="AC224" s="45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10.652392805755396</v>
      </c>
    </row>
    <row r="225" spans="1:29" ht="15.75" x14ac:dyDescent="0.25">
      <c r="A225" s="13">
        <v>47727</v>
      </c>
      <c r="B225" s="14">
        <f>CHOOSE(CONTROL!$C$42, 10.1181, 10.1181) * CHOOSE(CONTROL!$C$21, $C$9, 100%, $E$9)</f>
        <v>10.1181</v>
      </c>
      <c r="C225" s="14">
        <f>CHOOSE(CONTROL!$C$42, 10.1261, 10.1261) * CHOOSE(CONTROL!$C$21, $C$9, 100%, $E$9)</f>
        <v>10.126099999999999</v>
      </c>
      <c r="D225" s="14">
        <f>CHOOSE(CONTROL!$C$42, 10.3311, 10.3311) * CHOOSE(CONTROL!$C$21, $C$9, 100%, $E$9)</f>
        <v>10.331099999999999</v>
      </c>
      <c r="E225" s="14">
        <f>CHOOSE(CONTROL!$C$42, 10.3625, 10.3625) * CHOOSE(CONTROL!$C$21, $C$9, 100%, $E$9)</f>
        <v>10.362500000000001</v>
      </c>
      <c r="F225" s="14">
        <f>CHOOSE(CONTROL!$C$42, 10.1052, 10.1052)*CHOOSE(CONTROL!$C$21, $C$9, 100%, $E$9)</f>
        <v>10.1052</v>
      </c>
      <c r="G225" s="14">
        <f>CHOOSE(CONTROL!$C$42, 10.1219, 10.1219)*CHOOSE(CONTROL!$C$21, $C$9, 100%, $E$9)</f>
        <v>10.1219</v>
      </c>
      <c r="H225" s="14">
        <f>CHOOSE(CONTROL!$C$42, 10.3512, 10.3512) * CHOOSE(CONTROL!$C$21, $C$9, 100%, $E$9)</f>
        <v>10.3512</v>
      </c>
      <c r="I225" s="14">
        <f>CHOOSE(CONTROL!$C$42, 10.1578, 10.1578)* CHOOSE(CONTROL!$C$21, $C$9, 100%, $E$9)</f>
        <v>10.1578</v>
      </c>
      <c r="J225" s="14">
        <f>CHOOSE(CONTROL!$C$42, 10.0982, 10.0982)* CHOOSE(CONTROL!$C$21, $C$9, 100%, $E$9)</f>
        <v>10.0982</v>
      </c>
      <c r="K225" s="53">
        <f>CHOOSE(CONTROL!$C$42, 10.1539, 10.1539) * CHOOSE(CONTROL!$C$21, $C$9, 100%, $E$9)</f>
        <v>10.1539</v>
      </c>
      <c r="L225" s="14">
        <f>CHOOSE(CONTROL!$C$42, 10.9382, 10.9382) * CHOOSE(CONTROL!$C$21, $C$9, 100%, $E$9)</f>
        <v>10.9382</v>
      </c>
      <c r="M225" s="14">
        <f>CHOOSE(CONTROL!$C$42, 9.899, 9.899) * CHOOSE(CONTROL!$C$21, $C$9, 100%, $E$9)</f>
        <v>9.8989999999999991</v>
      </c>
      <c r="N225" s="14">
        <f>CHOOSE(CONTROL!$C$42, 9.9154, 9.9154) * CHOOSE(CONTROL!$C$21, $C$9, 100%, $E$9)</f>
        <v>9.9154</v>
      </c>
      <c r="O225" s="14">
        <f>CHOOSE(CONTROL!$C$42, 10.1468, 10.1468) * CHOOSE(CONTROL!$C$21, $C$9, 100%, $E$9)</f>
        <v>10.146800000000001</v>
      </c>
      <c r="P225" s="14">
        <f>CHOOSE(CONTROL!$C$42, 9.9568, 9.9568) * CHOOSE(CONTROL!$C$21, $C$9, 100%, $E$9)</f>
        <v>9.9567999999999994</v>
      </c>
      <c r="Q225" s="14">
        <f>CHOOSE(CONTROL!$C$42, 10.7415, 10.7415) * CHOOSE(CONTROL!$C$21, $C$9, 100%, $E$9)</f>
        <v>10.7415</v>
      </c>
      <c r="R225" s="14">
        <f>CHOOSE(CONTROL!$C$42, 11.3553, 11.3553) * CHOOSE(CONTROL!$C$21, $C$9, 100%, $E$9)</f>
        <v>11.3553</v>
      </c>
      <c r="S225" s="14">
        <f>CHOOSE(CONTROL!$C$42, 9.7118, 9.7118) * CHOOSE(CONTROL!$C$21, $C$9, 100%, $E$9)</f>
        <v>9.7118000000000002</v>
      </c>
      <c r="T2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7">
        <f>(1000*CHOOSE(CONTROL!$C$42, 695, 695)*CHOOSE(CONTROL!$C$42, 0.5599, 0.5599)*CHOOSE(CONTROL!$C$42, 30, 30))/1000000</f>
        <v>11.673914999999997</v>
      </c>
      <c r="V225" s="57">
        <f>(1000*CHOOSE(CONTROL!$C$42, 500, 500)*CHOOSE(CONTROL!$C$42, 0.275, 0.275)*CHOOSE(CONTROL!$C$42, 30, 30))/1000000</f>
        <v>4.125</v>
      </c>
      <c r="W225" s="57">
        <f>(1000*CHOOSE(CONTROL!$C$42, 0.1146, 0.1146)*CHOOSE(CONTROL!$C$42, 121.5, 121.5)*CHOOSE(CONTROL!$C$42, 30, 30))/1000000</f>
        <v>0.417717</v>
      </c>
      <c r="X225" s="57">
        <f>(30*0.1790888*245000/1000000)+(30*0.2374*100000/1000000)</f>
        <v>2.0285026799999999</v>
      </c>
      <c r="Y225" s="57"/>
      <c r="Z225" s="14"/>
      <c r="AA225" s="56"/>
      <c r="AB225" s="50">
        <f>(B225*194.205+C225*267.466+D225*133.845+E225*53.484+F225*40+G225*185+H225*0+I225*100+J225*300)/(194.205+267.466+133.845+53.484+0+40+185+100+300)</f>
        <v>10.150994193563578</v>
      </c>
      <c r="AC225" s="45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9.9806187050359725</v>
      </c>
    </row>
    <row r="226" spans="1:29" ht="15.75" x14ac:dyDescent="0.25">
      <c r="A226" s="13">
        <v>47757</v>
      </c>
      <c r="B226" s="14">
        <f>CHOOSE(CONTROL!$C$42, 9.9111, 9.9111) * CHOOSE(CONTROL!$C$21, $C$9, 100%, $E$9)</f>
        <v>9.9110999999999994</v>
      </c>
      <c r="C226" s="14">
        <f>CHOOSE(CONTROL!$C$42, 9.9164, 9.9164) * CHOOSE(CONTROL!$C$21, $C$9, 100%, $E$9)</f>
        <v>9.9163999999999994</v>
      </c>
      <c r="D226" s="14">
        <f>CHOOSE(CONTROL!$C$42, 10.1264, 10.1264) * CHOOSE(CONTROL!$C$21, $C$9, 100%, $E$9)</f>
        <v>10.1264</v>
      </c>
      <c r="E226" s="14">
        <f>CHOOSE(CONTROL!$C$42, 10.1555, 10.1555) * CHOOSE(CONTROL!$C$21, $C$9, 100%, $E$9)</f>
        <v>10.1555</v>
      </c>
      <c r="F226" s="14">
        <f>CHOOSE(CONTROL!$C$42, 9.9003, 9.9003)*CHOOSE(CONTROL!$C$21, $C$9, 100%, $E$9)</f>
        <v>9.9002999999999997</v>
      </c>
      <c r="G226" s="14">
        <f>CHOOSE(CONTROL!$C$42, 9.9167, 9.9167)*CHOOSE(CONTROL!$C$21, $C$9, 100%, $E$9)</f>
        <v>9.9167000000000005</v>
      </c>
      <c r="H226" s="14">
        <f>CHOOSE(CONTROL!$C$42, 10.146, 10.146) * CHOOSE(CONTROL!$C$21, $C$9, 100%, $E$9)</f>
        <v>10.146000000000001</v>
      </c>
      <c r="I226" s="14">
        <f>CHOOSE(CONTROL!$C$42, 9.952, 9.952)* CHOOSE(CONTROL!$C$21, $C$9, 100%, $E$9)</f>
        <v>9.952</v>
      </c>
      <c r="J226" s="14">
        <f>CHOOSE(CONTROL!$C$42, 9.8933, 9.8933)* CHOOSE(CONTROL!$C$21, $C$9, 100%, $E$9)</f>
        <v>9.8933</v>
      </c>
      <c r="K226" s="53">
        <f>CHOOSE(CONTROL!$C$42, 9.9481, 9.9481) * CHOOSE(CONTROL!$C$21, $C$9, 100%, $E$9)</f>
        <v>9.9481000000000002</v>
      </c>
      <c r="L226" s="14">
        <f>CHOOSE(CONTROL!$C$42, 10.733, 10.733) * CHOOSE(CONTROL!$C$21, $C$9, 100%, $E$9)</f>
        <v>10.733000000000001</v>
      </c>
      <c r="M226" s="14">
        <f>CHOOSE(CONTROL!$C$42, 9.6983, 9.6983) * CHOOSE(CONTROL!$C$21, $C$9, 100%, $E$9)</f>
        <v>9.6982999999999997</v>
      </c>
      <c r="N226" s="14">
        <f>CHOOSE(CONTROL!$C$42, 9.7143, 9.7143) * CHOOSE(CONTROL!$C$21, $C$9, 100%, $E$9)</f>
        <v>9.7142999999999997</v>
      </c>
      <c r="O226" s="14">
        <f>CHOOSE(CONTROL!$C$42, 9.9458, 9.9458) * CHOOSE(CONTROL!$C$21, $C$9, 100%, $E$9)</f>
        <v>9.9458000000000002</v>
      </c>
      <c r="P226" s="14">
        <f>CHOOSE(CONTROL!$C$42, 9.7552, 9.7552) * CHOOSE(CONTROL!$C$21, $C$9, 100%, $E$9)</f>
        <v>9.7552000000000003</v>
      </c>
      <c r="Q226" s="14">
        <f>CHOOSE(CONTROL!$C$42, 10.5405, 10.5405) * CHOOSE(CONTROL!$C$21, $C$9, 100%, $E$9)</f>
        <v>10.5405</v>
      </c>
      <c r="R226" s="14">
        <f>CHOOSE(CONTROL!$C$42, 11.1538, 11.1538) * CHOOSE(CONTROL!$C$21, $C$9, 100%, $E$9)</f>
        <v>11.1538</v>
      </c>
      <c r="S226" s="14">
        <f>CHOOSE(CONTROL!$C$42, 9.5147, 9.5147) * CHOOSE(CONTROL!$C$21, $C$9, 100%, $E$9)</f>
        <v>9.5146999999999995</v>
      </c>
      <c r="T2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7">
        <f>(1000*CHOOSE(CONTROL!$C$42, 695, 695)*CHOOSE(CONTROL!$C$42, 0.5599, 0.5599)*CHOOSE(CONTROL!$C$42, 31, 31))/1000000</f>
        <v>12.063045499999998</v>
      </c>
      <c r="V226" s="57">
        <f>(1000*CHOOSE(CONTROL!$C$42, 500, 500)*CHOOSE(CONTROL!$C$42, 0.275, 0.275)*CHOOSE(CONTROL!$C$42, 31, 31))/1000000</f>
        <v>4.2625000000000002</v>
      </c>
      <c r="W226" s="57">
        <f>(1000*CHOOSE(CONTROL!$C$42, 0.1146, 0.1146)*CHOOSE(CONTROL!$C$42, 121.5, 121.5)*CHOOSE(CONTROL!$C$42, 31, 31))/1000000</f>
        <v>0.43164089999999994</v>
      </c>
      <c r="X226" s="57">
        <f>(31*0.1790888*245000/1000000)+(31*0.2374*100000/1000000)</f>
        <v>2.0961194359999999</v>
      </c>
      <c r="Y226" s="57"/>
      <c r="Z226" s="14"/>
      <c r="AA226" s="56"/>
      <c r="AB226" s="50">
        <f>(B226*131.881+C226*277.167+D226*79.08+E226*125.872+F226*40+G226*185+H226*0+I226*100+J226*300)/(131.881+277.167+79.08+125.872+0+40+185+100+300)</f>
        <v>9.9503348877320423</v>
      </c>
      <c r="AC226" s="45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9.7796129496402884</v>
      </c>
    </row>
    <row r="227" spans="1:29" ht="15.75" x14ac:dyDescent="0.25">
      <c r="A227" s="13">
        <v>47788</v>
      </c>
      <c r="B227" s="14">
        <f>CHOOSE(CONTROL!$C$42, 10.1715, 10.1715) * CHOOSE(CONTROL!$C$21, $C$9, 100%, $E$9)</f>
        <v>10.1715</v>
      </c>
      <c r="C227" s="14">
        <f>CHOOSE(CONTROL!$C$42, 10.1766, 10.1766) * CHOOSE(CONTROL!$C$21, $C$9, 100%, $E$9)</f>
        <v>10.176600000000001</v>
      </c>
      <c r="D227" s="14">
        <f>CHOOSE(CONTROL!$C$42, 10.2404, 10.2404) * CHOOSE(CONTROL!$C$21, $C$9, 100%, $E$9)</f>
        <v>10.240399999999999</v>
      </c>
      <c r="E227" s="14">
        <f>CHOOSE(CONTROL!$C$42, 10.2745, 10.2745) * CHOOSE(CONTROL!$C$21, $C$9, 100%, $E$9)</f>
        <v>10.2745</v>
      </c>
      <c r="F227" s="14">
        <f>CHOOSE(CONTROL!$C$42, 10.1738, 10.1738)*CHOOSE(CONTROL!$C$21, $C$9, 100%, $E$9)</f>
        <v>10.1738</v>
      </c>
      <c r="G227" s="14">
        <f>CHOOSE(CONTROL!$C$42, 10.1905, 10.1905)*CHOOSE(CONTROL!$C$21, $C$9, 100%, $E$9)</f>
        <v>10.1905</v>
      </c>
      <c r="H227" s="14">
        <f>CHOOSE(CONTROL!$C$42, 10.2637, 10.2637) * CHOOSE(CONTROL!$C$21, $C$9, 100%, $E$9)</f>
        <v>10.2637</v>
      </c>
      <c r="I227" s="14">
        <f>CHOOSE(CONTROL!$C$42, 10.2173, 10.2173)* CHOOSE(CONTROL!$C$21, $C$9, 100%, $E$9)</f>
        <v>10.2173</v>
      </c>
      <c r="J227" s="14">
        <f>CHOOSE(CONTROL!$C$42, 10.1668, 10.1668)* CHOOSE(CONTROL!$C$21, $C$9, 100%, $E$9)</f>
        <v>10.1668</v>
      </c>
      <c r="K227" s="53">
        <f>CHOOSE(CONTROL!$C$42, 10.2134, 10.2134) * CHOOSE(CONTROL!$C$21, $C$9, 100%, $E$9)</f>
        <v>10.2134</v>
      </c>
      <c r="L227" s="14">
        <f>CHOOSE(CONTROL!$C$42, 10.8507, 10.8507) * CHOOSE(CONTROL!$C$21, $C$9, 100%, $E$9)</f>
        <v>10.8507</v>
      </c>
      <c r="M227" s="14">
        <f>CHOOSE(CONTROL!$C$42, 9.9662, 9.9662) * CHOOSE(CONTROL!$C$21, $C$9, 100%, $E$9)</f>
        <v>9.9662000000000006</v>
      </c>
      <c r="N227" s="14">
        <f>CHOOSE(CONTROL!$C$42, 9.9825, 9.9825) * CHOOSE(CONTROL!$C$21, $C$9, 100%, $E$9)</f>
        <v>9.9824999999999999</v>
      </c>
      <c r="O227" s="14">
        <f>CHOOSE(CONTROL!$C$42, 10.0611, 10.0611) * CHOOSE(CONTROL!$C$21, $C$9, 100%, $E$9)</f>
        <v>10.0611</v>
      </c>
      <c r="P227" s="14">
        <f>CHOOSE(CONTROL!$C$42, 10.0151, 10.0151) * CHOOSE(CONTROL!$C$21, $C$9, 100%, $E$9)</f>
        <v>10.0151</v>
      </c>
      <c r="Q227" s="14">
        <f>CHOOSE(CONTROL!$C$42, 10.6558, 10.6558) * CHOOSE(CONTROL!$C$21, $C$9, 100%, $E$9)</f>
        <v>10.655799999999999</v>
      </c>
      <c r="R227" s="14">
        <f>CHOOSE(CONTROL!$C$42, 11.2695, 11.2695) * CHOOSE(CONTROL!$C$21, $C$9, 100%, $E$9)</f>
        <v>11.269500000000001</v>
      </c>
      <c r="S227" s="14">
        <f>CHOOSE(CONTROL!$C$42, 9.7653, 9.7653) * CHOOSE(CONTROL!$C$21, $C$9, 100%, $E$9)</f>
        <v>9.7652999999999999</v>
      </c>
      <c r="T2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7">
        <f>(1000*CHOOSE(CONTROL!$C$42, 695, 695)*CHOOSE(CONTROL!$C$42, 0.5599, 0.5599)*CHOOSE(CONTROL!$C$42, 30, 30))/1000000</f>
        <v>11.673914999999997</v>
      </c>
      <c r="V227" s="57">
        <f>(1000*CHOOSE(CONTROL!$C$42, 500, 500)*CHOOSE(CONTROL!$C$42, 0.275, 0.275)*CHOOSE(CONTROL!$C$42, 30, 30))/1000000</f>
        <v>4.125</v>
      </c>
      <c r="W227" s="57">
        <f>(1000*CHOOSE(CONTROL!$C$42, 0.1146, 0.1146)*CHOOSE(CONTROL!$C$42, 121.5, 121.5)*CHOOSE(CONTROL!$C$42, 30, 30))/1000000</f>
        <v>0.417717</v>
      </c>
      <c r="X227" s="57">
        <f>(30*0.1790888*100000/1000000)+(30*0.2374*100000/1000000)</f>
        <v>1.2494664</v>
      </c>
      <c r="Y227" s="57"/>
      <c r="Z227" s="14"/>
      <c r="AA227" s="56"/>
      <c r="AB227" s="50">
        <f>(B227*122.58+C227*297.941+D227*89.177+E227*40.302+F227*40+G227*160+H227*0+I227*100+J227*300)/(122.58+297.941+89.177+40.302+0+40+160+100+300)</f>
        <v>10.187253826434782</v>
      </c>
      <c r="AC227" s="45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10.017186330935251</v>
      </c>
    </row>
    <row r="228" spans="1:29" ht="15.75" x14ac:dyDescent="0.25">
      <c r="A228" s="13">
        <v>47818</v>
      </c>
      <c r="B228" s="14">
        <f>CHOOSE(CONTROL!$C$42, 10.8644, 10.8644) * CHOOSE(CONTROL!$C$21, $C$9, 100%, $E$9)</f>
        <v>10.8644</v>
      </c>
      <c r="C228" s="14">
        <f>CHOOSE(CONTROL!$C$42, 10.8694, 10.8694) * CHOOSE(CONTROL!$C$21, $C$9, 100%, $E$9)</f>
        <v>10.869400000000001</v>
      </c>
      <c r="D228" s="14">
        <f>CHOOSE(CONTROL!$C$42, 10.9333, 10.9333) * CHOOSE(CONTROL!$C$21, $C$9, 100%, $E$9)</f>
        <v>10.933299999999999</v>
      </c>
      <c r="E228" s="14">
        <f>CHOOSE(CONTROL!$C$42, 10.9674, 10.9674) * CHOOSE(CONTROL!$C$21, $C$9, 100%, $E$9)</f>
        <v>10.9674</v>
      </c>
      <c r="F228" s="14">
        <f>CHOOSE(CONTROL!$C$42, 10.8687, 10.8687)*CHOOSE(CONTROL!$C$21, $C$9, 100%, $E$9)</f>
        <v>10.8687</v>
      </c>
      <c r="G228" s="14">
        <f>CHOOSE(CONTROL!$C$42, 10.8859, 10.8859)*CHOOSE(CONTROL!$C$21, $C$9, 100%, $E$9)</f>
        <v>10.885899999999999</v>
      </c>
      <c r="H228" s="14">
        <f>CHOOSE(CONTROL!$C$42, 10.9566, 10.9566) * CHOOSE(CONTROL!$C$21, $C$9, 100%, $E$9)</f>
        <v>10.9566</v>
      </c>
      <c r="I228" s="14">
        <f>CHOOSE(CONTROL!$C$42, 10.9123, 10.9123)* CHOOSE(CONTROL!$C$21, $C$9, 100%, $E$9)</f>
        <v>10.9123</v>
      </c>
      <c r="J228" s="14">
        <f>CHOOSE(CONTROL!$C$42, 10.8617, 10.8617)* CHOOSE(CONTROL!$C$21, $C$9, 100%, $E$9)</f>
        <v>10.861700000000001</v>
      </c>
      <c r="K228" s="53">
        <f>CHOOSE(CONTROL!$C$42, 10.9084, 10.9084) * CHOOSE(CONTROL!$C$21, $C$9, 100%, $E$9)</f>
        <v>10.9084</v>
      </c>
      <c r="L228" s="14">
        <f>CHOOSE(CONTROL!$C$42, 11.5436, 11.5436) * CHOOSE(CONTROL!$C$21, $C$9, 100%, $E$9)</f>
        <v>11.5436</v>
      </c>
      <c r="M228" s="14">
        <f>CHOOSE(CONTROL!$C$42, 10.6468, 10.6468) * CHOOSE(CONTROL!$C$21, $C$9, 100%, $E$9)</f>
        <v>10.646800000000001</v>
      </c>
      <c r="N228" s="14">
        <f>CHOOSE(CONTROL!$C$42, 10.6637, 10.6637) * CHOOSE(CONTROL!$C$21, $C$9, 100%, $E$9)</f>
        <v>10.6637</v>
      </c>
      <c r="O228" s="14">
        <f>CHOOSE(CONTROL!$C$42, 10.7398, 10.7398) * CHOOSE(CONTROL!$C$21, $C$9, 100%, $E$9)</f>
        <v>10.739800000000001</v>
      </c>
      <c r="P228" s="14">
        <f>CHOOSE(CONTROL!$C$42, 10.6958, 10.6958) * CHOOSE(CONTROL!$C$21, $C$9, 100%, $E$9)</f>
        <v>10.6958</v>
      </c>
      <c r="Q228" s="14">
        <f>CHOOSE(CONTROL!$C$42, 11.3345, 11.3345) * CHOOSE(CONTROL!$C$21, $C$9, 100%, $E$9)</f>
        <v>11.3345</v>
      </c>
      <c r="R228" s="14">
        <f>CHOOSE(CONTROL!$C$42, 11.9498, 11.9498) * CHOOSE(CONTROL!$C$21, $C$9, 100%, $E$9)</f>
        <v>11.9498</v>
      </c>
      <c r="S228" s="14">
        <f>CHOOSE(CONTROL!$C$42, 10.431, 10.431) * CHOOSE(CONTROL!$C$21, $C$9, 100%, $E$9)</f>
        <v>10.430999999999999</v>
      </c>
      <c r="T2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7">
        <f>(1000*CHOOSE(CONTROL!$C$42, 695, 695)*CHOOSE(CONTROL!$C$42, 0.5599, 0.5599)*CHOOSE(CONTROL!$C$42, 31, 31))/1000000</f>
        <v>12.063045499999998</v>
      </c>
      <c r="V228" s="57">
        <f>(1000*CHOOSE(CONTROL!$C$42, 500, 500)*CHOOSE(CONTROL!$C$42, 0.275, 0.275)*CHOOSE(CONTROL!$C$42, 31, 31))/1000000</f>
        <v>4.2625000000000002</v>
      </c>
      <c r="W228" s="57">
        <f>(1000*CHOOSE(CONTROL!$C$42, 0.1146, 0.1146)*CHOOSE(CONTROL!$C$42, 121.5, 121.5)*CHOOSE(CONTROL!$C$42, 31, 31))/1000000</f>
        <v>0.43164089999999994</v>
      </c>
      <c r="X228" s="57">
        <f>(31*0.1790888*100000/1000000)+(31*0.2374*100000/1000000)</f>
        <v>1.2911152800000001</v>
      </c>
      <c r="Y228" s="57"/>
      <c r="Z228" s="14"/>
      <c r="AA228" s="56"/>
      <c r="AB228" s="50">
        <f>(B228*122.58+C228*297.941+D228*89.177+E228*40.302+F228*40+G228*160+H228*0+I228*100+J228*300)/(122.58+297.941+89.177+40.302+0+40+160+100+300)</f>
        <v>10.881249657652173</v>
      </c>
      <c r="AC228" s="45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10.696974100719425</v>
      </c>
    </row>
    <row r="229" spans="1:29" ht="15.75" x14ac:dyDescent="0.25">
      <c r="A229" s="13">
        <v>47849</v>
      </c>
      <c r="B229" s="14">
        <f>CHOOSE(CONTROL!$C$42, 11.7642, 11.7642) * CHOOSE(CONTROL!$C$21, $C$9, 100%, $E$9)</f>
        <v>11.764200000000001</v>
      </c>
      <c r="C229" s="14">
        <f>CHOOSE(CONTROL!$C$42, 11.7693, 11.7693) * CHOOSE(CONTROL!$C$21, $C$9, 100%, $E$9)</f>
        <v>11.769299999999999</v>
      </c>
      <c r="D229" s="14">
        <f>CHOOSE(CONTROL!$C$42, 11.8279, 11.8279) * CHOOSE(CONTROL!$C$21, $C$9, 100%, $E$9)</f>
        <v>11.8279</v>
      </c>
      <c r="E229" s="14">
        <f>CHOOSE(CONTROL!$C$42, 11.862, 11.862) * CHOOSE(CONTROL!$C$21, $C$9, 100%, $E$9)</f>
        <v>11.862</v>
      </c>
      <c r="F229" s="14">
        <f>CHOOSE(CONTROL!$C$42, 11.7633, 11.7633)*CHOOSE(CONTROL!$C$21, $C$9, 100%, $E$9)</f>
        <v>11.763299999999999</v>
      </c>
      <c r="G229" s="14">
        <f>CHOOSE(CONTROL!$C$42, 11.7797, 11.7797)*CHOOSE(CONTROL!$C$21, $C$9, 100%, $E$9)</f>
        <v>11.7797</v>
      </c>
      <c r="H229" s="14">
        <f>CHOOSE(CONTROL!$C$42, 11.8512, 11.8512) * CHOOSE(CONTROL!$C$21, $C$9, 100%, $E$9)</f>
        <v>11.8512</v>
      </c>
      <c r="I229" s="14">
        <f>CHOOSE(CONTROL!$C$42, 11.8113, 11.8113)* CHOOSE(CONTROL!$C$21, $C$9, 100%, $E$9)</f>
        <v>11.811299999999999</v>
      </c>
      <c r="J229" s="14">
        <f>CHOOSE(CONTROL!$C$42, 11.7563, 11.7563)* CHOOSE(CONTROL!$C$21, $C$9, 100%, $E$9)</f>
        <v>11.7563</v>
      </c>
      <c r="K229" s="53">
        <f>CHOOSE(CONTROL!$C$42, 11.8074, 11.8074) * CHOOSE(CONTROL!$C$21, $C$9, 100%, $E$9)</f>
        <v>11.807399999999999</v>
      </c>
      <c r="L229" s="14">
        <f>CHOOSE(CONTROL!$C$42, 12.4382, 12.4382) * CHOOSE(CONTROL!$C$21, $C$9, 100%, $E$9)</f>
        <v>12.4382</v>
      </c>
      <c r="M229" s="14">
        <f>CHOOSE(CONTROL!$C$42, 11.5232, 11.5232) * CHOOSE(CONTROL!$C$21, $C$9, 100%, $E$9)</f>
        <v>11.523199999999999</v>
      </c>
      <c r="N229" s="14">
        <f>CHOOSE(CONTROL!$C$42, 11.5392, 11.5392) * CHOOSE(CONTROL!$C$21, $C$9, 100%, $E$9)</f>
        <v>11.539199999999999</v>
      </c>
      <c r="O229" s="14">
        <f>CHOOSE(CONTROL!$C$42, 11.6161, 11.6161) * CHOOSE(CONTROL!$C$21, $C$9, 100%, $E$9)</f>
        <v>11.616099999999999</v>
      </c>
      <c r="P229" s="14">
        <f>CHOOSE(CONTROL!$C$42, 11.5763, 11.5763) * CHOOSE(CONTROL!$C$21, $C$9, 100%, $E$9)</f>
        <v>11.5763</v>
      </c>
      <c r="Q229" s="14">
        <f>CHOOSE(CONTROL!$C$42, 12.2108, 12.2108) * CHOOSE(CONTROL!$C$21, $C$9, 100%, $E$9)</f>
        <v>12.210800000000001</v>
      </c>
      <c r="R229" s="14">
        <f>CHOOSE(CONTROL!$C$42, 12.8283, 12.8283) * CHOOSE(CONTROL!$C$21, $C$9, 100%, $E$9)</f>
        <v>12.8283</v>
      </c>
      <c r="S229" s="14">
        <f>CHOOSE(CONTROL!$C$42, 11.2957, 11.2957) * CHOOSE(CONTROL!$C$21, $C$9, 100%, $E$9)</f>
        <v>11.2957</v>
      </c>
      <c r="T2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7">
        <f>(1000*CHOOSE(CONTROL!$C$42, 695, 695)*CHOOSE(CONTROL!$C$42, 0.5599, 0.5599)*CHOOSE(CONTROL!$C$42, 31, 31))/1000000</f>
        <v>12.063045499999998</v>
      </c>
      <c r="V229" s="57">
        <f>(1000*CHOOSE(CONTROL!$C$42, 500, 500)*CHOOSE(CONTROL!$C$42, 0.275, 0.275)*CHOOSE(CONTROL!$C$42, 31, 31))/1000000</f>
        <v>4.2625000000000002</v>
      </c>
      <c r="W229" s="57">
        <f>(1000*CHOOSE(CONTROL!$C$42, 0.1146, 0.1146)*CHOOSE(CONTROL!$C$42, 121.5, 121.5)*CHOOSE(CONTROL!$C$42, 31, 31))/1000000</f>
        <v>0.43164089999999994</v>
      </c>
      <c r="X229" s="57">
        <f>(31*0.1790888*100000/1000000)+(31*0.2374*100000/1000000)</f>
        <v>1.2911152800000001</v>
      </c>
      <c r="Y229" s="57"/>
      <c r="Z229" s="14"/>
      <c r="AA229" s="56"/>
      <c r="AB229" s="50">
        <f>(B229*122.58+C229*297.941+D229*89.177+E229*40.302+F229*40+G229*160+H229*0+I229*100+J229*300)/(122.58+297.941+89.177+40.302+0+40+160+100+300)</f>
        <v>11.77804835617391</v>
      </c>
      <c r="AC229" s="45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11.573866906474819</v>
      </c>
    </row>
    <row r="230" spans="1:29" ht="15.75" x14ac:dyDescent="0.25">
      <c r="A230" s="13">
        <v>47880</v>
      </c>
      <c r="B230" s="14">
        <f>CHOOSE(CONTROL!$C$42, 11.9735, 11.9735) * CHOOSE(CONTROL!$C$21, $C$9, 100%, $E$9)</f>
        <v>11.9735</v>
      </c>
      <c r="C230" s="14">
        <f>CHOOSE(CONTROL!$C$42, 11.9785, 11.9785) * CHOOSE(CONTROL!$C$21, $C$9, 100%, $E$9)</f>
        <v>11.9785</v>
      </c>
      <c r="D230" s="14">
        <f>CHOOSE(CONTROL!$C$42, 12.0372, 12.0372) * CHOOSE(CONTROL!$C$21, $C$9, 100%, $E$9)</f>
        <v>12.0372</v>
      </c>
      <c r="E230" s="14">
        <f>CHOOSE(CONTROL!$C$42, 12.0713, 12.0713) * CHOOSE(CONTROL!$C$21, $C$9, 100%, $E$9)</f>
        <v>12.071300000000001</v>
      </c>
      <c r="F230" s="14">
        <f>CHOOSE(CONTROL!$C$42, 11.9726, 11.9726)*CHOOSE(CONTROL!$C$21, $C$9, 100%, $E$9)</f>
        <v>11.9726</v>
      </c>
      <c r="G230" s="14">
        <f>CHOOSE(CONTROL!$C$42, 11.9889, 11.9889)*CHOOSE(CONTROL!$C$21, $C$9, 100%, $E$9)</f>
        <v>11.988899999999999</v>
      </c>
      <c r="H230" s="14">
        <f>CHOOSE(CONTROL!$C$42, 12.0605, 12.0605) * CHOOSE(CONTROL!$C$21, $C$9, 100%, $E$9)</f>
        <v>12.060499999999999</v>
      </c>
      <c r="I230" s="14">
        <f>CHOOSE(CONTROL!$C$42, 12.0212, 12.0212)* CHOOSE(CONTROL!$C$21, $C$9, 100%, $E$9)</f>
        <v>12.0212</v>
      </c>
      <c r="J230" s="14">
        <f>CHOOSE(CONTROL!$C$42, 11.9656, 11.9656)* CHOOSE(CONTROL!$C$21, $C$9, 100%, $E$9)</f>
        <v>11.9656</v>
      </c>
      <c r="K230" s="53">
        <f>CHOOSE(CONTROL!$C$42, 12.0173, 12.0173) * CHOOSE(CONTROL!$C$21, $C$9, 100%, $E$9)</f>
        <v>12.017300000000001</v>
      </c>
      <c r="L230" s="14">
        <f>CHOOSE(CONTROL!$C$42, 12.6475, 12.6475) * CHOOSE(CONTROL!$C$21, $C$9, 100%, $E$9)</f>
        <v>12.647500000000001</v>
      </c>
      <c r="M230" s="14">
        <f>CHOOSE(CONTROL!$C$42, 11.7281, 11.7281) * CHOOSE(CONTROL!$C$21, $C$9, 100%, $E$9)</f>
        <v>11.7281</v>
      </c>
      <c r="N230" s="14">
        <f>CHOOSE(CONTROL!$C$42, 11.7441, 11.7441) * CHOOSE(CONTROL!$C$21, $C$9, 100%, $E$9)</f>
        <v>11.7441</v>
      </c>
      <c r="O230" s="14">
        <f>CHOOSE(CONTROL!$C$42, 11.821, 11.821) * CHOOSE(CONTROL!$C$21, $C$9, 100%, $E$9)</f>
        <v>11.821</v>
      </c>
      <c r="P230" s="14">
        <f>CHOOSE(CONTROL!$C$42, 11.7819, 11.7819) * CHOOSE(CONTROL!$C$21, $C$9, 100%, $E$9)</f>
        <v>11.7819</v>
      </c>
      <c r="Q230" s="14">
        <f>CHOOSE(CONTROL!$C$42, 12.4157, 12.4157) * CHOOSE(CONTROL!$C$21, $C$9, 100%, $E$9)</f>
        <v>12.415699999999999</v>
      </c>
      <c r="R230" s="14">
        <f>CHOOSE(CONTROL!$C$42, 13.0338, 13.0338) * CHOOSE(CONTROL!$C$21, $C$9, 100%, $E$9)</f>
        <v>13.033799999999999</v>
      </c>
      <c r="S230" s="14">
        <f>CHOOSE(CONTROL!$C$42, 11.4968, 11.4968) * CHOOSE(CONTROL!$C$21, $C$9, 100%, $E$9)</f>
        <v>11.4968</v>
      </c>
      <c r="T2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7">
        <f>(1000*CHOOSE(CONTROL!$C$42, 695, 695)*CHOOSE(CONTROL!$C$42, 0.5599, 0.5599)*CHOOSE(CONTROL!$C$42, 28, 28))/1000000</f>
        <v>10.895653999999999</v>
      </c>
      <c r="V230" s="57">
        <f>(1000*CHOOSE(CONTROL!$C$42, 500, 500)*CHOOSE(CONTROL!$C$42, 0.275, 0.275)*CHOOSE(CONTROL!$C$42, 28, 28))/1000000</f>
        <v>3.85</v>
      </c>
      <c r="W230" s="57">
        <f>(1000*CHOOSE(CONTROL!$C$42, 0.1146, 0.1146)*CHOOSE(CONTROL!$C$42, 121.5, 121.5)*CHOOSE(CONTROL!$C$42, 28, 28))/1000000</f>
        <v>0.38986920000000003</v>
      </c>
      <c r="X230" s="57">
        <f>(28*0.1790888*100000/1000000)+(28*0.2374*100000/1000000)</f>
        <v>1.16616864</v>
      </c>
      <c r="Y230" s="57"/>
      <c r="Z230" s="14"/>
      <c r="AA230" s="56"/>
      <c r="AB230" s="50">
        <f>(B230*122.58+C230*297.941+D230*89.177+E230*40.302+F230*40+G230*160+H230*0+I230*100+J230*300)/(122.58+297.941+89.177+40.302+0+40+160+100+300)</f>
        <v>11.987360709130437</v>
      </c>
      <c r="AC230" s="45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11.778867625899281</v>
      </c>
    </row>
    <row r="231" spans="1:29" ht="15.75" x14ac:dyDescent="0.25">
      <c r="A231" s="13">
        <v>47908</v>
      </c>
      <c r="B231" s="14">
        <f>CHOOSE(CONTROL!$C$42, 11.6338, 11.6338) * CHOOSE(CONTROL!$C$21, $C$9, 100%, $E$9)</f>
        <v>11.633800000000001</v>
      </c>
      <c r="C231" s="14">
        <f>CHOOSE(CONTROL!$C$42, 11.6389, 11.6389) * CHOOSE(CONTROL!$C$21, $C$9, 100%, $E$9)</f>
        <v>11.6389</v>
      </c>
      <c r="D231" s="14">
        <f>CHOOSE(CONTROL!$C$42, 11.6975, 11.6975) * CHOOSE(CONTROL!$C$21, $C$9, 100%, $E$9)</f>
        <v>11.6975</v>
      </c>
      <c r="E231" s="14">
        <f>CHOOSE(CONTROL!$C$42, 11.7316, 11.7316) * CHOOSE(CONTROL!$C$21, $C$9, 100%, $E$9)</f>
        <v>11.7316</v>
      </c>
      <c r="F231" s="14">
        <f>CHOOSE(CONTROL!$C$42, 11.6324, 11.6324)*CHOOSE(CONTROL!$C$21, $C$9, 100%, $E$9)</f>
        <v>11.632400000000001</v>
      </c>
      <c r="G231" s="14">
        <f>CHOOSE(CONTROL!$C$42, 11.6486, 11.6486)*CHOOSE(CONTROL!$C$21, $C$9, 100%, $E$9)</f>
        <v>11.6486</v>
      </c>
      <c r="H231" s="14">
        <f>CHOOSE(CONTROL!$C$42, 11.7208, 11.7208) * CHOOSE(CONTROL!$C$21, $C$9, 100%, $E$9)</f>
        <v>11.720800000000001</v>
      </c>
      <c r="I231" s="14">
        <f>CHOOSE(CONTROL!$C$42, 11.6805, 11.6805)* CHOOSE(CONTROL!$C$21, $C$9, 100%, $E$9)</f>
        <v>11.6805</v>
      </c>
      <c r="J231" s="14">
        <f>CHOOSE(CONTROL!$C$42, 11.6254, 11.6254)* CHOOSE(CONTROL!$C$21, $C$9, 100%, $E$9)</f>
        <v>11.625400000000001</v>
      </c>
      <c r="K231" s="53">
        <f>CHOOSE(CONTROL!$C$42, 11.6766, 11.6766) * CHOOSE(CONTROL!$C$21, $C$9, 100%, $E$9)</f>
        <v>11.676600000000001</v>
      </c>
      <c r="L231" s="14">
        <f>CHOOSE(CONTROL!$C$42, 12.3078, 12.3078) * CHOOSE(CONTROL!$C$21, $C$9, 100%, $E$9)</f>
        <v>12.3078</v>
      </c>
      <c r="M231" s="14">
        <f>CHOOSE(CONTROL!$C$42, 11.3949, 11.3949) * CHOOSE(CONTROL!$C$21, $C$9, 100%, $E$9)</f>
        <v>11.3949</v>
      </c>
      <c r="N231" s="14">
        <f>CHOOSE(CONTROL!$C$42, 11.4108, 11.4108) * CHOOSE(CONTROL!$C$21, $C$9, 100%, $E$9)</f>
        <v>11.4108</v>
      </c>
      <c r="O231" s="14">
        <f>CHOOSE(CONTROL!$C$42, 11.4883, 11.4883) * CHOOSE(CONTROL!$C$21, $C$9, 100%, $E$9)</f>
        <v>11.488300000000001</v>
      </c>
      <c r="P231" s="14">
        <f>CHOOSE(CONTROL!$C$42, 11.4482, 11.4482) * CHOOSE(CONTROL!$C$21, $C$9, 100%, $E$9)</f>
        <v>11.4482</v>
      </c>
      <c r="Q231" s="14">
        <f>CHOOSE(CONTROL!$C$42, 12.083, 12.083) * CHOOSE(CONTROL!$C$21, $C$9, 100%, $E$9)</f>
        <v>12.083</v>
      </c>
      <c r="R231" s="14">
        <f>CHOOSE(CONTROL!$C$42, 12.7002, 12.7002) * CHOOSE(CONTROL!$C$21, $C$9, 100%, $E$9)</f>
        <v>12.700200000000001</v>
      </c>
      <c r="S231" s="14">
        <f>CHOOSE(CONTROL!$C$42, 11.1704, 11.1704) * CHOOSE(CONTROL!$C$21, $C$9, 100%, $E$9)</f>
        <v>11.170400000000001</v>
      </c>
      <c r="T2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7">
        <f>(1000*CHOOSE(CONTROL!$C$42, 695, 695)*CHOOSE(CONTROL!$C$42, 0.5599, 0.5599)*CHOOSE(CONTROL!$C$42, 31, 31))/1000000</f>
        <v>12.063045499999998</v>
      </c>
      <c r="V231" s="57">
        <f>(1000*CHOOSE(CONTROL!$C$42, 500, 500)*CHOOSE(CONTROL!$C$42, 0.275, 0.275)*CHOOSE(CONTROL!$C$42, 31, 31))/1000000</f>
        <v>4.2625000000000002</v>
      </c>
      <c r="W231" s="57">
        <f>(1000*CHOOSE(CONTROL!$C$42, 0.1146, 0.1146)*CHOOSE(CONTROL!$C$42, 121.5, 121.5)*CHOOSE(CONTROL!$C$42, 31, 31))/1000000</f>
        <v>0.43164089999999994</v>
      </c>
      <c r="X231" s="57">
        <f>(31*0.1790888*100000/1000000)+(31*0.2374*100000/1000000)</f>
        <v>1.2911152800000001</v>
      </c>
      <c r="Y231" s="57"/>
      <c r="Z231" s="14"/>
      <c r="AA231" s="56"/>
      <c r="AB231" s="50">
        <f>(B231*122.58+C231*297.941+D231*89.177+E231*40.302+F231*40+G231*160+H231*0+I231*100+J231*300)/(122.58+297.941+89.177+40.302+0+40+160+100+300)</f>
        <v>11.647368356173914</v>
      </c>
      <c r="AC231" s="45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11.44581654676259</v>
      </c>
    </row>
    <row r="232" spans="1:29" ht="15.75" x14ac:dyDescent="0.25">
      <c r="A232" s="13">
        <v>47939</v>
      </c>
      <c r="B232" s="14">
        <f>CHOOSE(CONTROL!$C$42, 11.6002, 11.6002) * CHOOSE(CONTROL!$C$21, $C$9, 100%, $E$9)</f>
        <v>11.600199999999999</v>
      </c>
      <c r="C232" s="14">
        <f>CHOOSE(CONTROL!$C$42, 11.6047, 11.6047) * CHOOSE(CONTROL!$C$21, $C$9, 100%, $E$9)</f>
        <v>11.604699999999999</v>
      </c>
      <c r="D232" s="14">
        <f>CHOOSE(CONTROL!$C$42, 11.8128, 11.8128) * CHOOSE(CONTROL!$C$21, $C$9, 100%, $E$9)</f>
        <v>11.812799999999999</v>
      </c>
      <c r="E232" s="14">
        <f>CHOOSE(CONTROL!$C$42, 11.8449, 11.8449) * CHOOSE(CONTROL!$C$21, $C$9, 100%, $E$9)</f>
        <v>11.844900000000001</v>
      </c>
      <c r="F232" s="14">
        <f>CHOOSE(CONTROL!$C$42, 11.5875, 11.5875)*CHOOSE(CONTROL!$C$21, $C$9, 100%, $E$9)</f>
        <v>11.5875</v>
      </c>
      <c r="G232" s="14">
        <f>CHOOSE(CONTROL!$C$42, 11.6035, 11.6035)*CHOOSE(CONTROL!$C$21, $C$9, 100%, $E$9)</f>
        <v>11.6035</v>
      </c>
      <c r="H232" s="14">
        <f>CHOOSE(CONTROL!$C$42, 11.8347, 11.8347) * CHOOSE(CONTROL!$C$21, $C$9, 100%, $E$9)</f>
        <v>11.8347</v>
      </c>
      <c r="I232" s="14">
        <f>CHOOSE(CONTROL!$C$42, 11.646, 11.646)* CHOOSE(CONTROL!$C$21, $C$9, 100%, $E$9)</f>
        <v>11.646000000000001</v>
      </c>
      <c r="J232" s="14">
        <f>CHOOSE(CONTROL!$C$42, 11.5805, 11.5805)* CHOOSE(CONTROL!$C$21, $C$9, 100%, $E$9)</f>
        <v>11.580500000000001</v>
      </c>
      <c r="K232" s="53">
        <f>CHOOSE(CONTROL!$C$42, 11.6421, 11.6421) * CHOOSE(CONTROL!$C$21, $C$9, 100%, $E$9)</f>
        <v>11.642099999999999</v>
      </c>
      <c r="L232" s="14">
        <f>CHOOSE(CONTROL!$C$42, 12.4217, 12.4217) * CHOOSE(CONTROL!$C$21, $C$9, 100%, $E$9)</f>
        <v>12.4217</v>
      </c>
      <c r="M232" s="14">
        <f>CHOOSE(CONTROL!$C$42, 11.351, 11.351) * CHOOSE(CONTROL!$C$21, $C$9, 100%, $E$9)</f>
        <v>11.351000000000001</v>
      </c>
      <c r="N232" s="14">
        <f>CHOOSE(CONTROL!$C$42, 11.3666, 11.3666) * CHOOSE(CONTROL!$C$21, $C$9, 100%, $E$9)</f>
        <v>11.3666</v>
      </c>
      <c r="O232" s="14">
        <f>CHOOSE(CONTROL!$C$42, 11.5999, 11.5999) * CHOOSE(CONTROL!$C$21, $C$9, 100%, $E$9)</f>
        <v>11.5999</v>
      </c>
      <c r="P232" s="14">
        <f>CHOOSE(CONTROL!$C$42, 11.4144, 11.4144) * CHOOSE(CONTROL!$C$21, $C$9, 100%, $E$9)</f>
        <v>11.414400000000001</v>
      </c>
      <c r="Q232" s="14">
        <f>CHOOSE(CONTROL!$C$42, 12.1946, 12.1946) * CHOOSE(CONTROL!$C$21, $C$9, 100%, $E$9)</f>
        <v>12.194599999999999</v>
      </c>
      <c r="R232" s="14">
        <f>CHOOSE(CONTROL!$C$42, 12.8121, 12.8121) * CHOOSE(CONTROL!$C$21, $C$9, 100%, $E$9)</f>
        <v>12.812099999999999</v>
      </c>
      <c r="S232" s="14">
        <f>CHOOSE(CONTROL!$C$42, 11.1373, 11.1373) * CHOOSE(CONTROL!$C$21, $C$9, 100%, $E$9)</f>
        <v>11.1373</v>
      </c>
      <c r="T2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7">
        <f>(1000*CHOOSE(CONTROL!$C$42, 695, 695)*CHOOSE(CONTROL!$C$42, 0.5599, 0.5599)*CHOOSE(CONTROL!$C$42, 30, 30))/1000000</f>
        <v>11.673914999999997</v>
      </c>
      <c r="V232" s="57">
        <f>(1000*CHOOSE(CONTROL!$C$42, 500, 500)*CHOOSE(CONTROL!$C$42, 0.275, 0.275)*CHOOSE(CONTROL!$C$42, 30, 30))/1000000</f>
        <v>4.125</v>
      </c>
      <c r="W232" s="57">
        <f>(1000*CHOOSE(CONTROL!$C$42, 0.1146, 0.1146)*CHOOSE(CONTROL!$C$42, 121.5, 121.5)*CHOOSE(CONTROL!$C$42, 30, 30))/1000000</f>
        <v>0.417717</v>
      </c>
      <c r="X232" s="57">
        <f>(30*0.1790888*245000/1000000)+(30*0.2374*100000/1000000)</f>
        <v>2.0285026799999999</v>
      </c>
      <c r="Y232" s="57"/>
      <c r="Z232" s="14"/>
      <c r="AA232" s="56"/>
      <c r="AB232" s="50">
        <f>(B232*141.293+C232*267.993+D232*115.016+E232*89.698+F232*40+G232*185+H232*0+I232*100+J232*300)/(141.293+267.993+115.016+89.698+0+40+185+100+300)</f>
        <v>11.637633390395479</v>
      </c>
      <c r="AC232" s="45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11.433548920863311</v>
      </c>
    </row>
    <row r="233" spans="1:29" ht="15.75" x14ac:dyDescent="0.25">
      <c r="A233" s="13">
        <v>47969</v>
      </c>
      <c r="B233" s="14">
        <f>CHOOSE(CONTROL!$C$42, 11.7039, 11.7039) * CHOOSE(CONTROL!$C$21, $C$9, 100%, $E$9)</f>
        <v>11.703900000000001</v>
      </c>
      <c r="C233" s="14">
        <f>CHOOSE(CONTROL!$C$42, 11.7119, 11.7119) * CHOOSE(CONTROL!$C$21, $C$9, 100%, $E$9)</f>
        <v>11.7119</v>
      </c>
      <c r="D233" s="14">
        <f>CHOOSE(CONTROL!$C$42, 11.9169, 11.9169) * CHOOSE(CONTROL!$C$21, $C$9, 100%, $E$9)</f>
        <v>11.9169</v>
      </c>
      <c r="E233" s="14">
        <f>CHOOSE(CONTROL!$C$42, 11.9483, 11.9483) * CHOOSE(CONTROL!$C$21, $C$9, 100%, $E$9)</f>
        <v>11.9483</v>
      </c>
      <c r="F233" s="14">
        <f>CHOOSE(CONTROL!$C$42, 11.6901, 11.6901)*CHOOSE(CONTROL!$C$21, $C$9, 100%, $E$9)</f>
        <v>11.690099999999999</v>
      </c>
      <c r="G233" s="14">
        <f>CHOOSE(CONTROL!$C$42, 11.7065, 11.7065)*CHOOSE(CONTROL!$C$21, $C$9, 100%, $E$9)</f>
        <v>11.7065</v>
      </c>
      <c r="H233" s="14">
        <f>CHOOSE(CONTROL!$C$42, 11.937, 11.937) * CHOOSE(CONTROL!$C$21, $C$9, 100%, $E$9)</f>
        <v>11.936999999999999</v>
      </c>
      <c r="I233" s="14">
        <f>CHOOSE(CONTROL!$C$42, 11.7486, 11.7486)* CHOOSE(CONTROL!$C$21, $C$9, 100%, $E$9)</f>
        <v>11.7486</v>
      </c>
      <c r="J233" s="14">
        <f>CHOOSE(CONTROL!$C$42, 11.6831, 11.6831)* CHOOSE(CONTROL!$C$21, $C$9, 100%, $E$9)</f>
        <v>11.6831</v>
      </c>
      <c r="K233" s="53">
        <f>CHOOSE(CONTROL!$C$42, 11.7447, 11.7447) * CHOOSE(CONTROL!$C$21, $C$9, 100%, $E$9)</f>
        <v>11.7447</v>
      </c>
      <c r="L233" s="14">
        <f>CHOOSE(CONTROL!$C$42, 12.524, 12.524) * CHOOSE(CONTROL!$C$21, $C$9, 100%, $E$9)</f>
        <v>12.523999999999999</v>
      </c>
      <c r="M233" s="14">
        <f>CHOOSE(CONTROL!$C$42, 11.4514, 11.4514) * CHOOSE(CONTROL!$C$21, $C$9, 100%, $E$9)</f>
        <v>11.4514</v>
      </c>
      <c r="N233" s="14">
        <f>CHOOSE(CONTROL!$C$42, 11.4675, 11.4675) * CHOOSE(CONTROL!$C$21, $C$9, 100%, $E$9)</f>
        <v>11.467499999999999</v>
      </c>
      <c r="O233" s="14">
        <f>CHOOSE(CONTROL!$C$42, 11.7001, 11.7001) * CHOOSE(CONTROL!$C$21, $C$9, 100%, $E$9)</f>
        <v>11.700100000000001</v>
      </c>
      <c r="P233" s="14">
        <f>CHOOSE(CONTROL!$C$42, 11.5149, 11.5149) * CHOOSE(CONTROL!$C$21, $C$9, 100%, $E$9)</f>
        <v>11.514900000000001</v>
      </c>
      <c r="Q233" s="14">
        <f>CHOOSE(CONTROL!$C$42, 12.2948, 12.2948) * CHOOSE(CONTROL!$C$21, $C$9, 100%, $E$9)</f>
        <v>12.2948</v>
      </c>
      <c r="R233" s="14">
        <f>CHOOSE(CONTROL!$C$42, 12.9125, 12.9125) * CHOOSE(CONTROL!$C$21, $C$9, 100%, $E$9)</f>
        <v>12.9125</v>
      </c>
      <c r="S233" s="14">
        <f>CHOOSE(CONTROL!$C$42, 11.2356, 11.2356) * CHOOSE(CONTROL!$C$21, $C$9, 100%, $E$9)</f>
        <v>11.2356</v>
      </c>
      <c r="T2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7">
        <f>(1000*CHOOSE(CONTROL!$C$42, 695, 695)*CHOOSE(CONTROL!$C$42, 0.5599, 0.5599)*CHOOSE(CONTROL!$C$42, 31, 31))/1000000</f>
        <v>12.063045499999998</v>
      </c>
      <c r="V233" s="57">
        <f>(1000*CHOOSE(CONTROL!$C$42, 500, 500)*CHOOSE(CONTROL!$C$42, 0.275, 0.275)*CHOOSE(CONTROL!$C$42, 31, 31))/1000000</f>
        <v>4.2625000000000002</v>
      </c>
      <c r="W233" s="57">
        <f>(1000*CHOOSE(CONTROL!$C$42, 0.1146, 0.1146)*CHOOSE(CONTROL!$C$42, 121.5, 121.5)*CHOOSE(CONTROL!$C$42, 31, 31))/1000000</f>
        <v>0.43164089999999994</v>
      </c>
      <c r="X233" s="57">
        <f>(31*0.1790888*245000/1000000)+(31*0.2374*100000/1000000)</f>
        <v>2.0961194359999999</v>
      </c>
      <c r="Y233" s="57"/>
      <c r="Z233" s="14"/>
      <c r="AA233" s="56"/>
      <c r="AB233" s="50">
        <f>(B233*194.205+C233*267.466+D233*133.845+E233*53.484+F233*40+G233*185+H233*0+I233*100+J233*300)/(194.205+267.466+133.845+53.484+0+40+185+100+300)</f>
        <v>11.736772215541603</v>
      </c>
      <c r="AC233" s="45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11.534022302158274</v>
      </c>
    </row>
    <row r="234" spans="1:29" ht="15.75" x14ac:dyDescent="0.25">
      <c r="A234" s="13">
        <v>48000</v>
      </c>
      <c r="B234" s="14">
        <f>CHOOSE(CONTROL!$C$42, 12.0355, 12.0355) * CHOOSE(CONTROL!$C$21, $C$9, 100%, $E$9)</f>
        <v>12.035500000000001</v>
      </c>
      <c r="C234" s="14">
        <f>CHOOSE(CONTROL!$C$42, 12.0436, 12.0436) * CHOOSE(CONTROL!$C$21, $C$9, 100%, $E$9)</f>
        <v>12.0436</v>
      </c>
      <c r="D234" s="14">
        <f>CHOOSE(CONTROL!$C$42, 12.2485, 12.2485) * CHOOSE(CONTROL!$C$21, $C$9, 100%, $E$9)</f>
        <v>12.2485</v>
      </c>
      <c r="E234" s="14">
        <f>CHOOSE(CONTROL!$C$42, 12.28, 12.28) * CHOOSE(CONTROL!$C$21, $C$9, 100%, $E$9)</f>
        <v>12.28</v>
      </c>
      <c r="F234" s="14">
        <f>CHOOSE(CONTROL!$C$42, 12.0221, 12.0221)*CHOOSE(CONTROL!$C$21, $C$9, 100%, $E$9)</f>
        <v>12.0221</v>
      </c>
      <c r="G234" s="14">
        <f>CHOOSE(CONTROL!$C$42, 12.0386, 12.0386)*CHOOSE(CONTROL!$C$21, $C$9, 100%, $E$9)</f>
        <v>12.038600000000001</v>
      </c>
      <c r="H234" s="14">
        <f>CHOOSE(CONTROL!$C$42, 12.2686, 12.2686) * CHOOSE(CONTROL!$C$21, $C$9, 100%, $E$9)</f>
        <v>12.268599999999999</v>
      </c>
      <c r="I234" s="14">
        <f>CHOOSE(CONTROL!$C$42, 12.0813, 12.0813)* CHOOSE(CONTROL!$C$21, $C$9, 100%, $E$9)</f>
        <v>12.081300000000001</v>
      </c>
      <c r="J234" s="14">
        <f>CHOOSE(CONTROL!$C$42, 12.0151, 12.0151)* CHOOSE(CONTROL!$C$21, $C$9, 100%, $E$9)</f>
        <v>12.0151</v>
      </c>
      <c r="K234" s="53">
        <f>CHOOSE(CONTROL!$C$42, 12.0774, 12.0774) * CHOOSE(CONTROL!$C$21, $C$9, 100%, $E$9)</f>
        <v>12.077400000000001</v>
      </c>
      <c r="L234" s="14">
        <f>CHOOSE(CONTROL!$C$42, 12.8556, 12.8556) * CHOOSE(CONTROL!$C$21, $C$9, 100%, $E$9)</f>
        <v>12.855600000000001</v>
      </c>
      <c r="M234" s="14">
        <f>CHOOSE(CONTROL!$C$42, 11.7766, 11.7766) * CHOOSE(CONTROL!$C$21, $C$9, 100%, $E$9)</f>
        <v>11.7766</v>
      </c>
      <c r="N234" s="14">
        <f>CHOOSE(CONTROL!$C$42, 11.7928, 11.7928) * CHOOSE(CONTROL!$C$21, $C$9, 100%, $E$9)</f>
        <v>11.7928</v>
      </c>
      <c r="O234" s="14">
        <f>CHOOSE(CONTROL!$C$42, 12.0249, 12.0249) * CHOOSE(CONTROL!$C$21, $C$9, 100%, $E$9)</f>
        <v>12.024900000000001</v>
      </c>
      <c r="P234" s="14">
        <f>CHOOSE(CONTROL!$C$42, 11.8407, 11.8407) * CHOOSE(CONTROL!$C$21, $C$9, 100%, $E$9)</f>
        <v>11.8407</v>
      </c>
      <c r="Q234" s="14">
        <f>CHOOSE(CONTROL!$C$42, 12.6196, 12.6196) * CHOOSE(CONTROL!$C$21, $C$9, 100%, $E$9)</f>
        <v>12.6196</v>
      </c>
      <c r="R234" s="14">
        <f>CHOOSE(CONTROL!$C$42, 13.2382, 13.2382) * CHOOSE(CONTROL!$C$21, $C$9, 100%, $E$9)</f>
        <v>13.238200000000001</v>
      </c>
      <c r="S234" s="14">
        <f>CHOOSE(CONTROL!$C$42, 11.5543, 11.5543) * CHOOSE(CONTROL!$C$21, $C$9, 100%, $E$9)</f>
        <v>11.5543</v>
      </c>
      <c r="T2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7">
        <f>(1000*CHOOSE(CONTROL!$C$42, 695, 695)*CHOOSE(CONTROL!$C$42, 0.5599, 0.5599)*CHOOSE(CONTROL!$C$42, 30, 30))/1000000</f>
        <v>11.673914999999997</v>
      </c>
      <c r="V234" s="57">
        <f>(1000*CHOOSE(CONTROL!$C$42, 500, 500)*CHOOSE(CONTROL!$C$42, 0.275, 0.275)*CHOOSE(CONTROL!$C$42, 30, 30))/1000000</f>
        <v>4.125</v>
      </c>
      <c r="W234" s="57">
        <f>(1000*CHOOSE(CONTROL!$C$42, 0.1146, 0.1146)*CHOOSE(CONTROL!$C$42, 121.5, 121.5)*CHOOSE(CONTROL!$C$42, 30, 30))/1000000</f>
        <v>0.417717</v>
      </c>
      <c r="X234" s="57">
        <f>(30*0.1790888*245000/1000000)+(30*0.2374*100000/1000000)</f>
        <v>2.0285026799999999</v>
      </c>
      <c r="Y234" s="57"/>
      <c r="Z234" s="14"/>
      <c r="AA234" s="56"/>
      <c r="AB234" s="50">
        <f>(B234*194.205+C234*267.466+D234*133.845+E234*53.484+F234*40+G234*185+H234*0+I234*100+J234*300)/(194.205+267.466+133.845+53.484+0+40+185+100+300)</f>
        <v>12.068663106436423</v>
      </c>
      <c r="AC234" s="45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11.859219424460431</v>
      </c>
    </row>
    <row r="235" spans="1:29" ht="15.75" x14ac:dyDescent="0.25">
      <c r="A235" s="13">
        <v>48030</v>
      </c>
      <c r="B235" s="14">
        <f>CHOOSE(CONTROL!$C$42, 11.8049, 11.8049) * CHOOSE(CONTROL!$C$21, $C$9, 100%, $E$9)</f>
        <v>11.8049</v>
      </c>
      <c r="C235" s="14">
        <f>CHOOSE(CONTROL!$C$42, 11.8129, 11.8129) * CHOOSE(CONTROL!$C$21, $C$9, 100%, $E$9)</f>
        <v>11.812900000000001</v>
      </c>
      <c r="D235" s="14">
        <f>CHOOSE(CONTROL!$C$42, 12.0179, 12.0179) * CHOOSE(CONTROL!$C$21, $C$9, 100%, $E$9)</f>
        <v>12.017899999999999</v>
      </c>
      <c r="E235" s="14">
        <f>CHOOSE(CONTROL!$C$42, 12.0493, 12.0493) * CHOOSE(CONTROL!$C$21, $C$9, 100%, $E$9)</f>
        <v>12.049300000000001</v>
      </c>
      <c r="F235" s="14">
        <f>CHOOSE(CONTROL!$C$42, 11.7918, 11.7918)*CHOOSE(CONTROL!$C$21, $C$9, 100%, $E$9)</f>
        <v>11.7918</v>
      </c>
      <c r="G235" s="14">
        <f>CHOOSE(CONTROL!$C$42, 11.8085, 11.8085)*CHOOSE(CONTROL!$C$21, $C$9, 100%, $E$9)</f>
        <v>11.8085</v>
      </c>
      <c r="H235" s="14">
        <f>CHOOSE(CONTROL!$C$42, 12.038, 12.038) * CHOOSE(CONTROL!$C$21, $C$9, 100%, $E$9)</f>
        <v>12.038</v>
      </c>
      <c r="I235" s="14">
        <f>CHOOSE(CONTROL!$C$42, 11.8499, 11.8499)* CHOOSE(CONTROL!$C$21, $C$9, 100%, $E$9)</f>
        <v>11.8499</v>
      </c>
      <c r="J235" s="14">
        <f>CHOOSE(CONTROL!$C$42, 11.7848, 11.7848)* CHOOSE(CONTROL!$C$21, $C$9, 100%, $E$9)</f>
        <v>11.784800000000001</v>
      </c>
      <c r="K235" s="53">
        <f>CHOOSE(CONTROL!$C$42, 11.846, 11.846) * CHOOSE(CONTROL!$C$21, $C$9, 100%, $E$9)</f>
        <v>11.846</v>
      </c>
      <c r="L235" s="14">
        <f>CHOOSE(CONTROL!$C$42, 12.625, 12.625) * CHOOSE(CONTROL!$C$21, $C$9, 100%, $E$9)</f>
        <v>12.625</v>
      </c>
      <c r="M235" s="14">
        <f>CHOOSE(CONTROL!$C$42, 11.5511, 11.5511) * CHOOSE(CONTROL!$C$21, $C$9, 100%, $E$9)</f>
        <v>11.5511</v>
      </c>
      <c r="N235" s="14">
        <f>CHOOSE(CONTROL!$C$42, 11.5674, 11.5674) * CHOOSE(CONTROL!$C$21, $C$9, 100%, $E$9)</f>
        <v>11.567399999999999</v>
      </c>
      <c r="O235" s="14">
        <f>CHOOSE(CONTROL!$C$42, 11.799, 11.799) * CHOOSE(CONTROL!$C$21, $C$9, 100%, $E$9)</f>
        <v>11.798999999999999</v>
      </c>
      <c r="P235" s="14">
        <f>CHOOSE(CONTROL!$C$42, 11.6141, 11.6141) * CHOOSE(CONTROL!$C$21, $C$9, 100%, $E$9)</f>
        <v>11.614100000000001</v>
      </c>
      <c r="Q235" s="14">
        <f>CHOOSE(CONTROL!$C$42, 12.3937, 12.3937) * CHOOSE(CONTROL!$C$21, $C$9, 100%, $E$9)</f>
        <v>12.393700000000001</v>
      </c>
      <c r="R235" s="14">
        <f>CHOOSE(CONTROL!$C$42, 13.0117, 13.0117) * CHOOSE(CONTROL!$C$21, $C$9, 100%, $E$9)</f>
        <v>13.011699999999999</v>
      </c>
      <c r="S235" s="14">
        <f>CHOOSE(CONTROL!$C$42, 11.3327, 11.3327) * CHOOSE(CONTROL!$C$21, $C$9, 100%, $E$9)</f>
        <v>11.332700000000001</v>
      </c>
      <c r="T2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7">
        <f>(1000*CHOOSE(CONTROL!$C$42, 695, 695)*CHOOSE(CONTROL!$C$42, 0.5599, 0.5599)*CHOOSE(CONTROL!$C$42, 31, 31))/1000000</f>
        <v>12.063045499999998</v>
      </c>
      <c r="V235" s="57">
        <f>(1000*CHOOSE(CONTROL!$C$42, 500, 500)*CHOOSE(CONTROL!$C$42, 0.275, 0.275)*CHOOSE(CONTROL!$C$42, 31, 31))/1000000</f>
        <v>4.2625000000000002</v>
      </c>
      <c r="W235" s="57">
        <f>(1000*CHOOSE(CONTROL!$C$42, 0.1146, 0.1146)*CHOOSE(CONTROL!$C$42, 121.5, 121.5)*CHOOSE(CONTROL!$C$42, 31, 31))/1000000</f>
        <v>0.43164089999999994</v>
      </c>
      <c r="X235" s="57">
        <f>(31*0.1790888*245000/1000000)+(31*0.2374*100000/1000000)</f>
        <v>2.0961194359999999</v>
      </c>
      <c r="Y235" s="57"/>
      <c r="Z235" s="14"/>
      <c r="AA235" s="56"/>
      <c r="AB235" s="50">
        <f>(B235*194.205+C235*267.466+D235*133.845+E235*53.484+F235*40+G235*185+H235*0+I235*100+J235*300)/(194.205+267.466+133.845+53.484+0+40+185+100+300)</f>
        <v>11.838127788540032</v>
      </c>
      <c r="AC235" s="45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11.633471942446041</v>
      </c>
    </row>
    <row r="236" spans="1:29" ht="15.75" x14ac:dyDescent="0.25">
      <c r="A236" s="13">
        <v>48061</v>
      </c>
      <c r="B236" s="14">
        <f>CHOOSE(CONTROL!$C$42, 11.2224, 11.2224) * CHOOSE(CONTROL!$C$21, $C$9, 100%, $E$9)</f>
        <v>11.2224</v>
      </c>
      <c r="C236" s="14">
        <f>CHOOSE(CONTROL!$C$42, 11.2304, 11.2304) * CHOOSE(CONTROL!$C$21, $C$9, 100%, $E$9)</f>
        <v>11.230399999999999</v>
      </c>
      <c r="D236" s="14">
        <f>CHOOSE(CONTROL!$C$42, 11.4354, 11.4354) * CHOOSE(CONTROL!$C$21, $C$9, 100%, $E$9)</f>
        <v>11.4354</v>
      </c>
      <c r="E236" s="14">
        <f>CHOOSE(CONTROL!$C$42, 11.4668, 11.4668) * CHOOSE(CONTROL!$C$21, $C$9, 100%, $E$9)</f>
        <v>11.466799999999999</v>
      </c>
      <c r="F236" s="14">
        <f>CHOOSE(CONTROL!$C$42, 11.2096, 11.2096)*CHOOSE(CONTROL!$C$21, $C$9, 100%, $E$9)</f>
        <v>11.2096</v>
      </c>
      <c r="G236" s="14">
        <f>CHOOSE(CONTROL!$C$42, 11.2262, 11.2262)*CHOOSE(CONTROL!$C$21, $C$9, 100%, $E$9)</f>
        <v>11.2262</v>
      </c>
      <c r="H236" s="14">
        <f>CHOOSE(CONTROL!$C$42, 11.4555, 11.4555) * CHOOSE(CONTROL!$C$21, $C$9, 100%, $E$9)</f>
        <v>11.455500000000001</v>
      </c>
      <c r="I236" s="14">
        <f>CHOOSE(CONTROL!$C$42, 11.2656, 11.2656)* CHOOSE(CONTROL!$C$21, $C$9, 100%, $E$9)</f>
        <v>11.265599999999999</v>
      </c>
      <c r="J236" s="14">
        <f>CHOOSE(CONTROL!$C$42, 11.2026, 11.2026)* CHOOSE(CONTROL!$C$21, $C$9, 100%, $E$9)</f>
        <v>11.2026</v>
      </c>
      <c r="K236" s="53">
        <f>CHOOSE(CONTROL!$C$42, 11.2617, 11.2617) * CHOOSE(CONTROL!$C$21, $C$9, 100%, $E$9)</f>
        <v>11.261699999999999</v>
      </c>
      <c r="L236" s="14">
        <f>CHOOSE(CONTROL!$C$42, 12.0425, 12.0425) * CHOOSE(CONTROL!$C$21, $C$9, 100%, $E$9)</f>
        <v>12.0425</v>
      </c>
      <c r="M236" s="14">
        <f>CHOOSE(CONTROL!$C$42, 10.9807, 10.9807) * CHOOSE(CONTROL!$C$21, $C$9, 100%, $E$9)</f>
        <v>10.980700000000001</v>
      </c>
      <c r="N236" s="14">
        <f>CHOOSE(CONTROL!$C$42, 10.9971, 10.9971) * CHOOSE(CONTROL!$C$21, $C$9, 100%, $E$9)</f>
        <v>10.9971</v>
      </c>
      <c r="O236" s="14">
        <f>CHOOSE(CONTROL!$C$42, 11.2284, 11.2284) * CHOOSE(CONTROL!$C$21, $C$9, 100%, $E$9)</f>
        <v>11.228400000000001</v>
      </c>
      <c r="P236" s="14">
        <f>CHOOSE(CONTROL!$C$42, 11.0418, 11.0418) * CHOOSE(CONTROL!$C$21, $C$9, 100%, $E$9)</f>
        <v>11.0418</v>
      </c>
      <c r="Q236" s="14">
        <f>CHOOSE(CONTROL!$C$42, 11.8231, 11.8231) * CHOOSE(CONTROL!$C$21, $C$9, 100%, $E$9)</f>
        <v>11.8231</v>
      </c>
      <c r="R236" s="14">
        <f>CHOOSE(CONTROL!$C$42, 12.4397, 12.4397) * CHOOSE(CONTROL!$C$21, $C$9, 100%, $E$9)</f>
        <v>12.4397</v>
      </c>
      <c r="S236" s="14">
        <f>CHOOSE(CONTROL!$C$42, 10.7729, 10.7729) * CHOOSE(CONTROL!$C$21, $C$9, 100%, $E$9)</f>
        <v>10.7729</v>
      </c>
      <c r="T2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7">
        <f>(1000*CHOOSE(CONTROL!$C$42, 695, 695)*CHOOSE(CONTROL!$C$42, 0.5599, 0.5599)*CHOOSE(CONTROL!$C$42, 31, 31))/1000000</f>
        <v>12.063045499999998</v>
      </c>
      <c r="V236" s="57">
        <f>(1000*CHOOSE(CONTROL!$C$42, 500, 500)*CHOOSE(CONTROL!$C$42, 0.275, 0.275)*CHOOSE(CONTROL!$C$42, 31, 31))/1000000</f>
        <v>4.2625000000000002</v>
      </c>
      <c r="W236" s="57">
        <f>(1000*CHOOSE(CONTROL!$C$42, 0.1146, 0.1146)*CHOOSE(CONTROL!$C$42, 121.5, 121.5)*CHOOSE(CONTROL!$C$42, 31, 31))/1000000</f>
        <v>0.43164089999999994</v>
      </c>
      <c r="X236" s="57">
        <f>(31*0.1790888*245000/1000000)+(31*0.2374*100000/1000000)</f>
        <v>2.0961194359999999</v>
      </c>
      <c r="Y236" s="57"/>
      <c r="Z236" s="14"/>
      <c r="AA236" s="56"/>
      <c r="AB236" s="50">
        <f>(B236*194.205+C236*267.466+D236*133.845+E236*53.484+F236*40+G236*185+H236*0+I236*100+J236*300)/(194.205+267.466+133.845+53.484+0+40+185+100+300)</f>
        <v>11.255595606436421</v>
      </c>
      <c r="AC236" s="45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11.062765467625901</v>
      </c>
    </row>
    <row r="237" spans="1:29" ht="15.75" x14ac:dyDescent="0.25">
      <c r="A237" s="13">
        <v>48092</v>
      </c>
      <c r="B237" s="14">
        <f>CHOOSE(CONTROL!$C$42, 10.5103, 10.5103) * CHOOSE(CONTROL!$C$21, $C$9, 100%, $E$9)</f>
        <v>10.510300000000001</v>
      </c>
      <c r="C237" s="14">
        <f>CHOOSE(CONTROL!$C$42, 10.5183, 10.5183) * CHOOSE(CONTROL!$C$21, $C$9, 100%, $E$9)</f>
        <v>10.5183</v>
      </c>
      <c r="D237" s="14">
        <f>CHOOSE(CONTROL!$C$42, 10.7233, 10.7233) * CHOOSE(CONTROL!$C$21, $C$9, 100%, $E$9)</f>
        <v>10.7233</v>
      </c>
      <c r="E237" s="14">
        <f>CHOOSE(CONTROL!$C$42, 10.7547, 10.7547) * CHOOSE(CONTROL!$C$21, $C$9, 100%, $E$9)</f>
        <v>10.7547</v>
      </c>
      <c r="F237" s="14">
        <f>CHOOSE(CONTROL!$C$42, 10.4974, 10.4974)*CHOOSE(CONTROL!$C$21, $C$9, 100%, $E$9)</f>
        <v>10.497400000000001</v>
      </c>
      <c r="G237" s="14">
        <f>CHOOSE(CONTROL!$C$42, 10.5141, 10.5141)*CHOOSE(CONTROL!$C$21, $C$9, 100%, $E$9)</f>
        <v>10.514099999999999</v>
      </c>
      <c r="H237" s="14">
        <f>CHOOSE(CONTROL!$C$42, 10.7434, 10.7434) * CHOOSE(CONTROL!$C$21, $C$9, 100%, $E$9)</f>
        <v>10.743399999999999</v>
      </c>
      <c r="I237" s="14">
        <f>CHOOSE(CONTROL!$C$42, 10.5512, 10.5512)* CHOOSE(CONTROL!$C$21, $C$9, 100%, $E$9)</f>
        <v>10.5512</v>
      </c>
      <c r="J237" s="14">
        <f>CHOOSE(CONTROL!$C$42, 10.4904, 10.4904)* CHOOSE(CONTROL!$C$21, $C$9, 100%, $E$9)</f>
        <v>10.490399999999999</v>
      </c>
      <c r="K237" s="53">
        <f>CHOOSE(CONTROL!$C$42, 10.5473, 10.5473) * CHOOSE(CONTROL!$C$21, $C$9, 100%, $E$9)</f>
        <v>10.5473</v>
      </c>
      <c r="L237" s="14">
        <f>CHOOSE(CONTROL!$C$42, 11.3304, 11.3304) * CHOOSE(CONTROL!$C$21, $C$9, 100%, $E$9)</f>
        <v>11.330399999999999</v>
      </c>
      <c r="M237" s="14">
        <f>CHOOSE(CONTROL!$C$42, 10.2832, 10.2832) * CHOOSE(CONTROL!$C$21, $C$9, 100%, $E$9)</f>
        <v>10.283200000000001</v>
      </c>
      <c r="N237" s="14">
        <f>CHOOSE(CONTROL!$C$42, 10.2995, 10.2995) * CHOOSE(CONTROL!$C$21, $C$9, 100%, $E$9)</f>
        <v>10.2995</v>
      </c>
      <c r="O237" s="14">
        <f>CHOOSE(CONTROL!$C$42, 10.5309, 10.5309) * CHOOSE(CONTROL!$C$21, $C$9, 100%, $E$9)</f>
        <v>10.530900000000001</v>
      </c>
      <c r="P237" s="14">
        <f>CHOOSE(CONTROL!$C$42, 10.3422, 10.3422) * CHOOSE(CONTROL!$C$21, $C$9, 100%, $E$9)</f>
        <v>10.3422</v>
      </c>
      <c r="Q237" s="14">
        <f>CHOOSE(CONTROL!$C$42, 11.1256, 11.1256) * CHOOSE(CONTROL!$C$21, $C$9, 100%, $E$9)</f>
        <v>11.1256</v>
      </c>
      <c r="R237" s="14">
        <f>CHOOSE(CONTROL!$C$42, 11.7404, 11.7404) * CHOOSE(CONTROL!$C$21, $C$9, 100%, $E$9)</f>
        <v>11.740399999999999</v>
      </c>
      <c r="S237" s="14">
        <f>CHOOSE(CONTROL!$C$42, 10.0887, 10.0887) * CHOOSE(CONTROL!$C$21, $C$9, 100%, $E$9)</f>
        <v>10.088699999999999</v>
      </c>
      <c r="T2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7">
        <f>(1000*CHOOSE(CONTROL!$C$42, 695, 695)*CHOOSE(CONTROL!$C$42, 0.5599, 0.5599)*CHOOSE(CONTROL!$C$42, 30, 30))/1000000</f>
        <v>11.673914999999997</v>
      </c>
      <c r="V237" s="57">
        <f>(1000*CHOOSE(CONTROL!$C$42, 500, 500)*CHOOSE(CONTROL!$C$42, 0.275, 0.275)*CHOOSE(CONTROL!$C$42, 30, 30))/1000000</f>
        <v>4.125</v>
      </c>
      <c r="W237" s="57">
        <f>(1000*CHOOSE(CONTROL!$C$42, 0.1146, 0.1146)*CHOOSE(CONTROL!$C$42, 121.5, 121.5)*CHOOSE(CONTROL!$C$42, 30, 30))/1000000</f>
        <v>0.417717</v>
      </c>
      <c r="X237" s="57">
        <f>(30*0.1790888*245000/1000000)+(30*0.2374*100000/1000000)</f>
        <v>2.0285026799999999</v>
      </c>
      <c r="Y237" s="57"/>
      <c r="Z237" s="14"/>
      <c r="AA237" s="56"/>
      <c r="AB237" s="50">
        <f>(B237*194.205+C237*267.466+D237*133.845+E237*53.484+F237*40+G237*185+H237*0+I237*100+J237*300)/(194.205+267.466+133.845+53.484+0+40+185+100+300)</f>
        <v>10.543288385086342</v>
      </c>
      <c r="AC237" s="45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10.364940287769786</v>
      </c>
    </row>
    <row r="238" spans="1:29" ht="15.75" x14ac:dyDescent="0.25">
      <c r="A238" s="13">
        <v>48122</v>
      </c>
      <c r="B238" s="14">
        <f>CHOOSE(CONTROL!$C$42, 10.2953, 10.2953) * CHOOSE(CONTROL!$C$21, $C$9, 100%, $E$9)</f>
        <v>10.295299999999999</v>
      </c>
      <c r="C238" s="14">
        <f>CHOOSE(CONTROL!$C$42, 10.3007, 10.3007) * CHOOSE(CONTROL!$C$21, $C$9, 100%, $E$9)</f>
        <v>10.300700000000001</v>
      </c>
      <c r="D238" s="14">
        <f>CHOOSE(CONTROL!$C$42, 10.5106, 10.5106) * CHOOSE(CONTROL!$C$21, $C$9, 100%, $E$9)</f>
        <v>10.5106</v>
      </c>
      <c r="E238" s="14">
        <f>CHOOSE(CONTROL!$C$42, 10.5397, 10.5397) * CHOOSE(CONTROL!$C$21, $C$9, 100%, $E$9)</f>
        <v>10.5397</v>
      </c>
      <c r="F238" s="14">
        <f>CHOOSE(CONTROL!$C$42, 10.2846, 10.2846)*CHOOSE(CONTROL!$C$21, $C$9, 100%, $E$9)</f>
        <v>10.284599999999999</v>
      </c>
      <c r="G238" s="14">
        <f>CHOOSE(CONTROL!$C$42, 10.3009, 10.3009)*CHOOSE(CONTROL!$C$21, $C$9, 100%, $E$9)</f>
        <v>10.3009</v>
      </c>
      <c r="H238" s="14">
        <f>CHOOSE(CONTROL!$C$42, 10.5302, 10.5302) * CHOOSE(CONTROL!$C$21, $C$9, 100%, $E$9)</f>
        <v>10.530200000000001</v>
      </c>
      <c r="I238" s="14">
        <f>CHOOSE(CONTROL!$C$42, 10.3374, 10.3374)* CHOOSE(CONTROL!$C$21, $C$9, 100%, $E$9)</f>
        <v>10.337400000000001</v>
      </c>
      <c r="J238" s="14">
        <f>CHOOSE(CONTROL!$C$42, 10.2776, 10.2776)* CHOOSE(CONTROL!$C$21, $C$9, 100%, $E$9)</f>
        <v>10.2776</v>
      </c>
      <c r="K238" s="53">
        <f>CHOOSE(CONTROL!$C$42, 10.3335, 10.3335) * CHOOSE(CONTROL!$C$21, $C$9, 100%, $E$9)</f>
        <v>10.333500000000001</v>
      </c>
      <c r="L238" s="14">
        <f>CHOOSE(CONTROL!$C$42, 11.1172, 11.1172) * CHOOSE(CONTROL!$C$21, $C$9, 100%, $E$9)</f>
        <v>11.1172</v>
      </c>
      <c r="M238" s="14">
        <f>CHOOSE(CONTROL!$C$42, 10.0747, 10.0747) * CHOOSE(CONTROL!$C$21, $C$9, 100%, $E$9)</f>
        <v>10.0747</v>
      </c>
      <c r="N238" s="14">
        <f>CHOOSE(CONTROL!$C$42, 10.0907, 10.0907) * CHOOSE(CONTROL!$C$21, $C$9, 100%, $E$9)</f>
        <v>10.0907</v>
      </c>
      <c r="O238" s="14">
        <f>CHOOSE(CONTROL!$C$42, 10.3221, 10.3221) * CHOOSE(CONTROL!$C$21, $C$9, 100%, $E$9)</f>
        <v>10.322100000000001</v>
      </c>
      <c r="P238" s="14">
        <f>CHOOSE(CONTROL!$C$42, 10.1327, 10.1327) * CHOOSE(CONTROL!$C$21, $C$9, 100%, $E$9)</f>
        <v>10.1327</v>
      </c>
      <c r="Q238" s="14">
        <f>CHOOSE(CONTROL!$C$42, 10.9168, 10.9168) * CHOOSE(CONTROL!$C$21, $C$9, 100%, $E$9)</f>
        <v>10.9168</v>
      </c>
      <c r="R238" s="14">
        <f>CHOOSE(CONTROL!$C$42, 11.5311, 11.5311) * CHOOSE(CONTROL!$C$21, $C$9, 100%, $E$9)</f>
        <v>11.5311</v>
      </c>
      <c r="S238" s="14">
        <f>CHOOSE(CONTROL!$C$42, 9.8839, 9.8839) * CHOOSE(CONTROL!$C$21, $C$9, 100%, $E$9)</f>
        <v>9.8839000000000006</v>
      </c>
      <c r="T2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7">
        <f>(1000*CHOOSE(CONTROL!$C$42, 695, 695)*CHOOSE(CONTROL!$C$42, 0.5599, 0.5599)*CHOOSE(CONTROL!$C$42, 31, 31))/1000000</f>
        <v>12.063045499999998</v>
      </c>
      <c r="V238" s="57">
        <f>(1000*CHOOSE(CONTROL!$C$42, 500, 500)*CHOOSE(CONTROL!$C$42, 0.275, 0.275)*CHOOSE(CONTROL!$C$42, 31, 31))/1000000</f>
        <v>4.2625000000000002</v>
      </c>
      <c r="W238" s="57">
        <f>(1000*CHOOSE(CONTROL!$C$42, 0.1146, 0.1146)*CHOOSE(CONTROL!$C$42, 121.5, 121.5)*CHOOSE(CONTROL!$C$42, 31, 31))/1000000</f>
        <v>0.43164089999999994</v>
      </c>
      <c r="X238" s="57">
        <f>(31*0.1790888*245000/1000000)+(31*0.2374*100000/1000000)</f>
        <v>2.0961194359999999</v>
      </c>
      <c r="Y238" s="57"/>
      <c r="Z238" s="14"/>
      <c r="AA238" s="56"/>
      <c r="AB238" s="50">
        <f>(B238*131.881+C238*277.167+D238*79.08+E238*125.872+F238*40+G238*185+H238*0+I238*100+J238*300)/(131.881+277.167+79.08+125.872+0+40+185+100+300)</f>
        <v>10.334681551735271</v>
      </c>
      <c r="AC238" s="45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10.156143165467626</v>
      </c>
    </row>
    <row r="239" spans="1:29" ht="15.75" x14ac:dyDescent="0.25">
      <c r="A239" s="13">
        <v>48153</v>
      </c>
      <c r="B239" s="14">
        <f>CHOOSE(CONTROL!$C$42, 10.5659, 10.5659) * CHOOSE(CONTROL!$C$21, $C$9, 100%, $E$9)</f>
        <v>10.565899999999999</v>
      </c>
      <c r="C239" s="14">
        <f>CHOOSE(CONTROL!$C$42, 10.571, 10.571) * CHOOSE(CONTROL!$C$21, $C$9, 100%, $E$9)</f>
        <v>10.571</v>
      </c>
      <c r="D239" s="14">
        <f>CHOOSE(CONTROL!$C$42, 10.6348, 10.6348) * CHOOSE(CONTROL!$C$21, $C$9, 100%, $E$9)</f>
        <v>10.6348</v>
      </c>
      <c r="E239" s="14">
        <f>CHOOSE(CONTROL!$C$42, 10.6689, 10.6689) * CHOOSE(CONTROL!$C$21, $C$9, 100%, $E$9)</f>
        <v>10.668900000000001</v>
      </c>
      <c r="F239" s="14">
        <f>CHOOSE(CONTROL!$C$42, 10.5681, 10.5681)*CHOOSE(CONTROL!$C$21, $C$9, 100%, $E$9)</f>
        <v>10.568099999999999</v>
      </c>
      <c r="G239" s="14">
        <f>CHOOSE(CONTROL!$C$42, 10.5848, 10.5848)*CHOOSE(CONTROL!$C$21, $C$9, 100%, $E$9)</f>
        <v>10.5848</v>
      </c>
      <c r="H239" s="14">
        <f>CHOOSE(CONTROL!$C$42, 10.6581, 10.6581) * CHOOSE(CONTROL!$C$21, $C$9, 100%, $E$9)</f>
        <v>10.658099999999999</v>
      </c>
      <c r="I239" s="14">
        <f>CHOOSE(CONTROL!$C$42, 10.6129, 10.6129)* CHOOSE(CONTROL!$C$21, $C$9, 100%, $E$9)</f>
        <v>10.6129</v>
      </c>
      <c r="J239" s="14">
        <f>CHOOSE(CONTROL!$C$42, 10.5611, 10.5611)* CHOOSE(CONTROL!$C$21, $C$9, 100%, $E$9)</f>
        <v>10.5611</v>
      </c>
      <c r="K239" s="53">
        <f>CHOOSE(CONTROL!$C$42, 10.609, 10.609) * CHOOSE(CONTROL!$C$21, $C$9, 100%, $E$9)</f>
        <v>10.609</v>
      </c>
      <c r="L239" s="14">
        <f>CHOOSE(CONTROL!$C$42, 11.2451, 11.2451) * CHOOSE(CONTROL!$C$21, $C$9, 100%, $E$9)</f>
        <v>11.245100000000001</v>
      </c>
      <c r="M239" s="14">
        <f>CHOOSE(CONTROL!$C$42, 10.3524, 10.3524) * CHOOSE(CONTROL!$C$21, $C$9, 100%, $E$9)</f>
        <v>10.352399999999999</v>
      </c>
      <c r="N239" s="14">
        <f>CHOOSE(CONTROL!$C$42, 10.3688, 10.3688) * CHOOSE(CONTROL!$C$21, $C$9, 100%, $E$9)</f>
        <v>10.3688</v>
      </c>
      <c r="O239" s="14">
        <f>CHOOSE(CONTROL!$C$42, 10.4474, 10.4474) * CHOOSE(CONTROL!$C$21, $C$9, 100%, $E$9)</f>
        <v>10.4474</v>
      </c>
      <c r="P239" s="14">
        <f>CHOOSE(CONTROL!$C$42, 10.4025, 10.4025) * CHOOSE(CONTROL!$C$21, $C$9, 100%, $E$9)</f>
        <v>10.4025</v>
      </c>
      <c r="Q239" s="14">
        <f>CHOOSE(CONTROL!$C$42, 11.0421, 11.0421) * CHOOSE(CONTROL!$C$21, $C$9, 100%, $E$9)</f>
        <v>11.0421</v>
      </c>
      <c r="R239" s="14">
        <f>CHOOSE(CONTROL!$C$42, 11.6567, 11.6567) * CHOOSE(CONTROL!$C$21, $C$9, 100%, $E$9)</f>
        <v>11.656700000000001</v>
      </c>
      <c r="S239" s="14">
        <f>CHOOSE(CONTROL!$C$42, 10.1442, 10.1442) * CHOOSE(CONTROL!$C$21, $C$9, 100%, $E$9)</f>
        <v>10.1442</v>
      </c>
      <c r="T2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7">
        <f>(1000*CHOOSE(CONTROL!$C$42, 695, 695)*CHOOSE(CONTROL!$C$42, 0.5599, 0.5599)*CHOOSE(CONTROL!$C$42, 30, 30))/1000000</f>
        <v>11.673914999999997</v>
      </c>
      <c r="V239" s="57">
        <f>(1000*CHOOSE(CONTROL!$C$42, 500, 500)*CHOOSE(CONTROL!$C$42, 0.275, 0.275)*CHOOSE(CONTROL!$C$42, 30, 30))/1000000</f>
        <v>4.125</v>
      </c>
      <c r="W239" s="57">
        <f>(1000*CHOOSE(CONTROL!$C$42, 0.1146, 0.1146)*CHOOSE(CONTROL!$C$42, 121.5, 121.5)*CHOOSE(CONTROL!$C$42, 30, 30))/1000000</f>
        <v>0.417717</v>
      </c>
      <c r="X239" s="57">
        <f>(30*0.1790888*100000/1000000)+(30*0.2374*100000/1000000)</f>
        <v>1.2494664</v>
      </c>
      <c r="Y239" s="57"/>
      <c r="Z239" s="14"/>
      <c r="AA239" s="56"/>
      <c r="AB239" s="50">
        <f>(B239*122.58+C239*297.941+D239*89.177+E239*40.302+F239*40+G239*160+H239*0+I239*100+J239*300)/(122.58+297.941+89.177+40.302+0+40+160+100+300)</f>
        <v>10.581714696000001</v>
      </c>
      <c r="AC239" s="45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10.403610071942445</v>
      </c>
    </row>
    <row r="240" spans="1:29" ht="15.75" x14ac:dyDescent="0.25">
      <c r="A240" s="13">
        <v>48183</v>
      </c>
      <c r="B240" s="14">
        <f>CHOOSE(CONTROL!$C$42, 11.2856, 11.2856) * CHOOSE(CONTROL!$C$21, $C$9, 100%, $E$9)</f>
        <v>11.285600000000001</v>
      </c>
      <c r="C240" s="14">
        <f>CHOOSE(CONTROL!$C$42, 11.2907, 11.2907) * CHOOSE(CONTROL!$C$21, $C$9, 100%, $E$9)</f>
        <v>11.290699999999999</v>
      </c>
      <c r="D240" s="14">
        <f>CHOOSE(CONTROL!$C$42, 11.3545, 11.3545) * CHOOSE(CONTROL!$C$21, $C$9, 100%, $E$9)</f>
        <v>11.3545</v>
      </c>
      <c r="E240" s="14">
        <f>CHOOSE(CONTROL!$C$42, 11.3886, 11.3886) * CHOOSE(CONTROL!$C$21, $C$9, 100%, $E$9)</f>
        <v>11.3886</v>
      </c>
      <c r="F240" s="14">
        <f>CHOOSE(CONTROL!$C$42, 11.2899, 11.2899)*CHOOSE(CONTROL!$C$21, $C$9, 100%, $E$9)</f>
        <v>11.289899999999999</v>
      </c>
      <c r="G240" s="14">
        <f>CHOOSE(CONTROL!$C$42, 11.3071, 11.3071)*CHOOSE(CONTROL!$C$21, $C$9, 100%, $E$9)</f>
        <v>11.3071</v>
      </c>
      <c r="H240" s="14">
        <f>CHOOSE(CONTROL!$C$42, 11.3778, 11.3778) * CHOOSE(CONTROL!$C$21, $C$9, 100%, $E$9)</f>
        <v>11.377800000000001</v>
      </c>
      <c r="I240" s="14">
        <f>CHOOSE(CONTROL!$C$42, 11.3348, 11.3348)* CHOOSE(CONTROL!$C$21, $C$9, 100%, $E$9)</f>
        <v>11.3348</v>
      </c>
      <c r="J240" s="14">
        <f>CHOOSE(CONTROL!$C$42, 11.2829, 11.2829)* CHOOSE(CONTROL!$C$21, $C$9, 100%, $E$9)</f>
        <v>11.2829</v>
      </c>
      <c r="K240" s="53">
        <f>CHOOSE(CONTROL!$C$42, 11.331, 11.331) * CHOOSE(CONTROL!$C$21, $C$9, 100%, $E$9)</f>
        <v>11.331</v>
      </c>
      <c r="L240" s="14">
        <f>CHOOSE(CONTROL!$C$42, 11.9648, 11.9648) * CHOOSE(CONTROL!$C$21, $C$9, 100%, $E$9)</f>
        <v>11.9648</v>
      </c>
      <c r="M240" s="14">
        <f>CHOOSE(CONTROL!$C$42, 11.0594, 11.0594) * CHOOSE(CONTROL!$C$21, $C$9, 100%, $E$9)</f>
        <v>11.0594</v>
      </c>
      <c r="N240" s="14">
        <f>CHOOSE(CONTROL!$C$42, 11.0763, 11.0763) * CHOOSE(CONTROL!$C$21, $C$9, 100%, $E$9)</f>
        <v>11.0763</v>
      </c>
      <c r="O240" s="14">
        <f>CHOOSE(CONTROL!$C$42, 11.1524, 11.1524) * CHOOSE(CONTROL!$C$21, $C$9, 100%, $E$9)</f>
        <v>11.1524</v>
      </c>
      <c r="P240" s="14">
        <f>CHOOSE(CONTROL!$C$42, 11.1097, 11.1097) * CHOOSE(CONTROL!$C$21, $C$9, 100%, $E$9)</f>
        <v>11.1097</v>
      </c>
      <c r="Q240" s="14">
        <f>CHOOSE(CONTROL!$C$42, 11.7471, 11.7471) * CHOOSE(CONTROL!$C$21, $C$9, 100%, $E$9)</f>
        <v>11.7471</v>
      </c>
      <c r="R240" s="14">
        <f>CHOOSE(CONTROL!$C$42, 12.3634, 12.3634) * CHOOSE(CONTROL!$C$21, $C$9, 100%, $E$9)</f>
        <v>12.3634</v>
      </c>
      <c r="S240" s="14">
        <f>CHOOSE(CONTROL!$C$42, 10.8358, 10.8358) * CHOOSE(CONTROL!$C$21, $C$9, 100%, $E$9)</f>
        <v>10.835800000000001</v>
      </c>
      <c r="T2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7">
        <f>(1000*CHOOSE(CONTROL!$C$42, 695, 695)*CHOOSE(CONTROL!$C$42, 0.5599, 0.5599)*CHOOSE(CONTROL!$C$42, 31, 31))/1000000</f>
        <v>12.063045499999998</v>
      </c>
      <c r="V240" s="57">
        <f>(1000*CHOOSE(CONTROL!$C$42, 500, 500)*CHOOSE(CONTROL!$C$42, 0.275, 0.275)*CHOOSE(CONTROL!$C$42, 31, 31))/1000000</f>
        <v>4.2625000000000002</v>
      </c>
      <c r="W240" s="57">
        <f>(1000*CHOOSE(CONTROL!$C$42, 0.1146, 0.1146)*CHOOSE(CONTROL!$C$42, 121.5, 121.5)*CHOOSE(CONTROL!$C$42, 31, 31))/1000000</f>
        <v>0.43164089999999994</v>
      </c>
      <c r="X240" s="57">
        <f>(31*0.1790888*100000/1000000)+(31*0.2374*100000/1000000)</f>
        <v>1.2911152800000001</v>
      </c>
      <c r="Y240" s="57"/>
      <c r="Z240" s="14"/>
      <c r="AA240" s="56"/>
      <c r="AB240" s="50">
        <f>(B240*122.58+C240*297.941+D240*89.177+E240*40.302+F240*40+G240*160+H240*0+I240*100+J240*300)/(122.58+297.941+89.177+40.302+0+40+160+100+300)</f>
        <v>11.302588609043479</v>
      </c>
      <c r="AC240" s="45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11.109761151079137</v>
      </c>
    </row>
    <row r="241" spans="1:29" ht="15.75" x14ac:dyDescent="0.25">
      <c r="A241" s="13">
        <v>48214</v>
      </c>
      <c r="B241" s="14">
        <f>CHOOSE(CONTROL!$C$42, 12.2093, 12.2093) * CHOOSE(CONTROL!$C$21, $C$9, 100%, $E$9)</f>
        <v>12.209300000000001</v>
      </c>
      <c r="C241" s="14">
        <f>CHOOSE(CONTROL!$C$42, 12.2143, 12.2143) * CHOOSE(CONTROL!$C$21, $C$9, 100%, $E$9)</f>
        <v>12.2143</v>
      </c>
      <c r="D241" s="14">
        <f>CHOOSE(CONTROL!$C$42, 12.2729, 12.2729) * CHOOSE(CONTROL!$C$21, $C$9, 100%, $E$9)</f>
        <v>12.2729</v>
      </c>
      <c r="E241" s="14">
        <f>CHOOSE(CONTROL!$C$42, 12.307, 12.307) * CHOOSE(CONTROL!$C$21, $C$9, 100%, $E$9)</f>
        <v>12.307</v>
      </c>
      <c r="F241" s="14">
        <f>CHOOSE(CONTROL!$C$42, 12.2084, 12.2084)*CHOOSE(CONTROL!$C$21, $C$9, 100%, $E$9)</f>
        <v>12.208399999999999</v>
      </c>
      <c r="G241" s="14">
        <f>CHOOSE(CONTROL!$C$42, 12.2248, 12.2248)*CHOOSE(CONTROL!$C$21, $C$9, 100%, $E$9)</f>
        <v>12.2248</v>
      </c>
      <c r="H241" s="14">
        <f>CHOOSE(CONTROL!$C$42, 12.2962, 12.2962) * CHOOSE(CONTROL!$C$21, $C$9, 100%, $E$9)</f>
        <v>12.296200000000001</v>
      </c>
      <c r="I241" s="14">
        <f>CHOOSE(CONTROL!$C$42, 12.2577, 12.2577)* CHOOSE(CONTROL!$C$21, $C$9, 100%, $E$9)</f>
        <v>12.2577</v>
      </c>
      <c r="J241" s="14">
        <f>CHOOSE(CONTROL!$C$42, 12.2014, 12.2014)* CHOOSE(CONTROL!$C$21, $C$9, 100%, $E$9)</f>
        <v>12.2014</v>
      </c>
      <c r="K241" s="53">
        <f>CHOOSE(CONTROL!$C$42, 12.2538, 12.2538) * CHOOSE(CONTROL!$C$21, $C$9, 100%, $E$9)</f>
        <v>12.2538</v>
      </c>
      <c r="L241" s="14">
        <f>CHOOSE(CONTROL!$C$42, 12.8832, 12.8832) * CHOOSE(CONTROL!$C$21, $C$9, 100%, $E$9)</f>
        <v>12.8832</v>
      </c>
      <c r="M241" s="14">
        <f>CHOOSE(CONTROL!$C$42, 11.9591, 11.9591) * CHOOSE(CONTROL!$C$21, $C$9, 100%, $E$9)</f>
        <v>11.959099999999999</v>
      </c>
      <c r="N241" s="14">
        <f>CHOOSE(CONTROL!$C$42, 11.9751, 11.9751) * CHOOSE(CONTROL!$C$21, $C$9, 100%, $E$9)</f>
        <v>11.975099999999999</v>
      </c>
      <c r="O241" s="14">
        <f>CHOOSE(CONTROL!$C$42, 12.052, 12.052) * CHOOSE(CONTROL!$C$21, $C$9, 100%, $E$9)</f>
        <v>12.052</v>
      </c>
      <c r="P241" s="14">
        <f>CHOOSE(CONTROL!$C$42, 12.0136, 12.0136) * CHOOSE(CONTROL!$C$21, $C$9, 100%, $E$9)</f>
        <v>12.0136</v>
      </c>
      <c r="Q241" s="14">
        <f>CHOOSE(CONTROL!$C$42, 12.6467, 12.6467) * CHOOSE(CONTROL!$C$21, $C$9, 100%, $E$9)</f>
        <v>12.646699999999999</v>
      </c>
      <c r="R241" s="14">
        <f>CHOOSE(CONTROL!$C$42, 13.2653, 13.2653) * CHOOSE(CONTROL!$C$21, $C$9, 100%, $E$9)</f>
        <v>13.2653</v>
      </c>
      <c r="S241" s="14">
        <f>CHOOSE(CONTROL!$C$42, 11.7233, 11.7233) * CHOOSE(CONTROL!$C$21, $C$9, 100%, $E$9)</f>
        <v>11.7233</v>
      </c>
      <c r="T2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7">
        <f>(1000*CHOOSE(CONTROL!$C$42, 695, 695)*CHOOSE(CONTROL!$C$42, 0.5599, 0.5599)*CHOOSE(CONTROL!$C$42, 31, 31))/1000000</f>
        <v>12.063045499999998</v>
      </c>
      <c r="V241" s="57">
        <f>(1000*CHOOSE(CONTROL!$C$42, 500, 500)*CHOOSE(CONTROL!$C$42, 0.275, 0.275)*CHOOSE(CONTROL!$C$42, 31, 31))/1000000</f>
        <v>4.2625000000000002</v>
      </c>
      <c r="W241" s="57">
        <f>(1000*CHOOSE(CONTROL!$C$42, 0.1146, 0.1146)*CHOOSE(CONTROL!$C$42, 121.5, 121.5)*CHOOSE(CONTROL!$C$42, 31, 31))/1000000</f>
        <v>0.43164089999999994</v>
      </c>
      <c r="X241" s="57">
        <f>(31*0.1790888*100000/1000000)+(31*0.2374*100000/1000000)</f>
        <v>1.2911152800000001</v>
      </c>
      <c r="Y241" s="57"/>
      <c r="Z241" s="14"/>
      <c r="AA241" s="56"/>
      <c r="AB241" s="50">
        <f>(B241*122.58+C241*297.941+D241*89.177+E241*40.302+F241*40+G241*160+H241*0+I241*100+J241*300)/(122.58+297.941+89.177+40.302+0+40+160+100+300)</f>
        <v>12.223224232695653</v>
      </c>
      <c r="AC241" s="45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12.00996834532374</v>
      </c>
    </row>
    <row r="242" spans="1:29" ht="15.75" x14ac:dyDescent="0.25">
      <c r="A242" s="13">
        <v>48245</v>
      </c>
      <c r="B242" s="14">
        <f>CHOOSE(CONTROL!$C$42, 12.4264, 12.4264) * CHOOSE(CONTROL!$C$21, $C$9, 100%, $E$9)</f>
        <v>12.426399999999999</v>
      </c>
      <c r="C242" s="14">
        <f>CHOOSE(CONTROL!$C$42, 12.4315, 12.4315) * CHOOSE(CONTROL!$C$21, $C$9, 100%, $E$9)</f>
        <v>12.4315</v>
      </c>
      <c r="D242" s="14">
        <f>CHOOSE(CONTROL!$C$42, 12.4901, 12.4901) * CHOOSE(CONTROL!$C$21, $C$9, 100%, $E$9)</f>
        <v>12.4901</v>
      </c>
      <c r="E242" s="14">
        <f>CHOOSE(CONTROL!$C$42, 12.5242, 12.5242) * CHOOSE(CONTROL!$C$21, $C$9, 100%, $E$9)</f>
        <v>12.5242</v>
      </c>
      <c r="F242" s="14">
        <f>CHOOSE(CONTROL!$C$42, 12.4255, 12.4255)*CHOOSE(CONTROL!$C$21, $C$9, 100%, $E$9)</f>
        <v>12.4255</v>
      </c>
      <c r="G242" s="14">
        <f>CHOOSE(CONTROL!$C$42, 12.4419, 12.4419)*CHOOSE(CONTROL!$C$21, $C$9, 100%, $E$9)</f>
        <v>12.4419</v>
      </c>
      <c r="H242" s="14">
        <f>CHOOSE(CONTROL!$C$42, 12.5134, 12.5134) * CHOOSE(CONTROL!$C$21, $C$9, 100%, $E$9)</f>
        <v>12.513400000000001</v>
      </c>
      <c r="I242" s="14">
        <f>CHOOSE(CONTROL!$C$42, 12.4756, 12.4756)* CHOOSE(CONTROL!$C$21, $C$9, 100%, $E$9)</f>
        <v>12.4756</v>
      </c>
      <c r="J242" s="14">
        <f>CHOOSE(CONTROL!$C$42, 12.4185, 12.4185)* CHOOSE(CONTROL!$C$21, $C$9, 100%, $E$9)</f>
        <v>12.4185</v>
      </c>
      <c r="K242" s="53">
        <f>CHOOSE(CONTROL!$C$42, 12.4717, 12.4717) * CHOOSE(CONTROL!$C$21, $C$9, 100%, $E$9)</f>
        <v>12.4717</v>
      </c>
      <c r="L242" s="14">
        <f>CHOOSE(CONTROL!$C$42, 13.1004, 13.1004) * CHOOSE(CONTROL!$C$21, $C$9, 100%, $E$9)</f>
        <v>13.1004</v>
      </c>
      <c r="M242" s="14">
        <f>CHOOSE(CONTROL!$C$42, 12.1718, 12.1718) * CHOOSE(CONTROL!$C$21, $C$9, 100%, $E$9)</f>
        <v>12.171799999999999</v>
      </c>
      <c r="N242" s="14">
        <f>CHOOSE(CONTROL!$C$42, 12.1878, 12.1878) * CHOOSE(CONTROL!$C$21, $C$9, 100%, $E$9)</f>
        <v>12.187799999999999</v>
      </c>
      <c r="O242" s="14">
        <f>CHOOSE(CONTROL!$C$42, 12.2647, 12.2647) * CHOOSE(CONTROL!$C$21, $C$9, 100%, $E$9)</f>
        <v>12.264699999999999</v>
      </c>
      <c r="P242" s="14">
        <f>CHOOSE(CONTROL!$C$42, 12.227, 12.227) * CHOOSE(CONTROL!$C$21, $C$9, 100%, $E$9)</f>
        <v>12.227</v>
      </c>
      <c r="Q242" s="14">
        <f>CHOOSE(CONTROL!$C$42, 12.8594, 12.8594) * CHOOSE(CONTROL!$C$21, $C$9, 100%, $E$9)</f>
        <v>12.859400000000001</v>
      </c>
      <c r="R242" s="14">
        <f>CHOOSE(CONTROL!$C$42, 13.4786, 13.4786) * CHOOSE(CONTROL!$C$21, $C$9, 100%, $E$9)</f>
        <v>13.4786</v>
      </c>
      <c r="S242" s="14">
        <f>CHOOSE(CONTROL!$C$42, 11.932, 11.932) * CHOOSE(CONTROL!$C$21, $C$9, 100%, $E$9)</f>
        <v>11.932</v>
      </c>
      <c r="T24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7">
        <f>(1000*CHOOSE(CONTROL!$C$42, 695, 695)*CHOOSE(CONTROL!$C$42, 0.5599, 0.5599)*CHOOSE(CONTROL!$C$42, 29, 29))/1000000</f>
        <v>11.284784499999999</v>
      </c>
      <c r="V242" s="57">
        <f>(1000*CHOOSE(CONTROL!$C$42, 500, 500)*CHOOSE(CONTROL!$C$42, 0.275, 0.275)*CHOOSE(CONTROL!$C$42, 29, 29))/1000000</f>
        <v>3.9874999999999998</v>
      </c>
      <c r="W242" s="57">
        <f>(1000*CHOOSE(CONTROL!$C$42, 0.1146, 0.1146)*CHOOSE(CONTROL!$C$42, 121.5, 121.5)*CHOOSE(CONTROL!$C$42, 29, 29))/1000000</f>
        <v>0.40379309999999996</v>
      </c>
      <c r="X242" s="57">
        <f>(29*0.1790888*100000/1000000)+(29*0.2374*100000/1000000)</f>
        <v>1.2078175199999999</v>
      </c>
      <c r="Y242" s="57"/>
      <c r="Z242" s="14"/>
      <c r="AA242" s="56"/>
      <c r="AB242" s="50">
        <f>(B242*122.58+C242*297.941+D242*89.177+E242*40.302+F242*40+G242*160+H242*0+I242*100+J242*300)/(122.58+297.941+89.177+40.302+0+40+160+100+300)</f>
        <v>12.440430964869565</v>
      </c>
      <c r="AC242" s="45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12.222769064748203</v>
      </c>
    </row>
    <row r="243" spans="1:29" ht="15.75" x14ac:dyDescent="0.25">
      <c r="A243" s="13">
        <v>48274</v>
      </c>
      <c r="B243" s="14">
        <f>CHOOSE(CONTROL!$C$42, 12.0739, 12.0739) * CHOOSE(CONTROL!$C$21, $C$9, 100%, $E$9)</f>
        <v>12.0739</v>
      </c>
      <c r="C243" s="14">
        <f>CHOOSE(CONTROL!$C$42, 12.079, 12.079) * CHOOSE(CONTROL!$C$21, $C$9, 100%, $E$9)</f>
        <v>12.079000000000001</v>
      </c>
      <c r="D243" s="14">
        <f>CHOOSE(CONTROL!$C$42, 12.1376, 12.1376) * CHOOSE(CONTROL!$C$21, $C$9, 100%, $E$9)</f>
        <v>12.137600000000001</v>
      </c>
      <c r="E243" s="14">
        <f>CHOOSE(CONTROL!$C$42, 12.1717, 12.1717) * CHOOSE(CONTROL!$C$21, $C$9, 100%, $E$9)</f>
        <v>12.1717</v>
      </c>
      <c r="F243" s="14">
        <f>CHOOSE(CONTROL!$C$42, 12.0725, 12.0725)*CHOOSE(CONTROL!$C$21, $C$9, 100%, $E$9)</f>
        <v>12.0725</v>
      </c>
      <c r="G243" s="14">
        <f>CHOOSE(CONTROL!$C$42, 12.0887, 12.0887)*CHOOSE(CONTROL!$C$21, $C$9, 100%, $E$9)</f>
        <v>12.088699999999999</v>
      </c>
      <c r="H243" s="14">
        <f>CHOOSE(CONTROL!$C$42, 12.1609, 12.1609) * CHOOSE(CONTROL!$C$21, $C$9, 100%, $E$9)</f>
        <v>12.1609</v>
      </c>
      <c r="I243" s="14">
        <f>CHOOSE(CONTROL!$C$42, 12.122, 12.122)* CHOOSE(CONTROL!$C$21, $C$9, 100%, $E$9)</f>
        <v>12.122</v>
      </c>
      <c r="J243" s="14">
        <f>CHOOSE(CONTROL!$C$42, 12.0655, 12.0655)* CHOOSE(CONTROL!$C$21, $C$9, 100%, $E$9)</f>
        <v>12.0655</v>
      </c>
      <c r="K243" s="53">
        <f>CHOOSE(CONTROL!$C$42, 12.1181, 12.1181) * CHOOSE(CONTROL!$C$21, $C$9, 100%, $E$9)</f>
        <v>12.1181</v>
      </c>
      <c r="L243" s="14">
        <f>CHOOSE(CONTROL!$C$42, 12.7479, 12.7479) * CHOOSE(CONTROL!$C$21, $C$9, 100%, $E$9)</f>
        <v>12.7479</v>
      </c>
      <c r="M243" s="14">
        <f>CHOOSE(CONTROL!$C$42, 11.826, 11.826) * CHOOSE(CONTROL!$C$21, $C$9, 100%, $E$9)</f>
        <v>11.826000000000001</v>
      </c>
      <c r="N243" s="14">
        <f>CHOOSE(CONTROL!$C$42, 11.8419, 11.8419) * CHOOSE(CONTROL!$C$21, $C$9, 100%, $E$9)</f>
        <v>11.841900000000001</v>
      </c>
      <c r="O243" s="14">
        <f>CHOOSE(CONTROL!$C$42, 11.9194, 11.9194) * CHOOSE(CONTROL!$C$21, $C$9, 100%, $E$9)</f>
        <v>11.9194</v>
      </c>
      <c r="P243" s="14">
        <f>CHOOSE(CONTROL!$C$42, 11.8806, 11.8806) * CHOOSE(CONTROL!$C$21, $C$9, 100%, $E$9)</f>
        <v>11.880599999999999</v>
      </c>
      <c r="Q243" s="14">
        <f>CHOOSE(CONTROL!$C$42, 12.5141, 12.5141) * CHOOSE(CONTROL!$C$21, $C$9, 100%, $E$9)</f>
        <v>12.514099999999999</v>
      </c>
      <c r="R243" s="14">
        <f>CHOOSE(CONTROL!$C$42, 13.1324, 13.1324) * CHOOSE(CONTROL!$C$21, $C$9, 100%, $E$9)</f>
        <v>13.132400000000001</v>
      </c>
      <c r="S243" s="14">
        <f>CHOOSE(CONTROL!$C$42, 11.5933, 11.5933) * CHOOSE(CONTROL!$C$21, $C$9, 100%, $E$9)</f>
        <v>11.593299999999999</v>
      </c>
      <c r="T2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7">
        <f>(1000*CHOOSE(CONTROL!$C$42, 695, 695)*CHOOSE(CONTROL!$C$42, 0.5599, 0.5599)*CHOOSE(CONTROL!$C$42, 31, 31))/1000000</f>
        <v>12.063045499999998</v>
      </c>
      <c r="V243" s="57">
        <f>(1000*CHOOSE(CONTROL!$C$42, 500, 500)*CHOOSE(CONTROL!$C$42, 0.275, 0.275)*CHOOSE(CONTROL!$C$42, 31, 31))/1000000</f>
        <v>4.2625000000000002</v>
      </c>
      <c r="W243" s="57">
        <f>(1000*CHOOSE(CONTROL!$C$42, 0.1146, 0.1146)*CHOOSE(CONTROL!$C$42, 121.5, 121.5)*CHOOSE(CONTROL!$C$42, 31, 31))/1000000</f>
        <v>0.43164089999999994</v>
      </c>
      <c r="X243" s="57">
        <f>(31*0.1790888*100000/1000000)+(31*0.2374*100000/1000000)</f>
        <v>1.2911152800000001</v>
      </c>
      <c r="Y243" s="57"/>
      <c r="Z243" s="14"/>
      <c r="AA243" s="56"/>
      <c r="AB243" s="50">
        <f>(B243*122.58+C243*297.941+D243*89.177+E243*40.302+F243*40+G243*160+H243*0+I243*100+J243*300)/(122.58+297.941+89.177+40.302+0+40+160+100+300)</f>
        <v>12.087590095304348</v>
      </c>
      <c r="AC243" s="45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11.877103597122302</v>
      </c>
    </row>
    <row r="244" spans="1:29" ht="15.75" x14ac:dyDescent="0.25">
      <c r="A244" s="13">
        <v>48305</v>
      </c>
      <c r="B244" s="14">
        <f>CHOOSE(CONTROL!$C$42, 12.039, 12.039) * CHOOSE(CONTROL!$C$21, $C$9, 100%, $E$9)</f>
        <v>12.039</v>
      </c>
      <c r="C244" s="14">
        <f>CHOOSE(CONTROL!$C$42, 12.0435, 12.0435) * CHOOSE(CONTROL!$C$21, $C$9, 100%, $E$9)</f>
        <v>12.0435</v>
      </c>
      <c r="D244" s="14">
        <f>CHOOSE(CONTROL!$C$42, 12.2516, 12.2516) * CHOOSE(CONTROL!$C$21, $C$9, 100%, $E$9)</f>
        <v>12.2516</v>
      </c>
      <c r="E244" s="14">
        <f>CHOOSE(CONTROL!$C$42, 12.2837, 12.2837) * CHOOSE(CONTROL!$C$21, $C$9, 100%, $E$9)</f>
        <v>12.2837</v>
      </c>
      <c r="F244" s="14">
        <f>CHOOSE(CONTROL!$C$42, 12.0263, 12.0263)*CHOOSE(CONTROL!$C$21, $C$9, 100%, $E$9)</f>
        <v>12.026300000000001</v>
      </c>
      <c r="G244" s="14">
        <f>CHOOSE(CONTROL!$C$42, 12.0423, 12.0423)*CHOOSE(CONTROL!$C$21, $C$9, 100%, $E$9)</f>
        <v>12.042299999999999</v>
      </c>
      <c r="H244" s="14">
        <f>CHOOSE(CONTROL!$C$42, 12.2735, 12.2735) * CHOOSE(CONTROL!$C$21, $C$9, 100%, $E$9)</f>
        <v>12.2735</v>
      </c>
      <c r="I244" s="14">
        <f>CHOOSE(CONTROL!$C$42, 12.0861, 12.0861)* CHOOSE(CONTROL!$C$21, $C$9, 100%, $E$9)</f>
        <v>12.0861</v>
      </c>
      <c r="J244" s="14">
        <f>CHOOSE(CONTROL!$C$42, 12.0193, 12.0193)* CHOOSE(CONTROL!$C$21, $C$9, 100%, $E$9)</f>
        <v>12.019299999999999</v>
      </c>
      <c r="K244" s="53">
        <f>CHOOSE(CONTROL!$C$42, 12.0822, 12.0822) * CHOOSE(CONTROL!$C$21, $C$9, 100%, $E$9)</f>
        <v>12.0822</v>
      </c>
      <c r="L244" s="14">
        <f>CHOOSE(CONTROL!$C$42, 12.8605, 12.8605) * CHOOSE(CONTROL!$C$21, $C$9, 100%, $E$9)</f>
        <v>12.8605</v>
      </c>
      <c r="M244" s="14">
        <f>CHOOSE(CONTROL!$C$42, 11.7807, 11.7807) * CHOOSE(CONTROL!$C$21, $C$9, 100%, $E$9)</f>
        <v>11.7807</v>
      </c>
      <c r="N244" s="14">
        <f>CHOOSE(CONTROL!$C$42, 11.7964, 11.7964) * CHOOSE(CONTROL!$C$21, $C$9, 100%, $E$9)</f>
        <v>11.7964</v>
      </c>
      <c r="O244" s="14">
        <f>CHOOSE(CONTROL!$C$42, 12.0297, 12.0297) * CHOOSE(CONTROL!$C$21, $C$9, 100%, $E$9)</f>
        <v>12.0297</v>
      </c>
      <c r="P244" s="14">
        <f>CHOOSE(CONTROL!$C$42, 11.8455, 11.8455) * CHOOSE(CONTROL!$C$21, $C$9, 100%, $E$9)</f>
        <v>11.845499999999999</v>
      </c>
      <c r="Q244" s="14">
        <f>CHOOSE(CONTROL!$C$42, 12.6244, 12.6244) * CHOOSE(CONTROL!$C$21, $C$9, 100%, $E$9)</f>
        <v>12.6244</v>
      </c>
      <c r="R244" s="14">
        <f>CHOOSE(CONTROL!$C$42, 13.2429, 13.2429) * CHOOSE(CONTROL!$C$21, $C$9, 100%, $E$9)</f>
        <v>13.242900000000001</v>
      </c>
      <c r="S244" s="14">
        <f>CHOOSE(CONTROL!$C$42, 11.559, 11.559) * CHOOSE(CONTROL!$C$21, $C$9, 100%, $E$9)</f>
        <v>11.558999999999999</v>
      </c>
      <c r="T2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7">
        <f>(1000*CHOOSE(CONTROL!$C$42, 695, 695)*CHOOSE(CONTROL!$C$42, 0.5599, 0.5599)*CHOOSE(CONTROL!$C$42, 30, 30))/1000000</f>
        <v>11.673914999999997</v>
      </c>
      <c r="V244" s="57">
        <f>(1000*CHOOSE(CONTROL!$C$42, 500, 500)*CHOOSE(CONTROL!$C$42, 0.275, 0.275)*CHOOSE(CONTROL!$C$42, 30, 30))/1000000</f>
        <v>4.125</v>
      </c>
      <c r="W244" s="57">
        <f>(1000*CHOOSE(CONTROL!$C$42, 0.1146, 0.1146)*CHOOSE(CONTROL!$C$42, 121.5, 121.5)*CHOOSE(CONTROL!$C$42, 30, 30))/1000000</f>
        <v>0.417717</v>
      </c>
      <c r="X244" s="57">
        <f>(30*0.1790888*245000/1000000)+(30*0.2374*100000/1000000)</f>
        <v>2.0285026799999999</v>
      </c>
      <c r="Y244" s="57"/>
      <c r="Z244" s="14"/>
      <c r="AA244" s="56"/>
      <c r="AB244" s="50">
        <f>(B244*141.293+C244*267.993+D244*115.016+E244*89.698+F244*40+G244*185+H244*0+I244*100+J244*300)/(141.293+267.993+115.016+89.698+0+40+185+100+300)</f>
        <v>12.076538313720743</v>
      </c>
      <c r="AC244" s="45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11.863501438848918</v>
      </c>
    </row>
    <row r="245" spans="1:29" ht="15.75" x14ac:dyDescent="0.25">
      <c r="A245" s="13">
        <v>48335</v>
      </c>
      <c r="B245" s="14">
        <f>CHOOSE(CONTROL!$C$42, 12.1465, 12.1465) * CHOOSE(CONTROL!$C$21, $C$9, 100%, $E$9)</f>
        <v>12.1465</v>
      </c>
      <c r="C245" s="14">
        <f>CHOOSE(CONTROL!$C$42, 12.1546, 12.1546) * CHOOSE(CONTROL!$C$21, $C$9, 100%, $E$9)</f>
        <v>12.1546</v>
      </c>
      <c r="D245" s="14">
        <f>CHOOSE(CONTROL!$C$42, 12.3595, 12.3595) * CHOOSE(CONTROL!$C$21, $C$9, 100%, $E$9)</f>
        <v>12.359500000000001</v>
      </c>
      <c r="E245" s="14">
        <f>CHOOSE(CONTROL!$C$42, 12.391, 12.391) * CHOOSE(CONTROL!$C$21, $C$9, 100%, $E$9)</f>
        <v>12.391</v>
      </c>
      <c r="F245" s="14">
        <f>CHOOSE(CONTROL!$C$42, 12.1327, 12.1327)*CHOOSE(CONTROL!$C$21, $C$9, 100%, $E$9)</f>
        <v>12.1327</v>
      </c>
      <c r="G245" s="14">
        <f>CHOOSE(CONTROL!$C$42, 12.1491, 12.1491)*CHOOSE(CONTROL!$C$21, $C$9, 100%, $E$9)</f>
        <v>12.149100000000001</v>
      </c>
      <c r="H245" s="14">
        <f>CHOOSE(CONTROL!$C$42, 12.3796, 12.3796) * CHOOSE(CONTROL!$C$21, $C$9, 100%, $E$9)</f>
        <v>12.3796</v>
      </c>
      <c r="I245" s="14">
        <f>CHOOSE(CONTROL!$C$42, 12.1926, 12.1926)* CHOOSE(CONTROL!$C$21, $C$9, 100%, $E$9)</f>
        <v>12.192600000000001</v>
      </c>
      <c r="J245" s="14">
        <f>CHOOSE(CONTROL!$C$42, 12.1257, 12.1257)* CHOOSE(CONTROL!$C$21, $C$9, 100%, $E$9)</f>
        <v>12.1257</v>
      </c>
      <c r="K245" s="53">
        <f>CHOOSE(CONTROL!$C$42, 12.1887, 12.1887) * CHOOSE(CONTROL!$C$21, $C$9, 100%, $E$9)</f>
        <v>12.188700000000001</v>
      </c>
      <c r="L245" s="14">
        <f>CHOOSE(CONTROL!$C$42, 12.9666, 12.9666) * CHOOSE(CONTROL!$C$21, $C$9, 100%, $E$9)</f>
        <v>12.9666</v>
      </c>
      <c r="M245" s="14">
        <f>CHOOSE(CONTROL!$C$42, 11.885, 11.885) * CHOOSE(CONTROL!$C$21, $C$9, 100%, $E$9)</f>
        <v>11.885</v>
      </c>
      <c r="N245" s="14">
        <f>CHOOSE(CONTROL!$C$42, 11.901, 11.901) * CHOOSE(CONTROL!$C$21, $C$9, 100%, $E$9)</f>
        <v>11.901</v>
      </c>
      <c r="O245" s="14">
        <f>CHOOSE(CONTROL!$C$42, 12.1337, 12.1337) * CHOOSE(CONTROL!$C$21, $C$9, 100%, $E$9)</f>
        <v>12.133699999999999</v>
      </c>
      <c r="P245" s="14">
        <f>CHOOSE(CONTROL!$C$42, 11.9498, 11.9498) * CHOOSE(CONTROL!$C$21, $C$9, 100%, $E$9)</f>
        <v>11.9498</v>
      </c>
      <c r="Q245" s="14">
        <f>CHOOSE(CONTROL!$C$42, 12.7284, 12.7284) * CHOOSE(CONTROL!$C$21, $C$9, 100%, $E$9)</f>
        <v>12.728400000000001</v>
      </c>
      <c r="R245" s="14">
        <f>CHOOSE(CONTROL!$C$42, 13.3472, 13.3472) * CHOOSE(CONTROL!$C$21, $C$9, 100%, $E$9)</f>
        <v>13.347200000000001</v>
      </c>
      <c r="S245" s="14">
        <f>CHOOSE(CONTROL!$C$42, 11.661, 11.661) * CHOOSE(CONTROL!$C$21, $C$9, 100%, $E$9)</f>
        <v>11.661</v>
      </c>
      <c r="T2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7">
        <f>(1000*CHOOSE(CONTROL!$C$42, 695, 695)*CHOOSE(CONTROL!$C$42, 0.5599, 0.5599)*CHOOSE(CONTROL!$C$42, 31, 31))/1000000</f>
        <v>12.063045499999998</v>
      </c>
      <c r="V245" s="57">
        <f>(1000*CHOOSE(CONTROL!$C$42, 500, 500)*CHOOSE(CONTROL!$C$42, 0.275, 0.275)*CHOOSE(CONTROL!$C$42, 31, 31))/1000000</f>
        <v>4.2625000000000002</v>
      </c>
      <c r="W245" s="57">
        <f>(1000*CHOOSE(CONTROL!$C$42, 0.1146, 0.1146)*CHOOSE(CONTROL!$C$42, 121.5, 121.5)*CHOOSE(CONTROL!$C$42, 31, 31))/1000000</f>
        <v>0.43164089999999994</v>
      </c>
      <c r="X245" s="57">
        <f>(31*0.1790888*245000/1000000)+(31*0.2374*100000/1000000)</f>
        <v>2.0961194359999999</v>
      </c>
      <c r="Y245" s="57"/>
      <c r="Z245" s="14"/>
      <c r="AA245" s="56"/>
      <c r="AB245" s="50">
        <f>(B245*194.205+C245*267.466+D245*133.845+E245*53.484+F245*40+G245*185+H245*0+I245*100+J245*300)/(194.205+267.466+133.845+53.484+0+40+185+100+300)</f>
        <v>12.179507297959185</v>
      </c>
      <c r="AC245" s="45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11.967786330935251</v>
      </c>
    </row>
    <row r="246" spans="1:29" ht="15.75" x14ac:dyDescent="0.25">
      <c r="A246" s="13">
        <v>48366</v>
      </c>
      <c r="B246" s="14">
        <f>CHOOSE(CONTROL!$C$42, 12.4907, 12.4907) * CHOOSE(CONTROL!$C$21, $C$9, 100%, $E$9)</f>
        <v>12.4907</v>
      </c>
      <c r="C246" s="14">
        <f>CHOOSE(CONTROL!$C$42, 12.4988, 12.4988) * CHOOSE(CONTROL!$C$21, $C$9, 100%, $E$9)</f>
        <v>12.498799999999999</v>
      </c>
      <c r="D246" s="14">
        <f>CHOOSE(CONTROL!$C$42, 12.7037, 12.7037) * CHOOSE(CONTROL!$C$21, $C$9, 100%, $E$9)</f>
        <v>12.7037</v>
      </c>
      <c r="E246" s="14">
        <f>CHOOSE(CONTROL!$C$42, 12.7352, 12.7352) * CHOOSE(CONTROL!$C$21, $C$9, 100%, $E$9)</f>
        <v>12.735200000000001</v>
      </c>
      <c r="F246" s="14">
        <f>CHOOSE(CONTROL!$C$42, 12.4773, 12.4773)*CHOOSE(CONTROL!$C$21, $C$9, 100%, $E$9)</f>
        <v>12.4773</v>
      </c>
      <c r="G246" s="14">
        <f>CHOOSE(CONTROL!$C$42, 12.4938, 12.4938)*CHOOSE(CONTROL!$C$21, $C$9, 100%, $E$9)</f>
        <v>12.4938</v>
      </c>
      <c r="H246" s="14">
        <f>CHOOSE(CONTROL!$C$42, 12.7238, 12.7238) * CHOOSE(CONTROL!$C$21, $C$9, 100%, $E$9)</f>
        <v>12.723800000000001</v>
      </c>
      <c r="I246" s="14">
        <f>CHOOSE(CONTROL!$C$42, 12.5379, 12.5379)* CHOOSE(CONTROL!$C$21, $C$9, 100%, $E$9)</f>
        <v>12.5379</v>
      </c>
      <c r="J246" s="14">
        <f>CHOOSE(CONTROL!$C$42, 12.4703, 12.4703)* CHOOSE(CONTROL!$C$21, $C$9, 100%, $E$9)</f>
        <v>12.4703</v>
      </c>
      <c r="K246" s="53">
        <f>CHOOSE(CONTROL!$C$42, 12.534, 12.534) * CHOOSE(CONTROL!$C$21, $C$9, 100%, $E$9)</f>
        <v>12.534000000000001</v>
      </c>
      <c r="L246" s="14">
        <f>CHOOSE(CONTROL!$C$42, 13.3108, 13.3108) * CHOOSE(CONTROL!$C$21, $C$9, 100%, $E$9)</f>
        <v>13.3108</v>
      </c>
      <c r="M246" s="14">
        <f>CHOOSE(CONTROL!$C$42, 12.2225, 12.2225) * CHOOSE(CONTROL!$C$21, $C$9, 100%, $E$9)</f>
        <v>12.2225</v>
      </c>
      <c r="N246" s="14">
        <f>CHOOSE(CONTROL!$C$42, 12.2386, 12.2386) * CHOOSE(CONTROL!$C$21, $C$9, 100%, $E$9)</f>
        <v>12.2386</v>
      </c>
      <c r="O246" s="14">
        <f>CHOOSE(CONTROL!$C$42, 12.4708, 12.4708) * CHOOSE(CONTROL!$C$21, $C$9, 100%, $E$9)</f>
        <v>12.470800000000001</v>
      </c>
      <c r="P246" s="14">
        <f>CHOOSE(CONTROL!$C$42, 12.288, 12.288) * CHOOSE(CONTROL!$C$21, $C$9, 100%, $E$9)</f>
        <v>12.288</v>
      </c>
      <c r="Q246" s="14">
        <f>CHOOSE(CONTROL!$C$42, 13.0655, 13.0655) * CHOOSE(CONTROL!$C$21, $C$9, 100%, $E$9)</f>
        <v>13.0655</v>
      </c>
      <c r="R246" s="14">
        <f>CHOOSE(CONTROL!$C$42, 13.6852, 13.6852) * CHOOSE(CONTROL!$C$21, $C$9, 100%, $E$9)</f>
        <v>13.6852</v>
      </c>
      <c r="S246" s="14">
        <f>CHOOSE(CONTROL!$C$42, 11.9917, 11.9917) * CHOOSE(CONTROL!$C$21, $C$9, 100%, $E$9)</f>
        <v>11.9917</v>
      </c>
      <c r="T2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7">
        <f>(1000*CHOOSE(CONTROL!$C$42, 695, 695)*CHOOSE(CONTROL!$C$42, 0.5599, 0.5599)*CHOOSE(CONTROL!$C$42, 30, 30))/1000000</f>
        <v>11.673914999999997</v>
      </c>
      <c r="V246" s="57">
        <f>(1000*CHOOSE(CONTROL!$C$42, 500, 500)*CHOOSE(CONTROL!$C$42, 0.275, 0.275)*CHOOSE(CONTROL!$C$42, 30, 30))/1000000</f>
        <v>4.125</v>
      </c>
      <c r="W246" s="57">
        <f>(1000*CHOOSE(CONTROL!$C$42, 0.1146, 0.1146)*CHOOSE(CONTROL!$C$42, 121.5, 121.5)*CHOOSE(CONTROL!$C$42, 30, 30))/1000000</f>
        <v>0.417717</v>
      </c>
      <c r="X246" s="57">
        <f>(30*0.1790888*245000/1000000)+(30*0.2374*100000/1000000)</f>
        <v>2.0285026799999999</v>
      </c>
      <c r="Y246" s="57"/>
      <c r="Z246" s="14"/>
      <c r="AA246" s="56"/>
      <c r="AB246" s="50">
        <f>(B246*194.205+C246*267.466+D246*133.845+E246*53.484+F246*40+G246*185+H246*0+I246*100+J246*300)/(194.205+267.466+133.845+53.484+0+40+185+100+300)</f>
        <v>12.523972996546311</v>
      </c>
      <c r="AC246" s="45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12.305297841726617</v>
      </c>
    </row>
    <row r="247" spans="1:29" ht="15.75" x14ac:dyDescent="0.25">
      <c r="A247" s="13">
        <v>48396</v>
      </c>
      <c r="B247" s="14">
        <f>CHOOSE(CONTROL!$C$42, 12.2513, 12.2513) * CHOOSE(CONTROL!$C$21, $C$9, 100%, $E$9)</f>
        <v>12.251300000000001</v>
      </c>
      <c r="C247" s="14">
        <f>CHOOSE(CONTROL!$C$42, 12.2594, 12.2594) * CHOOSE(CONTROL!$C$21, $C$9, 100%, $E$9)</f>
        <v>12.259399999999999</v>
      </c>
      <c r="D247" s="14">
        <f>CHOOSE(CONTROL!$C$42, 12.4643, 12.4643) * CHOOSE(CONTROL!$C$21, $C$9, 100%, $E$9)</f>
        <v>12.4643</v>
      </c>
      <c r="E247" s="14">
        <f>CHOOSE(CONTROL!$C$42, 12.4958, 12.4958) * CHOOSE(CONTROL!$C$21, $C$9, 100%, $E$9)</f>
        <v>12.495799999999999</v>
      </c>
      <c r="F247" s="14">
        <f>CHOOSE(CONTROL!$C$42, 12.2383, 12.2383)*CHOOSE(CONTROL!$C$21, $C$9, 100%, $E$9)</f>
        <v>12.238300000000001</v>
      </c>
      <c r="G247" s="14">
        <f>CHOOSE(CONTROL!$C$42, 12.2549, 12.2549)*CHOOSE(CONTROL!$C$21, $C$9, 100%, $E$9)</f>
        <v>12.254899999999999</v>
      </c>
      <c r="H247" s="14">
        <f>CHOOSE(CONTROL!$C$42, 12.4844, 12.4844) * CHOOSE(CONTROL!$C$21, $C$9, 100%, $E$9)</f>
        <v>12.484400000000001</v>
      </c>
      <c r="I247" s="14">
        <f>CHOOSE(CONTROL!$C$42, 12.2978, 12.2978)* CHOOSE(CONTROL!$C$21, $C$9, 100%, $E$9)</f>
        <v>12.297800000000001</v>
      </c>
      <c r="J247" s="14">
        <f>CHOOSE(CONTROL!$C$42, 12.2313, 12.2313)* CHOOSE(CONTROL!$C$21, $C$9, 100%, $E$9)</f>
        <v>12.231299999999999</v>
      </c>
      <c r="K247" s="53">
        <f>CHOOSE(CONTROL!$C$42, 12.2939, 12.2939) * CHOOSE(CONTROL!$C$21, $C$9, 100%, $E$9)</f>
        <v>12.293900000000001</v>
      </c>
      <c r="L247" s="14">
        <f>CHOOSE(CONTROL!$C$42, 13.0714, 13.0714) * CHOOSE(CONTROL!$C$21, $C$9, 100%, $E$9)</f>
        <v>13.071400000000001</v>
      </c>
      <c r="M247" s="14">
        <f>CHOOSE(CONTROL!$C$42, 11.9884, 11.9884) * CHOOSE(CONTROL!$C$21, $C$9, 100%, $E$9)</f>
        <v>11.9884</v>
      </c>
      <c r="N247" s="14">
        <f>CHOOSE(CONTROL!$C$42, 12.0047, 12.0047) * CHOOSE(CONTROL!$C$21, $C$9, 100%, $E$9)</f>
        <v>12.0047</v>
      </c>
      <c r="O247" s="14">
        <f>CHOOSE(CONTROL!$C$42, 12.2363, 12.2363) * CHOOSE(CONTROL!$C$21, $C$9, 100%, $E$9)</f>
        <v>12.2363</v>
      </c>
      <c r="P247" s="14">
        <f>CHOOSE(CONTROL!$C$42, 12.0528, 12.0528) * CHOOSE(CONTROL!$C$21, $C$9, 100%, $E$9)</f>
        <v>12.0528</v>
      </c>
      <c r="Q247" s="14">
        <f>CHOOSE(CONTROL!$C$42, 12.831, 12.831) * CHOOSE(CONTROL!$C$21, $C$9, 100%, $E$9)</f>
        <v>12.831</v>
      </c>
      <c r="R247" s="14">
        <f>CHOOSE(CONTROL!$C$42, 13.4501, 13.4501) * CHOOSE(CONTROL!$C$21, $C$9, 100%, $E$9)</f>
        <v>13.450100000000001</v>
      </c>
      <c r="S247" s="14">
        <f>CHOOSE(CONTROL!$C$42, 11.7617, 11.7617) * CHOOSE(CONTROL!$C$21, $C$9, 100%, $E$9)</f>
        <v>11.761699999999999</v>
      </c>
      <c r="T2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7">
        <f>(1000*CHOOSE(CONTROL!$C$42, 695, 695)*CHOOSE(CONTROL!$C$42, 0.5599, 0.5599)*CHOOSE(CONTROL!$C$42, 31, 31))/1000000</f>
        <v>12.063045499999998</v>
      </c>
      <c r="V247" s="57">
        <f>(1000*CHOOSE(CONTROL!$C$42, 500, 500)*CHOOSE(CONTROL!$C$42, 0.275, 0.275)*CHOOSE(CONTROL!$C$42, 31, 31))/1000000</f>
        <v>4.2625000000000002</v>
      </c>
      <c r="W247" s="57">
        <f>(1000*CHOOSE(CONTROL!$C$42, 0.1146, 0.1146)*CHOOSE(CONTROL!$C$42, 121.5, 121.5)*CHOOSE(CONTROL!$C$42, 31, 31))/1000000</f>
        <v>0.43164089999999994</v>
      </c>
      <c r="X247" s="57">
        <f>(31*0.1790888*245000/1000000)+(31*0.2374*100000/1000000)</f>
        <v>2.0961194359999999</v>
      </c>
      <c r="Y247" s="57"/>
      <c r="Z247" s="14"/>
      <c r="AA247" s="56"/>
      <c r="AB247" s="50">
        <f>(B247*194.205+C247*267.466+D247*133.845+E247*53.484+F247*40+G247*185+H247*0+I247*100+J247*300)/(194.205+267.466+133.845+53.484+0+40+185+100+300)</f>
        <v>12.284697407849295</v>
      </c>
      <c r="AC247" s="45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12.070973381294966</v>
      </c>
    </row>
    <row r="248" spans="1:29" ht="15.75" x14ac:dyDescent="0.25">
      <c r="A248" s="13">
        <v>48427</v>
      </c>
      <c r="B248" s="14">
        <f>CHOOSE(CONTROL!$C$42, 11.6468, 11.6468) * CHOOSE(CONTROL!$C$21, $C$9, 100%, $E$9)</f>
        <v>11.646800000000001</v>
      </c>
      <c r="C248" s="14">
        <f>CHOOSE(CONTROL!$C$42, 11.6548, 11.6548) * CHOOSE(CONTROL!$C$21, $C$9, 100%, $E$9)</f>
        <v>11.6548</v>
      </c>
      <c r="D248" s="14">
        <f>CHOOSE(CONTROL!$C$42, 11.8598, 11.8598) * CHOOSE(CONTROL!$C$21, $C$9, 100%, $E$9)</f>
        <v>11.8598</v>
      </c>
      <c r="E248" s="14">
        <f>CHOOSE(CONTROL!$C$42, 11.8912, 11.8912) * CHOOSE(CONTROL!$C$21, $C$9, 100%, $E$9)</f>
        <v>11.8912</v>
      </c>
      <c r="F248" s="14">
        <f>CHOOSE(CONTROL!$C$42, 11.634, 11.634)*CHOOSE(CONTROL!$C$21, $C$9, 100%, $E$9)</f>
        <v>11.634</v>
      </c>
      <c r="G248" s="14">
        <f>CHOOSE(CONTROL!$C$42, 11.6506, 11.6506)*CHOOSE(CONTROL!$C$21, $C$9, 100%, $E$9)</f>
        <v>11.650600000000001</v>
      </c>
      <c r="H248" s="14">
        <f>CHOOSE(CONTROL!$C$42, 11.8799, 11.8799) * CHOOSE(CONTROL!$C$21, $C$9, 100%, $E$9)</f>
        <v>11.879899999999999</v>
      </c>
      <c r="I248" s="14">
        <f>CHOOSE(CONTROL!$C$42, 11.6913, 11.6913)* CHOOSE(CONTROL!$C$21, $C$9, 100%, $E$9)</f>
        <v>11.6913</v>
      </c>
      <c r="J248" s="14">
        <f>CHOOSE(CONTROL!$C$42, 11.627, 11.627)* CHOOSE(CONTROL!$C$21, $C$9, 100%, $E$9)</f>
        <v>11.627000000000001</v>
      </c>
      <c r="K248" s="53">
        <f>CHOOSE(CONTROL!$C$42, 11.6874, 11.6874) * CHOOSE(CONTROL!$C$21, $C$9, 100%, $E$9)</f>
        <v>11.6874</v>
      </c>
      <c r="L248" s="14">
        <f>CHOOSE(CONTROL!$C$42, 12.4669, 12.4669) * CHOOSE(CONTROL!$C$21, $C$9, 100%, $E$9)</f>
        <v>12.466900000000001</v>
      </c>
      <c r="M248" s="14">
        <f>CHOOSE(CONTROL!$C$42, 11.3964, 11.3964) * CHOOSE(CONTROL!$C$21, $C$9, 100%, $E$9)</f>
        <v>11.3964</v>
      </c>
      <c r="N248" s="14">
        <f>CHOOSE(CONTROL!$C$42, 11.4128, 11.4128) * CHOOSE(CONTROL!$C$21, $C$9, 100%, $E$9)</f>
        <v>11.412800000000001</v>
      </c>
      <c r="O248" s="14">
        <f>CHOOSE(CONTROL!$C$42, 11.6442, 11.6442) * CHOOSE(CONTROL!$C$21, $C$9, 100%, $E$9)</f>
        <v>11.6442</v>
      </c>
      <c r="P248" s="14">
        <f>CHOOSE(CONTROL!$C$42, 11.4588, 11.4588) * CHOOSE(CONTROL!$C$21, $C$9, 100%, $E$9)</f>
        <v>11.4588</v>
      </c>
      <c r="Q248" s="14">
        <f>CHOOSE(CONTROL!$C$42, 12.2389, 12.2389) * CHOOSE(CONTROL!$C$21, $C$9, 100%, $E$9)</f>
        <v>12.238899999999999</v>
      </c>
      <c r="R248" s="14">
        <f>CHOOSE(CONTROL!$C$42, 12.8565, 12.8565) * CHOOSE(CONTROL!$C$21, $C$9, 100%, $E$9)</f>
        <v>12.8565</v>
      </c>
      <c r="S248" s="14">
        <f>CHOOSE(CONTROL!$C$42, 11.1808, 11.1808) * CHOOSE(CONTROL!$C$21, $C$9, 100%, $E$9)</f>
        <v>11.1808</v>
      </c>
      <c r="T2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7">
        <f>(1000*CHOOSE(CONTROL!$C$42, 695, 695)*CHOOSE(CONTROL!$C$42, 0.5599, 0.5599)*CHOOSE(CONTROL!$C$42, 31, 31))/1000000</f>
        <v>12.063045499999998</v>
      </c>
      <c r="V248" s="57">
        <f>(1000*CHOOSE(CONTROL!$C$42, 500, 500)*CHOOSE(CONTROL!$C$42, 0.275, 0.275)*CHOOSE(CONTROL!$C$42, 31, 31))/1000000</f>
        <v>4.2625000000000002</v>
      </c>
      <c r="W248" s="57">
        <f>(1000*CHOOSE(CONTROL!$C$42, 0.1146, 0.1146)*CHOOSE(CONTROL!$C$42, 121.5, 121.5)*CHOOSE(CONTROL!$C$42, 31, 31))/1000000</f>
        <v>0.43164089999999994</v>
      </c>
      <c r="X248" s="57">
        <f>(31*0.1790888*245000/1000000)+(31*0.2374*100000/1000000)</f>
        <v>2.0961194359999999</v>
      </c>
      <c r="Y248" s="57"/>
      <c r="Z248" s="14"/>
      <c r="AA248" s="56"/>
      <c r="AB248" s="50">
        <f>(B248*194.205+C248*267.466+D248*133.845+E248*53.484+F248*40+G248*185+H248*0+I248*100+J248*300)/(194.205+267.466+133.845+53.484+0+40+185+100+300)</f>
        <v>11.680097647252747</v>
      </c>
      <c r="AC248" s="45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11.478680575539569</v>
      </c>
    </row>
    <row r="249" spans="1:29" ht="15.75" x14ac:dyDescent="0.25">
      <c r="A249" s="13">
        <v>48458</v>
      </c>
      <c r="B249" s="14">
        <f>CHOOSE(CONTROL!$C$42, 10.9077, 10.9077) * CHOOSE(CONTROL!$C$21, $C$9, 100%, $E$9)</f>
        <v>10.9077</v>
      </c>
      <c r="C249" s="14">
        <f>CHOOSE(CONTROL!$C$42, 10.9158, 10.9158) * CHOOSE(CONTROL!$C$21, $C$9, 100%, $E$9)</f>
        <v>10.915800000000001</v>
      </c>
      <c r="D249" s="14">
        <f>CHOOSE(CONTROL!$C$42, 11.1207, 11.1207) * CHOOSE(CONTROL!$C$21, $C$9, 100%, $E$9)</f>
        <v>11.120699999999999</v>
      </c>
      <c r="E249" s="14">
        <f>CHOOSE(CONTROL!$C$42, 11.1522, 11.1522) * CHOOSE(CONTROL!$C$21, $C$9, 100%, $E$9)</f>
        <v>11.152200000000001</v>
      </c>
      <c r="F249" s="14">
        <f>CHOOSE(CONTROL!$C$42, 10.8949, 10.8949)*CHOOSE(CONTROL!$C$21, $C$9, 100%, $E$9)</f>
        <v>10.8949</v>
      </c>
      <c r="G249" s="14">
        <f>CHOOSE(CONTROL!$C$42, 10.9116, 10.9116)*CHOOSE(CONTROL!$C$21, $C$9, 100%, $E$9)</f>
        <v>10.9116</v>
      </c>
      <c r="H249" s="14">
        <f>CHOOSE(CONTROL!$C$42, 11.1408, 11.1408) * CHOOSE(CONTROL!$C$21, $C$9, 100%, $E$9)</f>
        <v>11.1408</v>
      </c>
      <c r="I249" s="14">
        <f>CHOOSE(CONTROL!$C$42, 10.9499, 10.9499)* CHOOSE(CONTROL!$C$21, $C$9, 100%, $E$9)</f>
        <v>10.9499</v>
      </c>
      <c r="J249" s="14">
        <f>CHOOSE(CONTROL!$C$42, 10.8879, 10.8879)* CHOOSE(CONTROL!$C$21, $C$9, 100%, $E$9)</f>
        <v>10.8879</v>
      </c>
      <c r="K249" s="53">
        <f>CHOOSE(CONTROL!$C$42, 10.9461, 10.9461) * CHOOSE(CONTROL!$C$21, $C$9, 100%, $E$9)</f>
        <v>10.946099999999999</v>
      </c>
      <c r="L249" s="14">
        <f>CHOOSE(CONTROL!$C$42, 11.7278, 11.7278) * CHOOSE(CONTROL!$C$21, $C$9, 100%, $E$9)</f>
        <v>11.7278</v>
      </c>
      <c r="M249" s="14">
        <f>CHOOSE(CONTROL!$C$42, 10.6725, 10.6725) * CHOOSE(CONTROL!$C$21, $C$9, 100%, $E$9)</f>
        <v>10.672499999999999</v>
      </c>
      <c r="N249" s="14">
        <f>CHOOSE(CONTROL!$C$42, 10.6888, 10.6888) * CHOOSE(CONTROL!$C$21, $C$9, 100%, $E$9)</f>
        <v>10.688800000000001</v>
      </c>
      <c r="O249" s="14">
        <f>CHOOSE(CONTROL!$C$42, 10.9203, 10.9203) * CHOOSE(CONTROL!$C$21, $C$9, 100%, $E$9)</f>
        <v>10.920299999999999</v>
      </c>
      <c r="P249" s="14">
        <f>CHOOSE(CONTROL!$C$42, 10.7327, 10.7327) * CHOOSE(CONTROL!$C$21, $C$9, 100%, $E$9)</f>
        <v>10.732699999999999</v>
      </c>
      <c r="Q249" s="14">
        <f>CHOOSE(CONTROL!$C$42, 11.515, 11.515) * CHOOSE(CONTROL!$C$21, $C$9, 100%, $E$9)</f>
        <v>11.515000000000001</v>
      </c>
      <c r="R249" s="14">
        <f>CHOOSE(CONTROL!$C$42, 12.1307, 12.1307) * CHOOSE(CONTROL!$C$21, $C$9, 100%, $E$9)</f>
        <v>12.130699999999999</v>
      </c>
      <c r="S249" s="14">
        <f>CHOOSE(CONTROL!$C$42, 10.4706, 10.4706) * CHOOSE(CONTROL!$C$21, $C$9, 100%, $E$9)</f>
        <v>10.470599999999999</v>
      </c>
      <c r="T2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7">
        <f>(1000*CHOOSE(CONTROL!$C$42, 695, 695)*CHOOSE(CONTROL!$C$42, 0.5599, 0.5599)*CHOOSE(CONTROL!$C$42, 30, 30))/1000000</f>
        <v>11.673914999999997</v>
      </c>
      <c r="V249" s="57">
        <f>(1000*CHOOSE(CONTROL!$C$42, 500, 500)*CHOOSE(CONTROL!$C$42, 0.275, 0.275)*CHOOSE(CONTROL!$C$42, 30, 30))/1000000</f>
        <v>4.125</v>
      </c>
      <c r="W249" s="57">
        <f>(1000*CHOOSE(CONTROL!$C$42, 0.1146, 0.1146)*CHOOSE(CONTROL!$C$42, 121.5, 121.5)*CHOOSE(CONTROL!$C$42, 30, 30))/1000000</f>
        <v>0.417717</v>
      </c>
      <c r="X249" s="57">
        <f>(30*0.1790888*245000/1000000)+(30*0.2374*100000/1000000)</f>
        <v>2.0285026799999999</v>
      </c>
      <c r="Y249" s="57"/>
      <c r="Z249" s="14"/>
      <c r="AA249" s="56"/>
      <c r="AB249" s="50">
        <f>(B249*194.205+C249*267.466+D249*133.845+E249*53.484+F249*40+G249*185+H249*0+I249*100+J249*300)/(194.205+267.466+133.845+53.484+0+40+185+100+300)</f>
        <v>10.940856827001571</v>
      </c>
      <c r="AC249" s="45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10.754441007194243</v>
      </c>
    </row>
    <row r="250" spans="1:29" ht="15.75" x14ac:dyDescent="0.25">
      <c r="A250" s="13">
        <v>48488</v>
      </c>
      <c r="B250" s="14">
        <f>CHOOSE(CONTROL!$C$42, 10.6847, 10.6847) * CHOOSE(CONTROL!$C$21, $C$9, 100%, $E$9)</f>
        <v>10.684699999999999</v>
      </c>
      <c r="C250" s="14">
        <f>CHOOSE(CONTROL!$C$42, 10.6901, 10.6901) * CHOOSE(CONTROL!$C$21, $C$9, 100%, $E$9)</f>
        <v>10.690099999999999</v>
      </c>
      <c r="D250" s="14">
        <f>CHOOSE(CONTROL!$C$42, 10.9, 10.9) * CHOOSE(CONTROL!$C$21, $C$9, 100%, $E$9)</f>
        <v>10.9</v>
      </c>
      <c r="E250" s="14">
        <f>CHOOSE(CONTROL!$C$42, 10.9291, 10.9291) * CHOOSE(CONTROL!$C$21, $C$9, 100%, $E$9)</f>
        <v>10.9291</v>
      </c>
      <c r="F250" s="14">
        <f>CHOOSE(CONTROL!$C$42, 10.674, 10.674)*CHOOSE(CONTROL!$C$21, $C$9, 100%, $E$9)</f>
        <v>10.673999999999999</v>
      </c>
      <c r="G250" s="14">
        <f>CHOOSE(CONTROL!$C$42, 10.6903, 10.6903)*CHOOSE(CONTROL!$C$21, $C$9, 100%, $E$9)</f>
        <v>10.690300000000001</v>
      </c>
      <c r="H250" s="14">
        <f>CHOOSE(CONTROL!$C$42, 10.9196, 10.9196) * CHOOSE(CONTROL!$C$21, $C$9, 100%, $E$9)</f>
        <v>10.919600000000001</v>
      </c>
      <c r="I250" s="14">
        <f>CHOOSE(CONTROL!$C$42, 10.728, 10.728)* CHOOSE(CONTROL!$C$21, $C$9, 100%, $E$9)</f>
        <v>10.728</v>
      </c>
      <c r="J250" s="14">
        <f>CHOOSE(CONTROL!$C$42, 10.667, 10.667)* CHOOSE(CONTROL!$C$21, $C$9, 100%, $E$9)</f>
        <v>10.667</v>
      </c>
      <c r="K250" s="53">
        <f>CHOOSE(CONTROL!$C$42, 10.7241, 10.7241) * CHOOSE(CONTROL!$C$21, $C$9, 100%, $E$9)</f>
        <v>10.7241</v>
      </c>
      <c r="L250" s="14">
        <f>CHOOSE(CONTROL!$C$42, 11.5066, 11.5066) * CHOOSE(CONTROL!$C$21, $C$9, 100%, $E$9)</f>
        <v>11.506600000000001</v>
      </c>
      <c r="M250" s="14">
        <f>CHOOSE(CONTROL!$C$42, 10.4561, 10.4561) * CHOOSE(CONTROL!$C$21, $C$9, 100%, $E$9)</f>
        <v>10.456099999999999</v>
      </c>
      <c r="N250" s="14">
        <f>CHOOSE(CONTROL!$C$42, 10.4721, 10.4721) * CHOOSE(CONTROL!$C$21, $C$9, 100%, $E$9)</f>
        <v>10.472099999999999</v>
      </c>
      <c r="O250" s="14">
        <f>CHOOSE(CONTROL!$C$42, 10.7036, 10.7036) * CHOOSE(CONTROL!$C$21, $C$9, 100%, $E$9)</f>
        <v>10.7036</v>
      </c>
      <c r="P250" s="14">
        <f>CHOOSE(CONTROL!$C$42, 10.5153, 10.5153) * CHOOSE(CONTROL!$C$21, $C$9, 100%, $E$9)</f>
        <v>10.5153</v>
      </c>
      <c r="Q250" s="14">
        <f>CHOOSE(CONTROL!$C$42, 11.2983, 11.2983) * CHOOSE(CONTROL!$C$21, $C$9, 100%, $E$9)</f>
        <v>11.298299999999999</v>
      </c>
      <c r="R250" s="14">
        <f>CHOOSE(CONTROL!$C$42, 11.9135, 11.9135) * CHOOSE(CONTROL!$C$21, $C$9, 100%, $E$9)</f>
        <v>11.913500000000001</v>
      </c>
      <c r="S250" s="14">
        <f>CHOOSE(CONTROL!$C$42, 10.258, 10.258) * CHOOSE(CONTROL!$C$21, $C$9, 100%, $E$9)</f>
        <v>10.257999999999999</v>
      </c>
      <c r="T2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7">
        <f>(1000*CHOOSE(CONTROL!$C$42, 695, 695)*CHOOSE(CONTROL!$C$42, 0.5599, 0.5599)*CHOOSE(CONTROL!$C$42, 31, 31))/1000000</f>
        <v>12.063045499999998</v>
      </c>
      <c r="V250" s="57">
        <f>(1000*CHOOSE(CONTROL!$C$42, 500, 500)*CHOOSE(CONTROL!$C$42, 0.275, 0.275)*CHOOSE(CONTROL!$C$42, 31, 31))/1000000</f>
        <v>4.2625000000000002</v>
      </c>
      <c r="W250" s="57">
        <f>(1000*CHOOSE(CONTROL!$C$42, 0.1146, 0.1146)*CHOOSE(CONTROL!$C$42, 121.5, 121.5)*CHOOSE(CONTROL!$C$42, 31, 31))/1000000</f>
        <v>0.43164089999999994</v>
      </c>
      <c r="X250" s="57">
        <f>(31*0.1790888*245000/1000000)+(31*0.2374*100000/1000000)</f>
        <v>2.0961194359999999</v>
      </c>
      <c r="Y250" s="57"/>
      <c r="Z250" s="14"/>
      <c r="AA250" s="56"/>
      <c r="AB250" s="50">
        <f>(B250*131.881+C250*277.167+D250*79.08+E250*125.872+F250*40+G250*185+H250*0+I250*100+J250*300)/(131.881+277.167+79.08+125.872+0+40+185+100+300)</f>
        <v>10.724178404035513</v>
      </c>
      <c r="AC250" s="45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10.537743884892086</v>
      </c>
    </row>
    <row r="251" spans="1:29" ht="15.75" x14ac:dyDescent="0.25">
      <c r="A251" s="13">
        <v>48519</v>
      </c>
      <c r="B251" s="14">
        <f>CHOOSE(CONTROL!$C$42, 10.9656, 10.9656) * CHOOSE(CONTROL!$C$21, $C$9, 100%, $E$9)</f>
        <v>10.9656</v>
      </c>
      <c r="C251" s="14">
        <f>CHOOSE(CONTROL!$C$42, 10.9706, 10.9706) * CHOOSE(CONTROL!$C$21, $C$9, 100%, $E$9)</f>
        <v>10.970599999999999</v>
      </c>
      <c r="D251" s="14">
        <f>CHOOSE(CONTROL!$C$42, 11.0344, 11.0344) * CHOOSE(CONTROL!$C$21, $C$9, 100%, $E$9)</f>
        <v>11.0344</v>
      </c>
      <c r="E251" s="14">
        <f>CHOOSE(CONTROL!$C$42, 11.0685, 11.0685) * CHOOSE(CONTROL!$C$21, $C$9, 100%, $E$9)</f>
        <v>11.0685</v>
      </c>
      <c r="F251" s="14">
        <f>CHOOSE(CONTROL!$C$42, 10.9678, 10.9678)*CHOOSE(CONTROL!$C$21, $C$9, 100%, $E$9)</f>
        <v>10.9678</v>
      </c>
      <c r="G251" s="14">
        <f>CHOOSE(CONTROL!$C$42, 10.9845, 10.9845)*CHOOSE(CONTROL!$C$21, $C$9, 100%, $E$9)</f>
        <v>10.984500000000001</v>
      </c>
      <c r="H251" s="14">
        <f>CHOOSE(CONTROL!$C$42, 11.0577, 11.0577) * CHOOSE(CONTROL!$C$21, $C$9, 100%, $E$9)</f>
        <v>11.057700000000001</v>
      </c>
      <c r="I251" s="14">
        <f>CHOOSE(CONTROL!$C$42, 11.0138, 11.0138)* CHOOSE(CONTROL!$C$21, $C$9, 100%, $E$9)</f>
        <v>11.0138</v>
      </c>
      <c r="J251" s="14">
        <f>CHOOSE(CONTROL!$C$42, 10.9608, 10.9608)* CHOOSE(CONTROL!$C$21, $C$9, 100%, $E$9)</f>
        <v>10.960800000000001</v>
      </c>
      <c r="K251" s="53">
        <f>CHOOSE(CONTROL!$C$42, 11.0099, 11.0099) * CHOOSE(CONTROL!$C$21, $C$9, 100%, $E$9)</f>
        <v>11.0099</v>
      </c>
      <c r="L251" s="14">
        <f>CHOOSE(CONTROL!$C$42, 11.6447, 11.6447) * CHOOSE(CONTROL!$C$21, $C$9, 100%, $E$9)</f>
        <v>11.6447</v>
      </c>
      <c r="M251" s="14">
        <f>CHOOSE(CONTROL!$C$42, 10.7439, 10.7439) * CHOOSE(CONTROL!$C$21, $C$9, 100%, $E$9)</f>
        <v>10.7439</v>
      </c>
      <c r="N251" s="14">
        <f>CHOOSE(CONTROL!$C$42, 10.7602, 10.7602) * CHOOSE(CONTROL!$C$21, $C$9, 100%, $E$9)</f>
        <v>10.760199999999999</v>
      </c>
      <c r="O251" s="14">
        <f>CHOOSE(CONTROL!$C$42, 10.8389, 10.8389) * CHOOSE(CONTROL!$C$21, $C$9, 100%, $E$9)</f>
        <v>10.838900000000001</v>
      </c>
      <c r="P251" s="14">
        <f>CHOOSE(CONTROL!$C$42, 10.7952, 10.7952) * CHOOSE(CONTROL!$C$21, $C$9, 100%, $E$9)</f>
        <v>10.795199999999999</v>
      </c>
      <c r="Q251" s="14">
        <f>CHOOSE(CONTROL!$C$42, 11.4336, 11.4336) * CHOOSE(CONTROL!$C$21, $C$9, 100%, $E$9)</f>
        <v>11.4336</v>
      </c>
      <c r="R251" s="14">
        <f>CHOOSE(CONTROL!$C$42, 12.0491, 12.0491) * CHOOSE(CONTROL!$C$21, $C$9, 100%, $E$9)</f>
        <v>12.049099999999999</v>
      </c>
      <c r="S251" s="14">
        <f>CHOOSE(CONTROL!$C$42, 10.5283, 10.5283) * CHOOSE(CONTROL!$C$21, $C$9, 100%, $E$9)</f>
        <v>10.5283</v>
      </c>
      <c r="T2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7">
        <f>(1000*CHOOSE(CONTROL!$C$42, 695, 695)*CHOOSE(CONTROL!$C$42, 0.5599, 0.5599)*CHOOSE(CONTROL!$C$42, 30, 30))/1000000</f>
        <v>11.673914999999997</v>
      </c>
      <c r="V251" s="57">
        <f>(1000*CHOOSE(CONTROL!$C$42, 500, 500)*CHOOSE(CONTROL!$C$42, 0.275, 0.275)*CHOOSE(CONTROL!$C$42, 30, 30))/1000000</f>
        <v>4.125</v>
      </c>
      <c r="W251" s="57">
        <f>(1000*CHOOSE(CONTROL!$C$42, 0.1146, 0.1146)*CHOOSE(CONTROL!$C$42, 121.5, 121.5)*CHOOSE(CONTROL!$C$42, 30, 30))/1000000</f>
        <v>0.417717</v>
      </c>
      <c r="X251" s="57">
        <f>(30*0.1790888*100000/1000000)+(30*0.2374*100000/1000000)</f>
        <v>1.2494664</v>
      </c>
      <c r="Y251" s="57"/>
      <c r="Z251" s="14"/>
      <c r="AA251" s="56"/>
      <c r="AB251" s="50">
        <f>(B251*122.58+C251*297.941+D251*89.177+E251*40.302+F251*40+G251*160+H251*0+I251*100+J251*300)/(122.58+297.941+89.177+40.302+0+40+160+100+300)</f>
        <v>10.981481876869566</v>
      </c>
      <c r="AC251" s="45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10.795276978417267</v>
      </c>
    </row>
    <row r="252" spans="1:29" ht="15.75" x14ac:dyDescent="0.25">
      <c r="A252" s="13">
        <v>48549</v>
      </c>
      <c r="B252" s="14">
        <f>CHOOSE(CONTROL!$C$42, 11.7125, 11.7125) * CHOOSE(CONTROL!$C$21, $C$9, 100%, $E$9)</f>
        <v>11.7125</v>
      </c>
      <c r="C252" s="14">
        <f>CHOOSE(CONTROL!$C$42, 11.7176, 11.7176) * CHOOSE(CONTROL!$C$21, $C$9, 100%, $E$9)</f>
        <v>11.717599999999999</v>
      </c>
      <c r="D252" s="14">
        <f>CHOOSE(CONTROL!$C$42, 11.7814, 11.7814) * CHOOSE(CONTROL!$C$21, $C$9, 100%, $E$9)</f>
        <v>11.7814</v>
      </c>
      <c r="E252" s="14">
        <f>CHOOSE(CONTROL!$C$42, 11.8155, 11.8155) * CHOOSE(CONTROL!$C$21, $C$9, 100%, $E$9)</f>
        <v>11.8155</v>
      </c>
      <c r="F252" s="14">
        <f>CHOOSE(CONTROL!$C$42, 11.7168, 11.7168)*CHOOSE(CONTROL!$C$21, $C$9, 100%, $E$9)</f>
        <v>11.716799999999999</v>
      </c>
      <c r="G252" s="14">
        <f>CHOOSE(CONTROL!$C$42, 11.734, 11.734)*CHOOSE(CONTROL!$C$21, $C$9, 100%, $E$9)</f>
        <v>11.734</v>
      </c>
      <c r="H252" s="14">
        <f>CHOOSE(CONTROL!$C$42, 11.8047, 11.8047) * CHOOSE(CONTROL!$C$21, $C$9, 100%, $E$9)</f>
        <v>11.8047</v>
      </c>
      <c r="I252" s="14">
        <f>CHOOSE(CONTROL!$C$42, 11.7631, 11.7631)* CHOOSE(CONTROL!$C$21, $C$9, 100%, $E$9)</f>
        <v>11.7631</v>
      </c>
      <c r="J252" s="14">
        <f>CHOOSE(CONTROL!$C$42, 11.7098, 11.7098)* CHOOSE(CONTROL!$C$21, $C$9, 100%, $E$9)</f>
        <v>11.7098</v>
      </c>
      <c r="K252" s="53">
        <f>CHOOSE(CONTROL!$C$42, 11.7592, 11.7592) * CHOOSE(CONTROL!$C$21, $C$9, 100%, $E$9)</f>
        <v>11.7592</v>
      </c>
      <c r="L252" s="14">
        <f>CHOOSE(CONTROL!$C$42, 12.3917, 12.3917) * CHOOSE(CONTROL!$C$21, $C$9, 100%, $E$9)</f>
        <v>12.3917</v>
      </c>
      <c r="M252" s="14">
        <f>CHOOSE(CONTROL!$C$42, 11.4776, 11.4776) * CHOOSE(CONTROL!$C$21, $C$9, 100%, $E$9)</f>
        <v>11.477600000000001</v>
      </c>
      <c r="N252" s="14">
        <f>CHOOSE(CONTROL!$C$42, 11.4944, 11.4944) * CHOOSE(CONTROL!$C$21, $C$9, 100%, $E$9)</f>
        <v>11.494400000000001</v>
      </c>
      <c r="O252" s="14">
        <f>CHOOSE(CONTROL!$C$42, 11.5705, 11.5705) * CHOOSE(CONTROL!$C$21, $C$9, 100%, $E$9)</f>
        <v>11.570499999999999</v>
      </c>
      <c r="P252" s="14">
        <f>CHOOSE(CONTROL!$C$42, 11.5291, 11.5291) * CHOOSE(CONTROL!$C$21, $C$9, 100%, $E$9)</f>
        <v>11.5291</v>
      </c>
      <c r="Q252" s="14">
        <f>CHOOSE(CONTROL!$C$42, 12.1652, 12.1652) * CHOOSE(CONTROL!$C$21, $C$9, 100%, $E$9)</f>
        <v>12.1652</v>
      </c>
      <c r="R252" s="14">
        <f>CHOOSE(CONTROL!$C$42, 12.7826, 12.7826) * CHOOSE(CONTROL!$C$21, $C$9, 100%, $E$9)</f>
        <v>12.7826</v>
      </c>
      <c r="S252" s="14">
        <f>CHOOSE(CONTROL!$C$42, 11.246, 11.246) * CHOOSE(CONTROL!$C$21, $C$9, 100%, $E$9)</f>
        <v>11.246</v>
      </c>
      <c r="T2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7">
        <f>(1000*CHOOSE(CONTROL!$C$42, 695, 695)*CHOOSE(CONTROL!$C$42, 0.5599, 0.5599)*CHOOSE(CONTROL!$C$42, 31, 31))/1000000</f>
        <v>12.063045499999998</v>
      </c>
      <c r="V252" s="57">
        <f>(1000*CHOOSE(CONTROL!$C$42, 500, 500)*CHOOSE(CONTROL!$C$42, 0.275, 0.275)*CHOOSE(CONTROL!$C$42, 31, 31))/1000000</f>
        <v>4.2625000000000002</v>
      </c>
      <c r="W252" s="57">
        <f>(1000*CHOOSE(CONTROL!$C$42, 0.1146, 0.1146)*CHOOSE(CONTROL!$C$42, 121.5, 121.5)*CHOOSE(CONTROL!$C$42, 31, 31))/1000000</f>
        <v>0.43164089999999994</v>
      </c>
      <c r="X252" s="57">
        <f>(31*0.1790888*100000/1000000)+(31*0.2374*100000/1000000)</f>
        <v>1.2911152800000001</v>
      </c>
      <c r="Y252" s="57"/>
      <c r="Z252" s="14"/>
      <c r="AA252" s="56"/>
      <c r="AB252" s="50">
        <f>(B252*122.58+C252*297.941+D252*89.177+E252*40.302+F252*40+G252*160+H252*0+I252*100+J252*300)/(122.58+297.941+89.177+40.302+0+40+160+100+300)</f>
        <v>11.729610348173912</v>
      </c>
      <c r="AC252" s="45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11.528082733812949</v>
      </c>
    </row>
    <row r="253" spans="1:29" ht="15.75" x14ac:dyDescent="0.25">
      <c r="A253" s="13">
        <v>48580</v>
      </c>
      <c r="B253" s="14">
        <f>CHOOSE(CONTROL!$C$42, 12.6711, 12.6711) * CHOOSE(CONTROL!$C$21, $C$9, 100%, $E$9)</f>
        <v>12.671099999999999</v>
      </c>
      <c r="C253" s="14">
        <f>CHOOSE(CONTROL!$C$42, 12.6762, 12.6762) * CHOOSE(CONTROL!$C$21, $C$9, 100%, $E$9)</f>
        <v>12.6762</v>
      </c>
      <c r="D253" s="14">
        <f>CHOOSE(CONTROL!$C$42, 12.7348, 12.7348) * CHOOSE(CONTROL!$C$21, $C$9, 100%, $E$9)</f>
        <v>12.7348</v>
      </c>
      <c r="E253" s="14">
        <f>CHOOSE(CONTROL!$C$42, 12.7689, 12.7689) * CHOOSE(CONTROL!$C$21, $C$9, 100%, $E$9)</f>
        <v>12.7689</v>
      </c>
      <c r="F253" s="14">
        <f>CHOOSE(CONTROL!$C$42, 12.6702, 12.6702)*CHOOSE(CONTROL!$C$21, $C$9, 100%, $E$9)</f>
        <v>12.670199999999999</v>
      </c>
      <c r="G253" s="14">
        <f>CHOOSE(CONTROL!$C$42, 12.6866, 12.6866)*CHOOSE(CONTROL!$C$21, $C$9, 100%, $E$9)</f>
        <v>12.6866</v>
      </c>
      <c r="H253" s="14">
        <f>CHOOSE(CONTROL!$C$42, 12.7581, 12.7581) * CHOOSE(CONTROL!$C$21, $C$9, 100%, $E$9)</f>
        <v>12.758100000000001</v>
      </c>
      <c r="I253" s="14">
        <f>CHOOSE(CONTROL!$C$42, 12.7211, 12.7211)* CHOOSE(CONTROL!$C$21, $C$9, 100%, $E$9)</f>
        <v>12.7211</v>
      </c>
      <c r="J253" s="14">
        <f>CHOOSE(CONTROL!$C$42, 12.6632, 12.6632)* CHOOSE(CONTROL!$C$21, $C$9, 100%, $E$9)</f>
        <v>12.6632</v>
      </c>
      <c r="K253" s="53">
        <f>CHOOSE(CONTROL!$C$42, 12.7172, 12.7172) * CHOOSE(CONTROL!$C$21, $C$9, 100%, $E$9)</f>
        <v>12.7172</v>
      </c>
      <c r="L253" s="14">
        <f>CHOOSE(CONTROL!$C$42, 13.3451, 13.3451) * CHOOSE(CONTROL!$C$21, $C$9, 100%, $E$9)</f>
        <v>13.3451</v>
      </c>
      <c r="M253" s="14">
        <f>CHOOSE(CONTROL!$C$42, 12.4115, 12.4115) * CHOOSE(CONTROL!$C$21, $C$9, 100%, $E$9)</f>
        <v>12.4115</v>
      </c>
      <c r="N253" s="14">
        <f>CHOOSE(CONTROL!$C$42, 12.4275, 12.4275) * CHOOSE(CONTROL!$C$21, $C$9, 100%, $E$9)</f>
        <v>12.4275</v>
      </c>
      <c r="O253" s="14">
        <f>CHOOSE(CONTROL!$C$42, 12.5044, 12.5044) * CHOOSE(CONTROL!$C$21, $C$9, 100%, $E$9)</f>
        <v>12.5044</v>
      </c>
      <c r="P253" s="14">
        <f>CHOOSE(CONTROL!$C$42, 12.4674, 12.4674) * CHOOSE(CONTROL!$C$21, $C$9, 100%, $E$9)</f>
        <v>12.4674</v>
      </c>
      <c r="Q253" s="14">
        <f>CHOOSE(CONTROL!$C$42, 13.0991, 13.0991) * CHOOSE(CONTROL!$C$21, $C$9, 100%, $E$9)</f>
        <v>13.0991</v>
      </c>
      <c r="R253" s="14">
        <f>CHOOSE(CONTROL!$C$42, 13.7188, 13.7188) * CHOOSE(CONTROL!$C$21, $C$9, 100%, $E$9)</f>
        <v>13.7188</v>
      </c>
      <c r="S253" s="14">
        <f>CHOOSE(CONTROL!$C$42, 12.1672, 12.1672) * CHOOSE(CONTROL!$C$21, $C$9, 100%, $E$9)</f>
        <v>12.167199999999999</v>
      </c>
      <c r="T2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7">
        <f>(1000*CHOOSE(CONTROL!$C$42, 695, 695)*CHOOSE(CONTROL!$C$42, 0.5599, 0.5599)*CHOOSE(CONTROL!$C$42, 31, 31))/1000000</f>
        <v>12.063045499999998</v>
      </c>
      <c r="V253" s="57">
        <f>(1000*CHOOSE(CONTROL!$C$42, 500, 500)*CHOOSE(CONTROL!$C$42, 0.275, 0.275)*CHOOSE(CONTROL!$C$42, 31, 31))/1000000</f>
        <v>4.2625000000000002</v>
      </c>
      <c r="W253" s="57">
        <f>(1000*CHOOSE(CONTROL!$C$42, 0.1146, 0.1146)*CHOOSE(CONTROL!$C$42, 121.5, 121.5)*CHOOSE(CONTROL!$C$42, 31, 31))/1000000</f>
        <v>0.43164089999999994</v>
      </c>
      <c r="X253" s="57">
        <f>(31*0.1790888*100000/1000000)+(31*0.2374*100000/1000000)</f>
        <v>1.2911152800000001</v>
      </c>
      <c r="Y253" s="57"/>
      <c r="Z253" s="14"/>
      <c r="AA253" s="56"/>
      <c r="AB253" s="50">
        <f>(B253*122.58+C253*297.941+D253*89.177+E253*40.302+F253*40+G253*160+H253*0+I253*100+J253*300)/(122.58+297.941+89.177+40.302+0+40+160+100+300)</f>
        <v>12.685200530086956</v>
      </c>
      <c r="AC253" s="45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12.462569784172663</v>
      </c>
    </row>
    <row r="254" spans="1:29" ht="15.75" x14ac:dyDescent="0.25">
      <c r="A254" s="13">
        <v>48611</v>
      </c>
      <c r="B254" s="14">
        <f>CHOOSE(CONTROL!$C$42, 12.8965, 12.8965) * CHOOSE(CONTROL!$C$21, $C$9, 100%, $E$9)</f>
        <v>12.8965</v>
      </c>
      <c r="C254" s="14">
        <f>CHOOSE(CONTROL!$C$42, 12.9016, 12.9016) * CHOOSE(CONTROL!$C$21, $C$9, 100%, $E$9)</f>
        <v>12.9016</v>
      </c>
      <c r="D254" s="14">
        <f>CHOOSE(CONTROL!$C$42, 12.9602, 12.9602) * CHOOSE(CONTROL!$C$21, $C$9, 100%, $E$9)</f>
        <v>12.9602</v>
      </c>
      <c r="E254" s="14">
        <f>CHOOSE(CONTROL!$C$42, 12.9943, 12.9943) * CHOOSE(CONTROL!$C$21, $C$9, 100%, $E$9)</f>
        <v>12.994300000000001</v>
      </c>
      <c r="F254" s="14">
        <f>CHOOSE(CONTROL!$C$42, 12.8956, 12.8956)*CHOOSE(CONTROL!$C$21, $C$9, 100%, $E$9)</f>
        <v>12.8956</v>
      </c>
      <c r="G254" s="14">
        <f>CHOOSE(CONTROL!$C$42, 12.912, 12.912)*CHOOSE(CONTROL!$C$21, $C$9, 100%, $E$9)</f>
        <v>12.912000000000001</v>
      </c>
      <c r="H254" s="14">
        <f>CHOOSE(CONTROL!$C$42, 12.9835, 12.9835) * CHOOSE(CONTROL!$C$21, $C$9, 100%, $E$9)</f>
        <v>12.983499999999999</v>
      </c>
      <c r="I254" s="14">
        <f>CHOOSE(CONTROL!$C$42, 12.9472, 12.9472)* CHOOSE(CONTROL!$C$21, $C$9, 100%, $E$9)</f>
        <v>12.9472</v>
      </c>
      <c r="J254" s="14">
        <f>CHOOSE(CONTROL!$C$42, 12.8886, 12.8886)* CHOOSE(CONTROL!$C$21, $C$9, 100%, $E$9)</f>
        <v>12.8886</v>
      </c>
      <c r="K254" s="53">
        <f>CHOOSE(CONTROL!$C$42, 12.9433, 12.9433) * CHOOSE(CONTROL!$C$21, $C$9, 100%, $E$9)</f>
        <v>12.943300000000001</v>
      </c>
      <c r="L254" s="14">
        <f>CHOOSE(CONTROL!$C$42, 13.5705, 13.5705) * CHOOSE(CONTROL!$C$21, $C$9, 100%, $E$9)</f>
        <v>13.570499999999999</v>
      </c>
      <c r="M254" s="14">
        <f>CHOOSE(CONTROL!$C$42, 12.6322, 12.6322) * CHOOSE(CONTROL!$C$21, $C$9, 100%, $E$9)</f>
        <v>12.632199999999999</v>
      </c>
      <c r="N254" s="14">
        <f>CHOOSE(CONTROL!$C$42, 12.6483, 12.6483) * CHOOSE(CONTROL!$C$21, $C$9, 100%, $E$9)</f>
        <v>12.648300000000001</v>
      </c>
      <c r="O254" s="14">
        <f>CHOOSE(CONTROL!$C$42, 12.7252, 12.7252) * CHOOSE(CONTROL!$C$21, $C$9, 100%, $E$9)</f>
        <v>12.725199999999999</v>
      </c>
      <c r="P254" s="14">
        <f>CHOOSE(CONTROL!$C$42, 12.6888, 12.6888) * CHOOSE(CONTROL!$C$21, $C$9, 100%, $E$9)</f>
        <v>12.688800000000001</v>
      </c>
      <c r="Q254" s="14">
        <f>CHOOSE(CONTROL!$C$42, 13.3199, 13.3199) * CHOOSE(CONTROL!$C$21, $C$9, 100%, $E$9)</f>
        <v>13.319900000000001</v>
      </c>
      <c r="R254" s="14">
        <f>CHOOSE(CONTROL!$C$42, 13.9402, 13.9402) * CHOOSE(CONTROL!$C$21, $C$9, 100%, $E$9)</f>
        <v>13.940200000000001</v>
      </c>
      <c r="S254" s="14">
        <f>CHOOSE(CONTROL!$C$42, 12.3837, 12.3837) * CHOOSE(CONTROL!$C$21, $C$9, 100%, $E$9)</f>
        <v>12.383699999999999</v>
      </c>
      <c r="T2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7">
        <f>(1000*CHOOSE(CONTROL!$C$42, 695, 695)*CHOOSE(CONTROL!$C$42, 0.5599, 0.5599)*CHOOSE(CONTROL!$C$42, 28, 28))/1000000</f>
        <v>10.895653999999999</v>
      </c>
      <c r="V254" s="57">
        <f>(1000*CHOOSE(CONTROL!$C$42, 500, 500)*CHOOSE(CONTROL!$C$42, 0.275, 0.275)*CHOOSE(CONTROL!$C$42, 28, 28))/1000000</f>
        <v>3.85</v>
      </c>
      <c r="W254" s="57">
        <f>(1000*CHOOSE(CONTROL!$C$42, 0.1146, 0.1146)*CHOOSE(CONTROL!$C$42, 121.5, 121.5)*CHOOSE(CONTROL!$C$42, 28, 28))/1000000</f>
        <v>0.38986920000000003</v>
      </c>
      <c r="X254" s="57">
        <f>(28*0.1790888*100000/1000000)+(28*0.2374*100000/1000000)</f>
        <v>1.16616864</v>
      </c>
      <c r="Y254" s="57"/>
      <c r="Z254" s="14"/>
      <c r="AA254" s="56"/>
      <c r="AB254" s="50">
        <f>(B254*122.58+C254*297.941+D254*89.177+E254*40.302+F254*40+G254*160+H254*0+I254*100+J254*300)/(122.58+297.941+89.177+40.302+0+40+160+100+300)</f>
        <v>12.910661399652172</v>
      </c>
      <c r="AC254" s="45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12.683421582733812</v>
      </c>
    </row>
    <row r="255" spans="1:29" ht="15.75" x14ac:dyDescent="0.25">
      <c r="A255" s="13">
        <v>48639</v>
      </c>
      <c r="B255" s="14">
        <f>CHOOSE(CONTROL!$C$42, 12.5307, 12.5307) * CHOOSE(CONTROL!$C$21, $C$9, 100%, $E$9)</f>
        <v>12.5307</v>
      </c>
      <c r="C255" s="14">
        <f>CHOOSE(CONTROL!$C$42, 12.5357, 12.5357) * CHOOSE(CONTROL!$C$21, $C$9, 100%, $E$9)</f>
        <v>12.5357</v>
      </c>
      <c r="D255" s="14">
        <f>CHOOSE(CONTROL!$C$42, 12.5943, 12.5943) * CHOOSE(CONTROL!$C$21, $C$9, 100%, $E$9)</f>
        <v>12.5943</v>
      </c>
      <c r="E255" s="14">
        <f>CHOOSE(CONTROL!$C$42, 12.6284, 12.6284) * CHOOSE(CONTROL!$C$21, $C$9, 100%, $E$9)</f>
        <v>12.628399999999999</v>
      </c>
      <c r="F255" s="14">
        <f>CHOOSE(CONTROL!$C$42, 12.5292, 12.5292)*CHOOSE(CONTROL!$C$21, $C$9, 100%, $E$9)</f>
        <v>12.529199999999999</v>
      </c>
      <c r="G255" s="14">
        <f>CHOOSE(CONTROL!$C$42, 12.5455, 12.5455)*CHOOSE(CONTROL!$C$21, $C$9, 100%, $E$9)</f>
        <v>12.545500000000001</v>
      </c>
      <c r="H255" s="14">
        <f>CHOOSE(CONTROL!$C$42, 12.6176, 12.6176) * CHOOSE(CONTROL!$C$21, $C$9, 100%, $E$9)</f>
        <v>12.617599999999999</v>
      </c>
      <c r="I255" s="14">
        <f>CHOOSE(CONTROL!$C$42, 12.5801, 12.5801)* CHOOSE(CONTROL!$C$21, $C$9, 100%, $E$9)</f>
        <v>12.5801</v>
      </c>
      <c r="J255" s="14">
        <f>CHOOSE(CONTROL!$C$42, 12.5222, 12.5222)* CHOOSE(CONTROL!$C$21, $C$9, 100%, $E$9)</f>
        <v>12.5222</v>
      </c>
      <c r="K255" s="53">
        <f>CHOOSE(CONTROL!$C$42, 12.5763, 12.5763) * CHOOSE(CONTROL!$C$21, $C$9, 100%, $E$9)</f>
        <v>12.5763</v>
      </c>
      <c r="L255" s="14">
        <f>CHOOSE(CONTROL!$C$42, 13.2046, 13.2046) * CHOOSE(CONTROL!$C$21, $C$9, 100%, $E$9)</f>
        <v>13.204599999999999</v>
      </c>
      <c r="M255" s="14">
        <f>CHOOSE(CONTROL!$C$42, 12.2734, 12.2734) * CHOOSE(CONTROL!$C$21, $C$9, 100%, $E$9)</f>
        <v>12.273400000000001</v>
      </c>
      <c r="N255" s="14">
        <f>CHOOSE(CONTROL!$C$42, 12.2893, 12.2893) * CHOOSE(CONTROL!$C$21, $C$9, 100%, $E$9)</f>
        <v>12.289300000000001</v>
      </c>
      <c r="O255" s="14">
        <f>CHOOSE(CONTROL!$C$42, 12.3668, 12.3668) * CHOOSE(CONTROL!$C$21, $C$9, 100%, $E$9)</f>
        <v>12.3668</v>
      </c>
      <c r="P255" s="14">
        <f>CHOOSE(CONTROL!$C$42, 12.3294, 12.3294) * CHOOSE(CONTROL!$C$21, $C$9, 100%, $E$9)</f>
        <v>12.3294</v>
      </c>
      <c r="Q255" s="14">
        <f>CHOOSE(CONTROL!$C$42, 12.9615, 12.9615) * CHOOSE(CONTROL!$C$21, $C$9, 100%, $E$9)</f>
        <v>12.961499999999999</v>
      </c>
      <c r="R255" s="14">
        <f>CHOOSE(CONTROL!$C$42, 13.5809, 13.5809) * CHOOSE(CONTROL!$C$21, $C$9, 100%, $E$9)</f>
        <v>13.5809</v>
      </c>
      <c r="S255" s="14">
        <f>CHOOSE(CONTROL!$C$42, 12.0322, 12.0322) * CHOOSE(CONTROL!$C$21, $C$9, 100%, $E$9)</f>
        <v>12.0322</v>
      </c>
      <c r="T2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7">
        <f>(1000*CHOOSE(CONTROL!$C$42, 695, 695)*CHOOSE(CONTROL!$C$42, 0.5599, 0.5599)*CHOOSE(CONTROL!$C$42, 31, 31))/1000000</f>
        <v>12.063045499999998</v>
      </c>
      <c r="V255" s="57">
        <f>(1000*CHOOSE(CONTROL!$C$42, 500, 500)*CHOOSE(CONTROL!$C$42, 0.275, 0.275)*CHOOSE(CONTROL!$C$42, 31, 31))/1000000</f>
        <v>4.2625000000000002</v>
      </c>
      <c r="W255" s="57">
        <f>(1000*CHOOSE(CONTROL!$C$42, 0.1146, 0.1146)*CHOOSE(CONTROL!$C$42, 121.5, 121.5)*CHOOSE(CONTROL!$C$42, 31, 31))/1000000</f>
        <v>0.43164089999999994</v>
      </c>
      <c r="X255" s="57">
        <f>(31*0.1790888*100000/1000000)+(31*0.2374*100000/1000000)</f>
        <v>1.2911152800000001</v>
      </c>
      <c r="Y255" s="57"/>
      <c r="Z255" s="14"/>
      <c r="AA255" s="56"/>
      <c r="AB255" s="50">
        <f>(B255*122.58+C255*297.941+D255*89.177+E255*40.302+F255*40+G255*160+H255*0+I255*100+J255*300)/(122.58+297.941+89.177+40.302+0+40+160+100+300)</f>
        <v>12.544436406608696</v>
      </c>
      <c r="AC255" s="45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12.324705035971222</v>
      </c>
    </row>
    <row r="256" spans="1:29" ht="15.75" x14ac:dyDescent="0.25">
      <c r="A256" s="13">
        <v>48670</v>
      </c>
      <c r="B256" s="14">
        <f>CHOOSE(CONTROL!$C$42, 12.4944, 12.4944) * CHOOSE(CONTROL!$C$21, $C$9, 100%, $E$9)</f>
        <v>12.494400000000001</v>
      </c>
      <c r="C256" s="14">
        <f>CHOOSE(CONTROL!$C$42, 12.4988, 12.4988) * CHOOSE(CONTROL!$C$21, $C$9, 100%, $E$9)</f>
        <v>12.498799999999999</v>
      </c>
      <c r="D256" s="14">
        <f>CHOOSE(CONTROL!$C$42, 12.707, 12.707) * CHOOSE(CONTROL!$C$21, $C$9, 100%, $E$9)</f>
        <v>12.707000000000001</v>
      </c>
      <c r="E256" s="14">
        <f>CHOOSE(CONTROL!$C$42, 12.7391, 12.7391) * CHOOSE(CONTROL!$C$21, $C$9, 100%, $E$9)</f>
        <v>12.739100000000001</v>
      </c>
      <c r="F256" s="14">
        <f>CHOOSE(CONTROL!$C$42, 12.4817, 12.4817)*CHOOSE(CONTROL!$C$21, $C$9, 100%, $E$9)</f>
        <v>12.4817</v>
      </c>
      <c r="G256" s="14">
        <f>CHOOSE(CONTROL!$C$42, 12.4976, 12.4976)*CHOOSE(CONTROL!$C$21, $C$9, 100%, $E$9)</f>
        <v>12.4976</v>
      </c>
      <c r="H256" s="14">
        <f>CHOOSE(CONTROL!$C$42, 12.7288, 12.7288) * CHOOSE(CONTROL!$C$21, $C$9, 100%, $E$9)</f>
        <v>12.7288</v>
      </c>
      <c r="I256" s="14">
        <f>CHOOSE(CONTROL!$C$42, 12.5429, 12.5429)* CHOOSE(CONTROL!$C$21, $C$9, 100%, $E$9)</f>
        <v>12.542899999999999</v>
      </c>
      <c r="J256" s="14">
        <f>CHOOSE(CONTROL!$C$42, 12.4747, 12.4747)* CHOOSE(CONTROL!$C$21, $C$9, 100%, $E$9)</f>
        <v>12.4747</v>
      </c>
      <c r="K256" s="53">
        <f>CHOOSE(CONTROL!$C$42, 12.539, 12.539) * CHOOSE(CONTROL!$C$21, $C$9, 100%, $E$9)</f>
        <v>12.539</v>
      </c>
      <c r="L256" s="14">
        <f>CHOOSE(CONTROL!$C$42, 13.3158, 13.3158) * CHOOSE(CONTROL!$C$21, $C$9, 100%, $E$9)</f>
        <v>13.315799999999999</v>
      </c>
      <c r="M256" s="14">
        <f>CHOOSE(CONTROL!$C$42, 12.2268, 12.2268) * CHOOSE(CONTROL!$C$21, $C$9, 100%, $E$9)</f>
        <v>12.226800000000001</v>
      </c>
      <c r="N256" s="14">
        <f>CHOOSE(CONTROL!$C$42, 12.2424, 12.2424) * CHOOSE(CONTROL!$C$21, $C$9, 100%, $E$9)</f>
        <v>12.2424</v>
      </c>
      <c r="O256" s="14">
        <f>CHOOSE(CONTROL!$C$42, 12.4757, 12.4757) * CHOOSE(CONTROL!$C$21, $C$9, 100%, $E$9)</f>
        <v>12.4757</v>
      </c>
      <c r="P256" s="14">
        <f>CHOOSE(CONTROL!$C$42, 12.2929, 12.2929) * CHOOSE(CONTROL!$C$21, $C$9, 100%, $E$9)</f>
        <v>12.292899999999999</v>
      </c>
      <c r="Q256" s="14">
        <f>CHOOSE(CONTROL!$C$42, 13.0704, 13.0704) * CHOOSE(CONTROL!$C$21, $C$9, 100%, $E$9)</f>
        <v>13.070399999999999</v>
      </c>
      <c r="R256" s="14">
        <f>CHOOSE(CONTROL!$C$42, 13.6901, 13.6901) * CHOOSE(CONTROL!$C$21, $C$9, 100%, $E$9)</f>
        <v>13.690099999999999</v>
      </c>
      <c r="S256" s="14">
        <f>CHOOSE(CONTROL!$C$42, 11.9965, 11.9965) * CHOOSE(CONTROL!$C$21, $C$9, 100%, $E$9)</f>
        <v>11.996499999999999</v>
      </c>
      <c r="T2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7">
        <f>(1000*CHOOSE(CONTROL!$C$42, 695, 695)*CHOOSE(CONTROL!$C$42, 0.5599, 0.5599)*CHOOSE(CONTROL!$C$42, 30, 30))/1000000</f>
        <v>11.673914999999997</v>
      </c>
      <c r="V256" s="57">
        <f>(1000*CHOOSE(CONTROL!$C$42, 500, 500)*CHOOSE(CONTROL!$C$42, 0.275, 0.275)*CHOOSE(CONTROL!$C$42, 30, 30))/1000000</f>
        <v>4.125</v>
      </c>
      <c r="W256" s="57">
        <f>(1000*CHOOSE(CONTROL!$C$42, 0.1146, 0.1146)*CHOOSE(CONTROL!$C$42, 121.5, 121.5)*CHOOSE(CONTROL!$C$42, 30, 30))/1000000</f>
        <v>0.417717</v>
      </c>
      <c r="X256" s="57">
        <f>(30*0.1790888*245000/1000000)+(30*0.2374*100000/1000000)</f>
        <v>2.0285026799999999</v>
      </c>
      <c r="Y256" s="57"/>
      <c r="Z256" s="14"/>
      <c r="AA256" s="56"/>
      <c r="AB256" s="50">
        <f>(B256*141.293+C256*267.993+D256*115.016+E256*89.698+F256*40+G256*185+H256*0+I256*100+J256*300)/(141.293+267.993+115.016+89.698+0+40+185+100+300)</f>
        <v>12.532014746892656</v>
      </c>
      <c r="AC256" s="45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12.309737410071945</v>
      </c>
    </row>
    <row r="257" spans="1:29" ht="15.75" x14ac:dyDescent="0.25">
      <c r="A257" s="13">
        <v>48700</v>
      </c>
      <c r="B257" s="14">
        <f>CHOOSE(CONTROL!$C$42, 12.6059, 12.6059) * CHOOSE(CONTROL!$C$21, $C$9, 100%, $E$9)</f>
        <v>12.6059</v>
      </c>
      <c r="C257" s="14">
        <f>CHOOSE(CONTROL!$C$42, 12.614, 12.614) * CHOOSE(CONTROL!$C$21, $C$9, 100%, $E$9)</f>
        <v>12.614000000000001</v>
      </c>
      <c r="D257" s="14">
        <f>CHOOSE(CONTROL!$C$42, 12.8189, 12.8189) * CHOOSE(CONTROL!$C$21, $C$9, 100%, $E$9)</f>
        <v>12.818899999999999</v>
      </c>
      <c r="E257" s="14">
        <f>CHOOSE(CONTROL!$C$42, 12.8504, 12.8504) * CHOOSE(CONTROL!$C$21, $C$9, 100%, $E$9)</f>
        <v>12.8504</v>
      </c>
      <c r="F257" s="14">
        <f>CHOOSE(CONTROL!$C$42, 12.5921, 12.5921)*CHOOSE(CONTROL!$C$21, $C$9, 100%, $E$9)</f>
        <v>12.5921</v>
      </c>
      <c r="G257" s="14">
        <f>CHOOSE(CONTROL!$C$42, 12.6085, 12.6085)*CHOOSE(CONTROL!$C$21, $C$9, 100%, $E$9)</f>
        <v>12.608499999999999</v>
      </c>
      <c r="H257" s="14">
        <f>CHOOSE(CONTROL!$C$42, 12.839, 12.839) * CHOOSE(CONTROL!$C$21, $C$9, 100%, $E$9)</f>
        <v>12.839</v>
      </c>
      <c r="I257" s="14">
        <f>CHOOSE(CONTROL!$C$42, 12.6535, 12.6535)* CHOOSE(CONTROL!$C$21, $C$9, 100%, $E$9)</f>
        <v>12.653499999999999</v>
      </c>
      <c r="J257" s="14">
        <f>CHOOSE(CONTROL!$C$42, 12.5851, 12.5851)* CHOOSE(CONTROL!$C$21, $C$9, 100%, $E$9)</f>
        <v>12.585100000000001</v>
      </c>
      <c r="K257" s="53">
        <f>CHOOSE(CONTROL!$C$42, 12.6496, 12.6496) * CHOOSE(CONTROL!$C$21, $C$9, 100%, $E$9)</f>
        <v>12.6496</v>
      </c>
      <c r="L257" s="14">
        <f>CHOOSE(CONTROL!$C$42, 13.426, 13.426) * CHOOSE(CONTROL!$C$21, $C$9, 100%, $E$9)</f>
        <v>13.426</v>
      </c>
      <c r="M257" s="14">
        <f>CHOOSE(CONTROL!$C$42, 12.3349, 12.3349) * CHOOSE(CONTROL!$C$21, $C$9, 100%, $E$9)</f>
        <v>12.334899999999999</v>
      </c>
      <c r="N257" s="14">
        <f>CHOOSE(CONTROL!$C$42, 12.351, 12.351) * CHOOSE(CONTROL!$C$21, $C$9, 100%, $E$9)</f>
        <v>12.351000000000001</v>
      </c>
      <c r="O257" s="14">
        <f>CHOOSE(CONTROL!$C$42, 12.5837, 12.5837) * CHOOSE(CONTROL!$C$21, $C$9, 100%, $E$9)</f>
        <v>12.5837</v>
      </c>
      <c r="P257" s="14">
        <f>CHOOSE(CONTROL!$C$42, 12.4012, 12.4012) * CHOOSE(CONTROL!$C$21, $C$9, 100%, $E$9)</f>
        <v>12.401199999999999</v>
      </c>
      <c r="Q257" s="14">
        <f>CHOOSE(CONTROL!$C$42, 13.1784, 13.1784) * CHOOSE(CONTROL!$C$21, $C$9, 100%, $E$9)</f>
        <v>13.1784</v>
      </c>
      <c r="R257" s="14">
        <f>CHOOSE(CONTROL!$C$42, 13.7983, 13.7983) * CHOOSE(CONTROL!$C$21, $C$9, 100%, $E$9)</f>
        <v>13.798299999999999</v>
      </c>
      <c r="S257" s="14">
        <f>CHOOSE(CONTROL!$C$42, 12.1024, 12.1024) * CHOOSE(CONTROL!$C$21, $C$9, 100%, $E$9)</f>
        <v>12.102399999999999</v>
      </c>
      <c r="T2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7">
        <f>(1000*CHOOSE(CONTROL!$C$42, 695, 695)*CHOOSE(CONTROL!$C$42, 0.5599, 0.5599)*CHOOSE(CONTROL!$C$42, 31, 31))/1000000</f>
        <v>12.063045499999998</v>
      </c>
      <c r="V257" s="57">
        <f>(1000*CHOOSE(CONTROL!$C$42, 500, 500)*CHOOSE(CONTROL!$C$42, 0.275, 0.275)*CHOOSE(CONTROL!$C$42, 31, 31))/1000000</f>
        <v>4.2625000000000002</v>
      </c>
      <c r="W257" s="57">
        <f>(1000*CHOOSE(CONTROL!$C$42, 0.1146, 0.1146)*CHOOSE(CONTROL!$C$42, 121.5, 121.5)*CHOOSE(CONTROL!$C$42, 31, 31))/1000000</f>
        <v>0.43164089999999994</v>
      </c>
      <c r="X257" s="57">
        <f>(31*0.1790888*245000/1000000)+(31*0.2374*100000/1000000)</f>
        <v>2.0961194359999999</v>
      </c>
      <c r="Y257" s="57"/>
      <c r="Z257" s="14"/>
      <c r="AA257" s="56"/>
      <c r="AB257" s="50">
        <f>(B257*194.205+C257*267.466+D257*133.845+E257*53.484+F257*40+G257*185+H257*0+I257*100+J257*300)/(194.205+267.466+133.845+53.484+0+40+185+100+300)</f>
        <v>12.639025037362638</v>
      </c>
      <c r="AC257" s="45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12.417953237410073</v>
      </c>
    </row>
    <row r="258" spans="1:29" ht="15.75" x14ac:dyDescent="0.25">
      <c r="A258" s="13">
        <v>48731</v>
      </c>
      <c r="B258" s="14">
        <f>CHOOSE(CONTROL!$C$42, 12.9632, 12.9632) * CHOOSE(CONTROL!$C$21, $C$9, 100%, $E$9)</f>
        <v>12.963200000000001</v>
      </c>
      <c r="C258" s="14">
        <f>CHOOSE(CONTROL!$C$42, 12.9712, 12.9712) * CHOOSE(CONTROL!$C$21, $C$9, 100%, $E$9)</f>
        <v>12.9712</v>
      </c>
      <c r="D258" s="14">
        <f>CHOOSE(CONTROL!$C$42, 13.1762, 13.1762) * CHOOSE(CONTROL!$C$21, $C$9, 100%, $E$9)</f>
        <v>13.1762</v>
      </c>
      <c r="E258" s="14">
        <f>CHOOSE(CONTROL!$C$42, 13.2076, 13.2076) * CHOOSE(CONTROL!$C$21, $C$9, 100%, $E$9)</f>
        <v>13.207599999999999</v>
      </c>
      <c r="F258" s="14">
        <f>CHOOSE(CONTROL!$C$42, 12.9497, 12.9497)*CHOOSE(CONTROL!$C$21, $C$9, 100%, $E$9)</f>
        <v>12.9497</v>
      </c>
      <c r="G258" s="14">
        <f>CHOOSE(CONTROL!$C$42, 12.9662, 12.9662)*CHOOSE(CONTROL!$C$21, $C$9, 100%, $E$9)</f>
        <v>12.966200000000001</v>
      </c>
      <c r="H258" s="14">
        <f>CHOOSE(CONTROL!$C$42, 13.1963, 13.1963) * CHOOSE(CONTROL!$C$21, $C$9, 100%, $E$9)</f>
        <v>13.196300000000001</v>
      </c>
      <c r="I258" s="14">
        <f>CHOOSE(CONTROL!$C$42, 13.0118, 13.0118)* CHOOSE(CONTROL!$C$21, $C$9, 100%, $E$9)</f>
        <v>13.011799999999999</v>
      </c>
      <c r="J258" s="14">
        <f>CHOOSE(CONTROL!$C$42, 12.9427, 12.9427)* CHOOSE(CONTROL!$C$21, $C$9, 100%, $E$9)</f>
        <v>12.9427</v>
      </c>
      <c r="K258" s="53">
        <f>CHOOSE(CONTROL!$C$42, 13.0079, 13.0079) * CHOOSE(CONTROL!$C$21, $C$9, 100%, $E$9)</f>
        <v>13.007899999999999</v>
      </c>
      <c r="L258" s="14">
        <f>CHOOSE(CONTROL!$C$42, 13.7833, 13.7833) * CHOOSE(CONTROL!$C$21, $C$9, 100%, $E$9)</f>
        <v>13.783300000000001</v>
      </c>
      <c r="M258" s="14">
        <f>CHOOSE(CONTROL!$C$42, 12.6852, 12.6852) * CHOOSE(CONTROL!$C$21, $C$9, 100%, $E$9)</f>
        <v>12.6852</v>
      </c>
      <c r="N258" s="14">
        <f>CHOOSE(CONTROL!$C$42, 12.7014, 12.7014) * CHOOSE(CONTROL!$C$21, $C$9, 100%, $E$9)</f>
        <v>12.7014</v>
      </c>
      <c r="O258" s="14">
        <f>CHOOSE(CONTROL!$C$42, 12.9336, 12.9336) * CHOOSE(CONTROL!$C$21, $C$9, 100%, $E$9)</f>
        <v>12.9336</v>
      </c>
      <c r="P258" s="14">
        <f>CHOOSE(CONTROL!$C$42, 12.7522, 12.7522) * CHOOSE(CONTROL!$C$21, $C$9, 100%, $E$9)</f>
        <v>12.7522</v>
      </c>
      <c r="Q258" s="14">
        <f>CHOOSE(CONTROL!$C$42, 13.5283, 13.5283) * CHOOSE(CONTROL!$C$21, $C$9, 100%, $E$9)</f>
        <v>13.5283</v>
      </c>
      <c r="R258" s="14">
        <f>CHOOSE(CONTROL!$C$42, 14.1491, 14.1491) * CHOOSE(CONTROL!$C$21, $C$9, 100%, $E$9)</f>
        <v>14.149100000000001</v>
      </c>
      <c r="S258" s="14">
        <f>CHOOSE(CONTROL!$C$42, 12.4457, 12.4457) * CHOOSE(CONTROL!$C$21, $C$9, 100%, $E$9)</f>
        <v>12.4457</v>
      </c>
      <c r="T2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7">
        <f>(1000*CHOOSE(CONTROL!$C$42, 695, 695)*CHOOSE(CONTROL!$C$42, 0.5599, 0.5599)*CHOOSE(CONTROL!$C$42, 30, 30))/1000000</f>
        <v>11.673914999999997</v>
      </c>
      <c r="V258" s="57">
        <f>(1000*CHOOSE(CONTROL!$C$42, 500, 500)*CHOOSE(CONTROL!$C$42, 0.275, 0.275)*CHOOSE(CONTROL!$C$42, 30, 30))/1000000</f>
        <v>4.125</v>
      </c>
      <c r="W258" s="57">
        <f>(1000*CHOOSE(CONTROL!$C$42, 0.1146, 0.1146)*CHOOSE(CONTROL!$C$42, 121.5, 121.5)*CHOOSE(CONTROL!$C$42, 30, 30))/1000000</f>
        <v>0.417717</v>
      </c>
      <c r="X258" s="57">
        <f>(30*0.1790888*245000/1000000)+(30*0.2374*100000/1000000)</f>
        <v>2.0285026799999999</v>
      </c>
      <c r="Y258" s="57"/>
      <c r="Z258" s="14"/>
      <c r="AA258" s="56"/>
      <c r="AB258" s="50">
        <f>(B258*194.205+C258*267.466+D258*133.845+E258*53.484+F258*40+G258*185+H258*0+I258*100+J258*300)/(194.205+267.466+133.845+53.484+0+40+185+100+300)</f>
        <v>12.996516485557303</v>
      </c>
      <c r="AC258" s="45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12.768264748201439</v>
      </c>
    </row>
    <row r="259" spans="1:29" ht="15.75" x14ac:dyDescent="0.25">
      <c r="A259" s="13">
        <v>48761</v>
      </c>
      <c r="B259" s="14">
        <f>CHOOSE(CONTROL!$C$42, 12.7147, 12.7147) * CHOOSE(CONTROL!$C$21, $C$9, 100%, $E$9)</f>
        <v>12.714700000000001</v>
      </c>
      <c r="C259" s="14">
        <f>CHOOSE(CONTROL!$C$42, 12.7227, 12.7227) * CHOOSE(CONTROL!$C$21, $C$9, 100%, $E$9)</f>
        <v>12.7227</v>
      </c>
      <c r="D259" s="14">
        <f>CHOOSE(CONTROL!$C$42, 12.9277, 12.9277) * CHOOSE(CONTROL!$C$21, $C$9, 100%, $E$9)</f>
        <v>12.9277</v>
      </c>
      <c r="E259" s="14">
        <f>CHOOSE(CONTROL!$C$42, 12.9592, 12.9592) * CHOOSE(CONTROL!$C$21, $C$9, 100%, $E$9)</f>
        <v>12.959199999999999</v>
      </c>
      <c r="F259" s="14">
        <f>CHOOSE(CONTROL!$C$42, 12.7017, 12.7017)*CHOOSE(CONTROL!$C$21, $C$9, 100%, $E$9)</f>
        <v>12.701700000000001</v>
      </c>
      <c r="G259" s="14">
        <f>CHOOSE(CONTROL!$C$42, 12.7183, 12.7183)*CHOOSE(CONTROL!$C$21, $C$9, 100%, $E$9)</f>
        <v>12.718299999999999</v>
      </c>
      <c r="H259" s="14">
        <f>CHOOSE(CONTROL!$C$42, 12.9478, 12.9478) * CHOOSE(CONTROL!$C$21, $C$9, 100%, $E$9)</f>
        <v>12.947800000000001</v>
      </c>
      <c r="I259" s="14">
        <f>CHOOSE(CONTROL!$C$42, 12.7626, 12.7626)* CHOOSE(CONTROL!$C$21, $C$9, 100%, $E$9)</f>
        <v>12.762600000000001</v>
      </c>
      <c r="J259" s="14">
        <f>CHOOSE(CONTROL!$C$42, 12.6947, 12.6947)* CHOOSE(CONTROL!$C$21, $C$9, 100%, $E$9)</f>
        <v>12.694699999999999</v>
      </c>
      <c r="K259" s="53">
        <f>CHOOSE(CONTROL!$C$42, 12.7587, 12.7587) * CHOOSE(CONTROL!$C$21, $C$9, 100%, $E$9)</f>
        <v>12.758699999999999</v>
      </c>
      <c r="L259" s="14">
        <f>CHOOSE(CONTROL!$C$42, 13.5348, 13.5348) * CHOOSE(CONTROL!$C$21, $C$9, 100%, $E$9)</f>
        <v>13.534800000000001</v>
      </c>
      <c r="M259" s="14">
        <f>CHOOSE(CONTROL!$C$42, 12.4423, 12.4423) * CHOOSE(CONTROL!$C$21, $C$9, 100%, $E$9)</f>
        <v>12.442299999999999</v>
      </c>
      <c r="N259" s="14">
        <f>CHOOSE(CONTROL!$C$42, 12.4585, 12.4585) * CHOOSE(CONTROL!$C$21, $C$9, 100%, $E$9)</f>
        <v>12.458500000000001</v>
      </c>
      <c r="O259" s="14">
        <f>CHOOSE(CONTROL!$C$42, 12.6902, 12.6902) * CHOOSE(CONTROL!$C$21, $C$9, 100%, $E$9)</f>
        <v>12.690200000000001</v>
      </c>
      <c r="P259" s="14">
        <f>CHOOSE(CONTROL!$C$42, 12.508, 12.508) * CHOOSE(CONTROL!$C$21, $C$9, 100%, $E$9)</f>
        <v>12.507999999999999</v>
      </c>
      <c r="Q259" s="14">
        <f>CHOOSE(CONTROL!$C$42, 13.2849, 13.2849) * CHOOSE(CONTROL!$C$21, $C$9, 100%, $E$9)</f>
        <v>13.2849</v>
      </c>
      <c r="R259" s="14">
        <f>CHOOSE(CONTROL!$C$42, 13.9051, 13.9051) * CHOOSE(CONTROL!$C$21, $C$9, 100%, $E$9)</f>
        <v>13.905099999999999</v>
      </c>
      <c r="S259" s="14">
        <f>CHOOSE(CONTROL!$C$42, 12.2069, 12.2069) * CHOOSE(CONTROL!$C$21, $C$9, 100%, $E$9)</f>
        <v>12.206899999999999</v>
      </c>
      <c r="T2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7">
        <f>(1000*CHOOSE(CONTROL!$C$42, 695, 695)*CHOOSE(CONTROL!$C$42, 0.5599, 0.5599)*CHOOSE(CONTROL!$C$42, 31, 31))/1000000</f>
        <v>12.063045499999998</v>
      </c>
      <c r="V259" s="57">
        <f>(1000*CHOOSE(CONTROL!$C$42, 500, 500)*CHOOSE(CONTROL!$C$42, 0.275, 0.275)*CHOOSE(CONTROL!$C$42, 31, 31))/1000000</f>
        <v>4.2625000000000002</v>
      </c>
      <c r="W259" s="57">
        <f>(1000*CHOOSE(CONTROL!$C$42, 0.1146, 0.1146)*CHOOSE(CONTROL!$C$42, 121.5, 121.5)*CHOOSE(CONTROL!$C$42, 31, 31))/1000000</f>
        <v>0.43164089999999994</v>
      </c>
      <c r="X259" s="57">
        <f>(31*0.1790888*245000/1000000)+(31*0.2374*100000/1000000)</f>
        <v>2.0961194359999999</v>
      </c>
      <c r="Y259" s="57"/>
      <c r="Z259" s="14"/>
      <c r="AA259" s="56"/>
      <c r="AB259" s="50">
        <f>(B259*194.205+C259*267.466+D259*133.845+E259*53.484+F259*40+G259*185+H259*0+I259*100+J259*300)/(194.205+267.466+133.845+53.484+0+40+185+100+300)</f>
        <v>12.748186303767662</v>
      </c>
      <c r="AC259" s="45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12.525037410071942</v>
      </c>
    </row>
    <row r="260" spans="1:29" ht="15.75" x14ac:dyDescent="0.25">
      <c r="A260" s="13">
        <v>48792</v>
      </c>
      <c r="B260" s="14">
        <f>CHOOSE(CONTROL!$C$42, 12.0873, 12.0873) * CHOOSE(CONTROL!$C$21, $C$9, 100%, $E$9)</f>
        <v>12.087300000000001</v>
      </c>
      <c r="C260" s="14">
        <f>CHOOSE(CONTROL!$C$42, 12.0953, 12.0953) * CHOOSE(CONTROL!$C$21, $C$9, 100%, $E$9)</f>
        <v>12.0953</v>
      </c>
      <c r="D260" s="14">
        <f>CHOOSE(CONTROL!$C$42, 12.3003, 12.3003) * CHOOSE(CONTROL!$C$21, $C$9, 100%, $E$9)</f>
        <v>12.3003</v>
      </c>
      <c r="E260" s="14">
        <f>CHOOSE(CONTROL!$C$42, 12.3317, 12.3317) * CHOOSE(CONTROL!$C$21, $C$9, 100%, $E$9)</f>
        <v>12.3317</v>
      </c>
      <c r="F260" s="14">
        <f>CHOOSE(CONTROL!$C$42, 12.0745, 12.0745)*CHOOSE(CONTROL!$C$21, $C$9, 100%, $E$9)</f>
        <v>12.0745</v>
      </c>
      <c r="G260" s="14">
        <f>CHOOSE(CONTROL!$C$42, 12.0911, 12.0911)*CHOOSE(CONTROL!$C$21, $C$9, 100%, $E$9)</f>
        <v>12.091100000000001</v>
      </c>
      <c r="H260" s="14">
        <f>CHOOSE(CONTROL!$C$42, 12.3204, 12.3204) * CHOOSE(CONTROL!$C$21, $C$9, 100%, $E$9)</f>
        <v>12.320399999999999</v>
      </c>
      <c r="I260" s="14">
        <f>CHOOSE(CONTROL!$C$42, 12.1332, 12.1332)* CHOOSE(CONTROL!$C$21, $C$9, 100%, $E$9)</f>
        <v>12.1332</v>
      </c>
      <c r="J260" s="14">
        <f>CHOOSE(CONTROL!$C$42, 12.0675, 12.0675)* CHOOSE(CONTROL!$C$21, $C$9, 100%, $E$9)</f>
        <v>12.067500000000001</v>
      </c>
      <c r="K260" s="53">
        <f>CHOOSE(CONTROL!$C$42, 12.1293, 12.1293) * CHOOSE(CONTROL!$C$21, $C$9, 100%, $E$9)</f>
        <v>12.129300000000001</v>
      </c>
      <c r="L260" s="14">
        <f>CHOOSE(CONTROL!$C$42, 12.9074, 12.9074) * CHOOSE(CONTROL!$C$21, $C$9, 100%, $E$9)</f>
        <v>12.907400000000001</v>
      </c>
      <c r="M260" s="14">
        <f>CHOOSE(CONTROL!$C$42, 11.8279, 11.8279) * CHOOSE(CONTROL!$C$21, $C$9, 100%, $E$9)</f>
        <v>11.8279</v>
      </c>
      <c r="N260" s="14">
        <f>CHOOSE(CONTROL!$C$42, 11.8442, 11.8442) * CHOOSE(CONTROL!$C$21, $C$9, 100%, $E$9)</f>
        <v>11.844200000000001</v>
      </c>
      <c r="O260" s="14">
        <f>CHOOSE(CONTROL!$C$42, 12.0756, 12.0756) * CHOOSE(CONTROL!$C$21, $C$9, 100%, $E$9)</f>
        <v>12.0756</v>
      </c>
      <c r="P260" s="14">
        <f>CHOOSE(CONTROL!$C$42, 11.8916, 11.8916) * CHOOSE(CONTROL!$C$21, $C$9, 100%, $E$9)</f>
        <v>11.8916</v>
      </c>
      <c r="Q260" s="14">
        <f>CHOOSE(CONTROL!$C$42, 12.6703, 12.6703) * CHOOSE(CONTROL!$C$21, $C$9, 100%, $E$9)</f>
        <v>12.670299999999999</v>
      </c>
      <c r="R260" s="14">
        <f>CHOOSE(CONTROL!$C$42, 13.289, 13.289) * CHOOSE(CONTROL!$C$21, $C$9, 100%, $E$9)</f>
        <v>13.289</v>
      </c>
      <c r="S260" s="14">
        <f>CHOOSE(CONTROL!$C$42, 11.604, 11.604) * CHOOSE(CONTROL!$C$21, $C$9, 100%, $E$9)</f>
        <v>11.603999999999999</v>
      </c>
      <c r="T2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7">
        <f>(1000*CHOOSE(CONTROL!$C$42, 695, 695)*CHOOSE(CONTROL!$C$42, 0.5599, 0.5599)*CHOOSE(CONTROL!$C$42, 31, 31))/1000000</f>
        <v>12.063045499999998</v>
      </c>
      <c r="V260" s="57">
        <f>(1000*CHOOSE(CONTROL!$C$42, 500, 500)*CHOOSE(CONTROL!$C$42, 0.275, 0.275)*CHOOSE(CONTROL!$C$42, 31, 31))/1000000</f>
        <v>4.2625000000000002</v>
      </c>
      <c r="W260" s="57">
        <f>(1000*CHOOSE(CONTROL!$C$42, 0.1146, 0.1146)*CHOOSE(CONTROL!$C$42, 121.5, 121.5)*CHOOSE(CONTROL!$C$42, 31, 31))/1000000</f>
        <v>0.43164089999999994</v>
      </c>
      <c r="X260" s="57">
        <f>(31*0.1790888*245000/1000000)+(31*0.2374*100000/1000000)</f>
        <v>2.0961194359999999</v>
      </c>
      <c r="Y260" s="57"/>
      <c r="Z260" s="14"/>
      <c r="AA260" s="56"/>
      <c r="AB260" s="50">
        <f>(B260*194.205+C260*267.466+D260*133.845+E260*53.484+F260*40+G260*185+H260*0+I260*100+J260*300)/(194.205+267.466+133.845+53.484+0+40+185+100+300)</f>
        <v>12.120707537362639</v>
      </c>
      <c r="AC260" s="45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11.910316546762591</v>
      </c>
    </row>
    <row r="261" spans="1:29" ht="15.75" x14ac:dyDescent="0.25">
      <c r="A261" s="13">
        <v>48823</v>
      </c>
      <c r="B261" s="14">
        <f>CHOOSE(CONTROL!$C$42, 11.3203, 11.3203) * CHOOSE(CONTROL!$C$21, $C$9, 100%, $E$9)</f>
        <v>11.3203</v>
      </c>
      <c r="C261" s="14">
        <f>CHOOSE(CONTROL!$C$42, 11.3283, 11.3283) * CHOOSE(CONTROL!$C$21, $C$9, 100%, $E$9)</f>
        <v>11.3283</v>
      </c>
      <c r="D261" s="14">
        <f>CHOOSE(CONTROL!$C$42, 11.5333, 11.5333) * CHOOSE(CONTROL!$C$21, $C$9, 100%, $E$9)</f>
        <v>11.533300000000001</v>
      </c>
      <c r="E261" s="14">
        <f>CHOOSE(CONTROL!$C$42, 11.5647, 11.5647) * CHOOSE(CONTROL!$C$21, $C$9, 100%, $E$9)</f>
        <v>11.5647</v>
      </c>
      <c r="F261" s="14">
        <f>CHOOSE(CONTROL!$C$42, 11.3074, 11.3074)*CHOOSE(CONTROL!$C$21, $C$9, 100%, $E$9)</f>
        <v>11.307399999999999</v>
      </c>
      <c r="G261" s="14">
        <f>CHOOSE(CONTROL!$C$42, 11.3241, 11.3241)*CHOOSE(CONTROL!$C$21, $C$9, 100%, $E$9)</f>
        <v>11.3241</v>
      </c>
      <c r="H261" s="14">
        <f>CHOOSE(CONTROL!$C$42, 11.5533, 11.5533) * CHOOSE(CONTROL!$C$21, $C$9, 100%, $E$9)</f>
        <v>11.5533</v>
      </c>
      <c r="I261" s="14">
        <f>CHOOSE(CONTROL!$C$42, 11.3638, 11.3638)* CHOOSE(CONTROL!$C$21, $C$9, 100%, $E$9)</f>
        <v>11.363799999999999</v>
      </c>
      <c r="J261" s="14">
        <f>CHOOSE(CONTROL!$C$42, 11.3004, 11.3004)* CHOOSE(CONTROL!$C$21, $C$9, 100%, $E$9)</f>
        <v>11.3004</v>
      </c>
      <c r="K261" s="53">
        <f>CHOOSE(CONTROL!$C$42, 11.3599, 11.3599) * CHOOSE(CONTROL!$C$21, $C$9, 100%, $E$9)</f>
        <v>11.3599</v>
      </c>
      <c r="L261" s="14">
        <f>CHOOSE(CONTROL!$C$42, 12.1403, 12.1403) * CHOOSE(CONTROL!$C$21, $C$9, 100%, $E$9)</f>
        <v>12.1403</v>
      </c>
      <c r="M261" s="14">
        <f>CHOOSE(CONTROL!$C$42, 11.0766, 11.0766) * CHOOSE(CONTROL!$C$21, $C$9, 100%, $E$9)</f>
        <v>11.076599999999999</v>
      </c>
      <c r="N261" s="14">
        <f>CHOOSE(CONTROL!$C$42, 11.0929, 11.0929) * CHOOSE(CONTROL!$C$21, $C$9, 100%, $E$9)</f>
        <v>11.0929</v>
      </c>
      <c r="O261" s="14">
        <f>CHOOSE(CONTROL!$C$42, 11.3243, 11.3243) * CHOOSE(CONTROL!$C$21, $C$9, 100%, $E$9)</f>
        <v>11.324299999999999</v>
      </c>
      <c r="P261" s="14">
        <f>CHOOSE(CONTROL!$C$42, 11.138, 11.138) * CHOOSE(CONTROL!$C$21, $C$9, 100%, $E$9)</f>
        <v>11.138</v>
      </c>
      <c r="Q261" s="14">
        <f>CHOOSE(CONTROL!$C$42, 11.919, 11.919) * CHOOSE(CONTROL!$C$21, $C$9, 100%, $E$9)</f>
        <v>11.919</v>
      </c>
      <c r="R261" s="14">
        <f>CHOOSE(CONTROL!$C$42, 12.5358, 12.5358) * CHOOSE(CONTROL!$C$21, $C$9, 100%, $E$9)</f>
        <v>12.5358</v>
      </c>
      <c r="S261" s="14">
        <f>CHOOSE(CONTROL!$C$42, 10.867, 10.867) * CHOOSE(CONTROL!$C$21, $C$9, 100%, $E$9)</f>
        <v>10.867000000000001</v>
      </c>
      <c r="T2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7">
        <f>(1000*CHOOSE(CONTROL!$C$42, 695, 695)*CHOOSE(CONTROL!$C$42, 0.5599, 0.5599)*CHOOSE(CONTROL!$C$42, 30, 30))/1000000</f>
        <v>11.673914999999997</v>
      </c>
      <c r="V261" s="57">
        <f>(1000*CHOOSE(CONTROL!$C$42, 500, 500)*CHOOSE(CONTROL!$C$42, 0.275, 0.275)*CHOOSE(CONTROL!$C$42, 30, 30))/1000000</f>
        <v>4.125</v>
      </c>
      <c r="W261" s="57">
        <f>(1000*CHOOSE(CONTROL!$C$42, 0.1146, 0.1146)*CHOOSE(CONTROL!$C$42, 121.5, 121.5)*CHOOSE(CONTROL!$C$42, 30, 30))/1000000</f>
        <v>0.417717</v>
      </c>
      <c r="X261" s="57">
        <f>(30*0.1790888*245000/1000000)+(30*0.2374*100000/1000000)</f>
        <v>2.0285026799999999</v>
      </c>
      <c r="Y261" s="57"/>
      <c r="Z261" s="14"/>
      <c r="AA261" s="56"/>
      <c r="AB261" s="50">
        <f>(B261*194.205+C261*267.466+D261*133.845+E261*53.484+F261*40+G261*185+H261*0+I261*100+J261*300)/(194.205+267.466+133.845+53.484+0+40+185+100+300)</f>
        <v>11.353492466718995</v>
      </c>
      <c r="AC261" s="45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11.158685611510791</v>
      </c>
    </row>
    <row r="262" spans="1:29" ht="15.75" x14ac:dyDescent="0.25">
      <c r="A262" s="13">
        <v>48853</v>
      </c>
      <c r="B262" s="14">
        <f>CHOOSE(CONTROL!$C$42, 11.0889, 11.0889) * CHOOSE(CONTROL!$C$21, $C$9, 100%, $E$9)</f>
        <v>11.088900000000001</v>
      </c>
      <c r="C262" s="14">
        <f>CHOOSE(CONTROL!$C$42, 11.0942, 11.0942) * CHOOSE(CONTROL!$C$21, $C$9, 100%, $E$9)</f>
        <v>11.094200000000001</v>
      </c>
      <c r="D262" s="14">
        <f>CHOOSE(CONTROL!$C$42, 11.3042, 11.3042) * CHOOSE(CONTROL!$C$21, $C$9, 100%, $E$9)</f>
        <v>11.3042</v>
      </c>
      <c r="E262" s="14">
        <f>CHOOSE(CONTROL!$C$42, 11.3333, 11.3333) * CHOOSE(CONTROL!$C$21, $C$9, 100%, $E$9)</f>
        <v>11.333299999999999</v>
      </c>
      <c r="F262" s="14">
        <f>CHOOSE(CONTROL!$C$42, 11.0781, 11.0781)*CHOOSE(CONTROL!$C$21, $C$9, 100%, $E$9)</f>
        <v>11.078099999999999</v>
      </c>
      <c r="G262" s="14">
        <f>CHOOSE(CONTROL!$C$42, 11.0945, 11.0945)*CHOOSE(CONTROL!$C$21, $C$9, 100%, $E$9)</f>
        <v>11.0945</v>
      </c>
      <c r="H262" s="14">
        <f>CHOOSE(CONTROL!$C$42, 11.3237, 11.3237) * CHOOSE(CONTROL!$C$21, $C$9, 100%, $E$9)</f>
        <v>11.323700000000001</v>
      </c>
      <c r="I262" s="14">
        <f>CHOOSE(CONTROL!$C$42, 11.1334, 11.1334)* CHOOSE(CONTROL!$C$21, $C$9, 100%, $E$9)</f>
        <v>11.1334</v>
      </c>
      <c r="J262" s="14">
        <f>CHOOSE(CONTROL!$C$42, 11.0711, 11.0711)* CHOOSE(CONTROL!$C$21, $C$9, 100%, $E$9)</f>
        <v>11.071099999999999</v>
      </c>
      <c r="K262" s="53">
        <f>CHOOSE(CONTROL!$C$42, 11.1295, 11.1295) * CHOOSE(CONTROL!$C$21, $C$9, 100%, $E$9)</f>
        <v>11.1295</v>
      </c>
      <c r="L262" s="14">
        <f>CHOOSE(CONTROL!$C$42, 11.9107, 11.9107) * CHOOSE(CONTROL!$C$21, $C$9, 100%, $E$9)</f>
        <v>11.9107</v>
      </c>
      <c r="M262" s="14">
        <f>CHOOSE(CONTROL!$C$42, 10.852, 10.852) * CHOOSE(CONTROL!$C$21, $C$9, 100%, $E$9)</f>
        <v>10.852</v>
      </c>
      <c r="N262" s="14">
        <f>CHOOSE(CONTROL!$C$42, 10.868, 10.868) * CHOOSE(CONTROL!$C$21, $C$9, 100%, $E$9)</f>
        <v>10.868</v>
      </c>
      <c r="O262" s="14">
        <f>CHOOSE(CONTROL!$C$42, 11.0994, 11.0994) * CHOOSE(CONTROL!$C$21, $C$9, 100%, $E$9)</f>
        <v>11.099399999999999</v>
      </c>
      <c r="P262" s="14">
        <f>CHOOSE(CONTROL!$C$42, 10.9124, 10.9124) * CHOOSE(CONTROL!$C$21, $C$9, 100%, $E$9)</f>
        <v>10.9124</v>
      </c>
      <c r="Q262" s="14">
        <f>CHOOSE(CONTROL!$C$42, 11.6941, 11.6941) * CHOOSE(CONTROL!$C$21, $C$9, 100%, $E$9)</f>
        <v>11.694100000000001</v>
      </c>
      <c r="R262" s="14">
        <f>CHOOSE(CONTROL!$C$42, 12.3104, 12.3104) * CHOOSE(CONTROL!$C$21, $C$9, 100%, $E$9)</f>
        <v>12.3104</v>
      </c>
      <c r="S262" s="14">
        <f>CHOOSE(CONTROL!$C$42, 10.6464, 10.6464) * CHOOSE(CONTROL!$C$21, $C$9, 100%, $E$9)</f>
        <v>10.6464</v>
      </c>
      <c r="T2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7">
        <f>(1000*CHOOSE(CONTROL!$C$42, 695, 695)*CHOOSE(CONTROL!$C$42, 0.5599, 0.5599)*CHOOSE(CONTROL!$C$42, 31, 31))/1000000</f>
        <v>12.063045499999998</v>
      </c>
      <c r="V262" s="57">
        <f>(1000*CHOOSE(CONTROL!$C$42, 500, 500)*CHOOSE(CONTROL!$C$42, 0.275, 0.275)*CHOOSE(CONTROL!$C$42, 31, 31))/1000000</f>
        <v>4.2625000000000002</v>
      </c>
      <c r="W262" s="57">
        <f>(1000*CHOOSE(CONTROL!$C$42, 0.1146, 0.1146)*CHOOSE(CONTROL!$C$42, 121.5, 121.5)*CHOOSE(CONTROL!$C$42, 31, 31))/1000000</f>
        <v>0.43164089999999994</v>
      </c>
      <c r="X262" s="57">
        <f>(31*0.1790888*245000/1000000)+(31*0.2374*100000/1000000)</f>
        <v>2.0961194359999999</v>
      </c>
      <c r="Y262" s="57"/>
      <c r="Z262" s="14"/>
      <c r="AA262" s="56"/>
      <c r="AB262" s="50">
        <f>(B262*131.881+C262*277.167+D262*79.08+E262*125.872+F262*40+G262*185+H262*0+I262*100+J262*300)/(131.881+277.167+79.08+125.872+0+40+185+100+300)</f>
        <v>11.12842544463277</v>
      </c>
      <c r="AC262" s="45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10.933788489208633</v>
      </c>
    </row>
    <row r="263" spans="1:29" ht="15.75" x14ac:dyDescent="0.25">
      <c r="A263" s="13">
        <v>48884</v>
      </c>
      <c r="B263" s="14">
        <f>CHOOSE(CONTROL!$C$42, 11.3803, 11.3803) * CHOOSE(CONTROL!$C$21, $C$9, 100%, $E$9)</f>
        <v>11.3803</v>
      </c>
      <c r="C263" s="14">
        <f>CHOOSE(CONTROL!$C$42, 11.3854, 11.3854) * CHOOSE(CONTROL!$C$21, $C$9, 100%, $E$9)</f>
        <v>11.385400000000001</v>
      </c>
      <c r="D263" s="14">
        <f>CHOOSE(CONTROL!$C$42, 11.4492, 11.4492) * CHOOSE(CONTROL!$C$21, $C$9, 100%, $E$9)</f>
        <v>11.449199999999999</v>
      </c>
      <c r="E263" s="14">
        <f>CHOOSE(CONTROL!$C$42, 11.4833, 11.4833) * CHOOSE(CONTROL!$C$21, $C$9, 100%, $E$9)</f>
        <v>11.4833</v>
      </c>
      <c r="F263" s="14">
        <f>CHOOSE(CONTROL!$C$42, 11.3826, 11.3826)*CHOOSE(CONTROL!$C$21, $C$9, 100%, $E$9)</f>
        <v>11.3826</v>
      </c>
      <c r="G263" s="14">
        <f>CHOOSE(CONTROL!$C$42, 11.3992, 11.3992)*CHOOSE(CONTROL!$C$21, $C$9, 100%, $E$9)</f>
        <v>11.3992</v>
      </c>
      <c r="H263" s="14">
        <f>CHOOSE(CONTROL!$C$42, 11.4725, 11.4725) * CHOOSE(CONTROL!$C$21, $C$9, 100%, $E$9)</f>
        <v>11.4725</v>
      </c>
      <c r="I263" s="14">
        <f>CHOOSE(CONTROL!$C$42, 11.4299, 11.4299)* CHOOSE(CONTROL!$C$21, $C$9, 100%, $E$9)</f>
        <v>11.4299</v>
      </c>
      <c r="J263" s="14">
        <f>CHOOSE(CONTROL!$C$42, 11.3756, 11.3756)* CHOOSE(CONTROL!$C$21, $C$9, 100%, $E$9)</f>
        <v>11.3756</v>
      </c>
      <c r="K263" s="53">
        <f>CHOOSE(CONTROL!$C$42, 11.426, 11.426) * CHOOSE(CONTROL!$C$21, $C$9, 100%, $E$9)</f>
        <v>11.426</v>
      </c>
      <c r="L263" s="14">
        <f>CHOOSE(CONTROL!$C$42, 12.0595, 12.0595) * CHOOSE(CONTROL!$C$21, $C$9, 100%, $E$9)</f>
        <v>12.0595</v>
      </c>
      <c r="M263" s="14">
        <f>CHOOSE(CONTROL!$C$42, 11.1502, 11.1502) * CHOOSE(CONTROL!$C$21, $C$9, 100%, $E$9)</f>
        <v>11.1502</v>
      </c>
      <c r="N263" s="14">
        <f>CHOOSE(CONTROL!$C$42, 11.1665, 11.1665) * CHOOSE(CONTROL!$C$21, $C$9, 100%, $E$9)</f>
        <v>11.166499999999999</v>
      </c>
      <c r="O263" s="14">
        <f>CHOOSE(CONTROL!$C$42, 11.2451, 11.2451) * CHOOSE(CONTROL!$C$21, $C$9, 100%, $E$9)</f>
        <v>11.245100000000001</v>
      </c>
      <c r="P263" s="14">
        <f>CHOOSE(CONTROL!$C$42, 11.2027, 11.2027) * CHOOSE(CONTROL!$C$21, $C$9, 100%, $E$9)</f>
        <v>11.2027</v>
      </c>
      <c r="Q263" s="14">
        <f>CHOOSE(CONTROL!$C$42, 11.8398, 11.8398) * CHOOSE(CONTROL!$C$21, $C$9, 100%, $E$9)</f>
        <v>11.8398</v>
      </c>
      <c r="R263" s="14">
        <f>CHOOSE(CONTROL!$C$42, 12.4564, 12.4564) * CHOOSE(CONTROL!$C$21, $C$9, 100%, $E$9)</f>
        <v>12.4564</v>
      </c>
      <c r="S263" s="14">
        <f>CHOOSE(CONTROL!$C$42, 10.9268, 10.9268) * CHOOSE(CONTROL!$C$21, $C$9, 100%, $E$9)</f>
        <v>10.9268</v>
      </c>
      <c r="T2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7">
        <f>(1000*CHOOSE(CONTROL!$C$42, 695, 695)*CHOOSE(CONTROL!$C$42, 0.5599, 0.5599)*CHOOSE(CONTROL!$C$42, 30, 30))/1000000</f>
        <v>11.673914999999997</v>
      </c>
      <c r="V263" s="57">
        <f>(1000*CHOOSE(CONTROL!$C$42, 500, 500)*CHOOSE(CONTROL!$C$42, 0.275, 0.275)*CHOOSE(CONTROL!$C$42, 30, 30))/1000000</f>
        <v>4.125</v>
      </c>
      <c r="W263" s="57">
        <f>(1000*CHOOSE(CONTROL!$C$42, 0.1146, 0.1146)*CHOOSE(CONTROL!$C$42, 121.5, 121.5)*CHOOSE(CONTROL!$C$42, 30, 30))/1000000</f>
        <v>0.417717</v>
      </c>
      <c r="X263" s="57">
        <f>(30*0.1790888*100000/1000000)+(30*0.2374*100000/1000000)</f>
        <v>1.2494664</v>
      </c>
      <c r="Y263" s="57"/>
      <c r="Z263" s="14"/>
      <c r="AA263" s="56"/>
      <c r="AB263" s="50">
        <f>(B263*122.58+C263*297.941+D263*89.177+E263*40.302+F263*40+G263*160+H263*0+I263*100+J263*300)/(122.58+297.941+89.177+40.302+0+40+160+100+300)</f>
        <v>11.396370348173914</v>
      </c>
      <c r="AC263" s="45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11.201704316546762</v>
      </c>
    </row>
    <row r="264" spans="1:29" ht="15.75" x14ac:dyDescent="0.25">
      <c r="A264" s="13">
        <v>48914</v>
      </c>
      <c r="B264" s="14">
        <f>CHOOSE(CONTROL!$C$42, 12.1556, 12.1556) * CHOOSE(CONTROL!$C$21, $C$9, 100%, $E$9)</f>
        <v>12.1556</v>
      </c>
      <c r="C264" s="14">
        <f>CHOOSE(CONTROL!$C$42, 12.1606, 12.1606) * CHOOSE(CONTROL!$C$21, $C$9, 100%, $E$9)</f>
        <v>12.160600000000001</v>
      </c>
      <c r="D264" s="14">
        <f>CHOOSE(CONTROL!$C$42, 12.2245, 12.2245) * CHOOSE(CONTROL!$C$21, $C$9, 100%, $E$9)</f>
        <v>12.224500000000001</v>
      </c>
      <c r="E264" s="14">
        <f>CHOOSE(CONTROL!$C$42, 12.2586, 12.2586) * CHOOSE(CONTROL!$C$21, $C$9, 100%, $E$9)</f>
        <v>12.258599999999999</v>
      </c>
      <c r="F264" s="14">
        <f>CHOOSE(CONTROL!$C$42, 12.1599, 12.1599)*CHOOSE(CONTROL!$C$21, $C$9, 100%, $E$9)</f>
        <v>12.1599</v>
      </c>
      <c r="G264" s="14">
        <f>CHOOSE(CONTROL!$C$42, 12.1771, 12.1771)*CHOOSE(CONTROL!$C$21, $C$9, 100%, $E$9)</f>
        <v>12.177099999999999</v>
      </c>
      <c r="H264" s="14">
        <f>CHOOSE(CONTROL!$C$42, 12.2478, 12.2478) * CHOOSE(CONTROL!$C$21, $C$9, 100%, $E$9)</f>
        <v>12.2478</v>
      </c>
      <c r="I264" s="14">
        <f>CHOOSE(CONTROL!$C$42, 12.2075, 12.2075)* CHOOSE(CONTROL!$C$21, $C$9, 100%, $E$9)</f>
        <v>12.2075</v>
      </c>
      <c r="J264" s="14">
        <f>CHOOSE(CONTROL!$C$42, 12.1529, 12.1529)* CHOOSE(CONTROL!$C$21, $C$9, 100%, $E$9)</f>
        <v>12.152900000000001</v>
      </c>
      <c r="K264" s="53">
        <f>CHOOSE(CONTROL!$C$42, 12.2036, 12.2036) * CHOOSE(CONTROL!$C$21, $C$9, 100%, $E$9)</f>
        <v>12.2036</v>
      </c>
      <c r="L264" s="14">
        <f>CHOOSE(CONTROL!$C$42, 12.8348, 12.8348) * CHOOSE(CONTROL!$C$21, $C$9, 100%, $E$9)</f>
        <v>12.8348</v>
      </c>
      <c r="M264" s="14">
        <f>CHOOSE(CONTROL!$C$42, 11.9116, 11.9116) * CHOOSE(CONTROL!$C$21, $C$9, 100%, $E$9)</f>
        <v>11.9116</v>
      </c>
      <c r="N264" s="14">
        <f>CHOOSE(CONTROL!$C$42, 11.9284, 11.9284) * CHOOSE(CONTROL!$C$21, $C$9, 100%, $E$9)</f>
        <v>11.9284</v>
      </c>
      <c r="O264" s="14">
        <f>CHOOSE(CONTROL!$C$42, 12.0045, 12.0045) * CHOOSE(CONTROL!$C$21, $C$9, 100%, $E$9)</f>
        <v>12.0045</v>
      </c>
      <c r="P264" s="14">
        <f>CHOOSE(CONTROL!$C$42, 11.9644, 11.9644) * CHOOSE(CONTROL!$C$21, $C$9, 100%, $E$9)</f>
        <v>11.964399999999999</v>
      </c>
      <c r="Q264" s="14">
        <f>CHOOSE(CONTROL!$C$42, 12.5992, 12.5992) * CHOOSE(CONTROL!$C$21, $C$9, 100%, $E$9)</f>
        <v>12.5992</v>
      </c>
      <c r="R264" s="14">
        <f>CHOOSE(CONTROL!$C$42, 13.2177, 13.2177) * CHOOSE(CONTROL!$C$21, $C$9, 100%, $E$9)</f>
        <v>13.217700000000001</v>
      </c>
      <c r="S264" s="14">
        <f>CHOOSE(CONTROL!$C$42, 11.6718, 11.6718) * CHOOSE(CONTROL!$C$21, $C$9, 100%, $E$9)</f>
        <v>11.671799999999999</v>
      </c>
      <c r="T2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7">
        <f>(1000*CHOOSE(CONTROL!$C$42, 695, 695)*CHOOSE(CONTROL!$C$42, 0.5599, 0.5599)*CHOOSE(CONTROL!$C$42, 31, 31))/1000000</f>
        <v>12.063045499999998</v>
      </c>
      <c r="V264" s="57">
        <f>(1000*CHOOSE(CONTROL!$C$42, 500, 500)*CHOOSE(CONTROL!$C$42, 0.275, 0.275)*CHOOSE(CONTROL!$C$42, 31, 31))/1000000</f>
        <v>4.2625000000000002</v>
      </c>
      <c r="W264" s="57">
        <f>(1000*CHOOSE(CONTROL!$C$42, 0.1146, 0.1146)*CHOOSE(CONTROL!$C$42, 121.5, 121.5)*CHOOSE(CONTROL!$C$42, 31, 31))/1000000</f>
        <v>0.43164089999999994</v>
      </c>
      <c r="X264" s="57">
        <f>(31*0.1790888*100000/1000000)+(31*0.2374*100000/1000000)</f>
        <v>1.2911152800000001</v>
      </c>
      <c r="Y264" s="57"/>
      <c r="Z264" s="14"/>
      <c r="AA264" s="56"/>
      <c r="AB264" s="50">
        <f>(B264*122.58+C264*297.941+D264*89.177+E264*40.302+F264*40+G264*160+H264*0+I264*100+J264*300)/(122.58+297.941+89.177+40.302+0+40+160+100+300)</f>
        <v>12.172797483739132</v>
      </c>
      <c r="AC264" s="45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11.962269784172662</v>
      </c>
    </row>
    <row r="265" spans="1:29" ht="15.75" x14ac:dyDescent="0.25">
      <c r="A265" s="13">
        <v>48945</v>
      </c>
      <c r="B265" s="14">
        <f>CHOOSE(CONTROL!$C$42, 13.1505, 13.1505) * CHOOSE(CONTROL!$C$21, $C$9, 100%, $E$9)</f>
        <v>13.150499999999999</v>
      </c>
      <c r="C265" s="14">
        <f>CHOOSE(CONTROL!$C$42, 13.1556, 13.1556) * CHOOSE(CONTROL!$C$21, $C$9, 100%, $E$9)</f>
        <v>13.1556</v>
      </c>
      <c r="D265" s="14">
        <f>CHOOSE(CONTROL!$C$42, 13.2142, 13.2142) * CHOOSE(CONTROL!$C$21, $C$9, 100%, $E$9)</f>
        <v>13.2142</v>
      </c>
      <c r="E265" s="14">
        <f>CHOOSE(CONTROL!$C$42, 13.2483, 13.2483) * CHOOSE(CONTROL!$C$21, $C$9, 100%, $E$9)</f>
        <v>13.2483</v>
      </c>
      <c r="F265" s="14">
        <f>CHOOSE(CONTROL!$C$42, 13.1496, 13.1496)*CHOOSE(CONTROL!$C$21, $C$9, 100%, $E$9)</f>
        <v>13.1496</v>
      </c>
      <c r="G265" s="14">
        <f>CHOOSE(CONTROL!$C$42, 13.166, 13.166)*CHOOSE(CONTROL!$C$21, $C$9, 100%, $E$9)</f>
        <v>13.166</v>
      </c>
      <c r="H265" s="14">
        <f>CHOOSE(CONTROL!$C$42, 13.2375, 13.2375) * CHOOSE(CONTROL!$C$21, $C$9, 100%, $E$9)</f>
        <v>13.237500000000001</v>
      </c>
      <c r="I265" s="14">
        <f>CHOOSE(CONTROL!$C$42, 13.2019, 13.2019)* CHOOSE(CONTROL!$C$21, $C$9, 100%, $E$9)</f>
        <v>13.2019</v>
      </c>
      <c r="J265" s="14">
        <f>CHOOSE(CONTROL!$C$42, 13.1426, 13.1426)* CHOOSE(CONTROL!$C$21, $C$9, 100%, $E$9)</f>
        <v>13.1426</v>
      </c>
      <c r="K265" s="53">
        <f>CHOOSE(CONTROL!$C$42, 13.198, 13.198) * CHOOSE(CONTROL!$C$21, $C$9, 100%, $E$9)</f>
        <v>13.198</v>
      </c>
      <c r="L265" s="14">
        <f>CHOOSE(CONTROL!$C$42, 13.8245, 13.8245) * CHOOSE(CONTROL!$C$21, $C$9, 100%, $E$9)</f>
        <v>13.8245</v>
      </c>
      <c r="M265" s="14">
        <f>CHOOSE(CONTROL!$C$42, 12.881, 12.881) * CHOOSE(CONTROL!$C$21, $C$9, 100%, $E$9)</f>
        <v>12.881</v>
      </c>
      <c r="N265" s="14">
        <f>CHOOSE(CONTROL!$C$42, 12.8971, 12.8971) * CHOOSE(CONTROL!$C$21, $C$9, 100%, $E$9)</f>
        <v>12.8971</v>
      </c>
      <c r="O265" s="14">
        <f>CHOOSE(CONTROL!$C$42, 12.9739, 12.9739) * CHOOSE(CONTROL!$C$21, $C$9, 100%, $E$9)</f>
        <v>12.9739</v>
      </c>
      <c r="P265" s="14">
        <f>CHOOSE(CONTROL!$C$42, 12.9384, 12.9384) * CHOOSE(CONTROL!$C$21, $C$9, 100%, $E$9)</f>
        <v>12.9384</v>
      </c>
      <c r="Q265" s="14">
        <f>CHOOSE(CONTROL!$C$42, 13.5686, 13.5686) * CHOOSE(CONTROL!$C$21, $C$9, 100%, $E$9)</f>
        <v>13.5686</v>
      </c>
      <c r="R265" s="14">
        <f>CHOOSE(CONTROL!$C$42, 14.1896, 14.1896) * CHOOSE(CONTROL!$C$21, $C$9, 100%, $E$9)</f>
        <v>14.1896</v>
      </c>
      <c r="S265" s="14">
        <f>CHOOSE(CONTROL!$C$42, 12.6278, 12.6278) * CHOOSE(CONTROL!$C$21, $C$9, 100%, $E$9)</f>
        <v>12.627800000000001</v>
      </c>
      <c r="T2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7">
        <f>(1000*CHOOSE(CONTROL!$C$42, 695, 695)*CHOOSE(CONTROL!$C$42, 0.5599, 0.5599)*CHOOSE(CONTROL!$C$42, 31, 31))/1000000</f>
        <v>12.063045499999998</v>
      </c>
      <c r="V265" s="57">
        <f>(1000*CHOOSE(CONTROL!$C$42, 500, 500)*CHOOSE(CONTROL!$C$42, 0.275, 0.275)*CHOOSE(CONTROL!$C$42, 31, 31))/1000000</f>
        <v>4.2625000000000002</v>
      </c>
      <c r="W265" s="57">
        <f>(1000*CHOOSE(CONTROL!$C$42, 0.1146, 0.1146)*CHOOSE(CONTROL!$C$42, 121.5, 121.5)*CHOOSE(CONTROL!$C$42, 31, 31))/1000000</f>
        <v>0.43164089999999994</v>
      </c>
      <c r="X265" s="57">
        <f>(31*0.1790888*100000/1000000)+(31*0.2374*100000/1000000)</f>
        <v>1.2911152800000001</v>
      </c>
      <c r="Y265" s="57"/>
      <c r="Z265" s="14"/>
      <c r="AA265" s="56"/>
      <c r="AB265" s="50">
        <f>(B265*122.58+C265*297.941+D265*89.177+E265*40.302+F265*40+G265*160+H265*0+I265*100+J265*300)/(122.58+297.941+89.177+40.302+0+40+160+100+300)</f>
        <v>13.164722269217391</v>
      </c>
      <c r="AC265" s="45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12.932291366906476</v>
      </c>
    </row>
    <row r="266" spans="1:29" ht="15.75" x14ac:dyDescent="0.25">
      <c r="A266" s="13">
        <v>48976</v>
      </c>
      <c r="B266" s="14">
        <f>CHOOSE(CONTROL!$C$42, 13.3844, 13.3844) * CHOOSE(CONTROL!$C$21, $C$9, 100%, $E$9)</f>
        <v>13.384399999999999</v>
      </c>
      <c r="C266" s="14">
        <f>CHOOSE(CONTROL!$C$42, 13.3895, 13.3895) * CHOOSE(CONTROL!$C$21, $C$9, 100%, $E$9)</f>
        <v>13.3895</v>
      </c>
      <c r="D266" s="14">
        <f>CHOOSE(CONTROL!$C$42, 13.4481, 13.4481) * CHOOSE(CONTROL!$C$21, $C$9, 100%, $E$9)</f>
        <v>13.4481</v>
      </c>
      <c r="E266" s="14">
        <f>CHOOSE(CONTROL!$C$42, 13.4822, 13.4822) * CHOOSE(CONTROL!$C$21, $C$9, 100%, $E$9)</f>
        <v>13.482200000000001</v>
      </c>
      <c r="F266" s="14">
        <f>CHOOSE(CONTROL!$C$42, 13.3835, 13.3835)*CHOOSE(CONTROL!$C$21, $C$9, 100%, $E$9)</f>
        <v>13.3835</v>
      </c>
      <c r="G266" s="14">
        <f>CHOOSE(CONTROL!$C$42, 13.3999, 13.3999)*CHOOSE(CONTROL!$C$21, $C$9, 100%, $E$9)</f>
        <v>13.399900000000001</v>
      </c>
      <c r="H266" s="14">
        <f>CHOOSE(CONTROL!$C$42, 13.4714, 13.4714) * CHOOSE(CONTROL!$C$21, $C$9, 100%, $E$9)</f>
        <v>13.471399999999999</v>
      </c>
      <c r="I266" s="14">
        <f>CHOOSE(CONTROL!$C$42, 13.4366, 13.4366)* CHOOSE(CONTROL!$C$21, $C$9, 100%, $E$9)</f>
        <v>13.4366</v>
      </c>
      <c r="J266" s="14">
        <f>CHOOSE(CONTROL!$C$42, 13.3765, 13.3765)* CHOOSE(CONTROL!$C$21, $C$9, 100%, $E$9)</f>
        <v>13.3765</v>
      </c>
      <c r="K266" s="53">
        <f>CHOOSE(CONTROL!$C$42, 13.4327, 13.4327) * CHOOSE(CONTROL!$C$21, $C$9, 100%, $E$9)</f>
        <v>13.432700000000001</v>
      </c>
      <c r="L266" s="14">
        <f>CHOOSE(CONTROL!$C$42, 14.0584, 14.0584) * CHOOSE(CONTROL!$C$21, $C$9, 100%, $E$9)</f>
        <v>14.058400000000001</v>
      </c>
      <c r="M266" s="14">
        <f>CHOOSE(CONTROL!$C$42, 13.1101, 13.1101) * CHOOSE(CONTROL!$C$21, $C$9, 100%, $E$9)</f>
        <v>13.110099999999999</v>
      </c>
      <c r="N266" s="14">
        <f>CHOOSE(CONTROL!$C$42, 13.1262, 13.1262) * CHOOSE(CONTROL!$C$21, $C$9, 100%, $E$9)</f>
        <v>13.126200000000001</v>
      </c>
      <c r="O266" s="14">
        <f>CHOOSE(CONTROL!$C$42, 13.2031, 13.2031) * CHOOSE(CONTROL!$C$21, $C$9, 100%, $E$9)</f>
        <v>13.203099999999999</v>
      </c>
      <c r="P266" s="14">
        <f>CHOOSE(CONTROL!$C$42, 13.1682, 13.1682) * CHOOSE(CONTROL!$C$21, $C$9, 100%, $E$9)</f>
        <v>13.168200000000001</v>
      </c>
      <c r="Q266" s="14">
        <f>CHOOSE(CONTROL!$C$42, 13.7978, 13.7978) * CHOOSE(CONTROL!$C$21, $C$9, 100%, $E$9)</f>
        <v>13.797800000000001</v>
      </c>
      <c r="R266" s="14">
        <f>CHOOSE(CONTROL!$C$42, 14.4193, 14.4193) * CHOOSE(CONTROL!$C$21, $C$9, 100%, $E$9)</f>
        <v>14.4193</v>
      </c>
      <c r="S266" s="14">
        <f>CHOOSE(CONTROL!$C$42, 12.8526, 12.8526) * CHOOSE(CONTROL!$C$21, $C$9, 100%, $E$9)</f>
        <v>12.852600000000001</v>
      </c>
      <c r="T2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7">
        <f>(1000*CHOOSE(CONTROL!$C$42, 695, 695)*CHOOSE(CONTROL!$C$42, 0.5599, 0.5599)*CHOOSE(CONTROL!$C$42, 28, 28))/1000000</f>
        <v>10.895653999999999</v>
      </c>
      <c r="V266" s="57">
        <f>(1000*CHOOSE(CONTROL!$C$42, 500, 500)*CHOOSE(CONTROL!$C$42, 0.275, 0.275)*CHOOSE(CONTROL!$C$42, 28, 28))/1000000</f>
        <v>3.85</v>
      </c>
      <c r="W266" s="57">
        <f>(1000*CHOOSE(CONTROL!$C$42, 0.1146, 0.1146)*CHOOSE(CONTROL!$C$42, 121.5, 121.5)*CHOOSE(CONTROL!$C$42, 28, 28))/1000000</f>
        <v>0.38986920000000003</v>
      </c>
      <c r="X266" s="57">
        <f>(28*0.1790888*100000/1000000)+(28*0.2374*100000/1000000)</f>
        <v>1.16616864</v>
      </c>
      <c r="Y266" s="57"/>
      <c r="Z266" s="14"/>
      <c r="AA266" s="56"/>
      <c r="AB266" s="50">
        <f>(B266*122.58+C266*297.941+D266*89.177+E266*40.302+F266*40+G266*160+H266*0+I266*100+J266*300)/(122.58+297.941+89.177+40.302+0+40+160+100+300)</f>
        <v>13.398691834434782</v>
      </c>
      <c r="AC266" s="45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13.161537410071942</v>
      </c>
    </row>
    <row r="267" spans="1:29" ht="15.75" x14ac:dyDescent="0.25">
      <c r="A267" s="13">
        <v>49004</v>
      </c>
      <c r="B267" s="14">
        <f>CHOOSE(CONTROL!$C$42, 13.0047, 13.0047) * CHOOSE(CONTROL!$C$21, $C$9, 100%, $E$9)</f>
        <v>13.0047</v>
      </c>
      <c r="C267" s="14">
        <f>CHOOSE(CONTROL!$C$42, 13.0098, 13.0098) * CHOOSE(CONTROL!$C$21, $C$9, 100%, $E$9)</f>
        <v>13.0098</v>
      </c>
      <c r="D267" s="14">
        <f>CHOOSE(CONTROL!$C$42, 13.0684, 13.0684) * CHOOSE(CONTROL!$C$21, $C$9, 100%, $E$9)</f>
        <v>13.0684</v>
      </c>
      <c r="E267" s="14">
        <f>CHOOSE(CONTROL!$C$42, 13.1025, 13.1025) * CHOOSE(CONTROL!$C$21, $C$9, 100%, $E$9)</f>
        <v>13.102499999999999</v>
      </c>
      <c r="F267" s="14">
        <f>CHOOSE(CONTROL!$C$42, 13.0033, 13.0033)*CHOOSE(CONTROL!$C$21, $C$9, 100%, $E$9)</f>
        <v>13.003299999999999</v>
      </c>
      <c r="G267" s="14">
        <f>CHOOSE(CONTROL!$C$42, 13.0195, 13.0195)*CHOOSE(CONTROL!$C$21, $C$9, 100%, $E$9)</f>
        <v>13.019500000000001</v>
      </c>
      <c r="H267" s="14">
        <f>CHOOSE(CONTROL!$C$42, 13.0917, 13.0917) * CHOOSE(CONTROL!$C$21, $C$9, 100%, $E$9)</f>
        <v>13.091699999999999</v>
      </c>
      <c r="I267" s="14">
        <f>CHOOSE(CONTROL!$C$42, 13.0557, 13.0557)* CHOOSE(CONTROL!$C$21, $C$9, 100%, $E$9)</f>
        <v>13.0557</v>
      </c>
      <c r="J267" s="14">
        <f>CHOOSE(CONTROL!$C$42, 12.9963, 12.9963)* CHOOSE(CONTROL!$C$21, $C$9, 100%, $E$9)</f>
        <v>12.9963</v>
      </c>
      <c r="K267" s="53">
        <f>CHOOSE(CONTROL!$C$42, 13.0518, 13.0518) * CHOOSE(CONTROL!$C$21, $C$9, 100%, $E$9)</f>
        <v>13.0518</v>
      </c>
      <c r="L267" s="14">
        <f>CHOOSE(CONTROL!$C$42, 13.6787, 13.6787) * CHOOSE(CONTROL!$C$21, $C$9, 100%, $E$9)</f>
        <v>13.678699999999999</v>
      </c>
      <c r="M267" s="14">
        <f>CHOOSE(CONTROL!$C$42, 12.7377, 12.7377) * CHOOSE(CONTROL!$C$21, $C$9, 100%, $E$9)</f>
        <v>12.7377</v>
      </c>
      <c r="N267" s="14">
        <f>CHOOSE(CONTROL!$C$42, 12.7536, 12.7536) * CHOOSE(CONTROL!$C$21, $C$9, 100%, $E$9)</f>
        <v>12.7536</v>
      </c>
      <c r="O267" s="14">
        <f>CHOOSE(CONTROL!$C$42, 12.8311, 12.8311) * CHOOSE(CONTROL!$C$21, $C$9, 100%, $E$9)</f>
        <v>12.831099999999999</v>
      </c>
      <c r="P267" s="14">
        <f>CHOOSE(CONTROL!$C$42, 12.7951, 12.7951) * CHOOSE(CONTROL!$C$21, $C$9, 100%, $E$9)</f>
        <v>12.7951</v>
      </c>
      <c r="Q267" s="14">
        <f>CHOOSE(CONTROL!$C$42, 13.4258, 13.4258) * CHOOSE(CONTROL!$C$21, $C$9, 100%, $E$9)</f>
        <v>13.425800000000001</v>
      </c>
      <c r="R267" s="14">
        <f>CHOOSE(CONTROL!$C$42, 14.0464, 14.0464) * CHOOSE(CONTROL!$C$21, $C$9, 100%, $E$9)</f>
        <v>14.0464</v>
      </c>
      <c r="S267" s="14">
        <f>CHOOSE(CONTROL!$C$42, 12.4877, 12.4877) * CHOOSE(CONTROL!$C$21, $C$9, 100%, $E$9)</f>
        <v>12.4877</v>
      </c>
      <c r="T2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7">
        <f>(1000*CHOOSE(CONTROL!$C$42, 695, 695)*CHOOSE(CONTROL!$C$42, 0.5599, 0.5599)*CHOOSE(CONTROL!$C$42, 31, 31))/1000000</f>
        <v>12.063045499999998</v>
      </c>
      <c r="V267" s="57">
        <f>(1000*CHOOSE(CONTROL!$C$42, 500, 500)*CHOOSE(CONTROL!$C$42, 0.275, 0.275)*CHOOSE(CONTROL!$C$42, 31, 31))/1000000</f>
        <v>4.2625000000000002</v>
      </c>
      <c r="W267" s="57">
        <f>(1000*CHOOSE(CONTROL!$C$42, 0.1146, 0.1146)*CHOOSE(CONTROL!$C$42, 121.5, 121.5)*CHOOSE(CONTROL!$C$42, 31, 31))/1000000</f>
        <v>0.43164089999999994</v>
      </c>
      <c r="X267" s="57">
        <f>(31*0.1790888*100000/1000000)+(31*0.2374*100000/1000000)</f>
        <v>1.2911152800000001</v>
      </c>
      <c r="Y267" s="57"/>
      <c r="Z267" s="14"/>
      <c r="AA267" s="56"/>
      <c r="AB267" s="50">
        <f>(B267*122.58+C267*297.941+D267*89.177+E267*40.302+F267*40+G267*160+H267*0+I267*100+J267*300)/(122.58+297.941+89.177+40.302+0+40+160+100+300)</f>
        <v>13.01864226921739</v>
      </c>
      <c r="AC267" s="45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12.789206474820144</v>
      </c>
    </row>
    <row r="268" spans="1:29" ht="15.75" x14ac:dyDescent="0.25">
      <c r="A268" s="13">
        <v>49035</v>
      </c>
      <c r="B268" s="14">
        <f>CHOOSE(CONTROL!$C$42, 12.967, 12.967) * CHOOSE(CONTROL!$C$21, $C$9, 100%, $E$9)</f>
        <v>12.967000000000001</v>
      </c>
      <c r="C268" s="14">
        <f>CHOOSE(CONTROL!$C$42, 12.9715, 12.9715) * CHOOSE(CONTROL!$C$21, $C$9, 100%, $E$9)</f>
        <v>12.971500000000001</v>
      </c>
      <c r="D268" s="14">
        <f>CHOOSE(CONTROL!$C$42, 13.1796, 13.1796) * CHOOSE(CONTROL!$C$21, $C$9, 100%, $E$9)</f>
        <v>13.179600000000001</v>
      </c>
      <c r="E268" s="14">
        <f>CHOOSE(CONTROL!$C$42, 13.2117, 13.2117) * CHOOSE(CONTROL!$C$21, $C$9, 100%, $E$9)</f>
        <v>13.2117</v>
      </c>
      <c r="F268" s="14">
        <f>CHOOSE(CONTROL!$C$42, 12.9543, 12.9543)*CHOOSE(CONTROL!$C$21, $C$9, 100%, $E$9)</f>
        <v>12.9543</v>
      </c>
      <c r="G268" s="14">
        <f>CHOOSE(CONTROL!$C$42, 12.9703, 12.9703)*CHOOSE(CONTROL!$C$21, $C$9, 100%, $E$9)</f>
        <v>12.9703</v>
      </c>
      <c r="H268" s="14">
        <f>CHOOSE(CONTROL!$C$42, 13.2015, 13.2015) * CHOOSE(CONTROL!$C$21, $C$9, 100%, $E$9)</f>
        <v>13.201499999999999</v>
      </c>
      <c r="I268" s="14">
        <f>CHOOSE(CONTROL!$C$42, 13.017, 13.017)* CHOOSE(CONTROL!$C$21, $C$9, 100%, $E$9)</f>
        <v>13.016999999999999</v>
      </c>
      <c r="J268" s="14">
        <f>CHOOSE(CONTROL!$C$42, 12.9473, 12.9473)* CHOOSE(CONTROL!$C$21, $C$9, 100%, $E$9)</f>
        <v>12.9473</v>
      </c>
      <c r="K268" s="53">
        <f>CHOOSE(CONTROL!$C$42, 13.0131, 13.0131) * CHOOSE(CONTROL!$C$21, $C$9, 100%, $E$9)</f>
        <v>13.0131</v>
      </c>
      <c r="L268" s="14">
        <f>CHOOSE(CONTROL!$C$42, 13.7885, 13.7885) * CHOOSE(CONTROL!$C$21, $C$9, 100%, $E$9)</f>
        <v>13.788500000000001</v>
      </c>
      <c r="M268" s="14">
        <f>CHOOSE(CONTROL!$C$42, 12.6897, 12.6897) * CHOOSE(CONTROL!$C$21, $C$9, 100%, $E$9)</f>
        <v>12.6897</v>
      </c>
      <c r="N268" s="14">
        <f>CHOOSE(CONTROL!$C$42, 12.7054, 12.7054) * CHOOSE(CONTROL!$C$21, $C$9, 100%, $E$9)</f>
        <v>12.705399999999999</v>
      </c>
      <c r="O268" s="14">
        <f>CHOOSE(CONTROL!$C$42, 12.9387, 12.9387) * CHOOSE(CONTROL!$C$21, $C$9, 100%, $E$9)</f>
        <v>12.938700000000001</v>
      </c>
      <c r="P268" s="14">
        <f>CHOOSE(CONTROL!$C$42, 12.7573, 12.7573) * CHOOSE(CONTROL!$C$21, $C$9, 100%, $E$9)</f>
        <v>12.757300000000001</v>
      </c>
      <c r="Q268" s="14">
        <f>CHOOSE(CONTROL!$C$42, 13.5334, 13.5334) * CHOOSE(CONTROL!$C$21, $C$9, 100%, $E$9)</f>
        <v>13.5334</v>
      </c>
      <c r="R268" s="14">
        <f>CHOOSE(CONTROL!$C$42, 14.1542, 14.1542) * CHOOSE(CONTROL!$C$21, $C$9, 100%, $E$9)</f>
        <v>14.154199999999999</v>
      </c>
      <c r="S268" s="14">
        <f>CHOOSE(CONTROL!$C$42, 12.4507, 12.4507) * CHOOSE(CONTROL!$C$21, $C$9, 100%, $E$9)</f>
        <v>12.450699999999999</v>
      </c>
      <c r="T2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7">
        <f>(1000*CHOOSE(CONTROL!$C$42, 695, 695)*CHOOSE(CONTROL!$C$42, 0.5599, 0.5599)*CHOOSE(CONTROL!$C$42, 30, 30))/1000000</f>
        <v>11.673914999999997</v>
      </c>
      <c r="V268" s="57">
        <f>(1000*CHOOSE(CONTROL!$C$42, 500, 500)*CHOOSE(CONTROL!$C$42, 0.275, 0.275)*CHOOSE(CONTROL!$C$42, 30, 30))/1000000</f>
        <v>4.125</v>
      </c>
      <c r="W268" s="57">
        <f>(1000*CHOOSE(CONTROL!$C$42, 0.1146, 0.1146)*CHOOSE(CONTROL!$C$42, 121.5, 121.5)*CHOOSE(CONTROL!$C$42, 30, 30))/1000000</f>
        <v>0.417717</v>
      </c>
      <c r="X268" s="57">
        <f>(30*0.1790888*245000/1000000)+(30*0.2374*100000/1000000)</f>
        <v>2.0285026799999999</v>
      </c>
      <c r="Y268" s="57"/>
      <c r="Z268" s="14"/>
      <c r="AA268" s="56"/>
      <c r="AB268" s="50">
        <f>(B268*141.293+C268*267.993+D268*115.016+E268*89.698+F268*40+G268*185+H268*0+I268*100+J268*300)/(141.293+267.993+115.016+89.698+0+40+185+100+300)</f>
        <v>13.004772373446329</v>
      </c>
      <c r="AC268" s="45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12.772904316546763</v>
      </c>
    </row>
    <row r="269" spans="1:29" ht="15.75" x14ac:dyDescent="0.25">
      <c r="A269" s="13">
        <v>49065</v>
      </c>
      <c r="B269" s="14">
        <f>CHOOSE(CONTROL!$C$42, 13.0827, 13.0827) * CHOOSE(CONTROL!$C$21, $C$9, 100%, $E$9)</f>
        <v>13.082700000000001</v>
      </c>
      <c r="C269" s="14">
        <f>CHOOSE(CONTROL!$C$42, 13.0907, 13.0907) * CHOOSE(CONTROL!$C$21, $C$9, 100%, $E$9)</f>
        <v>13.0907</v>
      </c>
      <c r="D269" s="14">
        <f>CHOOSE(CONTROL!$C$42, 13.2957, 13.2957) * CHOOSE(CONTROL!$C$21, $C$9, 100%, $E$9)</f>
        <v>13.2957</v>
      </c>
      <c r="E269" s="14">
        <f>CHOOSE(CONTROL!$C$42, 13.3272, 13.3272) * CHOOSE(CONTROL!$C$21, $C$9, 100%, $E$9)</f>
        <v>13.327199999999999</v>
      </c>
      <c r="F269" s="14">
        <f>CHOOSE(CONTROL!$C$42, 13.0689, 13.0689)*CHOOSE(CONTROL!$C$21, $C$9, 100%, $E$9)</f>
        <v>13.068899999999999</v>
      </c>
      <c r="G269" s="14">
        <f>CHOOSE(CONTROL!$C$42, 13.0853, 13.0853)*CHOOSE(CONTROL!$C$21, $C$9, 100%, $E$9)</f>
        <v>13.0853</v>
      </c>
      <c r="H269" s="14">
        <f>CHOOSE(CONTROL!$C$42, 13.3158, 13.3158) * CHOOSE(CONTROL!$C$21, $C$9, 100%, $E$9)</f>
        <v>13.315799999999999</v>
      </c>
      <c r="I269" s="14">
        <f>CHOOSE(CONTROL!$C$42, 13.1317, 13.1317)* CHOOSE(CONTROL!$C$21, $C$9, 100%, $E$9)</f>
        <v>13.1317</v>
      </c>
      <c r="J269" s="14">
        <f>CHOOSE(CONTROL!$C$42, 13.0619, 13.0619)* CHOOSE(CONTROL!$C$21, $C$9, 100%, $E$9)</f>
        <v>13.0619</v>
      </c>
      <c r="K269" s="53">
        <f>CHOOSE(CONTROL!$C$42, 13.1279, 13.1279) * CHOOSE(CONTROL!$C$21, $C$9, 100%, $E$9)</f>
        <v>13.1279</v>
      </c>
      <c r="L269" s="14">
        <f>CHOOSE(CONTROL!$C$42, 13.9028, 13.9028) * CHOOSE(CONTROL!$C$21, $C$9, 100%, $E$9)</f>
        <v>13.902799999999999</v>
      </c>
      <c r="M269" s="14">
        <f>CHOOSE(CONTROL!$C$42, 12.802, 12.802) * CHOOSE(CONTROL!$C$21, $C$9, 100%, $E$9)</f>
        <v>12.802</v>
      </c>
      <c r="N269" s="14">
        <f>CHOOSE(CONTROL!$C$42, 12.818, 12.818) * CHOOSE(CONTROL!$C$21, $C$9, 100%, $E$9)</f>
        <v>12.818</v>
      </c>
      <c r="O269" s="14">
        <f>CHOOSE(CONTROL!$C$42, 13.0507, 13.0507) * CHOOSE(CONTROL!$C$21, $C$9, 100%, $E$9)</f>
        <v>13.050700000000001</v>
      </c>
      <c r="P269" s="14">
        <f>CHOOSE(CONTROL!$C$42, 12.8696, 12.8696) * CHOOSE(CONTROL!$C$21, $C$9, 100%, $E$9)</f>
        <v>12.8696</v>
      </c>
      <c r="Q269" s="14">
        <f>CHOOSE(CONTROL!$C$42, 13.6454, 13.6454) * CHOOSE(CONTROL!$C$21, $C$9, 100%, $E$9)</f>
        <v>13.6454</v>
      </c>
      <c r="R269" s="14">
        <f>CHOOSE(CONTROL!$C$42, 14.2665, 14.2665) * CHOOSE(CONTROL!$C$21, $C$9, 100%, $E$9)</f>
        <v>14.266500000000001</v>
      </c>
      <c r="S269" s="14">
        <f>CHOOSE(CONTROL!$C$42, 12.5606, 12.5606) * CHOOSE(CONTROL!$C$21, $C$9, 100%, $E$9)</f>
        <v>12.560600000000001</v>
      </c>
      <c r="T2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7">
        <f>(1000*CHOOSE(CONTROL!$C$42, 695, 695)*CHOOSE(CONTROL!$C$42, 0.5599, 0.5599)*CHOOSE(CONTROL!$C$42, 31, 31))/1000000</f>
        <v>12.063045499999998</v>
      </c>
      <c r="V269" s="57">
        <f>(1000*CHOOSE(CONTROL!$C$42, 500, 500)*CHOOSE(CONTROL!$C$42, 0.275, 0.275)*CHOOSE(CONTROL!$C$42, 31, 31))/1000000</f>
        <v>4.2625000000000002</v>
      </c>
      <c r="W269" s="57">
        <f>(1000*CHOOSE(CONTROL!$C$42, 0.1146, 0.1146)*CHOOSE(CONTROL!$C$42, 121.5, 121.5)*CHOOSE(CONTROL!$C$42, 31, 31))/1000000</f>
        <v>0.43164089999999994</v>
      </c>
      <c r="X269" s="57">
        <f>(31*0.1790888*245000/1000000)+(31*0.2374*100000/1000000)</f>
        <v>2.0961194359999999</v>
      </c>
      <c r="Y269" s="57"/>
      <c r="Z269" s="14"/>
      <c r="AA269" s="56"/>
      <c r="AB269" s="50">
        <f>(B269*194.205+C269*267.466+D269*133.845+E269*53.484+F269*40+G269*185+H269*0+I269*100+J269*300)/(194.205+267.466+133.845+53.484+0+40+185+100+300)</f>
        <v>13.115913933281005</v>
      </c>
      <c r="AC269" s="45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12.885189208633093</v>
      </c>
    </row>
    <row r="270" spans="1:29" ht="15.75" x14ac:dyDescent="0.25">
      <c r="A270" s="13">
        <v>49096</v>
      </c>
      <c r="B270" s="14">
        <f>CHOOSE(CONTROL!$C$42, 13.4535, 13.4535) * CHOOSE(CONTROL!$C$21, $C$9, 100%, $E$9)</f>
        <v>13.4535</v>
      </c>
      <c r="C270" s="14">
        <f>CHOOSE(CONTROL!$C$42, 13.4615, 13.4615) * CHOOSE(CONTROL!$C$21, $C$9, 100%, $E$9)</f>
        <v>13.461499999999999</v>
      </c>
      <c r="D270" s="14">
        <f>CHOOSE(CONTROL!$C$42, 13.6665, 13.6665) * CHOOSE(CONTROL!$C$21, $C$9, 100%, $E$9)</f>
        <v>13.666499999999999</v>
      </c>
      <c r="E270" s="14">
        <f>CHOOSE(CONTROL!$C$42, 13.6979, 13.6979) * CHOOSE(CONTROL!$C$21, $C$9, 100%, $E$9)</f>
        <v>13.697900000000001</v>
      </c>
      <c r="F270" s="14">
        <f>CHOOSE(CONTROL!$C$42, 13.44, 13.44)*CHOOSE(CONTROL!$C$21, $C$9, 100%, $E$9)</f>
        <v>13.44</v>
      </c>
      <c r="G270" s="14">
        <f>CHOOSE(CONTROL!$C$42, 13.4566, 13.4566)*CHOOSE(CONTROL!$C$21, $C$9, 100%, $E$9)</f>
        <v>13.4566</v>
      </c>
      <c r="H270" s="14">
        <f>CHOOSE(CONTROL!$C$42, 13.6866, 13.6866) * CHOOSE(CONTROL!$C$21, $C$9, 100%, $E$9)</f>
        <v>13.6866</v>
      </c>
      <c r="I270" s="14">
        <f>CHOOSE(CONTROL!$C$42, 13.5037, 13.5037)* CHOOSE(CONTROL!$C$21, $C$9, 100%, $E$9)</f>
        <v>13.5037</v>
      </c>
      <c r="J270" s="14">
        <f>CHOOSE(CONTROL!$C$42, 13.433, 13.433)* CHOOSE(CONTROL!$C$21, $C$9, 100%, $E$9)</f>
        <v>13.433</v>
      </c>
      <c r="K270" s="53">
        <f>CHOOSE(CONTROL!$C$42, 13.4998, 13.4998) * CHOOSE(CONTROL!$C$21, $C$9, 100%, $E$9)</f>
        <v>13.4998</v>
      </c>
      <c r="L270" s="14">
        <f>CHOOSE(CONTROL!$C$42, 14.2736, 14.2736) * CHOOSE(CONTROL!$C$21, $C$9, 100%, $E$9)</f>
        <v>14.2736</v>
      </c>
      <c r="M270" s="14">
        <f>CHOOSE(CONTROL!$C$42, 13.1655, 13.1655) * CHOOSE(CONTROL!$C$21, $C$9, 100%, $E$9)</f>
        <v>13.1655</v>
      </c>
      <c r="N270" s="14">
        <f>CHOOSE(CONTROL!$C$42, 13.1817, 13.1817) * CHOOSE(CONTROL!$C$21, $C$9, 100%, $E$9)</f>
        <v>13.181699999999999</v>
      </c>
      <c r="O270" s="14">
        <f>CHOOSE(CONTROL!$C$42, 13.4138, 13.4138) * CHOOSE(CONTROL!$C$21, $C$9, 100%, $E$9)</f>
        <v>13.4138</v>
      </c>
      <c r="P270" s="14">
        <f>CHOOSE(CONTROL!$C$42, 13.2339, 13.2339) * CHOOSE(CONTROL!$C$21, $C$9, 100%, $E$9)</f>
        <v>13.2339</v>
      </c>
      <c r="Q270" s="14">
        <f>CHOOSE(CONTROL!$C$42, 14.0085, 14.0085) * CHOOSE(CONTROL!$C$21, $C$9, 100%, $E$9)</f>
        <v>14.0085</v>
      </c>
      <c r="R270" s="14">
        <f>CHOOSE(CONTROL!$C$42, 14.6306, 14.6306) * CHOOSE(CONTROL!$C$21, $C$9, 100%, $E$9)</f>
        <v>14.630599999999999</v>
      </c>
      <c r="S270" s="14">
        <f>CHOOSE(CONTROL!$C$42, 12.9168, 12.9168) * CHOOSE(CONTROL!$C$21, $C$9, 100%, $E$9)</f>
        <v>12.9168</v>
      </c>
      <c r="T2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7">
        <f>(1000*CHOOSE(CONTROL!$C$42, 695, 695)*CHOOSE(CONTROL!$C$42, 0.5599, 0.5599)*CHOOSE(CONTROL!$C$42, 30, 30))/1000000</f>
        <v>11.673914999999997</v>
      </c>
      <c r="V270" s="57">
        <f>(1000*CHOOSE(CONTROL!$C$42, 500, 500)*CHOOSE(CONTROL!$C$42, 0.275, 0.275)*CHOOSE(CONTROL!$C$42, 30, 30))/1000000</f>
        <v>4.125</v>
      </c>
      <c r="W270" s="57">
        <f>(1000*CHOOSE(CONTROL!$C$42, 0.1146, 0.1146)*CHOOSE(CONTROL!$C$42, 121.5, 121.5)*CHOOSE(CONTROL!$C$42, 30, 30))/1000000</f>
        <v>0.417717</v>
      </c>
      <c r="X270" s="57">
        <f>(30*0.1790888*245000/1000000)+(30*0.2374*100000/1000000)</f>
        <v>2.0285026799999999</v>
      </c>
      <c r="Y270" s="57"/>
      <c r="Z270" s="14"/>
      <c r="AA270" s="56"/>
      <c r="AB270" s="50">
        <f>(B270*194.205+C270*267.466+D270*133.845+E270*53.484+F270*40+G270*185+H270*0+I270*100+J270*300)/(194.205+267.466+133.845+53.484+0+40+185+100+300)</f>
        <v>13.48695659544741</v>
      </c>
      <c r="AC270" s="45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13.248738129496402</v>
      </c>
    </row>
    <row r="271" spans="1:29" ht="15.75" x14ac:dyDescent="0.25">
      <c r="A271" s="13">
        <v>49126</v>
      </c>
      <c r="B271" s="14">
        <f>CHOOSE(CONTROL!$C$42, 13.1956, 13.1956) * CHOOSE(CONTROL!$C$21, $C$9, 100%, $E$9)</f>
        <v>13.195600000000001</v>
      </c>
      <c r="C271" s="14">
        <f>CHOOSE(CONTROL!$C$42, 13.2036, 13.2036) * CHOOSE(CONTROL!$C$21, $C$9, 100%, $E$9)</f>
        <v>13.2036</v>
      </c>
      <c r="D271" s="14">
        <f>CHOOSE(CONTROL!$C$42, 13.4086, 13.4086) * CHOOSE(CONTROL!$C$21, $C$9, 100%, $E$9)</f>
        <v>13.4086</v>
      </c>
      <c r="E271" s="14">
        <f>CHOOSE(CONTROL!$C$42, 13.4401, 13.4401) * CHOOSE(CONTROL!$C$21, $C$9, 100%, $E$9)</f>
        <v>13.440099999999999</v>
      </c>
      <c r="F271" s="14">
        <f>CHOOSE(CONTROL!$C$42, 13.1826, 13.1826)*CHOOSE(CONTROL!$C$21, $C$9, 100%, $E$9)</f>
        <v>13.182600000000001</v>
      </c>
      <c r="G271" s="14">
        <f>CHOOSE(CONTROL!$C$42, 13.1992, 13.1992)*CHOOSE(CONTROL!$C$21, $C$9, 100%, $E$9)</f>
        <v>13.199199999999999</v>
      </c>
      <c r="H271" s="14">
        <f>CHOOSE(CONTROL!$C$42, 13.4287, 13.4287) * CHOOSE(CONTROL!$C$21, $C$9, 100%, $E$9)</f>
        <v>13.428699999999999</v>
      </c>
      <c r="I271" s="14">
        <f>CHOOSE(CONTROL!$C$42, 13.245, 13.245)* CHOOSE(CONTROL!$C$21, $C$9, 100%, $E$9)</f>
        <v>13.244999999999999</v>
      </c>
      <c r="J271" s="14">
        <f>CHOOSE(CONTROL!$C$42, 13.1756, 13.1756)* CHOOSE(CONTROL!$C$21, $C$9, 100%, $E$9)</f>
        <v>13.175599999999999</v>
      </c>
      <c r="K271" s="53">
        <f>CHOOSE(CONTROL!$C$42, 13.2411, 13.2411) * CHOOSE(CONTROL!$C$21, $C$9, 100%, $E$9)</f>
        <v>13.241099999999999</v>
      </c>
      <c r="L271" s="14">
        <f>CHOOSE(CONTROL!$C$42, 14.0157, 14.0157) * CHOOSE(CONTROL!$C$21, $C$9, 100%, $E$9)</f>
        <v>14.015700000000001</v>
      </c>
      <c r="M271" s="14">
        <f>CHOOSE(CONTROL!$C$42, 12.9133, 12.9133) * CHOOSE(CONTROL!$C$21, $C$9, 100%, $E$9)</f>
        <v>12.9133</v>
      </c>
      <c r="N271" s="14">
        <f>CHOOSE(CONTROL!$C$42, 12.9296, 12.9296) * CHOOSE(CONTROL!$C$21, $C$9, 100%, $E$9)</f>
        <v>12.929600000000001</v>
      </c>
      <c r="O271" s="14">
        <f>CHOOSE(CONTROL!$C$42, 13.1613, 13.1613) * CHOOSE(CONTROL!$C$21, $C$9, 100%, $E$9)</f>
        <v>13.161300000000001</v>
      </c>
      <c r="P271" s="14">
        <f>CHOOSE(CONTROL!$C$42, 12.9806, 12.9806) * CHOOSE(CONTROL!$C$21, $C$9, 100%, $E$9)</f>
        <v>12.980600000000001</v>
      </c>
      <c r="Q271" s="14">
        <f>CHOOSE(CONTROL!$C$42, 13.756, 13.756) * CHOOSE(CONTROL!$C$21, $C$9, 100%, $E$9)</f>
        <v>13.756</v>
      </c>
      <c r="R271" s="14">
        <f>CHOOSE(CONTROL!$C$42, 14.3774, 14.3774) * CHOOSE(CONTROL!$C$21, $C$9, 100%, $E$9)</f>
        <v>14.3774</v>
      </c>
      <c r="S271" s="14">
        <f>CHOOSE(CONTROL!$C$42, 12.669, 12.669) * CHOOSE(CONTROL!$C$21, $C$9, 100%, $E$9)</f>
        <v>12.669</v>
      </c>
      <c r="T2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7">
        <f>(1000*CHOOSE(CONTROL!$C$42, 695, 695)*CHOOSE(CONTROL!$C$42, 0.5599, 0.5599)*CHOOSE(CONTROL!$C$42, 31, 31))/1000000</f>
        <v>12.063045499999998</v>
      </c>
      <c r="V271" s="57">
        <f>(1000*CHOOSE(CONTROL!$C$42, 500, 500)*CHOOSE(CONTROL!$C$42, 0.275, 0.275)*CHOOSE(CONTROL!$C$42, 31, 31))/1000000</f>
        <v>4.2625000000000002</v>
      </c>
      <c r="W271" s="57">
        <f>(1000*CHOOSE(CONTROL!$C$42, 0.1146, 0.1146)*CHOOSE(CONTROL!$C$42, 121.5, 121.5)*CHOOSE(CONTROL!$C$42, 31, 31))/1000000</f>
        <v>0.43164089999999994</v>
      </c>
      <c r="X271" s="57">
        <f>(31*0.1790888*245000/1000000)+(31*0.2374*100000/1000000)</f>
        <v>2.0961194359999999</v>
      </c>
      <c r="Y271" s="57"/>
      <c r="Z271" s="14"/>
      <c r="AA271" s="56"/>
      <c r="AB271" s="50">
        <f>(B271*194.205+C271*267.466+D271*133.845+E271*53.484+F271*40+G271*185+H271*0+I271*100+J271*300)/(194.205+267.466+133.845+53.484+0+40+185+100+300)</f>
        <v>13.229204043171114</v>
      </c>
      <c r="AC271" s="45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12.99631870503597</v>
      </c>
    </row>
    <row r="272" spans="1:29" ht="15.75" x14ac:dyDescent="0.25">
      <c r="A272" s="13">
        <v>49157</v>
      </c>
      <c r="B272" s="14">
        <f>CHOOSE(CONTROL!$C$42, 12.5444, 12.5444) * CHOOSE(CONTROL!$C$21, $C$9, 100%, $E$9)</f>
        <v>12.5444</v>
      </c>
      <c r="C272" s="14">
        <f>CHOOSE(CONTROL!$C$42, 12.5524, 12.5524) * CHOOSE(CONTROL!$C$21, $C$9, 100%, $E$9)</f>
        <v>12.5524</v>
      </c>
      <c r="D272" s="14">
        <f>CHOOSE(CONTROL!$C$42, 12.7574, 12.7574) * CHOOSE(CONTROL!$C$21, $C$9, 100%, $E$9)</f>
        <v>12.757400000000001</v>
      </c>
      <c r="E272" s="14">
        <f>CHOOSE(CONTROL!$C$42, 12.7889, 12.7889) * CHOOSE(CONTROL!$C$21, $C$9, 100%, $E$9)</f>
        <v>12.7889</v>
      </c>
      <c r="F272" s="14">
        <f>CHOOSE(CONTROL!$C$42, 12.5316, 12.5316)*CHOOSE(CONTROL!$C$21, $C$9, 100%, $E$9)</f>
        <v>12.531599999999999</v>
      </c>
      <c r="G272" s="14">
        <f>CHOOSE(CONTROL!$C$42, 12.5483, 12.5483)*CHOOSE(CONTROL!$C$21, $C$9, 100%, $E$9)</f>
        <v>12.548299999999999</v>
      </c>
      <c r="H272" s="14">
        <f>CHOOSE(CONTROL!$C$42, 12.7775, 12.7775) * CHOOSE(CONTROL!$C$21, $C$9, 100%, $E$9)</f>
        <v>12.7775</v>
      </c>
      <c r="I272" s="14">
        <f>CHOOSE(CONTROL!$C$42, 12.5918, 12.5918)* CHOOSE(CONTROL!$C$21, $C$9, 100%, $E$9)</f>
        <v>12.591799999999999</v>
      </c>
      <c r="J272" s="14">
        <f>CHOOSE(CONTROL!$C$42, 12.5246, 12.5246)* CHOOSE(CONTROL!$C$21, $C$9, 100%, $E$9)</f>
        <v>12.5246</v>
      </c>
      <c r="K272" s="53">
        <f>CHOOSE(CONTROL!$C$42, 12.5879, 12.5879) * CHOOSE(CONTROL!$C$21, $C$9, 100%, $E$9)</f>
        <v>12.587899999999999</v>
      </c>
      <c r="L272" s="14">
        <f>CHOOSE(CONTROL!$C$42, 13.3645, 13.3645) * CHOOSE(CONTROL!$C$21, $C$9, 100%, $E$9)</f>
        <v>13.3645</v>
      </c>
      <c r="M272" s="14">
        <f>CHOOSE(CONTROL!$C$42, 12.2757, 12.2757) * CHOOSE(CONTROL!$C$21, $C$9, 100%, $E$9)</f>
        <v>12.275700000000001</v>
      </c>
      <c r="N272" s="14">
        <f>CHOOSE(CONTROL!$C$42, 12.292, 12.292) * CHOOSE(CONTROL!$C$21, $C$9, 100%, $E$9)</f>
        <v>12.292</v>
      </c>
      <c r="O272" s="14">
        <f>CHOOSE(CONTROL!$C$42, 12.5234, 12.5234) * CHOOSE(CONTROL!$C$21, $C$9, 100%, $E$9)</f>
        <v>12.523400000000001</v>
      </c>
      <c r="P272" s="14">
        <f>CHOOSE(CONTROL!$C$42, 12.3407, 12.3407) * CHOOSE(CONTROL!$C$21, $C$9, 100%, $E$9)</f>
        <v>12.3407</v>
      </c>
      <c r="Q272" s="14">
        <f>CHOOSE(CONTROL!$C$42, 13.1181, 13.1181) * CHOOSE(CONTROL!$C$21, $C$9, 100%, $E$9)</f>
        <v>13.1181</v>
      </c>
      <c r="R272" s="14">
        <f>CHOOSE(CONTROL!$C$42, 13.7379, 13.7379) * CHOOSE(CONTROL!$C$21, $C$9, 100%, $E$9)</f>
        <v>13.7379</v>
      </c>
      <c r="S272" s="14">
        <f>CHOOSE(CONTROL!$C$42, 12.0433, 12.0433) * CHOOSE(CONTROL!$C$21, $C$9, 100%, $E$9)</f>
        <v>12.0433</v>
      </c>
      <c r="T2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7">
        <f>(1000*CHOOSE(CONTROL!$C$42, 695, 695)*CHOOSE(CONTROL!$C$42, 0.5599, 0.5599)*CHOOSE(CONTROL!$C$42, 31, 31))/1000000</f>
        <v>12.063045499999998</v>
      </c>
      <c r="V272" s="57">
        <f>(1000*CHOOSE(CONTROL!$C$42, 500, 500)*CHOOSE(CONTROL!$C$42, 0.275, 0.275)*CHOOSE(CONTROL!$C$42, 31, 31))/1000000</f>
        <v>4.2625000000000002</v>
      </c>
      <c r="W272" s="57">
        <f>(1000*CHOOSE(CONTROL!$C$42, 0.1146, 0.1146)*CHOOSE(CONTROL!$C$42, 121.5, 121.5)*CHOOSE(CONTROL!$C$42, 31, 31))/1000000</f>
        <v>0.43164089999999994</v>
      </c>
      <c r="X272" s="57">
        <f>(31*0.1790888*245000/1000000)+(31*0.2374*100000/1000000)</f>
        <v>2.0961194359999999</v>
      </c>
      <c r="Y272" s="57"/>
      <c r="Z272" s="14"/>
      <c r="AA272" s="56"/>
      <c r="AB272" s="50">
        <f>(B272*194.205+C272*267.466+D272*133.845+E272*53.484+F272*40+G272*185+H272*0+I272*100+J272*300)/(194.205+267.466+133.845+53.484+0+40+185+100+300)</f>
        <v>12.577943996075353</v>
      </c>
      <c r="AC272" s="45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12.358303597122303</v>
      </c>
    </row>
    <row r="273" spans="1:29" ht="15.75" x14ac:dyDescent="0.25">
      <c r="A273" s="13">
        <v>49188</v>
      </c>
      <c r="B273" s="14">
        <f>CHOOSE(CONTROL!$C$42, 11.7484, 11.7484) * CHOOSE(CONTROL!$C$21, $C$9, 100%, $E$9)</f>
        <v>11.7484</v>
      </c>
      <c r="C273" s="14">
        <f>CHOOSE(CONTROL!$C$42, 11.7564, 11.7564) * CHOOSE(CONTROL!$C$21, $C$9, 100%, $E$9)</f>
        <v>11.756399999999999</v>
      </c>
      <c r="D273" s="14">
        <f>CHOOSE(CONTROL!$C$42, 11.9614, 11.9614) * CHOOSE(CONTROL!$C$21, $C$9, 100%, $E$9)</f>
        <v>11.961399999999999</v>
      </c>
      <c r="E273" s="14">
        <f>CHOOSE(CONTROL!$C$42, 11.9929, 11.9929) * CHOOSE(CONTROL!$C$21, $C$9, 100%, $E$9)</f>
        <v>11.992900000000001</v>
      </c>
      <c r="F273" s="14">
        <f>CHOOSE(CONTROL!$C$42, 11.7355, 11.7355)*CHOOSE(CONTROL!$C$21, $C$9, 100%, $E$9)</f>
        <v>11.7355</v>
      </c>
      <c r="G273" s="14">
        <f>CHOOSE(CONTROL!$C$42, 11.7522, 11.7522)*CHOOSE(CONTROL!$C$21, $C$9, 100%, $E$9)</f>
        <v>11.7522</v>
      </c>
      <c r="H273" s="14">
        <f>CHOOSE(CONTROL!$C$42, 11.9815, 11.9815) * CHOOSE(CONTROL!$C$21, $C$9, 100%, $E$9)</f>
        <v>11.9815</v>
      </c>
      <c r="I273" s="14">
        <f>CHOOSE(CONTROL!$C$42, 11.7932, 11.7932)* CHOOSE(CONTROL!$C$21, $C$9, 100%, $E$9)</f>
        <v>11.793200000000001</v>
      </c>
      <c r="J273" s="14">
        <f>CHOOSE(CONTROL!$C$42, 11.7285, 11.7285)* CHOOSE(CONTROL!$C$21, $C$9, 100%, $E$9)</f>
        <v>11.7285</v>
      </c>
      <c r="K273" s="53">
        <f>CHOOSE(CONTROL!$C$42, 11.7893, 11.7893) * CHOOSE(CONTROL!$C$21, $C$9, 100%, $E$9)</f>
        <v>11.789300000000001</v>
      </c>
      <c r="L273" s="14">
        <f>CHOOSE(CONTROL!$C$42, 12.5685, 12.5685) * CHOOSE(CONTROL!$C$21, $C$9, 100%, $E$9)</f>
        <v>12.5685</v>
      </c>
      <c r="M273" s="14">
        <f>CHOOSE(CONTROL!$C$42, 11.4959, 11.4959) * CHOOSE(CONTROL!$C$21, $C$9, 100%, $E$9)</f>
        <v>11.495900000000001</v>
      </c>
      <c r="N273" s="14">
        <f>CHOOSE(CONTROL!$C$42, 11.5123, 11.5123) * CHOOSE(CONTROL!$C$21, $C$9, 100%, $E$9)</f>
        <v>11.5123</v>
      </c>
      <c r="O273" s="14">
        <f>CHOOSE(CONTROL!$C$42, 11.7437, 11.7437) * CHOOSE(CONTROL!$C$21, $C$9, 100%, $E$9)</f>
        <v>11.7437</v>
      </c>
      <c r="P273" s="14">
        <f>CHOOSE(CONTROL!$C$42, 11.5586, 11.5586) * CHOOSE(CONTROL!$C$21, $C$9, 100%, $E$9)</f>
        <v>11.5586</v>
      </c>
      <c r="Q273" s="14">
        <f>CHOOSE(CONTROL!$C$42, 12.3384, 12.3384) * CHOOSE(CONTROL!$C$21, $C$9, 100%, $E$9)</f>
        <v>12.3384</v>
      </c>
      <c r="R273" s="14">
        <f>CHOOSE(CONTROL!$C$42, 12.9562, 12.9562) * CHOOSE(CONTROL!$C$21, $C$9, 100%, $E$9)</f>
        <v>12.956200000000001</v>
      </c>
      <c r="S273" s="14">
        <f>CHOOSE(CONTROL!$C$42, 11.2784, 11.2784) * CHOOSE(CONTROL!$C$21, $C$9, 100%, $E$9)</f>
        <v>11.2784</v>
      </c>
      <c r="T2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7">
        <f>(1000*CHOOSE(CONTROL!$C$42, 695, 695)*CHOOSE(CONTROL!$C$42, 0.5599, 0.5599)*CHOOSE(CONTROL!$C$42, 30, 30))/1000000</f>
        <v>11.673914999999997</v>
      </c>
      <c r="V273" s="57">
        <f>(1000*CHOOSE(CONTROL!$C$42, 500, 500)*CHOOSE(CONTROL!$C$42, 0.275, 0.275)*CHOOSE(CONTROL!$C$42, 30, 30))/1000000</f>
        <v>4.125</v>
      </c>
      <c r="W273" s="57">
        <f>(1000*CHOOSE(CONTROL!$C$42, 0.1146, 0.1146)*CHOOSE(CONTROL!$C$42, 121.5, 121.5)*CHOOSE(CONTROL!$C$42, 30, 30))/1000000</f>
        <v>0.417717</v>
      </c>
      <c r="X273" s="57">
        <f>(30*0.1790888*245000/1000000)+(30*0.2374*100000/1000000)</f>
        <v>2.0285026799999999</v>
      </c>
      <c r="Y273" s="57"/>
      <c r="Z273" s="14"/>
      <c r="AA273" s="56"/>
      <c r="AB273" s="50">
        <f>(B273*194.205+C273*267.466+D273*133.845+E273*53.484+F273*40+G273*185+H273*0+I273*100+J273*300)/(194.205+267.466+133.845+53.484+0+40+185+100+300)</f>
        <v>11.78169870565149</v>
      </c>
      <c r="AC273" s="45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11.578223741007196</v>
      </c>
    </row>
    <row r="274" spans="1:29" ht="15.75" x14ac:dyDescent="0.25">
      <c r="A274" s="13">
        <v>49218</v>
      </c>
      <c r="B274" s="14">
        <f>CHOOSE(CONTROL!$C$42, 11.5083, 11.5083) * CHOOSE(CONTROL!$C$21, $C$9, 100%, $E$9)</f>
        <v>11.5083</v>
      </c>
      <c r="C274" s="14">
        <f>CHOOSE(CONTROL!$C$42, 11.5136, 11.5136) * CHOOSE(CONTROL!$C$21, $C$9, 100%, $E$9)</f>
        <v>11.5136</v>
      </c>
      <c r="D274" s="14">
        <f>CHOOSE(CONTROL!$C$42, 11.7236, 11.7236) * CHOOSE(CONTROL!$C$21, $C$9, 100%, $E$9)</f>
        <v>11.723599999999999</v>
      </c>
      <c r="E274" s="14">
        <f>CHOOSE(CONTROL!$C$42, 11.7527, 11.7527) * CHOOSE(CONTROL!$C$21, $C$9, 100%, $E$9)</f>
        <v>11.752700000000001</v>
      </c>
      <c r="F274" s="14">
        <f>CHOOSE(CONTROL!$C$42, 11.4975, 11.4975)*CHOOSE(CONTROL!$C$21, $C$9, 100%, $E$9)</f>
        <v>11.4975</v>
      </c>
      <c r="G274" s="14">
        <f>CHOOSE(CONTROL!$C$42, 11.5139, 11.5139)*CHOOSE(CONTROL!$C$21, $C$9, 100%, $E$9)</f>
        <v>11.5139</v>
      </c>
      <c r="H274" s="14">
        <f>CHOOSE(CONTROL!$C$42, 11.7432, 11.7432) * CHOOSE(CONTROL!$C$21, $C$9, 100%, $E$9)</f>
        <v>11.7432</v>
      </c>
      <c r="I274" s="14">
        <f>CHOOSE(CONTROL!$C$42, 11.5542, 11.5542)* CHOOSE(CONTROL!$C$21, $C$9, 100%, $E$9)</f>
        <v>11.5542</v>
      </c>
      <c r="J274" s="14">
        <f>CHOOSE(CONTROL!$C$42, 11.4905, 11.4905)* CHOOSE(CONTROL!$C$21, $C$9, 100%, $E$9)</f>
        <v>11.490500000000001</v>
      </c>
      <c r="K274" s="53">
        <f>CHOOSE(CONTROL!$C$42, 11.5503, 11.5503) * CHOOSE(CONTROL!$C$21, $C$9, 100%, $E$9)</f>
        <v>11.5503</v>
      </c>
      <c r="L274" s="14">
        <f>CHOOSE(CONTROL!$C$42, 12.3302, 12.3302) * CHOOSE(CONTROL!$C$21, $C$9, 100%, $E$9)</f>
        <v>12.3302</v>
      </c>
      <c r="M274" s="14">
        <f>CHOOSE(CONTROL!$C$42, 11.2628, 11.2628) * CHOOSE(CONTROL!$C$21, $C$9, 100%, $E$9)</f>
        <v>11.2628</v>
      </c>
      <c r="N274" s="14">
        <f>CHOOSE(CONTROL!$C$42, 11.2788, 11.2788) * CHOOSE(CONTROL!$C$21, $C$9, 100%, $E$9)</f>
        <v>11.2788</v>
      </c>
      <c r="O274" s="14">
        <f>CHOOSE(CONTROL!$C$42, 11.5103, 11.5103) * CHOOSE(CONTROL!$C$21, $C$9, 100%, $E$9)</f>
        <v>11.510300000000001</v>
      </c>
      <c r="P274" s="14">
        <f>CHOOSE(CONTROL!$C$42, 11.3245, 11.3245) * CHOOSE(CONTROL!$C$21, $C$9, 100%, $E$9)</f>
        <v>11.3245</v>
      </c>
      <c r="Q274" s="14">
        <f>CHOOSE(CONTROL!$C$42, 12.105, 12.105) * CHOOSE(CONTROL!$C$21, $C$9, 100%, $E$9)</f>
        <v>12.105</v>
      </c>
      <c r="R274" s="14">
        <f>CHOOSE(CONTROL!$C$42, 12.7222, 12.7222) * CHOOSE(CONTROL!$C$21, $C$9, 100%, $E$9)</f>
        <v>12.722200000000001</v>
      </c>
      <c r="S274" s="14">
        <f>CHOOSE(CONTROL!$C$42, 11.0494, 11.0494) * CHOOSE(CONTROL!$C$21, $C$9, 100%, $E$9)</f>
        <v>11.0494</v>
      </c>
      <c r="T2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7">
        <f>(1000*CHOOSE(CONTROL!$C$42, 695, 695)*CHOOSE(CONTROL!$C$42, 0.5599, 0.5599)*CHOOSE(CONTROL!$C$42, 31, 31))/1000000</f>
        <v>12.063045499999998</v>
      </c>
      <c r="V274" s="57">
        <f>(1000*CHOOSE(CONTROL!$C$42, 500, 500)*CHOOSE(CONTROL!$C$42, 0.275, 0.275)*CHOOSE(CONTROL!$C$42, 31, 31))/1000000</f>
        <v>4.2625000000000002</v>
      </c>
      <c r="W274" s="57">
        <f>(1000*CHOOSE(CONTROL!$C$42, 0.1146, 0.1146)*CHOOSE(CONTROL!$C$42, 121.5, 121.5)*CHOOSE(CONTROL!$C$42, 31, 31))/1000000</f>
        <v>0.43164089999999994</v>
      </c>
      <c r="X274" s="57">
        <f>(31*0.1790888*245000/1000000)+(31*0.2374*100000/1000000)</f>
        <v>2.0961194359999999</v>
      </c>
      <c r="Y274" s="57"/>
      <c r="Z274" s="14"/>
      <c r="AA274" s="56"/>
      <c r="AB274" s="50">
        <f>(B274*131.881+C274*277.167+D274*79.08+E274*125.872+F274*40+G274*185+H274*0+I274*100+J274*300)/(131.881+277.167+79.08+125.872+0+40+185+100+300)</f>
        <v>11.547938438983051</v>
      </c>
      <c r="AC274" s="45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11.344803597122302</v>
      </c>
    </row>
    <row r="275" spans="1:29" ht="15.75" x14ac:dyDescent="0.25">
      <c r="A275" s="13">
        <v>49249</v>
      </c>
      <c r="B275" s="14">
        <f>CHOOSE(CONTROL!$C$42, 11.8108, 11.8108) * CHOOSE(CONTROL!$C$21, $C$9, 100%, $E$9)</f>
        <v>11.8108</v>
      </c>
      <c r="C275" s="14">
        <f>CHOOSE(CONTROL!$C$42, 11.8159, 11.8159) * CHOOSE(CONTROL!$C$21, $C$9, 100%, $E$9)</f>
        <v>11.815899999999999</v>
      </c>
      <c r="D275" s="14">
        <f>CHOOSE(CONTROL!$C$42, 11.8797, 11.8797) * CHOOSE(CONTROL!$C$21, $C$9, 100%, $E$9)</f>
        <v>11.8797</v>
      </c>
      <c r="E275" s="14">
        <f>CHOOSE(CONTROL!$C$42, 11.9138, 11.9138) * CHOOSE(CONTROL!$C$21, $C$9, 100%, $E$9)</f>
        <v>11.9138</v>
      </c>
      <c r="F275" s="14">
        <f>CHOOSE(CONTROL!$C$42, 11.8131, 11.8131)*CHOOSE(CONTROL!$C$21, $C$9, 100%, $E$9)</f>
        <v>11.8131</v>
      </c>
      <c r="G275" s="14">
        <f>CHOOSE(CONTROL!$C$42, 11.8297, 11.8297)*CHOOSE(CONTROL!$C$21, $C$9, 100%, $E$9)</f>
        <v>11.829700000000001</v>
      </c>
      <c r="H275" s="14">
        <f>CHOOSE(CONTROL!$C$42, 11.903, 11.903) * CHOOSE(CONTROL!$C$21, $C$9, 100%, $E$9)</f>
        <v>11.903</v>
      </c>
      <c r="I275" s="14">
        <f>CHOOSE(CONTROL!$C$42, 11.8617, 11.8617)* CHOOSE(CONTROL!$C$21, $C$9, 100%, $E$9)</f>
        <v>11.861700000000001</v>
      </c>
      <c r="J275" s="14">
        <f>CHOOSE(CONTROL!$C$42, 11.8061, 11.8061)* CHOOSE(CONTROL!$C$21, $C$9, 100%, $E$9)</f>
        <v>11.806100000000001</v>
      </c>
      <c r="K275" s="53">
        <f>CHOOSE(CONTROL!$C$42, 11.8578, 11.8578) * CHOOSE(CONTROL!$C$21, $C$9, 100%, $E$9)</f>
        <v>11.857799999999999</v>
      </c>
      <c r="L275" s="14">
        <f>CHOOSE(CONTROL!$C$42, 12.49, 12.49) * CHOOSE(CONTROL!$C$21, $C$9, 100%, $E$9)</f>
        <v>12.49</v>
      </c>
      <c r="M275" s="14">
        <f>CHOOSE(CONTROL!$C$42, 11.5719, 11.5719) * CHOOSE(CONTROL!$C$21, $C$9, 100%, $E$9)</f>
        <v>11.571899999999999</v>
      </c>
      <c r="N275" s="14">
        <f>CHOOSE(CONTROL!$C$42, 11.5882, 11.5882) * CHOOSE(CONTROL!$C$21, $C$9, 100%, $E$9)</f>
        <v>11.588200000000001</v>
      </c>
      <c r="O275" s="14">
        <f>CHOOSE(CONTROL!$C$42, 11.6668, 11.6668) * CHOOSE(CONTROL!$C$21, $C$9, 100%, $E$9)</f>
        <v>11.6668</v>
      </c>
      <c r="P275" s="14">
        <f>CHOOSE(CONTROL!$C$42, 11.6257, 11.6257) * CHOOSE(CONTROL!$C$21, $C$9, 100%, $E$9)</f>
        <v>11.6257</v>
      </c>
      <c r="Q275" s="14">
        <f>CHOOSE(CONTROL!$C$42, 12.2615, 12.2615) * CHOOSE(CONTROL!$C$21, $C$9, 100%, $E$9)</f>
        <v>12.2615</v>
      </c>
      <c r="R275" s="14">
        <f>CHOOSE(CONTROL!$C$42, 12.8792, 12.8792) * CHOOSE(CONTROL!$C$21, $C$9, 100%, $E$9)</f>
        <v>12.879200000000001</v>
      </c>
      <c r="S275" s="14">
        <f>CHOOSE(CONTROL!$C$42, 11.3405, 11.3405) * CHOOSE(CONTROL!$C$21, $C$9, 100%, $E$9)</f>
        <v>11.3405</v>
      </c>
      <c r="T2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7">
        <f>(1000*CHOOSE(CONTROL!$C$42, 695, 695)*CHOOSE(CONTROL!$C$42, 0.5599, 0.5599)*CHOOSE(CONTROL!$C$42, 30, 30))/1000000</f>
        <v>11.673914999999997</v>
      </c>
      <c r="V275" s="57">
        <f>(1000*CHOOSE(CONTROL!$C$42, 500, 500)*CHOOSE(CONTROL!$C$42, 0.275, 0.275)*CHOOSE(CONTROL!$C$42, 30, 30))/1000000</f>
        <v>4.125</v>
      </c>
      <c r="W275" s="57">
        <f>(1000*CHOOSE(CONTROL!$C$42, 0.1146, 0.1146)*CHOOSE(CONTROL!$C$42, 121.5, 121.5)*CHOOSE(CONTROL!$C$42, 30, 30))/1000000</f>
        <v>0.417717</v>
      </c>
      <c r="X275" s="57">
        <f>(30*0.1790888*100000/1000000)+(30*0.2374*100000/1000000)</f>
        <v>1.2494664</v>
      </c>
      <c r="Y275" s="57"/>
      <c r="Z275" s="14"/>
      <c r="AA275" s="56"/>
      <c r="AB275" s="50">
        <f>(B275*122.58+C275*297.941+D275*89.177+E275*40.302+F275*40+G275*160+H275*0+I275*100+J275*300)/(122.58+297.941+89.177+40.302+0+40+160+100+300)</f>
        <v>11.826983391652174</v>
      </c>
      <c r="AC275" s="45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11.623591366906473</v>
      </c>
    </row>
    <row r="276" spans="1:29" ht="15.75" x14ac:dyDescent="0.25">
      <c r="A276" s="13">
        <v>49279</v>
      </c>
      <c r="B276" s="14">
        <f>CHOOSE(CONTROL!$C$42, 12.6154, 12.6154) * CHOOSE(CONTROL!$C$21, $C$9, 100%, $E$9)</f>
        <v>12.615399999999999</v>
      </c>
      <c r="C276" s="14">
        <f>CHOOSE(CONTROL!$C$42, 12.6205, 12.6205) * CHOOSE(CONTROL!$C$21, $C$9, 100%, $E$9)</f>
        <v>12.6205</v>
      </c>
      <c r="D276" s="14">
        <f>CHOOSE(CONTROL!$C$42, 12.6843, 12.6843) * CHOOSE(CONTROL!$C$21, $C$9, 100%, $E$9)</f>
        <v>12.6843</v>
      </c>
      <c r="E276" s="14">
        <f>CHOOSE(CONTROL!$C$42, 12.7184, 12.7184) * CHOOSE(CONTROL!$C$21, $C$9, 100%, $E$9)</f>
        <v>12.718400000000001</v>
      </c>
      <c r="F276" s="14">
        <f>CHOOSE(CONTROL!$C$42, 12.6197, 12.6197)*CHOOSE(CONTROL!$C$21, $C$9, 100%, $E$9)</f>
        <v>12.6197</v>
      </c>
      <c r="G276" s="14">
        <f>CHOOSE(CONTROL!$C$42, 12.6369, 12.6369)*CHOOSE(CONTROL!$C$21, $C$9, 100%, $E$9)</f>
        <v>12.636900000000001</v>
      </c>
      <c r="H276" s="14">
        <f>CHOOSE(CONTROL!$C$42, 12.7076, 12.7076) * CHOOSE(CONTROL!$C$21, $C$9, 100%, $E$9)</f>
        <v>12.707599999999999</v>
      </c>
      <c r="I276" s="14">
        <f>CHOOSE(CONTROL!$C$42, 12.6688, 12.6688)* CHOOSE(CONTROL!$C$21, $C$9, 100%, $E$9)</f>
        <v>12.668799999999999</v>
      </c>
      <c r="J276" s="14">
        <f>CHOOSE(CONTROL!$C$42, 12.6127, 12.6127)* CHOOSE(CONTROL!$C$21, $C$9, 100%, $E$9)</f>
        <v>12.6127</v>
      </c>
      <c r="K276" s="53">
        <f>CHOOSE(CONTROL!$C$42, 12.6649, 12.6649) * CHOOSE(CONTROL!$C$21, $C$9, 100%, $E$9)</f>
        <v>12.664899999999999</v>
      </c>
      <c r="L276" s="14">
        <f>CHOOSE(CONTROL!$C$42, 13.2946, 13.2946) * CHOOSE(CONTROL!$C$21, $C$9, 100%, $E$9)</f>
        <v>13.294600000000001</v>
      </c>
      <c r="M276" s="14">
        <f>CHOOSE(CONTROL!$C$42, 12.362, 12.362) * CHOOSE(CONTROL!$C$21, $C$9, 100%, $E$9)</f>
        <v>12.362</v>
      </c>
      <c r="N276" s="14">
        <f>CHOOSE(CONTROL!$C$42, 12.3788, 12.3788) * CHOOSE(CONTROL!$C$21, $C$9, 100%, $E$9)</f>
        <v>12.3788</v>
      </c>
      <c r="O276" s="14">
        <f>CHOOSE(CONTROL!$C$42, 12.4549, 12.4549) * CHOOSE(CONTROL!$C$21, $C$9, 100%, $E$9)</f>
        <v>12.4549</v>
      </c>
      <c r="P276" s="14">
        <f>CHOOSE(CONTROL!$C$42, 12.4162, 12.4162) * CHOOSE(CONTROL!$C$21, $C$9, 100%, $E$9)</f>
        <v>12.4162</v>
      </c>
      <c r="Q276" s="14">
        <f>CHOOSE(CONTROL!$C$42, 13.0496, 13.0496) * CHOOSE(CONTROL!$C$21, $C$9, 100%, $E$9)</f>
        <v>13.0496</v>
      </c>
      <c r="R276" s="14">
        <f>CHOOSE(CONTROL!$C$42, 13.6692, 13.6692) * CHOOSE(CONTROL!$C$21, $C$9, 100%, $E$9)</f>
        <v>13.6692</v>
      </c>
      <c r="S276" s="14">
        <f>CHOOSE(CONTROL!$C$42, 12.1136, 12.1136) * CHOOSE(CONTROL!$C$21, $C$9, 100%, $E$9)</f>
        <v>12.1136</v>
      </c>
      <c r="T2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7">
        <f>(1000*CHOOSE(CONTROL!$C$42, 695, 695)*CHOOSE(CONTROL!$C$42, 0.5599, 0.5599)*CHOOSE(CONTROL!$C$42, 31, 31))/1000000</f>
        <v>12.063045499999998</v>
      </c>
      <c r="V276" s="57">
        <f>(1000*CHOOSE(CONTROL!$C$42, 500, 500)*CHOOSE(CONTROL!$C$42, 0.275, 0.275)*CHOOSE(CONTROL!$C$42, 31, 31))/1000000</f>
        <v>4.2625000000000002</v>
      </c>
      <c r="W276" s="57">
        <f>(1000*CHOOSE(CONTROL!$C$42, 0.1146, 0.1146)*CHOOSE(CONTROL!$C$42, 121.5, 121.5)*CHOOSE(CONTROL!$C$42, 31, 31))/1000000</f>
        <v>0.43164089999999994</v>
      </c>
      <c r="X276" s="57">
        <f>(31*0.1790888*100000/1000000)+(31*0.2374*100000/1000000)</f>
        <v>1.2911152800000001</v>
      </c>
      <c r="Y276" s="57"/>
      <c r="Z276" s="14"/>
      <c r="AA276" s="56"/>
      <c r="AB276" s="50">
        <f>(B276*122.58+C276*297.941+D276*89.177+E276*40.302+F276*40+G276*160+H276*0+I276*100+J276*300)/(122.58+297.941+89.177+40.302+0+40+160+100+300)</f>
        <v>12.632753826434783</v>
      </c>
      <c r="AC276" s="45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12.412871223021584</v>
      </c>
    </row>
    <row r="277" spans="1:29" ht="15.75" x14ac:dyDescent="0.25">
      <c r="A277" s="13">
        <v>49310</v>
      </c>
      <c r="B277" s="14">
        <f>CHOOSE(CONTROL!$C$42, 13.648, 13.648) * CHOOSE(CONTROL!$C$21, $C$9, 100%, $E$9)</f>
        <v>13.648</v>
      </c>
      <c r="C277" s="14">
        <f>CHOOSE(CONTROL!$C$42, 13.6531, 13.6531) * CHOOSE(CONTROL!$C$21, $C$9, 100%, $E$9)</f>
        <v>13.6531</v>
      </c>
      <c r="D277" s="14">
        <f>CHOOSE(CONTROL!$C$42, 13.7117, 13.7117) * CHOOSE(CONTROL!$C$21, $C$9, 100%, $E$9)</f>
        <v>13.7117</v>
      </c>
      <c r="E277" s="14">
        <f>CHOOSE(CONTROL!$C$42, 13.7458, 13.7458) * CHOOSE(CONTROL!$C$21, $C$9, 100%, $E$9)</f>
        <v>13.745799999999999</v>
      </c>
      <c r="F277" s="14">
        <f>CHOOSE(CONTROL!$C$42, 13.6471, 13.6471)*CHOOSE(CONTROL!$C$21, $C$9, 100%, $E$9)</f>
        <v>13.6471</v>
      </c>
      <c r="G277" s="14">
        <f>CHOOSE(CONTROL!$C$42, 13.6635, 13.6635)*CHOOSE(CONTROL!$C$21, $C$9, 100%, $E$9)</f>
        <v>13.663500000000001</v>
      </c>
      <c r="H277" s="14">
        <f>CHOOSE(CONTROL!$C$42, 13.735, 13.735) * CHOOSE(CONTROL!$C$21, $C$9, 100%, $E$9)</f>
        <v>13.734999999999999</v>
      </c>
      <c r="I277" s="14">
        <f>CHOOSE(CONTROL!$C$42, 13.701, 13.701)* CHOOSE(CONTROL!$C$21, $C$9, 100%, $E$9)</f>
        <v>13.701000000000001</v>
      </c>
      <c r="J277" s="14">
        <f>CHOOSE(CONTROL!$C$42, 13.6401, 13.6401)* CHOOSE(CONTROL!$C$21, $C$9, 100%, $E$9)</f>
        <v>13.6401</v>
      </c>
      <c r="K277" s="53">
        <f>CHOOSE(CONTROL!$C$42, 13.6971, 13.6971) * CHOOSE(CONTROL!$C$21, $C$9, 100%, $E$9)</f>
        <v>13.697100000000001</v>
      </c>
      <c r="L277" s="14">
        <f>CHOOSE(CONTROL!$C$42, 14.322, 14.322) * CHOOSE(CONTROL!$C$21, $C$9, 100%, $E$9)</f>
        <v>14.321999999999999</v>
      </c>
      <c r="M277" s="14">
        <f>CHOOSE(CONTROL!$C$42, 13.3683, 13.3683) * CHOOSE(CONTROL!$C$21, $C$9, 100%, $E$9)</f>
        <v>13.3683</v>
      </c>
      <c r="N277" s="14">
        <f>CHOOSE(CONTROL!$C$42, 13.3844, 13.3844) * CHOOSE(CONTROL!$C$21, $C$9, 100%, $E$9)</f>
        <v>13.384399999999999</v>
      </c>
      <c r="O277" s="14">
        <f>CHOOSE(CONTROL!$C$42, 13.4613, 13.4613) * CHOOSE(CONTROL!$C$21, $C$9, 100%, $E$9)</f>
        <v>13.4613</v>
      </c>
      <c r="P277" s="14">
        <f>CHOOSE(CONTROL!$C$42, 13.4272, 13.4272) * CHOOSE(CONTROL!$C$21, $C$9, 100%, $E$9)</f>
        <v>13.427199999999999</v>
      </c>
      <c r="Q277" s="14">
        <f>CHOOSE(CONTROL!$C$42, 14.056, 14.056) * CHOOSE(CONTROL!$C$21, $C$9, 100%, $E$9)</f>
        <v>14.055999999999999</v>
      </c>
      <c r="R277" s="14">
        <f>CHOOSE(CONTROL!$C$42, 14.6781, 14.6781) * CHOOSE(CONTROL!$C$21, $C$9, 100%, $E$9)</f>
        <v>14.678100000000001</v>
      </c>
      <c r="S277" s="14">
        <f>CHOOSE(CONTROL!$C$42, 13.1058, 13.1058) * CHOOSE(CONTROL!$C$21, $C$9, 100%, $E$9)</f>
        <v>13.1058</v>
      </c>
      <c r="T2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7">
        <f>(1000*CHOOSE(CONTROL!$C$42, 695, 695)*CHOOSE(CONTROL!$C$42, 0.5599, 0.5599)*CHOOSE(CONTROL!$C$42, 31, 31))/1000000</f>
        <v>12.063045499999998</v>
      </c>
      <c r="V277" s="57">
        <f>(1000*CHOOSE(CONTROL!$C$42, 500, 500)*CHOOSE(CONTROL!$C$42, 0.275, 0.275)*CHOOSE(CONTROL!$C$42, 31, 31))/1000000</f>
        <v>4.2625000000000002</v>
      </c>
      <c r="W277" s="57">
        <f>(1000*CHOOSE(CONTROL!$C$42, 0.1146, 0.1146)*CHOOSE(CONTROL!$C$42, 121.5, 121.5)*CHOOSE(CONTROL!$C$42, 31, 31))/1000000</f>
        <v>0.43164089999999994</v>
      </c>
      <c r="X277" s="57">
        <f>(31*0.1790888*100000/1000000)+(31*0.2374*100000/1000000)</f>
        <v>1.2911152800000001</v>
      </c>
      <c r="Y277" s="57"/>
      <c r="Z277" s="14"/>
      <c r="AA277" s="56"/>
      <c r="AB277" s="50">
        <f>(B277*122.58+C277*297.941+D277*89.177+E277*40.302+F277*40+G277*160+H277*0+I277*100+J277*300)/(122.58+297.941+89.177+40.302+0+40+160+100+300)</f>
        <v>13.662361399652175</v>
      </c>
      <c r="AC277" s="45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13.419852517985612</v>
      </c>
    </row>
    <row r="278" spans="1:29" ht="15.75" x14ac:dyDescent="0.25">
      <c r="A278" s="13">
        <v>49341</v>
      </c>
      <c r="B278" s="14">
        <f>CHOOSE(CONTROL!$C$42, 13.8908, 13.8908) * CHOOSE(CONTROL!$C$21, $C$9, 100%, $E$9)</f>
        <v>13.8908</v>
      </c>
      <c r="C278" s="14">
        <f>CHOOSE(CONTROL!$C$42, 13.8959, 13.8959) * CHOOSE(CONTROL!$C$21, $C$9, 100%, $E$9)</f>
        <v>13.895899999999999</v>
      </c>
      <c r="D278" s="14">
        <f>CHOOSE(CONTROL!$C$42, 13.9545, 13.9545) * CHOOSE(CONTROL!$C$21, $C$9, 100%, $E$9)</f>
        <v>13.954499999999999</v>
      </c>
      <c r="E278" s="14">
        <f>CHOOSE(CONTROL!$C$42, 13.9886, 13.9886) * CHOOSE(CONTROL!$C$21, $C$9, 100%, $E$9)</f>
        <v>13.9886</v>
      </c>
      <c r="F278" s="14">
        <f>CHOOSE(CONTROL!$C$42, 13.8899, 13.8899)*CHOOSE(CONTROL!$C$21, $C$9, 100%, $E$9)</f>
        <v>13.889900000000001</v>
      </c>
      <c r="G278" s="14">
        <f>CHOOSE(CONTROL!$C$42, 13.9062, 13.9062)*CHOOSE(CONTROL!$C$21, $C$9, 100%, $E$9)</f>
        <v>13.9062</v>
      </c>
      <c r="H278" s="14">
        <f>CHOOSE(CONTROL!$C$42, 13.9778, 13.9778) * CHOOSE(CONTROL!$C$21, $C$9, 100%, $E$9)</f>
        <v>13.9778</v>
      </c>
      <c r="I278" s="14">
        <f>CHOOSE(CONTROL!$C$42, 13.9445, 13.9445)* CHOOSE(CONTROL!$C$21, $C$9, 100%, $E$9)</f>
        <v>13.9445</v>
      </c>
      <c r="J278" s="14">
        <f>CHOOSE(CONTROL!$C$42, 13.8829, 13.8829)* CHOOSE(CONTROL!$C$21, $C$9, 100%, $E$9)</f>
        <v>13.882899999999999</v>
      </c>
      <c r="K278" s="53">
        <f>CHOOSE(CONTROL!$C$42, 13.9406, 13.9406) * CHOOSE(CONTROL!$C$21, $C$9, 100%, $E$9)</f>
        <v>13.9406</v>
      </c>
      <c r="L278" s="14">
        <f>CHOOSE(CONTROL!$C$42, 14.5648, 14.5648) * CHOOSE(CONTROL!$C$21, $C$9, 100%, $E$9)</f>
        <v>14.5648</v>
      </c>
      <c r="M278" s="14">
        <f>CHOOSE(CONTROL!$C$42, 13.6061, 13.6061) * CHOOSE(CONTROL!$C$21, $C$9, 100%, $E$9)</f>
        <v>13.6061</v>
      </c>
      <c r="N278" s="14">
        <f>CHOOSE(CONTROL!$C$42, 13.6222, 13.6222) * CHOOSE(CONTROL!$C$21, $C$9, 100%, $E$9)</f>
        <v>13.622199999999999</v>
      </c>
      <c r="O278" s="14">
        <f>CHOOSE(CONTROL!$C$42, 13.6991, 13.6991) * CHOOSE(CONTROL!$C$21, $C$9, 100%, $E$9)</f>
        <v>13.6991</v>
      </c>
      <c r="P278" s="14">
        <f>CHOOSE(CONTROL!$C$42, 13.6657, 13.6657) * CHOOSE(CONTROL!$C$21, $C$9, 100%, $E$9)</f>
        <v>13.665699999999999</v>
      </c>
      <c r="Q278" s="14">
        <f>CHOOSE(CONTROL!$C$42, 14.2938, 14.2938) * CHOOSE(CONTROL!$C$21, $C$9, 100%, $E$9)</f>
        <v>14.293799999999999</v>
      </c>
      <c r="R278" s="14">
        <f>CHOOSE(CONTROL!$C$42, 14.9165, 14.9165) * CHOOSE(CONTROL!$C$21, $C$9, 100%, $E$9)</f>
        <v>14.916499999999999</v>
      </c>
      <c r="S278" s="14">
        <f>CHOOSE(CONTROL!$C$42, 13.3391, 13.3391) * CHOOSE(CONTROL!$C$21, $C$9, 100%, $E$9)</f>
        <v>13.3391</v>
      </c>
      <c r="T2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7">
        <f>(1000*CHOOSE(CONTROL!$C$42, 695, 695)*CHOOSE(CONTROL!$C$42, 0.5599, 0.5599)*CHOOSE(CONTROL!$C$42, 28, 28))/1000000</f>
        <v>10.895653999999999</v>
      </c>
      <c r="V278" s="57">
        <f>(1000*CHOOSE(CONTROL!$C$42, 500, 500)*CHOOSE(CONTROL!$C$42, 0.275, 0.275)*CHOOSE(CONTROL!$C$42, 28, 28))/1000000</f>
        <v>3.85</v>
      </c>
      <c r="W278" s="57">
        <f>(1000*CHOOSE(CONTROL!$C$42, 0.1146, 0.1146)*CHOOSE(CONTROL!$C$42, 121.5, 121.5)*CHOOSE(CONTROL!$C$42, 28, 28))/1000000</f>
        <v>0.38986920000000003</v>
      </c>
      <c r="X278" s="57">
        <f>(28*0.1790888*100000/1000000)+(28*0.2374*100000/1000000)</f>
        <v>1.16616864</v>
      </c>
      <c r="Y278" s="57"/>
      <c r="Z278" s="14"/>
      <c r="AA278" s="56"/>
      <c r="AB278" s="50">
        <f>(B278*122.58+C278*297.941+D278*89.177+E278*40.302+F278*40+G278*160+H278*0+I278*100+J278*300)/(122.58+297.941+89.177+40.302+0+40+160+100+300)</f>
        <v>13.905208356173913</v>
      </c>
      <c r="AC278" s="45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13.65775323741007</v>
      </c>
    </row>
    <row r="279" spans="1:29" ht="15.75" x14ac:dyDescent="0.25">
      <c r="A279" s="13">
        <v>49369</v>
      </c>
      <c r="B279" s="14">
        <f>CHOOSE(CONTROL!$C$42, 13.4967, 13.4967) * CHOOSE(CONTROL!$C$21, $C$9, 100%, $E$9)</f>
        <v>13.496700000000001</v>
      </c>
      <c r="C279" s="14">
        <f>CHOOSE(CONTROL!$C$42, 13.5018, 13.5018) * CHOOSE(CONTROL!$C$21, $C$9, 100%, $E$9)</f>
        <v>13.501799999999999</v>
      </c>
      <c r="D279" s="14">
        <f>CHOOSE(CONTROL!$C$42, 13.5604, 13.5604) * CHOOSE(CONTROL!$C$21, $C$9, 100%, $E$9)</f>
        <v>13.5604</v>
      </c>
      <c r="E279" s="14">
        <f>CHOOSE(CONTROL!$C$42, 13.5945, 13.5945) * CHOOSE(CONTROL!$C$21, $C$9, 100%, $E$9)</f>
        <v>13.5945</v>
      </c>
      <c r="F279" s="14">
        <f>CHOOSE(CONTROL!$C$42, 13.4953, 13.4953)*CHOOSE(CONTROL!$C$21, $C$9, 100%, $E$9)</f>
        <v>13.4953</v>
      </c>
      <c r="G279" s="14">
        <f>CHOOSE(CONTROL!$C$42, 13.5115, 13.5115)*CHOOSE(CONTROL!$C$21, $C$9, 100%, $E$9)</f>
        <v>13.5115</v>
      </c>
      <c r="H279" s="14">
        <f>CHOOSE(CONTROL!$C$42, 13.5837, 13.5837) * CHOOSE(CONTROL!$C$21, $C$9, 100%, $E$9)</f>
        <v>13.5837</v>
      </c>
      <c r="I279" s="14">
        <f>CHOOSE(CONTROL!$C$42, 13.5492, 13.5492)* CHOOSE(CONTROL!$C$21, $C$9, 100%, $E$9)</f>
        <v>13.549200000000001</v>
      </c>
      <c r="J279" s="14">
        <f>CHOOSE(CONTROL!$C$42, 13.4883, 13.4883)* CHOOSE(CONTROL!$C$21, $C$9, 100%, $E$9)</f>
        <v>13.488300000000001</v>
      </c>
      <c r="K279" s="53">
        <f>CHOOSE(CONTROL!$C$42, 13.5453, 13.5453) * CHOOSE(CONTROL!$C$21, $C$9, 100%, $E$9)</f>
        <v>13.545299999999999</v>
      </c>
      <c r="L279" s="14">
        <f>CHOOSE(CONTROL!$C$42, 14.1707, 14.1707) * CHOOSE(CONTROL!$C$21, $C$9, 100%, $E$9)</f>
        <v>14.1707</v>
      </c>
      <c r="M279" s="14">
        <f>CHOOSE(CONTROL!$C$42, 13.2196, 13.2196) * CHOOSE(CONTROL!$C$21, $C$9, 100%, $E$9)</f>
        <v>13.2196</v>
      </c>
      <c r="N279" s="14">
        <f>CHOOSE(CONTROL!$C$42, 13.2355, 13.2355) * CHOOSE(CONTROL!$C$21, $C$9, 100%, $E$9)</f>
        <v>13.2355</v>
      </c>
      <c r="O279" s="14">
        <f>CHOOSE(CONTROL!$C$42, 13.313, 13.313) * CHOOSE(CONTROL!$C$21, $C$9, 100%, $E$9)</f>
        <v>13.313000000000001</v>
      </c>
      <c r="P279" s="14">
        <f>CHOOSE(CONTROL!$C$42, 13.2785, 13.2785) * CHOOSE(CONTROL!$C$21, $C$9, 100%, $E$9)</f>
        <v>13.278499999999999</v>
      </c>
      <c r="Q279" s="14">
        <f>CHOOSE(CONTROL!$C$42, 13.9077, 13.9077) * CHOOSE(CONTROL!$C$21, $C$9, 100%, $E$9)</f>
        <v>13.9077</v>
      </c>
      <c r="R279" s="14">
        <f>CHOOSE(CONTROL!$C$42, 14.5295, 14.5295) * CHOOSE(CONTROL!$C$21, $C$9, 100%, $E$9)</f>
        <v>14.529500000000001</v>
      </c>
      <c r="S279" s="14">
        <f>CHOOSE(CONTROL!$C$42, 12.9604, 12.9604) * CHOOSE(CONTROL!$C$21, $C$9, 100%, $E$9)</f>
        <v>12.9604</v>
      </c>
      <c r="T2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7">
        <f>(1000*CHOOSE(CONTROL!$C$42, 695, 695)*CHOOSE(CONTROL!$C$42, 0.5599, 0.5599)*CHOOSE(CONTROL!$C$42, 31, 31))/1000000</f>
        <v>12.063045499999998</v>
      </c>
      <c r="V279" s="57">
        <f>(1000*CHOOSE(CONTROL!$C$42, 500, 500)*CHOOSE(CONTROL!$C$42, 0.275, 0.275)*CHOOSE(CONTROL!$C$42, 31, 31))/1000000</f>
        <v>4.2625000000000002</v>
      </c>
      <c r="W279" s="57">
        <f>(1000*CHOOSE(CONTROL!$C$42, 0.1146, 0.1146)*CHOOSE(CONTROL!$C$42, 121.5, 121.5)*CHOOSE(CONTROL!$C$42, 31, 31))/1000000</f>
        <v>0.43164089999999994</v>
      </c>
      <c r="X279" s="57">
        <f>(31*0.1790888*100000/1000000)+(31*0.2374*100000/1000000)</f>
        <v>1.2911152800000001</v>
      </c>
      <c r="Y279" s="57"/>
      <c r="Z279" s="14"/>
      <c r="AA279" s="56"/>
      <c r="AB279" s="50">
        <f>(B279*122.58+C279*297.941+D279*89.177+E279*40.302+F279*40+G279*160+H279*0+I279*100+J279*300)/(122.58+297.941+89.177+40.302+0+40+160+100+300)</f>
        <v>13.510772703999999</v>
      </c>
      <c r="AC279" s="45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13.271322302158273</v>
      </c>
    </row>
    <row r="280" spans="1:29" ht="15.75" x14ac:dyDescent="0.25">
      <c r="A280" s="13">
        <v>49400</v>
      </c>
      <c r="B280" s="14">
        <f>CHOOSE(CONTROL!$C$42, 13.4575, 13.4575) * CHOOSE(CONTROL!$C$21, $C$9, 100%, $E$9)</f>
        <v>13.4575</v>
      </c>
      <c r="C280" s="14">
        <f>CHOOSE(CONTROL!$C$42, 13.462, 13.462) * CHOOSE(CONTROL!$C$21, $C$9, 100%, $E$9)</f>
        <v>13.462</v>
      </c>
      <c r="D280" s="14">
        <f>CHOOSE(CONTROL!$C$42, 13.6701, 13.6701) * CHOOSE(CONTROL!$C$21, $C$9, 100%, $E$9)</f>
        <v>13.6701</v>
      </c>
      <c r="E280" s="14">
        <f>CHOOSE(CONTROL!$C$42, 13.7022, 13.7022) * CHOOSE(CONTROL!$C$21, $C$9, 100%, $E$9)</f>
        <v>13.702199999999999</v>
      </c>
      <c r="F280" s="14">
        <f>CHOOSE(CONTROL!$C$42, 13.4448, 13.4448)*CHOOSE(CONTROL!$C$21, $C$9, 100%, $E$9)</f>
        <v>13.444800000000001</v>
      </c>
      <c r="G280" s="14">
        <f>CHOOSE(CONTROL!$C$42, 13.4608, 13.4608)*CHOOSE(CONTROL!$C$21, $C$9, 100%, $E$9)</f>
        <v>13.460800000000001</v>
      </c>
      <c r="H280" s="14">
        <f>CHOOSE(CONTROL!$C$42, 13.692, 13.692) * CHOOSE(CONTROL!$C$21, $C$9, 100%, $E$9)</f>
        <v>13.692</v>
      </c>
      <c r="I280" s="14">
        <f>CHOOSE(CONTROL!$C$42, 13.5091, 13.5091)* CHOOSE(CONTROL!$C$21, $C$9, 100%, $E$9)</f>
        <v>13.5091</v>
      </c>
      <c r="J280" s="14">
        <f>CHOOSE(CONTROL!$C$42, 13.4378, 13.4378)* CHOOSE(CONTROL!$C$21, $C$9, 100%, $E$9)</f>
        <v>13.437799999999999</v>
      </c>
      <c r="K280" s="53">
        <f>CHOOSE(CONTROL!$C$42, 13.5052, 13.5052) * CHOOSE(CONTROL!$C$21, $C$9, 100%, $E$9)</f>
        <v>13.5052</v>
      </c>
      <c r="L280" s="14">
        <f>CHOOSE(CONTROL!$C$42, 14.279, 14.279) * CHOOSE(CONTROL!$C$21, $C$9, 100%, $E$9)</f>
        <v>14.279</v>
      </c>
      <c r="M280" s="14">
        <f>CHOOSE(CONTROL!$C$42, 13.1702, 13.1702) * CHOOSE(CONTROL!$C$21, $C$9, 100%, $E$9)</f>
        <v>13.170199999999999</v>
      </c>
      <c r="N280" s="14">
        <f>CHOOSE(CONTROL!$C$42, 13.1858, 13.1858) * CHOOSE(CONTROL!$C$21, $C$9, 100%, $E$9)</f>
        <v>13.1858</v>
      </c>
      <c r="O280" s="14">
        <f>CHOOSE(CONTROL!$C$42, 13.4191, 13.4191) * CHOOSE(CONTROL!$C$21, $C$9, 100%, $E$9)</f>
        <v>13.4191</v>
      </c>
      <c r="P280" s="14">
        <f>CHOOSE(CONTROL!$C$42, 13.2392, 13.2392) * CHOOSE(CONTROL!$C$21, $C$9, 100%, $E$9)</f>
        <v>13.2392</v>
      </c>
      <c r="Q280" s="14">
        <f>CHOOSE(CONTROL!$C$42, 14.0138, 14.0138) * CHOOSE(CONTROL!$C$21, $C$9, 100%, $E$9)</f>
        <v>14.0138</v>
      </c>
      <c r="R280" s="14">
        <f>CHOOSE(CONTROL!$C$42, 14.6359, 14.6359) * CHOOSE(CONTROL!$C$21, $C$9, 100%, $E$9)</f>
        <v>14.635899999999999</v>
      </c>
      <c r="S280" s="14">
        <f>CHOOSE(CONTROL!$C$42, 12.922, 12.922) * CHOOSE(CONTROL!$C$21, $C$9, 100%, $E$9)</f>
        <v>12.922000000000001</v>
      </c>
      <c r="T2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7">
        <f>(1000*CHOOSE(CONTROL!$C$42, 695, 695)*CHOOSE(CONTROL!$C$42, 0.5599, 0.5599)*CHOOSE(CONTROL!$C$42, 30, 30))/1000000</f>
        <v>11.673914999999997</v>
      </c>
      <c r="V280" s="57">
        <f>(1000*CHOOSE(CONTROL!$C$42, 500, 500)*CHOOSE(CONTROL!$C$42, 0.275, 0.275)*CHOOSE(CONTROL!$C$42, 30, 30))/1000000</f>
        <v>4.125</v>
      </c>
      <c r="W280" s="57">
        <f>(1000*CHOOSE(CONTROL!$C$42, 0.1146, 0.1146)*CHOOSE(CONTROL!$C$42, 121.5, 121.5)*CHOOSE(CONTROL!$C$42, 30, 30))/1000000</f>
        <v>0.417717</v>
      </c>
      <c r="X280" s="57">
        <f>(30*0.1790888*245000/1000000)+(30*0.2374*100000/1000000)</f>
        <v>2.0285026799999999</v>
      </c>
      <c r="Y280" s="57"/>
      <c r="Z280" s="14"/>
      <c r="AA280" s="56"/>
      <c r="AB280" s="50">
        <f>(B280*141.293+C280*267.993+D280*115.016+E280*89.698+F280*40+G280*185+H280*0+I280*100+J280*300)/(141.293+267.993+115.016+89.698+0+40+185+100+300)</f>
        <v>13.495401509846648</v>
      </c>
      <c r="AC280" s="45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13.253554676258991</v>
      </c>
    </row>
    <row r="281" spans="1:29" ht="15.75" x14ac:dyDescent="0.25">
      <c r="A281" s="13">
        <v>49430</v>
      </c>
      <c r="B281" s="14">
        <f>CHOOSE(CONTROL!$C$42, 13.5776, 13.5776) * CHOOSE(CONTROL!$C$21, $C$9, 100%, $E$9)</f>
        <v>13.5776</v>
      </c>
      <c r="C281" s="14">
        <f>CHOOSE(CONTROL!$C$42, 13.5856, 13.5856) * CHOOSE(CONTROL!$C$21, $C$9, 100%, $E$9)</f>
        <v>13.585599999999999</v>
      </c>
      <c r="D281" s="14">
        <f>CHOOSE(CONTROL!$C$42, 13.7906, 13.7906) * CHOOSE(CONTROL!$C$21, $C$9, 100%, $E$9)</f>
        <v>13.7906</v>
      </c>
      <c r="E281" s="14">
        <f>CHOOSE(CONTROL!$C$42, 13.822, 13.822) * CHOOSE(CONTROL!$C$21, $C$9, 100%, $E$9)</f>
        <v>13.821999999999999</v>
      </c>
      <c r="F281" s="14">
        <f>CHOOSE(CONTROL!$C$42, 13.5638, 13.5638)*CHOOSE(CONTROL!$C$21, $C$9, 100%, $E$9)</f>
        <v>13.563800000000001</v>
      </c>
      <c r="G281" s="14">
        <f>CHOOSE(CONTROL!$C$42, 13.5802, 13.5802)*CHOOSE(CONTROL!$C$21, $C$9, 100%, $E$9)</f>
        <v>13.5802</v>
      </c>
      <c r="H281" s="14">
        <f>CHOOSE(CONTROL!$C$42, 13.8107, 13.8107) * CHOOSE(CONTROL!$C$21, $C$9, 100%, $E$9)</f>
        <v>13.810700000000001</v>
      </c>
      <c r="I281" s="14">
        <f>CHOOSE(CONTROL!$C$42, 13.6281, 13.6281)* CHOOSE(CONTROL!$C$21, $C$9, 100%, $E$9)</f>
        <v>13.6281</v>
      </c>
      <c r="J281" s="14">
        <f>CHOOSE(CONTROL!$C$42, 13.5568, 13.5568)* CHOOSE(CONTROL!$C$21, $C$9, 100%, $E$9)</f>
        <v>13.556800000000001</v>
      </c>
      <c r="K281" s="53">
        <f>CHOOSE(CONTROL!$C$42, 13.6243, 13.6243) * CHOOSE(CONTROL!$C$21, $C$9, 100%, $E$9)</f>
        <v>13.6243</v>
      </c>
      <c r="L281" s="14">
        <f>CHOOSE(CONTROL!$C$42, 14.3977, 14.3977) * CHOOSE(CONTROL!$C$21, $C$9, 100%, $E$9)</f>
        <v>14.3977</v>
      </c>
      <c r="M281" s="14">
        <f>CHOOSE(CONTROL!$C$42, 13.2867, 13.2867) * CHOOSE(CONTROL!$C$21, $C$9, 100%, $E$9)</f>
        <v>13.2867</v>
      </c>
      <c r="N281" s="14">
        <f>CHOOSE(CONTROL!$C$42, 13.3028, 13.3028) * CHOOSE(CONTROL!$C$21, $C$9, 100%, $E$9)</f>
        <v>13.3028</v>
      </c>
      <c r="O281" s="14">
        <f>CHOOSE(CONTROL!$C$42, 13.5354, 13.5354) * CHOOSE(CONTROL!$C$21, $C$9, 100%, $E$9)</f>
        <v>13.535399999999999</v>
      </c>
      <c r="P281" s="14">
        <f>CHOOSE(CONTROL!$C$42, 13.3558, 13.3558) * CHOOSE(CONTROL!$C$21, $C$9, 100%, $E$9)</f>
        <v>13.3558</v>
      </c>
      <c r="Q281" s="14">
        <f>CHOOSE(CONTROL!$C$42, 14.1301, 14.1301) * CHOOSE(CONTROL!$C$21, $C$9, 100%, $E$9)</f>
        <v>14.130100000000001</v>
      </c>
      <c r="R281" s="14">
        <f>CHOOSE(CONTROL!$C$42, 14.7524, 14.7524) * CHOOSE(CONTROL!$C$21, $C$9, 100%, $E$9)</f>
        <v>14.7524</v>
      </c>
      <c r="S281" s="14">
        <f>CHOOSE(CONTROL!$C$42, 13.0361, 13.0361) * CHOOSE(CONTROL!$C$21, $C$9, 100%, $E$9)</f>
        <v>13.036099999999999</v>
      </c>
      <c r="T2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7">
        <f>(1000*CHOOSE(CONTROL!$C$42, 695, 695)*CHOOSE(CONTROL!$C$42, 0.5599, 0.5599)*CHOOSE(CONTROL!$C$42, 31, 31))/1000000</f>
        <v>12.063045499999998</v>
      </c>
      <c r="V281" s="57">
        <f>(1000*CHOOSE(CONTROL!$C$42, 500, 500)*CHOOSE(CONTROL!$C$42, 0.275, 0.275)*CHOOSE(CONTROL!$C$42, 31, 31))/1000000</f>
        <v>4.2625000000000002</v>
      </c>
      <c r="W281" s="57">
        <f>(1000*CHOOSE(CONTROL!$C$42, 0.1146, 0.1146)*CHOOSE(CONTROL!$C$42, 121.5, 121.5)*CHOOSE(CONTROL!$C$42, 31, 31))/1000000</f>
        <v>0.43164089999999994</v>
      </c>
      <c r="X281" s="57">
        <f>(31*0.1790888*245000/1000000)+(31*0.2374*100000/1000000)</f>
        <v>2.0961194359999999</v>
      </c>
      <c r="Y281" s="57"/>
      <c r="Z281" s="14"/>
      <c r="AA281" s="56"/>
      <c r="AB281" s="50">
        <f>(B281*194.205+C281*267.466+D281*133.845+E281*53.484+F281*40+G281*185+H281*0+I281*100+J281*300)/(194.205+267.466+133.845+53.484+0+40+185+100+300)</f>
        <v>13.610927474568287</v>
      </c>
      <c r="AC281" s="45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13.370128057553956</v>
      </c>
    </row>
    <row r="282" spans="1:29" ht="15.75" x14ac:dyDescent="0.25">
      <c r="A282" s="34">
        <v>49461</v>
      </c>
      <c r="B282" s="14">
        <f>CHOOSE(CONTROL!$C$42, 13.9624, 13.9624) * CHOOSE(CONTROL!$C$21, $C$9, 100%, $E$9)</f>
        <v>13.962400000000001</v>
      </c>
      <c r="C282" s="14">
        <f>CHOOSE(CONTROL!$C$42, 13.9704, 13.9704) * CHOOSE(CONTROL!$C$21, $C$9, 100%, $E$9)</f>
        <v>13.9704</v>
      </c>
      <c r="D282" s="14">
        <f>CHOOSE(CONTROL!$C$42, 14.1754, 14.1754) * CHOOSE(CONTROL!$C$21, $C$9, 100%, $E$9)</f>
        <v>14.1754</v>
      </c>
      <c r="E282" s="14">
        <f>CHOOSE(CONTROL!$C$42, 14.2068, 14.2068) * CHOOSE(CONTROL!$C$21, $C$9, 100%, $E$9)</f>
        <v>14.206799999999999</v>
      </c>
      <c r="F282" s="14">
        <f>CHOOSE(CONTROL!$C$42, 13.9489, 13.9489)*CHOOSE(CONTROL!$C$21, $C$9, 100%, $E$9)</f>
        <v>13.9489</v>
      </c>
      <c r="G282" s="14">
        <f>CHOOSE(CONTROL!$C$42, 13.9654, 13.9654)*CHOOSE(CONTROL!$C$21, $C$9, 100%, $E$9)</f>
        <v>13.965400000000001</v>
      </c>
      <c r="H282" s="14">
        <f>CHOOSE(CONTROL!$C$42, 14.1955, 14.1955) * CHOOSE(CONTROL!$C$21, $C$9, 100%, $E$9)</f>
        <v>14.195499999999999</v>
      </c>
      <c r="I282" s="14">
        <f>CHOOSE(CONTROL!$C$42, 14.0141, 14.0141)* CHOOSE(CONTROL!$C$21, $C$9, 100%, $E$9)</f>
        <v>14.014099999999999</v>
      </c>
      <c r="J282" s="14">
        <f>CHOOSE(CONTROL!$C$42, 13.9419, 13.9419)* CHOOSE(CONTROL!$C$21, $C$9, 100%, $E$9)</f>
        <v>13.9419</v>
      </c>
      <c r="K282" s="53">
        <f>CHOOSE(CONTROL!$C$42, 14.0103, 14.0103) * CHOOSE(CONTROL!$C$21, $C$9, 100%, $E$9)</f>
        <v>14.010300000000001</v>
      </c>
      <c r="L282" s="14">
        <f>CHOOSE(CONTROL!$C$42, 14.7825, 14.7825) * CHOOSE(CONTROL!$C$21, $C$9, 100%, $E$9)</f>
        <v>14.782500000000001</v>
      </c>
      <c r="M282" s="14">
        <f>CHOOSE(CONTROL!$C$42, 13.664, 13.664) * CHOOSE(CONTROL!$C$21, $C$9, 100%, $E$9)</f>
        <v>13.664</v>
      </c>
      <c r="N282" s="14">
        <f>CHOOSE(CONTROL!$C$42, 13.6801, 13.6801) * CHOOSE(CONTROL!$C$21, $C$9, 100%, $E$9)</f>
        <v>13.680099999999999</v>
      </c>
      <c r="O282" s="14">
        <f>CHOOSE(CONTROL!$C$42, 13.9123, 13.9123) * CHOOSE(CONTROL!$C$21, $C$9, 100%, $E$9)</f>
        <v>13.9123</v>
      </c>
      <c r="P282" s="14">
        <f>CHOOSE(CONTROL!$C$42, 13.7339, 13.7339) * CHOOSE(CONTROL!$C$21, $C$9, 100%, $E$9)</f>
        <v>13.7339</v>
      </c>
      <c r="Q282" s="14">
        <f>CHOOSE(CONTROL!$C$42, 14.507, 14.507) * CHOOSE(CONTROL!$C$21, $C$9, 100%, $E$9)</f>
        <v>14.507</v>
      </c>
      <c r="R282" s="14">
        <f>CHOOSE(CONTROL!$C$42, 15.1303, 15.1303) * CHOOSE(CONTROL!$C$21, $C$9, 100%, $E$9)</f>
        <v>15.1303</v>
      </c>
      <c r="S282" s="14">
        <f>CHOOSE(CONTROL!$C$42, 13.4058, 13.4058) * CHOOSE(CONTROL!$C$21, $C$9, 100%, $E$9)</f>
        <v>13.405799999999999</v>
      </c>
      <c r="T2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7">
        <f>(1000*CHOOSE(CONTROL!$C$42, 695, 695)*CHOOSE(CONTROL!$C$42, 0.5599, 0.5599)*CHOOSE(CONTROL!$C$42, 30, 30))/1000000</f>
        <v>11.673914999999997</v>
      </c>
      <c r="V282" s="57">
        <f>(1000*CHOOSE(CONTROL!$C$42, 500, 500)*CHOOSE(CONTROL!$C$42, 0.275, 0.275)*CHOOSE(CONTROL!$C$42, 30, 30))/1000000</f>
        <v>4.125</v>
      </c>
      <c r="W282" s="57">
        <f>(1000*CHOOSE(CONTROL!$C$42, 0.1146, 0.1146)*CHOOSE(CONTROL!$C$42, 121.5, 121.5)*CHOOSE(CONTROL!$C$42, 30, 30))/1000000</f>
        <v>0.417717</v>
      </c>
      <c r="X282" s="57">
        <f>(30*0.1790888*245000/1000000)+(30*0.2374*100000/1000000)</f>
        <v>2.0285026799999999</v>
      </c>
      <c r="Y282" s="57"/>
      <c r="Z282" s="14"/>
      <c r="AA282" s="56"/>
      <c r="AB282" s="50">
        <f>(B282*194.205+C282*267.466+D282*133.845+E282*53.484+F282*40+G282*185+H282*0+I282*100+J282*300)/(194.205+267.466+133.845+53.484+0+40+185+100+300)</f>
        <v>13.99595981365777</v>
      </c>
      <c r="AC282" s="45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13.747430935251799</v>
      </c>
    </row>
    <row r="283" spans="1:29" ht="15.75" x14ac:dyDescent="0.25">
      <c r="A283" s="34">
        <v>49491</v>
      </c>
      <c r="B283" s="14">
        <f>CHOOSE(CONTROL!$C$42, 13.6947, 13.6947) * CHOOSE(CONTROL!$C$21, $C$9, 100%, $E$9)</f>
        <v>13.694699999999999</v>
      </c>
      <c r="C283" s="14">
        <f>CHOOSE(CONTROL!$C$42, 13.7028, 13.7028) * CHOOSE(CONTROL!$C$21, $C$9, 100%, $E$9)</f>
        <v>13.7028</v>
      </c>
      <c r="D283" s="14">
        <f>CHOOSE(CONTROL!$C$42, 13.9077, 13.9077) * CHOOSE(CONTROL!$C$21, $C$9, 100%, $E$9)</f>
        <v>13.9077</v>
      </c>
      <c r="E283" s="14">
        <f>CHOOSE(CONTROL!$C$42, 13.9392, 13.9392) * CHOOSE(CONTROL!$C$21, $C$9, 100%, $E$9)</f>
        <v>13.9392</v>
      </c>
      <c r="F283" s="14">
        <f>CHOOSE(CONTROL!$C$42, 13.6817, 13.6817)*CHOOSE(CONTROL!$C$21, $C$9, 100%, $E$9)</f>
        <v>13.681699999999999</v>
      </c>
      <c r="G283" s="14">
        <f>CHOOSE(CONTROL!$C$42, 13.6983, 13.6983)*CHOOSE(CONTROL!$C$21, $C$9, 100%, $E$9)</f>
        <v>13.6983</v>
      </c>
      <c r="H283" s="14">
        <f>CHOOSE(CONTROL!$C$42, 13.9278, 13.9278) * CHOOSE(CONTROL!$C$21, $C$9, 100%, $E$9)</f>
        <v>13.9278</v>
      </c>
      <c r="I283" s="14">
        <f>CHOOSE(CONTROL!$C$42, 13.7457, 13.7457)* CHOOSE(CONTROL!$C$21, $C$9, 100%, $E$9)</f>
        <v>13.745699999999999</v>
      </c>
      <c r="J283" s="14">
        <f>CHOOSE(CONTROL!$C$42, 13.6747, 13.6747)* CHOOSE(CONTROL!$C$21, $C$9, 100%, $E$9)</f>
        <v>13.6747</v>
      </c>
      <c r="K283" s="53">
        <f>CHOOSE(CONTROL!$C$42, 13.7418, 13.7418) * CHOOSE(CONTROL!$C$21, $C$9, 100%, $E$9)</f>
        <v>13.7418</v>
      </c>
      <c r="L283" s="14">
        <f>CHOOSE(CONTROL!$C$42, 14.5148, 14.5148) * CHOOSE(CONTROL!$C$21, $C$9, 100%, $E$9)</f>
        <v>14.514799999999999</v>
      </c>
      <c r="M283" s="14">
        <f>CHOOSE(CONTROL!$C$42, 13.4022, 13.4022) * CHOOSE(CONTROL!$C$21, $C$9, 100%, $E$9)</f>
        <v>13.402200000000001</v>
      </c>
      <c r="N283" s="14">
        <f>CHOOSE(CONTROL!$C$42, 13.4185, 13.4185) * CHOOSE(CONTROL!$C$21, $C$9, 100%, $E$9)</f>
        <v>13.4185</v>
      </c>
      <c r="O283" s="14">
        <f>CHOOSE(CONTROL!$C$42, 13.6502, 13.6502) * CHOOSE(CONTROL!$C$21, $C$9, 100%, $E$9)</f>
        <v>13.6502</v>
      </c>
      <c r="P283" s="14">
        <f>CHOOSE(CONTROL!$C$42, 13.4709, 13.4709) * CHOOSE(CONTROL!$C$21, $C$9, 100%, $E$9)</f>
        <v>13.4709</v>
      </c>
      <c r="Q283" s="14">
        <f>CHOOSE(CONTROL!$C$42, 14.2449, 14.2449) * CHOOSE(CONTROL!$C$21, $C$9, 100%, $E$9)</f>
        <v>14.244899999999999</v>
      </c>
      <c r="R283" s="14">
        <f>CHOOSE(CONTROL!$C$42, 14.8675, 14.8675) * CHOOSE(CONTROL!$C$21, $C$9, 100%, $E$9)</f>
        <v>14.8675</v>
      </c>
      <c r="S283" s="14">
        <f>CHOOSE(CONTROL!$C$42, 13.1486, 13.1486) * CHOOSE(CONTROL!$C$21, $C$9, 100%, $E$9)</f>
        <v>13.1486</v>
      </c>
      <c r="T2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7">
        <f>(1000*CHOOSE(CONTROL!$C$42, 695, 695)*CHOOSE(CONTROL!$C$42, 0.5599, 0.5599)*CHOOSE(CONTROL!$C$42, 31, 31))/1000000</f>
        <v>12.063045499999998</v>
      </c>
      <c r="V283" s="57">
        <f>(1000*CHOOSE(CONTROL!$C$42, 500, 500)*CHOOSE(CONTROL!$C$42, 0.275, 0.275)*CHOOSE(CONTROL!$C$42, 31, 31))/1000000</f>
        <v>4.2625000000000002</v>
      </c>
      <c r="W283" s="57">
        <f>(1000*CHOOSE(CONTROL!$C$42, 0.1146, 0.1146)*CHOOSE(CONTROL!$C$42, 121.5, 121.5)*CHOOSE(CONTROL!$C$42, 31, 31))/1000000</f>
        <v>0.43164089999999994</v>
      </c>
      <c r="X283" s="57">
        <f>(31*0.1790888*245000/1000000)+(31*0.2374*100000/1000000)</f>
        <v>2.0961194359999999</v>
      </c>
      <c r="Y283" s="57"/>
      <c r="Z283" s="14"/>
      <c r="AA283" s="56"/>
      <c r="AB283" s="50">
        <f>(B283*194.205+C283*267.466+D283*133.845+E283*53.484+F283*40+G283*185+H283*0+I283*100+J283*300)/(194.205+267.466+133.845+53.484+0+40+185+100+300)</f>
        <v>13.728450626059654</v>
      </c>
      <c r="AC283" s="45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13.485420143884893</v>
      </c>
    </row>
    <row r="284" spans="1:29" ht="15.75" x14ac:dyDescent="0.25">
      <c r="A284" s="34">
        <v>49522</v>
      </c>
      <c r="B284" s="14">
        <f>CHOOSE(CONTROL!$C$42, 13.0189, 13.0189) * CHOOSE(CONTROL!$C$21, $C$9, 100%, $E$9)</f>
        <v>13.0189</v>
      </c>
      <c r="C284" s="14">
        <f>CHOOSE(CONTROL!$C$42, 13.0269, 13.0269) * CHOOSE(CONTROL!$C$21, $C$9, 100%, $E$9)</f>
        <v>13.026899999999999</v>
      </c>
      <c r="D284" s="14">
        <f>CHOOSE(CONTROL!$C$42, 13.2319, 13.2319) * CHOOSE(CONTROL!$C$21, $C$9, 100%, $E$9)</f>
        <v>13.2319</v>
      </c>
      <c r="E284" s="14">
        <f>CHOOSE(CONTROL!$C$42, 13.2634, 13.2634) * CHOOSE(CONTROL!$C$21, $C$9, 100%, $E$9)</f>
        <v>13.263400000000001</v>
      </c>
      <c r="F284" s="14">
        <f>CHOOSE(CONTROL!$C$42, 13.0061, 13.0061)*CHOOSE(CONTROL!$C$21, $C$9, 100%, $E$9)</f>
        <v>13.0061</v>
      </c>
      <c r="G284" s="14">
        <f>CHOOSE(CONTROL!$C$42, 13.0228, 13.0228)*CHOOSE(CONTROL!$C$21, $C$9, 100%, $E$9)</f>
        <v>13.0228</v>
      </c>
      <c r="H284" s="14">
        <f>CHOOSE(CONTROL!$C$42, 13.252, 13.252) * CHOOSE(CONTROL!$C$21, $C$9, 100%, $E$9)</f>
        <v>13.252000000000001</v>
      </c>
      <c r="I284" s="14">
        <f>CHOOSE(CONTROL!$C$42, 13.0677, 13.0677)* CHOOSE(CONTROL!$C$21, $C$9, 100%, $E$9)</f>
        <v>13.0677</v>
      </c>
      <c r="J284" s="14">
        <f>CHOOSE(CONTROL!$C$42, 12.9991, 12.9991)* CHOOSE(CONTROL!$C$21, $C$9, 100%, $E$9)</f>
        <v>12.9991</v>
      </c>
      <c r="K284" s="53">
        <f>CHOOSE(CONTROL!$C$42, 13.0638, 13.0638) * CHOOSE(CONTROL!$C$21, $C$9, 100%, $E$9)</f>
        <v>13.063800000000001</v>
      </c>
      <c r="L284" s="14">
        <f>CHOOSE(CONTROL!$C$42, 13.839, 13.839) * CHOOSE(CONTROL!$C$21, $C$9, 100%, $E$9)</f>
        <v>13.839</v>
      </c>
      <c r="M284" s="14">
        <f>CHOOSE(CONTROL!$C$42, 12.7404, 12.7404) * CHOOSE(CONTROL!$C$21, $C$9, 100%, $E$9)</f>
        <v>12.740399999999999</v>
      </c>
      <c r="N284" s="14">
        <f>CHOOSE(CONTROL!$C$42, 12.7568, 12.7568) * CHOOSE(CONTROL!$C$21, $C$9, 100%, $E$9)</f>
        <v>12.7568</v>
      </c>
      <c r="O284" s="14">
        <f>CHOOSE(CONTROL!$C$42, 12.9882, 12.9882) * CHOOSE(CONTROL!$C$21, $C$9, 100%, $E$9)</f>
        <v>12.988200000000001</v>
      </c>
      <c r="P284" s="14">
        <f>CHOOSE(CONTROL!$C$42, 12.8069, 12.8069) * CHOOSE(CONTROL!$C$21, $C$9, 100%, $E$9)</f>
        <v>12.806900000000001</v>
      </c>
      <c r="Q284" s="14">
        <f>CHOOSE(CONTROL!$C$42, 13.5829, 13.5829) * CHOOSE(CONTROL!$C$21, $C$9, 100%, $E$9)</f>
        <v>13.5829</v>
      </c>
      <c r="R284" s="14">
        <f>CHOOSE(CONTROL!$C$42, 14.2038, 14.2038) * CHOOSE(CONTROL!$C$21, $C$9, 100%, $E$9)</f>
        <v>14.203799999999999</v>
      </c>
      <c r="S284" s="14">
        <f>CHOOSE(CONTROL!$C$42, 12.4992, 12.4992) * CHOOSE(CONTROL!$C$21, $C$9, 100%, $E$9)</f>
        <v>12.4992</v>
      </c>
      <c r="T2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7">
        <f>(1000*CHOOSE(CONTROL!$C$42, 695, 695)*CHOOSE(CONTROL!$C$42, 0.5599, 0.5599)*CHOOSE(CONTROL!$C$42, 31, 31))/1000000</f>
        <v>12.063045499999998</v>
      </c>
      <c r="V284" s="57">
        <f>(1000*CHOOSE(CONTROL!$C$42, 500, 500)*CHOOSE(CONTROL!$C$42, 0.275, 0.275)*CHOOSE(CONTROL!$C$42, 31, 31))/1000000</f>
        <v>4.2625000000000002</v>
      </c>
      <c r="W284" s="57">
        <f>(1000*CHOOSE(CONTROL!$C$42, 0.1146, 0.1146)*CHOOSE(CONTROL!$C$42, 121.5, 121.5)*CHOOSE(CONTROL!$C$42, 31, 31))/1000000</f>
        <v>0.43164089999999994</v>
      </c>
      <c r="X284" s="57">
        <f>(31*0.1790888*245000/1000000)+(31*0.2374*100000/1000000)</f>
        <v>2.0961194359999999</v>
      </c>
      <c r="Y284" s="57"/>
      <c r="Z284" s="14"/>
      <c r="AA284" s="56"/>
      <c r="AB284" s="50">
        <f>(B284*194.205+C284*267.466+D284*133.845+E284*53.484+F284*40+G284*185+H284*0+I284*100+J284*300)/(194.205+267.466+133.845+53.484+0+40+185+100+300)</f>
        <v>13.052553886185244</v>
      </c>
      <c r="AC284" s="45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12.823270503597124</v>
      </c>
    </row>
    <row r="285" spans="1:29" ht="15.75" x14ac:dyDescent="0.25">
      <c r="A285" s="34">
        <v>49553</v>
      </c>
      <c r="B285" s="14">
        <f>CHOOSE(CONTROL!$C$42, 12.1927, 12.1927) * CHOOSE(CONTROL!$C$21, $C$9, 100%, $E$9)</f>
        <v>12.1927</v>
      </c>
      <c r="C285" s="14">
        <f>CHOOSE(CONTROL!$C$42, 12.2008, 12.2008) * CHOOSE(CONTROL!$C$21, $C$9, 100%, $E$9)</f>
        <v>12.200799999999999</v>
      </c>
      <c r="D285" s="14">
        <f>CHOOSE(CONTROL!$C$42, 12.4057, 12.4057) * CHOOSE(CONTROL!$C$21, $C$9, 100%, $E$9)</f>
        <v>12.4057</v>
      </c>
      <c r="E285" s="14">
        <f>CHOOSE(CONTROL!$C$42, 12.4372, 12.4372) * CHOOSE(CONTROL!$C$21, $C$9, 100%, $E$9)</f>
        <v>12.437200000000001</v>
      </c>
      <c r="F285" s="14">
        <f>CHOOSE(CONTROL!$C$42, 12.1799, 12.1799)*CHOOSE(CONTROL!$C$21, $C$9, 100%, $E$9)</f>
        <v>12.1799</v>
      </c>
      <c r="G285" s="14">
        <f>CHOOSE(CONTROL!$C$42, 12.1966, 12.1966)*CHOOSE(CONTROL!$C$21, $C$9, 100%, $E$9)</f>
        <v>12.1966</v>
      </c>
      <c r="H285" s="14">
        <f>CHOOSE(CONTROL!$C$42, 12.4258, 12.4258) * CHOOSE(CONTROL!$C$21, $C$9, 100%, $E$9)</f>
        <v>12.425800000000001</v>
      </c>
      <c r="I285" s="14">
        <f>CHOOSE(CONTROL!$C$42, 12.239, 12.239)* CHOOSE(CONTROL!$C$21, $C$9, 100%, $E$9)</f>
        <v>12.239000000000001</v>
      </c>
      <c r="J285" s="14">
        <f>CHOOSE(CONTROL!$C$42, 12.1729, 12.1729)* CHOOSE(CONTROL!$C$21, $C$9, 100%, $E$9)</f>
        <v>12.1729</v>
      </c>
      <c r="K285" s="53">
        <f>CHOOSE(CONTROL!$C$42, 12.2351, 12.2351) * CHOOSE(CONTROL!$C$21, $C$9, 100%, $E$9)</f>
        <v>12.235099999999999</v>
      </c>
      <c r="L285" s="14">
        <f>CHOOSE(CONTROL!$C$42, 13.0128, 13.0128) * CHOOSE(CONTROL!$C$21, $C$9, 100%, $E$9)</f>
        <v>13.0128</v>
      </c>
      <c r="M285" s="14">
        <f>CHOOSE(CONTROL!$C$42, 11.9312, 11.9312) * CHOOSE(CONTROL!$C$21, $C$9, 100%, $E$9)</f>
        <v>11.9312</v>
      </c>
      <c r="N285" s="14">
        <f>CHOOSE(CONTROL!$C$42, 11.9475, 11.9475) * CHOOSE(CONTROL!$C$21, $C$9, 100%, $E$9)</f>
        <v>11.9475</v>
      </c>
      <c r="O285" s="14">
        <f>CHOOSE(CONTROL!$C$42, 12.1789, 12.1789) * CHOOSE(CONTROL!$C$21, $C$9, 100%, $E$9)</f>
        <v>12.178900000000001</v>
      </c>
      <c r="P285" s="14">
        <f>CHOOSE(CONTROL!$C$42, 11.9952, 11.9952) * CHOOSE(CONTROL!$C$21, $C$9, 100%, $E$9)</f>
        <v>11.995200000000001</v>
      </c>
      <c r="Q285" s="14">
        <f>CHOOSE(CONTROL!$C$42, 12.7736, 12.7736) * CHOOSE(CONTROL!$C$21, $C$9, 100%, $E$9)</f>
        <v>12.7736</v>
      </c>
      <c r="R285" s="14">
        <f>CHOOSE(CONTROL!$C$42, 13.3926, 13.3926) * CHOOSE(CONTROL!$C$21, $C$9, 100%, $E$9)</f>
        <v>13.3926</v>
      </c>
      <c r="S285" s="14">
        <f>CHOOSE(CONTROL!$C$42, 11.7054, 11.7054) * CHOOSE(CONTROL!$C$21, $C$9, 100%, $E$9)</f>
        <v>11.705399999999999</v>
      </c>
      <c r="T2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7">
        <f>(1000*CHOOSE(CONTROL!$C$42, 695, 695)*CHOOSE(CONTROL!$C$42, 0.5599, 0.5599)*CHOOSE(CONTROL!$C$42, 30, 30))/1000000</f>
        <v>11.673914999999997</v>
      </c>
      <c r="V285" s="57">
        <f>(1000*CHOOSE(CONTROL!$C$42, 500, 500)*CHOOSE(CONTROL!$C$42, 0.275, 0.275)*CHOOSE(CONTROL!$C$42, 30, 30))/1000000</f>
        <v>4.125</v>
      </c>
      <c r="W285" s="57">
        <f>(1000*CHOOSE(CONTROL!$C$42, 0.1146, 0.1146)*CHOOSE(CONTROL!$C$42, 121.5, 121.5)*CHOOSE(CONTROL!$C$42, 30, 30))/1000000</f>
        <v>0.417717</v>
      </c>
      <c r="X285" s="57">
        <f>(30*0.1790888*245000/1000000)+(30*0.2374*100000/1000000)</f>
        <v>2.0285026799999999</v>
      </c>
      <c r="Y285" s="57"/>
      <c r="Z285" s="14"/>
      <c r="AA285" s="56"/>
      <c r="AB285" s="50">
        <f>(B285*194.205+C285*267.466+D285*133.845+E285*53.484+F285*40+G285*185+H285*0+I285*100+J285*300)/(194.205+267.466+133.845+53.484+0+40+185+100+300)</f>
        <v>12.226178648037678</v>
      </c>
      <c r="AC285" s="45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12.013659712230217</v>
      </c>
    </row>
    <row r="286" spans="1:29" ht="15.75" x14ac:dyDescent="0.25">
      <c r="A286" s="34">
        <v>49583</v>
      </c>
      <c r="B286" s="14">
        <f>CHOOSE(CONTROL!$C$42, 11.9436, 11.9436) * CHOOSE(CONTROL!$C$21, $C$9, 100%, $E$9)</f>
        <v>11.9436</v>
      </c>
      <c r="C286" s="14">
        <f>CHOOSE(CONTROL!$C$42, 11.949, 11.949) * CHOOSE(CONTROL!$C$21, $C$9, 100%, $E$9)</f>
        <v>11.949</v>
      </c>
      <c r="D286" s="14">
        <f>CHOOSE(CONTROL!$C$42, 12.1589, 12.1589) * CHOOSE(CONTROL!$C$21, $C$9, 100%, $E$9)</f>
        <v>12.158899999999999</v>
      </c>
      <c r="E286" s="14">
        <f>CHOOSE(CONTROL!$C$42, 12.188, 12.188) * CHOOSE(CONTROL!$C$21, $C$9, 100%, $E$9)</f>
        <v>12.188000000000001</v>
      </c>
      <c r="F286" s="14">
        <f>CHOOSE(CONTROL!$C$42, 11.9329, 11.9329)*CHOOSE(CONTROL!$C$21, $C$9, 100%, $E$9)</f>
        <v>11.9329</v>
      </c>
      <c r="G286" s="14">
        <f>CHOOSE(CONTROL!$C$42, 11.9492, 11.9492)*CHOOSE(CONTROL!$C$21, $C$9, 100%, $E$9)</f>
        <v>11.949199999999999</v>
      </c>
      <c r="H286" s="14">
        <f>CHOOSE(CONTROL!$C$42, 12.1785, 12.1785) * CHOOSE(CONTROL!$C$21, $C$9, 100%, $E$9)</f>
        <v>12.1785</v>
      </c>
      <c r="I286" s="14">
        <f>CHOOSE(CONTROL!$C$42, 11.9909, 11.9909)* CHOOSE(CONTROL!$C$21, $C$9, 100%, $E$9)</f>
        <v>11.9909</v>
      </c>
      <c r="J286" s="14">
        <f>CHOOSE(CONTROL!$C$42, 11.9259, 11.9259)* CHOOSE(CONTROL!$C$21, $C$9, 100%, $E$9)</f>
        <v>11.9259</v>
      </c>
      <c r="K286" s="53">
        <f>CHOOSE(CONTROL!$C$42, 11.987, 11.987) * CHOOSE(CONTROL!$C$21, $C$9, 100%, $E$9)</f>
        <v>11.987</v>
      </c>
      <c r="L286" s="14">
        <f>CHOOSE(CONTROL!$C$42, 12.7655, 12.7655) * CHOOSE(CONTROL!$C$21, $C$9, 100%, $E$9)</f>
        <v>12.765499999999999</v>
      </c>
      <c r="M286" s="14">
        <f>CHOOSE(CONTROL!$C$42, 11.6892, 11.6892) * CHOOSE(CONTROL!$C$21, $C$9, 100%, $E$9)</f>
        <v>11.6892</v>
      </c>
      <c r="N286" s="14">
        <f>CHOOSE(CONTROL!$C$42, 11.7052, 11.7052) * CHOOSE(CONTROL!$C$21, $C$9, 100%, $E$9)</f>
        <v>11.7052</v>
      </c>
      <c r="O286" s="14">
        <f>CHOOSE(CONTROL!$C$42, 11.9367, 11.9367) * CHOOSE(CONTROL!$C$21, $C$9, 100%, $E$9)</f>
        <v>11.9367</v>
      </c>
      <c r="P286" s="14">
        <f>CHOOSE(CONTROL!$C$42, 11.7522, 11.7522) * CHOOSE(CONTROL!$C$21, $C$9, 100%, $E$9)</f>
        <v>11.7522</v>
      </c>
      <c r="Q286" s="14">
        <f>CHOOSE(CONTROL!$C$42, 12.5314, 12.5314) * CHOOSE(CONTROL!$C$21, $C$9, 100%, $E$9)</f>
        <v>12.5314</v>
      </c>
      <c r="R286" s="14">
        <f>CHOOSE(CONTROL!$C$42, 13.1497, 13.1497) * CHOOSE(CONTROL!$C$21, $C$9, 100%, $E$9)</f>
        <v>13.149699999999999</v>
      </c>
      <c r="S286" s="14">
        <f>CHOOSE(CONTROL!$C$42, 11.4677, 11.4677) * CHOOSE(CONTROL!$C$21, $C$9, 100%, $E$9)</f>
        <v>11.467700000000001</v>
      </c>
      <c r="T2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7">
        <f>(1000*CHOOSE(CONTROL!$C$42, 695, 695)*CHOOSE(CONTROL!$C$42, 0.5599, 0.5599)*CHOOSE(CONTROL!$C$42, 31, 31))/1000000</f>
        <v>12.063045499999998</v>
      </c>
      <c r="V286" s="57">
        <f>(1000*CHOOSE(CONTROL!$C$42, 500, 500)*CHOOSE(CONTROL!$C$42, 0.275, 0.275)*CHOOSE(CONTROL!$C$42, 31, 31))/1000000</f>
        <v>4.2625000000000002</v>
      </c>
      <c r="W286" s="57">
        <f>(1000*CHOOSE(CONTROL!$C$42, 0.1146, 0.1146)*CHOOSE(CONTROL!$C$42, 121.5, 121.5)*CHOOSE(CONTROL!$C$42, 31, 31))/1000000</f>
        <v>0.43164089999999994</v>
      </c>
      <c r="X286" s="57">
        <f>(31*0.1790888*245000/1000000)+(31*0.2374*100000/1000000)</f>
        <v>2.0961194359999999</v>
      </c>
      <c r="Y286" s="57"/>
      <c r="Z286" s="14"/>
      <c r="AA286" s="56"/>
      <c r="AB286" s="50">
        <f>(B286*131.881+C286*277.167+D286*79.08+E286*125.872+F286*40+G286*185+H286*0+I286*100+J286*300)/(131.881+277.167+79.08+125.872+0+40+185+100+300)</f>
        <v>11.983401245036319</v>
      </c>
      <c r="AC286" s="45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11.771390647482015</v>
      </c>
    </row>
    <row r="287" spans="1:29" ht="15.75" x14ac:dyDescent="0.25">
      <c r="A287" s="34">
        <v>49614</v>
      </c>
      <c r="B287" s="14">
        <f>CHOOSE(CONTROL!$C$42, 12.2576, 12.2576) * CHOOSE(CONTROL!$C$21, $C$9, 100%, $E$9)</f>
        <v>12.2576</v>
      </c>
      <c r="C287" s="14">
        <f>CHOOSE(CONTROL!$C$42, 12.2627, 12.2627) * CHOOSE(CONTROL!$C$21, $C$9, 100%, $E$9)</f>
        <v>12.262700000000001</v>
      </c>
      <c r="D287" s="14">
        <f>CHOOSE(CONTROL!$C$42, 12.3265, 12.3265) * CHOOSE(CONTROL!$C$21, $C$9, 100%, $E$9)</f>
        <v>12.326499999999999</v>
      </c>
      <c r="E287" s="14">
        <f>CHOOSE(CONTROL!$C$42, 12.3606, 12.3606) * CHOOSE(CONTROL!$C$21, $C$9, 100%, $E$9)</f>
        <v>12.3606</v>
      </c>
      <c r="F287" s="14">
        <f>CHOOSE(CONTROL!$C$42, 12.2599, 12.2599)*CHOOSE(CONTROL!$C$21, $C$9, 100%, $E$9)</f>
        <v>12.2599</v>
      </c>
      <c r="G287" s="14">
        <f>CHOOSE(CONTROL!$C$42, 12.2765, 12.2765)*CHOOSE(CONTROL!$C$21, $C$9, 100%, $E$9)</f>
        <v>12.2765</v>
      </c>
      <c r="H287" s="14">
        <f>CHOOSE(CONTROL!$C$42, 12.3498, 12.3498) * CHOOSE(CONTROL!$C$21, $C$9, 100%, $E$9)</f>
        <v>12.3498</v>
      </c>
      <c r="I287" s="14">
        <f>CHOOSE(CONTROL!$C$42, 12.3099, 12.3099)* CHOOSE(CONTROL!$C$21, $C$9, 100%, $E$9)</f>
        <v>12.309900000000001</v>
      </c>
      <c r="J287" s="14">
        <f>CHOOSE(CONTROL!$C$42, 12.2529, 12.2529)* CHOOSE(CONTROL!$C$21, $C$9, 100%, $E$9)</f>
        <v>12.2529</v>
      </c>
      <c r="K287" s="53">
        <f>CHOOSE(CONTROL!$C$42, 12.306, 12.306) * CHOOSE(CONTROL!$C$21, $C$9, 100%, $E$9)</f>
        <v>12.305999999999999</v>
      </c>
      <c r="L287" s="14">
        <f>CHOOSE(CONTROL!$C$42, 12.9368, 12.9368) * CHOOSE(CONTROL!$C$21, $C$9, 100%, $E$9)</f>
        <v>12.9368</v>
      </c>
      <c r="M287" s="14">
        <f>CHOOSE(CONTROL!$C$42, 12.0095, 12.0095) * CHOOSE(CONTROL!$C$21, $C$9, 100%, $E$9)</f>
        <v>12.009499999999999</v>
      </c>
      <c r="N287" s="14">
        <f>CHOOSE(CONTROL!$C$42, 12.0258, 12.0258) * CHOOSE(CONTROL!$C$21, $C$9, 100%, $E$9)</f>
        <v>12.0258</v>
      </c>
      <c r="O287" s="14">
        <f>CHOOSE(CONTROL!$C$42, 12.1045, 12.1045) * CHOOSE(CONTROL!$C$21, $C$9, 100%, $E$9)</f>
        <v>12.1045</v>
      </c>
      <c r="P287" s="14">
        <f>CHOOSE(CONTROL!$C$42, 12.0647, 12.0647) * CHOOSE(CONTROL!$C$21, $C$9, 100%, $E$9)</f>
        <v>12.0647</v>
      </c>
      <c r="Q287" s="14">
        <f>CHOOSE(CONTROL!$C$42, 12.6992, 12.6992) * CHOOSE(CONTROL!$C$21, $C$9, 100%, $E$9)</f>
        <v>12.699199999999999</v>
      </c>
      <c r="R287" s="14">
        <f>CHOOSE(CONTROL!$C$42, 13.3179, 13.3179) * CHOOSE(CONTROL!$C$21, $C$9, 100%, $E$9)</f>
        <v>13.3179</v>
      </c>
      <c r="S287" s="14">
        <f>CHOOSE(CONTROL!$C$42, 11.7698, 11.7698) * CHOOSE(CONTROL!$C$21, $C$9, 100%, $E$9)</f>
        <v>11.7698</v>
      </c>
      <c r="T2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7">
        <f>(1000*CHOOSE(CONTROL!$C$42, 695, 695)*CHOOSE(CONTROL!$C$42, 0.5599, 0.5599)*CHOOSE(CONTROL!$C$42, 30, 30))/1000000</f>
        <v>11.673914999999997</v>
      </c>
      <c r="V287" s="57">
        <f>(1000*CHOOSE(CONTROL!$C$42, 500, 500)*CHOOSE(CONTROL!$C$42, 0.275, 0.275)*CHOOSE(CONTROL!$C$42, 30, 30))/1000000</f>
        <v>4.125</v>
      </c>
      <c r="W287" s="57">
        <f>(1000*CHOOSE(CONTROL!$C$42, 0.1146, 0.1146)*CHOOSE(CONTROL!$C$42, 121.5, 121.5)*CHOOSE(CONTROL!$C$42, 30, 30))/1000000</f>
        <v>0.417717</v>
      </c>
      <c r="X287" s="57">
        <f>(30*0.1790888*100000/1000000)+(30*0.2374*100000/1000000)</f>
        <v>1.2494664</v>
      </c>
      <c r="Y287" s="57"/>
      <c r="Z287" s="14"/>
      <c r="AA287" s="56"/>
      <c r="AB287" s="50">
        <f>(B287*122.58+C287*297.941+D287*89.177+E287*40.302+F287*40+G287*160+H287*0+I287*100+J287*300)/(122.58+297.941+89.177+40.302+0+40+160+100+300)</f>
        <v>12.273905130782609</v>
      </c>
      <c r="AC287" s="45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12.061438129496402</v>
      </c>
    </row>
    <row r="288" spans="1:29" ht="15.75" x14ac:dyDescent="0.25">
      <c r="A288" s="34">
        <v>49644</v>
      </c>
      <c r="B288" s="14">
        <f>CHOOSE(CONTROL!$C$42, 13.0927, 13.0927) * CHOOSE(CONTROL!$C$21, $C$9, 100%, $E$9)</f>
        <v>13.092700000000001</v>
      </c>
      <c r="C288" s="14">
        <f>CHOOSE(CONTROL!$C$42, 13.0977, 13.0977) * CHOOSE(CONTROL!$C$21, $C$9, 100%, $E$9)</f>
        <v>13.0977</v>
      </c>
      <c r="D288" s="14">
        <f>CHOOSE(CONTROL!$C$42, 13.1616, 13.1616) * CHOOSE(CONTROL!$C$21, $C$9, 100%, $E$9)</f>
        <v>13.1616</v>
      </c>
      <c r="E288" s="14">
        <f>CHOOSE(CONTROL!$C$42, 13.1957, 13.1957) * CHOOSE(CONTROL!$C$21, $C$9, 100%, $E$9)</f>
        <v>13.1957</v>
      </c>
      <c r="F288" s="14">
        <f>CHOOSE(CONTROL!$C$42, 13.097, 13.097)*CHOOSE(CONTROL!$C$21, $C$9, 100%, $E$9)</f>
        <v>13.097</v>
      </c>
      <c r="G288" s="14">
        <f>CHOOSE(CONTROL!$C$42, 13.1142, 13.1142)*CHOOSE(CONTROL!$C$21, $C$9, 100%, $E$9)</f>
        <v>13.1142</v>
      </c>
      <c r="H288" s="14">
        <f>CHOOSE(CONTROL!$C$42, 13.1849, 13.1849) * CHOOSE(CONTROL!$C$21, $C$9, 100%, $E$9)</f>
        <v>13.184900000000001</v>
      </c>
      <c r="I288" s="14">
        <f>CHOOSE(CONTROL!$C$42, 13.1476, 13.1476)* CHOOSE(CONTROL!$C$21, $C$9, 100%, $E$9)</f>
        <v>13.147600000000001</v>
      </c>
      <c r="J288" s="14">
        <f>CHOOSE(CONTROL!$C$42, 13.09, 13.09)* CHOOSE(CONTROL!$C$21, $C$9, 100%, $E$9)</f>
        <v>13.09</v>
      </c>
      <c r="K288" s="53">
        <f>CHOOSE(CONTROL!$C$42, 13.1437, 13.1437) * CHOOSE(CONTROL!$C$21, $C$9, 100%, $E$9)</f>
        <v>13.143700000000001</v>
      </c>
      <c r="L288" s="14">
        <f>CHOOSE(CONTROL!$C$42, 13.7719, 13.7719) * CHOOSE(CONTROL!$C$21, $C$9, 100%, $E$9)</f>
        <v>13.7719</v>
      </c>
      <c r="M288" s="14">
        <f>CHOOSE(CONTROL!$C$42, 12.8295, 12.8295) * CHOOSE(CONTROL!$C$21, $C$9, 100%, $E$9)</f>
        <v>12.829499999999999</v>
      </c>
      <c r="N288" s="14">
        <f>CHOOSE(CONTROL!$C$42, 12.8463, 12.8463) * CHOOSE(CONTROL!$C$21, $C$9, 100%, $E$9)</f>
        <v>12.846299999999999</v>
      </c>
      <c r="O288" s="14">
        <f>CHOOSE(CONTROL!$C$42, 12.9224, 12.9224) * CHOOSE(CONTROL!$C$21, $C$9, 100%, $E$9)</f>
        <v>12.9224</v>
      </c>
      <c r="P288" s="14">
        <f>CHOOSE(CONTROL!$C$42, 12.8851, 12.8851) * CHOOSE(CONTROL!$C$21, $C$9, 100%, $E$9)</f>
        <v>12.8851</v>
      </c>
      <c r="Q288" s="14">
        <f>CHOOSE(CONTROL!$C$42, 13.5171, 13.5171) * CHOOSE(CONTROL!$C$21, $C$9, 100%, $E$9)</f>
        <v>13.517099999999999</v>
      </c>
      <c r="R288" s="14">
        <f>CHOOSE(CONTROL!$C$42, 14.1379, 14.1379) * CHOOSE(CONTROL!$C$21, $C$9, 100%, $E$9)</f>
        <v>14.1379</v>
      </c>
      <c r="S288" s="14">
        <f>CHOOSE(CONTROL!$C$42, 12.5722, 12.5722) * CHOOSE(CONTROL!$C$21, $C$9, 100%, $E$9)</f>
        <v>12.5722</v>
      </c>
      <c r="T2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7">
        <f>(1000*CHOOSE(CONTROL!$C$42, 695, 695)*CHOOSE(CONTROL!$C$42, 0.5599, 0.5599)*CHOOSE(CONTROL!$C$42, 31, 31))/1000000</f>
        <v>12.063045499999998</v>
      </c>
      <c r="V288" s="57">
        <f>(1000*CHOOSE(CONTROL!$C$42, 500, 500)*CHOOSE(CONTROL!$C$42, 0.275, 0.275)*CHOOSE(CONTROL!$C$42, 31, 31))/1000000</f>
        <v>4.2625000000000002</v>
      </c>
      <c r="W288" s="57">
        <f>(1000*CHOOSE(CONTROL!$C$42, 0.1146, 0.1146)*CHOOSE(CONTROL!$C$42, 121.5, 121.5)*CHOOSE(CONTROL!$C$42, 31, 31))/1000000</f>
        <v>0.43164089999999994</v>
      </c>
      <c r="X288" s="57">
        <f>(31*0.1790888*100000/1000000)+(31*0.2374*100000/1000000)</f>
        <v>1.2911152800000001</v>
      </c>
      <c r="Y288" s="57"/>
      <c r="Z288" s="14"/>
      <c r="AA288" s="56"/>
      <c r="AB288" s="50">
        <f>(B288*122.58+C288*297.941+D288*89.177+E288*40.302+F288*40+G288*160+H288*0+I288*100+J288*300)/(122.58+297.941+89.177+40.302+0+40+160+100+300)</f>
        <v>13.110158353304348</v>
      </c>
      <c r="AC288" s="45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12.880572661870502</v>
      </c>
    </row>
    <row r="289" spans="1:29" ht="15.75" x14ac:dyDescent="0.25">
      <c r="A289" s="34">
        <v>49675</v>
      </c>
      <c r="B289" s="14">
        <f>CHOOSE(CONTROL!$C$42, 14.1644, 14.1644) * CHOOSE(CONTROL!$C$21, $C$9, 100%, $E$9)</f>
        <v>14.164400000000001</v>
      </c>
      <c r="C289" s="14">
        <f>CHOOSE(CONTROL!$C$42, 14.1694, 14.1694) * CHOOSE(CONTROL!$C$21, $C$9, 100%, $E$9)</f>
        <v>14.1694</v>
      </c>
      <c r="D289" s="14">
        <f>CHOOSE(CONTROL!$C$42, 14.228, 14.228) * CHOOSE(CONTROL!$C$21, $C$9, 100%, $E$9)</f>
        <v>14.228</v>
      </c>
      <c r="E289" s="14">
        <f>CHOOSE(CONTROL!$C$42, 14.2621, 14.2621) * CHOOSE(CONTROL!$C$21, $C$9, 100%, $E$9)</f>
        <v>14.2621</v>
      </c>
      <c r="F289" s="14">
        <f>CHOOSE(CONTROL!$C$42, 14.1635, 14.1635)*CHOOSE(CONTROL!$C$21, $C$9, 100%, $E$9)</f>
        <v>14.163500000000001</v>
      </c>
      <c r="G289" s="14">
        <f>CHOOSE(CONTROL!$C$42, 14.1798, 14.1798)*CHOOSE(CONTROL!$C$21, $C$9, 100%, $E$9)</f>
        <v>14.1798</v>
      </c>
      <c r="H289" s="14">
        <f>CHOOSE(CONTROL!$C$42, 14.2513, 14.2513) * CHOOSE(CONTROL!$C$21, $C$9, 100%, $E$9)</f>
        <v>14.251300000000001</v>
      </c>
      <c r="I289" s="14">
        <f>CHOOSE(CONTROL!$C$42, 14.2189, 14.2189)* CHOOSE(CONTROL!$C$21, $C$9, 100%, $E$9)</f>
        <v>14.2189</v>
      </c>
      <c r="J289" s="14">
        <f>CHOOSE(CONTROL!$C$42, 14.1565, 14.1565)* CHOOSE(CONTROL!$C$21, $C$9, 100%, $E$9)</f>
        <v>14.156499999999999</v>
      </c>
      <c r="K289" s="53">
        <f>CHOOSE(CONTROL!$C$42, 14.2151, 14.2151) * CHOOSE(CONTROL!$C$21, $C$9, 100%, $E$9)</f>
        <v>14.2151</v>
      </c>
      <c r="L289" s="14">
        <f>CHOOSE(CONTROL!$C$42, 14.8383, 14.8383) * CHOOSE(CONTROL!$C$21, $C$9, 100%, $E$9)</f>
        <v>14.8383</v>
      </c>
      <c r="M289" s="14">
        <f>CHOOSE(CONTROL!$C$42, 13.8741, 13.8741) * CHOOSE(CONTROL!$C$21, $C$9, 100%, $E$9)</f>
        <v>13.8741</v>
      </c>
      <c r="N289" s="14">
        <f>CHOOSE(CONTROL!$C$42, 13.8901, 13.8901) * CHOOSE(CONTROL!$C$21, $C$9, 100%, $E$9)</f>
        <v>13.8901</v>
      </c>
      <c r="O289" s="14">
        <f>CHOOSE(CONTROL!$C$42, 13.967, 13.967) * CHOOSE(CONTROL!$C$21, $C$9, 100%, $E$9)</f>
        <v>13.967000000000001</v>
      </c>
      <c r="P289" s="14">
        <f>CHOOSE(CONTROL!$C$42, 13.9345, 13.9345) * CHOOSE(CONTROL!$C$21, $C$9, 100%, $E$9)</f>
        <v>13.9345</v>
      </c>
      <c r="Q289" s="14">
        <f>CHOOSE(CONTROL!$C$42, 14.5617, 14.5617) * CHOOSE(CONTROL!$C$21, $C$9, 100%, $E$9)</f>
        <v>14.5617</v>
      </c>
      <c r="R289" s="14">
        <f>CHOOSE(CONTROL!$C$42, 15.1851, 15.1851) * CHOOSE(CONTROL!$C$21, $C$9, 100%, $E$9)</f>
        <v>15.1851</v>
      </c>
      <c r="S289" s="14">
        <f>CHOOSE(CONTROL!$C$42, 13.602, 13.602) * CHOOSE(CONTROL!$C$21, $C$9, 100%, $E$9)</f>
        <v>13.602</v>
      </c>
      <c r="T2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7">
        <f>(1000*CHOOSE(CONTROL!$C$42, 695, 695)*CHOOSE(CONTROL!$C$42, 0.5599, 0.5599)*CHOOSE(CONTROL!$C$42, 31, 31))/1000000</f>
        <v>12.063045499999998</v>
      </c>
      <c r="V289" s="57">
        <f>(1000*CHOOSE(CONTROL!$C$42, 500, 500)*CHOOSE(CONTROL!$C$42, 0.275, 0.275)*CHOOSE(CONTROL!$C$42, 31, 31))/1000000</f>
        <v>4.2625000000000002</v>
      </c>
      <c r="W289" s="57">
        <f>(1000*CHOOSE(CONTROL!$C$42, 0.1146, 0.1146)*CHOOSE(CONTROL!$C$42, 121.5, 121.5)*CHOOSE(CONTROL!$C$42, 31, 31))/1000000</f>
        <v>0.43164089999999994</v>
      </c>
      <c r="X289" s="57">
        <f>(31*0.1790888*100000/1000000)+(31*0.2374*100000/1000000)</f>
        <v>1.2911152800000001</v>
      </c>
      <c r="Y289" s="57"/>
      <c r="Z289" s="14"/>
      <c r="AA289" s="56"/>
      <c r="AB289" s="50">
        <f>(B289*122.58+C289*297.941+D289*89.177+E289*40.302+F289*40+G289*160+H289*0+I289*100+J289*300)/(122.58+297.941+89.177+40.302+0+40+160+100+300)</f>
        <v>14.178840754434784</v>
      </c>
      <c r="AC289" s="45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13.925817266187051</v>
      </c>
    </row>
    <row r="290" spans="1:29" ht="15.75" x14ac:dyDescent="0.25">
      <c r="A290" s="34">
        <v>49706</v>
      </c>
      <c r="B290" s="14">
        <f>CHOOSE(CONTROL!$C$42, 14.4163, 14.4163) * CHOOSE(CONTROL!$C$21, $C$9, 100%, $E$9)</f>
        <v>14.4163</v>
      </c>
      <c r="C290" s="14">
        <f>CHOOSE(CONTROL!$C$42, 14.4214, 14.4214) * CHOOSE(CONTROL!$C$21, $C$9, 100%, $E$9)</f>
        <v>14.4214</v>
      </c>
      <c r="D290" s="14">
        <f>CHOOSE(CONTROL!$C$42, 14.48, 14.48) * CHOOSE(CONTROL!$C$21, $C$9, 100%, $E$9)</f>
        <v>14.48</v>
      </c>
      <c r="E290" s="14">
        <f>CHOOSE(CONTROL!$C$42, 14.5141, 14.5141) * CHOOSE(CONTROL!$C$21, $C$9, 100%, $E$9)</f>
        <v>14.514099999999999</v>
      </c>
      <c r="F290" s="14">
        <f>CHOOSE(CONTROL!$C$42, 14.4154, 14.4154)*CHOOSE(CONTROL!$C$21, $C$9, 100%, $E$9)</f>
        <v>14.4154</v>
      </c>
      <c r="G290" s="14">
        <f>CHOOSE(CONTROL!$C$42, 14.4318, 14.4318)*CHOOSE(CONTROL!$C$21, $C$9, 100%, $E$9)</f>
        <v>14.431800000000001</v>
      </c>
      <c r="H290" s="14">
        <f>CHOOSE(CONTROL!$C$42, 14.5033, 14.5033) * CHOOSE(CONTROL!$C$21, $C$9, 100%, $E$9)</f>
        <v>14.503299999999999</v>
      </c>
      <c r="I290" s="14">
        <f>CHOOSE(CONTROL!$C$42, 14.4717, 14.4717)* CHOOSE(CONTROL!$C$21, $C$9, 100%, $E$9)</f>
        <v>14.4717</v>
      </c>
      <c r="J290" s="14">
        <f>CHOOSE(CONTROL!$C$42, 14.4084, 14.4084)* CHOOSE(CONTROL!$C$21, $C$9, 100%, $E$9)</f>
        <v>14.4084</v>
      </c>
      <c r="K290" s="53">
        <f>CHOOSE(CONTROL!$C$42, 14.4678, 14.4678) * CHOOSE(CONTROL!$C$21, $C$9, 100%, $E$9)</f>
        <v>14.4678</v>
      </c>
      <c r="L290" s="14">
        <f>CHOOSE(CONTROL!$C$42, 15.0903, 15.0903) * CHOOSE(CONTROL!$C$21, $C$9, 100%, $E$9)</f>
        <v>15.090299999999999</v>
      </c>
      <c r="M290" s="14">
        <f>CHOOSE(CONTROL!$C$42, 14.1209, 14.1209) * CHOOSE(CONTROL!$C$21, $C$9, 100%, $E$9)</f>
        <v>14.120900000000001</v>
      </c>
      <c r="N290" s="14">
        <f>CHOOSE(CONTROL!$C$42, 14.1369, 14.1369) * CHOOSE(CONTROL!$C$21, $C$9, 100%, $E$9)</f>
        <v>14.136900000000001</v>
      </c>
      <c r="O290" s="14">
        <f>CHOOSE(CONTROL!$C$42, 14.2138, 14.2138) * CHOOSE(CONTROL!$C$21, $C$9, 100%, $E$9)</f>
        <v>14.213800000000001</v>
      </c>
      <c r="P290" s="14">
        <f>CHOOSE(CONTROL!$C$42, 14.1821, 14.1821) * CHOOSE(CONTROL!$C$21, $C$9, 100%, $E$9)</f>
        <v>14.1821</v>
      </c>
      <c r="Q290" s="14">
        <f>CHOOSE(CONTROL!$C$42, 14.8085, 14.8085) * CHOOSE(CONTROL!$C$21, $C$9, 100%, $E$9)</f>
        <v>14.8085</v>
      </c>
      <c r="R290" s="14">
        <f>CHOOSE(CONTROL!$C$42, 15.4326, 15.4326) * CHOOSE(CONTROL!$C$21, $C$9, 100%, $E$9)</f>
        <v>15.432600000000001</v>
      </c>
      <c r="S290" s="14">
        <f>CHOOSE(CONTROL!$C$42, 13.8441, 13.8441) * CHOOSE(CONTROL!$C$21, $C$9, 100%, $E$9)</f>
        <v>13.844099999999999</v>
      </c>
      <c r="T29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7">
        <f>(1000*CHOOSE(CONTROL!$C$42, 695, 695)*CHOOSE(CONTROL!$C$42, 0.5599, 0.5599)*CHOOSE(CONTROL!$C$42, 29, 29))/1000000</f>
        <v>11.284784499999999</v>
      </c>
      <c r="V290" s="57">
        <f>(1000*CHOOSE(CONTROL!$C$42, 500, 500)*CHOOSE(CONTROL!$C$42, 0.275, 0.275)*CHOOSE(CONTROL!$C$42, 29, 29))/1000000</f>
        <v>3.9874999999999998</v>
      </c>
      <c r="W290" s="57">
        <f>(1000*CHOOSE(CONTROL!$C$42, 0.1146, 0.1146)*CHOOSE(CONTROL!$C$42, 121.5, 121.5)*CHOOSE(CONTROL!$C$42, 29, 29))/1000000</f>
        <v>0.40379309999999996</v>
      </c>
      <c r="X290" s="57">
        <f>(29*0.1790888*100000/1000000)+(29*0.2374*100000/1000000)</f>
        <v>1.2078175199999999</v>
      </c>
      <c r="Y290" s="57"/>
      <c r="Z290" s="14"/>
      <c r="AA290" s="56"/>
      <c r="AB290" s="50">
        <f>(B290*122.58+C290*297.941+D290*89.177+E290*40.302+F290*40+G290*160+H290*0+I290*100+J290*300)/(122.58+297.941+89.177+40.302+0+40+160+100+300)</f>
        <v>14.430870095304348</v>
      </c>
      <c r="AC290" s="45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14.172732374100718</v>
      </c>
    </row>
    <row r="291" spans="1:29" ht="15.75" x14ac:dyDescent="0.25">
      <c r="A291" s="34">
        <v>49735</v>
      </c>
      <c r="B291" s="14">
        <f>CHOOSE(CONTROL!$C$42, 14.0073, 14.0073) * CHOOSE(CONTROL!$C$21, $C$9, 100%, $E$9)</f>
        <v>14.007300000000001</v>
      </c>
      <c r="C291" s="14">
        <f>CHOOSE(CONTROL!$C$42, 14.0124, 14.0124) * CHOOSE(CONTROL!$C$21, $C$9, 100%, $E$9)</f>
        <v>14.0124</v>
      </c>
      <c r="D291" s="14">
        <f>CHOOSE(CONTROL!$C$42, 14.071, 14.071) * CHOOSE(CONTROL!$C$21, $C$9, 100%, $E$9)</f>
        <v>14.071</v>
      </c>
      <c r="E291" s="14">
        <f>CHOOSE(CONTROL!$C$42, 14.1051, 14.1051) * CHOOSE(CONTROL!$C$21, $C$9, 100%, $E$9)</f>
        <v>14.1051</v>
      </c>
      <c r="F291" s="14">
        <f>CHOOSE(CONTROL!$C$42, 14.0059, 14.0059)*CHOOSE(CONTROL!$C$21, $C$9, 100%, $E$9)</f>
        <v>14.0059</v>
      </c>
      <c r="G291" s="14">
        <f>CHOOSE(CONTROL!$C$42, 14.0221, 14.0221)*CHOOSE(CONTROL!$C$21, $C$9, 100%, $E$9)</f>
        <v>14.0221</v>
      </c>
      <c r="H291" s="14">
        <f>CHOOSE(CONTROL!$C$42, 14.0943, 14.0943) * CHOOSE(CONTROL!$C$21, $C$9, 100%, $E$9)</f>
        <v>14.0943</v>
      </c>
      <c r="I291" s="14">
        <f>CHOOSE(CONTROL!$C$42, 14.0614, 14.0614)* CHOOSE(CONTROL!$C$21, $C$9, 100%, $E$9)</f>
        <v>14.061400000000001</v>
      </c>
      <c r="J291" s="14">
        <f>CHOOSE(CONTROL!$C$42, 13.9989, 13.9989)* CHOOSE(CONTROL!$C$21, $C$9, 100%, $E$9)</f>
        <v>13.998900000000001</v>
      </c>
      <c r="K291" s="53">
        <f>CHOOSE(CONTROL!$C$42, 14.0575, 14.0575) * CHOOSE(CONTROL!$C$21, $C$9, 100%, $E$9)</f>
        <v>14.057499999999999</v>
      </c>
      <c r="L291" s="14">
        <f>CHOOSE(CONTROL!$C$42, 14.6813, 14.6813) * CHOOSE(CONTROL!$C$21, $C$9, 100%, $E$9)</f>
        <v>14.6813</v>
      </c>
      <c r="M291" s="14">
        <f>CHOOSE(CONTROL!$C$42, 13.7198, 13.7198) * CHOOSE(CONTROL!$C$21, $C$9, 100%, $E$9)</f>
        <v>13.719799999999999</v>
      </c>
      <c r="N291" s="14">
        <f>CHOOSE(CONTROL!$C$42, 13.7357, 13.7357) * CHOOSE(CONTROL!$C$21, $C$9, 100%, $E$9)</f>
        <v>13.7357</v>
      </c>
      <c r="O291" s="14">
        <f>CHOOSE(CONTROL!$C$42, 13.8132, 13.8132) * CHOOSE(CONTROL!$C$21, $C$9, 100%, $E$9)</f>
        <v>13.8132</v>
      </c>
      <c r="P291" s="14">
        <f>CHOOSE(CONTROL!$C$42, 13.7802, 13.7802) * CHOOSE(CONTROL!$C$21, $C$9, 100%, $E$9)</f>
        <v>13.780200000000001</v>
      </c>
      <c r="Q291" s="14">
        <f>CHOOSE(CONTROL!$C$42, 14.4079, 14.4079) * CHOOSE(CONTROL!$C$21, $C$9, 100%, $E$9)</f>
        <v>14.4079</v>
      </c>
      <c r="R291" s="14">
        <f>CHOOSE(CONTROL!$C$42, 15.0309, 15.0309) * CHOOSE(CONTROL!$C$21, $C$9, 100%, $E$9)</f>
        <v>15.030900000000001</v>
      </c>
      <c r="S291" s="14">
        <f>CHOOSE(CONTROL!$C$42, 13.4511, 13.4511) * CHOOSE(CONTROL!$C$21, $C$9, 100%, $E$9)</f>
        <v>13.4511</v>
      </c>
      <c r="T2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7">
        <f>(1000*CHOOSE(CONTROL!$C$42, 695, 695)*CHOOSE(CONTROL!$C$42, 0.5599, 0.5599)*CHOOSE(CONTROL!$C$42, 31, 31))/1000000</f>
        <v>12.063045499999998</v>
      </c>
      <c r="V291" s="57">
        <f>(1000*CHOOSE(CONTROL!$C$42, 500, 500)*CHOOSE(CONTROL!$C$42, 0.275, 0.275)*CHOOSE(CONTROL!$C$42, 31, 31))/1000000</f>
        <v>4.2625000000000002</v>
      </c>
      <c r="W291" s="57">
        <f>(1000*CHOOSE(CONTROL!$C$42, 0.1146, 0.1146)*CHOOSE(CONTROL!$C$42, 121.5, 121.5)*CHOOSE(CONTROL!$C$42, 31, 31))/1000000</f>
        <v>0.43164089999999994</v>
      </c>
      <c r="X291" s="57">
        <f>(31*0.1790888*100000/1000000)+(31*0.2374*100000/1000000)</f>
        <v>1.2911152800000001</v>
      </c>
      <c r="Y291" s="57"/>
      <c r="Z291" s="14"/>
      <c r="AA291" s="56"/>
      <c r="AB291" s="50">
        <f>(B291*122.58+C291*297.941+D291*89.177+E291*40.302+F291*40+G291*160+H291*0+I291*100+J291*300)/(122.58+297.941+89.177+40.302+0+40+160+100+300)</f>
        <v>14.021511834434781</v>
      </c>
      <c r="AC291" s="45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13.771738129496404</v>
      </c>
    </row>
    <row r="292" spans="1:29" ht="15.75" x14ac:dyDescent="0.25">
      <c r="A292" s="34">
        <v>49766</v>
      </c>
      <c r="B292" s="14">
        <f>CHOOSE(CONTROL!$C$42, 13.9666, 13.9666) * CHOOSE(CONTROL!$C$21, $C$9, 100%, $E$9)</f>
        <v>13.9666</v>
      </c>
      <c r="C292" s="14">
        <f>CHOOSE(CONTROL!$C$42, 13.9711, 13.9711) * CHOOSE(CONTROL!$C$21, $C$9, 100%, $E$9)</f>
        <v>13.9711</v>
      </c>
      <c r="D292" s="14">
        <f>CHOOSE(CONTROL!$C$42, 14.1792, 14.1792) * CHOOSE(CONTROL!$C$21, $C$9, 100%, $E$9)</f>
        <v>14.1792</v>
      </c>
      <c r="E292" s="14">
        <f>CHOOSE(CONTROL!$C$42, 14.2113, 14.2113) * CHOOSE(CONTROL!$C$21, $C$9, 100%, $E$9)</f>
        <v>14.2113</v>
      </c>
      <c r="F292" s="14">
        <f>CHOOSE(CONTROL!$C$42, 13.9539, 13.9539)*CHOOSE(CONTROL!$C$21, $C$9, 100%, $E$9)</f>
        <v>13.953900000000001</v>
      </c>
      <c r="G292" s="14">
        <f>CHOOSE(CONTROL!$C$42, 13.9699, 13.9699)*CHOOSE(CONTROL!$C$21, $C$9, 100%, $E$9)</f>
        <v>13.969900000000001</v>
      </c>
      <c r="H292" s="14">
        <f>CHOOSE(CONTROL!$C$42, 14.2011, 14.2011) * CHOOSE(CONTROL!$C$21, $C$9, 100%, $E$9)</f>
        <v>14.2011</v>
      </c>
      <c r="I292" s="14">
        <f>CHOOSE(CONTROL!$C$42, 14.0198, 14.0198)* CHOOSE(CONTROL!$C$21, $C$9, 100%, $E$9)</f>
        <v>14.0198</v>
      </c>
      <c r="J292" s="14">
        <f>CHOOSE(CONTROL!$C$42, 13.9469, 13.9469)* CHOOSE(CONTROL!$C$21, $C$9, 100%, $E$9)</f>
        <v>13.946899999999999</v>
      </c>
      <c r="K292" s="53">
        <f>CHOOSE(CONTROL!$C$42, 14.0159, 14.0159) * CHOOSE(CONTROL!$C$21, $C$9, 100%, $E$9)</f>
        <v>14.0159</v>
      </c>
      <c r="L292" s="14">
        <f>CHOOSE(CONTROL!$C$42, 14.7881, 14.7881) * CHOOSE(CONTROL!$C$21, $C$9, 100%, $E$9)</f>
        <v>14.7881</v>
      </c>
      <c r="M292" s="14">
        <f>CHOOSE(CONTROL!$C$42, 13.6688, 13.6688) * CHOOSE(CONTROL!$C$21, $C$9, 100%, $E$9)</f>
        <v>13.668799999999999</v>
      </c>
      <c r="N292" s="14">
        <f>CHOOSE(CONTROL!$C$42, 13.6845, 13.6845) * CHOOSE(CONTROL!$C$21, $C$9, 100%, $E$9)</f>
        <v>13.6845</v>
      </c>
      <c r="O292" s="14">
        <f>CHOOSE(CONTROL!$C$42, 13.9178, 13.9178) * CHOOSE(CONTROL!$C$21, $C$9, 100%, $E$9)</f>
        <v>13.9178</v>
      </c>
      <c r="P292" s="14">
        <f>CHOOSE(CONTROL!$C$42, 13.7394, 13.7394) * CHOOSE(CONTROL!$C$21, $C$9, 100%, $E$9)</f>
        <v>13.7394</v>
      </c>
      <c r="Q292" s="14">
        <f>CHOOSE(CONTROL!$C$42, 14.5125, 14.5125) * CHOOSE(CONTROL!$C$21, $C$9, 100%, $E$9)</f>
        <v>14.512499999999999</v>
      </c>
      <c r="R292" s="14">
        <f>CHOOSE(CONTROL!$C$42, 15.1358, 15.1358) * CHOOSE(CONTROL!$C$21, $C$9, 100%, $E$9)</f>
        <v>15.1358</v>
      </c>
      <c r="S292" s="14">
        <f>CHOOSE(CONTROL!$C$42, 13.4112, 13.4112) * CHOOSE(CONTROL!$C$21, $C$9, 100%, $E$9)</f>
        <v>13.411199999999999</v>
      </c>
      <c r="T2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7">
        <f>(1000*CHOOSE(CONTROL!$C$42, 695, 695)*CHOOSE(CONTROL!$C$42, 0.5599, 0.5599)*CHOOSE(CONTROL!$C$42, 30, 30))/1000000</f>
        <v>11.673914999999997</v>
      </c>
      <c r="V292" s="57">
        <f>(1000*CHOOSE(CONTROL!$C$42, 500, 500)*CHOOSE(CONTROL!$C$42, 0.275, 0.275)*CHOOSE(CONTROL!$C$42, 30, 30))/1000000</f>
        <v>4.125</v>
      </c>
      <c r="W292" s="57">
        <f>(1000*CHOOSE(CONTROL!$C$42, 0.1146, 0.1146)*CHOOSE(CONTROL!$C$42, 121.5, 121.5)*CHOOSE(CONTROL!$C$42, 30, 30))/1000000</f>
        <v>0.417717</v>
      </c>
      <c r="X292" s="57">
        <f>(30*0.1790888*245000/1000000)+(30*0.2374*100000/1000000)</f>
        <v>2.0285026799999999</v>
      </c>
      <c r="Y292" s="57"/>
      <c r="Z292" s="14"/>
      <c r="AA292" s="56"/>
      <c r="AB292" s="50">
        <f>(B292*141.293+C292*267.993+D292*115.016+E292*89.698+F292*40+G292*185+H292*0+I292*100+J292*300)/(141.293+267.993+115.016+89.698+0+40+185+100+300)</f>
        <v>14.004630646246975</v>
      </c>
      <c r="AC292" s="45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13.75243597122302</v>
      </c>
    </row>
    <row r="293" spans="1:29" ht="15.75" x14ac:dyDescent="0.25">
      <c r="A293" s="34">
        <v>49796</v>
      </c>
      <c r="B293" s="14">
        <f>CHOOSE(CONTROL!$C$42, 14.0912, 14.0912) * CHOOSE(CONTROL!$C$21, $C$9, 100%, $E$9)</f>
        <v>14.091200000000001</v>
      </c>
      <c r="C293" s="14">
        <f>CHOOSE(CONTROL!$C$42, 14.0992, 14.0992) * CHOOSE(CONTROL!$C$21, $C$9, 100%, $E$9)</f>
        <v>14.0992</v>
      </c>
      <c r="D293" s="14">
        <f>CHOOSE(CONTROL!$C$42, 14.3042, 14.3042) * CHOOSE(CONTROL!$C$21, $C$9, 100%, $E$9)</f>
        <v>14.3042</v>
      </c>
      <c r="E293" s="14">
        <f>CHOOSE(CONTROL!$C$42, 14.3356, 14.3356) * CHOOSE(CONTROL!$C$21, $C$9, 100%, $E$9)</f>
        <v>14.335599999999999</v>
      </c>
      <c r="F293" s="14">
        <f>CHOOSE(CONTROL!$C$42, 14.0773, 14.0773)*CHOOSE(CONTROL!$C$21, $C$9, 100%, $E$9)</f>
        <v>14.077299999999999</v>
      </c>
      <c r="G293" s="14">
        <f>CHOOSE(CONTROL!$C$42, 14.0937, 14.0937)*CHOOSE(CONTROL!$C$21, $C$9, 100%, $E$9)</f>
        <v>14.0937</v>
      </c>
      <c r="H293" s="14">
        <f>CHOOSE(CONTROL!$C$42, 14.3242, 14.3242) * CHOOSE(CONTROL!$C$21, $C$9, 100%, $E$9)</f>
        <v>14.324199999999999</v>
      </c>
      <c r="I293" s="14">
        <f>CHOOSE(CONTROL!$C$42, 14.1433, 14.1433)* CHOOSE(CONTROL!$C$21, $C$9, 100%, $E$9)</f>
        <v>14.1433</v>
      </c>
      <c r="J293" s="14">
        <f>CHOOSE(CONTROL!$C$42, 14.0703, 14.0703)* CHOOSE(CONTROL!$C$21, $C$9, 100%, $E$9)</f>
        <v>14.0703</v>
      </c>
      <c r="K293" s="53">
        <f>CHOOSE(CONTROL!$C$42, 14.1394, 14.1394) * CHOOSE(CONTROL!$C$21, $C$9, 100%, $E$9)</f>
        <v>14.1394</v>
      </c>
      <c r="L293" s="14">
        <f>CHOOSE(CONTROL!$C$42, 14.9112, 14.9112) * CHOOSE(CONTROL!$C$21, $C$9, 100%, $E$9)</f>
        <v>14.911199999999999</v>
      </c>
      <c r="M293" s="14">
        <f>CHOOSE(CONTROL!$C$42, 13.7897, 13.7897) * CHOOSE(CONTROL!$C$21, $C$9, 100%, $E$9)</f>
        <v>13.7897</v>
      </c>
      <c r="N293" s="14">
        <f>CHOOSE(CONTROL!$C$42, 13.8058, 13.8058) * CHOOSE(CONTROL!$C$21, $C$9, 100%, $E$9)</f>
        <v>13.8058</v>
      </c>
      <c r="O293" s="14">
        <f>CHOOSE(CONTROL!$C$42, 14.0384, 14.0384) * CHOOSE(CONTROL!$C$21, $C$9, 100%, $E$9)</f>
        <v>14.038399999999999</v>
      </c>
      <c r="P293" s="14">
        <f>CHOOSE(CONTROL!$C$42, 13.8604, 13.8604) * CHOOSE(CONTROL!$C$21, $C$9, 100%, $E$9)</f>
        <v>13.8604</v>
      </c>
      <c r="Q293" s="14">
        <f>CHOOSE(CONTROL!$C$42, 14.6331, 14.6331) * CHOOSE(CONTROL!$C$21, $C$9, 100%, $E$9)</f>
        <v>14.633100000000001</v>
      </c>
      <c r="R293" s="14">
        <f>CHOOSE(CONTROL!$C$42, 15.2567, 15.2567) * CHOOSE(CONTROL!$C$21, $C$9, 100%, $E$9)</f>
        <v>15.2567</v>
      </c>
      <c r="S293" s="14">
        <f>CHOOSE(CONTROL!$C$42, 13.5296, 13.5296) * CHOOSE(CONTROL!$C$21, $C$9, 100%, $E$9)</f>
        <v>13.5296</v>
      </c>
      <c r="T2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7">
        <f>(1000*CHOOSE(CONTROL!$C$42, 695, 695)*CHOOSE(CONTROL!$C$42, 0.5599, 0.5599)*CHOOSE(CONTROL!$C$42, 31, 31))/1000000</f>
        <v>12.063045499999998</v>
      </c>
      <c r="V293" s="57">
        <f>(1000*CHOOSE(CONTROL!$C$42, 500, 500)*CHOOSE(CONTROL!$C$42, 0.275, 0.275)*CHOOSE(CONTROL!$C$42, 31, 31))/1000000</f>
        <v>4.2625000000000002</v>
      </c>
      <c r="W293" s="57">
        <f>(1000*CHOOSE(CONTROL!$C$42, 0.1146, 0.1146)*CHOOSE(CONTROL!$C$42, 121.5, 121.5)*CHOOSE(CONTROL!$C$42, 31, 31))/1000000</f>
        <v>0.43164089999999994</v>
      </c>
      <c r="X293" s="57">
        <f>(31*0.1790888*245000/1000000)+(31*0.2374*100000/1000000)</f>
        <v>2.0961194359999999</v>
      </c>
      <c r="Y293" s="57"/>
      <c r="Z293" s="14"/>
      <c r="AA293" s="56"/>
      <c r="AB293" s="50">
        <f>(B293*194.205+C293*267.466+D293*133.845+E293*53.484+F293*40+G293*185+H293*0+I293*100+J293*300)/(194.205+267.466+133.845+53.484+0+40+185+100+300)</f>
        <v>14.124611854474095</v>
      </c>
      <c r="AC293" s="45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13.873358273381296</v>
      </c>
    </row>
    <row r="294" spans="1:29" ht="15.75" x14ac:dyDescent="0.25">
      <c r="A294" s="34">
        <v>49827</v>
      </c>
      <c r="B294" s="14">
        <f>CHOOSE(CONTROL!$C$42, 14.4905, 14.4905) * CHOOSE(CONTROL!$C$21, $C$9, 100%, $E$9)</f>
        <v>14.490500000000001</v>
      </c>
      <c r="C294" s="14">
        <f>CHOOSE(CONTROL!$C$42, 14.4985, 14.4985) * CHOOSE(CONTROL!$C$21, $C$9, 100%, $E$9)</f>
        <v>14.4985</v>
      </c>
      <c r="D294" s="14">
        <f>CHOOSE(CONTROL!$C$42, 14.7035, 14.7035) * CHOOSE(CONTROL!$C$21, $C$9, 100%, $E$9)</f>
        <v>14.7035</v>
      </c>
      <c r="E294" s="14">
        <f>CHOOSE(CONTROL!$C$42, 14.735, 14.735) * CHOOSE(CONTROL!$C$21, $C$9, 100%, $E$9)</f>
        <v>14.734999999999999</v>
      </c>
      <c r="F294" s="14">
        <f>CHOOSE(CONTROL!$C$42, 14.4771, 14.4771)*CHOOSE(CONTROL!$C$21, $C$9, 100%, $E$9)</f>
        <v>14.4771</v>
      </c>
      <c r="G294" s="14">
        <f>CHOOSE(CONTROL!$C$42, 14.4936, 14.4936)*CHOOSE(CONTROL!$C$21, $C$9, 100%, $E$9)</f>
        <v>14.493600000000001</v>
      </c>
      <c r="H294" s="14">
        <f>CHOOSE(CONTROL!$C$42, 14.7236, 14.7236) * CHOOSE(CONTROL!$C$21, $C$9, 100%, $E$9)</f>
        <v>14.723599999999999</v>
      </c>
      <c r="I294" s="14">
        <f>CHOOSE(CONTROL!$C$42, 14.544, 14.544)* CHOOSE(CONTROL!$C$21, $C$9, 100%, $E$9)</f>
        <v>14.544</v>
      </c>
      <c r="J294" s="14">
        <f>CHOOSE(CONTROL!$C$42, 14.4701, 14.4701)* CHOOSE(CONTROL!$C$21, $C$9, 100%, $E$9)</f>
        <v>14.4701</v>
      </c>
      <c r="K294" s="53">
        <f>CHOOSE(CONTROL!$C$42, 14.5401, 14.5401) * CHOOSE(CONTROL!$C$21, $C$9, 100%, $E$9)</f>
        <v>14.540100000000001</v>
      </c>
      <c r="L294" s="14">
        <f>CHOOSE(CONTROL!$C$42, 15.3106, 15.3106) * CHOOSE(CONTROL!$C$21, $C$9, 100%, $E$9)</f>
        <v>15.310600000000001</v>
      </c>
      <c r="M294" s="14">
        <f>CHOOSE(CONTROL!$C$42, 14.1813, 14.1813) * CHOOSE(CONTROL!$C$21, $C$9, 100%, $E$9)</f>
        <v>14.1813</v>
      </c>
      <c r="N294" s="14">
        <f>CHOOSE(CONTROL!$C$42, 14.1975, 14.1975) * CHOOSE(CONTROL!$C$21, $C$9, 100%, $E$9)</f>
        <v>14.1975</v>
      </c>
      <c r="O294" s="14">
        <f>CHOOSE(CONTROL!$C$42, 14.4296, 14.4296) * CHOOSE(CONTROL!$C$21, $C$9, 100%, $E$9)</f>
        <v>14.429600000000001</v>
      </c>
      <c r="P294" s="14">
        <f>CHOOSE(CONTROL!$C$42, 14.2528, 14.2528) * CHOOSE(CONTROL!$C$21, $C$9, 100%, $E$9)</f>
        <v>14.252800000000001</v>
      </c>
      <c r="Q294" s="14">
        <f>CHOOSE(CONTROL!$C$42, 15.0243, 15.0243) * CHOOSE(CONTROL!$C$21, $C$9, 100%, $E$9)</f>
        <v>15.0243</v>
      </c>
      <c r="R294" s="14">
        <f>CHOOSE(CONTROL!$C$42, 15.6489, 15.6489) * CHOOSE(CONTROL!$C$21, $C$9, 100%, $E$9)</f>
        <v>15.648899999999999</v>
      </c>
      <c r="S294" s="14">
        <f>CHOOSE(CONTROL!$C$42, 13.9133, 13.9133) * CHOOSE(CONTROL!$C$21, $C$9, 100%, $E$9)</f>
        <v>13.9133</v>
      </c>
      <c r="T2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7">
        <f>(1000*CHOOSE(CONTROL!$C$42, 695, 695)*CHOOSE(CONTROL!$C$42, 0.5599, 0.5599)*CHOOSE(CONTROL!$C$42, 30, 30))/1000000</f>
        <v>11.673914999999997</v>
      </c>
      <c r="V294" s="57">
        <f>(1000*CHOOSE(CONTROL!$C$42, 500, 500)*CHOOSE(CONTROL!$C$42, 0.275, 0.275)*CHOOSE(CONTROL!$C$42, 30, 30))/1000000</f>
        <v>4.125</v>
      </c>
      <c r="W294" s="57">
        <f>(1000*CHOOSE(CONTROL!$C$42, 0.1146, 0.1146)*CHOOSE(CONTROL!$C$42, 121.5, 121.5)*CHOOSE(CONTROL!$C$42, 30, 30))/1000000</f>
        <v>0.417717</v>
      </c>
      <c r="X294" s="57">
        <f>(30*0.1790888*245000/1000000)+(30*0.2374*100000/1000000)</f>
        <v>2.0285026799999999</v>
      </c>
      <c r="Y294" s="57"/>
      <c r="Z294" s="14"/>
      <c r="AA294" s="56"/>
      <c r="AB294" s="50">
        <f>(B294*194.205+C294*267.466+D294*133.845+E294*53.484+F294*40+G294*185+H294*0+I294*100+J294*300)/(194.205+267.466+133.845+53.484+0+40+185+100+300)</f>
        <v>14.524246507849295</v>
      </c>
      <c r="AC294" s="45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14.264984172661871</v>
      </c>
    </row>
    <row r="295" spans="1:29" ht="15.75" x14ac:dyDescent="0.25">
      <c r="A295" s="34">
        <v>49857</v>
      </c>
      <c r="B295" s="14">
        <f>CHOOSE(CONTROL!$C$42, 14.2128, 14.2128) * CHOOSE(CONTROL!$C$21, $C$9, 100%, $E$9)</f>
        <v>14.2128</v>
      </c>
      <c r="C295" s="14">
        <f>CHOOSE(CONTROL!$C$42, 14.2208, 14.2208) * CHOOSE(CONTROL!$C$21, $C$9, 100%, $E$9)</f>
        <v>14.220800000000001</v>
      </c>
      <c r="D295" s="14">
        <f>CHOOSE(CONTROL!$C$42, 14.4258, 14.4258) * CHOOSE(CONTROL!$C$21, $C$9, 100%, $E$9)</f>
        <v>14.425800000000001</v>
      </c>
      <c r="E295" s="14">
        <f>CHOOSE(CONTROL!$C$42, 14.4572, 14.4572) * CHOOSE(CONTROL!$C$21, $C$9, 100%, $E$9)</f>
        <v>14.4572</v>
      </c>
      <c r="F295" s="14">
        <f>CHOOSE(CONTROL!$C$42, 14.1997, 14.1997)*CHOOSE(CONTROL!$C$21, $C$9, 100%, $E$9)</f>
        <v>14.1997</v>
      </c>
      <c r="G295" s="14">
        <f>CHOOSE(CONTROL!$C$42, 14.2164, 14.2164)*CHOOSE(CONTROL!$C$21, $C$9, 100%, $E$9)</f>
        <v>14.2164</v>
      </c>
      <c r="H295" s="14">
        <f>CHOOSE(CONTROL!$C$42, 14.4459, 14.4459) * CHOOSE(CONTROL!$C$21, $C$9, 100%, $E$9)</f>
        <v>14.4459</v>
      </c>
      <c r="I295" s="14">
        <f>CHOOSE(CONTROL!$C$42, 14.2653, 14.2653)* CHOOSE(CONTROL!$C$21, $C$9, 100%, $E$9)</f>
        <v>14.2653</v>
      </c>
      <c r="J295" s="14">
        <f>CHOOSE(CONTROL!$C$42, 14.1927, 14.1927)* CHOOSE(CONTROL!$C$21, $C$9, 100%, $E$9)</f>
        <v>14.1927</v>
      </c>
      <c r="K295" s="53">
        <f>CHOOSE(CONTROL!$C$42, 14.2614, 14.2614) * CHOOSE(CONTROL!$C$21, $C$9, 100%, $E$9)</f>
        <v>14.2614</v>
      </c>
      <c r="L295" s="14">
        <f>CHOOSE(CONTROL!$C$42, 15.0329, 15.0329) * CHOOSE(CONTROL!$C$21, $C$9, 100%, $E$9)</f>
        <v>15.0329</v>
      </c>
      <c r="M295" s="14">
        <f>CHOOSE(CONTROL!$C$42, 13.9096, 13.9096) * CHOOSE(CONTROL!$C$21, $C$9, 100%, $E$9)</f>
        <v>13.909599999999999</v>
      </c>
      <c r="N295" s="14">
        <f>CHOOSE(CONTROL!$C$42, 13.9259, 13.9259) * CHOOSE(CONTROL!$C$21, $C$9, 100%, $E$9)</f>
        <v>13.9259</v>
      </c>
      <c r="O295" s="14">
        <f>CHOOSE(CONTROL!$C$42, 14.1576, 14.1576) * CHOOSE(CONTROL!$C$21, $C$9, 100%, $E$9)</f>
        <v>14.1576</v>
      </c>
      <c r="P295" s="14">
        <f>CHOOSE(CONTROL!$C$42, 13.9799, 13.9799) * CHOOSE(CONTROL!$C$21, $C$9, 100%, $E$9)</f>
        <v>13.979900000000001</v>
      </c>
      <c r="Q295" s="14">
        <f>CHOOSE(CONTROL!$C$42, 14.7523, 14.7523) * CHOOSE(CONTROL!$C$21, $C$9, 100%, $E$9)</f>
        <v>14.7523</v>
      </c>
      <c r="R295" s="14">
        <f>CHOOSE(CONTROL!$C$42, 15.3761, 15.3761) * CHOOSE(CONTROL!$C$21, $C$9, 100%, $E$9)</f>
        <v>15.376099999999999</v>
      </c>
      <c r="S295" s="14">
        <f>CHOOSE(CONTROL!$C$42, 13.6464, 13.6464) * CHOOSE(CONTROL!$C$21, $C$9, 100%, $E$9)</f>
        <v>13.6464</v>
      </c>
      <c r="T2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7">
        <f>(1000*CHOOSE(CONTROL!$C$42, 695, 695)*CHOOSE(CONTROL!$C$42, 0.5599, 0.5599)*CHOOSE(CONTROL!$C$42, 31, 31))/1000000</f>
        <v>12.063045499999998</v>
      </c>
      <c r="V295" s="57">
        <f>(1000*CHOOSE(CONTROL!$C$42, 500, 500)*CHOOSE(CONTROL!$C$42, 0.275, 0.275)*CHOOSE(CONTROL!$C$42, 31, 31))/1000000</f>
        <v>4.2625000000000002</v>
      </c>
      <c r="W295" s="57">
        <f>(1000*CHOOSE(CONTROL!$C$42, 0.1146, 0.1146)*CHOOSE(CONTROL!$C$42, 121.5, 121.5)*CHOOSE(CONTROL!$C$42, 31, 31))/1000000</f>
        <v>0.43164089999999994</v>
      </c>
      <c r="X295" s="57">
        <f>(31*0.1790888*245000/1000000)+(31*0.2374*100000/1000000)</f>
        <v>2.0961194359999999</v>
      </c>
      <c r="Y295" s="57"/>
      <c r="Z295" s="14"/>
      <c r="AA295" s="56"/>
      <c r="AB295" s="50">
        <f>(B295*194.205+C295*267.466+D295*133.845+E295*53.484+F295*40+G295*185+H295*0+I295*100+J295*300)/(194.205+267.466+133.845+53.484+0+40+185+100+300)</f>
        <v>14.246616485557301</v>
      </c>
      <c r="AC295" s="45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13.99305035971223</v>
      </c>
    </row>
    <row r="296" spans="1:29" ht="15.75" x14ac:dyDescent="0.25">
      <c r="A296" s="34">
        <v>49888</v>
      </c>
      <c r="B296" s="14">
        <f>CHOOSE(CONTROL!$C$42, 13.5113, 13.5113) * CHOOSE(CONTROL!$C$21, $C$9, 100%, $E$9)</f>
        <v>13.5113</v>
      </c>
      <c r="C296" s="14">
        <f>CHOOSE(CONTROL!$C$42, 13.5193, 13.5193) * CHOOSE(CONTROL!$C$21, $C$9, 100%, $E$9)</f>
        <v>13.519299999999999</v>
      </c>
      <c r="D296" s="14">
        <f>CHOOSE(CONTROL!$C$42, 13.7243, 13.7243) * CHOOSE(CONTROL!$C$21, $C$9, 100%, $E$9)</f>
        <v>13.724299999999999</v>
      </c>
      <c r="E296" s="14">
        <f>CHOOSE(CONTROL!$C$42, 13.7558, 13.7558) * CHOOSE(CONTROL!$C$21, $C$9, 100%, $E$9)</f>
        <v>13.755800000000001</v>
      </c>
      <c r="F296" s="14">
        <f>CHOOSE(CONTROL!$C$42, 13.4985, 13.4985)*CHOOSE(CONTROL!$C$21, $C$9, 100%, $E$9)</f>
        <v>13.4985</v>
      </c>
      <c r="G296" s="14">
        <f>CHOOSE(CONTROL!$C$42, 13.5152, 13.5152)*CHOOSE(CONTROL!$C$21, $C$9, 100%, $E$9)</f>
        <v>13.5152</v>
      </c>
      <c r="H296" s="14">
        <f>CHOOSE(CONTROL!$C$42, 13.7444, 13.7444) * CHOOSE(CONTROL!$C$21, $C$9, 100%, $E$9)</f>
        <v>13.744400000000001</v>
      </c>
      <c r="I296" s="14">
        <f>CHOOSE(CONTROL!$C$42, 13.5617, 13.5617)* CHOOSE(CONTROL!$C$21, $C$9, 100%, $E$9)</f>
        <v>13.5617</v>
      </c>
      <c r="J296" s="14">
        <f>CHOOSE(CONTROL!$C$42, 13.4915, 13.4915)* CHOOSE(CONTROL!$C$21, $C$9, 100%, $E$9)</f>
        <v>13.4915</v>
      </c>
      <c r="K296" s="53">
        <f>CHOOSE(CONTROL!$C$42, 13.5578, 13.5578) * CHOOSE(CONTROL!$C$21, $C$9, 100%, $E$9)</f>
        <v>13.5578</v>
      </c>
      <c r="L296" s="14">
        <f>CHOOSE(CONTROL!$C$42, 14.3314, 14.3314) * CHOOSE(CONTROL!$C$21, $C$9, 100%, $E$9)</f>
        <v>14.3314</v>
      </c>
      <c r="M296" s="14">
        <f>CHOOSE(CONTROL!$C$42, 13.2228, 13.2228) * CHOOSE(CONTROL!$C$21, $C$9, 100%, $E$9)</f>
        <v>13.222799999999999</v>
      </c>
      <c r="N296" s="14">
        <f>CHOOSE(CONTROL!$C$42, 13.2391, 13.2391) * CHOOSE(CONTROL!$C$21, $C$9, 100%, $E$9)</f>
        <v>13.239100000000001</v>
      </c>
      <c r="O296" s="14">
        <f>CHOOSE(CONTROL!$C$42, 13.4705, 13.4705) * CHOOSE(CONTROL!$C$21, $C$9, 100%, $E$9)</f>
        <v>13.470499999999999</v>
      </c>
      <c r="P296" s="14">
        <f>CHOOSE(CONTROL!$C$42, 13.2907, 13.2907) * CHOOSE(CONTROL!$C$21, $C$9, 100%, $E$9)</f>
        <v>13.290699999999999</v>
      </c>
      <c r="Q296" s="14">
        <f>CHOOSE(CONTROL!$C$42, 14.0652, 14.0652) * CHOOSE(CONTROL!$C$21, $C$9, 100%, $E$9)</f>
        <v>14.065200000000001</v>
      </c>
      <c r="R296" s="14">
        <f>CHOOSE(CONTROL!$C$42, 14.6874, 14.6874) * CHOOSE(CONTROL!$C$21, $C$9, 100%, $E$9)</f>
        <v>14.6874</v>
      </c>
      <c r="S296" s="14">
        <f>CHOOSE(CONTROL!$C$42, 12.9724, 12.9724) * CHOOSE(CONTROL!$C$21, $C$9, 100%, $E$9)</f>
        <v>12.9724</v>
      </c>
      <c r="T2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7">
        <f>(1000*CHOOSE(CONTROL!$C$42, 695, 695)*CHOOSE(CONTROL!$C$42, 0.5599, 0.5599)*CHOOSE(CONTROL!$C$42, 31, 31))/1000000</f>
        <v>12.063045499999998</v>
      </c>
      <c r="V296" s="57">
        <f>(1000*CHOOSE(CONTROL!$C$42, 500, 500)*CHOOSE(CONTROL!$C$42, 0.275, 0.275)*CHOOSE(CONTROL!$C$42, 31, 31))/1000000</f>
        <v>4.2625000000000002</v>
      </c>
      <c r="W296" s="57">
        <f>(1000*CHOOSE(CONTROL!$C$42, 0.1146, 0.1146)*CHOOSE(CONTROL!$C$42, 121.5, 121.5)*CHOOSE(CONTROL!$C$42, 31, 31))/1000000</f>
        <v>0.43164089999999994</v>
      </c>
      <c r="X296" s="57">
        <f>(31*0.1790888*245000/1000000)+(31*0.2374*100000/1000000)</f>
        <v>2.0961194359999999</v>
      </c>
      <c r="Y296" s="57"/>
      <c r="Z296" s="14"/>
      <c r="AA296" s="56"/>
      <c r="AB296" s="50">
        <f>(B296*194.205+C296*267.466+D296*133.845+E296*53.484+F296*40+G296*185+H296*0+I296*100+J296*300)/(194.205+267.466+133.845+53.484+0+40+185+100+300)</f>
        <v>13.545079474882263</v>
      </c>
      <c r="AC296" s="45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13.305820863309354</v>
      </c>
    </row>
    <row r="297" spans="1:29" ht="15.75" x14ac:dyDescent="0.25">
      <c r="A297" s="34">
        <v>49919</v>
      </c>
      <c r="B297" s="14">
        <f>CHOOSE(CONTROL!$C$42, 12.6539, 12.6539) * CHOOSE(CONTROL!$C$21, $C$9, 100%, $E$9)</f>
        <v>12.6539</v>
      </c>
      <c r="C297" s="14">
        <f>CHOOSE(CONTROL!$C$42, 12.6619, 12.6619) * CHOOSE(CONTROL!$C$21, $C$9, 100%, $E$9)</f>
        <v>12.661899999999999</v>
      </c>
      <c r="D297" s="14">
        <f>CHOOSE(CONTROL!$C$42, 12.8669, 12.8669) * CHOOSE(CONTROL!$C$21, $C$9, 100%, $E$9)</f>
        <v>12.866899999999999</v>
      </c>
      <c r="E297" s="14">
        <f>CHOOSE(CONTROL!$C$42, 12.8984, 12.8984) * CHOOSE(CONTROL!$C$21, $C$9, 100%, $E$9)</f>
        <v>12.898400000000001</v>
      </c>
      <c r="F297" s="14">
        <f>CHOOSE(CONTROL!$C$42, 12.6411, 12.6411)*CHOOSE(CONTROL!$C$21, $C$9, 100%, $E$9)</f>
        <v>12.6411</v>
      </c>
      <c r="G297" s="14">
        <f>CHOOSE(CONTROL!$C$42, 12.6577, 12.6577)*CHOOSE(CONTROL!$C$21, $C$9, 100%, $E$9)</f>
        <v>12.6577</v>
      </c>
      <c r="H297" s="14">
        <f>CHOOSE(CONTROL!$C$42, 12.887, 12.887) * CHOOSE(CONTROL!$C$21, $C$9, 100%, $E$9)</f>
        <v>12.887</v>
      </c>
      <c r="I297" s="14">
        <f>CHOOSE(CONTROL!$C$42, 12.7016, 12.7016)* CHOOSE(CONTROL!$C$21, $C$9, 100%, $E$9)</f>
        <v>12.701599999999999</v>
      </c>
      <c r="J297" s="14">
        <f>CHOOSE(CONTROL!$C$42, 12.6341, 12.6341)* CHOOSE(CONTROL!$C$21, $C$9, 100%, $E$9)</f>
        <v>12.6341</v>
      </c>
      <c r="K297" s="53">
        <f>CHOOSE(CONTROL!$C$42, 12.6977, 12.6977) * CHOOSE(CONTROL!$C$21, $C$9, 100%, $E$9)</f>
        <v>12.697699999999999</v>
      </c>
      <c r="L297" s="14">
        <f>CHOOSE(CONTROL!$C$42, 13.474, 13.474) * CHOOSE(CONTROL!$C$21, $C$9, 100%, $E$9)</f>
        <v>13.474</v>
      </c>
      <c r="M297" s="14">
        <f>CHOOSE(CONTROL!$C$42, 12.3829, 12.3829) * CHOOSE(CONTROL!$C$21, $C$9, 100%, $E$9)</f>
        <v>12.382899999999999</v>
      </c>
      <c r="N297" s="14">
        <f>CHOOSE(CONTROL!$C$42, 12.3992, 12.3992) * CHOOSE(CONTROL!$C$21, $C$9, 100%, $E$9)</f>
        <v>12.3992</v>
      </c>
      <c r="O297" s="14">
        <f>CHOOSE(CONTROL!$C$42, 12.6306, 12.6306) * CHOOSE(CONTROL!$C$21, $C$9, 100%, $E$9)</f>
        <v>12.630599999999999</v>
      </c>
      <c r="P297" s="14">
        <f>CHOOSE(CONTROL!$C$42, 12.4483, 12.4483) * CHOOSE(CONTROL!$C$21, $C$9, 100%, $E$9)</f>
        <v>12.4483</v>
      </c>
      <c r="Q297" s="14">
        <f>CHOOSE(CONTROL!$C$42, 13.2253, 13.2253) * CHOOSE(CONTROL!$C$21, $C$9, 100%, $E$9)</f>
        <v>13.225300000000001</v>
      </c>
      <c r="R297" s="14">
        <f>CHOOSE(CONTROL!$C$42, 13.8454, 13.8454) * CHOOSE(CONTROL!$C$21, $C$9, 100%, $E$9)</f>
        <v>13.8454</v>
      </c>
      <c r="S297" s="14">
        <f>CHOOSE(CONTROL!$C$42, 12.1485, 12.1485) * CHOOSE(CONTROL!$C$21, $C$9, 100%, $E$9)</f>
        <v>12.1485</v>
      </c>
      <c r="T2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7">
        <f>(1000*CHOOSE(CONTROL!$C$42, 695, 695)*CHOOSE(CONTROL!$C$42, 0.5599, 0.5599)*CHOOSE(CONTROL!$C$42, 30, 30))/1000000</f>
        <v>11.673914999999997</v>
      </c>
      <c r="V297" s="57">
        <f>(1000*CHOOSE(CONTROL!$C$42, 500, 500)*CHOOSE(CONTROL!$C$42, 0.275, 0.275)*CHOOSE(CONTROL!$C$42, 30, 30))/1000000</f>
        <v>4.125</v>
      </c>
      <c r="W297" s="57">
        <f>(1000*CHOOSE(CONTROL!$C$42, 0.1146, 0.1146)*CHOOSE(CONTROL!$C$42, 121.5, 121.5)*CHOOSE(CONTROL!$C$42, 30, 30))/1000000</f>
        <v>0.417717</v>
      </c>
      <c r="X297" s="57">
        <f>(30*0.1790888*245000/1000000)+(30*0.2374*100000/1000000)</f>
        <v>2.0285026799999999</v>
      </c>
      <c r="Y297" s="57"/>
      <c r="Z297" s="14"/>
      <c r="AA297" s="56"/>
      <c r="AB297" s="50">
        <f>(B297*194.205+C297*267.466+D297*133.845+E297*53.484+F297*40+G297*185+H297*0+I297*100+J297*300)/(194.205+267.466+133.845+53.484+0+40+185+100+300)</f>
        <v>12.68745302276295</v>
      </c>
      <c r="AC297" s="45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12.465561151079138</v>
      </c>
    </row>
    <row r="298" spans="1:29" ht="15.75" x14ac:dyDescent="0.25">
      <c r="A298" s="34">
        <v>49949</v>
      </c>
      <c r="B298" s="14">
        <f>CHOOSE(CONTROL!$C$42, 12.3955, 12.3955) * CHOOSE(CONTROL!$C$21, $C$9, 100%, $E$9)</f>
        <v>12.3955</v>
      </c>
      <c r="C298" s="14">
        <f>CHOOSE(CONTROL!$C$42, 12.4008, 12.4008) * CHOOSE(CONTROL!$C$21, $C$9, 100%, $E$9)</f>
        <v>12.4008</v>
      </c>
      <c r="D298" s="14">
        <f>CHOOSE(CONTROL!$C$42, 12.6107, 12.6107) * CHOOSE(CONTROL!$C$21, $C$9, 100%, $E$9)</f>
        <v>12.6107</v>
      </c>
      <c r="E298" s="14">
        <f>CHOOSE(CONTROL!$C$42, 12.6398, 12.6398) * CHOOSE(CONTROL!$C$21, $C$9, 100%, $E$9)</f>
        <v>12.639799999999999</v>
      </c>
      <c r="F298" s="14">
        <f>CHOOSE(CONTROL!$C$42, 12.3847, 12.3847)*CHOOSE(CONTROL!$C$21, $C$9, 100%, $E$9)</f>
        <v>12.3847</v>
      </c>
      <c r="G298" s="14">
        <f>CHOOSE(CONTROL!$C$42, 12.401, 12.401)*CHOOSE(CONTROL!$C$21, $C$9, 100%, $E$9)</f>
        <v>12.401</v>
      </c>
      <c r="H298" s="14">
        <f>CHOOSE(CONTROL!$C$42, 12.6303, 12.6303) * CHOOSE(CONTROL!$C$21, $C$9, 100%, $E$9)</f>
        <v>12.6303</v>
      </c>
      <c r="I298" s="14">
        <f>CHOOSE(CONTROL!$C$42, 12.4441, 12.4441)* CHOOSE(CONTROL!$C$21, $C$9, 100%, $E$9)</f>
        <v>12.444100000000001</v>
      </c>
      <c r="J298" s="14">
        <f>CHOOSE(CONTROL!$C$42, 12.3777, 12.3777)* CHOOSE(CONTROL!$C$21, $C$9, 100%, $E$9)</f>
        <v>12.377700000000001</v>
      </c>
      <c r="K298" s="53">
        <f>CHOOSE(CONTROL!$C$42, 12.4402, 12.4402) * CHOOSE(CONTROL!$C$21, $C$9, 100%, $E$9)</f>
        <v>12.440200000000001</v>
      </c>
      <c r="L298" s="14">
        <f>CHOOSE(CONTROL!$C$42, 13.2173, 13.2173) * CHOOSE(CONTROL!$C$21, $C$9, 100%, $E$9)</f>
        <v>13.2173</v>
      </c>
      <c r="M298" s="14">
        <f>CHOOSE(CONTROL!$C$42, 12.1318, 12.1318) * CHOOSE(CONTROL!$C$21, $C$9, 100%, $E$9)</f>
        <v>12.1318</v>
      </c>
      <c r="N298" s="14">
        <f>CHOOSE(CONTROL!$C$42, 12.1478, 12.1478) * CHOOSE(CONTROL!$C$21, $C$9, 100%, $E$9)</f>
        <v>12.1478</v>
      </c>
      <c r="O298" s="14">
        <f>CHOOSE(CONTROL!$C$42, 12.3792, 12.3792) * CHOOSE(CONTROL!$C$21, $C$9, 100%, $E$9)</f>
        <v>12.379200000000001</v>
      </c>
      <c r="P298" s="14">
        <f>CHOOSE(CONTROL!$C$42, 12.1961, 12.1961) * CHOOSE(CONTROL!$C$21, $C$9, 100%, $E$9)</f>
        <v>12.196099999999999</v>
      </c>
      <c r="Q298" s="14">
        <f>CHOOSE(CONTROL!$C$42, 12.9739, 12.9739) * CHOOSE(CONTROL!$C$21, $C$9, 100%, $E$9)</f>
        <v>12.9739</v>
      </c>
      <c r="R298" s="14">
        <f>CHOOSE(CONTROL!$C$42, 13.5934, 13.5934) * CHOOSE(CONTROL!$C$21, $C$9, 100%, $E$9)</f>
        <v>13.593400000000001</v>
      </c>
      <c r="S298" s="14">
        <f>CHOOSE(CONTROL!$C$42, 11.9018, 11.9018) * CHOOSE(CONTROL!$C$21, $C$9, 100%, $E$9)</f>
        <v>11.9018</v>
      </c>
      <c r="T2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7">
        <f>(1000*CHOOSE(CONTROL!$C$42, 695, 695)*CHOOSE(CONTROL!$C$42, 0.5599, 0.5599)*CHOOSE(CONTROL!$C$42, 31, 31))/1000000</f>
        <v>12.063045499999998</v>
      </c>
      <c r="V298" s="57">
        <f>(1000*CHOOSE(CONTROL!$C$42, 500, 500)*CHOOSE(CONTROL!$C$42, 0.275, 0.275)*CHOOSE(CONTROL!$C$42, 31, 31))/1000000</f>
        <v>4.2625000000000002</v>
      </c>
      <c r="W298" s="57">
        <f>(1000*CHOOSE(CONTROL!$C$42, 0.1146, 0.1146)*CHOOSE(CONTROL!$C$42, 121.5, 121.5)*CHOOSE(CONTROL!$C$42, 31, 31))/1000000</f>
        <v>0.43164089999999994</v>
      </c>
      <c r="X298" s="57">
        <f>(31*0.1790888*245000/1000000)+(31*0.2374*100000/1000000)</f>
        <v>2.0961194359999999</v>
      </c>
      <c r="Y298" s="57"/>
      <c r="Z298" s="14"/>
      <c r="AA298" s="56"/>
      <c r="AB298" s="50">
        <f>(B298*131.881+C298*277.167+D298*79.08+E298*125.872+F298*40+G298*185+H298*0+I298*100+J298*300)/(131.881+277.167+79.08+125.872+0+40+185+100+300)</f>
        <v>12.43532488353511</v>
      </c>
      <c r="AC298" s="45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12.21414964028777</v>
      </c>
    </row>
    <row r="299" spans="1:29" ht="15.75" x14ac:dyDescent="0.25">
      <c r="A299" s="34">
        <v>49980</v>
      </c>
      <c r="B299" s="14">
        <f>CHOOSE(CONTROL!$C$42, 12.7213, 12.7213) * CHOOSE(CONTROL!$C$21, $C$9, 100%, $E$9)</f>
        <v>12.721299999999999</v>
      </c>
      <c r="C299" s="14">
        <f>CHOOSE(CONTROL!$C$42, 12.7264, 12.7264) * CHOOSE(CONTROL!$C$21, $C$9, 100%, $E$9)</f>
        <v>12.7264</v>
      </c>
      <c r="D299" s="14">
        <f>CHOOSE(CONTROL!$C$42, 12.7902, 12.7902) * CHOOSE(CONTROL!$C$21, $C$9, 100%, $E$9)</f>
        <v>12.7902</v>
      </c>
      <c r="E299" s="14">
        <f>CHOOSE(CONTROL!$C$42, 12.8243, 12.8243) * CHOOSE(CONTROL!$C$21, $C$9, 100%, $E$9)</f>
        <v>12.824299999999999</v>
      </c>
      <c r="F299" s="14">
        <f>CHOOSE(CONTROL!$C$42, 12.7236, 12.7236)*CHOOSE(CONTROL!$C$21, $C$9, 100%, $E$9)</f>
        <v>12.723599999999999</v>
      </c>
      <c r="G299" s="14">
        <f>CHOOSE(CONTROL!$C$42, 12.7402, 12.7402)*CHOOSE(CONTROL!$C$21, $C$9, 100%, $E$9)</f>
        <v>12.7402</v>
      </c>
      <c r="H299" s="14">
        <f>CHOOSE(CONTROL!$C$42, 12.8135, 12.8135) * CHOOSE(CONTROL!$C$21, $C$9, 100%, $E$9)</f>
        <v>12.813499999999999</v>
      </c>
      <c r="I299" s="14">
        <f>CHOOSE(CONTROL!$C$42, 12.7751, 12.7751)* CHOOSE(CONTROL!$C$21, $C$9, 100%, $E$9)</f>
        <v>12.7751</v>
      </c>
      <c r="J299" s="14">
        <f>CHOOSE(CONTROL!$C$42, 12.7166, 12.7166)* CHOOSE(CONTROL!$C$21, $C$9, 100%, $E$9)</f>
        <v>12.7166</v>
      </c>
      <c r="K299" s="53">
        <f>CHOOSE(CONTROL!$C$42, 12.7712, 12.7712) * CHOOSE(CONTROL!$C$21, $C$9, 100%, $E$9)</f>
        <v>12.7712</v>
      </c>
      <c r="L299" s="14">
        <f>CHOOSE(CONTROL!$C$42, 13.4005, 13.4005) * CHOOSE(CONTROL!$C$21, $C$9, 100%, $E$9)</f>
        <v>13.400499999999999</v>
      </c>
      <c r="M299" s="14">
        <f>CHOOSE(CONTROL!$C$42, 12.4637, 12.4637) * CHOOSE(CONTROL!$C$21, $C$9, 100%, $E$9)</f>
        <v>12.463699999999999</v>
      </c>
      <c r="N299" s="14">
        <f>CHOOSE(CONTROL!$C$42, 12.48, 12.48) * CHOOSE(CONTROL!$C$21, $C$9, 100%, $E$9)</f>
        <v>12.48</v>
      </c>
      <c r="O299" s="14">
        <f>CHOOSE(CONTROL!$C$42, 12.5587, 12.5587) * CHOOSE(CONTROL!$C$21, $C$9, 100%, $E$9)</f>
        <v>12.5587</v>
      </c>
      <c r="P299" s="14">
        <f>CHOOSE(CONTROL!$C$42, 12.5203, 12.5203) * CHOOSE(CONTROL!$C$21, $C$9, 100%, $E$9)</f>
        <v>12.520300000000001</v>
      </c>
      <c r="Q299" s="14">
        <f>CHOOSE(CONTROL!$C$42, 13.1534, 13.1534) * CHOOSE(CONTROL!$C$21, $C$9, 100%, $E$9)</f>
        <v>13.1534</v>
      </c>
      <c r="R299" s="14">
        <f>CHOOSE(CONTROL!$C$42, 13.7732, 13.7732) * CHOOSE(CONTROL!$C$21, $C$9, 100%, $E$9)</f>
        <v>13.773199999999999</v>
      </c>
      <c r="S299" s="14">
        <f>CHOOSE(CONTROL!$C$42, 12.2154, 12.2154) * CHOOSE(CONTROL!$C$21, $C$9, 100%, $E$9)</f>
        <v>12.215400000000001</v>
      </c>
      <c r="T2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7">
        <f>(1000*CHOOSE(CONTROL!$C$42, 695, 695)*CHOOSE(CONTROL!$C$42, 0.5599, 0.5599)*CHOOSE(CONTROL!$C$42, 30, 30))/1000000</f>
        <v>11.673914999999997</v>
      </c>
      <c r="V299" s="57">
        <f>(1000*CHOOSE(CONTROL!$C$42, 500, 500)*CHOOSE(CONTROL!$C$42, 0.275, 0.275)*CHOOSE(CONTROL!$C$42, 30, 30))/1000000</f>
        <v>4.125</v>
      </c>
      <c r="W299" s="57">
        <f>(1000*CHOOSE(CONTROL!$C$42, 0.1146, 0.1146)*CHOOSE(CONTROL!$C$42, 121.5, 121.5)*CHOOSE(CONTROL!$C$42, 30, 30))/1000000</f>
        <v>0.417717</v>
      </c>
      <c r="X299" s="57">
        <f>(30*0.1790888*100000/1000000)+(30*0.2374*100000/1000000)</f>
        <v>1.2494664</v>
      </c>
      <c r="Y299" s="57"/>
      <c r="Z299" s="14"/>
      <c r="AA299" s="56"/>
      <c r="AB299" s="50">
        <f>(B299*122.58+C299*297.941+D299*89.177+E299*40.302+F299*40+G299*160+H299*0+I299*100+J299*300)/(122.58+297.941+89.177+40.302+0+40+160+100+300)</f>
        <v>12.737735565565218</v>
      </c>
      <c r="AC299" s="45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12.515839568345324</v>
      </c>
    </row>
    <row r="300" spans="1:29" ht="15.75" x14ac:dyDescent="0.25">
      <c r="A300" s="34">
        <v>50010</v>
      </c>
      <c r="B300" s="14">
        <f>CHOOSE(CONTROL!$C$42, 13.588, 13.588) * CHOOSE(CONTROL!$C$21, $C$9, 100%, $E$9)</f>
        <v>13.587999999999999</v>
      </c>
      <c r="C300" s="14">
        <f>CHOOSE(CONTROL!$C$42, 13.5931, 13.5931) * CHOOSE(CONTROL!$C$21, $C$9, 100%, $E$9)</f>
        <v>13.5931</v>
      </c>
      <c r="D300" s="14">
        <f>CHOOSE(CONTROL!$C$42, 13.6569, 13.6569) * CHOOSE(CONTROL!$C$21, $C$9, 100%, $E$9)</f>
        <v>13.6569</v>
      </c>
      <c r="E300" s="14">
        <f>CHOOSE(CONTROL!$C$42, 13.691, 13.691) * CHOOSE(CONTROL!$C$21, $C$9, 100%, $E$9)</f>
        <v>13.691000000000001</v>
      </c>
      <c r="F300" s="14">
        <f>CHOOSE(CONTROL!$C$42, 13.5923, 13.5923)*CHOOSE(CONTROL!$C$21, $C$9, 100%, $E$9)</f>
        <v>13.5923</v>
      </c>
      <c r="G300" s="14">
        <f>CHOOSE(CONTROL!$C$42, 13.6095, 13.6095)*CHOOSE(CONTROL!$C$21, $C$9, 100%, $E$9)</f>
        <v>13.609500000000001</v>
      </c>
      <c r="H300" s="14">
        <f>CHOOSE(CONTROL!$C$42, 13.6802, 13.6802) * CHOOSE(CONTROL!$C$21, $C$9, 100%, $E$9)</f>
        <v>13.680199999999999</v>
      </c>
      <c r="I300" s="14">
        <f>CHOOSE(CONTROL!$C$42, 13.6444, 13.6444)* CHOOSE(CONTROL!$C$21, $C$9, 100%, $E$9)</f>
        <v>13.644399999999999</v>
      </c>
      <c r="J300" s="14">
        <f>CHOOSE(CONTROL!$C$42, 13.5853, 13.5853)* CHOOSE(CONTROL!$C$21, $C$9, 100%, $E$9)</f>
        <v>13.5853</v>
      </c>
      <c r="K300" s="53">
        <f>CHOOSE(CONTROL!$C$42, 13.6405, 13.6405) * CHOOSE(CONTROL!$C$21, $C$9, 100%, $E$9)</f>
        <v>13.640499999999999</v>
      </c>
      <c r="L300" s="14">
        <f>CHOOSE(CONTROL!$C$42, 14.2672, 14.2672) * CHOOSE(CONTROL!$C$21, $C$9, 100%, $E$9)</f>
        <v>14.267200000000001</v>
      </c>
      <c r="M300" s="14">
        <f>CHOOSE(CONTROL!$C$42, 13.3146, 13.3146) * CHOOSE(CONTROL!$C$21, $C$9, 100%, $E$9)</f>
        <v>13.3146</v>
      </c>
      <c r="N300" s="14">
        <f>CHOOSE(CONTROL!$C$42, 13.3315, 13.3315) * CHOOSE(CONTROL!$C$21, $C$9, 100%, $E$9)</f>
        <v>13.3315</v>
      </c>
      <c r="O300" s="14">
        <f>CHOOSE(CONTROL!$C$42, 13.4076, 13.4076) * CHOOSE(CONTROL!$C$21, $C$9, 100%, $E$9)</f>
        <v>13.4076</v>
      </c>
      <c r="P300" s="14">
        <f>CHOOSE(CONTROL!$C$42, 13.3718, 13.3718) * CHOOSE(CONTROL!$C$21, $C$9, 100%, $E$9)</f>
        <v>13.3718</v>
      </c>
      <c r="Q300" s="14">
        <f>CHOOSE(CONTROL!$C$42, 14.0023, 14.0023) * CHOOSE(CONTROL!$C$21, $C$9, 100%, $E$9)</f>
        <v>14.0023</v>
      </c>
      <c r="R300" s="14">
        <f>CHOOSE(CONTROL!$C$42, 14.6243, 14.6243) * CHOOSE(CONTROL!$C$21, $C$9, 100%, $E$9)</f>
        <v>14.6243</v>
      </c>
      <c r="S300" s="14">
        <f>CHOOSE(CONTROL!$C$42, 13.0482, 13.0482) * CHOOSE(CONTROL!$C$21, $C$9, 100%, $E$9)</f>
        <v>13.0482</v>
      </c>
      <c r="T3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7">
        <f>(1000*CHOOSE(CONTROL!$C$42, 695, 695)*CHOOSE(CONTROL!$C$42, 0.5599, 0.5599)*CHOOSE(CONTROL!$C$42, 31, 31))/1000000</f>
        <v>12.063045499999998</v>
      </c>
      <c r="V300" s="57">
        <f>(1000*CHOOSE(CONTROL!$C$42, 500, 500)*CHOOSE(CONTROL!$C$42, 0.275, 0.275)*CHOOSE(CONTROL!$C$42, 31, 31))/1000000</f>
        <v>4.2625000000000002</v>
      </c>
      <c r="W300" s="57">
        <f>(1000*CHOOSE(CONTROL!$C$42, 0.1146, 0.1146)*CHOOSE(CONTROL!$C$42, 121.5, 121.5)*CHOOSE(CONTROL!$C$42, 31, 31))/1000000</f>
        <v>0.43164089999999994</v>
      </c>
      <c r="X300" s="57">
        <f>(31*0.1790888*100000/1000000)+(31*0.2374*100000/1000000)</f>
        <v>1.2911152800000001</v>
      </c>
      <c r="Y300" s="57"/>
      <c r="Z300" s="14"/>
      <c r="AA300" s="56"/>
      <c r="AB300" s="50">
        <f>(B300*122.58+C300*297.941+D300*89.177+E300*40.302+F300*40+G300*160+H300*0+I300*100+J300*300)/(122.58+297.941+89.177+40.302+0+40+160+100+300)</f>
        <v>13.605614696</v>
      </c>
      <c r="AC300" s="45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13.365953956834533</v>
      </c>
    </row>
    <row r="301" spans="1:29" ht="15.75" x14ac:dyDescent="0.25">
      <c r="A301" s="34">
        <v>50041</v>
      </c>
      <c r="B301" s="14">
        <f>CHOOSE(CONTROL!$C$42, 14.7003, 14.7003) * CHOOSE(CONTROL!$C$21, $C$9, 100%, $E$9)</f>
        <v>14.7003</v>
      </c>
      <c r="C301" s="14">
        <f>CHOOSE(CONTROL!$C$42, 14.7053, 14.7053) * CHOOSE(CONTROL!$C$21, $C$9, 100%, $E$9)</f>
        <v>14.705299999999999</v>
      </c>
      <c r="D301" s="14">
        <f>CHOOSE(CONTROL!$C$42, 14.7639, 14.7639) * CHOOSE(CONTROL!$C$21, $C$9, 100%, $E$9)</f>
        <v>14.7639</v>
      </c>
      <c r="E301" s="14">
        <f>CHOOSE(CONTROL!$C$42, 14.798, 14.798) * CHOOSE(CONTROL!$C$21, $C$9, 100%, $E$9)</f>
        <v>14.798</v>
      </c>
      <c r="F301" s="14">
        <f>CHOOSE(CONTROL!$C$42, 14.6994, 14.6994)*CHOOSE(CONTROL!$C$21, $C$9, 100%, $E$9)</f>
        <v>14.699400000000001</v>
      </c>
      <c r="G301" s="14">
        <f>CHOOSE(CONTROL!$C$42, 14.7157, 14.7157)*CHOOSE(CONTROL!$C$21, $C$9, 100%, $E$9)</f>
        <v>14.7157</v>
      </c>
      <c r="H301" s="14">
        <f>CHOOSE(CONTROL!$C$42, 14.7872, 14.7872) * CHOOSE(CONTROL!$C$21, $C$9, 100%, $E$9)</f>
        <v>14.7872</v>
      </c>
      <c r="I301" s="14">
        <f>CHOOSE(CONTROL!$C$42, 14.7565, 14.7565)* CHOOSE(CONTROL!$C$21, $C$9, 100%, $E$9)</f>
        <v>14.756500000000001</v>
      </c>
      <c r="J301" s="14">
        <f>CHOOSE(CONTROL!$C$42, 14.6924, 14.6924)* CHOOSE(CONTROL!$C$21, $C$9, 100%, $E$9)</f>
        <v>14.692399999999999</v>
      </c>
      <c r="K301" s="53">
        <f>CHOOSE(CONTROL!$C$42, 14.7526, 14.7526) * CHOOSE(CONTROL!$C$21, $C$9, 100%, $E$9)</f>
        <v>14.752599999999999</v>
      </c>
      <c r="L301" s="14">
        <f>CHOOSE(CONTROL!$C$42, 15.3742, 15.3742) * CHOOSE(CONTROL!$C$21, $C$9, 100%, $E$9)</f>
        <v>15.3742</v>
      </c>
      <c r="M301" s="14">
        <f>CHOOSE(CONTROL!$C$42, 14.399, 14.399) * CHOOSE(CONTROL!$C$21, $C$9, 100%, $E$9)</f>
        <v>14.398999999999999</v>
      </c>
      <c r="N301" s="14">
        <f>CHOOSE(CONTROL!$C$42, 14.4151, 14.4151) * CHOOSE(CONTROL!$C$21, $C$9, 100%, $E$9)</f>
        <v>14.415100000000001</v>
      </c>
      <c r="O301" s="14">
        <f>CHOOSE(CONTROL!$C$42, 14.4919, 14.4919) * CHOOSE(CONTROL!$C$21, $C$9, 100%, $E$9)</f>
        <v>14.491899999999999</v>
      </c>
      <c r="P301" s="14">
        <f>CHOOSE(CONTROL!$C$42, 14.461, 14.461) * CHOOSE(CONTROL!$C$21, $C$9, 100%, $E$9)</f>
        <v>14.461</v>
      </c>
      <c r="Q301" s="14">
        <f>CHOOSE(CONTROL!$C$42, 15.0866, 15.0866) * CHOOSE(CONTROL!$C$21, $C$9, 100%, $E$9)</f>
        <v>15.086600000000001</v>
      </c>
      <c r="R301" s="14">
        <f>CHOOSE(CONTROL!$C$42, 15.7114, 15.7114) * CHOOSE(CONTROL!$C$21, $C$9, 100%, $E$9)</f>
        <v>15.711399999999999</v>
      </c>
      <c r="S301" s="14">
        <f>CHOOSE(CONTROL!$C$42, 14.1169, 14.1169) * CHOOSE(CONTROL!$C$21, $C$9, 100%, $E$9)</f>
        <v>14.116899999999999</v>
      </c>
      <c r="T3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7">
        <f>(1000*CHOOSE(CONTROL!$C$42, 695, 695)*CHOOSE(CONTROL!$C$42, 0.5599, 0.5599)*CHOOSE(CONTROL!$C$42, 31, 31))/1000000</f>
        <v>12.063045499999998</v>
      </c>
      <c r="V301" s="57">
        <f>(1000*CHOOSE(CONTROL!$C$42, 500, 500)*CHOOSE(CONTROL!$C$42, 0.275, 0.275)*CHOOSE(CONTROL!$C$42, 31, 31))/1000000</f>
        <v>4.2625000000000002</v>
      </c>
      <c r="W301" s="57">
        <f>(1000*CHOOSE(CONTROL!$C$42, 0.1146, 0.1146)*CHOOSE(CONTROL!$C$42, 121.5, 121.5)*CHOOSE(CONTROL!$C$42, 31, 31))/1000000</f>
        <v>0.43164089999999994</v>
      </c>
      <c r="X301" s="57">
        <f>(31*0.1790888*100000/1000000)+(31*0.2374*100000/1000000)</f>
        <v>1.2911152800000001</v>
      </c>
      <c r="Y301" s="57"/>
      <c r="Z301" s="14"/>
      <c r="AA301" s="56"/>
      <c r="AB301" s="50">
        <f>(B301*122.58+C301*297.941+D301*89.177+E301*40.302+F301*40+G301*160+H301*0+I301*100+J301*300)/(122.58+297.941+89.177+40.302+0+40+160+100+300)</f>
        <v>14.714888580521738</v>
      </c>
      <c r="AC301" s="45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14.450953237410072</v>
      </c>
    </row>
    <row r="302" spans="1:29" ht="15.75" x14ac:dyDescent="0.25">
      <c r="A302" s="34">
        <v>50072</v>
      </c>
      <c r="B302" s="14">
        <f>CHOOSE(CONTROL!$C$42, 14.9618, 14.9618) * CHOOSE(CONTROL!$C$21, $C$9, 100%, $E$9)</f>
        <v>14.9618</v>
      </c>
      <c r="C302" s="14">
        <f>CHOOSE(CONTROL!$C$42, 14.9668, 14.9668) * CHOOSE(CONTROL!$C$21, $C$9, 100%, $E$9)</f>
        <v>14.966799999999999</v>
      </c>
      <c r="D302" s="14">
        <f>CHOOSE(CONTROL!$C$42, 15.0254, 15.0254) * CHOOSE(CONTROL!$C$21, $C$9, 100%, $E$9)</f>
        <v>15.025399999999999</v>
      </c>
      <c r="E302" s="14">
        <f>CHOOSE(CONTROL!$C$42, 15.0595, 15.0595) * CHOOSE(CONTROL!$C$21, $C$9, 100%, $E$9)</f>
        <v>15.0595</v>
      </c>
      <c r="F302" s="14">
        <f>CHOOSE(CONTROL!$C$42, 14.9608, 14.9608)*CHOOSE(CONTROL!$C$21, $C$9, 100%, $E$9)</f>
        <v>14.960800000000001</v>
      </c>
      <c r="G302" s="14">
        <f>CHOOSE(CONTROL!$C$42, 14.9772, 14.9772)*CHOOSE(CONTROL!$C$21, $C$9, 100%, $E$9)</f>
        <v>14.9772</v>
      </c>
      <c r="H302" s="14">
        <f>CHOOSE(CONTROL!$C$42, 15.0487, 15.0487) * CHOOSE(CONTROL!$C$21, $C$9, 100%, $E$9)</f>
        <v>15.0487</v>
      </c>
      <c r="I302" s="14">
        <f>CHOOSE(CONTROL!$C$42, 15.0189, 15.0189)* CHOOSE(CONTROL!$C$21, $C$9, 100%, $E$9)</f>
        <v>15.0189</v>
      </c>
      <c r="J302" s="14">
        <f>CHOOSE(CONTROL!$C$42, 14.9538, 14.9538)* CHOOSE(CONTROL!$C$21, $C$9, 100%, $E$9)</f>
        <v>14.953799999999999</v>
      </c>
      <c r="K302" s="53">
        <f>CHOOSE(CONTROL!$C$42, 15.015, 15.015) * CHOOSE(CONTROL!$C$21, $C$9, 100%, $E$9)</f>
        <v>15.015000000000001</v>
      </c>
      <c r="L302" s="14">
        <f>CHOOSE(CONTROL!$C$42, 15.6357, 15.6357) * CHOOSE(CONTROL!$C$21, $C$9, 100%, $E$9)</f>
        <v>15.6357</v>
      </c>
      <c r="M302" s="14">
        <f>CHOOSE(CONTROL!$C$42, 14.6551, 14.6551) * CHOOSE(CONTROL!$C$21, $C$9, 100%, $E$9)</f>
        <v>14.655099999999999</v>
      </c>
      <c r="N302" s="14">
        <f>CHOOSE(CONTROL!$C$42, 14.6712, 14.6712) * CHOOSE(CONTROL!$C$21, $C$9, 100%, $E$9)</f>
        <v>14.671200000000001</v>
      </c>
      <c r="O302" s="14">
        <f>CHOOSE(CONTROL!$C$42, 14.7481, 14.7481) * CHOOSE(CONTROL!$C$21, $C$9, 100%, $E$9)</f>
        <v>14.748100000000001</v>
      </c>
      <c r="P302" s="14">
        <f>CHOOSE(CONTROL!$C$42, 14.718, 14.718) * CHOOSE(CONTROL!$C$21, $C$9, 100%, $E$9)</f>
        <v>14.718</v>
      </c>
      <c r="Q302" s="14">
        <f>CHOOSE(CONTROL!$C$42, 15.3428, 15.3428) * CHOOSE(CONTROL!$C$21, $C$9, 100%, $E$9)</f>
        <v>15.3428</v>
      </c>
      <c r="R302" s="14">
        <f>CHOOSE(CONTROL!$C$42, 15.9682, 15.9682) * CHOOSE(CONTROL!$C$21, $C$9, 100%, $E$9)</f>
        <v>15.9682</v>
      </c>
      <c r="S302" s="14">
        <f>CHOOSE(CONTROL!$C$42, 14.3682, 14.3682) * CHOOSE(CONTROL!$C$21, $C$9, 100%, $E$9)</f>
        <v>14.3682</v>
      </c>
      <c r="T3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7">
        <f>(1000*CHOOSE(CONTROL!$C$42, 695, 695)*CHOOSE(CONTROL!$C$42, 0.5599, 0.5599)*CHOOSE(CONTROL!$C$42, 28, 28))/1000000</f>
        <v>10.895653999999999</v>
      </c>
      <c r="V302" s="57">
        <f>(1000*CHOOSE(CONTROL!$C$42, 500, 500)*CHOOSE(CONTROL!$C$42, 0.275, 0.275)*CHOOSE(CONTROL!$C$42, 28, 28))/1000000</f>
        <v>3.85</v>
      </c>
      <c r="W302" s="57">
        <f>(1000*CHOOSE(CONTROL!$C$42, 0.1146, 0.1146)*CHOOSE(CONTROL!$C$42, 121.5, 121.5)*CHOOSE(CONTROL!$C$42, 28, 28))/1000000</f>
        <v>0.38986920000000003</v>
      </c>
      <c r="X302" s="57">
        <f>(28*0.1790888*100000/1000000)+(28*0.2374*100000/1000000)</f>
        <v>1.16616864</v>
      </c>
      <c r="Y302" s="57"/>
      <c r="Z302" s="14"/>
      <c r="AA302" s="56"/>
      <c r="AB302" s="50">
        <f>(B302*122.58+C302*297.941+D302*89.177+E302*40.302+F302*40+G302*160+H302*0+I302*100+J302*300)/(122.58+297.941+89.177+40.302+0+40+160+100+300)</f>
        <v>14.976437276173911</v>
      </c>
      <c r="AC302" s="45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14.707228057553955</v>
      </c>
    </row>
    <row r="303" spans="1:29" ht="15.75" x14ac:dyDescent="0.25">
      <c r="A303" s="34">
        <v>50100</v>
      </c>
      <c r="B303" s="14">
        <f>CHOOSE(CONTROL!$C$42, 14.5373, 14.5373) * CHOOSE(CONTROL!$C$21, $C$9, 100%, $E$9)</f>
        <v>14.5373</v>
      </c>
      <c r="C303" s="14">
        <f>CHOOSE(CONTROL!$C$42, 14.5423, 14.5423) * CHOOSE(CONTROL!$C$21, $C$9, 100%, $E$9)</f>
        <v>14.542299999999999</v>
      </c>
      <c r="D303" s="14">
        <f>CHOOSE(CONTROL!$C$42, 14.6009, 14.6009) * CHOOSE(CONTROL!$C$21, $C$9, 100%, $E$9)</f>
        <v>14.600899999999999</v>
      </c>
      <c r="E303" s="14">
        <f>CHOOSE(CONTROL!$C$42, 14.635, 14.635) * CHOOSE(CONTROL!$C$21, $C$9, 100%, $E$9)</f>
        <v>14.635</v>
      </c>
      <c r="F303" s="14">
        <f>CHOOSE(CONTROL!$C$42, 14.5358, 14.5358)*CHOOSE(CONTROL!$C$21, $C$9, 100%, $E$9)</f>
        <v>14.5358</v>
      </c>
      <c r="G303" s="14">
        <f>CHOOSE(CONTROL!$C$42, 14.5521, 14.5521)*CHOOSE(CONTROL!$C$21, $C$9, 100%, $E$9)</f>
        <v>14.552099999999999</v>
      </c>
      <c r="H303" s="14">
        <f>CHOOSE(CONTROL!$C$42, 14.6242, 14.6242) * CHOOSE(CONTROL!$C$21, $C$9, 100%, $E$9)</f>
        <v>14.6242</v>
      </c>
      <c r="I303" s="14">
        <f>CHOOSE(CONTROL!$C$42, 14.593, 14.593)* CHOOSE(CONTROL!$C$21, $C$9, 100%, $E$9)</f>
        <v>14.593</v>
      </c>
      <c r="J303" s="14">
        <f>CHOOSE(CONTROL!$C$42, 14.5288, 14.5288)* CHOOSE(CONTROL!$C$21, $C$9, 100%, $E$9)</f>
        <v>14.5288</v>
      </c>
      <c r="K303" s="53">
        <f>CHOOSE(CONTROL!$C$42, 14.5891, 14.5891) * CHOOSE(CONTROL!$C$21, $C$9, 100%, $E$9)</f>
        <v>14.5891</v>
      </c>
      <c r="L303" s="14">
        <f>CHOOSE(CONTROL!$C$42, 15.2112, 15.2112) * CHOOSE(CONTROL!$C$21, $C$9, 100%, $E$9)</f>
        <v>15.2112</v>
      </c>
      <c r="M303" s="14">
        <f>CHOOSE(CONTROL!$C$42, 14.2388, 14.2388) * CHOOSE(CONTROL!$C$21, $C$9, 100%, $E$9)</f>
        <v>14.238799999999999</v>
      </c>
      <c r="N303" s="14">
        <f>CHOOSE(CONTROL!$C$42, 14.2547, 14.2547) * CHOOSE(CONTROL!$C$21, $C$9, 100%, $E$9)</f>
        <v>14.2547</v>
      </c>
      <c r="O303" s="14">
        <f>CHOOSE(CONTROL!$C$42, 14.3323, 14.3323) * CHOOSE(CONTROL!$C$21, $C$9, 100%, $E$9)</f>
        <v>14.3323</v>
      </c>
      <c r="P303" s="14">
        <f>CHOOSE(CONTROL!$C$42, 14.3009, 14.3009) * CHOOSE(CONTROL!$C$21, $C$9, 100%, $E$9)</f>
        <v>14.3009</v>
      </c>
      <c r="Q303" s="14">
        <f>CHOOSE(CONTROL!$C$42, 14.927, 14.927) * CHOOSE(CONTROL!$C$21, $C$9, 100%, $E$9)</f>
        <v>14.927</v>
      </c>
      <c r="R303" s="14">
        <f>CHOOSE(CONTROL!$C$42, 15.5513, 15.5513) * CHOOSE(CONTROL!$C$21, $C$9, 100%, $E$9)</f>
        <v>15.551299999999999</v>
      </c>
      <c r="S303" s="14">
        <f>CHOOSE(CONTROL!$C$42, 13.9603, 13.9603) * CHOOSE(CONTROL!$C$21, $C$9, 100%, $E$9)</f>
        <v>13.9603</v>
      </c>
      <c r="T3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7">
        <f>(1000*CHOOSE(CONTROL!$C$42, 695, 695)*CHOOSE(CONTROL!$C$42, 0.5599, 0.5599)*CHOOSE(CONTROL!$C$42, 31, 31))/1000000</f>
        <v>12.063045499999998</v>
      </c>
      <c r="V303" s="57">
        <f>(1000*CHOOSE(CONTROL!$C$42, 500, 500)*CHOOSE(CONTROL!$C$42, 0.275, 0.275)*CHOOSE(CONTROL!$C$42, 31, 31))/1000000</f>
        <v>4.2625000000000002</v>
      </c>
      <c r="W303" s="57">
        <f>(1000*CHOOSE(CONTROL!$C$42, 0.1146, 0.1146)*CHOOSE(CONTROL!$C$42, 121.5, 121.5)*CHOOSE(CONTROL!$C$42, 31, 31))/1000000</f>
        <v>0.43164089999999994</v>
      </c>
      <c r="X303" s="57">
        <f>(31*0.1790888*100000/1000000)+(31*0.2374*100000/1000000)</f>
        <v>1.2911152800000001</v>
      </c>
      <c r="Y303" s="57"/>
      <c r="Z303" s="14"/>
      <c r="AA303" s="56"/>
      <c r="AB303" s="50">
        <f>(B303*122.58+C303*297.941+D303*89.177+E303*40.302+F303*40+G303*160+H303*0+I303*100+J303*300)/(122.58+297.941+89.177+40.302+0+40+160+100+300)</f>
        <v>14.551584232695651</v>
      </c>
      <c r="AC303" s="45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14.291028057553959</v>
      </c>
    </row>
    <row r="304" spans="1:29" ht="15.75" x14ac:dyDescent="0.25">
      <c r="A304" s="34">
        <v>50131</v>
      </c>
      <c r="B304" s="14">
        <f>CHOOSE(CONTROL!$C$42, 14.4949, 14.4949) * CHOOSE(CONTROL!$C$21, $C$9, 100%, $E$9)</f>
        <v>14.494899999999999</v>
      </c>
      <c r="C304" s="14">
        <f>CHOOSE(CONTROL!$C$42, 14.4994, 14.4994) * CHOOSE(CONTROL!$C$21, $C$9, 100%, $E$9)</f>
        <v>14.4994</v>
      </c>
      <c r="D304" s="14">
        <f>CHOOSE(CONTROL!$C$42, 14.7075, 14.7075) * CHOOSE(CONTROL!$C$21, $C$9, 100%, $E$9)</f>
        <v>14.7075</v>
      </c>
      <c r="E304" s="14">
        <f>CHOOSE(CONTROL!$C$42, 14.7396, 14.7396) * CHOOSE(CONTROL!$C$21, $C$9, 100%, $E$9)</f>
        <v>14.739599999999999</v>
      </c>
      <c r="F304" s="14">
        <f>CHOOSE(CONTROL!$C$42, 14.4823, 14.4823)*CHOOSE(CONTROL!$C$21, $C$9, 100%, $E$9)</f>
        <v>14.4823</v>
      </c>
      <c r="G304" s="14">
        <f>CHOOSE(CONTROL!$C$42, 14.4982, 14.4982)*CHOOSE(CONTROL!$C$21, $C$9, 100%, $E$9)</f>
        <v>14.498200000000001</v>
      </c>
      <c r="H304" s="14">
        <f>CHOOSE(CONTROL!$C$42, 14.7294, 14.7294) * CHOOSE(CONTROL!$C$21, $C$9, 100%, $E$9)</f>
        <v>14.7294</v>
      </c>
      <c r="I304" s="14">
        <f>CHOOSE(CONTROL!$C$42, 14.5498, 14.5498)* CHOOSE(CONTROL!$C$21, $C$9, 100%, $E$9)</f>
        <v>14.549799999999999</v>
      </c>
      <c r="J304" s="14">
        <f>CHOOSE(CONTROL!$C$42, 14.4753, 14.4753)* CHOOSE(CONTROL!$C$21, $C$9, 100%, $E$9)</f>
        <v>14.475300000000001</v>
      </c>
      <c r="K304" s="53">
        <f>CHOOSE(CONTROL!$C$42, 14.5459, 14.5459) * CHOOSE(CONTROL!$C$21, $C$9, 100%, $E$9)</f>
        <v>14.5459</v>
      </c>
      <c r="L304" s="14">
        <f>CHOOSE(CONTROL!$C$42, 15.3164, 15.3164) * CHOOSE(CONTROL!$C$21, $C$9, 100%, $E$9)</f>
        <v>15.3164</v>
      </c>
      <c r="M304" s="14">
        <f>CHOOSE(CONTROL!$C$42, 14.1864, 14.1864) * CHOOSE(CONTROL!$C$21, $C$9, 100%, $E$9)</f>
        <v>14.186400000000001</v>
      </c>
      <c r="N304" s="14">
        <f>CHOOSE(CONTROL!$C$42, 14.202, 14.202) * CHOOSE(CONTROL!$C$21, $C$9, 100%, $E$9)</f>
        <v>14.202</v>
      </c>
      <c r="O304" s="14">
        <f>CHOOSE(CONTROL!$C$42, 14.4353, 14.4353) * CHOOSE(CONTROL!$C$21, $C$9, 100%, $E$9)</f>
        <v>14.4353</v>
      </c>
      <c r="P304" s="14">
        <f>CHOOSE(CONTROL!$C$42, 14.2585, 14.2585) * CHOOSE(CONTROL!$C$21, $C$9, 100%, $E$9)</f>
        <v>14.2585</v>
      </c>
      <c r="Q304" s="14">
        <f>CHOOSE(CONTROL!$C$42, 15.03, 15.03) * CHOOSE(CONTROL!$C$21, $C$9, 100%, $E$9)</f>
        <v>15.03</v>
      </c>
      <c r="R304" s="14">
        <f>CHOOSE(CONTROL!$C$42, 15.6546, 15.6546) * CHOOSE(CONTROL!$C$21, $C$9, 100%, $E$9)</f>
        <v>15.6546</v>
      </c>
      <c r="S304" s="14">
        <f>CHOOSE(CONTROL!$C$42, 13.9189, 13.9189) * CHOOSE(CONTROL!$C$21, $C$9, 100%, $E$9)</f>
        <v>13.918900000000001</v>
      </c>
      <c r="T3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7">
        <f>(1000*CHOOSE(CONTROL!$C$42, 695, 695)*CHOOSE(CONTROL!$C$42, 0.5599, 0.5599)*CHOOSE(CONTROL!$C$42, 30, 30))/1000000</f>
        <v>11.673914999999997</v>
      </c>
      <c r="V304" s="57">
        <f>(1000*CHOOSE(CONTROL!$C$42, 500, 500)*CHOOSE(CONTROL!$C$42, 0.275, 0.275)*CHOOSE(CONTROL!$C$42, 30, 30))/1000000</f>
        <v>4.125</v>
      </c>
      <c r="W304" s="57">
        <f>(1000*CHOOSE(CONTROL!$C$42, 0.1146, 0.1146)*CHOOSE(CONTROL!$C$42, 121.5, 121.5)*CHOOSE(CONTROL!$C$42, 30, 30))/1000000</f>
        <v>0.417717</v>
      </c>
      <c r="X304" s="57">
        <f>(30*0.1790888*245000/1000000)+(30*0.2374*100000/1000000)</f>
        <v>2.0285026799999999</v>
      </c>
      <c r="Y304" s="57"/>
      <c r="Z304" s="14"/>
      <c r="AA304" s="56"/>
      <c r="AB304" s="50">
        <f>(B304*141.293+C304*267.993+D304*115.016+E304*89.698+F304*40+G304*185+H304*0+I304*100+J304*300)/(141.293+267.993+115.016+89.698+0+40+185+100+300)</f>
        <v>14.533095295157382</v>
      </c>
      <c r="AC304" s="45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14.270200719424462</v>
      </c>
    </row>
    <row r="305" spans="1:29" ht="15.75" x14ac:dyDescent="0.25">
      <c r="A305" s="34">
        <v>50161</v>
      </c>
      <c r="B305" s="14">
        <f>CHOOSE(CONTROL!$C$42, 14.6242, 14.6242) * CHOOSE(CONTROL!$C$21, $C$9, 100%, $E$9)</f>
        <v>14.6242</v>
      </c>
      <c r="C305" s="14">
        <f>CHOOSE(CONTROL!$C$42, 14.6322, 14.6322) * CHOOSE(CONTROL!$C$21, $C$9, 100%, $E$9)</f>
        <v>14.632199999999999</v>
      </c>
      <c r="D305" s="14">
        <f>CHOOSE(CONTROL!$C$42, 14.8372, 14.8372) * CHOOSE(CONTROL!$C$21, $C$9, 100%, $E$9)</f>
        <v>14.837199999999999</v>
      </c>
      <c r="E305" s="14">
        <f>CHOOSE(CONTROL!$C$42, 14.8686, 14.8686) * CHOOSE(CONTROL!$C$21, $C$9, 100%, $E$9)</f>
        <v>14.868600000000001</v>
      </c>
      <c r="F305" s="14">
        <f>CHOOSE(CONTROL!$C$42, 14.6104, 14.6104)*CHOOSE(CONTROL!$C$21, $C$9, 100%, $E$9)</f>
        <v>14.6104</v>
      </c>
      <c r="G305" s="14">
        <f>CHOOSE(CONTROL!$C$42, 14.6268, 14.6268)*CHOOSE(CONTROL!$C$21, $C$9, 100%, $E$9)</f>
        <v>14.626799999999999</v>
      </c>
      <c r="H305" s="14">
        <f>CHOOSE(CONTROL!$C$42, 14.8573, 14.8573) * CHOOSE(CONTROL!$C$21, $C$9, 100%, $E$9)</f>
        <v>14.8573</v>
      </c>
      <c r="I305" s="14">
        <f>CHOOSE(CONTROL!$C$42, 14.678, 14.678)* CHOOSE(CONTROL!$C$21, $C$9, 100%, $E$9)</f>
        <v>14.678000000000001</v>
      </c>
      <c r="J305" s="14">
        <f>CHOOSE(CONTROL!$C$42, 14.6034, 14.6034)* CHOOSE(CONTROL!$C$21, $C$9, 100%, $E$9)</f>
        <v>14.603400000000001</v>
      </c>
      <c r="K305" s="53">
        <f>CHOOSE(CONTROL!$C$42, 14.6741, 14.6741) * CHOOSE(CONTROL!$C$21, $C$9, 100%, $E$9)</f>
        <v>14.674099999999999</v>
      </c>
      <c r="L305" s="14">
        <f>CHOOSE(CONTROL!$C$42, 15.4443, 15.4443) * CHOOSE(CONTROL!$C$21, $C$9, 100%, $E$9)</f>
        <v>15.4443</v>
      </c>
      <c r="M305" s="14">
        <f>CHOOSE(CONTROL!$C$42, 14.3118, 14.3118) * CHOOSE(CONTROL!$C$21, $C$9, 100%, $E$9)</f>
        <v>14.3118</v>
      </c>
      <c r="N305" s="14">
        <f>CHOOSE(CONTROL!$C$42, 14.3279, 14.3279) * CHOOSE(CONTROL!$C$21, $C$9, 100%, $E$9)</f>
        <v>14.3279</v>
      </c>
      <c r="O305" s="14">
        <f>CHOOSE(CONTROL!$C$42, 14.5606, 14.5606) * CHOOSE(CONTROL!$C$21, $C$9, 100%, $E$9)</f>
        <v>14.560600000000001</v>
      </c>
      <c r="P305" s="14">
        <f>CHOOSE(CONTROL!$C$42, 14.3841, 14.3841) * CHOOSE(CONTROL!$C$21, $C$9, 100%, $E$9)</f>
        <v>14.3841</v>
      </c>
      <c r="Q305" s="14">
        <f>CHOOSE(CONTROL!$C$42, 15.1553, 15.1553) * CHOOSE(CONTROL!$C$21, $C$9, 100%, $E$9)</f>
        <v>15.1553</v>
      </c>
      <c r="R305" s="14">
        <f>CHOOSE(CONTROL!$C$42, 15.7801, 15.7801) * CHOOSE(CONTROL!$C$21, $C$9, 100%, $E$9)</f>
        <v>15.780099999999999</v>
      </c>
      <c r="S305" s="14">
        <f>CHOOSE(CONTROL!$C$42, 14.0417, 14.0417) * CHOOSE(CONTROL!$C$21, $C$9, 100%, $E$9)</f>
        <v>14.041700000000001</v>
      </c>
      <c r="T3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7">
        <f>(1000*CHOOSE(CONTROL!$C$42, 695, 695)*CHOOSE(CONTROL!$C$42, 0.5599, 0.5599)*CHOOSE(CONTROL!$C$42, 31, 31))/1000000</f>
        <v>12.063045499999998</v>
      </c>
      <c r="V305" s="57">
        <f>(1000*CHOOSE(CONTROL!$C$42, 500, 500)*CHOOSE(CONTROL!$C$42, 0.275, 0.275)*CHOOSE(CONTROL!$C$42, 31, 31))/1000000</f>
        <v>4.2625000000000002</v>
      </c>
      <c r="W305" s="57">
        <f>(1000*CHOOSE(CONTROL!$C$42, 0.1146, 0.1146)*CHOOSE(CONTROL!$C$42, 121.5, 121.5)*CHOOSE(CONTROL!$C$42, 31, 31))/1000000</f>
        <v>0.43164089999999994</v>
      </c>
      <c r="X305" s="57">
        <f>(31*0.1790888*245000/1000000)+(31*0.2374*100000/1000000)</f>
        <v>2.0961194359999999</v>
      </c>
      <c r="Y305" s="57"/>
      <c r="Z305" s="14"/>
      <c r="AA305" s="56"/>
      <c r="AB305" s="50">
        <f>(B305*194.205+C305*267.466+D305*133.845+E305*53.484+F305*40+G305*185+H305*0+I305*100+J305*300)/(194.205+267.466+133.845+53.484+0+40+185+100+300)</f>
        <v>14.657786501255888</v>
      </c>
      <c r="AC305" s="45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14.395716546762591</v>
      </c>
    </row>
    <row r="306" spans="1:29" ht="15.75" x14ac:dyDescent="0.25">
      <c r="A306" s="34">
        <v>50192</v>
      </c>
      <c r="B306" s="14">
        <f>CHOOSE(CONTROL!$C$42, 15.0387, 15.0387) * CHOOSE(CONTROL!$C$21, $C$9, 100%, $E$9)</f>
        <v>15.0387</v>
      </c>
      <c r="C306" s="14">
        <f>CHOOSE(CONTROL!$C$42, 15.0467, 15.0467) * CHOOSE(CONTROL!$C$21, $C$9, 100%, $E$9)</f>
        <v>15.0467</v>
      </c>
      <c r="D306" s="14">
        <f>CHOOSE(CONTROL!$C$42, 15.2517, 15.2517) * CHOOSE(CONTROL!$C$21, $C$9, 100%, $E$9)</f>
        <v>15.2517</v>
      </c>
      <c r="E306" s="14">
        <f>CHOOSE(CONTROL!$C$42, 15.2831, 15.2831) * CHOOSE(CONTROL!$C$21, $C$9, 100%, $E$9)</f>
        <v>15.283099999999999</v>
      </c>
      <c r="F306" s="14">
        <f>CHOOSE(CONTROL!$C$42, 15.0252, 15.0252)*CHOOSE(CONTROL!$C$21, $C$9, 100%, $E$9)</f>
        <v>15.0252</v>
      </c>
      <c r="G306" s="14">
        <f>CHOOSE(CONTROL!$C$42, 15.0417, 15.0417)*CHOOSE(CONTROL!$C$21, $C$9, 100%, $E$9)</f>
        <v>15.041700000000001</v>
      </c>
      <c r="H306" s="14">
        <f>CHOOSE(CONTROL!$C$42, 15.2718, 15.2718) * CHOOSE(CONTROL!$C$21, $C$9, 100%, $E$9)</f>
        <v>15.271800000000001</v>
      </c>
      <c r="I306" s="14">
        <f>CHOOSE(CONTROL!$C$42, 15.0938, 15.0938)* CHOOSE(CONTROL!$C$21, $C$9, 100%, $E$9)</f>
        <v>15.0938</v>
      </c>
      <c r="J306" s="14">
        <f>CHOOSE(CONTROL!$C$42, 15.0182, 15.0182)* CHOOSE(CONTROL!$C$21, $C$9, 100%, $E$9)</f>
        <v>15.0182</v>
      </c>
      <c r="K306" s="53">
        <f>CHOOSE(CONTROL!$C$42, 15.0899, 15.0899) * CHOOSE(CONTROL!$C$21, $C$9, 100%, $E$9)</f>
        <v>15.0899</v>
      </c>
      <c r="L306" s="14">
        <f>CHOOSE(CONTROL!$C$42, 15.8588, 15.8588) * CHOOSE(CONTROL!$C$21, $C$9, 100%, $E$9)</f>
        <v>15.8588</v>
      </c>
      <c r="M306" s="14">
        <f>CHOOSE(CONTROL!$C$42, 14.7182, 14.7182) * CHOOSE(CONTROL!$C$21, $C$9, 100%, $E$9)</f>
        <v>14.7182</v>
      </c>
      <c r="N306" s="14">
        <f>CHOOSE(CONTROL!$C$42, 14.7344, 14.7344) * CHOOSE(CONTROL!$C$21, $C$9, 100%, $E$9)</f>
        <v>14.734400000000001</v>
      </c>
      <c r="O306" s="14">
        <f>CHOOSE(CONTROL!$C$42, 14.9665, 14.9665) * CHOOSE(CONTROL!$C$21, $C$9, 100%, $E$9)</f>
        <v>14.9665</v>
      </c>
      <c r="P306" s="14">
        <f>CHOOSE(CONTROL!$C$42, 14.7914, 14.7914) * CHOOSE(CONTROL!$C$21, $C$9, 100%, $E$9)</f>
        <v>14.791399999999999</v>
      </c>
      <c r="Q306" s="14">
        <f>CHOOSE(CONTROL!$C$42, 15.5612, 15.5612) * CHOOSE(CONTROL!$C$21, $C$9, 100%, $E$9)</f>
        <v>15.561199999999999</v>
      </c>
      <c r="R306" s="14">
        <f>CHOOSE(CONTROL!$C$42, 16.1871, 16.1871) * CHOOSE(CONTROL!$C$21, $C$9, 100%, $E$9)</f>
        <v>16.187100000000001</v>
      </c>
      <c r="S306" s="14">
        <f>CHOOSE(CONTROL!$C$42, 14.44, 14.44) * CHOOSE(CONTROL!$C$21, $C$9, 100%, $E$9)</f>
        <v>14.44</v>
      </c>
      <c r="T3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7">
        <f>(1000*CHOOSE(CONTROL!$C$42, 695, 695)*CHOOSE(CONTROL!$C$42, 0.5599, 0.5599)*CHOOSE(CONTROL!$C$42, 30, 30))/1000000</f>
        <v>11.673914999999997</v>
      </c>
      <c r="V306" s="57">
        <f>(1000*CHOOSE(CONTROL!$C$42, 500, 500)*CHOOSE(CONTROL!$C$42, 0.275, 0.275)*CHOOSE(CONTROL!$C$42, 30, 30))/1000000</f>
        <v>4.125</v>
      </c>
      <c r="W306" s="57">
        <f>(1000*CHOOSE(CONTROL!$C$42, 0.1146, 0.1146)*CHOOSE(CONTROL!$C$42, 121.5, 121.5)*CHOOSE(CONTROL!$C$42, 30, 30))/1000000</f>
        <v>0.417717</v>
      </c>
      <c r="X306" s="57">
        <f>(30*0.1790888*245000/1000000)+(30*0.2374*100000/1000000)</f>
        <v>2.0285026799999999</v>
      </c>
      <c r="Y306" s="57"/>
      <c r="Z306" s="14"/>
      <c r="AA306" s="56"/>
      <c r="AB306" s="50">
        <f>(B306*194.205+C306*267.466+D306*133.845+E306*53.484+F306*40+G306*185+H306*0+I306*100+J306*300)/(194.205+267.466+133.845+53.484+0+40+185+100+300)</f>
        <v>15.072526689638932</v>
      </c>
      <c r="AC306" s="45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14.802128776978417</v>
      </c>
    </row>
    <row r="307" spans="1:29" ht="15.75" x14ac:dyDescent="0.25">
      <c r="A307" s="34">
        <v>50222</v>
      </c>
      <c r="B307" s="14">
        <f>CHOOSE(CONTROL!$C$42, 14.7504, 14.7504) * CHOOSE(CONTROL!$C$21, $C$9, 100%, $E$9)</f>
        <v>14.750400000000001</v>
      </c>
      <c r="C307" s="14">
        <f>CHOOSE(CONTROL!$C$42, 14.7584, 14.7584) * CHOOSE(CONTROL!$C$21, $C$9, 100%, $E$9)</f>
        <v>14.7584</v>
      </c>
      <c r="D307" s="14">
        <f>CHOOSE(CONTROL!$C$42, 14.9634, 14.9634) * CHOOSE(CONTROL!$C$21, $C$9, 100%, $E$9)</f>
        <v>14.9634</v>
      </c>
      <c r="E307" s="14">
        <f>CHOOSE(CONTROL!$C$42, 14.9949, 14.9949) * CHOOSE(CONTROL!$C$21, $C$9, 100%, $E$9)</f>
        <v>14.994899999999999</v>
      </c>
      <c r="F307" s="14">
        <f>CHOOSE(CONTROL!$C$42, 14.7374, 14.7374)*CHOOSE(CONTROL!$C$21, $C$9, 100%, $E$9)</f>
        <v>14.737399999999999</v>
      </c>
      <c r="G307" s="14">
        <f>CHOOSE(CONTROL!$C$42, 14.754, 14.754)*CHOOSE(CONTROL!$C$21, $C$9, 100%, $E$9)</f>
        <v>14.754</v>
      </c>
      <c r="H307" s="14">
        <f>CHOOSE(CONTROL!$C$42, 14.9835, 14.9835) * CHOOSE(CONTROL!$C$21, $C$9, 100%, $E$9)</f>
        <v>14.983499999999999</v>
      </c>
      <c r="I307" s="14">
        <f>CHOOSE(CONTROL!$C$42, 14.8046, 14.8046)* CHOOSE(CONTROL!$C$21, $C$9, 100%, $E$9)</f>
        <v>14.804600000000001</v>
      </c>
      <c r="J307" s="14">
        <f>CHOOSE(CONTROL!$C$42, 14.7304, 14.7304)* CHOOSE(CONTROL!$C$21, $C$9, 100%, $E$9)</f>
        <v>14.730399999999999</v>
      </c>
      <c r="K307" s="53">
        <f>CHOOSE(CONTROL!$C$42, 14.8007, 14.8007) * CHOOSE(CONTROL!$C$21, $C$9, 100%, $E$9)</f>
        <v>14.800700000000001</v>
      </c>
      <c r="L307" s="14">
        <f>CHOOSE(CONTROL!$C$42, 15.5705, 15.5705) * CHOOSE(CONTROL!$C$21, $C$9, 100%, $E$9)</f>
        <v>15.570499999999999</v>
      </c>
      <c r="M307" s="14">
        <f>CHOOSE(CONTROL!$C$42, 14.4362, 14.4362) * CHOOSE(CONTROL!$C$21, $C$9, 100%, $E$9)</f>
        <v>14.436199999999999</v>
      </c>
      <c r="N307" s="14">
        <f>CHOOSE(CONTROL!$C$42, 14.4525, 14.4525) * CHOOSE(CONTROL!$C$21, $C$9, 100%, $E$9)</f>
        <v>14.452500000000001</v>
      </c>
      <c r="O307" s="14">
        <f>CHOOSE(CONTROL!$C$42, 14.6842, 14.6842) * CHOOSE(CONTROL!$C$21, $C$9, 100%, $E$9)</f>
        <v>14.684200000000001</v>
      </c>
      <c r="P307" s="14">
        <f>CHOOSE(CONTROL!$C$42, 14.5081, 14.5081) * CHOOSE(CONTROL!$C$21, $C$9, 100%, $E$9)</f>
        <v>14.508100000000001</v>
      </c>
      <c r="Q307" s="14">
        <f>CHOOSE(CONTROL!$C$42, 15.2789, 15.2789) * CHOOSE(CONTROL!$C$21, $C$9, 100%, $E$9)</f>
        <v>15.2789</v>
      </c>
      <c r="R307" s="14">
        <f>CHOOSE(CONTROL!$C$42, 15.9041, 15.9041) * CHOOSE(CONTROL!$C$21, $C$9, 100%, $E$9)</f>
        <v>15.9041</v>
      </c>
      <c r="S307" s="14">
        <f>CHOOSE(CONTROL!$C$42, 14.163, 14.163) * CHOOSE(CONTROL!$C$21, $C$9, 100%, $E$9)</f>
        <v>14.163</v>
      </c>
      <c r="T3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7">
        <f>(1000*CHOOSE(CONTROL!$C$42, 695, 695)*CHOOSE(CONTROL!$C$42, 0.5599, 0.5599)*CHOOSE(CONTROL!$C$42, 31, 31))/1000000</f>
        <v>12.063045499999998</v>
      </c>
      <c r="V307" s="57">
        <f>(1000*CHOOSE(CONTROL!$C$42, 500, 500)*CHOOSE(CONTROL!$C$42, 0.275, 0.275)*CHOOSE(CONTROL!$C$42, 31, 31))/1000000</f>
        <v>4.2625000000000002</v>
      </c>
      <c r="W307" s="57">
        <f>(1000*CHOOSE(CONTROL!$C$42, 0.1146, 0.1146)*CHOOSE(CONTROL!$C$42, 121.5, 121.5)*CHOOSE(CONTROL!$C$42, 31, 31))/1000000</f>
        <v>0.43164089999999994</v>
      </c>
      <c r="X307" s="57">
        <f>(31*0.1790888*245000/1000000)+(31*0.2374*100000/1000000)</f>
        <v>2.0961194359999999</v>
      </c>
      <c r="Y307" s="57"/>
      <c r="Z307" s="14"/>
      <c r="AA307" s="56"/>
      <c r="AB307" s="50">
        <f>(B307*194.205+C307*267.466+D307*133.845+E307*53.484+F307*40+G307*185+H307*0+I307*100+J307*300)/(194.205+267.466+133.845+53.484+0+40+185+100+300)</f>
        <v>14.784380809262165</v>
      </c>
      <c r="AC307" s="45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14.519880575539567</v>
      </c>
    </row>
    <row r="308" spans="1:29" ht="15.75" x14ac:dyDescent="0.25">
      <c r="A308" s="34">
        <v>50253</v>
      </c>
      <c r="B308" s="14">
        <f>CHOOSE(CONTROL!$C$42, 14.0224, 14.0224) * CHOOSE(CONTROL!$C$21, $C$9, 100%, $E$9)</f>
        <v>14.022399999999999</v>
      </c>
      <c r="C308" s="14">
        <f>CHOOSE(CONTROL!$C$42, 14.0304, 14.0304) * CHOOSE(CONTROL!$C$21, $C$9, 100%, $E$9)</f>
        <v>14.0304</v>
      </c>
      <c r="D308" s="14">
        <f>CHOOSE(CONTROL!$C$42, 14.2354, 14.2354) * CHOOSE(CONTROL!$C$21, $C$9, 100%, $E$9)</f>
        <v>14.2354</v>
      </c>
      <c r="E308" s="14">
        <f>CHOOSE(CONTROL!$C$42, 14.2669, 14.2669) * CHOOSE(CONTROL!$C$21, $C$9, 100%, $E$9)</f>
        <v>14.2669</v>
      </c>
      <c r="F308" s="14">
        <f>CHOOSE(CONTROL!$C$42, 14.0096, 14.0096)*CHOOSE(CONTROL!$C$21, $C$9, 100%, $E$9)</f>
        <v>14.009600000000001</v>
      </c>
      <c r="G308" s="14">
        <f>CHOOSE(CONTROL!$C$42, 14.0263, 14.0263)*CHOOSE(CONTROL!$C$21, $C$9, 100%, $E$9)</f>
        <v>14.026300000000001</v>
      </c>
      <c r="H308" s="14">
        <f>CHOOSE(CONTROL!$C$42, 14.2555, 14.2555) * CHOOSE(CONTROL!$C$21, $C$9, 100%, $E$9)</f>
        <v>14.2555</v>
      </c>
      <c r="I308" s="14">
        <f>CHOOSE(CONTROL!$C$42, 14.0744, 14.0744)* CHOOSE(CONTROL!$C$21, $C$9, 100%, $E$9)</f>
        <v>14.074400000000001</v>
      </c>
      <c r="J308" s="14">
        <f>CHOOSE(CONTROL!$C$42, 14.0026, 14.0026)* CHOOSE(CONTROL!$C$21, $C$9, 100%, $E$9)</f>
        <v>14.002599999999999</v>
      </c>
      <c r="K308" s="53">
        <f>CHOOSE(CONTROL!$C$42, 14.0705, 14.0705) * CHOOSE(CONTROL!$C$21, $C$9, 100%, $E$9)</f>
        <v>14.070499999999999</v>
      </c>
      <c r="L308" s="14">
        <f>CHOOSE(CONTROL!$C$42, 14.8425, 14.8425) * CHOOSE(CONTROL!$C$21, $C$9, 100%, $E$9)</f>
        <v>14.842499999999999</v>
      </c>
      <c r="M308" s="14">
        <f>CHOOSE(CONTROL!$C$42, 13.7234, 13.7234) * CHOOSE(CONTROL!$C$21, $C$9, 100%, $E$9)</f>
        <v>13.7234</v>
      </c>
      <c r="N308" s="14">
        <f>CHOOSE(CONTROL!$C$42, 13.7397, 13.7397) * CHOOSE(CONTROL!$C$21, $C$9, 100%, $E$9)</f>
        <v>13.739699999999999</v>
      </c>
      <c r="O308" s="14">
        <f>CHOOSE(CONTROL!$C$42, 13.9711, 13.9711) * CHOOSE(CONTROL!$C$21, $C$9, 100%, $E$9)</f>
        <v>13.9711</v>
      </c>
      <c r="P308" s="14">
        <f>CHOOSE(CONTROL!$C$42, 13.7929, 13.7929) * CHOOSE(CONTROL!$C$21, $C$9, 100%, $E$9)</f>
        <v>13.792899999999999</v>
      </c>
      <c r="Q308" s="14">
        <f>CHOOSE(CONTROL!$C$42, 14.5658, 14.5658) * CHOOSE(CONTROL!$C$21, $C$9, 100%, $E$9)</f>
        <v>14.565799999999999</v>
      </c>
      <c r="R308" s="14">
        <f>CHOOSE(CONTROL!$C$42, 15.1892, 15.1892) * CHOOSE(CONTROL!$C$21, $C$9, 100%, $E$9)</f>
        <v>15.1892</v>
      </c>
      <c r="S308" s="14">
        <f>CHOOSE(CONTROL!$C$42, 13.4635, 13.4635) * CHOOSE(CONTROL!$C$21, $C$9, 100%, $E$9)</f>
        <v>13.4635</v>
      </c>
      <c r="T3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7">
        <f>(1000*CHOOSE(CONTROL!$C$42, 695, 695)*CHOOSE(CONTROL!$C$42, 0.5599, 0.5599)*CHOOSE(CONTROL!$C$42, 31, 31))/1000000</f>
        <v>12.063045499999998</v>
      </c>
      <c r="V308" s="57">
        <f>(1000*CHOOSE(CONTROL!$C$42, 500, 500)*CHOOSE(CONTROL!$C$42, 0.275, 0.275)*CHOOSE(CONTROL!$C$42, 31, 31))/1000000</f>
        <v>4.2625000000000002</v>
      </c>
      <c r="W308" s="57">
        <f>(1000*CHOOSE(CONTROL!$C$42, 0.1146, 0.1146)*CHOOSE(CONTROL!$C$42, 121.5, 121.5)*CHOOSE(CONTROL!$C$42, 31, 31))/1000000</f>
        <v>0.43164089999999994</v>
      </c>
      <c r="X308" s="57">
        <f>(31*0.1790888*245000/1000000)+(31*0.2374*100000/1000000)</f>
        <v>2.0961194359999999</v>
      </c>
      <c r="Y308" s="57"/>
      <c r="Z308" s="14"/>
      <c r="AA308" s="56"/>
      <c r="AB308" s="50">
        <f>(B308*194.205+C308*267.466+D308*133.845+E308*53.484+F308*40+G308*185+H308*0+I308*100+J308*300)/(194.205+267.466+133.845+53.484+0+40+185+100+300)</f>
        <v>14.056305063579277</v>
      </c>
      <c r="AC308" s="45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13.806651079136692</v>
      </c>
    </row>
    <row r="309" spans="1:29" ht="15.75" x14ac:dyDescent="0.25">
      <c r="A309" s="34">
        <v>50284</v>
      </c>
      <c r="B309" s="14">
        <f>CHOOSE(CONTROL!$C$42, 13.1325, 13.1325) * CHOOSE(CONTROL!$C$21, $C$9, 100%, $E$9)</f>
        <v>13.1325</v>
      </c>
      <c r="C309" s="14">
        <f>CHOOSE(CONTROL!$C$42, 13.1406, 13.1406) * CHOOSE(CONTROL!$C$21, $C$9, 100%, $E$9)</f>
        <v>13.140599999999999</v>
      </c>
      <c r="D309" s="14">
        <f>CHOOSE(CONTROL!$C$42, 13.3455, 13.3455) * CHOOSE(CONTROL!$C$21, $C$9, 100%, $E$9)</f>
        <v>13.345499999999999</v>
      </c>
      <c r="E309" s="14">
        <f>CHOOSE(CONTROL!$C$42, 13.377, 13.377) * CHOOSE(CONTROL!$C$21, $C$9, 100%, $E$9)</f>
        <v>13.377000000000001</v>
      </c>
      <c r="F309" s="14">
        <f>CHOOSE(CONTROL!$C$42, 13.1197, 13.1197)*CHOOSE(CONTROL!$C$21, $C$9, 100%, $E$9)</f>
        <v>13.1197</v>
      </c>
      <c r="G309" s="14">
        <f>CHOOSE(CONTROL!$C$42, 13.1364, 13.1364)*CHOOSE(CONTROL!$C$21, $C$9, 100%, $E$9)</f>
        <v>13.1364</v>
      </c>
      <c r="H309" s="14">
        <f>CHOOSE(CONTROL!$C$42, 13.3656, 13.3656) * CHOOSE(CONTROL!$C$21, $C$9, 100%, $E$9)</f>
        <v>13.365600000000001</v>
      </c>
      <c r="I309" s="14">
        <f>CHOOSE(CONTROL!$C$42, 13.1817, 13.1817)* CHOOSE(CONTROL!$C$21, $C$9, 100%, $E$9)</f>
        <v>13.181699999999999</v>
      </c>
      <c r="J309" s="14">
        <f>CHOOSE(CONTROL!$C$42, 13.1127, 13.1127)* CHOOSE(CONTROL!$C$21, $C$9, 100%, $E$9)</f>
        <v>13.1127</v>
      </c>
      <c r="K309" s="53">
        <f>CHOOSE(CONTROL!$C$42, 13.1778, 13.1778) * CHOOSE(CONTROL!$C$21, $C$9, 100%, $E$9)</f>
        <v>13.1778</v>
      </c>
      <c r="L309" s="14">
        <f>CHOOSE(CONTROL!$C$42, 13.9526, 13.9526) * CHOOSE(CONTROL!$C$21, $C$9, 100%, $E$9)</f>
        <v>13.9526</v>
      </c>
      <c r="M309" s="14">
        <f>CHOOSE(CONTROL!$C$42, 12.8517, 12.8517) * CHOOSE(CONTROL!$C$21, $C$9, 100%, $E$9)</f>
        <v>12.851699999999999</v>
      </c>
      <c r="N309" s="14">
        <f>CHOOSE(CONTROL!$C$42, 12.868, 12.868) * CHOOSE(CONTROL!$C$21, $C$9, 100%, $E$9)</f>
        <v>12.868</v>
      </c>
      <c r="O309" s="14">
        <f>CHOOSE(CONTROL!$C$42, 13.0995, 13.0995) * CHOOSE(CONTROL!$C$21, $C$9, 100%, $E$9)</f>
        <v>13.099500000000001</v>
      </c>
      <c r="P309" s="14">
        <f>CHOOSE(CONTROL!$C$42, 12.9186, 12.9186) * CHOOSE(CONTROL!$C$21, $C$9, 100%, $E$9)</f>
        <v>12.9186</v>
      </c>
      <c r="Q309" s="14">
        <f>CHOOSE(CONTROL!$C$42, 13.6942, 13.6942) * CHOOSE(CONTROL!$C$21, $C$9, 100%, $E$9)</f>
        <v>13.6942</v>
      </c>
      <c r="R309" s="14">
        <f>CHOOSE(CONTROL!$C$42, 14.3154, 14.3154) * CHOOSE(CONTROL!$C$21, $C$9, 100%, $E$9)</f>
        <v>14.3154</v>
      </c>
      <c r="S309" s="14">
        <f>CHOOSE(CONTROL!$C$42, 12.6084, 12.6084) * CHOOSE(CONTROL!$C$21, $C$9, 100%, $E$9)</f>
        <v>12.6084</v>
      </c>
      <c r="T3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7">
        <f>(1000*CHOOSE(CONTROL!$C$42, 695, 695)*CHOOSE(CONTROL!$C$42, 0.5599, 0.5599)*CHOOSE(CONTROL!$C$42, 30, 30))/1000000</f>
        <v>11.673914999999997</v>
      </c>
      <c r="V309" s="57">
        <f>(1000*CHOOSE(CONTROL!$C$42, 500, 500)*CHOOSE(CONTROL!$C$42, 0.275, 0.275)*CHOOSE(CONTROL!$C$42, 30, 30))/1000000</f>
        <v>4.125</v>
      </c>
      <c r="W309" s="57">
        <f>(1000*CHOOSE(CONTROL!$C$42, 0.1146, 0.1146)*CHOOSE(CONTROL!$C$42, 121.5, 121.5)*CHOOSE(CONTROL!$C$42, 30, 30))/1000000</f>
        <v>0.417717</v>
      </c>
      <c r="X309" s="57">
        <f>(30*0.1790888*245000/1000000)+(30*0.2374*100000/1000000)</f>
        <v>2.0285026799999999</v>
      </c>
      <c r="Y309" s="57"/>
      <c r="Z309" s="14"/>
      <c r="AA309" s="56"/>
      <c r="AB309" s="50">
        <f>(B309*194.205+C309*267.466+D309*133.845+E309*53.484+F309*40+G309*185+H309*0+I309*100+J309*300)/(194.205+267.466+133.845+53.484+0+40+185+100+300)</f>
        <v>13.166206277551021</v>
      </c>
      <c r="AC309" s="45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12.934605035971225</v>
      </c>
    </row>
    <row r="310" spans="1:29" ht="15.75" x14ac:dyDescent="0.25">
      <c r="A310" s="34">
        <v>50314</v>
      </c>
      <c r="B310" s="14">
        <f>CHOOSE(CONTROL!$C$42, 12.8644, 12.8644) * CHOOSE(CONTROL!$C$21, $C$9, 100%, $E$9)</f>
        <v>12.8644</v>
      </c>
      <c r="C310" s="14">
        <f>CHOOSE(CONTROL!$C$42, 12.8697, 12.8697) * CHOOSE(CONTROL!$C$21, $C$9, 100%, $E$9)</f>
        <v>12.8697</v>
      </c>
      <c r="D310" s="14">
        <f>CHOOSE(CONTROL!$C$42, 13.0796, 13.0796) * CHOOSE(CONTROL!$C$21, $C$9, 100%, $E$9)</f>
        <v>13.079599999999999</v>
      </c>
      <c r="E310" s="14">
        <f>CHOOSE(CONTROL!$C$42, 13.1087, 13.1087) * CHOOSE(CONTROL!$C$21, $C$9, 100%, $E$9)</f>
        <v>13.108700000000001</v>
      </c>
      <c r="F310" s="14">
        <f>CHOOSE(CONTROL!$C$42, 12.8536, 12.8536)*CHOOSE(CONTROL!$C$21, $C$9, 100%, $E$9)</f>
        <v>12.8536</v>
      </c>
      <c r="G310" s="14">
        <f>CHOOSE(CONTROL!$C$42, 12.8699, 12.8699)*CHOOSE(CONTROL!$C$21, $C$9, 100%, $E$9)</f>
        <v>12.869899999999999</v>
      </c>
      <c r="H310" s="14">
        <f>CHOOSE(CONTROL!$C$42, 13.0992, 13.0992) * CHOOSE(CONTROL!$C$21, $C$9, 100%, $E$9)</f>
        <v>13.0992</v>
      </c>
      <c r="I310" s="14">
        <f>CHOOSE(CONTROL!$C$42, 12.9145, 12.9145)* CHOOSE(CONTROL!$C$21, $C$9, 100%, $E$9)</f>
        <v>12.9145</v>
      </c>
      <c r="J310" s="14">
        <f>CHOOSE(CONTROL!$C$42, 12.8466, 12.8466)* CHOOSE(CONTROL!$C$21, $C$9, 100%, $E$9)</f>
        <v>12.8466</v>
      </c>
      <c r="K310" s="53">
        <f>CHOOSE(CONTROL!$C$42, 12.9106, 12.9106) * CHOOSE(CONTROL!$C$21, $C$9, 100%, $E$9)</f>
        <v>12.910600000000001</v>
      </c>
      <c r="L310" s="14">
        <f>CHOOSE(CONTROL!$C$42, 13.6862, 13.6862) * CHOOSE(CONTROL!$C$21, $C$9, 100%, $E$9)</f>
        <v>13.686199999999999</v>
      </c>
      <c r="M310" s="14">
        <f>CHOOSE(CONTROL!$C$42, 12.5911, 12.5911) * CHOOSE(CONTROL!$C$21, $C$9, 100%, $E$9)</f>
        <v>12.591100000000001</v>
      </c>
      <c r="N310" s="14">
        <f>CHOOSE(CONTROL!$C$42, 12.6071, 12.6071) * CHOOSE(CONTROL!$C$21, $C$9, 100%, $E$9)</f>
        <v>12.607100000000001</v>
      </c>
      <c r="O310" s="14">
        <f>CHOOSE(CONTROL!$C$42, 12.8385, 12.8385) * CHOOSE(CONTROL!$C$21, $C$9, 100%, $E$9)</f>
        <v>12.8385</v>
      </c>
      <c r="P310" s="14">
        <f>CHOOSE(CONTROL!$C$42, 12.6568, 12.6568) * CHOOSE(CONTROL!$C$21, $C$9, 100%, $E$9)</f>
        <v>12.6568</v>
      </c>
      <c r="Q310" s="14">
        <f>CHOOSE(CONTROL!$C$42, 13.4332, 13.4332) * CHOOSE(CONTROL!$C$21, $C$9, 100%, $E$9)</f>
        <v>13.433199999999999</v>
      </c>
      <c r="R310" s="14">
        <f>CHOOSE(CONTROL!$C$42, 14.0538, 14.0538) * CHOOSE(CONTROL!$C$21, $C$9, 100%, $E$9)</f>
        <v>14.053800000000001</v>
      </c>
      <c r="S310" s="14">
        <f>CHOOSE(CONTROL!$C$42, 12.3524, 12.3524) * CHOOSE(CONTROL!$C$21, $C$9, 100%, $E$9)</f>
        <v>12.352399999999999</v>
      </c>
      <c r="T3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7">
        <f>(1000*CHOOSE(CONTROL!$C$42, 695, 695)*CHOOSE(CONTROL!$C$42, 0.5599, 0.5599)*CHOOSE(CONTROL!$C$42, 31, 31))/1000000</f>
        <v>12.063045499999998</v>
      </c>
      <c r="V310" s="57">
        <f>(1000*CHOOSE(CONTROL!$C$42, 500, 500)*CHOOSE(CONTROL!$C$42, 0.275, 0.275)*CHOOSE(CONTROL!$C$42, 31, 31))/1000000</f>
        <v>4.2625000000000002</v>
      </c>
      <c r="W310" s="57">
        <f>(1000*CHOOSE(CONTROL!$C$42, 0.1146, 0.1146)*CHOOSE(CONTROL!$C$42, 121.5, 121.5)*CHOOSE(CONTROL!$C$42, 31, 31))/1000000</f>
        <v>0.43164089999999994</v>
      </c>
      <c r="X310" s="57">
        <f>(31*0.1790888*245000/1000000)+(31*0.2374*100000/1000000)</f>
        <v>2.0961194359999999</v>
      </c>
      <c r="Y310" s="57"/>
      <c r="Z310" s="14"/>
      <c r="AA310" s="56"/>
      <c r="AB310" s="50">
        <f>(B310*131.881+C310*277.167+D310*79.08+E310*125.872+F310*40+G310*185+H310*0+I310*100+J310*300)/(131.881+277.167+79.08+125.872+0+40+185+100+300)</f>
        <v>12.904345948910413</v>
      </c>
      <c r="AC310" s="45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12.673651079136691</v>
      </c>
    </row>
    <row r="311" spans="1:29" ht="15.75" x14ac:dyDescent="0.25">
      <c r="A311" s="34">
        <v>50345</v>
      </c>
      <c r="B311" s="14">
        <f>CHOOSE(CONTROL!$C$42, 13.2026, 13.2026) * CHOOSE(CONTROL!$C$21, $C$9, 100%, $E$9)</f>
        <v>13.2026</v>
      </c>
      <c r="C311" s="14">
        <f>CHOOSE(CONTROL!$C$42, 13.2077, 13.2077) * CHOOSE(CONTROL!$C$21, $C$9, 100%, $E$9)</f>
        <v>13.207700000000001</v>
      </c>
      <c r="D311" s="14">
        <f>CHOOSE(CONTROL!$C$42, 13.2715, 13.2715) * CHOOSE(CONTROL!$C$21, $C$9, 100%, $E$9)</f>
        <v>13.2715</v>
      </c>
      <c r="E311" s="14">
        <f>CHOOSE(CONTROL!$C$42, 13.3056, 13.3056) * CHOOSE(CONTROL!$C$21, $C$9, 100%, $E$9)</f>
        <v>13.3056</v>
      </c>
      <c r="F311" s="14">
        <f>CHOOSE(CONTROL!$C$42, 13.2048, 13.2048)*CHOOSE(CONTROL!$C$21, $C$9, 100%, $E$9)</f>
        <v>13.204800000000001</v>
      </c>
      <c r="G311" s="14">
        <f>CHOOSE(CONTROL!$C$42, 13.2215, 13.2215)*CHOOSE(CONTROL!$C$21, $C$9, 100%, $E$9)</f>
        <v>13.221500000000001</v>
      </c>
      <c r="H311" s="14">
        <f>CHOOSE(CONTROL!$C$42, 13.2948, 13.2948) * CHOOSE(CONTROL!$C$21, $C$9, 100%, $E$9)</f>
        <v>13.2948</v>
      </c>
      <c r="I311" s="14">
        <f>CHOOSE(CONTROL!$C$42, 13.2578, 13.2578)* CHOOSE(CONTROL!$C$21, $C$9, 100%, $E$9)</f>
        <v>13.2578</v>
      </c>
      <c r="J311" s="14">
        <f>CHOOSE(CONTROL!$C$42, 13.1978, 13.1978)* CHOOSE(CONTROL!$C$21, $C$9, 100%, $E$9)</f>
        <v>13.197800000000001</v>
      </c>
      <c r="K311" s="53">
        <f>CHOOSE(CONTROL!$C$42, 13.2539, 13.2539) * CHOOSE(CONTROL!$C$21, $C$9, 100%, $E$9)</f>
        <v>13.2539</v>
      </c>
      <c r="L311" s="14">
        <f>CHOOSE(CONTROL!$C$42, 13.8818, 13.8818) * CHOOSE(CONTROL!$C$21, $C$9, 100%, $E$9)</f>
        <v>13.8818</v>
      </c>
      <c r="M311" s="14">
        <f>CHOOSE(CONTROL!$C$42, 12.9351, 12.9351) * CHOOSE(CONTROL!$C$21, $C$9, 100%, $E$9)</f>
        <v>12.9351</v>
      </c>
      <c r="N311" s="14">
        <f>CHOOSE(CONTROL!$C$42, 12.9514, 12.9514) * CHOOSE(CONTROL!$C$21, $C$9, 100%, $E$9)</f>
        <v>12.9514</v>
      </c>
      <c r="O311" s="14">
        <f>CHOOSE(CONTROL!$C$42, 13.0301, 13.0301) * CHOOSE(CONTROL!$C$21, $C$9, 100%, $E$9)</f>
        <v>13.030099999999999</v>
      </c>
      <c r="P311" s="14">
        <f>CHOOSE(CONTROL!$C$42, 12.9931, 12.9931) * CHOOSE(CONTROL!$C$21, $C$9, 100%, $E$9)</f>
        <v>12.9931</v>
      </c>
      <c r="Q311" s="14">
        <f>CHOOSE(CONTROL!$C$42, 13.6248, 13.6248) * CHOOSE(CONTROL!$C$21, $C$9, 100%, $E$9)</f>
        <v>13.6248</v>
      </c>
      <c r="R311" s="14">
        <f>CHOOSE(CONTROL!$C$42, 14.2458, 14.2458) * CHOOSE(CONTROL!$C$21, $C$9, 100%, $E$9)</f>
        <v>14.245799999999999</v>
      </c>
      <c r="S311" s="14">
        <f>CHOOSE(CONTROL!$C$42, 12.6778, 12.6778) * CHOOSE(CONTROL!$C$21, $C$9, 100%, $E$9)</f>
        <v>12.6778</v>
      </c>
      <c r="T3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7">
        <f>(1000*CHOOSE(CONTROL!$C$42, 695, 695)*CHOOSE(CONTROL!$C$42, 0.5599, 0.5599)*CHOOSE(CONTROL!$C$42, 30, 30))/1000000</f>
        <v>11.673914999999997</v>
      </c>
      <c r="V311" s="57">
        <f>(1000*CHOOSE(CONTROL!$C$42, 500, 500)*CHOOSE(CONTROL!$C$42, 0.275, 0.275)*CHOOSE(CONTROL!$C$42, 30, 30))/1000000</f>
        <v>4.125</v>
      </c>
      <c r="W311" s="57">
        <f>(1000*CHOOSE(CONTROL!$C$42, 0.1146, 0.1146)*CHOOSE(CONTROL!$C$42, 121.5, 121.5)*CHOOSE(CONTROL!$C$42, 30, 30))/1000000</f>
        <v>0.417717</v>
      </c>
      <c r="X311" s="57">
        <f>(30*0.1790888*100000/1000000)+(30*0.2374*100000/1000000)</f>
        <v>1.2494664</v>
      </c>
      <c r="Y311" s="57"/>
      <c r="Z311" s="14"/>
      <c r="AA311" s="56"/>
      <c r="AB311" s="50">
        <f>(B311*122.58+C311*297.941+D311*89.177+E311*40.302+F311*40+G311*160+H311*0+I311*100+J311*300)/(122.58+297.941+89.177+40.302+0+40+160+100+300)</f>
        <v>13.219127739478262</v>
      </c>
      <c r="AC311" s="45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12.987441007194244</v>
      </c>
    </row>
    <row r="312" spans="1:29" ht="15.75" x14ac:dyDescent="0.25">
      <c r="A312" s="34">
        <v>50375</v>
      </c>
      <c r="B312" s="14">
        <f>CHOOSE(CONTROL!$C$42, 14.1021, 14.1021) * CHOOSE(CONTROL!$C$21, $C$9, 100%, $E$9)</f>
        <v>14.1021</v>
      </c>
      <c r="C312" s="14">
        <f>CHOOSE(CONTROL!$C$42, 14.1071, 14.1071) * CHOOSE(CONTROL!$C$21, $C$9, 100%, $E$9)</f>
        <v>14.107100000000001</v>
      </c>
      <c r="D312" s="14">
        <f>CHOOSE(CONTROL!$C$42, 14.1709, 14.1709) * CHOOSE(CONTROL!$C$21, $C$9, 100%, $E$9)</f>
        <v>14.1709</v>
      </c>
      <c r="E312" s="14">
        <f>CHOOSE(CONTROL!$C$42, 14.2051, 14.2051) * CHOOSE(CONTROL!$C$21, $C$9, 100%, $E$9)</f>
        <v>14.2051</v>
      </c>
      <c r="F312" s="14">
        <f>CHOOSE(CONTROL!$C$42, 14.1064, 14.1064)*CHOOSE(CONTROL!$C$21, $C$9, 100%, $E$9)</f>
        <v>14.106400000000001</v>
      </c>
      <c r="G312" s="14">
        <f>CHOOSE(CONTROL!$C$42, 14.1236, 14.1236)*CHOOSE(CONTROL!$C$21, $C$9, 100%, $E$9)</f>
        <v>14.1236</v>
      </c>
      <c r="H312" s="14">
        <f>CHOOSE(CONTROL!$C$42, 14.1942, 14.1942) * CHOOSE(CONTROL!$C$21, $C$9, 100%, $E$9)</f>
        <v>14.1942</v>
      </c>
      <c r="I312" s="14">
        <f>CHOOSE(CONTROL!$C$42, 14.1601, 14.1601)* CHOOSE(CONTROL!$C$21, $C$9, 100%, $E$9)</f>
        <v>14.1601</v>
      </c>
      <c r="J312" s="14">
        <f>CHOOSE(CONTROL!$C$42, 14.0994, 14.0994)* CHOOSE(CONTROL!$C$21, $C$9, 100%, $E$9)</f>
        <v>14.099399999999999</v>
      </c>
      <c r="K312" s="53">
        <f>CHOOSE(CONTROL!$C$42, 14.1562, 14.1562) * CHOOSE(CONTROL!$C$21, $C$9, 100%, $E$9)</f>
        <v>14.1562</v>
      </c>
      <c r="L312" s="14">
        <f>CHOOSE(CONTROL!$C$42, 14.7812, 14.7812) * CHOOSE(CONTROL!$C$21, $C$9, 100%, $E$9)</f>
        <v>14.7812</v>
      </c>
      <c r="M312" s="14">
        <f>CHOOSE(CONTROL!$C$42, 13.8182, 13.8182) * CHOOSE(CONTROL!$C$21, $C$9, 100%, $E$9)</f>
        <v>13.818199999999999</v>
      </c>
      <c r="N312" s="14">
        <f>CHOOSE(CONTROL!$C$42, 13.835, 13.835) * CHOOSE(CONTROL!$C$21, $C$9, 100%, $E$9)</f>
        <v>13.835000000000001</v>
      </c>
      <c r="O312" s="14">
        <f>CHOOSE(CONTROL!$C$42, 13.9111, 13.9111) * CHOOSE(CONTROL!$C$21, $C$9, 100%, $E$9)</f>
        <v>13.911099999999999</v>
      </c>
      <c r="P312" s="14">
        <f>CHOOSE(CONTROL!$C$42, 13.8769, 13.8769) * CHOOSE(CONTROL!$C$21, $C$9, 100%, $E$9)</f>
        <v>13.876899999999999</v>
      </c>
      <c r="Q312" s="14">
        <f>CHOOSE(CONTROL!$C$42, 14.5058, 14.5058) * CHOOSE(CONTROL!$C$21, $C$9, 100%, $E$9)</f>
        <v>14.505800000000001</v>
      </c>
      <c r="R312" s="14">
        <f>CHOOSE(CONTROL!$C$42, 15.1291, 15.1291) * CHOOSE(CONTROL!$C$21, $C$9, 100%, $E$9)</f>
        <v>15.129099999999999</v>
      </c>
      <c r="S312" s="14">
        <f>CHOOSE(CONTROL!$C$42, 13.5421, 13.5421) * CHOOSE(CONTROL!$C$21, $C$9, 100%, $E$9)</f>
        <v>13.5421</v>
      </c>
      <c r="T3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7">
        <f>(1000*CHOOSE(CONTROL!$C$42, 695, 695)*CHOOSE(CONTROL!$C$42, 0.5599, 0.5599)*CHOOSE(CONTROL!$C$42, 31, 31))/1000000</f>
        <v>12.063045499999998</v>
      </c>
      <c r="V312" s="57">
        <f>(1000*CHOOSE(CONTROL!$C$42, 500, 500)*CHOOSE(CONTROL!$C$42, 0.275, 0.275)*CHOOSE(CONTROL!$C$42, 31, 31))/1000000</f>
        <v>4.2625000000000002</v>
      </c>
      <c r="W312" s="57">
        <f>(1000*CHOOSE(CONTROL!$C$42, 0.1146, 0.1146)*CHOOSE(CONTROL!$C$42, 121.5, 121.5)*CHOOSE(CONTROL!$C$42, 31, 31))/1000000</f>
        <v>0.43164089999999994</v>
      </c>
      <c r="X312" s="57">
        <f>(31*0.1790888*100000/1000000)+(31*0.2374*100000/1000000)</f>
        <v>1.2911152800000001</v>
      </c>
      <c r="Y312" s="57"/>
      <c r="Z312" s="14"/>
      <c r="AA312" s="56"/>
      <c r="AB312" s="50">
        <f>(B312*122.58+C312*297.941+D312*89.177+E312*40.302+F312*40+G312*160+H312*0+I312*100+J312*300)/(122.58+297.941+89.177+40.302+0+40+160+100+300)</f>
        <v>14.119820163999998</v>
      </c>
      <c r="AC312" s="45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13.869718705035973</v>
      </c>
    </row>
    <row r="313" spans="1:29" ht="15.75" x14ac:dyDescent="0.25">
      <c r="A313" s="33">
        <v>50436</v>
      </c>
      <c r="B313" s="14">
        <f>CHOOSE(CONTROL!$C$42, 15.2564, 15.2564) * CHOOSE(CONTROL!$C$21, $C$9, 100%, $E$9)</f>
        <v>15.256399999999999</v>
      </c>
      <c r="C313" s="14">
        <f>CHOOSE(CONTROL!$C$42, 15.2615, 15.2615) * CHOOSE(CONTROL!$C$21, $C$9, 100%, $E$9)</f>
        <v>15.2615</v>
      </c>
      <c r="D313" s="14">
        <f>CHOOSE(CONTROL!$C$42, 15.3201, 15.3201) * CHOOSE(CONTROL!$C$21, $C$9, 100%, $E$9)</f>
        <v>15.3201</v>
      </c>
      <c r="E313" s="14">
        <f>CHOOSE(CONTROL!$C$42, 15.3542, 15.3542) * CHOOSE(CONTROL!$C$21, $C$9, 100%, $E$9)</f>
        <v>15.354200000000001</v>
      </c>
      <c r="F313" s="14">
        <f>CHOOSE(CONTROL!$C$42, 15.2555, 15.2555)*CHOOSE(CONTROL!$C$21, $C$9, 100%, $E$9)</f>
        <v>15.2555</v>
      </c>
      <c r="G313" s="14">
        <f>CHOOSE(CONTROL!$C$42, 15.2719, 15.2719)*CHOOSE(CONTROL!$C$21, $C$9, 100%, $E$9)</f>
        <v>15.2719</v>
      </c>
      <c r="H313" s="14">
        <f>CHOOSE(CONTROL!$C$42, 15.3434, 15.3434) * CHOOSE(CONTROL!$C$21, $C$9, 100%, $E$9)</f>
        <v>15.343400000000001</v>
      </c>
      <c r="I313" s="14">
        <f>CHOOSE(CONTROL!$C$42, 15.3144, 15.3144)* CHOOSE(CONTROL!$C$21, $C$9, 100%, $E$9)</f>
        <v>15.314399999999999</v>
      </c>
      <c r="J313" s="14">
        <f>CHOOSE(CONTROL!$C$42, 15.2485, 15.2485)* CHOOSE(CONTROL!$C$21, $C$9, 100%, $E$9)</f>
        <v>15.2485</v>
      </c>
      <c r="K313" s="53">
        <f>CHOOSE(CONTROL!$C$42, 15.3106, 15.3106) * CHOOSE(CONTROL!$C$21, $C$9, 100%, $E$9)</f>
        <v>15.310600000000001</v>
      </c>
      <c r="L313" s="14">
        <f>CHOOSE(CONTROL!$C$42, 15.9304, 15.9304) * CHOOSE(CONTROL!$C$21, $C$9, 100%, $E$9)</f>
        <v>15.930400000000001</v>
      </c>
      <c r="M313" s="14">
        <f>CHOOSE(CONTROL!$C$42, 14.9438, 14.9438) * CHOOSE(CONTROL!$C$21, $C$9, 100%, $E$9)</f>
        <v>14.9438</v>
      </c>
      <c r="N313" s="14">
        <f>CHOOSE(CONTROL!$C$42, 14.9598, 14.9598) * CHOOSE(CONTROL!$C$21, $C$9, 100%, $E$9)</f>
        <v>14.9598</v>
      </c>
      <c r="O313" s="14">
        <f>CHOOSE(CONTROL!$C$42, 15.0367, 15.0367) * CHOOSE(CONTROL!$C$21, $C$9, 100%, $E$9)</f>
        <v>15.0367</v>
      </c>
      <c r="P313" s="14">
        <f>CHOOSE(CONTROL!$C$42, 15.0075, 15.0075) * CHOOSE(CONTROL!$C$21, $C$9, 100%, $E$9)</f>
        <v>15.0075</v>
      </c>
      <c r="Q313" s="14">
        <f>CHOOSE(CONTROL!$C$42, 15.6314, 15.6314) * CHOOSE(CONTROL!$C$21, $C$9, 100%, $E$9)</f>
        <v>15.631399999999999</v>
      </c>
      <c r="R313" s="14">
        <f>CHOOSE(CONTROL!$C$42, 16.2575, 16.2575) * CHOOSE(CONTROL!$C$21, $C$9, 100%, $E$9)</f>
        <v>16.2575</v>
      </c>
      <c r="S313" s="14">
        <f>CHOOSE(CONTROL!$C$42, 14.6514, 14.6514) * CHOOSE(CONTROL!$C$21, $C$9, 100%, $E$9)</f>
        <v>14.651400000000001</v>
      </c>
      <c r="T3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7">
        <f>(1000*CHOOSE(CONTROL!$C$42, 695, 695)*CHOOSE(CONTROL!$C$42, 0.5599, 0.5599)*CHOOSE(CONTROL!$C$42, 31, 31))/1000000</f>
        <v>12.063045499999998</v>
      </c>
      <c r="V313" s="57">
        <f>(1000*CHOOSE(CONTROL!$C$42, 500, 500)*CHOOSE(CONTROL!$C$42, 0.275, 0.275)*CHOOSE(CONTROL!$C$42, 31, 31))/1000000</f>
        <v>4.2625000000000002</v>
      </c>
      <c r="W313" s="57">
        <f>(1000*CHOOSE(CONTROL!$C$42, 0.1146, 0.1146)*CHOOSE(CONTROL!$C$42, 121.5, 121.5)*CHOOSE(CONTROL!$C$42, 31, 31))/1000000</f>
        <v>0.43164089999999994</v>
      </c>
      <c r="X313" s="57">
        <f>(31*0.1790888*100000/1000000)+(31*0.2374*100000/1000000)</f>
        <v>1.2911152800000001</v>
      </c>
      <c r="Y313" s="57"/>
      <c r="Z313" s="14"/>
      <c r="AA313" s="56"/>
      <c r="AB313" s="50">
        <f>(B313*122.58+C313*297.941+D313*89.177+E313*40.302+F313*40+G313*160+H313*0+I313*100+J313*300)/(122.58+297.941+89.177+40.302+0+40+160+100+300)</f>
        <v>15.271196182260869</v>
      </c>
      <c r="AC313" s="45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14.995992086330933</v>
      </c>
    </row>
    <row r="314" spans="1:29" ht="15.75" x14ac:dyDescent="0.25">
      <c r="A314" s="33">
        <v>50464</v>
      </c>
      <c r="B314" s="14">
        <f>CHOOSE(CONTROL!$C$42, 15.5278, 15.5278) * CHOOSE(CONTROL!$C$21, $C$9, 100%, $E$9)</f>
        <v>15.527799999999999</v>
      </c>
      <c r="C314" s="14">
        <f>CHOOSE(CONTROL!$C$42, 15.5329, 15.5329) * CHOOSE(CONTROL!$C$21, $C$9, 100%, $E$9)</f>
        <v>15.5329</v>
      </c>
      <c r="D314" s="14">
        <f>CHOOSE(CONTROL!$C$42, 15.5915, 15.5915) * CHOOSE(CONTROL!$C$21, $C$9, 100%, $E$9)</f>
        <v>15.5915</v>
      </c>
      <c r="E314" s="14">
        <f>CHOOSE(CONTROL!$C$42, 15.6256, 15.6256) * CHOOSE(CONTROL!$C$21, $C$9, 100%, $E$9)</f>
        <v>15.6256</v>
      </c>
      <c r="F314" s="14">
        <f>CHOOSE(CONTROL!$C$42, 15.5269, 15.5269)*CHOOSE(CONTROL!$C$21, $C$9, 100%, $E$9)</f>
        <v>15.526899999999999</v>
      </c>
      <c r="G314" s="14">
        <f>CHOOSE(CONTROL!$C$42, 15.5433, 15.5433)*CHOOSE(CONTROL!$C$21, $C$9, 100%, $E$9)</f>
        <v>15.5433</v>
      </c>
      <c r="H314" s="14">
        <f>CHOOSE(CONTROL!$C$42, 15.6148, 15.6148) * CHOOSE(CONTROL!$C$21, $C$9, 100%, $E$9)</f>
        <v>15.614800000000001</v>
      </c>
      <c r="I314" s="14">
        <f>CHOOSE(CONTROL!$C$42, 15.5867, 15.5867)* CHOOSE(CONTROL!$C$21, $C$9, 100%, $E$9)</f>
        <v>15.5867</v>
      </c>
      <c r="J314" s="14">
        <f>CHOOSE(CONTROL!$C$42, 15.5199, 15.5199)* CHOOSE(CONTROL!$C$21, $C$9, 100%, $E$9)</f>
        <v>15.5199</v>
      </c>
      <c r="K314" s="53">
        <f>CHOOSE(CONTROL!$C$42, 15.5828, 15.5828) * CHOOSE(CONTROL!$C$21, $C$9, 100%, $E$9)</f>
        <v>15.582800000000001</v>
      </c>
      <c r="L314" s="14">
        <f>CHOOSE(CONTROL!$C$42, 16.2018, 16.2018) * CHOOSE(CONTROL!$C$21, $C$9, 100%, $E$9)</f>
        <v>16.201799999999999</v>
      </c>
      <c r="M314" s="14">
        <f>CHOOSE(CONTROL!$C$42, 15.2096, 15.2096) * CHOOSE(CONTROL!$C$21, $C$9, 100%, $E$9)</f>
        <v>15.2096</v>
      </c>
      <c r="N314" s="14">
        <f>CHOOSE(CONTROL!$C$42, 15.2257, 15.2257) * CHOOSE(CONTROL!$C$21, $C$9, 100%, $E$9)</f>
        <v>15.2257</v>
      </c>
      <c r="O314" s="14">
        <f>CHOOSE(CONTROL!$C$42, 15.3026, 15.3026) * CHOOSE(CONTROL!$C$21, $C$9, 100%, $E$9)</f>
        <v>15.3026</v>
      </c>
      <c r="P314" s="14">
        <f>CHOOSE(CONTROL!$C$42, 15.2741, 15.2741) * CHOOSE(CONTROL!$C$21, $C$9, 100%, $E$9)</f>
        <v>15.274100000000001</v>
      </c>
      <c r="Q314" s="14">
        <f>CHOOSE(CONTROL!$C$42, 15.8973, 15.8973) * CHOOSE(CONTROL!$C$21, $C$9, 100%, $E$9)</f>
        <v>15.8973</v>
      </c>
      <c r="R314" s="14">
        <f>CHOOSE(CONTROL!$C$42, 16.524, 16.524) * CHOOSE(CONTROL!$C$21, $C$9, 100%, $E$9)</f>
        <v>16.524000000000001</v>
      </c>
      <c r="S314" s="14">
        <f>CHOOSE(CONTROL!$C$42, 14.9122, 14.9122) * CHOOSE(CONTROL!$C$21, $C$9, 100%, $E$9)</f>
        <v>14.9122</v>
      </c>
      <c r="T3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7">
        <f>(1000*CHOOSE(CONTROL!$C$42, 695, 695)*CHOOSE(CONTROL!$C$42, 0.5599, 0.5599)*CHOOSE(CONTROL!$C$42, 28, 28))/1000000</f>
        <v>10.895653999999999</v>
      </c>
      <c r="V314" s="57">
        <f>(1000*CHOOSE(CONTROL!$C$42, 500, 500)*CHOOSE(CONTROL!$C$42, 0.275, 0.275)*CHOOSE(CONTROL!$C$42, 28, 28))/1000000</f>
        <v>3.85</v>
      </c>
      <c r="W314" s="57">
        <f>(1000*CHOOSE(CONTROL!$C$42, 0.1146, 0.1146)*CHOOSE(CONTROL!$C$42, 121.5, 121.5)*CHOOSE(CONTROL!$C$42, 28, 28))/1000000</f>
        <v>0.38986920000000003</v>
      </c>
      <c r="X314" s="57">
        <f>(28*0.1790888*100000/1000000)+(28*0.2374*100000/1000000)</f>
        <v>1.16616864</v>
      </c>
      <c r="Y314" s="57"/>
      <c r="Z314" s="14"/>
      <c r="AA314" s="56"/>
      <c r="AB314" s="50">
        <f>(B314*122.58+C314*297.941+D314*89.177+E314*40.302+F314*40+G314*160+H314*0+I314*100+J314*300)/(122.58+297.941+89.177+40.302+0+40+160+100+300)</f>
        <v>15.542674443130432</v>
      </c>
      <c r="AC314" s="45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15.261958273381298</v>
      </c>
    </row>
    <row r="315" spans="1:29" ht="15.75" x14ac:dyDescent="0.25">
      <c r="A315" s="33">
        <v>50495</v>
      </c>
      <c r="B315" s="14">
        <f>CHOOSE(CONTROL!$C$42, 15.0873, 15.0873) * CHOOSE(CONTROL!$C$21, $C$9, 100%, $E$9)</f>
        <v>15.087300000000001</v>
      </c>
      <c r="C315" s="14">
        <f>CHOOSE(CONTROL!$C$42, 15.0923, 15.0923) * CHOOSE(CONTROL!$C$21, $C$9, 100%, $E$9)</f>
        <v>15.0923</v>
      </c>
      <c r="D315" s="14">
        <f>CHOOSE(CONTROL!$C$42, 15.151, 15.151) * CHOOSE(CONTROL!$C$21, $C$9, 100%, $E$9)</f>
        <v>15.151</v>
      </c>
      <c r="E315" s="14">
        <f>CHOOSE(CONTROL!$C$42, 15.1851, 15.1851) * CHOOSE(CONTROL!$C$21, $C$9, 100%, $E$9)</f>
        <v>15.1851</v>
      </c>
      <c r="F315" s="14">
        <f>CHOOSE(CONTROL!$C$42, 15.0858, 15.0858)*CHOOSE(CONTROL!$C$21, $C$9, 100%, $E$9)</f>
        <v>15.085800000000001</v>
      </c>
      <c r="G315" s="14">
        <f>CHOOSE(CONTROL!$C$42, 15.1021, 15.1021)*CHOOSE(CONTROL!$C$21, $C$9, 100%, $E$9)</f>
        <v>15.1021</v>
      </c>
      <c r="H315" s="14">
        <f>CHOOSE(CONTROL!$C$42, 15.1743, 15.1743) * CHOOSE(CONTROL!$C$21, $C$9, 100%, $E$9)</f>
        <v>15.174300000000001</v>
      </c>
      <c r="I315" s="14">
        <f>CHOOSE(CONTROL!$C$42, 15.1448, 15.1448)* CHOOSE(CONTROL!$C$21, $C$9, 100%, $E$9)</f>
        <v>15.1448</v>
      </c>
      <c r="J315" s="14">
        <f>CHOOSE(CONTROL!$C$42, 15.0788, 15.0788)* CHOOSE(CONTROL!$C$21, $C$9, 100%, $E$9)</f>
        <v>15.078799999999999</v>
      </c>
      <c r="K315" s="53">
        <f>CHOOSE(CONTROL!$C$42, 15.1409, 15.1409) * CHOOSE(CONTROL!$C$21, $C$9, 100%, $E$9)</f>
        <v>15.1409</v>
      </c>
      <c r="L315" s="14">
        <f>CHOOSE(CONTROL!$C$42, 15.7613, 15.7613) * CHOOSE(CONTROL!$C$21, $C$9, 100%, $E$9)</f>
        <v>15.7613</v>
      </c>
      <c r="M315" s="14">
        <f>CHOOSE(CONTROL!$C$42, 14.7776, 14.7776) * CHOOSE(CONTROL!$C$21, $C$9, 100%, $E$9)</f>
        <v>14.7776</v>
      </c>
      <c r="N315" s="14">
        <f>CHOOSE(CONTROL!$C$42, 14.7935, 14.7935) * CHOOSE(CONTROL!$C$21, $C$9, 100%, $E$9)</f>
        <v>14.7935</v>
      </c>
      <c r="O315" s="14">
        <f>CHOOSE(CONTROL!$C$42, 14.871, 14.871) * CHOOSE(CONTROL!$C$21, $C$9, 100%, $E$9)</f>
        <v>14.871</v>
      </c>
      <c r="P315" s="14">
        <f>CHOOSE(CONTROL!$C$42, 14.8413, 14.8413) * CHOOSE(CONTROL!$C$21, $C$9, 100%, $E$9)</f>
        <v>14.8413</v>
      </c>
      <c r="Q315" s="14">
        <f>CHOOSE(CONTROL!$C$42, 15.4657, 15.4657) * CHOOSE(CONTROL!$C$21, $C$9, 100%, $E$9)</f>
        <v>15.4657</v>
      </c>
      <c r="R315" s="14">
        <f>CHOOSE(CONTROL!$C$42, 16.0914, 16.0914) * CHOOSE(CONTROL!$C$21, $C$9, 100%, $E$9)</f>
        <v>16.0914</v>
      </c>
      <c r="S315" s="14">
        <f>CHOOSE(CONTROL!$C$42, 14.4888, 14.4888) * CHOOSE(CONTROL!$C$21, $C$9, 100%, $E$9)</f>
        <v>14.488799999999999</v>
      </c>
      <c r="T3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7">
        <f>(1000*CHOOSE(CONTROL!$C$42, 695, 695)*CHOOSE(CONTROL!$C$42, 0.5599, 0.5599)*CHOOSE(CONTROL!$C$42, 31, 31))/1000000</f>
        <v>12.063045499999998</v>
      </c>
      <c r="V315" s="57">
        <f>(1000*CHOOSE(CONTROL!$C$42, 500, 500)*CHOOSE(CONTROL!$C$42, 0.275, 0.275)*CHOOSE(CONTROL!$C$42, 31, 31))/1000000</f>
        <v>4.2625000000000002</v>
      </c>
      <c r="W315" s="57">
        <f>(1000*CHOOSE(CONTROL!$C$42, 0.1146, 0.1146)*CHOOSE(CONTROL!$C$42, 121.5, 121.5)*CHOOSE(CONTROL!$C$42, 31, 31))/1000000</f>
        <v>0.43164089999999994</v>
      </c>
      <c r="X315" s="57">
        <f>(31*0.1790888*100000/1000000)+(31*0.2374*100000/1000000)</f>
        <v>1.2911152800000001</v>
      </c>
      <c r="Y315" s="57"/>
      <c r="Z315" s="14"/>
      <c r="AA315" s="56"/>
      <c r="AB315" s="50">
        <f>(B315*122.58+C315*297.941+D315*89.177+E315*40.302+F315*40+G315*160+H315*0+I315*100+J315*300)/(122.58+297.941+89.177+40.302+0+40+160+100+300)</f>
        <v>15.10175201347826</v>
      </c>
      <c r="AC315" s="45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14.830012949640288</v>
      </c>
    </row>
    <row r="316" spans="1:29" ht="15.75" x14ac:dyDescent="0.25">
      <c r="A316" s="33">
        <v>50525</v>
      </c>
      <c r="B316" s="14">
        <f>CHOOSE(CONTROL!$C$42, 15.0433, 15.0433) * CHOOSE(CONTROL!$C$21, $C$9, 100%, $E$9)</f>
        <v>15.0433</v>
      </c>
      <c r="C316" s="14">
        <f>CHOOSE(CONTROL!$C$42, 15.0478, 15.0478) * CHOOSE(CONTROL!$C$21, $C$9, 100%, $E$9)</f>
        <v>15.047800000000001</v>
      </c>
      <c r="D316" s="14">
        <f>CHOOSE(CONTROL!$C$42, 15.2559, 15.2559) * CHOOSE(CONTROL!$C$21, $C$9, 100%, $E$9)</f>
        <v>15.2559</v>
      </c>
      <c r="E316" s="14">
        <f>CHOOSE(CONTROL!$C$42, 15.288, 15.288) * CHOOSE(CONTROL!$C$21, $C$9, 100%, $E$9)</f>
        <v>15.288</v>
      </c>
      <c r="F316" s="14">
        <f>CHOOSE(CONTROL!$C$42, 15.0306, 15.0306)*CHOOSE(CONTROL!$C$21, $C$9, 100%, $E$9)</f>
        <v>15.0306</v>
      </c>
      <c r="G316" s="14">
        <f>CHOOSE(CONTROL!$C$42, 15.0466, 15.0466)*CHOOSE(CONTROL!$C$21, $C$9, 100%, $E$9)</f>
        <v>15.0466</v>
      </c>
      <c r="H316" s="14">
        <f>CHOOSE(CONTROL!$C$42, 15.2778, 15.2778) * CHOOSE(CONTROL!$C$21, $C$9, 100%, $E$9)</f>
        <v>15.277799999999999</v>
      </c>
      <c r="I316" s="14">
        <f>CHOOSE(CONTROL!$C$42, 15.0999, 15.0999)* CHOOSE(CONTROL!$C$21, $C$9, 100%, $E$9)</f>
        <v>15.0999</v>
      </c>
      <c r="J316" s="14">
        <f>CHOOSE(CONTROL!$C$42, 15.0236, 15.0236)* CHOOSE(CONTROL!$C$21, $C$9, 100%, $E$9)</f>
        <v>15.0236</v>
      </c>
      <c r="K316" s="53">
        <f>CHOOSE(CONTROL!$C$42, 15.096, 15.096) * CHOOSE(CONTROL!$C$21, $C$9, 100%, $E$9)</f>
        <v>15.096</v>
      </c>
      <c r="L316" s="14">
        <f>CHOOSE(CONTROL!$C$42, 15.8648, 15.8648) * CHOOSE(CONTROL!$C$21, $C$9, 100%, $E$9)</f>
        <v>15.864800000000001</v>
      </c>
      <c r="M316" s="14">
        <f>CHOOSE(CONTROL!$C$42, 14.7235, 14.7235) * CHOOSE(CONTROL!$C$21, $C$9, 100%, $E$9)</f>
        <v>14.7235</v>
      </c>
      <c r="N316" s="14">
        <f>CHOOSE(CONTROL!$C$42, 14.7391, 14.7391) * CHOOSE(CONTROL!$C$21, $C$9, 100%, $E$9)</f>
        <v>14.739100000000001</v>
      </c>
      <c r="O316" s="14">
        <f>CHOOSE(CONTROL!$C$42, 14.9725, 14.9725) * CHOOSE(CONTROL!$C$21, $C$9, 100%, $E$9)</f>
        <v>14.9725</v>
      </c>
      <c r="P316" s="14">
        <f>CHOOSE(CONTROL!$C$42, 14.7973, 14.7973) * CHOOSE(CONTROL!$C$21, $C$9, 100%, $E$9)</f>
        <v>14.7973</v>
      </c>
      <c r="Q316" s="14">
        <f>CHOOSE(CONTROL!$C$42, 15.5672, 15.5672) * CHOOSE(CONTROL!$C$21, $C$9, 100%, $E$9)</f>
        <v>15.5672</v>
      </c>
      <c r="R316" s="14">
        <f>CHOOSE(CONTROL!$C$42, 16.1931, 16.1931) * CHOOSE(CONTROL!$C$21, $C$9, 100%, $E$9)</f>
        <v>16.193100000000001</v>
      </c>
      <c r="S316" s="14">
        <f>CHOOSE(CONTROL!$C$42, 14.4458, 14.4458) * CHOOSE(CONTROL!$C$21, $C$9, 100%, $E$9)</f>
        <v>14.4458</v>
      </c>
      <c r="T3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7">
        <f>(1000*CHOOSE(CONTROL!$C$42, 695, 695)*CHOOSE(CONTROL!$C$42, 0.5599, 0.5599)*CHOOSE(CONTROL!$C$42, 30, 30))/1000000</f>
        <v>11.673914999999997</v>
      </c>
      <c r="V316" s="57">
        <f>(1000*CHOOSE(CONTROL!$C$42, 500, 500)*CHOOSE(CONTROL!$C$42, 0.275, 0.275)*CHOOSE(CONTROL!$C$42, 30, 30))/1000000</f>
        <v>4.125</v>
      </c>
      <c r="W316" s="57">
        <f>(1000*CHOOSE(CONTROL!$C$42, 0.1146, 0.1146)*CHOOSE(CONTROL!$C$42, 121.5, 121.5)*CHOOSE(CONTROL!$C$42, 30, 30))/1000000</f>
        <v>0.417717</v>
      </c>
      <c r="X316" s="57">
        <f>(30*0.1790888*245000/1000000)+(30*0.2374*100000/1000000)</f>
        <v>2.0285026799999999</v>
      </c>
      <c r="Y316" s="57"/>
      <c r="Z316" s="14"/>
      <c r="AA316" s="56"/>
      <c r="AB316" s="50">
        <f>(B316*141.293+C316*267.993+D316*115.016+E316*89.698+F316*40+G316*185+H316*0+I316*100+J316*300)/(141.293+267.993+115.016+89.698+0+40+185+100+300)</f>
        <v>15.081605061097658</v>
      </c>
      <c r="AC316" s="45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14.807573381294965</v>
      </c>
    </row>
    <row r="317" spans="1:29" ht="15.75" x14ac:dyDescent="0.25">
      <c r="A317" s="33">
        <v>50556</v>
      </c>
      <c r="B317" s="14">
        <f>CHOOSE(CONTROL!$C$42, 15.1774, 15.1774) * CHOOSE(CONTROL!$C$21, $C$9, 100%, $E$9)</f>
        <v>15.1774</v>
      </c>
      <c r="C317" s="14">
        <f>CHOOSE(CONTROL!$C$42, 15.1854, 15.1854) * CHOOSE(CONTROL!$C$21, $C$9, 100%, $E$9)</f>
        <v>15.1854</v>
      </c>
      <c r="D317" s="14">
        <f>CHOOSE(CONTROL!$C$42, 15.3904, 15.3904) * CHOOSE(CONTROL!$C$21, $C$9, 100%, $E$9)</f>
        <v>15.3904</v>
      </c>
      <c r="E317" s="14">
        <f>CHOOSE(CONTROL!$C$42, 15.4218, 15.4218) * CHOOSE(CONTROL!$C$21, $C$9, 100%, $E$9)</f>
        <v>15.421799999999999</v>
      </c>
      <c r="F317" s="14">
        <f>CHOOSE(CONTROL!$C$42, 15.1636, 15.1636)*CHOOSE(CONTROL!$C$21, $C$9, 100%, $E$9)</f>
        <v>15.163600000000001</v>
      </c>
      <c r="G317" s="14">
        <f>CHOOSE(CONTROL!$C$42, 15.18, 15.18)*CHOOSE(CONTROL!$C$21, $C$9, 100%, $E$9)</f>
        <v>15.18</v>
      </c>
      <c r="H317" s="14">
        <f>CHOOSE(CONTROL!$C$42, 15.4105, 15.4105) * CHOOSE(CONTROL!$C$21, $C$9, 100%, $E$9)</f>
        <v>15.410500000000001</v>
      </c>
      <c r="I317" s="14">
        <f>CHOOSE(CONTROL!$C$42, 15.233, 15.233)* CHOOSE(CONTROL!$C$21, $C$9, 100%, $E$9)</f>
        <v>15.233000000000001</v>
      </c>
      <c r="J317" s="14">
        <f>CHOOSE(CONTROL!$C$42, 15.1566, 15.1566)* CHOOSE(CONTROL!$C$21, $C$9, 100%, $E$9)</f>
        <v>15.156599999999999</v>
      </c>
      <c r="K317" s="53">
        <f>CHOOSE(CONTROL!$C$42, 15.2291, 15.2291) * CHOOSE(CONTROL!$C$21, $C$9, 100%, $E$9)</f>
        <v>15.229100000000001</v>
      </c>
      <c r="L317" s="14">
        <f>CHOOSE(CONTROL!$C$42, 15.9975, 15.9975) * CHOOSE(CONTROL!$C$21, $C$9, 100%, $E$9)</f>
        <v>15.9975</v>
      </c>
      <c r="M317" s="14">
        <f>CHOOSE(CONTROL!$C$42, 14.8537, 14.8537) * CHOOSE(CONTROL!$C$21, $C$9, 100%, $E$9)</f>
        <v>14.8537</v>
      </c>
      <c r="N317" s="14">
        <f>CHOOSE(CONTROL!$C$42, 14.8698, 14.8698) * CHOOSE(CONTROL!$C$21, $C$9, 100%, $E$9)</f>
        <v>14.8698</v>
      </c>
      <c r="O317" s="14">
        <f>CHOOSE(CONTROL!$C$42, 15.1024, 15.1024) * CHOOSE(CONTROL!$C$21, $C$9, 100%, $E$9)</f>
        <v>15.102399999999999</v>
      </c>
      <c r="P317" s="14">
        <f>CHOOSE(CONTROL!$C$42, 14.9277, 14.9277) * CHOOSE(CONTROL!$C$21, $C$9, 100%, $E$9)</f>
        <v>14.9277</v>
      </c>
      <c r="Q317" s="14">
        <f>CHOOSE(CONTROL!$C$42, 15.6971, 15.6971) * CHOOSE(CONTROL!$C$21, $C$9, 100%, $E$9)</f>
        <v>15.697100000000001</v>
      </c>
      <c r="R317" s="14">
        <f>CHOOSE(CONTROL!$C$42, 16.3234, 16.3234) * CHOOSE(CONTROL!$C$21, $C$9, 100%, $E$9)</f>
        <v>16.323399999999999</v>
      </c>
      <c r="S317" s="14">
        <f>CHOOSE(CONTROL!$C$42, 14.5733, 14.5733) * CHOOSE(CONTROL!$C$21, $C$9, 100%, $E$9)</f>
        <v>14.5733</v>
      </c>
      <c r="T3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7">
        <f>(1000*CHOOSE(CONTROL!$C$42, 695, 695)*CHOOSE(CONTROL!$C$42, 0.5599, 0.5599)*CHOOSE(CONTROL!$C$42, 31, 31))/1000000</f>
        <v>12.063045499999998</v>
      </c>
      <c r="V317" s="57">
        <f>(1000*CHOOSE(CONTROL!$C$42, 500, 500)*CHOOSE(CONTROL!$C$42, 0.275, 0.275)*CHOOSE(CONTROL!$C$42, 31, 31))/1000000</f>
        <v>4.2625000000000002</v>
      </c>
      <c r="W317" s="57">
        <f>(1000*CHOOSE(CONTROL!$C$42, 0.1146, 0.1146)*CHOOSE(CONTROL!$C$42, 121.5, 121.5)*CHOOSE(CONTROL!$C$42, 31, 31))/1000000</f>
        <v>0.43164089999999994</v>
      </c>
      <c r="X317" s="57">
        <f>(31*0.1790888*245000/1000000)+(31*0.2374*100000/1000000)</f>
        <v>2.0961194359999999</v>
      </c>
      <c r="Y317" s="57"/>
      <c r="Z317" s="14"/>
      <c r="AA317" s="56"/>
      <c r="AB317" s="50">
        <f>(B317*194.205+C317*267.466+D317*133.845+E317*53.484+F317*40+G317*185+H317*0+I317*100+J317*300)/(194.205+267.466+133.845+53.484+0+40+185+100+300)</f>
        <v>15.211127788540031</v>
      </c>
      <c r="AC317" s="45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14.937833093525182</v>
      </c>
    </row>
    <row r="318" spans="1:29" ht="15.75" x14ac:dyDescent="0.25">
      <c r="A318" s="33">
        <v>50586</v>
      </c>
      <c r="B318" s="14">
        <f>CHOOSE(CONTROL!$C$42, 15.6076, 15.6076) * CHOOSE(CONTROL!$C$21, $C$9, 100%, $E$9)</f>
        <v>15.6076</v>
      </c>
      <c r="C318" s="14">
        <f>CHOOSE(CONTROL!$C$42, 15.6156, 15.6156) * CHOOSE(CONTROL!$C$21, $C$9, 100%, $E$9)</f>
        <v>15.615600000000001</v>
      </c>
      <c r="D318" s="14">
        <f>CHOOSE(CONTROL!$C$42, 15.8206, 15.8206) * CHOOSE(CONTROL!$C$21, $C$9, 100%, $E$9)</f>
        <v>15.820600000000001</v>
      </c>
      <c r="E318" s="14">
        <f>CHOOSE(CONTROL!$C$42, 15.852, 15.852) * CHOOSE(CONTROL!$C$21, $C$9, 100%, $E$9)</f>
        <v>15.852</v>
      </c>
      <c r="F318" s="14">
        <f>CHOOSE(CONTROL!$C$42, 15.5941, 15.5941)*CHOOSE(CONTROL!$C$21, $C$9, 100%, $E$9)</f>
        <v>15.594099999999999</v>
      </c>
      <c r="G318" s="14">
        <f>CHOOSE(CONTROL!$C$42, 15.6106, 15.6106)*CHOOSE(CONTROL!$C$21, $C$9, 100%, $E$9)</f>
        <v>15.6106</v>
      </c>
      <c r="H318" s="14">
        <f>CHOOSE(CONTROL!$C$42, 15.8407, 15.8407) * CHOOSE(CONTROL!$C$21, $C$9, 100%, $E$9)</f>
        <v>15.8407</v>
      </c>
      <c r="I318" s="14">
        <f>CHOOSE(CONTROL!$C$42, 15.6645, 15.6645)* CHOOSE(CONTROL!$C$21, $C$9, 100%, $E$9)</f>
        <v>15.6645</v>
      </c>
      <c r="J318" s="14">
        <f>CHOOSE(CONTROL!$C$42, 15.5871, 15.5871)* CHOOSE(CONTROL!$C$21, $C$9, 100%, $E$9)</f>
        <v>15.5871</v>
      </c>
      <c r="K318" s="53">
        <f>CHOOSE(CONTROL!$C$42, 15.6606, 15.6606) * CHOOSE(CONTROL!$C$21, $C$9, 100%, $E$9)</f>
        <v>15.660600000000001</v>
      </c>
      <c r="L318" s="14">
        <f>CHOOSE(CONTROL!$C$42, 16.4277, 16.4277) * CHOOSE(CONTROL!$C$21, $C$9, 100%, $E$9)</f>
        <v>16.427700000000002</v>
      </c>
      <c r="M318" s="14">
        <f>CHOOSE(CONTROL!$C$42, 15.2754, 15.2754) * CHOOSE(CONTROL!$C$21, $C$9, 100%, $E$9)</f>
        <v>15.275399999999999</v>
      </c>
      <c r="N318" s="14">
        <f>CHOOSE(CONTROL!$C$42, 15.2916, 15.2916) * CHOOSE(CONTROL!$C$21, $C$9, 100%, $E$9)</f>
        <v>15.291600000000001</v>
      </c>
      <c r="O318" s="14">
        <f>CHOOSE(CONTROL!$C$42, 15.5238, 15.5238) * CHOOSE(CONTROL!$C$21, $C$9, 100%, $E$9)</f>
        <v>15.5238</v>
      </c>
      <c r="P318" s="14">
        <f>CHOOSE(CONTROL!$C$42, 15.3503, 15.3503) * CHOOSE(CONTROL!$C$21, $C$9, 100%, $E$9)</f>
        <v>15.350300000000001</v>
      </c>
      <c r="Q318" s="14">
        <f>CHOOSE(CONTROL!$C$42, 16.1185, 16.1185) * CHOOSE(CONTROL!$C$21, $C$9, 100%, $E$9)</f>
        <v>16.118500000000001</v>
      </c>
      <c r="R318" s="14">
        <f>CHOOSE(CONTROL!$C$42, 16.7458, 16.7458) * CHOOSE(CONTROL!$C$21, $C$9, 100%, $E$9)</f>
        <v>16.745799999999999</v>
      </c>
      <c r="S318" s="14">
        <f>CHOOSE(CONTROL!$C$42, 14.9867, 14.9867) * CHOOSE(CONTROL!$C$21, $C$9, 100%, $E$9)</f>
        <v>14.986700000000001</v>
      </c>
      <c r="T3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7">
        <f>(1000*CHOOSE(CONTROL!$C$42, 695, 695)*CHOOSE(CONTROL!$C$42, 0.5599, 0.5599)*CHOOSE(CONTROL!$C$42, 30, 30))/1000000</f>
        <v>11.673914999999997</v>
      </c>
      <c r="V318" s="57">
        <f>(1000*CHOOSE(CONTROL!$C$42, 500, 500)*CHOOSE(CONTROL!$C$42, 0.275, 0.275)*CHOOSE(CONTROL!$C$42, 30, 30))/1000000</f>
        <v>4.125</v>
      </c>
      <c r="W318" s="57">
        <f>(1000*CHOOSE(CONTROL!$C$42, 0.1146, 0.1146)*CHOOSE(CONTROL!$C$42, 121.5, 121.5)*CHOOSE(CONTROL!$C$42, 30, 30))/1000000</f>
        <v>0.417717</v>
      </c>
      <c r="X318" s="57">
        <f>(30*0.1790888*245000/1000000)+(30*0.2374*100000/1000000)</f>
        <v>2.0285026799999999</v>
      </c>
      <c r="Y318" s="57"/>
      <c r="Z318" s="14"/>
      <c r="AA318" s="56"/>
      <c r="AB318" s="50">
        <f>(B318*194.205+C318*267.466+D318*133.845+E318*53.484+F318*40+G318*185+H318*0+I318*100+J318*300)/(194.205+267.466+133.845+53.484+0+40+185+100+300)</f>
        <v>15.641567976923078</v>
      </c>
      <c r="AC318" s="45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15.359601438848921</v>
      </c>
    </row>
    <row r="319" spans="1:29" ht="15.75" x14ac:dyDescent="0.25">
      <c r="A319" s="33">
        <v>50617</v>
      </c>
      <c r="B319" s="14">
        <f>CHOOSE(CONTROL!$C$42, 15.3084, 15.3084) * CHOOSE(CONTROL!$C$21, $C$9, 100%, $E$9)</f>
        <v>15.308400000000001</v>
      </c>
      <c r="C319" s="14">
        <f>CHOOSE(CONTROL!$C$42, 15.3164, 15.3164) * CHOOSE(CONTROL!$C$21, $C$9, 100%, $E$9)</f>
        <v>15.3164</v>
      </c>
      <c r="D319" s="14">
        <f>CHOOSE(CONTROL!$C$42, 15.5214, 15.5214) * CHOOSE(CONTROL!$C$21, $C$9, 100%, $E$9)</f>
        <v>15.5214</v>
      </c>
      <c r="E319" s="14">
        <f>CHOOSE(CONTROL!$C$42, 15.5528, 15.5528) * CHOOSE(CONTROL!$C$21, $C$9, 100%, $E$9)</f>
        <v>15.5528</v>
      </c>
      <c r="F319" s="14">
        <f>CHOOSE(CONTROL!$C$42, 15.2953, 15.2953)*CHOOSE(CONTROL!$C$21, $C$9, 100%, $E$9)</f>
        <v>15.295299999999999</v>
      </c>
      <c r="G319" s="14">
        <f>CHOOSE(CONTROL!$C$42, 15.312, 15.312)*CHOOSE(CONTROL!$C$21, $C$9, 100%, $E$9)</f>
        <v>15.311999999999999</v>
      </c>
      <c r="H319" s="14">
        <f>CHOOSE(CONTROL!$C$42, 15.5415, 15.5415) * CHOOSE(CONTROL!$C$21, $C$9, 100%, $E$9)</f>
        <v>15.541499999999999</v>
      </c>
      <c r="I319" s="14">
        <f>CHOOSE(CONTROL!$C$42, 15.3644, 15.3644)* CHOOSE(CONTROL!$C$21, $C$9, 100%, $E$9)</f>
        <v>15.3644</v>
      </c>
      <c r="J319" s="14">
        <f>CHOOSE(CONTROL!$C$42, 15.2883, 15.2883)* CHOOSE(CONTROL!$C$21, $C$9, 100%, $E$9)</f>
        <v>15.2883</v>
      </c>
      <c r="K319" s="53">
        <f>CHOOSE(CONTROL!$C$42, 15.3605, 15.3605) * CHOOSE(CONTROL!$C$21, $C$9, 100%, $E$9)</f>
        <v>15.3605</v>
      </c>
      <c r="L319" s="14">
        <f>CHOOSE(CONTROL!$C$42, 16.1285, 16.1285) * CHOOSE(CONTROL!$C$21, $C$9, 100%, $E$9)</f>
        <v>16.128499999999999</v>
      </c>
      <c r="M319" s="14">
        <f>CHOOSE(CONTROL!$C$42, 14.9828, 14.9828) * CHOOSE(CONTROL!$C$21, $C$9, 100%, $E$9)</f>
        <v>14.982799999999999</v>
      </c>
      <c r="N319" s="14">
        <f>CHOOSE(CONTROL!$C$42, 14.9991, 14.9991) * CHOOSE(CONTROL!$C$21, $C$9, 100%, $E$9)</f>
        <v>14.9991</v>
      </c>
      <c r="O319" s="14">
        <f>CHOOSE(CONTROL!$C$42, 15.2307, 15.2307) * CHOOSE(CONTROL!$C$21, $C$9, 100%, $E$9)</f>
        <v>15.230700000000001</v>
      </c>
      <c r="P319" s="14">
        <f>CHOOSE(CONTROL!$C$42, 15.0564, 15.0564) * CHOOSE(CONTROL!$C$21, $C$9, 100%, $E$9)</f>
        <v>15.0564</v>
      </c>
      <c r="Q319" s="14">
        <f>CHOOSE(CONTROL!$C$42, 15.8254, 15.8254) * CHOOSE(CONTROL!$C$21, $C$9, 100%, $E$9)</f>
        <v>15.8254</v>
      </c>
      <c r="R319" s="14">
        <f>CHOOSE(CONTROL!$C$42, 16.452, 16.452) * CHOOSE(CONTROL!$C$21, $C$9, 100%, $E$9)</f>
        <v>16.452000000000002</v>
      </c>
      <c r="S319" s="14">
        <f>CHOOSE(CONTROL!$C$42, 14.6992, 14.6992) * CHOOSE(CONTROL!$C$21, $C$9, 100%, $E$9)</f>
        <v>14.699199999999999</v>
      </c>
      <c r="T3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7">
        <f>(1000*CHOOSE(CONTROL!$C$42, 695, 695)*CHOOSE(CONTROL!$C$42, 0.5599, 0.5599)*CHOOSE(CONTROL!$C$42, 31, 31))/1000000</f>
        <v>12.063045499999998</v>
      </c>
      <c r="V319" s="57">
        <f>(1000*CHOOSE(CONTROL!$C$42, 500, 500)*CHOOSE(CONTROL!$C$42, 0.275, 0.275)*CHOOSE(CONTROL!$C$42, 31, 31))/1000000</f>
        <v>4.2625000000000002</v>
      </c>
      <c r="W319" s="57">
        <f>(1000*CHOOSE(CONTROL!$C$42, 0.1146, 0.1146)*CHOOSE(CONTROL!$C$42, 121.5, 121.5)*CHOOSE(CONTROL!$C$42, 31, 31))/1000000</f>
        <v>0.43164089999999994</v>
      </c>
      <c r="X319" s="57">
        <f>(31*0.1790888*245000/1000000)+(31*0.2374*100000/1000000)</f>
        <v>2.0961194359999999</v>
      </c>
      <c r="Y319" s="57"/>
      <c r="Z319" s="14"/>
      <c r="AA319" s="56"/>
      <c r="AB319" s="50">
        <f>(B319*194.205+C319*267.466+D319*133.845+E319*53.484+F319*40+G319*185+H319*0+I319*100+J319*300)/(194.205+267.466+133.845+53.484+0+40+185+100+300)</f>
        <v>15.342491210832025</v>
      </c>
      <c r="AC319" s="45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15.066697122302157</v>
      </c>
    </row>
    <row r="320" spans="1:29" ht="15.75" x14ac:dyDescent="0.25">
      <c r="A320" s="33">
        <v>50648</v>
      </c>
      <c r="B320" s="14">
        <f>CHOOSE(CONTROL!$C$42, 14.5528, 14.5528) * CHOOSE(CONTROL!$C$21, $C$9, 100%, $E$9)</f>
        <v>14.5528</v>
      </c>
      <c r="C320" s="14">
        <f>CHOOSE(CONTROL!$C$42, 14.5608, 14.5608) * CHOOSE(CONTROL!$C$21, $C$9, 100%, $E$9)</f>
        <v>14.5608</v>
      </c>
      <c r="D320" s="14">
        <f>CHOOSE(CONTROL!$C$42, 14.7658, 14.7658) * CHOOSE(CONTROL!$C$21, $C$9, 100%, $E$9)</f>
        <v>14.7658</v>
      </c>
      <c r="E320" s="14">
        <f>CHOOSE(CONTROL!$C$42, 14.7973, 14.7973) * CHOOSE(CONTROL!$C$21, $C$9, 100%, $E$9)</f>
        <v>14.7973</v>
      </c>
      <c r="F320" s="14">
        <f>CHOOSE(CONTROL!$C$42, 14.54, 14.54)*CHOOSE(CONTROL!$C$21, $C$9, 100%, $E$9)</f>
        <v>14.54</v>
      </c>
      <c r="G320" s="14">
        <f>CHOOSE(CONTROL!$C$42, 14.5567, 14.5567)*CHOOSE(CONTROL!$C$21, $C$9, 100%, $E$9)</f>
        <v>14.556699999999999</v>
      </c>
      <c r="H320" s="14">
        <f>CHOOSE(CONTROL!$C$42, 14.7859, 14.7859) * CHOOSE(CONTROL!$C$21, $C$9, 100%, $E$9)</f>
        <v>14.7859</v>
      </c>
      <c r="I320" s="14">
        <f>CHOOSE(CONTROL!$C$42, 14.6064, 14.6064)* CHOOSE(CONTROL!$C$21, $C$9, 100%, $E$9)</f>
        <v>14.606400000000001</v>
      </c>
      <c r="J320" s="14">
        <f>CHOOSE(CONTROL!$C$42, 14.533, 14.533)* CHOOSE(CONTROL!$C$21, $C$9, 100%, $E$9)</f>
        <v>14.532999999999999</v>
      </c>
      <c r="K320" s="53">
        <f>CHOOSE(CONTROL!$C$42, 14.6026, 14.6026) * CHOOSE(CONTROL!$C$21, $C$9, 100%, $E$9)</f>
        <v>14.602600000000001</v>
      </c>
      <c r="L320" s="14">
        <f>CHOOSE(CONTROL!$C$42, 15.3729, 15.3729) * CHOOSE(CONTROL!$C$21, $C$9, 100%, $E$9)</f>
        <v>15.3729</v>
      </c>
      <c r="M320" s="14">
        <f>CHOOSE(CONTROL!$C$42, 14.2429, 14.2429) * CHOOSE(CONTROL!$C$21, $C$9, 100%, $E$9)</f>
        <v>14.242900000000001</v>
      </c>
      <c r="N320" s="14">
        <f>CHOOSE(CONTROL!$C$42, 14.2593, 14.2593) * CHOOSE(CONTROL!$C$21, $C$9, 100%, $E$9)</f>
        <v>14.2593</v>
      </c>
      <c r="O320" s="14">
        <f>CHOOSE(CONTROL!$C$42, 14.4906, 14.4906) * CHOOSE(CONTROL!$C$21, $C$9, 100%, $E$9)</f>
        <v>14.490600000000001</v>
      </c>
      <c r="P320" s="14">
        <f>CHOOSE(CONTROL!$C$42, 14.314, 14.314) * CHOOSE(CONTROL!$C$21, $C$9, 100%, $E$9)</f>
        <v>14.314</v>
      </c>
      <c r="Q320" s="14">
        <f>CHOOSE(CONTROL!$C$42, 15.0853, 15.0853) * CHOOSE(CONTROL!$C$21, $C$9, 100%, $E$9)</f>
        <v>15.0853</v>
      </c>
      <c r="R320" s="14">
        <f>CHOOSE(CONTROL!$C$42, 15.7101, 15.7101) * CHOOSE(CONTROL!$C$21, $C$9, 100%, $E$9)</f>
        <v>15.710100000000001</v>
      </c>
      <c r="S320" s="14">
        <f>CHOOSE(CONTROL!$C$42, 13.9732, 13.9732) * CHOOSE(CONTROL!$C$21, $C$9, 100%, $E$9)</f>
        <v>13.9732</v>
      </c>
      <c r="T3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7">
        <f>(1000*CHOOSE(CONTROL!$C$42, 695, 695)*CHOOSE(CONTROL!$C$42, 0.5599, 0.5599)*CHOOSE(CONTROL!$C$42, 31, 31))/1000000</f>
        <v>12.063045499999998</v>
      </c>
      <c r="V320" s="57">
        <f>(1000*CHOOSE(CONTROL!$C$42, 500, 500)*CHOOSE(CONTROL!$C$42, 0.275, 0.275)*CHOOSE(CONTROL!$C$42, 31, 31))/1000000</f>
        <v>4.2625000000000002</v>
      </c>
      <c r="W320" s="57">
        <f>(1000*CHOOSE(CONTROL!$C$42, 0.1146, 0.1146)*CHOOSE(CONTROL!$C$42, 121.5, 121.5)*CHOOSE(CONTROL!$C$42, 31, 31))/1000000</f>
        <v>0.43164089999999994</v>
      </c>
      <c r="X320" s="57">
        <f>(31*0.1790888*245000/1000000)+(31*0.2374*100000/1000000)</f>
        <v>2.0961194359999999</v>
      </c>
      <c r="Y320" s="57"/>
      <c r="Z320" s="14"/>
      <c r="AA320" s="56"/>
      <c r="AB320" s="50">
        <f>(B320*194.205+C320*267.466+D320*133.845+E320*53.484+F320*40+G320*185+H320*0+I320*100+J320*300)/(194.205+267.466+133.845+53.484+0+40+185+100+300)</f>
        <v>14.586830652276296</v>
      </c>
      <c r="AC320" s="45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14.32640431654676</v>
      </c>
    </row>
    <row r="321" spans="1:29" ht="15.75" x14ac:dyDescent="0.25">
      <c r="A321" s="33">
        <v>50678</v>
      </c>
      <c r="B321" s="14">
        <f>CHOOSE(CONTROL!$C$42, 13.6293, 13.6293) * CHOOSE(CONTROL!$C$21, $C$9, 100%, $E$9)</f>
        <v>13.629300000000001</v>
      </c>
      <c r="C321" s="14">
        <f>CHOOSE(CONTROL!$C$42, 13.6373, 13.6373) * CHOOSE(CONTROL!$C$21, $C$9, 100%, $E$9)</f>
        <v>13.6373</v>
      </c>
      <c r="D321" s="14">
        <f>CHOOSE(CONTROL!$C$42, 13.8423, 13.8423) * CHOOSE(CONTROL!$C$21, $C$9, 100%, $E$9)</f>
        <v>13.8423</v>
      </c>
      <c r="E321" s="14">
        <f>CHOOSE(CONTROL!$C$42, 13.8737, 13.8737) * CHOOSE(CONTROL!$C$21, $C$9, 100%, $E$9)</f>
        <v>13.873699999999999</v>
      </c>
      <c r="F321" s="14">
        <f>CHOOSE(CONTROL!$C$42, 13.6164, 13.6164)*CHOOSE(CONTROL!$C$21, $C$9, 100%, $E$9)</f>
        <v>13.616400000000001</v>
      </c>
      <c r="G321" s="14">
        <f>CHOOSE(CONTROL!$C$42, 13.6331, 13.6331)*CHOOSE(CONTROL!$C$21, $C$9, 100%, $E$9)</f>
        <v>13.633100000000001</v>
      </c>
      <c r="H321" s="14">
        <f>CHOOSE(CONTROL!$C$42, 13.8624, 13.8624) * CHOOSE(CONTROL!$C$21, $C$9, 100%, $E$9)</f>
        <v>13.862399999999999</v>
      </c>
      <c r="I321" s="14">
        <f>CHOOSE(CONTROL!$C$42, 13.68, 13.68)* CHOOSE(CONTROL!$C$21, $C$9, 100%, $E$9)</f>
        <v>13.68</v>
      </c>
      <c r="J321" s="14">
        <f>CHOOSE(CONTROL!$C$42, 13.6094, 13.6094)* CHOOSE(CONTROL!$C$21, $C$9, 100%, $E$9)</f>
        <v>13.609400000000001</v>
      </c>
      <c r="K321" s="53">
        <f>CHOOSE(CONTROL!$C$42, 13.6761, 13.6761) * CHOOSE(CONTROL!$C$21, $C$9, 100%, $E$9)</f>
        <v>13.6761</v>
      </c>
      <c r="L321" s="14">
        <f>CHOOSE(CONTROL!$C$42, 14.4494, 14.4494) * CHOOSE(CONTROL!$C$21, $C$9, 100%, $E$9)</f>
        <v>14.449400000000001</v>
      </c>
      <c r="M321" s="14">
        <f>CHOOSE(CONTROL!$C$42, 13.3383, 13.3383) * CHOOSE(CONTROL!$C$21, $C$9, 100%, $E$9)</f>
        <v>13.3383</v>
      </c>
      <c r="N321" s="14">
        <f>CHOOSE(CONTROL!$C$42, 13.3546, 13.3546) * CHOOSE(CONTROL!$C$21, $C$9, 100%, $E$9)</f>
        <v>13.3546</v>
      </c>
      <c r="O321" s="14">
        <f>CHOOSE(CONTROL!$C$42, 13.586, 13.586) * CHOOSE(CONTROL!$C$21, $C$9, 100%, $E$9)</f>
        <v>13.586</v>
      </c>
      <c r="P321" s="14">
        <f>CHOOSE(CONTROL!$C$42, 13.4066, 13.4066) * CHOOSE(CONTROL!$C$21, $C$9, 100%, $E$9)</f>
        <v>13.406599999999999</v>
      </c>
      <c r="Q321" s="14">
        <f>CHOOSE(CONTROL!$C$42, 14.1807, 14.1807) * CHOOSE(CONTROL!$C$21, $C$9, 100%, $E$9)</f>
        <v>14.1807</v>
      </c>
      <c r="R321" s="14">
        <f>CHOOSE(CONTROL!$C$42, 14.8032, 14.8032) * CHOOSE(CONTROL!$C$21, $C$9, 100%, $E$9)</f>
        <v>14.8032</v>
      </c>
      <c r="S321" s="14">
        <f>CHOOSE(CONTROL!$C$42, 13.0857, 13.0857) * CHOOSE(CONTROL!$C$21, $C$9, 100%, $E$9)</f>
        <v>13.085699999999999</v>
      </c>
      <c r="T3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7">
        <f>(1000*CHOOSE(CONTROL!$C$42, 695, 695)*CHOOSE(CONTROL!$C$42, 0.5599, 0.5599)*CHOOSE(CONTROL!$C$42, 30, 30))/1000000</f>
        <v>11.673914999999997</v>
      </c>
      <c r="V321" s="57">
        <f>(1000*CHOOSE(CONTROL!$C$42, 500, 500)*CHOOSE(CONTROL!$C$42, 0.275, 0.275)*CHOOSE(CONTROL!$C$42, 30, 30))/1000000</f>
        <v>4.125</v>
      </c>
      <c r="W321" s="57">
        <f>(1000*CHOOSE(CONTROL!$C$42, 0.1146, 0.1146)*CHOOSE(CONTROL!$C$42, 121.5, 121.5)*CHOOSE(CONTROL!$C$42, 30, 30))/1000000</f>
        <v>0.417717</v>
      </c>
      <c r="X321" s="57">
        <f>(30*0.1790888*245000/1000000)+(30*0.2374*100000/1000000)</f>
        <v>2.0285026799999999</v>
      </c>
      <c r="Y321" s="57"/>
      <c r="Z321" s="14"/>
      <c r="AA321" s="56"/>
      <c r="AB321" s="50">
        <f>(B321*194.205+C321*267.466+D321*133.845+E321*53.484+F321*40+G321*185+H321*0+I321*100+J321*300)/(194.205+267.466+133.845+53.484+0+40+185+100+300)</f>
        <v>13.663057615855575</v>
      </c>
      <c r="AC321" s="45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13.421378417266187</v>
      </c>
    </row>
    <row r="322" spans="1:29" ht="15.75" x14ac:dyDescent="0.25">
      <c r="A322" s="33">
        <v>50709</v>
      </c>
      <c r="B322" s="14">
        <f>CHOOSE(CONTROL!$C$42, 13.351, 13.351) * CHOOSE(CONTROL!$C$21, $C$9, 100%, $E$9)</f>
        <v>13.351000000000001</v>
      </c>
      <c r="C322" s="14">
        <f>CHOOSE(CONTROL!$C$42, 13.3563, 13.3563) * CHOOSE(CONTROL!$C$21, $C$9, 100%, $E$9)</f>
        <v>13.356299999999999</v>
      </c>
      <c r="D322" s="14">
        <f>CHOOSE(CONTROL!$C$42, 13.5663, 13.5663) * CHOOSE(CONTROL!$C$21, $C$9, 100%, $E$9)</f>
        <v>13.5663</v>
      </c>
      <c r="E322" s="14">
        <f>CHOOSE(CONTROL!$C$42, 13.5954, 13.5954) * CHOOSE(CONTROL!$C$21, $C$9, 100%, $E$9)</f>
        <v>13.5954</v>
      </c>
      <c r="F322" s="14">
        <f>CHOOSE(CONTROL!$C$42, 13.3402, 13.3402)*CHOOSE(CONTROL!$C$21, $C$9, 100%, $E$9)</f>
        <v>13.340199999999999</v>
      </c>
      <c r="G322" s="14">
        <f>CHOOSE(CONTROL!$C$42, 13.3566, 13.3566)*CHOOSE(CONTROL!$C$21, $C$9, 100%, $E$9)</f>
        <v>13.3566</v>
      </c>
      <c r="H322" s="14">
        <f>CHOOSE(CONTROL!$C$42, 13.5859, 13.5859) * CHOOSE(CONTROL!$C$21, $C$9, 100%, $E$9)</f>
        <v>13.585900000000001</v>
      </c>
      <c r="I322" s="14">
        <f>CHOOSE(CONTROL!$C$42, 13.4027, 13.4027)* CHOOSE(CONTROL!$C$21, $C$9, 100%, $E$9)</f>
        <v>13.402699999999999</v>
      </c>
      <c r="J322" s="14">
        <f>CHOOSE(CONTROL!$C$42, 13.3332, 13.3332)* CHOOSE(CONTROL!$C$21, $C$9, 100%, $E$9)</f>
        <v>13.3332</v>
      </c>
      <c r="K322" s="53">
        <f>CHOOSE(CONTROL!$C$42, 13.3988, 13.3988) * CHOOSE(CONTROL!$C$21, $C$9, 100%, $E$9)</f>
        <v>13.3988</v>
      </c>
      <c r="L322" s="14">
        <f>CHOOSE(CONTROL!$C$42, 14.1729, 14.1729) * CHOOSE(CONTROL!$C$21, $C$9, 100%, $E$9)</f>
        <v>14.1729</v>
      </c>
      <c r="M322" s="14">
        <f>CHOOSE(CONTROL!$C$42, 13.0677, 13.0677) * CHOOSE(CONTROL!$C$21, $C$9, 100%, $E$9)</f>
        <v>13.0677</v>
      </c>
      <c r="N322" s="14">
        <f>CHOOSE(CONTROL!$C$42, 13.0838, 13.0838) * CHOOSE(CONTROL!$C$21, $C$9, 100%, $E$9)</f>
        <v>13.0838</v>
      </c>
      <c r="O322" s="14">
        <f>CHOOSE(CONTROL!$C$42, 13.3152, 13.3152) * CHOOSE(CONTROL!$C$21, $C$9, 100%, $E$9)</f>
        <v>13.315200000000001</v>
      </c>
      <c r="P322" s="14">
        <f>CHOOSE(CONTROL!$C$42, 13.135, 13.135) * CHOOSE(CONTROL!$C$21, $C$9, 100%, $E$9)</f>
        <v>13.135</v>
      </c>
      <c r="Q322" s="14">
        <f>CHOOSE(CONTROL!$C$42, 13.9099, 13.9099) * CHOOSE(CONTROL!$C$21, $C$9, 100%, $E$9)</f>
        <v>13.9099</v>
      </c>
      <c r="R322" s="14">
        <f>CHOOSE(CONTROL!$C$42, 14.5317, 14.5317) * CHOOSE(CONTROL!$C$21, $C$9, 100%, $E$9)</f>
        <v>14.531700000000001</v>
      </c>
      <c r="S322" s="14">
        <f>CHOOSE(CONTROL!$C$42, 12.8201, 12.8201) * CHOOSE(CONTROL!$C$21, $C$9, 100%, $E$9)</f>
        <v>12.8201</v>
      </c>
      <c r="T3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7">
        <f>(1000*CHOOSE(CONTROL!$C$42, 695, 695)*CHOOSE(CONTROL!$C$42, 0.5599, 0.5599)*CHOOSE(CONTROL!$C$42, 31, 31))/1000000</f>
        <v>12.063045499999998</v>
      </c>
      <c r="V322" s="57">
        <f>(1000*CHOOSE(CONTROL!$C$42, 500, 500)*CHOOSE(CONTROL!$C$42, 0.275, 0.275)*CHOOSE(CONTROL!$C$42, 31, 31))/1000000</f>
        <v>4.2625000000000002</v>
      </c>
      <c r="W322" s="57">
        <f>(1000*CHOOSE(CONTROL!$C$42, 0.1146, 0.1146)*CHOOSE(CONTROL!$C$42, 121.5, 121.5)*CHOOSE(CONTROL!$C$42, 31, 31))/1000000</f>
        <v>0.43164089999999994</v>
      </c>
      <c r="X322" s="57">
        <f>(31*0.1790888*245000/1000000)+(31*0.2374*100000/1000000)</f>
        <v>2.0961194359999999</v>
      </c>
      <c r="Y322" s="57"/>
      <c r="Z322" s="14"/>
      <c r="AA322" s="56"/>
      <c r="AB322" s="50">
        <f>(B322*131.881+C322*277.167+D322*79.08+E322*125.872+F322*40+G322*185+H322*0+I322*100+J322*300)/(131.881+277.167+79.08+125.872+0+40+185+100+300)</f>
        <v>13.39110655843422</v>
      </c>
      <c r="AC322" s="45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13.150532374100719</v>
      </c>
    </row>
    <row r="323" spans="1:29" ht="15.75" x14ac:dyDescent="0.25">
      <c r="A323" s="33">
        <v>50739</v>
      </c>
      <c r="B323" s="14">
        <f>CHOOSE(CONTROL!$C$42, 13.7021, 13.7021) * CHOOSE(CONTROL!$C$21, $C$9, 100%, $E$9)</f>
        <v>13.7021</v>
      </c>
      <c r="C323" s="14">
        <f>CHOOSE(CONTROL!$C$42, 13.7071, 13.7071) * CHOOSE(CONTROL!$C$21, $C$9, 100%, $E$9)</f>
        <v>13.707100000000001</v>
      </c>
      <c r="D323" s="14">
        <f>CHOOSE(CONTROL!$C$42, 13.7709, 13.7709) * CHOOSE(CONTROL!$C$21, $C$9, 100%, $E$9)</f>
        <v>13.770899999999999</v>
      </c>
      <c r="E323" s="14">
        <f>CHOOSE(CONTROL!$C$42, 13.8051, 13.8051) * CHOOSE(CONTROL!$C$21, $C$9, 100%, $E$9)</f>
        <v>13.805099999999999</v>
      </c>
      <c r="F323" s="14">
        <f>CHOOSE(CONTROL!$C$42, 13.7043, 13.7043)*CHOOSE(CONTROL!$C$21, $C$9, 100%, $E$9)</f>
        <v>13.7043</v>
      </c>
      <c r="G323" s="14">
        <f>CHOOSE(CONTROL!$C$42, 13.721, 13.721)*CHOOSE(CONTROL!$C$21, $C$9, 100%, $E$9)</f>
        <v>13.721</v>
      </c>
      <c r="H323" s="14">
        <f>CHOOSE(CONTROL!$C$42, 13.7942, 13.7942) * CHOOSE(CONTROL!$C$21, $C$9, 100%, $E$9)</f>
        <v>13.7942</v>
      </c>
      <c r="I323" s="14">
        <f>CHOOSE(CONTROL!$C$42, 13.7589, 13.7589)* CHOOSE(CONTROL!$C$21, $C$9, 100%, $E$9)</f>
        <v>13.758900000000001</v>
      </c>
      <c r="J323" s="14">
        <f>CHOOSE(CONTROL!$C$42, 13.6973, 13.6973)* CHOOSE(CONTROL!$C$21, $C$9, 100%, $E$9)</f>
        <v>13.6973</v>
      </c>
      <c r="K323" s="53">
        <f>CHOOSE(CONTROL!$C$42, 13.755, 13.755) * CHOOSE(CONTROL!$C$21, $C$9, 100%, $E$9)</f>
        <v>13.755000000000001</v>
      </c>
      <c r="L323" s="14">
        <f>CHOOSE(CONTROL!$C$42, 14.3812, 14.3812) * CHOOSE(CONTROL!$C$21, $C$9, 100%, $E$9)</f>
        <v>14.3812</v>
      </c>
      <c r="M323" s="14">
        <f>CHOOSE(CONTROL!$C$42, 13.4244, 13.4244) * CHOOSE(CONTROL!$C$21, $C$9, 100%, $E$9)</f>
        <v>13.4244</v>
      </c>
      <c r="N323" s="14">
        <f>CHOOSE(CONTROL!$C$42, 13.4407, 13.4407) * CHOOSE(CONTROL!$C$21, $C$9, 100%, $E$9)</f>
        <v>13.4407</v>
      </c>
      <c r="O323" s="14">
        <f>CHOOSE(CONTROL!$C$42, 13.5193, 13.5193) * CHOOSE(CONTROL!$C$21, $C$9, 100%, $E$9)</f>
        <v>13.519299999999999</v>
      </c>
      <c r="P323" s="14">
        <f>CHOOSE(CONTROL!$C$42, 13.4839, 13.4839) * CHOOSE(CONTROL!$C$21, $C$9, 100%, $E$9)</f>
        <v>13.4839</v>
      </c>
      <c r="Q323" s="14">
        <f>CHOOSE(CONTROL!$C$42, 14.114, 14.114) * CHOOSE(CONTROL!$C$21, $C$9, 100%, $E$9)</f>
        <v>14.114000000000001</v>
      </c>
      <c r="R323" s="14">
        <f>CHOOSE(CONTROL!$C$42, 14.7363, 14.7363) * CHOOSE(CONTROL!$C$21, $C$9, 100%, $E$9)</f>
        <v>14.7363</v>
      </c>
      <c r="S323" s="14">
        <f>CHOOSE(CONTROL!$C$42, 13.1578, 13.1578) * CHOOSE(CONTROL!$C$21, $C$9, 100%, $E$9)</f>
        <v>13.1578</v>
      </c>
      <c r="T3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7">
        <f>(1000*CHOOSE(CONTROL!$C$42, 695, 695)*CHOOSE(CONTROL!$C$42, 0.5599, 0.5599)*CHOOSE(CONTROL!$C$42, 30, 30))/1000000</f>
        <v>11.673914999999997</v>
      </c>
      <c r="V323" s="57">
        <f>(1000*CHOOSE(CONTROL!$C$42, 500, 500)*CHOOSE(CONTROL!$C$42, 0.275, 0.275)*CHOOSE(CONTROL!$C$42, 30, 30))/1000000</f>
        <v>4.125</v>
      </c>
      <c r="W323" s="57">
        <f>(1000*CHOOSE(CONTROL!$C$42, 0.1146, 0.1146)*CHOOSE(CONTROL!$C$42, 121.5, 121.5)*CHOOSE(CONTROL!$C$42, 30, 30))/1000000</f>
        <v>0.417717</v>
      </c>
      <c r="X323" s="57">
        <f>(30*0.1790888*100000/1000000)+(30*0.2374*100000/1000000)</f>
        <v>1.2494664</v>
      </c>
      <c r="Y323" s="57"/>
      <c r="Z323" s="14"/>
      <c r="AA323" s="56"/>
      <c r="AB323" s="50">
        <f>(B323*122.58+C323*297.941+D323*89.177+E323*40.302+F323*40+G323*160+H323*0+I323*100+J323*300)/(122.58+297.941+89.177+40.302+0+40+160+100+300)</f>
        <v>13.718733207478261</v>
      </c>
      <c r="AC323" s="45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13.476911510791366</v>
      </c>
    </row>
    <row r="324" spans="1:29" ht="15.75" x14ac:dyDescent="0.25">
      <c r="A324" s="33">
        <v>50770</v>
      </c>
      <c r="B324" s="14">
        <f>CHOOSE(CONTROL!$C$42, 14.6356, 14.6356) * CHOOSE(CONTROL!$C$21, $C$9, 100%, $E$9)</f>
        <v>14.6356</v>
      </c>
      <c r="C324" s="14">
        <f>CHOOSE(CONTROL!$C$42, 14.6407, 14.6407) * CHOOSE(CONTROL!$C$21, $C$9, 100%, $E$9)</f>
        <v>14.640700000000001</v>
      </c>
      <c r="D324" s="14">
        <f>CHOOSE(CONTROL!$C$42, 14.7045, 14.7045) * CHOOSE(CONTROL!$C$21, $C$9, 100%, $E$9)</f>
        <v>14.704499999999999</v>
      </c>
      <c r="E324" s="14">
        <f>CHOOSE(CONTROL!$C$42, 14.7386, 14.7386) * CHOOSE(CONTROL!$C$21, $C$9, 100%, $E$9)</f>
        <v>14.7386</v>
      </c>
      <c r="F324" s="14">
        <f>CHOOSE(CONTROL!$C$42, 14.6399, 14.6399)*CHOOSE(CONTROL!$C$21, $C$9, 100%, $E$9)</f>
        <v>14.639900000000001</v>
      </c>
      <c r="G324" s="14">
        <f>CHOOSE(CONTROL!$C$42, 14.6571, 14.6571)*CHOOSE(CONTROL!$C$21, $C$9, 100%, $E$9)</f>
        <v>14.6571</v>
      </c>
      <c r="H324" s="14">
        <f>CHOOSE(CONTROL!$C$42, 14.7278, 14.7278) * CHOOSE(CONTROL!$C$21, $C$9, 100%, $E$9)</f>
        <v>14.7278</v>
      </c>
      <c r="I324" s="14">
        <f>CHOOSE(CONTROL!$C$42, 14.6953, 14.6953)* CHOOSE(CONTROL!$C$21, $C$9, 100%, $E$9)</f>
        <v>14.6953</v>
      </c>
      <c r="J324" s="14">
        <f>CHOOSE(CONTROL!$C$42, 14.6329, 14.6329)* CHOOSE(CONTROL!$C$21, $C$9, 100%, $E$9)</f>
        <v>14.632899999999999</v>
      </c>
      <c r="K324" s="53">
        <f>CHOOSE(CONTROL!$C$42, 14.6914, 14.6914) * CHOOSE(CONTROL!$C$21, $C$9, 100%, $E$9)</f>
        <v>14.6914</v>
      </c>
      <c r="L324" s="14">
        <f>CHOOSE(CONTROL!$C$42, 15.3148, 15.3148) * CHOOSE(CONTROL!$C$21, $C$9, 100%, $E$9)</f>
        <v>15.3148</v>
      </c>
      <c r="M324" s="14">
        <f>CHOOSE(CONTROL!$C$42, 14.3408, 14.3408) * CHOOSE(CONTROL!$C$21, $C$9, 100%, $E$9)</f>
        <v>14.3408</v>
      </c>
      <c r="N324" s="14">
        <f>CHOOSE(CONTROL!$C$42, 14.3576, 14.3576) * CHOOSE(CONTROL!$C$21, $C$9, 100%, $E$9)</f>
        <v>14.3576</v>
      </c>
      <c r="O324" s="14">
        <f>CHOOSE(CONTROL!$C$42, 14.4337, 14.4337) * CHOOSE(CONTROL!$C$21, $C$9, 100%, $E$9)</f>
        <v>14.4337</v>
      </c>
      <c r="P324" s="14">
        <f>CHOOSE(CONTROL!$C$42, 14.4011, 14.4011) * CHOOSE(CONTROL!$C$21, $C$9, 100%, $E$9)</f>
        <v>14.4011</v>
      </c>
      <c r="Q324" s="14">
        <f>CHOOSE(CONTROL!$C$42, 15.0284, 15.0284) * CHOOSE(CONTROL!$C$21, $C$9, 100%, $E$9)</f>
        <v>15.0284</v>
      </c>
      <c r="R324" s="14">
        <f>CHOOSE(CONTROL!$C$42, 15.653, 15.653) * CHOOSE(CONTROL!$C$21, $C$9, 100%, $E$9)</f>
        <v>15.653</v>
      </c>
      <c r="S324" s="14">
        <f>CHOOSE(CONTROL!$C$42, 14.0548, 14.0548) * CHOOSE(CONTROL!$C$21, $C$9, 100%, $E$9)</f>
        <v>14.0548</v>
      </c>
      <c r="T3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7">
        <f>(1000*CHOOSE(CONTROL!$C$42, 695, 695)*CHOOSE(CONTROL!$C$42, 0.5599, 0.5599)*CHOOSE(CONTROL!$C$42, 31, 31))/1000000</f>
        <v>12.063045499999998</v>
      </c>
      <c r="V324" s="57">
        <f>(1000*CHOOSE(CONTROL!$C$42, 500, 500)*CHOOSE(CONTROL!$C$42, 0.275, 0.275)*CHOOSE(CONTROL!$C$42, 31, 31))/1000000</f>
        <v>4.2625000000000002</v>
      </c>
      <c r="W324" s="57">
        <f>(1000*CHOOSE(CONTROL!$C$42, 0.1146, 0.1146)*CHOOSE(CONTROL!$C$42, 121.5, 121.5)*CHOOSE(CONTROL!$C$42, 31, 31))/1000000</f>
        <v>0.43164089999999994</v>
      </c>
      <c r="X324" s="57">
        <f>(31*0.1790888*100000/1000000)+(31*0.2374*100000/1000000)</f>
        <v>1.2911152800000001</v>
      </c>
      <c r="Y324" s="57"/>
      <c r="Z324" s="14"/>
      <c r="AA324" s="56"/>
      <c r="AB324" s="50">
        <f>(B324*122.58+C324*297.941+D324*89.177+E324*40.302+F324*40+G324*160+H324*0+I324*100+J324*300)/(122.58+297.941+89.177+40.302+0+40+160+100+300)</f>
        <v>14.65350165252174</v>
      </c>
      <c r="AC324" s="45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14.392548920863309</v>
      </c>
    </row>
    <row r="325" spans="1:29" ht="15.75" x14ac:dyDescent="0.25">
      <c r="A325" s="33">
        <v>50801</v>
      </c>
      <c r="B325" s="14">
        <f>CHOOSE(CONTROL!$C$42, 15.8337, 15.8337) * CHOOSE(CONTROL!$C$21, $C$9, 100%, $E$9)</f>
        <v>15.8337</v>
      </c>
      <c r="C325" s="14">
        <f>CHOOSE(CONTROL!$C$42, 15.8387, 15.8387) * CHOOSE(CONTROL!$C$21, $C$9, 100%, $E$9)</f>
        <v>15.838699999999999</v>
      </c>
      <c r="D325" s="14">
        <f>CHOOSE(CONTROL!$C$42, 15.8973, 15.8973) * CHOOSE(CONTROL!$C$21, $C$9, 100%, $E$9)</f>
        <v>15.8973</v>
      </c>
      <c r="E325" s="14">
        <f>CHOOSE(CONTROL!$C$42, 15.9315, 15.9315) * CHOOSE(CONTROL!$C$21, $C$9, 100%, $E$9)</f>
        <v>15.9315</v>
      </c>
      <c r="F325" s="14">
        <f>CHOOSE(CONTROL!$C$42, 15.8328, 15.8328)*CHOOSE(CONTROL!$C$21, $C$9, 100%, $E$9)</f>
        <v>15.832800000000001</v>
      </c>
      <c r="G325" s="14">
        <f>CHOOSE(CONTROL!$C$42, 15.8492, 15.8492)*CHOOSE(CONTROL!$C$21, $C$9, 100%, $E$9)</f>
        <v>15.8492</v>
      </c>
      <c r="H325" s="14">
        <f>CHOOSE(CONTROL!$C$42, 15.9207, 15.9207) * CHOOSE(CONTROL!$C$21, $C$9, 100%, $E$9)</f>
        <v>15.9207</v>
      </c>
      <c r="I325" s="14">
        <f>CHOOSE(CONTROL!$C$42, 15.8935, 15.8935)* CHOOSE(CONTROL!$C$21, $C$9, 100%, $E$9)</f>
        <v>15.8935</v>
      </c>
      <c r="J325" s="14">
        <f>CHOOSE(CONTROL!$C$42, 15.8258, 15.8258)* CHOOSE(CONTROL!$C$21, $C$9, 100%, $E$9)</f>
        <v>15.825799999999999</v>
      </c>
      <c r="K325" s="53">
        <f>CHOOSE(CONTROL!$C$42, 15.8896, 15.8896) * CHOOSE(CONTROL!$C$21, $C$9, 100%, $E$9)</f>
        <v>15.8896</v>
      </c>
      <c r="L325" s="14">
        <f>CHOOSE(CONTROL!$C$42, 16.5077, 16.5077) * CHOOSE(CONTROL!$C$21, $C$9, 100%, $E$9)</f>
        <v>16.5077</v>
      </c>
      <c r="M325" s="14">
        <f>CHOOSE(CONTROL!$C$42, 15.5092, 15.5092) * CHOOSE(CONTROL!$C$21, $C$9, 100%, $E$9)</f>
        <v>15.5092</v>
      </c>
      <c r="N325" s="14">
        <f>CHOOSE(CONTROL!$C$42, 15.5253, 15.5253) * CHOOSE(CONTROL!$C$21, $C$9, 100%, $E$9)</f>
        <v>15.5253</v>
      </c>
      <c r="O325" s="14">
        <f>CHOOSE(CONTROL!$C$42, 15.6021, 15.6021) * CHOOSE(CONTROL!$C$21, $C$9, 100%, $E$9)</f>
        <v>15.6021</v>
      </c>
      <c r="P325" s="14">
        <f>CHOOSE(CONTROL!$C$42, 15.5746, 15.5746) * CHOOSE(CONTROL!$C$21, $C$9, 100%, $E$9)</f>
        <v>15.5746</v>
      </c>
      <c r="Q325" s="14">
        <f>CHOOSE(CONTROL!$C$42, 16.1968, 16.1968) * CHOOSE(CONTROL!$C$21, $C$9, 100%, $E$9)</f>
        <v>16.1968</v>
      </c>
      <c r="R325" s="14">
        <f>CHOOSE(CONTROL!$C$42, 16.8243, 16.8243) * CHOOSE(CONTROL!$C$21, $C$9, 100%, $E$9)</f>
        <v>16.824300000000001</v>
      </c>
      <c r="S325" s="14">
        <f>CHOOSE(CONTROL!$C$42, 15.206, 15.206) * CHOOSE(CONTROL!$C$21, $C$9, 100%, $E$9)</f>
        <v>15.206</v>
      </c>
      <c r="T3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7">
        <f>(1000*CHOOSE(CONTROL!$C$42, 695, 695)*CHOOSE(CONTROL!$C$42, 0.5599, 0.5599)*CHOOSE(CONTROL!$C$42, 31, 31))/1000000</f>
        <v>12.063045499999998</v>
      </c>
      <c r="V325" s="57">
        <f>(1000*CHOOSE(CONTROL!$C$42, 500, 500)*CHOOSE(CONTROL!$C$42, 0.275, 0.275)*CHOOSE(CONTROL!$C$42, 31, 31))/1000000</f>
        <v>4.2625000000000002</v>
      </c>
      <c r="W325" s="57">
        <f>(1000*CHOOSE(CONTROL!$C$42, 0.1146, 0.1146)*CHOOSE(CONTROL!$C$42, 121.5, 121.5)*CHOOSE(CONTROL!$C$42, 31, 31))/1000000</f>
        <v>0.43164089999999994</v>
      </c>
      <c r="X325" s="57">
        <f>(31*0.1790888*100000/1000000)+(31*0.2374*100000/1000000)</f>
        <v>1.2911152800000001</v>
      </c>
      <c r="Y325" s="57"/>
      <c r="Z325" s="14"/>
      <c r="AA325" s="56"/>
      <c r="AB325" s="50">
        <f>(B325*122.58+C325*297.941+D325*89.177+E325*40.302+F325*40+G325*160+H325*0+I325*100+J325*300)/(122.58+297.941+89.177+40.302+0+40+160+100+300)</f>
        <v>15.848619041565215</v>
      </c>
      <c r="AC325" s="45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15.561642446043164</v>
      </c>
    </row>
    <row r="326" spans="1:29" ht="15.75" x14ac:dyDescent="0.25">
      <c r="A326" s="33">
        <v>50829</v>
      </c>
      <c r="B326" s="14">
        <f>CHOOSE(CONTROL!$C$42, 16.1154, 16.1154) * CHOOSE(CONTROL!$C$21, $C$9, 100%, $E$9)</f>
        <v>16.115400000000001</v>
      </c>
      <c r="C326" s="14">
        <f>CHOOSE(CONTROL!$C$42, 16.1204, 16.1204) * CHOOSE(CONTROL!$C$21, $C$9, 100%, $E$9)</f>
        <v>16.1204</v>
      </c>
      <c r="D326" s="14">
        <f>CHOOSE(CONTROL!$C$42, 16.179, 16.179) * CHOOSE(CONTROL!$C$21, $C$9, 100%, $E$9)</f>
        <v>16.178999999999998</v>
      </c>
      <c r="E326" s="14">
        <f>CHOOSE(CONTROL!$C$42, 16.2131, 16.2131) * CHOOSE(CONTROL!$C$21, $C$9, 100%, $E$9)</f>
        <v>16.213100000000001</v>
      </c>
      <c r="F326" s="14">
        <f>CHOOSE(CONTROL!$C$42, 16.1144, 16.1144)*CHOOSE(CONTROL!$C$21, $C$9, 100%, $E$9)</f>
        <v>16.1144</v>
      </c>
      <c r="G326" s="14">
        <f>CHOOSE(CONTROL!$C$42, 16.1308, 16.1308)*CHOOSE(CONTROL!$C$21, $C$9, 100%, $E$9)</f>
        <v>16.130800000000001</v>
      </c>
      <c r="H326" s="14">
        <f>CHOOSE(CONTROL!$C$42, 16.2023, 16.2023) * CHOOSE(CONTROL!$C$21, $C$9, 100%, $E$9)</f>
        <v>16.202300000000001</v>
      </c>
      <c r="I326" s="14">
        <f>CHOOSE(CONTROL!$C$42, 16.1761, 16.1761)* CHOOSE(CONTROL!$C$21, $C$9, 100%, $E$9)</f>
        <v>16.176100000000002</v>
      </c>
      <c r="J326" s="14">
        <f>CHOOSE(CONTROL!$C$42, 16.1074, 16.1074)* CHOOSE(CONTROL!$C$21, $C$9, 100%, $E$9)</f>
        <v>16.107399999999998</v>
      </c>
      <c r="K326" s="53">
        <f>CHOOSE(CONTROL!$C$42, 16.1722, 16.1722) * CHOOSE(CONTROL!$C$21, $C$9, 100%, $E$9)</f>
        <v>16.1722</v>
      </c>
      <c r="L326" s="14">
        <f>CHOOSE(CONTROL!$C$42, 16.7893, 16.7893) * CHOOSE(CONTROL!$C$21, $C$9, 100%, $E$9)</f>
        <v>16.789300000000001</v>
      </c>
      <c r="M326" s="14">
        <f>CHOOSE(CONTROL!$C$42, 15.7851, 15.7851) * CHOOSE(CONTROL!$C$21, $C$9, 100%, $E$9)</f>
        <v>15.7851</v>
      </c>
      <c r="N326" s="14">
        <f>CHOOSE(CONTROL!$C$42, 15.8011, 15.8011) * CHOOSE(CONTROL!$C$21, $C$9, 100%, $E$9)</f>
        <v>15.8011</v>
      </c>
      <c r="O326" s="14">
        <f>CHOOSE(CONTROL!$C$42, 15.8781, 15.8781) * CHOOSE(CONTROL!$C$21, $C$9, 100%, $E$9)</f>
        <v>15.8781</v>
      </c>
      <c r="P326" s="14">
        <f>CHOOSE(CONTROL!$C$42, 15.8514, 15.8514) * CHOOSE(CONTROL!$C$21, $C$9, 100%, $E$9)</f>
        <v>15.8514</v>
      </c>
      <c r="Q326" s="14">
        <f>CHOOSE(CONTROL!$C$42, 16.4728, 16.4728) * CHOOSE(CONTROL!$C$21, $C$9, 100%, $E$9)</f>
        <v>16.472799999999999</v>
      </c>
      <c r="R326" s="14">
        <f>CHOOSE(CONTROL!$C$42, 17.1009, 17.1009) * CHOOSE(CONTROL!$C$21, $C$9, 100%, $E$9)</f>
        <v>17.100899999999999</v>
      </c>
      <c r="S326" s="14">
        <f>CHOOSE(CONTROL!$C$42, 15.4767, 15.4767) * CHOOSE(CONTROL!$C$21, $C$9, 100%, $E$9)</f>
        <v>15.476699999999999</v>
      </c>
      <c r="T3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7">
        <f>(1000*CHOOSE(CONTROL!$C$42, 695, 695)*CHOOSE(CONTROL!$C$42, 0.5599, 0.5599)*CHOOSE(CONTROL!$C$42, 28, 28))/1000000</f>
        <v>10.895653999999999</v>
      </c>
      <c r="V326" s="57">
        <f>(1000*CHOOSE(CONTROL!$C$42, 500, 500)*CHOOSE(CONTROL!$C$42, 0.275, 0.275)*CHOOSE(CONTROL!$C$42, 28, 28))/1000000</f>
        <v>3.85</v>
      </c>
      <c r="W326" s="57">
        <f>(1000*CHOOSE(CONTROL!$C$42, 0.1146, 0.1146)*CHOOSE(CONTROL!$C$42, 121.5, 121.5)*CHOOSE(CONTROL!$C$42, 28, 28))/1000000</f>
        <v>0.38986920000000003</v>
      </c>
      <c r="X326" s="57">
        <f>(28*0.1790888*100000/1000000)+(28*0.2374*100000/1000000)</f>
        <v>1.16616864</v>
      </c>
      <c r="Y326" s="57"/>
      <c r="Z326" s="14"/>
      <c r="AA326" s="56"/>
      <c r="AB326" s="50">
        <f>(B326*122.58+C326*297.941+D326*89.177+E326*40.302+F326*40+G326*160+H326*0+I326*100+J326*300)/(122.58+297.941+89.177+40.302+0+40+160+100+300)</f>
        <v>16.130350319652177</v>
      </c>
      <c r="AC326" s="45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15.837711510791365</v>
      </c>
    </row>
    <row r="327" spans="1:29" ht="15.75" x14ac:dyDescent="0.25">
      <c r="A327" s="33">
        <v>50860</v>
      </c>
      <c r="B327" s="14">
        <f>CHOOSE(CONTROL!$C$42, 15.6581, 15.6581) * CHOOSE(CONTROL!$C$21, $C$9, 100%, $E$9)</f>
        <v>15.658099999999999</v>
      </c>
      <c r="C327" s="14">
        <f>CHOOSE(CONTROL!$C$42, 15.6632, 15.6632) * CHOOSE(CONTROL!$C$21, $C$9, 100%, $E$9)</f>
        <v>15.6632</v>
      </c>
      <c r="D327" s="14">
        <f>CHOOSE(CONTROL!$C$42, 15.7218, 15.7218) * CHOOSE(CONTROL!$C$21, $C$9, 100%, $E$9)</f>
        <v>15.7218</v>
      </c>
      <c r="E327" s="14">
        <f>CHOOSE(CONTROL!$C$42, 15.7559, 15.7559) * CHOOSE(CONTROL!$C$21, $C$9, 100%, $E$9)</f>
        <v>15.7559</v>
      </c>
      <c r="F327" s="14">
        <f>CHOOSE(CONTROL!$C$42, 15.6567, 15.6567)*CHOOSE(CONTROL!$C$21, $C$9, 100%, $E$9)</f>
        <v>15.656700000000001</v>
      </c>
      <c r="G327" s="14">
        <f>CHOOSE(CONTROL!$C$42, 15.6729, 15.6729)*CHOOSE(CONTROL!$C$21, $C$9, 100%, $E$9)</f>
        <v>15.6729</v>
      </c>
      <c r="H327" s="14">
        <f>CHOOSE(CONTROL!$C$42, 15.7451, 15.7451) * CHOOSE(CONTROL!$C$21, $C$9, 100%, $E$9)</f>
        <v>15.745100000000001</v>
      </c>
      <c r="I327" s="14">
        <f>CHOOSE(CONTROL!$C$42, 15.7174, 15.7174)* CHOOSE(CONTROL!$C$21, $C$9, 100%, $E$9)</f>
        <v>15.7174</v>
      </c>
      <c r="J327" s="14">
        <f>CHOOSE(CONTROL!$C$42, 15.6497, 15.6497)* CHOOSE(CONTROL!$C$21, $C$9, 100%, $E$9)</f>
        <v>15.649699999999999</v>
      </c>
      <c r="K327" s="53">
        <f>CHOOSE(CONTROL!$C$42, 15.7135, 15.7135) * CHOOSE(CONTROL!$C$21, $C$9, 100%, $E$9)</f>
        <v>15.7135</v>
      </c>
      <c r="L327" s="14">
        <f>CHOOSE(CONTROL!$C$42, 16.3321, 16.3321) * CHOOSE(CONTROL!$C$21, $C$9, 100%, $E$9)</f>
        <v>16.332100000000001</v>
      </c>
      <c r="M327" s="14">
        <f>CHOOSE(CONTROL!$C$42, 15.3367, 15.3367) * CHOOSE(CONTROL!$C$21, $C$9, 100%, $E$9)</f>
        <v>15.3367</v>
      </c>
      <c r="N327" s="14">
        <f>CHOOSE(CONTROL!$C$42, 15.3526, 15.3526) * CHOOSE(CONTROL!$C$21, $C$9, 100%, $E$9)</f>
        <v>15.352600000000001</v>
      </c>
      <c r="O327" s="14">
        <f>CHOOSE(CONTROL!$C$42, 15.4302, 15.4302) * CHOOSE(CONTROL!$C$21, $C$9, 100%, $E$9)</f>
        <v>15.430199999999999</v>
      </c>
      <c r="P327" s="14">
        <f>CHOOSE(CONTROL!$C$42, 15.4021, 15.4021) * CHOOSE(CONTROL!$C$21, $C$9, 100%, $E$9)</f>
        <v>15.402100000000001</v>
      </c>
      <c r="Q327" s="14">
        <f>CHOOSE(CONTROL!$C$42, 16.0249, 16.0249) * CHOOSE(CONTROL!$C$21, $C$9, 100%, $E$9)</f>
        <v>16.024899999999999</v>
      </c>
      <c r="R327" s="14">
        <f>CHOOSE(CONTROL!$C$42, 16.6519, 16.6519) * CHOOSE(CONTROL!$C$21, $C$9, 100%, $E$9)</f>
        <v>16.651900000000001</v>
      </c>
      <c r="S327" s="14">
        <f>CHOOSE(CONTROL!$C$42, 15.0373, 15.0373) * CHOOSE(CONTROL!$C$21, $C$9, 100%, $E$9)</f>
        <v>15.0373</v>
      </c>
      <c r="T3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7">
        <f>(1000*CHOOSE(CONTROL!$C$42, 695, 695)*CHOOSE(CONTROL!$C$42, 0.5599, 0.5599)*CHOOSE(CONTROL!$C$42, 31, 31))/1000000</f>
        <v>12.063045499999998</v>
      </c>
      <c r="V327" s="57">
        <f>(1000*CHOOSE(CONTROL!$C$42, 500, 500)*CHOOSE(CONTROL!$C$42, 0.275, 0.275)*CHOOSE(CONTROL!$C$42, 31, 31))/1000000</f>
        <v>4.2625000000000002</v>
      </c>
      <c r="W327" s="57">
        <f>(1000*CHOOSE(CONTROL!$C$42, 0.1146, 0.1146)*CHOOSE(CONTROL!$C$42, 121.5, 121.5)*CHOOSE(CONTROL!$C$42, 31, 31))/1000000</f>
        <v>0.43164089999999994</v>
      </c>
      <c r="X327" s="57">
        <f>(31*0.1790888*100000/1000000)+(31*0.2374*100000/1000000)</f>
        <v>1.2911152800000001</v>
      </c>
      <c r="Y327" s="57"/>
      <c r="Z327" s="14"/>
      <c r="AA327" s="56"/>
      <c r="AB327" s="50">
        <f>(B327*122.58+C327*297.941+D327*89.177+E327*40.302+F327*40+G327*160+H327*0+I327*100+J327*300)/(122.58+297.941+89.177+40.302+0+40+160+100+300)</f>
        <v>15.672764008347826</v>
      </c>
      <c r="AC327" s="45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15.38940287769784</v>
      </c>
    </row>
    <row r="328" spans="1:29" ht="15.75" x14ac:dyDescent="0.25">
      <c r="A328" s="33">
        <v>50890</v>
      </c>
      <c r="B328" s="14">
        <f>CHOOSE(CONTROL!$C$42, 15.6124, 15.6124) * CHOOSE(CONTROL!$C$21, $C$9, 100%, $E$9)</f>
        <v>15.612399999999999</v>
      </c>
      <c r="C328" s="14">
        <f>CHOOSE(CONTROL!$C$42, 15.6169, 15.6169) * CHOOSE(CONTROL!$C$21, $C$9, 100%, $E$9)</f>
        <v>15.616899999999999</v>
      </c>
      <c r="D328" s="14">
        <f>CHOOSE(CONTROL!$C$42, 15.825, 15.825) * CHOOSE(CONTROL!$C$21, $C$9, 100%, $E$9)</f>
        <v>15.824999999999999</v>
      </c>
      <c r="E328" s="14">
        <f>CHOOSE(CONTROL!$C$42, 15.8571, 15.8571) * CHOOSE(CONTROL!$C$21, $C$9, 100%, $E$9)</f>
        <v>15.857100000000001</v>
      </c>
      <c r="F328" s="14">
        <f>CHOOSE(CONTROL!$C$42, 15.5998, 15.5998)*CHOOSE(CONTROL!$C$21, $C$9, 100%, $E$9)</f>
        <v>15.5998</v>
      </c>
      <c r="G328" s="14">
        <f>CHOOSE(CONTROL!$C$42, 15.6157, 15.6157)*CHOOSE(CONTROL!$C$21, $C$9, 100%, $E$9)</f>
        <v>15.6157</v>
      </c>
      <c r="H328" s="14">
        <f>CHOOSE(CONTROL!$C$42, 15.8469, 15.8469) * CHOOSE(CONTROL!$C$21, $C$9, 100%, $E$9)</f>
        <v>15.8469</v>
      </c>
      <c r="I328" s="14">
        <f>CHOOSE(CONTROL!$C$42, 15.6708, 15.6708)* CHOOSE(CONTROL!$C$21, $C$9, 100%, $E$9)</f>
        <v>15.6708</v>
      </c>
      <c r="J328" s="14">
        <f>CHOOSE(CONTROL!$C$42, 15.5928, 15.5928)* CHOOSE(CONTROL!$C$21, $C$9, 100%, $E$9)</f>
        <v>15.5928</v>
      </c>
      <c r="K328" s="53">
        <f>CHOOSE(CONTROL!$C$42, 15.6669, 15.6669) * CHOOSE(CONTROL!$C$21, $C$9, 100%, $E$9)</f>
        <v>15.6669</v>
      </c>
      <c r="L328" s="14">
        <f>CHOOSE(CONTROL!$C$42, 16.4339, 16.4339) * CHOOSE(CONTROL!$C$21, $C$9, 100%, $E$9)</f>
        <v>16.433900000000001</v>
      </c>
      <c r="M328" s="14">
        <f>CHOOSE(CONTROL!$C$42, 15.281, 15.281) * CHOOSE(CONTROL!$C$21, $C$9, 100%, $E$9)</f>
        <v>15.281000000000001</v>
      </c>
      <c r="N328" s="14">
        <f>CHOOSE(CONTROL!$C$42, 15.2966, 15.2966) * CHOOSE(CONTROL!$C$21, $C$9, 100%, $E$9)</f>
        <v>15.2966</v>
      </c>
      <c r="O328" s="14">
        <f>CHOOSE(CONTROL!$C$42, 15.5299, 15.5299) * CHOOSE(CONTROL!$C$21, $C$9, 100%, $E$9)</f>
        <v>15.5299</v>
      </c>
      <c r="P328" s="14">
        <f>CHOOSE(CONTROL!$C$42, 15.3565, 15.3565) * CHOOSE(CONTROL!$C$21, $C$9, 100%, $E$9)</f>
        <v>15.3565</v>
      </c>
      <c r="Q328" s="14">
        <f>CHOOSE(CONTROL!$C$42, 16.1246, 16.1246) * CHOOSE(CONTROL!$C$21, $C$9, 100%, $E$9)</f>
        <v>16.124600000000001</v>
      </c>
      <c r="R328" s="14">
        <f>CHOOSE(CONTROL!$C$42, 16.7519, 16.7519) * CHOOSE(CONTROL!$C$21, $C$9, 100%, $E$9)</f>
        <v>16.751899999999999</v>
      </c>
      <c r="S328" s="14">
        <f>CHOOSE(CONTROL!$C$42, 14.9927, 14.9927) * CHOOSE(CONTROL!$C$21, $C$9, 100%, $E$9)</f>
        <v>14.992699999999999</v>
      </c>
      <c r="T3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7">
        <f>(1000*CHOOSE(CONTROL!$C$42, 695, 695)*CHOOSE(CONTROL!$C$42, 0.5599, 0.5599)*CHOOSE(CONTROL!$C$42, 30, 30))/1000000</f>
        <v>11.673914999999997</v>
      </c>
      <c r="V328" s="57">
        <f>(1000*CHOOSE(CONTROL!$C$42, 500, 500)*CHOOSE(CONTROL!$C$42, 0.275, 0.275)*CHOOSE(CONTROL!$C$42, 30, 30))/1000000</f>
        <v>4.125</v>
      </c>
      <c r="W328" s="57">
        <f>(1000*CHOOSE(CONTROL!$C$42, 0.1146, 0.1146)*CHOOSE(CONTROL!$C$42, 121.5, 121.5)*CHOOSE(CONTROL!$C$42, 30, 30))/1000000</f>
        <v>0.417717</v>
      </c>
      <c r="X328" s="57">
        <f>(30*0.1790888*245000/1000000)+(30*0.2374*100000/1000000)</f>
        <v>2.0285026799999999</v>
      </c>
      <c r="Y328" s="57"/>
      <c r="Z328" s="14"/>
      <c r="AA328" s="56"/>
      <c r="AB328" s="50">
        <f>(B328*141.293+C328*267.993+D328*115.016+E328*89.698+F328*40+G328*185+H328*0+I328*100+J328*300)/(141.293+267.993+115.016+89.698+0+40+185+100+300)</f>
        <v>15.650877781033092</v>
      </c>
      <c r="AC328" s="45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15.365289928057555</v>
      </c>
    </row>
    <row r="329" spans="1:29" ht="15.75" x14ac:dyDescent="0.25">
      <c r="A329" s="33">
        <v>50921</v>
      </c>
      <c r="B329" s="14">
        <f>CHOOSE(CONTROL!$C$42, 15.7515, 15.7515) * CHOOSE(CONTROL!$C$21, $C$9, 100%, $E$9)</f>
        <v>15.7515</v>
      </c>
      <c r="C329" s="14">
        <f>CHOOSE(CONTROL!$C$42, 15.7596, 15.7596) * CHOOSE(CONTROL!$C$21, $C$9, 100%, $E$9)</f>
        <v>15.759600000000001</v>
      </c>
      <c r="D329" s="14">
        <f>CHOOSE(CONTROL!$C$42, 15.9645, 15.9645) * CHOOSE(CONTROL!$C$21, $C$9, 100%, $E$9)</f>
        <v>15.964499999999999</v>
      </c>
      <c r="E329" s="14">
        <f>CHOOSE(CONTROL!$C$42, 15.996, 15.996) * CHOOSE(CONTROL!$C$21, $C$9, 100%, $E$9)</f>
        <v>15.996</v>
      </c>
      <c r="F329" s="14">
        <f>CHOOSE(CONTROL!$C$42, 15.7377, 15.7377)*CHOOSE(CONTROL!$C$21, $C$9, 100%, $E$9)</f>
        <v>15.7377</v>
      </c>
      <c r="G329" s="14">
        <f>CHOOSE(CONTROL!$C$42, 15.7541, 15.7541)*CHOOSE(CONTROL!$C$21, $C$9, 100%, $E$9)</f>
        <v>15.754099999999999</v>
      </c>
      <c r="H329" s="14">
        <f>CHOOSE(CONTROL!$C$42, 15.9846, 15.9846) * CHOOSE(CONTROL!$C$21, $C$9, 100%, $E$9)</f>
        <v>15.9846</v>
      </c>
      <c r="I329" s="14">
        <f>CHOOSE(CONTROL!$C$42, 15.8089, 15.8089)* CHOOSE(CONTROL!$C$21, $C$9, 100%, $E$9)</f>
        <v>15.8089</v>
      </c>
      <c r="J329" s="14">
        <f>CHOOSE(CONTROL!$C$42, 15.7307, 15.7307)* CHOOSE(CONTROL!$C$21, $C$9, 100%, $E$9)</f>
        <v>15.730700000000001</v>
      </c>
      <c r="K329" s="53">
        <f>CHOOSE(CONTROL!$C$42, 15.805, 15.805) * CHOOSE(CONTROL!$C$21, $C$9, 100%, $E$9)</f>
        <v>15.805</v>
      </c>
      <c r="L329" s="14">
        <f>CHOOSE(CONTROL!$C$42, 16.5716, 16.5716) * CHOOSE(CONTROL!$C$21, $C$9, 100%, $E$9)</f>
        <v>16.5716</v>
      </c>
      <c r="M329" s="14">
        <f>CHOOSE(CONTROL!$C$42, 15.4161, 15.4161) * CHOOSE(CONTROL!$C$21, $C$9, 100%, $E$9)</f>
        <v>15.4161</v>
      </c>
      <c r="N329" s="14">
        <f>CHOOSE(CONTROL!$C$42, 15.4322, 15.4322) * CHOOSE(CONTROL!$C$21, $C$9, 100%, $E$9)</f>
        <v>15.4322</v>
      </c>
      <c r="O329" s="14">
        <f>CHOOSE(CONTROL!$C$42, 15.6648, 15.6648) * CHOOSE(CONTROL!$C$21, $C$9, 100%, $E$9)</f>
        <v>15.6648</v>
      </c>
      <c r="P329" s="14">
        <f>CHOOSE(CONTROL!$C$42, 15.4918, 15.4918) * CHOOSE(CONTROL!$C$21, $C$9, 100%, $E$9)</f>
        <v>15.4918</v>
      </c>
      <c r="Q329" s="14">
        <f>CHOOSE(CONTROL!$C$42, 16.2595, 16.2595) * CHOOSE(CONTROL!$C$21, $C$9, 100%, $E$9)</f>
        <v>16.259499999999999</v>
      </c>
      <c r="R329" s="14">
        <f>CHOOSE(CONTROL!$C$42, 16.8872, 16.8872) * CHOOSE(CONTROL!$C$21, $C$9, 100%, $E$9)</f>
        <v>16.8872</v>
      </c>
      <c r="S329" s="14">
        <f>CHOOSE(CONTROL!$C$42, 15.125, 15.125) * CHOOSE(CONTROL!$C$21, $C$9, 100%, $E$9)</f>
        <v>15.125</v>
      </c>
      <c r="T3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7">
        <f>(1000*CHOOSE(CONTROL!$C$42, 695, 695)*CHOOSE(CONTROL!$C$42, 0.5599, 0.5599)*CHOOSE(CONTROL!$C$42, 31, 31))/1000000</f>
        <v>12.063045499999998</v>
      </c>
      <c r="V329" s="57">
        <f>(1000*CHOOSE(CONTROL!$C$42, 500, 500)*CHOOSE(CONTROL!$C$42, 0.275, 0.275)*CHOOSE(CONTROL!$C$42, 31, 31))/1000000</f>
        <v>4.2625000000000002</v>
      </c>
      <c r="W329" s="57">
        <f>(1000*CHOOSE(CONTROL!$C$42, 0.1146, 0.1146)*CHOOSE(CONTROL!$C$42, 121.5, 121.5)*CHOOSE(CONTROL!$C$42, 31, 31))/1000000</f>
        <v>0.43164089999999994</v>
      </c>
      <c r="X329" s="57">
        <f>(31*0.1790888*245000/1000000)+(31*0.2374*100000/1000000)</f>
        <v>2.0961194359999999</v>
      </c>
      <c r="Y329" s="57"/>
      <c r="Z329" s="14"/>
      <c r="AA329" s="56"/>
      <c r="AB329" s="50">
        <f>(B329*194.205+C329*267.466+D329*133.845+E329*53.484+F329*40+G329*185+H329*0+I329*100+J329*300)/(194.205+267.466+133.845+53.484+0+40+185+100+300)</f>
        <v>15.785394268131869</v>
      </c>
      <c r="AC329" s="45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15.500477697841728</v>
      </c>
    </row>
    <row r="330" spans="1:29" ht="15.75" x14ac:dyDescent="0.25">
      <c r="A330" s="33">
        <v>50951</v>
      </c>
      <c r="B330" s="14">
        <f>CHOOSE(CONTROL!$C$42, 16.198, 16.198) * CHOOSE(CONTROL!$C$21, $C$9, 100%, $E$9)</f>
        <v>16.198</v>
      </c>
      <c r="C330" s="14">
        <f>CHOOSE(CONTROL!$C$42, 16.206, 16.206) * CHOOSE(CONTROL!$C$21, $C$9, 100%, $E$9)</f>
        <v>16.206</v>
      </c>
      <c r="D330" s="14">
        <f>CHOOSE(CONTROL!$C$42, 16.411, 16.411) * CHOOSE(CONTROL!$C$21, $C$9, 100%, $E$9)</f>
        <v>16.411000000000001</v>
      </c>
      <c r="E330" s="14">
        <f>CHOOSE(CONTROL!$C$42, 16.4425, 16.4425) * CHOOSE(CONTROL!$C$21, $C$9, 100%, $E$9)</f>
        <v>16.442499999999999</v>
      </c>
      <c r="F330" s="14">
        <f>CHOOSE(CONTROL!$C$42, 16.1846, 16.1846)*CHOOSE(CONTROL!$C$21, $C$9, 100%, $E$9)</f>
        <v>16.1846</v>
      </c>
      <c r="G330" s="14">
        <f>CHOOSE(CONTROL!$C$42, 16.2011, 16.2011)*CHOOSE(CONTROL!$C$21, $C$9, 100%, $E$9)</f>
        <v>16.2011</v>
      </c>
      <c r="H330" s="14">
        <f>CHOOSE(CONTROL!$C$42, 16.4311, 16.4311) * CHOOSE(CONTROL!$C$21, $C$9, 100%, $E$9)</f>
        <v>16.431100000000001</v>
      </c>
      <c r="I330" s="14">
        <f>CHOOSE(CONTROL!$C$42, 16.2568, 16.2568)* CHOOSE(CONTROL!$C$21, $C$9, 100%, $E$9)</f>
        <v>16.256799999999998</v>
      </c>
      <c r="J330" s="14">
        <f>CHOOSE(CONTROL!$C$42, 16.1776, 16.1776)* CHOOSE(CONTROL!$C$21, $C$9, 100%, $E$9)</f>
        <v>16.177600000000002</v>
      </c>
      <c r="K330" s="53">
        <f>CHOOSE(CONTROL!$C$42, 16.2529, 16.2529) * CHOOSE(CONTROL!$C$21, $C$9, 100%, $E$9)</f>
        <v>16.2529</v>
      </c>
      <c r="L330" s="14">
        <f>CHOOSE(CONTROL!$C$42, 17.0181, 17.0181) * CHOOSE(CONTROL!$C$21, $C$9, 100%, $E$9)</f>
        <v>17.0181</v>
      </c>
      <c r="M330" s="14">
        <f>CHOOSE(CONTROL!$C$42, 15.8538, 15.8538) * CHOOSE(CONTROL!$C$21, $C$9, 100%, $E$9)</f>
        <v>15.8538</v>
      </c>
      <c r="N330" s="14">
        <f>CHOOSE(CONTROL!$C$42, 15.87, 15.87) * CHOOSE(CONTROL!$C$21, $C$9, 100%, $E$9)</f>
        <v>15.87</v>
      </c>
      <c r="O330" s="14">
        <f>CHOOSE(CONTROL!$C$42, 16.1021, 16.1021) * CHOOSE(CONTROL!$C$21, $C$9, 100%, $E$9)</f>
        <v>16.1021</v>
      </c>
      <c r="P330" s="14">
        <f>CHOOSE(CONTROL!$C$42, 15.9304, 15.9304) * CHOOSE(CONTROL!$C$21, $C$9, 100%, $E$9)</f>
        <v>15.930400000000001</v>
      </c>
      <c r="Q330" s="14">
        <f>CHOOSE(CONTROL!$C$42, 16.6968, 16.6968) * CHOOSE(CONTROL!$C$21, $C$9, 100%, $E$9)</f>
        <v>16.6968</v>
      </c>
      <c r="R330" s="14">
        <f>CHOOSE(CONTROL!$C$42, 17.3256, 17.3256) * CHOOSE(CONTROL!$C$21, $C$9, 100%, $E$9)</f>
        <v>17.325600000000001</v>
      </c>
      <c r="S330" s="14">
        <f>CHOOSE(CONTROL!$C$42, 15.554, 15.554) * CHOOSE(CONTROL!$C$21, $C$9, 100%, $E$9)</f>
        <v>15.554</v>
      </c>
      <c r="T3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7">
        <f>(1000*CHOOSE(CONTROL!$C$42, 695, 695)*CHOOSE(CONTROL!$C$42, 0.5599, 0.5599)*CHOOSE(CONTROL!$C$42, 30, 30))/1000000</f>
        <v>11.673914999999997</v>
      </c>
      <c r="V330" s="57">
        <f>(1000*CHOOSE(CONTROL!$C$42, 500, 500)*CHOOSE(CONTROL!$C$42, 0.275, 0.275)*CHOOSE(CONTROL!$C$42, 30, 30))/1000000</f>
        <v>4.125</v>
      </c>
      <c r="W330" s="57">
        <f>(1000*CHOOSE(CONTROL!$C$42, 0.1146, 0.1146)*CHOOSE(CONTROL!$C$42, 121.5, 121.5)*CHOOSE(CONTROL!$C$42, 30, 30))/1000000</f>
        <v>0.417717</v>
      </c>
      <c r="X330" s="57">
        <f>(30*0.1790888*245000/1000000)+(30*0.2374*100000/1000000)</f>
        <v>2.0285026799999999</v>
      </c>
      <c r="Y330" s="57"/>
      <c r="Z330" s="14"/>
      <c r="AA330" s="56"/>
      <c r="AB330" s="50">
        <f>(B330*194.205+C330*267.466+D330*133.845+E330*53.484+F330*40+G330*185+H330*0+I330*100+J330*300)/(194.205+267.466+133.845+53.484+0+40+185+100+300)</f>
        <v>16.232162520408163</v>
      </c>
      <c r="AC330" s="45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15.93821798561151</v>
      </c>
    </row>
    <row r="331" spans="1:29" ht="15.75" x14ac:dyDescent="0.25">
      <c r="A331" s="33">
        <v>50982</v>
      </c>
      <c r="B331" s="14">
        <f>CHOOSE(CONTROL!$C$42, 15.8875, 15.8875) * CHOOSE(CONTROL!$C$21, $C$9, 100%, $E$9)</f>
        <v>15.887499999999999</v>
      </c>
      <c r="C331" s="14">
        <f>CHOOSE(CONTROL!$C$42, 15.8955, 15.8955) * CHOOSE(CONTROL!$C$21, $C$9, 100%, $E$9)</f>
        <v>15.8955</v>
      </c>
      <c r="D331" s="14">
        <f>CHOOSE(CONTROL!$C$42, 16.1005, 16.1005) * CHOOSE(CONTROL!$C$21, $C$9, 100%, $E$9)</f>
        <v>16.1005</v>
      </c>
      <c r="E331" s="14">
        <f>CHOOSE(CONTROL!$C$42, 16.1319, 16.1319) * CHOOSE(CONTROL!$C$21, $C$9, 100%, $E$9)</f>
        <v>16.131900000000002</v>
      </c>
      <c r="F331" s="14">
        <f>CHOOSE(CONTROL!$C$42, 15.8745, 15.8745)*CHOOSE(CONTROL!$C$21, $C$9, 100%, $E$9)</f>
        <v>15.874499999999999</v>
      </c>
      <c r="G331" s="14">
        <f>CHOOSE(CONTROL!$C$42, 15.8911, 15.8911)*CHOOSE(CONTROL!$C$21, $C$9, 100%, $E$9)</f>
        <v>15.8911</v>
      </c>
      <c r="H331" s="14">
        <f>CHOOSE(CONTROL!$C$42, 16.1206, 16.1206) * CHOOSE(CONTROL!$C$21, $C$9, 100%, $E$9)</f>
        <v>16.1206</v>
      </c>
      <c r="I331" s="14">
        <f>CHOOSE(CONTROL!$C$42, 15.9453, 15.9453)* CHOOSE(CONTROL!$C$21, $C$9, 100%, $E$9)</f>
        <v>15.9453</v>
      </c>
      <c r="J331" s="14">
        <f>CHOOSE(CONTROL!$C$42, 15.8675, 15.8675)* CHOOSE(CONTROL!$C$21, $C$9, 100%, $E$9)</f>
        <v>15.8675</v>
      </c>
      <c r="K331" s="53">
        <f>CHOOSE(CONTROL!$C$42, 15.9414, 15.9414) * CHOOSE(CONTROL!$C$21, $C$9, 100%, $E$9)</f>
        <v>15.9414</v>
      </c>
      <c r="L331" s="14">
        <f>CHOOSE(CONTROL!$C$42, 16.7076, 16.7076) * CHOOSE(CONTROL!$C$21, $C$9, 100%, $E$9)</f>
        <v>16.707599999999999</v>
      </c>
      <c r="M331" s="14">
        <f>CHOOSE(CONTROL!$C$42, 15.55, 15.55) * CHOOSE(CONTROL!$C$21, $C$9, 100%, $E$9)</f>
        <v>15.55</v>
      </c>
      <c r="N331" s="14">
        <f>CHOOSE(CONTROL!$C$42, 15.5663, 15.5663) * CHOOSE(CONTROL!$C$21, $C$9, 100%, $E$9)</f>
        <v>15.5663</v>
      </c>
      <c r="O331" s="14">
        <f>CHOOSE(CONTROL!$C$42, 15.798, 15.798) * CHOOSE(CONTROL!$C$21, $C$9, 100%, $E$9)</f>
        <v>15.798</v>
      </c>
      <c r="P331" s="14">
        <f>CHOOSE(CONTROL!$C$42, 15.6253, 15.6253) * CHOOSE(CONTROL!$C$21, $C$9, 100%, $E$9)</f>
        <v>15.625299999999999</v>
      </c>
      <c r="Q331" s="14">
        <f>CHOOSE(CONTROL!$C$42, 16.3927, 16.3927) * CHOOSE(CONTROL!$C$21, $C$9, 100%, $E$9)</f>
        <v>16.392700000000001</v>
      </c>
      <c r="R331" s="14">
        <f>CHOOSE(CONTROL!$C$42, 17.0207, 17.0207) * CHOOSE(CONTROL!$C$21, $C$9, 100%, $E$9)</f>
        <v>17.020700000000001</v>
      </c>
      <c r="S331" s="14">
        <f>CHOOSE(CONTROL!$C$42, 15.2556, 15.2556) * CHOOSE(CONTROL!$C$21, $C$9, 100%, $E$9)</f>
        <v>15.255599999999999</v>
      </c>
      <c r="T3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7">
        <f>(1000*CHOOSE(CONTROL!$C$42, 695, 695)*CHOOSE(CONTROL!$C$42, 0.5599, 0.5599)*CHOOSE(CONTROL!$C$42, 31, 31))/1000000</f>
        <v>12.063045499999998</v>
      </c>
      <c r="V331" s="57">
        <f>(1000*CHOOSE(CONTROL!$C$42, 500, 500)*CHOOSE(CONTROL!$C$42, 0.275, 0.275)*CHOOSE(CONTROL!$C$42, 31, 31))/1000000</f>
        <v>4.2625000000000002</v>
      </c>
      <c r="W331" s="57">
        <f>(1000*CHOOSE(CONTROL!$C$42, 0.1146, 0.1146)*CHOOSE(CONTROL!$C$42, 121.5, 121.5)*CHOOSE(CONTROL!$C$42, 31, 31))/1000000</f>
        <v>0.43164089999999994</v>
      </c>
      <c r="X331" s="57">
        <f>(31*0.1790888*245000/1000000)+(31*0.2374*100000/1000000)</f>
        <v>2.0961194359999999</v>
      </c>
      <c r="Y331" s="57"/>
      <c r="Z331" s="14"/>
      <c r="AA331" s="56"/>
      <c r="AB331" s="50">
        <f>(B331*194.205+C331*267.466+D331*133.845+E331*53.484+F331*40+G331*185+H331*0+I331*100+J331*300)/(194.205+267.466+133.845+53.484+0+40+185+100+300)</f>
        <v>15.921759185714288</v>
      </c>
      <c r="AC331" s="45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15.634169784172665</v>
      </c>
    </row>
    <row r="332" spans="1:29" ht="15.75" x14ac:dyDescent="0.25">
      <c r="A332" s="33">
        <v>51013</v>
      </c>
      <c r="B332" s="14">
        <f>CHOOSE(CONTROL!$C$42, 15.1033, 15.1033) * CHOOSE(CONTROL!$C$21, $C$9, 100%, $E$9)</f>
        <v>15.103300000000001</v>
      </c>
      <c r="C332" s="14">
        <f>CHOOSE(CONTROL!$C$42, 15.1113, 15.1113) * CHOOSE(CONTROL!$C$21, $C$9, 100%, $E$9)</f>
        <v>15.1113</v>
      </c>
      <c r="D332" s="14">
        <f>CHOOSE(CONTROL!$C$42, 15.3163, 15.3163) * CHOOSE(CONTROL!$C$21, $C$9, 100%, $E$9)</f>
        <v>15.3163</v>
      </c>
      <c r="E332" s="14">
        <f>CHOOSE(CONTROL!$C$42, 15.3478, 15.3478) * CHOOSE(CONTROL!$C$21, $C$9, 100%, $E$9)</f>
        <v>15.347799999999999</v>
      </c>
      <c r="F332" s="14">
        <f>CHOOSE(CONTROL!$C$42, 15.0905, 15.0905)*CHOOSE(CONTROL!$C$21, $C$9, 100%, $E$9)</f>
        <v>15.0905</v>
      </c>
      <c r="G332" s="14">
        <f>CHOOSE(CONTROL!$C$42, 15.1072, 15.1072)*CHOOSE(CONTROL!$C$21, $C$9, 100%, $E$9)</f>
        <v>15.107200000000001</v>
      </c>
      <c r="H332" s="14">
        <f>CHOOSE(CONTROL!$C$42, 15.3364, 15.3364) * CHOOSE(CONTROL!$C$21, $C$9, 100%, $E$9)</f>
        <v>15.336399999999999</v>
      </c>
      <c r="I332" s="14">
        <f>CHOOSE(CONTROL!$C$42, 15.1587, 15.1587)* CHOOSE(CONTROL!$C$21, $C$9, 100%, $E$9)</f>
        <v>15.1587</v>
      </c>
      <c r="J332" s="14">
        <f>CHOOSE(CONTROL!$C$42, 15.0835, 15.0835)* CHOOSE(CONTROL!$C$21, $C$9, 100%, $E$9)</f>
        <v>15.083500000000001</v>
      </c>
      <c r="K332" s="53">
        <f>CHOOSE(CONTROL!$C$42, 15.1548, 15.1548) * CHOOSE(CONTROL!$C$21, $C$9, 100%, $E$9)</f>
        <v>15.1548</v>
      </c>
      <c r="L332" s="14">
        <f>CHOOSE(CONTROL!$C$42, 15.9234, 15.9234) * CHOOSE(CONTROL!$C$21, $C$9, 100%, $E$9)</f>
        <v>15.923400000000001</v>
      </c>
      <c r="M332" s="14">
        <f>CHOOSE(CONTROL!$C$42, 14.7821, 14.7821) * CHOOSE(CONTROL!$C$21, $C$9, 100%, $E$9)</f>
        <v>14.7821</v>
      </c>
      <c r="N332" s="14">
        <f>CHOOSE(CONTROL!$C$42, 14.7985, 14.7985) * CHOOSE(CONTROL!$C$21, $C$9, 100%, $E$9)</f>
        <v>14.798500000000001</v>
      </c>
      <c r="O332" s="14">
        <f>CHOOSE(CONTROL!$C$42, 15.0299, 15.0299) * CHOOSE(CONTROL!$C$21, $C$9, 100%, $E$9)</f>
        <v>15.0299</v>
      </c>
      <c r="P332" s="14">
        <f>CHOOSE(CONTROL!$C$42, 14.8549, 14.8549) * CHOOSE(CONTROL!$C$21, $C$9, 100%, $E$9)</f>
        <v>14.854900000000001</v>
      </c>
      <c r="Q332" s="14">
        <f>CHOOSE(CONTROL!$C$42, 15.6246, 15.6246) * CHOOSE(CONTROL!$C$21, $C$9, 100%, $E$9)</f>
        <v>15.624599999999999</v>
      </c>
      <c r="R332" s="14">
        <f>CHOOSE(CONTROL!$C$42, 16.2506, 16.2506) * CHOOSE(CONTROL!$C$21, $C$9, 100%, $E$9)</f>
        <v>16.250599999999999</v>
      </c>
      <c r="S332" s="14">
        <f>CHOOSE(CONTROL!$C$42, 14.5021, 14.5021) * CHOOSE(CONTROL!$C$21, $C$9, 100%, $E$9)</f>
        <v>14.5021</v>
      </c>
      <c r="T3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7">
        <f>(1000*CHOOSE(CONTROL!$C$42, 695, 695)*CHOOSE(CONTROL!$C$42, 0.5599, 0.5599)*CHOOSE(CONTROL!$C$42, 31, 31))/1000000</f>
        <v>12.063045499999998</v>
      </c>
      <c r="V332" s="57">
        <f>(1000*CHOOSE(CONTROL!$C$42, 500, 500)*CHOOSE(CONTROL!$C$42, 0.275, 0.275)*CHOOSE(CONTROL!$C$42, 31, 31))/1000000</f>
        <v>4.2625000000000002</v>
      </c>
      <c r="W332" s="57">
        <f>(1000*CHOOSE(CONTROL!$C$42, 0.1146, 0.1146)*CHOOSE(CONTROL!$C$42, 121.5, 121.5)*CHOOSE(CONTROL!$C$42, 31, 31))/1000000</f>
        <v>0.43164089999999994</v>
      </c>
      <c r="X332" s="57">
        <f>(31*0.1790888*245000/1000000)+(31*0.2374*100000/1000000)</f>
        <v>2.0961194359999999</v>
      </c>
      <c r="Y332" s="57"/>
      <c r="Z332" s="14"/>
      <c r="AA332" s="56"/>
      <c r="AB332" s="50">
        <f>(B332*194.205+C332*267.466+D332*133.845+E332*53.484+F332*40+G332*185+H332*0+I332*100+J332*300)/(194.205+267.466+133.845+53.484+0+40+185+100+300)</f>
        <v>15.13747193956044</v>
      </c>
      <c r="AC332" s="45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14.865876978417266</v>
      </c>
    </row>
    <row r="333" spans="1:29" ht="15.75" x14ac:dyDescent="0.25">
      <c r="A333" s="33">
        <v>51043</v>
      </c>
      <c r="B333" s="14">
        <f>CHOOSE(CONTROL!$C$42, 14.1448, 14.1448) * CHOOSE(CONTROL!$C$21, $C$9, 100%, $E$9)</f>
        <v>14.1448</v>
      </c>
      <c r="C333" s="14">
        <f>CHOOSE(CONTROL!$C$42, 14.1529, 14.1529) * CHOOSE(CONTROL!$C$21, $C$9, 100%, $E$9)</f>
        <v>14.152900000000001</v>
      </c>
      <c r="D333" s="14">
        <f>CHOOSE(CONTROL!$C$42, 14.3578, 14.3578) * CHOOSE(CONTROL!$C$21, $C$9, 100%, $E$9)</f>
        <v>14.357799999999999</v>
      </c>
      <c r="E333" s="14">
        <f>CHOOSE(CONTROL!$C$42, 14.3893, 14.3893) * CHOOSE(CONTROL!$C$21, $C$9, 100%, $E$9)</f>
        <v>14.3893</v>
      </c>
      <c r="F333" s="14">
        <f>CHOOSE(CONTROL!$C$42, 14.132, 14.132)*CHOOSE(CONTROL!$C$21, $C$9, 100%, $E$9)</f>
        <v>14.132</v>
      </c>
      <c r="G333" s="14">
        <f>CHOOSE(CONTROL!$C$42, 14.1487, 14.1487)*CHOOSE(CONTROL!$C$21, $C$9, 100%, $E$9)</f>
        <v>14.1487</v>
      </c>
      <c r="H333" s="14">
        <f>CHOOSE(CONTROL!$C$42, 14.3779, 14.3779) * CHOOSE(CONTROL!$C$21, $C$9, 100%, $E$9)</f>
        <v>14.3779</v>
      </c>
      <c r="I333" s="14">
        <f>CHOOSE(CONTROL!$C$42, 14.1972, 14.1972)* CHOOSE(CONTROL!$C$21, $C$9, 100%, $E$9)</f>
        <v>14.1972</v>
      </c>
      <c r="J333" s="14">
        <f>CHOOSE(CONTROL!$C$42, 14.125, 14.125)* CHOOSE(CONTROL!$C$21, $C$9, 100%, $E$9)</f>
        <v>14.125</v>
      </c>
      <c r="K333" s="53">
        <f>CHOOSE(CONTROL!$C$42, 14.1933, 14.1933) * CHOOSE(CONTROL!$C$21, $C$9, 100%, $E$9)</f>
        <v>14.193300000000001</v>
      </c>
      <c r="L333" s="14">
        <f>CHOOSE(CONTROL!$C$42, 14.9649, 14.9649) * CHOOSE(CONTROL!$C$21, $C$9, 100%, $E$9)</f>
        <v>14.9649</v>
      </c>
      <c r="M333" s="14">
        <f>CHOOSE(CONTROL!$C$42, 13.8433, 13.8433) * CHOOSE(CONTROL!$C$21, $C$9, 100%, $E$9)</f>
        <v>13.843299999999999</v>
      </c>
      <c r="N333" s="14">
        <f>CHOOSE(CONTROL!$C$42, 13.8596, 13.8596) * CHOOSE(CONTROL!$C$21, $C$9, 100%, $E$9)</f>
        <v>13.8596</v>
      </c>
      <c r="O333" s="14">
        <f>CHOOSE(CONTROL!$C$42, 14.091, 14.091) * CHOOSE(CONTROL!$C$21, $C$9, 100%, $E$9)</f>
        <v>14.090999999999999</v>
      </c>
      <c r="P333" s="14">
        <f>CHOOSE(CONTROL!$C$42, 13.9132, 13.9132) * CHOOSE(CONTROL!$C$21, $C$9, 100%, $E$9)</f>
        <v>13.9132</v>
      </c>
      <c r="Q333" s="14">
        <f>CHOOSE(CONTROL!$C$42, 14.6857, 14.6857) * CHOOSE(CONTROL!$C$21, $C$9, 100%, $E$9)</f>
        <v>14.685700000000001</v>
      </c>
      <c r="R333" s="14">
        <f>CHOOSE(CONTROL!$C$42, 15.3094, 15.3094) * CHOOSE(CONTROL!$C$21, $C$9, 100%, $E$9)</f>
        <v>15.3094</v>
      </c>
      <c r="S333" s="14">
        <f>CHOOSE(CONTROL!$C$42, 13.5811, 13.5811) * CHOOSE(CONTROL!$C$21, $C$9, 100%, $E$9)</f>
        <v>13.581099999999999</v>
      </c>
      <c r="T3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7">
        <f>(1000*CHOOSE(CONTROL!$C$42, 695, 695)*CHOOSE(CONTROL!$C$42, 0.5599, 0.5599)*CHOOSE(CONTROL!$C$42, 30, 30))/1000000</f>
        <v>11.673914999999997</v>
      </c>
      <c r="V333" s="57">
        <f>(1000*CHOOSE(CONTROL!$C$42, 500, 500)*CHOOSE(CONTROL!$C$42, 0.275, 0.275)*CHOOSE(CONTROL!$C$42, 30, 30))/1000000</f>
        <v>4.125</v>
      </c>
      <c r="W333" s="57">
        <f>(1000*CHOOSE(CONTROL!$C$42, 0.1146, 0.1146)*CHOOSE(CONTROL!$C$42, 121.5, 121.5)*CHOOSE(CONTROL!$C$42, 30, 30))/1000000</f>
        <v>0.417717</v>
      </c>
      <c r="X333" s="57">
        <f>(30*0.1790888*245000/1000000)+(30*0.2374*100000/1000000)</f>
        <v>2.0285026799999999</v>
      </c>
      <c r="Y333" s="57"/>
      <c r="Z333" s="14"/>
      <c r="AA333" s="56"/>
      <c r="AB333" s="50">
        <f>(B333*194.205+C333*267.466+D333*133.845+E333*53.484+F333*40+G333*185+H333*0+I333*100+J333*300)/(194.205+267.466+133.845+53.484+0+40+185+100+300)</f>
        <v>14.178757454945059</v>
      </c>
      <c r="AC333" s="45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13.926608633093522</v>
      </c>
    </row>
    <row r="334" spans="1:29" ht="15.75" x14ac:dyDescent="0.25">
      <c r="A334" s="33">
        <v>51074</v>
      </c>
      <c r="B334" s="14">
        <f>CHOOSE(CONTROL!$C$42, 13.8561, 13.8561) * CHOOSE(CONTROL!$C$21, $C$9, 100%, $E$9)</f>
        <v>13.8561</v>
      </c>
      <c r="C334" s="14">
        <f>CHOOSE(CONTROL!$C$42, 13.8614, 13.8614) * CHOOSE(CONTROL!$C$21, $C$9, 100%, $E$9)</f>
        <v>13.8614</v>
      </c>
      <c r="D334" s="14">
        <f>CHOOSE(CONTROL!$C$42, 14.0714, 14.0714) * CHOOSE(CONTROL!$C$21, $C$9, 100%, $E$9)</f>
        <v>14.071400000000001</v>
      </c>
      <c r="E334" s="14">
        <f>CHOOSE(CONTROL!$C$42, 14.1005, 14.1005) * CHOOSE(CONTROL!$C$21, $C$9, 100%, $E$9)</f>
        <v>14.1005</v>
      </c>
      <c r="F334" s="14">
        <f>CHOOSE(CONTROL!$C$42, 13.8453, 13.8453)*CHOOSE(CONTROL!$C$21, $C$9, 100%, $E$9)</f>
        <v>13.8453</v>
      </c>
      <c r="G334" s="14">
        <f>CHOOSE(CONTROL!$C$42, 13.8617, 13.8617)*CHOOSE(CONTROL!$C$21, $C$9, 100%, $E$9)</f>
        <v>13.861700000000001</v>
      </c>
      <c r="H334" s="14">
        <f>CHOOSE(CONTROL!$C$42, 14.091, 14.091) * CHOOSE(CONTROL!$C$21, $C$9, 100%, $E$9)</f>
        <v>14.090999999999999</v>
      </c>
      <c r="I334" s="14">
        <f>CHOOSE(CONTROL!$C$42, 13.9093, 13.9093)* CHOOSE(CONTROL!$C$21, $C$9, 100%, $E$9)</f>
        <v>13.9093</v>
      </c>
      <c r="J334" s="14">
        <f>CHOOSE(CONTROL!$C$42, 13.8383, 13.8383)* CHOOSE(CONTROL!$C$21, $C$9, 100%, $E$9)</f>
        <v>13.8383</v>
      </c>
      <c r="K334" s="53">
        <f>CHOOSE(CONTROL!$C$42, 13.9054, 13.9054) * CHOOSE(CONTROL!$C$21, $C$9, 100%, $E$9)</f>
        <v>13.9054</v>
      </c>
      <c r="L334" s="14">
        <f>CHOOSE(CONTROL!$C$42, 14.678, 14.678) * CHOOSE(CONTROL!$C$21, $C$9, 100%, $E$9)</f>
        <v>14.678000000000001</v>
      </c>
      <c r="M334" s="14">
        <f>CHOOSE(CONTROL!$C$42, 13.5625, 13.5625) * CHOOSE(CONTROL!$C$21, $C$9, 100%, $E$9)</f>
        <v>13.5625</v>
      </c>
      <c r="N334" s="14">
        <f>CHOOSE(CONTROL!$C$42, 13.5785, 13.5785) * CHOOSE(CONTROL!$C$21, $C$9, 100%, $E$9)</f>
        <v>13.5785</v>
      </c>
      <c r="O334" s="14">
        <f>CHOOSE(CONTROL!$C$42, 13.8099, 13.8099) * CHOOSE(CONTROL!$C$21, $C$9, 100%, $E$9)</f>
        <v>13.809900000000001</v>
      </c>
      <c r="P334" s="14">
        <f>CHOOSE(CONTROL!$C$42, 13.6312, 13.6312) * CHOOSE(CONTROL!$C$21, $C$9, 100%, $E$9)</f>
        <v>13.6312</v>
      </c>
      <c r="Q334" s="14">
        <f>CHOOSE(CONTROL!$C$42, 14.4046, 14.4046) * CHOOSE(CONTROL!$C$21, $C$9, 100%, $E$9)</f>
        <v>14.4046</v>
      </c>
      <c r="R334" s="14">
        <f>CHOOSE(CONTROL!$C$42, 15.0277, 15.0277) * CHOOSE(CONTROL!$C$21, $C$9, 100%, $E$9)</f>
        <v>15.027699999999999</v>
      </c>
      <c r="S334" s="14">
        <f>CHOOSE(CONTROL!$C$42, 13.3054, 13.3054) * CHOOSE(CONTROL!$C$21, $C$9, 100%, $E$9)</f>
        <v>13.305400000000001</v>
      </c>
      <c r="T3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7">
        <f>(1000*CHOOSE(CONTROL!$C$42, 695, 695)*CHOOSE(CONTROL!$C$42, 0.5599, 0.5599)*CHOOSE(CONTROL!$C$42, 31, 31))/1000000</f>
        <v>12.063045499999998</v>
      </c>
      <c r="V334" s="57">
        <f>(1000*CHOOSE(CONTROL!$C$42, 500, 500)*CHOOSE(CONTROL!$C$42, 0.275, 0.275)*CHOOSE(CONTROL!$C$42, 31, 31))/1000000</f>
        <v>4.2625000000000002</v>
      </c>
      <c r="W334" s="57">
        <f>(1000*CHOOSE(CONTROL!$C$42, 0.1146, 0.1146)*CHOOSE(CONTROL!$C$42, 121.5, 121.5)*CHOOSE(CONTROL!$C$42, 31, 31))/1000000</f>
        <v>0.43164089999999994</v>
      </c>
      <c r="X334" s="57">
        <f>(31*0.1790888*245000/1000000)+(31*0.2374*100000/1000000)</f>
        <v>2.0961194359999999</v>
      </c>
      <c r="Y334" s="57"/>
      <c r="Z334" s="14"/>
      <c r="AA334" s="56"/>
      <c r="AB334" s="50">
        <f>(B334*131.881+C334*277.167+D334*79.08+E334*125.872+F334*40+G334*185+H334*0+I334*100+J334*300)/(131.881+277.167+79.08+125.872+0+40+185+100+300)</f>
        <v>13.896327623809523</v>
      </c>
      <c r="AC334" s="45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13.645482733812948</v>
      </c>
    </row>
    <row r="335" spans="1:29" ht="15.75" x14ac:dyDescent="0.25">
      <c r="A335" s="33">
        <v>51104</v>
      </c>
      <c r="B335" s="14">
        <f>CHOOSE(CONTROL!$C$42, 14.2205, 14.2205) * CHOOSE(CONTROL!$C$21, $C$9, 100%, $E$9)</f>
        <v>14.220499999999999</v>
      </c>
      <c r="C335" s="14">
        <f>CHOOSE(CONTROL!$C$42, 14.2255, 14.2255) * CHOOSE(CONTROL!$C$21, $C$9, 100%, $E$9)</f>
        <v>14.2255</v>
      </c>
      <c r="D335" s="14">
        <f>CHOOSE(CONTROL!$C$42, 14.2893, 14.2893) * CHOOSE(CONTROL!$C$21, $C$9, 100%, $E$9)</f>
        <v>14.289300000000001</v>
      </c>
      <c r="E335" s="14">
        <f>CHOOSE(CONTROL!$C$42, 14.3234, 14.3234) * CHOOSE(CONTROL!$C$21, $C$9, 100%, $E$9)</f>
        <v>14.323399999999999</v>
      </c>
      <c r="F335" s="14">
        <f>CHOOSE(CONTROL!$C$42, 14.2227, 14.2227)*CHOOSE(CONTROL!$C$21, $C$9, 100%, $E$9)</f>
        <v>14.2227</v>
      </c>
      <c r="G335" s="14">
        <f>CHOOSE(CONTROL!$C$42, 14.2394, 14.2394)*CHOOSE(CONTROL!$C$21, $C$9, 100%, $E$9)</f>
        <v>14.2394</v>
      </c>
      <c r="H335" s="14">
        <f>CHOOSE(CONTROL!$C$42, 14.3126, 14.3126) * CHOOSE(CONTROL!$C$21, $C$9, 100%, $E$9)</f>
        <v>14.3126</v>
      </c>
      <c r="I335" s="14">
        <f>CHOOSE(CONTROL!$C$42, 14.2789, 14.2789)* CHOOSE(CONTROL!$C$21, $C$9, 100%, $E$9)</f>
        <v>14.2789</v>
      </c>
      <c r="J335" s="14">
        <f>CHOOSE(CONTROL!$C$42, 14.2157, 14.2157)* CHOOSE(CONTROL!$C$21, $C$9, 100%, $E$9)</f>
        <v>14.2157</v>
      </c>
      <c r="K335" s="53">
        <f>CHOOSE(CONTROL!$C$42, 14.275, 14.275) * CHOOSE(CONTROL!$C$21, $C$9, 100%, $E$9)</f>
        <v>14.275</v>
      </c>
      <c r="L335" s="14">
        <f>CHOOSE(CONTROL!$C$42, 14.8996, 14.8996) * CHOOSE(CONTROL!$C$21, $C$9, 100%, $E$9)</f>
        <v>14.8996</v>
      </c>
      <c r="M335" s="14">
        <f>CHOOSE(CONTROL!$C$42, 13.9321, 13.9321) * CHOOSE(CONTROL!$C$21, $C$9, 100%, $E$9)</f>
        <v>13.9321</v>
      </c>
      <c r="N335" s="14">
        <f>CHOOSE(CONTROL!$C$42, 13.9484, 13.9484) * CHOOSE(CONTROL!$C$21, $C$9, 100%, $E$9)</f>
        <v>13.948399999999999</v>
      </c>
      <c r="O335" s="14">
        <f>CHOOSE(CONTROL!$C$42, 14.0271, 14.0271) * CHOOSE(CONTROL!$C$21, $C$9, 100%, $E$9)</f>
        <v>14.027100000000001</v>
      </c>
      <c r="P335" s="14">
        <f>CHOOSE(CONTROL!$C$42, 13.9932, 13.9932) * CHOOSE(CONTROL!$C$21, $C$9, 100%, $E$9)</f>
        <v>13.9932</v>
      </c>
      <c r="Q335" s="14">
        <f>CHOOSE(CONTROL!$C$42, 14.6218, 14.6218) * CHOOSE(CONTROL!$C$21, $C$9, 100%, $E$9)</f>
        <v>14.6218</v>
      </c>
      <c r="R335" s="14">
        <f>CHOOSE(CONTROL!$C$42, 15.2453, 15.2453) * CHOOSE(CONTROL!$C$21, $C$9, 100%, $E$9)</f>
        <v>15.2453</v>
      </c>
      <c r="S335" s="14">
        <f>CHOOSE(CONTROL!$C$42, 13.6559, 13.6559) * CHOOSE(CONTROL!$C$21, $C$9, 100%, $E$9)</f>
        <v>13.655900000000001</v>
      </c>
      <c r="T3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7">
        <f>(1000*CHOOSE(CONTROL!$C$42, 695, 695)*CHOOSE(CONTROL!$C$42, 0.5599, 0.5599)*CHOOSE(CONTROL!$C$42, 30, 30))/1000000</f>
        <v>11.673914999999997</v>
      </c>
      <c r="V335" s="57">
        <f>(1000*CHOOSE(CONTROL!$C$42, 500, 500)*CHOOSE(CONTROL!$C$42, 0.275, 0.275)*CHOOSE(CONTROL!$C$42, 30, 30))/1000000</f>
        <v>4.125</v>
      </c>
      <c r="W335" s="57">
        <f>(1000*CHOOSE(CONTROL!$C$42, 0.1146, 0.1146)*CHOOSE(CONTROL!$C$42, 121.5, 121.5)*CHOOSE(CONTROL!$C$42, 30, 30))/1000000</f>
        <v>0.417717</v>
      </c>
      <c r="X335" s="57">
        <f>(30*0.1790888*100000/1000000)+(30*0.2374*100000/1000000)</f>
        <v>1.2494664</v>
      </c>
      <c r="Y335" s="57"/>
      <c r="Z335" s="14"/>
      <c r="AA335" s="56"/>
      <c r="AB335" s="50">
        <f>(B335*122.58+C335*297.941+D335*89.177+E335*40.302+F335*40+G335*160+H335*0+I335*100+J335*300)/(122.58+297.941+89.177+40.302+0+40+160+100+300)</f>
        <v>14.237268833391303</v>
      </c>
      <c r="AC335" s="45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13.984887050359713</v>
      </c>
    </row>
    <row r="336" spans="1:29" ht="15.75" x14ac:dyDescent="0.25">
      <c r="A336" s="33">
        <v>51135</v>
      </c>
      <c r="B336" s="14">
        <f>CHOOSE(CONTROL!$C$42, 15.1893, 15.1893) * CHOOSE(CONTROL!$C$21, $C$9, 100%, $E$9)</f>
        <v>15.189299999999999</v>
      </c>
      <c r="C336" s="14">
        <f>CHOOSE(CONTROL!$C$42, 15.1944, 15.1944) * CHOOSE(CONTROL!$C$21, $C$9, 100%, $E$9)</f>
        <v>15.1944</v>
      </c>
      <c r="D336" s="14">
        <f>CHOOSE(CONTROL!$C$42, 15.2582, 15.2582) * CHOOSE(CONTROL!$C$21, $C$9, 100%, $E$9)</f>
        <v>15.2582</v>
      </c>
      <c r="E336" s="14">
        <f>CHOOSE(CONTROL!$C$42, 15.2923, 15.2923) * CHOOSE(CONTROL!$C$21, $C$9, 100%, $E$9)</f>
        <v>15.292299999999999</v>
      </c>
      <c r="F336" s="14">
        <f>CHOOSE(CONTROL!$C$42, 15.1937, 15.1937)*CHOOSE(CONTROL!$C$21, $C$9, 100%, $E$9)</f>
        <v>15.1937</v>
      </c>
      <c r="G336" s="14">
        <f>CHOOSE(CONTROL!$C$42, 15.2109, 15.2109)*CHOOSE(CONTROL!$C$21, $C$9, 100%, $E$9)</f>
        <v>15.210900000000001</v>
      </c>
      <c r="H336" s="14">
        <f>CHOOSE(CONTROL!$C$42, 15.2815, 15.2815) * CHOOSE(CONTROL!$C$21, $C$9, 100%, $E$9)</f>
        <v>15.281499999999999</v>
      </c>
      <c r="I336" s="14">
        <f>CHOOSE(CONTROL!$C$42, 15.2508, 15.2508)* CHOOSE(CONTROL!$C$21, $C$9, 100%, $E$9)</f>
        <v>15.2508</v>
      </c>
      <c r="J336" s="14">
        <f>CHOOSE(CONTROL!$C$42, 15.1867, 15.1867)* CHOOSE(CONTROL!$C$21, $C$9, 100%, $E$9)</f>
        <v>15.1867</v>
      </c>
      <c r="K336" s="53">
        <f>CHOOSE(CONTROL!$C$42, 15.2469, 15.2469) * CHOOSE(CONTROL!$C$21, $C$9, 100%, $E$9)</f>
        <v>15.2469</v>
      </c>
      <c r="L336" s="14">
        <f>CHOOSE(CONTROL!$C$42, 15.8685, 15.8685) * CHOOSE(CONTROL!$C$21, $C$9, 100%, $E$9)</f>
        <v>15.868499999999999</v>
      </c>
      <c r="M336" s="14">
        <f>CHOOSE(CONTROL!$C$42, 14.8832, 14.8832) * CHOOSE(CONTROL!$C$21, $C$9, 100%, $E$9)</f>
        <v>14.8832</v>
      </c>
      <c r="N336" s="14">
        <f>CHOOSE(CONTROL!$C$42, 14.9, 14.9) * CHOOSE(CONTROL!$C$21, $C$9, 100%, $E$9)</f>
        <v>14.9</v>
      </c>
      <c r="O336" s="14">
        <f>CHOOSE(CONTROL!$C$42, 14.9761, 14.9761) * CHOOSE(CONTROL!$C$21, $C$9, 100%, $E$9)</f>
        <v>14.976100000000001</v>
      </c>
      <c r="P336" s="14">
        <f>CHOOSE(CONTROL!$C$42, 14.9451, 14.9451) * CHOOSE(CONTROL!$C$21, $C$9, 100%, $E$9)</f>
        <v>14.9451</v>
      </c>
      <c r="Q336" s="14">
        <f>CHOOSE(CONTROL!$C$42, 15.5708, 15.5708) * CHOOSE(CONTROL!$C$21, $C$9, 100%, $E$9)</f>
        <v>15.5708</v>
      </c>
      <c r="R336" s="14">
        <f>CHOOSE(CONTROL!$C$42, 16.1967, 16.1967) * CHOOSE(CONTROL!$C$21, $C$9, 100%, $E$9)</f>
        <v>16.1967</v>
      </c>
      <c r="S336" s="14">
        <f>CHOOSE(CONTROL!$C$42, 14.5869, 14.5869) * CHOOSE(CONTROL!$C$21, $C$9, 100%, $E$9)</f>
        <v>14.5869</v>
      </c>
      <c r="T3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7">
        <f>(1000*CHOOSE(CONTROL!$C$42, 695, 695)*CHOOSE(CONTROL!$C$42, 0.5599, 0.5599)*CHOOSE(CONTROL!$C$42, 31, 31))/1000000</f>
        <v>12.063045499999998</v>
      </c>
      <c r="V336" s="57">
        <f>(1000*CHOOSE(CONTROL!$C$42, 500, 500)*CHOOSE(CONTROL!$C$42, 0.275, 0.275)*CHOOSE(CONTROL!$C$42, 31, 31))/1000000</f>
        <v>4.2625000000000002</v>
      </c>
      <c r="W336" s="57">
        <f>(1000*CHOOSE(CONTROL!$C$42, 0.1146, 0.1146)*CHOOSE(CONTROL!$C$42, 121.5, 121.5)*CHOOSE(CONTROL!$C$42, 31, 31))/1000000</f>
        <v>0.43164089999999994</v>
      </c>
      <c r="X336" s="57">
        <f>(31*0.1790888*100000/1000000)+(31*0.2374*100000/1000000)</f>
        <v>1.2911152800000001</v>
      </c>
      <c r="Y336" s="57"/>
      <c r="Z336" s="14"/>
      <c r="AA336" s="56"/>
      <c r="AB336" s="50">
        <f>(B336*122.58+C336*297.941+D336*89.177+E336*40.302+F336*40+G336*160+H336*0+I336*100+J336*300)/(122.58+297.941+89.177+40.302+0+40+160+100+300)</f>
        <v>15.207401652521741</v>
      </c>
      <c r="AC336" s="45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14.935179136690648</v>
      </c>
    </row>
    <row r="337" spans="1:29" ht="15.75" x14ac:dyDescent="0.25">
      <c r="A337" s="33">
        <v>51166</v>
      </c>
      <c r="B337" s="14">
        <f>CHOOSE(CONTROL!$C$42, 16.4328, 16.4328) * CHOOSE(CONTROL!$C$21, $C$9, 100%, $E$9)</f>
        <v>16.4328</v>
      </c>
      <c r="C337" s="14">
        <f>CHOOSE(CONTROL!$C$42, 16.4378, 16.4378) * CHOOSE(CONTROL!$C$21, $C$9, 100%, $E$9)</f>
        <v>16.437799999999999</v>
      </c>
      <c r="D337" s="14">
        <f>CHOOSE(CONTROL!$C$42, 16.4964, 16.4964) * CHOOSE(CONTROL!$C$21, $C$9, 100%, $E$9)</f>
        <v>16.496400000000001</v>
      </c>
      <c r="E337" s="14">
        <f>CHOOSE(CONTROL!$C$42, 16.5305, 16.5305) * CHOOSE(CONTROL!$C$21, $C$9, 100%, $E$9)</f>
        <v>16.5305</v>
      </c>
      <c r="F337" s="14">
        <f>CHOOSE(CONTROL!$C$42, 16.4319, 16.4319)*CHOOSE(CONTROL!$C$21, $C$9, 100%, $E$9)</f>
        <v>16.431899999999999</v>
      </c>
      <c r="G337" s="14">
        <f>CHOOSE(CONTROL!$C$42, 16.4483, 16.4483)*CHOOSE(CONTROL!$C$21, $C$9, 100%, $E$9)</f>
        <v>16.4483</v>
      </c>
      <c r="H337" s="14">
        <f>CHOOSE(CONTROL!$C$42, 16.5197, 16.5197) * CHOOSE(CONTROL!$C$21, $C$9, 100%, $E$9)</f>
        <v>16.5197</v>
      </c>
      <c r="I337" s="14">
        <f>CHOOSE(CONTROL!$C$42, 16.4945, 16.4945)* CHOOSE(CONTROL!$C$21, $C$9, 100%, $E$9)</f>
        <v>16.494499999999999</v>
      </c>
      <c r="J337" s="14">
        <f>CHOOSE(CONTROL!$C$42, 16.4249, 16.4249)* CHOOSE(CONTROL!$C$21, $C$9, 100%, $E$9)</f>
        <v>16.424900000000001</v>
      </c>
      <c r="K337" s="53">
        <f>CHOOSE(CONTROL!$C$42, 16.4906, 16.4906) * CHOOSE(CONTROL!$C$21, $C$9, 100%, $E$9)</f>
        <v>16.490600000000001</v>
      </c>
      <c r="L337" s="14">
        <f>CHOOSE(CONTROL!$C$42, 17.1067, 17.1067) * CHOOSE(CONTROL!$C$21, $C$9, 100%, $E$9)</f>
        <v>17.1067</v>
      </c>
      <c r="M337" s="14">
        <f>CHOOSE(CONTROL!$C$42, 16.096, 16.096) * CHOOSE(CONTROL!$C$21, $C$9, 100%, $E$9)</f>
        <v>16.096</v>
      </c>
      <c r="N337" s="14">
        <f>CHOOSE(CONTROL!$C$42, 16.1121, 16.1121) * CHOOSE(CONTROL!$C$21, $C$9, 100%, $E$9)</f>
        <v>16.112100000000002</v>
      </c>
      <c r="O337" s="14">
        <f>CHOOSE(CONTROL!$C$42, 16.189, 16.189) * CHOOSE(CONTROL!$C$21, $C$9, 100%, $E$9)</f>
        <v>16.189</v>
      </c>
      <c r="P337" s="14">
        <f>CHOOSE(CONTROL!$C$42, 16.1632, 16.1632) * CHOOSE(CONTROL!$C$21, $C$9, 100%, $E$9)</f>
        <v>16.1632</v>
      </c>
      <c r="Q337" s="14">
        <f>CHOOSE(CONTROL!$C$42, 16.7837, 16.7837) * CHOOSE(CONTROL!$C$21, $C$9, 100%, $E$9)</f>
        <v>16.7837</v>
      </c>
      <c r="R337" s="14">
        <f>CHOOSE(CONTROL!$C$42, 17.4126, 17.4126) * CHOOSE(CONTROL!$C$21, $C$9, 100%, $E$9)</f>
        <v>17.412600000000001</v>
      </c>
      <c r="S337" s="14">
        <f>CHOOSE(CONTROL!$C$42, 15.7817, 15.7817) * CHOOSE(CONTROL!$C$21, $C$9, 100%, $E$9)</f>
        <v>15.781700000000001</v>
      </c>
      <c r="T3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7">
        <f>(1000*CHOOSE(CONTROL!$C$42, 695, 695)*CHOOSE(CONTROL!$C$42, 0.5599, 0.5599)*CHOOSE(CONTROL!$C$42, 31, 31))/1000000</f>
        <v>12.063045499999998</v>
      </c>
      <c r="V337" s="57">
        <f>(1000*CHOOSE(CONTROL!$C$42, 500, 500)*CHOOSE(CONTROL!$C$42, 0.275, 0.275)*CHOOSE(CONTROL!$C$42, 31, 31))/1000000</f>
        <v>4.2625000000000002</v>
      </c>
      <c r="W337" s="57">
        <f>(1000*CHOOSE(CONTROL!$C$42, 0.1146, 0.1146)*CHOOSE(CONTROL!$C$42, 121.5, 121.5)*CHOOSE(CONTROL!$C$42, 31, 31))/1000000</f>
        <v>0.43164089999999994</v>
      </c>
      <c r="X337" s="57">
        <f>(31*0.1790888*100000/1000000)+(31*0.2374*100000/1000000)</f>
        <v>1.2911152800000001</v>
      </c>
      <c r="Y337" s="57"/>
      <c r="Z337" s="14"/>
      <c r="AA337" s="56"/>
      <c r="AB337" s="50">
        <f>(B337*122.58+C337*297.941+D337*89.177+E337*40.302+F337*40+G337*160+H337*0+I337*100+J337*300)/(122.58+297.941+89.177+40.302+0+40+160+100+300)</f>
        <v>16.447880754434784</v>
      </c>
      <c r="AC337" s="45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16.14874676258993</v>
      </c>
    </row>
    <row r="338" spans="1:29" ht="15.75" x14ac:dyDescent="0.25">
      <c r="A338" s="33">
        <v>51194</v>
      </c>
      <c r="B338" s="14">
        <f>CHOOSE(CONTROL!$C$42, 16.7251, 16.7251) * CHOOSE(CONTROL!$C$21, $C$9, 100%, $E$9)</f>
        <v>16.725100000000001</v>
      </c>
      <c r="C338" s="14">
        <f>CHOOSE(CONTROL!$C$42, 16.7302, 16.7302) * CHOOSE(CONTROL!$C$21, $C$9, 100%, $E$9)</f>
        <v>16.7302</v>
      </c>
      <c r="D338" s="14">
        <f>CHOOSE(CONTROL!$C$42, 16.7888, 16.7888) * CHOOSE(CONTROL!$C$21, $C$9, 100%, $E$9)</f>
        <v>16.788799999999998</v>
      </c>
      <c r="E338" s="14">
        <f>CHOOSE(CONTROL!$C$42, 16.8229, 16.8229) * CHOOSE(CONTROL!$C$21, $C$9, 100%, $E$9)</f>
        <v>16.822900000000001</v>
      </c>
      <c r="F338" s="14">
        <f>CHOOSE(CONTROL!$C$42, 16.7242, 16.7242)*CHOOSE(CONTROL!$C$21, $C$9, 100%, $E$9)</f>
        <v>16.7242</v>
      </c>
      <c r="G338" s="14">
        <f>CHOOSE(CONTROL!$C$42, 16.7406, 16.7406)*CHOOSE(CONTROL!$C$21, $C$9, 100%, $E$9)</f>
        <v>16.740600000000001</v>
      </c>
      <c r="H338" s="14">
        <f>CHOOSE(CONTROL!$C$42, 16.8121, 16.8121) * CHOOSE(CONTROL!$C$21, $C$9, 100%, $E$9)</f>
        <v>16.812100000000001</v>
      </c>
      <c r="I338" s="14">
        <f>CHOOSE(CONTROL!$C$42, 16.7877, 16.7877)* CHOOSE(CONTROL!$C$21, $C$9, 100%, $E$9)</f>
        <v>16.787700000000001</v>
      </c>
      <c r="J338" s="14">
        <f>CHOOSE(CONTROL!$C$42, 16.7172, 16.7172)* CHOOSE(CONTROL!$C$21, $C$9, 100%, $E$9)</f>
        <v>16.717199999999998</v>
      </c>
      <c r="K338" s="53">
        <f>CHOOSE(CONTROL!$C$42, 16.7838, 16.7838) * CHOOSE(CONTROL!$C$21, $C$9, 100%, $E$9)</f>
        <v>16.783799999999999</v>
      </c>
      <c r="L338" s="14">
        <f>CHOOSE(CONTROL!$C$42, 17.3991, 17.3991) * CHOOSE(CONTROL!$C$21, $C$9, 100%, $E$9)</f>
        <v>17.399100000000001</v>
      </c>
      <c r="M338" s="14">
        <f>CHOOSE(CONTROL!$C$42, 16.3824, 16.3824) * CHOOSE(CONTROL!$C$21, $C$9, 100%, $E$9)</f>
        <v>16.382400000000001</v>
      </c>
      <c r="N338" s="14">
        <f>CHOOSE(CONTROL!$C$42, 16.3984, 16.3984) * CHOOSE(CONTROL!$C$21, $C$9, 100%, $E$9)</f>
        <v>16.398399999999999</v>
      </c>
      <c r="O338" s="14">
        <f>CHOOSE(CONTROL!$C$42, 16.4753, 16.4753) * CHOOSE(CONTROL!$C$21, $C$9, 100%, $E$9)</f>
        <v>16.475300000000001</v>
      </c>
      <c r="P338" s="14">
        <f>CHOOSE(CONTROL!$C$42, 16.4505, 16.4505) * CHOOSE(CONTROL!$C$21, $C$9, 100%, $E$9)</f>
        <v>16.450500000000002</v>
      </c>
      <c r="Q338" s="14">
        <f>CHOOSE(CONTROL!$C$42, 17.07, 17.07) * CHOOSE(CONTROL!$C$21, $C$9, 100%, $E$9)</f>
        <v>17.07</v>
      </c>
      <c r="R338" s="14">
        <f>CHOOSE(CONTROL!$C$42, 17.6997, 17.6997) * CHOOSE(CONTROL!$C$21, $C$9, 100%, $E$9)</f>
        <v>17.6997</v>
      </c>
      <c r="S338" s="14">
        <f>CHOOSE(CONTROL!$C$42, 16.0626, 16.0626) * CHOOSE(CONTROL!$C$21, $C$9, 100%, $E$9)</f>
        <v>16.0626</v>
      </c>
      <c r="T33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7">
        <f>(1000*CHOOSE(CONTROL!$C$42, 695, 695)*CHOOSE(CONTROL!$C$42, 0.5599, 0.5599)*CHOOSE(CONTROL!$C$42, 29, 29))/1000000</f>
        <v>11.284784499999999</v>
      </c>
      <c r="V338" s="57">
        <f>(1000*CHOOSE(CONTROL!$C$42, 500, 500)*CHOOSE(CONTROL!$C$42, 0.275, 0.275)*CHOOSE(CONTROL!$C$42, 29, 29))/1000000</f>
        <v>3.9874999999999998</v>
      </c>
      <c r="W338" s="57">
        <f>(1000*CHOOSE(CONTROL!$C$42, 0.1146, 0.1146)*CHOOSE(CONTROL!$C$42, 121.5, 121.5)*CHOOSE(CONTROL!$C$42, 29, 29))/1000000</f>
        <v>0.40379309999999996</v>
      </c>
      <c r="X338" s="57">
        <f>(29*0.1790888*100000/1000000)+(29*0.2374*100000/1000000)</f>
        <v>1.2078175199999999</v>
      </c>
      <c r="Y338" s="57"/>
      <c r="Z338" s="14"/>
      <c r="AA338" s="56"/>
      <c r="AB338" s="50">
        <f>(B338*122.58+C338*297.941+D338*89.177+E338*40.302+F338*40+G338*160+H338*0+I338*100+J338*300)/(122.58+297.941+89.177+40.302+0+40+160+100+300)</f>
        <v>16.74029618226087</v>
      </c>
      <c r="AC338" s="45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16.435225179856118</v>
      </c>
    </row>
    <row r="339" spans="1:29" ht="15.75" x14ac:dyDescent="0.25">
      <c r="A339" s="33">
        <v>51226</v>
      </c>
      <c r="B339" s="14">
        <f>CHOOSE(CONTROL!$C$42, 16.2506, 16.2506) * CHOOSE(CONTROL!$C$21, $C$9, 100%, $E$9)</f>
        <v>16.250599999999999</v>
      </c>
      <c r="C339" s="14">
        <f>CHOOSE(CONTROL!$C$42, 16.2556, 16.2556) * CHOOSE(CONTROL!$C$21, $C$9, 100%, $E$9)</f>
        <v>16.255600000000001</v>
      </c>
      <c r="D339" s="14">
        <f>CHOOSE(CONTROL!$C$42, 16.3142, 16.3142) * CHOOSE(CONTROL!$C$21, $C$9, 100%, $E$9)</f>
        <v>16.3142</v>
      </c>
      <c r="E339" s="14">
        <f>CHOOSE(CONTROL!$C$42, 16.3483, 16.3483) * CHOOSE(CONTROL!$C$21, $C$9, 100%, $E$9)</f>
        <v>16.348299999999998</v>
      </c>
      <c r="F339" s="14">
        <f>CHOOSE(CONTROL!$C$42, 16.2491, 16.2491)*CHOOSE(CONTROL!$C$21, $C$9, 100%, $E$9)</f>
        <v>16.249099999999999</v>
      </c>
      <c r="G339" s="14">
        <f>CHOOSE(CONTROL!$C$42, 16.2654, 16.2654)*CHOOSE(CONTROL!$C$21, $C$9, 100%, $E$9)</f>
        <v>16.2654</v>
      </c>
      <c r="H339" s="14">
        <f>CHOOSE(CONTROL!$C$42, 16.3375, 16.3375) * CHOOSE(CONTROL!$C$21, $C$9, 100%, $E$9)</f>
        <v>16.337499999999999</v>
      </c>
      <c r="I339" s="14">
        <f>CHOOSE(CONTROL!$C$42, 16.3117, 16.3117)* CHOOSE(CONTROL!$C$21, $C$9, 100%, $E$9)</f>
        <v>16.311699999999998</v>
      </c>
      <c r="J339" s="14">
        <f>CHOOSE(CONTROL!$C$42, 16.2421, 16.2421)* CHOOSE(CONTROL!$C$21, $C$9, 100%, $E$9)</f>
        <v>16.242100000000001</v>
      </c>
      <c r="K339" s="53">
        <f>CHOOSE(CONTROL!$C$42, 16.3078, 16.3078) * CHOOSE(CONTROL!$C$21, $C$9, 100%, $E$9)</f>
        <v>16.3078</v>
      </c>
      <c r="L339" s="14">
        <f>CHOOSE(CONTROL!$C$42, 16.9245, 16.9245) * CHOOSE(CONTROL!$C$21, $C$9, 100%, $E$9)</f>
        <v>16.924499999999998</v>
      </c>
      <c r="M339" s="14">
        <f>CHOOSE(CONTROL!$C$42, 15.917, 15.917) * CHOOSE(CONTROL!$C$21, $C$9, 100%, $E$9)</f>
        <v>15.917</v>
      </c>
      <c r="N339" s="14">
        <f>CHOOSE(CONTROL!$C$42, 15.9329, 15.9329) * CHOOSE(CONTROL!$C$21, $C$9, 100%, $E$9)</f>
        <v>15.9329</v>
      </c>
      <c r="O339" s="14">
        <f>CHOOSE(CONTROL!$C$42, 16.0105, 16.0105) * CHOOSE(CONTROL!$C$21, $C$9, 100%, $E$9)</f>
        <v>16.0105</v>
      </c>
      <c r="P339" s="14">
        <f>CHOOSE(CONTROL!$C$42, 15.9842, 15.9842) * CHOOSE(CONTROL!$C$21, $C$9, 100%, $E$9)</f>
        <v>15.9842</v>
      </c>
      <c r="Q339" s="14">
        <f>CHOOSE(CONTROL!$C$42, 16.6052, 16.6052) * CHOOSE(CONTROL!$C$21, $C$9, 100%, $E$9)</f>
        <v>16.6052</v>
      </c>
      <c r="R339" s="14">
        <f>CHOOSE(CONTROL!$C$42, 17.2337, 17.2337) * CHOOSE(CONTROL!$C$21, $C$9, 100%, $E$9)</f>
        <v>17.233699999999999</v>
      </c>
      <c r="S339" s="14">
        <f>CHOOSE(CONTROL!$C$42, 15.6066, 15.6066) * CHOOSE(CONTROL!$C$21, $C$9, 100%, $E$9)</f>
        <v>15.6066</v>
      </c>
      <c r="T3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7">
        <f>(1000*CHOOSE(CONTROL!$C$42, 695, 695)*CHOOSE(CONTROL!$C$42, 0.5599, 0.5599)*CHOOSE(CONTROL!$C$42, 31, 31))/1000000</f>
        <v>12.063045499999998</v>
      </c>
      <c r="V339" s="57">
        <f>(1000*CHOOSE(CONTROL!$C$42, 500, 500)*CHOOSE(CONTROL!$C$42, 0.275, 0.275)*CHOOSE(CONTROL!$C$42, 31, 31))/1000000</f>
        <v>4.2625000000000002</v>
      </c>
      <c r="W339" s="57">
        <f>(1000*CHOOSE(CONTROL!$C$42, 0.1146, 0.1146)*CHOOSE(CONTROL!$C$42, 121.5, 121.5)*CHOOSE(CONTROL!$C$42, 31, 31))/1000000</f>
        <v>0.43164089999999994</v>
      </c>
      <c r="X339" s="57">
        <f>(31*0.1790888*100000/1000000)+(31*0.2374*100000/1000000)</f>
        <v>1.2911152800000001</v>
      </c>
      <c r="Y339" s="57"/>
      <c r="Z339" s="14"/>
      <c r="AA339" s="56"/>
      <c r="AB339" s="50">
        <f>(B339*122.58+C339*297.941+D339*89.177+E339*40.302+F339*40+G339*160+H339*0+I339*100+J339*300)/(122.58+297.941+89.177+40.302+0+40+160+100+300)</f>
        <v>16.265353797913043</v>
      </c>
      <c r="AC339" s="45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15.969961870503596</v>
      </c>
    </row>
    <row r="340" spans="1:29" ht="15.75" x14ac:dyDescent="0.25">
      <c r="A340" s="33">
        <v>51256</v>
      </c>
      <c r="B340" s="14">
        <f>CHOOSE(CONTROL!$C$42, 16.2031, 16.2031) * CHOOSE(CONTROL!$C$21, $C$9, 100%, $E$9)</f>
        <v>16.203099999999999</v>
      </c>
      <c r="C340" s="14">
        <f>CHOOSE(CONTROL!$C$42, 16.2076, 16.2076) * CHOOSE(CONTROL!$C$21, $C$9, 100%, $E$9)</f>
        <v>16.207599999999999</v>
      </c>
      <c r="D340" s="14">
        <f>CHOOSE(CONTROL!$C$42, 16.4157, 16.4157) * CHOOSE(CONTROL!$C$21, $C$9, 100%, $E$9)</f>
        <v>16.415700000000001</v>
      </c>
      <c r="E340" s="14">
        <f>CHOOSE(CONTROL!$C$42, 16.4478, 16.4478) * CHOOSE(CONTROL!$C$21, $C$9, 100%, $E$9)</f>
        <v>16.447800000000001</v>
      </c>
      <c r="F340" s="14">
        <f>CHOOSE(CONTROL!$C$42, 16.1904, 16.1904)*CHOOSE(CONTROL!$C$21, $C$9, 100%, $E$9)</f>
        <v>16.1904</v>
      </c>
      <c r="G340" s="14">
        <f>CHOOSE(CONTROL!$C$42, 16.2064, 16.2064)*CHOOSE(CONTROL!$C$21, $C$9, 100%, $E$9)</f>
        <v>16.206399999999999</v>
      </c>
      <c r="H340" s="14">
        <f>CHOOSE(CONTROL!$C$42, 16.4376, 16.4376) * CHOOSE(CONTROL!$C$21, $C$9, 100%, $E$9)</f>
        <v>16.4376</v>
      </c>
      <c r="I340" s="14">
        <f>CHOOSE(CONTROL!$C$42, 16.2633, 16.2633)* CHOOSE(CONTROL!$C$21, $C$9, 100%, $E$9)</f>
        <v>16.263300000000001</v>
      </c>
      <c r="J340" s="14">
        <f>CHOOSE(CONTROL!$C$42, 16.1834, 16.1834)* CHOOSE(CONTROL!$C$21, $C$9, 100%, $E$9)</f>
        <v>16.183399999999999</v>
      </c>
      <c r="K340" s="53">
        <f>CHOOSE(CONTROL!$C$42, 16.2594, 16.2594) * CHOOSE(CONTROL!$C$21, $C$9, 100%, $E$9)</f>
        <v>16.259399999999999</v>
      </c>
      <c r="L340" s="14">
        <f>CHOOSE(CONTROL!$C$42, 17.0246, 17.0246) * CHOOSE(CONTROL!$C$21, $C$9, 100%, $E$9)</f>
        <v>17.0246</v>
      </c>
      <c r="M340" s="14">
        <f>CHOOSE(CONTROL!$C$42, 15.8596, 15.8596) * CHOOSE(CONTROL!$C$21, $C$9, 100%, $E$9)</f>
        <v>15.8596</v>
      </c>
      <c r="N340" s="14">
        <f>CHOOSE(CONTROL!$C$42, 15.8752, 15.8752) * CHOOSE(CONTROL!$C$21, $C$9, 100%, $E$9)</f>
        <v>15.8752</v>
      </c>
      <c r="O340" s="14">
        <f>CHOOSE(CONTROL!$C$42, 16.1085, 16.1085) * CHOOSE(CONTROL!$C$21, $C$9, 100%, $E$9)</f>
        <v>16.108499999999999</v>
      </c>
      <c r="P340" s="14">
        <f>CHOOSE(CONTROL!$C$42, 15.9368, 15.9368) * CHOOSE(CONTROL!$C$21, $C$9, 100%, $E$9)</f>
        <v>15.9368</v>
      </c>
      <c r="Q340" s="14">
        <f>CHOOSE(CONTROL!$C$42, 16.7032, 16.7032) * CHOOSE(CONTROL!$C$21, $C$9, 100%, $E$9)</f>
        <v>16.703199999999999</v>
      </c>
      <c r="R340" s="14">
        <f>CHOOSE(CONTROL!$C$42, 17.332, 17.332) * CHOOSE(CONTROL!$C$21, $C$9, 100%, $E$9)</f>
        <v>17.332000000000001</v>
      </c>
      <c r="S340" s="14">
        <f>CHOOSE(CONTROL!$C$42, 15.5603, 15.5603) * CHOOSE(CONTROL!$C$21, $C$9, 100%, $E$9)</f>
        <v>15.5603</v>
      </c>
      <c r="T3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7">
        <f>(1000*CHOOSE(CONTROL!$C$42, 695, 695)*CHOOSE(CONTROL!$C$42, 0.5599, 0.5599)*CHOOSE(CONTROL!$C$42, 30, 30))/1000000</f>
        <v>11.673914999999997</v>
      </c>
      <c r="V340" s="57">
        <f>(1000*CHOOSE(CONTROL!$C$42, 500, 500)*CHOOSE(CONTROL!$C$42, 0.275, 0.275)*CHOOSE(CONTROL!$C$42, 30, 30))/1000000</f>
        <v>4.125</v>
      </c>
      <c r="W340" s="57">
        <f>(1000*CHOOSE(CONTROL!$C$42, 0.1146, 0.1146)*CHOOSE(CONTROL!$C$42, 121.5, 121.5)*CHOOSE(CONTROL!$C$42, 30, 30))/1000000</f>
        <v>0.417717</v>
      </c>
      <c r="X340" s="57">
        <f>(30*0.1790888*245000/1000000)+(30*0.2374*100000/1000000)</f>
        <v>2.0285026799999999</v>
      </c>
      <c r="Y340" s="57"/>
      <c r="Z340" s="14"/>
      <c r="AA340" s="56"/>
      <c r="AB340" s="50">
        <f>(B340*141.293+C340*267.993+D340*115.016+E340*89.698+F340*40+G340*185+H340*0+I340*100+J340*300)/(141.293+267.993+115.016+89.698+0+40+185+100+300)</f>
        <v>16.241695617998385</v>
      </c>
      <c r="AC340" s="45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15.944134532374102</v>
      </c>
    </row>
    <row r="341" spans="1:29" ht="15.75" x14ac:dyDescent="0.25">
      <c r="A341" s="33">
        <v>51287</v>
      </c>
      <c r="B341" s="14">
        <f>CHOOSE(CONTROL!$C$42, 16.3474, 16.3474) * CHOOSE(CONTROL!$C$21, $C$9, 100%, $E$9)</f>
        <v>16.3474</v>
      </c>
      <c r="C341" s="14">
        <f>CHOOSE(CONTROL!$C$42, 16.3554, 16.3554) * CHOOSE(CONTROL!$C$21, $C$9, 100%, $E$9)</f>
        <v>16.355399999999999</v>
      </c>
      <c r="D341" s="14">
        <f>CHOOSE(CONTROL!$C$42, 16.5604, 16.5604) * CHOOSE(CONTROL!$C$21, $C$9, 100%, $E$9)</f>
        <v>16.560400000000001</v>
      </c>
      <c r="E341" s="14">
        <f>CHOOSE(CONTROL!$C$42, 16.5919, 16.5919) * CHOOSE(CONTROL!$C$21, $C$9, 100%, $E$9)</f>
        <v>16.591899999999999</v>
      </c>
      <c r="F341" s="14">
        <f>CHOOSE(CONTROL!$C$42, 16.3336, 16.3336)*CHOOSE(CONTROL!$C$21, $C$9, 100%, $E$9)</f>
        <v>16.333600000000001</v>
      </c>
      <c r="G341" s="14">
        <f>CHOOSE(CONTROL!$C$42, 16.35, 16.35)*CHOOSE(CONTROL!$C$21, $C$9, 100%, $E$9)</f>
        <v>16.350000000000001</v>
      </c>
      <c r="H341" s="14">
        <f>CHOOSE(CONTROL!$C$42, 16.5805, 16.5805) * CHOOSE(CONTROL!$C$21, $C$9, 100%, $E$9)</f>
        <v>16.580500000000001</v>
      </c>
      <c r="I341" s="14">
        <f>CHOOSE(CONTROL!$C$42, 16.4067, 16.4067)* CHOOSE(CONTROL!$C$21, $C$9, 100%, $E$9)</f>
        <v>16.406700000000001</v>
      </c>
      <c r="J341" s="14">
        <f>CHOOSE(CONTROL!$C$42, 16.3266, 16.3266)* CHOOSE(CONTROL!$C$21, $C$9, 100%, $E$9)</f>
        <v>16.326599999999999</v>
      </c>
      <c r="K341" s="53">
        <f>CHOOSE(CONTROL!$C$42, 16.4028, 16.4028) * CHOOSE(CONTROL!$C$21, $C$9, 100%, $E$9)</f>
        <v>16.402799999999999</v>
      </c>
      <c r="L341" s="14">
        <f>CHOOSE(CONTROL!$C$42, 17.1675, 17.1675) * CHOOSE(CONTROL!$C$21, $C$9, 100%, $E$9)</f>
        <v>17.1675</v>
      </c>
      <c r="M341" s="14">
        <f>CHOOSE(CONTROL!$C$42, 15.9998, 15.9998) * CHOOSE(CONTROL!$C$21, $C$9, 100%, $E$9)</f>
        <v>15.9998</v>
      </c>
      <c r="N341" s="14">
        <f>CHOOSE(CONTROL!$C$42, 16.0159, 16.0159) * CHOOSE(CONTROL!$C$21, $C$9, 100%, $E$9)</f>
        <v>16.015899999999998</v>
      </c>
      <c r="O341" s="14">
        <f>CHOOSE(CONTROL!$C$42, 16.2485, 16.2485) * CHOOSE(CONTROL!$C$21, $C$9, 100%, $E$9)</f>
        <v>16.2485</v>
      </c>
      <c r="P341" s="14">
        <f>CHOOSE(CONTROL!$C$42, 16.0772, 16.0772) * CHOOSE(CONTROL!$C$21, $C$9, 100%, $E$9)</f>
        <v>16.077200000000001</v>
      </c>
      <c r="Q341" s="14">
        <f>CHOOSE(CONTROL!$C$42, 16.8432, 16.8432) * CHOOSE(CONTROL!$C$21, $C$9, 100%, $E$9)</f>
        <v>16.8432</v>
      </c>
      <c r="R341" s="14">
        <f>CHOOSE(CONTROL!$C$42, 17.4723, 17.4723) * CHOOSE(CONTROL!$C$21, $C$9, 100%, $E$9)</f>
        <v>17.472300000000001</v>
      </c>
      <c r="S341" s="14">
        <f>CHOOSE(CONTROL!$C$42, 15.6976, 15.6976) * CHOOSE(CONTROL!$C$21, $C$9, 100%, $E$9)</f>
        <v>15.6976</v>
      </c>
      <c r="T3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7">
        <f>(1000*CHOOSE(CONTROL!$C$42, 695, 695)*CHOOSE(CONTROL!$C$42, 0.5599, 0.5599)*CHOOSE(CONTROL!$C$42, 31, 31))/1000000</f>
        <v>12.063045499999998</v>
      </c>
      <c r="V341" s="57">
        <f>(1000*CHOOSE(CONTROL!$C$42, 500, 500)*CHOOSE(CONTROL!$C$42, 0.275, 0.275)*CHOOSE(CONTROL!$C$42, 31, 31))/1000000</f>
        <v>4.2625000000000002</v>
      </c>
      <c r="W341" s="57">
        <f>(1000*CHOOSE(CONTROL!$C$42, 0.1146, 0.1146)*CHOOSE(CONTROL!$C$42, 121.5, 121.5)*CHOOSE(CONTROL!$C$42, 31, 31))/1000000</f>
        <v>0.43164089999999994</v>
      </c>
      <c r="X341" s="57">
        <f>(31*0.1790888*245000/1000000)+(31*0.2374*100000/1000000)</f>
        <v>2.0961194359999999</v>
      </c>
      <c r="Y341" s="57"/>
      <c r="Z341" s="14"/>
      <c r="AA341" s="56"/>
      <c r="AB341" s="50">
        <f>(B341*194.205+C341*267.466+D341*133.845+E341*53.484+F341*40+G341*185+H341*0+I341*100+J341*300)/(194.205+267.466+133.845+53.484+0+40+185+100+300)</f>
        <v>16.381422410518056</v>
      </c>
      <c r="AC341" s="45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16.084422302158274</v>
      </c>
    </row>
    <row r="342" spans="1:29" ht="15.75" x14ac:dyDescent="0.25">
      <c r="A342" s="33">
        <v>51317</v>
      </c>
      <c r="B342" s="14">
        <f>CHOOSE(CONTROL!$C$42, 16.8108, 16.8108) * CHOOSE(CONTROL!$C$21, $C$9, 100%, $E$9)</f>
        <v>16.8108</v>
      </c>
      <c r="C342" s="14">
        <f>CHOOSE(CONTROL!$C$42, 16.8188, 16.8188) * CHOOSE(CONTROL!$C$21, $C$9, 100%, $E$9)</f>
        <v>16.8188</v>
      </c>
      <c r="D342" s="14">
        <f>CHOOSE(CONTROL!$C$42, 17.0238, 17.0238) * CHOOSE(CONTROL!$C$21, $C$9, 100%, $E$9)</f>
        <v>17.023800000000001</v>
      </c>
      <c r="E342" s="14">
        <f>CHOOSE(CONTROL!$C$42, 17.0553, 17.0553) * CHOOSE(CONTROL!$C$21, $C$9, 100%, $E$9)</f>
        <v>17.055299999999999</v>
      </c>
      <c r="F342" s="14">
        <f>CHOOSE(CONTROL!$C$42, 16.7974, 16.7974)*CHOOSE(CONTROL!$C$21, $C$9, 100%, $E$9)</f>
        <v>16.7974</v>
      </c>
      <c r="G342" s="14">
        <f>CHOOSE(CONTROL!$C$42, 16.8139, 16.8139)*CHOOSE(CONTROL!$C$21, $C$9, 100%, $E$9)</f>
        <v>16.8139</v>
      </c>
      <c r="H342" s="14">
        <f>CHOOSE(CONTROL!$C$42, 17.0439, 17.0439) * CHOOSE(CONTROL!$C$21, $C$9, 100%, $E$9)</f>
        <v>17.043900000000001</v>
      </c>
      <c r="I342" s="14">
        <f>CHOOSE(CONTROL!$C$42, 16.8715, 16.8715)* CHOOSE(CONTROL!$C$21, $C$9, 100%, $E$9)</f>
        <v>16.871500000000001</v>
      </c>
      <c r="J342" s="14">
        <f>CHOOSE(CONTROL!$C$42, 16.7904, 16.7904)* CHOOSE(CONTROL!$C$21, $C$9, 100%, $E$9)</f>
        <v>16.790400000000002</v>
      </c>
      <c r="K342" s="53">
        <f>CHOOSE(CONTROL!$C$42, 16.8676, 16.8676) * CHOOSE(CONTROL!$C$21, $C$9, 100%, $E$9)</f>
        <v>16.867599999999999</v>
      </c>
      <c r="L342" s="14">
        <f>CHOOSE(CONTROL!$C$42, 17.6309, 17.6309) * CHOOSE(CONTROL!$C$21, $C$9, 100%, $E$9)</f>
        <v>17.6309</v>
      </c>
      <c r="M342" s="14">
        <f>CHOOSE(CONTROL!$C$42, 16.454, 16.454) * CHOOSE(CONTROL!$C$21, $C$9, 100%, $E$9)</f>
        <v>16.454000000000001</v>
      </c>
      <c r="N342" s="14">
        <f>CHOOSE(CONTROL!$C$42, 16.4702, 16.4702) * CHOOSE(CONTROL!$C$21, $C$9, 100%, $E$9)</f>
        <v>16.470199999999998</v>
      </c>
      <c r="O342" s="14">
        <f>CHOOSE(CONTROL!$C$42, 16.7024, 16.7024) * CHOOSE(CONTROL!$C$21, $C$9, 100%, $E$9)</f>
        <v>16.702400000000001</v>
      </c>
      <c r="P342" s="14">
        <f>CHOOSE(CONTROL!$C$42, 16.5325, 16.5325) * CHOOSE(CONTROL!$C$21, $C$9, 100%, $E$9)</f>
        <v>16.532499999999999</v>
      </c>
      <c r="Q342" s="14">
        <f>CHOOSE(CONTROL!$C$42, 17.2971, 17.2971) * CHOOSE(CONTROL!$C$21, $C$9, 100%, $E$9)</f>
        <v>17.2971</v>
      </c>
      <c r="R342" s="14">
        <f>CHOOSE(CONTROL!$C$42, 17.9273, 17.9273) * CHOOSE(CONTROL!$C$21, $C$9, 100%, $E$9)</f>
        <v>17.927299999999999</v>
      </c>
      <c r="S342" s="14">
        <f>CHOOSE(CONTROL!$C$42, 16.1429, 16.1429) * CHOOSE(CONTROL!$C$21, $C$9, 100%, $E$9)</f>
        <v>16.142900000000001</v>
      </c>
      <c r="T3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7">
        <f>(1000*CHOOSE(CONTROL!$C$42, 695, 695)*CHOOSE(CONTROL!$C$42, 0.5599, 0.5599)*CHOOSE(CONTROL!$C$42, 30, 30))/1000000</f>
        <v>11.673914999999997</v>
      </c>
      <c r="V342" s="57">
        <f>(1000*CHOOSE(CONTROL!$C$42, 500, 500)*CHOOSE(CONTROL!$C$42, 0.275, 0.275)*CHOOSE(CONTROL!$C$42, 30, 30))/1000000</f>
        <v>4.125</v>
      </c>
      <c r="W342" s="57">
        <f>(1000*CHOOSE(CONTROL!$C$42, 0.1146, 0.1146)*CHOOSE(CONTROL!$C$42, 121.5, 121.5)*CHOOSE(CONTROL!$C$42, 30, 30))/1000000</f>
        <v>0.417717</v>
      </c>
      <c r="X342" s="57">
        <f>(30*0.1790888*245000/1000000)+(30*0.2374*100000/1000000)</f>
        <v>2.0285026799999999</v>
      </c>
      <c r="Y342" s="57"/>
      <c r="Z342" s="14"/>
      <c r="AA342" s="56"/>
      <c r="AB342" s="50">
        <f>(B342*194.205+C342*267.466+D342*133.845+E342*53.484+F342*40+G342*185+H342*0+I342*100+J342*300)/(194.205+267.466+133.845+53.484+0+40+185+100+300)</f>
        <v>16.845111656985875</v>
      </c>
      <c r="AC342" s="45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16.538719424460432</v>
      </c>
    </row>
    <row r="343" spans="1:29" ht="15.75" x14ac:dyDescent="0.25">
      <c r="A343" s="33">
        <v>51348</v>
      </c>
      <c r="B343" s="14">
        <f>CHOOSE(CONTROL!$C$42, 16.4885, 16.4885) * CHOOSE(CONTROL!$C$21, $C$9, 100%, $E$9)</f>
        <v>16.488499999999998</v>
      </c>
      <c r="C343" s="14">
        <f>CHOOSE(CONTROL!$C$42, 16.4965, 16.4965) * CHOOSE(CONTROL!$C$21, $C$9, 100%, $E$9)</f>
        <v>16.496500000000001</v>
      </c>
      <c r="D343" s="14">
        <f>CHOOSE(CONTROL!$C$42, 16.7015, 16.7015) * CHOOSE(CONTROL!$C$21, $C$9, 100%, $E$9)</f>
        <v>16.701499999999999</v>
      </c>
      <c r="E343" s="14">
        <f>CHOOSE(CONTROL!$C$42, 16.733, 16.733) * CHOOSE(CONTROL!$C$21, $C$9, 100%, $E$9)</f>
        <v>16.733000000000001</v>
      </c>
      <c r="F343" s="14">
        <f>CHOOSE(CONTROL!$C$42, 16.4755, 16.4755)*CHOOSE(CONTROL!$C$21, $C$9, 100%, $E$9)</f>
        <v>16.4755</v>
      </c>
      <c r="G343" s="14">
        <f>CHOOSE(CONTROL!$C$42, 16.4921, 16.4921)*CHOOSE(CONTROL!$C$21, $C$9, 100%, $E$9)</f>
        <v>16.492100000000001</v>
      </c>
      <c r="H343" s="14">
        <f>CHOOSE(CONTROL!$C$42, 16.7216, 16.7216) * CHOOSE(CONTROL!$C$21, $C$9, 100%, $E$9)</f>
        <v>16.721599999999999</v>
      </c>
      <c r="I343" s="14">
        <f>CHOOSE(CONTROL!$C$42, 16.5482, 16.5482)* CHOOSE(CONTROL!$C$21, $C$9, 100%, $E$9)</f>
        <v>16.548200000000001</v>
      </c>
      <c r="J343" s="14">
        <f>CHOOSE(CONTROL!$C$42, 16.4685, 16.4685)* CHOOSE(CONTROL!$C$21, $C$9, 100%, $E$9)</f>
        <v>16.468499999999999</v>
      </c>
      <c r="K343" s="53">
        <f>CHOOSE(CONTROL!$C$42, 16.5443, 16.5443) * CHOOSE(CONTROL!$C$21, $C$9, 100%, $E$9)</f>
        <v>16.5443</v>
      </c>
      <c r="L343" s="14">
        <f>CHOOSE(CONTROL!$C$42, 17.3086, 17.3086) * CHOOSE(CONTROL!$C$21, $C$9, 100%, $E$9)</f>
        <v>17.308599999999998</v>
      </c>
      <c r="M343" s="14">
        <f>CHOOSE(CONTROL!$C$42, 16.1388, 16.1388) * CHOOSE(CONTROL!$C$21, $C$9, 100%, $E$9)</f>
        <v>16.1388</v>
      </c>
      <c r="N343" s="14">
        <f>CHOOSE(CONTROL!$C$42, 16.155, 16.155) * CHOOSE(CONTROL!$C$21, $C$9, 100%, $E$9)</f>
        <v>16.155000000000001</v>
      </c>
      <c r="O343" s="14">
        <f>CHOOSE(CONTROL!$C$42, 16.3867, 16.3867) * CHOOSE(CONTROL!$C$21, $C$9, 100%, $E$9)</f>
        <v>16.386700000000001</v>
      </c>
      <c r="P343" s="14">
        <f>CHOOSE(CONTROL!$C$42, 16.2159, 16.2159) * CHOOSE(CONTROL!$C$21, $C$9, 100%, $E$9)</f>
        <v>16.215900000000001</v>
      </c>
      <c r="Q343" s="14">
        <f>CHOOSE(CONTROL!$C$42, 16.9814, 16.9814) * CHOOSE(CONTROL!$C$21, $C$9, 100%, $E$9)</f>
        <v>16.981400000000001</v>
      </c>
      <c r="R343" s="14">
        <f>CHOOSE(CONTROL!$C$42, 17.6108, 17.6108) * CHOOSE(CONTROL!$C$21, $C$9, 100%, $E$9)</f>
        <v>17.610800000000001</v>
      </c>
      <c r="S343" s="14">
        <f>CHOOSE(CONTROL!$C$42, 15.8332, 15.8332) * CHOOSE(CONTROL!$C$21, $C$9, 100%, $E$9)</f>
        <v>15.8332</v>
      </c>
      <c r="T3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7">
        <f>(1000*CHOOSE(CONTROL!$C$42, 695, 695)*CHOOSE(CONTROL!$C$42, 0.5599, 0.5599)*CHOOSE(CONTROL!$C$42, 31, 31))/1000000</f>
        <v>12.063045499999998</v>
      </c>
      <c r="V343" s="57">
        <f>(1000*CHOOSE(CONTROL!$C$42, 500, 500)*CHOOSE(CONTROL!$C$42, 0.275, 0.275)*CHOOSE(CONTROL!$C$42, 31, 31))/1000000</f>
        <v>4.2625000000000002</v>
      </c>
      <c r="W343" s="57">
        <f>(1000*CHOOSE(CONTROL!$C$42, 0.1146, 0.1146)*CHOOSE(CONTROL!$C$42, 121.5, 121.5)*CHOOSE(CONTROL!$C$42, 31, 31))/1000000</f>
        <v>0.43164089999999994</v>
      </c>
      <c r="X343" s="57">
        <f>(31*0.1790888*245000/1000000)+(31*0.2374*100000/1000000)</f>
        <v>2.0961194359999999</v>
      </c>
      <c r="Y343" s="57"/>
      <c r="Z343" s="14"/>
      <c r="AA343" s="56"/>
      <c r="AB343" s="50">
        <f>(B343*194.205+C343*267.466+D343*133.845+E343*53.484+F343*40+G343*185+H343*0+I343*100+J343*300)/(194.205+267.466+133.845+53.484+0+40+185+100+300)</f>
        <v>16.522912520408163</v>
      </c>
      <c r="AC343" s="45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16.223177697841727</v>
      </c>
    </row>
    <row r="344" spans="1:29" ht="15.75" x14ac:dyDescent="0.25">
      <c r="A344" s="33">
        <v>51379</v>
      </c>
      <c r="B344" s="14">
        <f>CHOOSE(CONTROL!$C$42, 15.6747, 15.6747) * CHOOSE(CONTROL!$C$21, $C$9, 100%, $E$9)</f>
        <v>15.6747</v>
      </c>
      <c r="C344" s="14">
        <f>CHOOSE(CONTROL!$C$42, 15.6827, 15.6827) * CHOOSE(CONTROL!$C$21, $C$9, 100%, $E$9)</f>
        <v>15.682700000000001</v>
      </c>
      <c r="D344" s="14">
        <f>CHOOSE(CONTROL!$C$42, 15.8877, 15.8877) * CHOOSE(CONTROL!$C$21, $C$9, 100%, $E$9)</f>
        <v>15.887700000000001</v>
      </c>
      <c r="E344" s="14">
        <f>CHOOSE(CONTROL!$C$42, 15.9191, 15.9191) * CHOOSE(CONTROL!$C$21, $C$9, 100%, $E$9)</f>
        <v>15.9191</v>
      </c>
      <c r="F344" s="14">
        <f>CHOOSE(CONTROL!$C$42, 15.6619, 15.6619)*CHOOSE(CONTROL!$C$21, $C$9, 100%, $E$9)</f>
        <v>15.661899999999999</v>
      </c>
      <c r="G344" s="14">
        <f>CHOOSE(CONTROL!$C$42, 15.6785, 15.6785)*CHOOSE(CONTROL!$C$21, $C$9, 100%, $E$9)</f>
        <v>15.6785</v>
      </c>
      <c r="H344" s="14">
        <f>CHOOSE(CONTROL!$C$42, 15.9078, 15.9078) * CHOOSE(CONTROL!$C$21, $C$9, 100%, $E$9)</f>
        <v>15.9078</v>
      </c>
      <c r="I344" s="14">
        <f>CHOOSE(CONTROL!$C$42, 15.7318, 15.7318)* CHOOSE(CONTROL!$C$21, $C$9, 100%, $E$9)</f>
        <v>15.7318</v>
      </c>
      <c r="J344" s="14">
        <f>CHOOSE(CONTROL!$C$42, 15.6549, 15.6549)* CHOOSE(CONTROL!$C$21, $C$9, 100%, $E$9)</f>
        <v>15.6549</v>
      </c>
      <c r="K344" s="53">
        <f>CHOOSE(CONTROL!$C$42, 15.7279, 15.7279) * CHOOSE(CONTROL!$C$21, $C$9, 100%, $E$9)</f>
        <v>15.7279</v>
      </c>
      <c r="L344" s="14">
        <f>CHOOSE(CONTROL!$C$42, 16.4948, 16.4948) * CHOOSE(CONTROL!$C$21, $C$9, 100%, $E$9)</f>
        <v>16.494800000000001</v>
      </c>
      <c r="M344" s="14">
        <f>CHOOSE(CONTROL!$C$42, 15.3418, 15.3418) * CHOOSE(CONTROL!$C$21, $C$9, 100%, $E$9)</f>
        <v>15.341799999999999</v>
      </c>
      <c r="N344" s="14">
        <f>CHOOSE(CONTROL!$C$42, 15.3581, 15.3581) * CHOOSE(CONTROL!$C$21, $C$9, 100%, $E$9)</f>
        <v>15.3581</v>
      </c>
      <c r="O344" s="14">
        <f>CHOOSE(CONTROL!$C$42, 15.5895, 15.5895) * CHOOSE(CONTROL!$C$21, $C$9, 100%, $E$9)</f>
        <v>15.589499999999999</v>
      </c>
      <c r="P344" s="14">
        <f>CHOOSE(CONTROL!$C$42, 15.4163, 15.4163) * CHOOSE(CONTROL!$C$21, $C$9, 100%, $E$9)</f>
        <v>15.4163</v>
      </c>
      <c r="Q344" s="14">
        <f>CHOOSE(CONTROL!$C$42, 16.1842, 16.1842) * CHOOSE(CONTROL!$C$21, $C$9, 100%, $E$9)</f>
        <v>16.184200000000001</v>
      </c>
      <c r="R344" s="14">
        <f>CHOOSE(CONTROL!$C$42, 16.8117, 16.8117) * CHOOSE(CONTROL!$C$21, $C$9, 100%, $E$9)</f>
        <v>16.811699999999998</v>
      </c>
      <c r="S344" s="14">
        <f>CHOOSE(CONTROL!$C$42, 15.0512, 15.0512) * CHOOSE(CONTROL!$C$21, $C$9, 100%, $E$9)</f>
        <v>15.0512</v>
      </c>
      <c r="T3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7">
        <f>(1000*CHOOSE(CONTROL!$C$42, 695, 695)*CHOOSE(CONTROL!$C$42, 0.5599, 0.5599)*CHOOSE(CONTROL!$C$42, 31, 31))/1000000</f>
        <v>12.063045499999998</v>
      </c>
      <c r="V344" s="57">
        <f>(1000*CHOOSE(CONTROL!$C$42, 500, 500)*CHOOSE(CONTROL!$C$42, 0.275, 0.275)*CHOOSE(CONTROL!$C$42, 31, 31))/1000000</f>
        <v>4.2625000000000002</v>
      </c>
      <c r="W344" s="57">
        <f>(1000*CHOOSE(CONTROL!$C$42, 0.1146, 0.1146)*CHOOSE(CONTROL!$C$42, 121.5, 121.5)*CHOOSE(CONTROL!$C$42, 31, 31))/1000000</f>
        <v>0.43164089999999994</v>
      </c>
      <c r="X344" s="57">
        <f>(31*0.1790888*245000/1000000)+(31*0.2374*100000/1000000)</f>
        <v>2.0961194359999999</v>
      </c>
      <c r="Y344" s="57"/>
      <c r="Z344" s="14"/>
      <c r="AA344" s="56"/>
      <c r="AB344" s="50">
        <f>(B344*194.205+C344*267.466+D344*133.845+E344*53.484+F344*40+G344*185+H344*0+I344*100+J344*300)/(194.205+267.466+133.845+53.484+0+40+185+100+300)</f>
        <v>15.708986658241763</v>
      </c>
      <c r="AC344" s="45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15.42577050359712</v>
      </c>
    </row>
    <row r="345" spans="1:29" ht="15.75" x14ac:dyDescent="0.25">
      <c r="A345" s="33">
        <v>51409</v>
      </c>
      <c r="B345" s="14">
        <f>CHOOSE(CONTROL!$C$42, 14.6799, 14.6799) * CHOOSE(CONTROL!$C$21, $C$9, 100%, $E$9)</f>
        <v>14.6799</v>
      </c>
      <c r="C345" s="14">
        <f>CHOOSE(CONTROL!$C$42, 14.6879, 14.6879) * CHOOSE(CONTROL!$C$21, $C$9, 100%, $E$9)</f>
        <v>14.687900000000001</v>
      </c>
      <c r="D345" s="14">
        <f>CHOOSE(CONTROL!$C$42, 14.8929, 14.8929) * CHOOSE(CONTROL!$C$21, $C$9, 100%, $E$9)</f>
        <v>14.892899999999999</v>
      </c>
      <c r="E345" s="14">
        <f>CHOOSE(CONTROL!$C$42, 14.9244, 14.9244) * CHOOSE(CONTROL!$C$21, $C$9, 100%, $E$9)</f>
        <v>14.9244</v>
      </c>
      <c r="F345" s="14">
        <f>CHOOSE(CONTROL!$C$42, 14.6671, 14.6671)*CHOOSE(CONTROL!$C$21, $C$9, 100%, $E$9)</f>
        <v>14.6671</v>
      </c>
      <c r="G345" s="14">
        <f>CHOOSE(CONTROL!$C$42, 14.6837, 14.6837)*CHOOSE(CONTROL!$C$21, $C$9, 100%, $E$9)</f>
        <v>14.6837</v>
      </c>
      <c r="H345" s="14">
        <f>CHOOSE(CONTROL!$C$42, 14.913, 14.913) * CHOOSE(CONTROL!$C$21, $C$9, 100%, $E$9)</f>
        <v>14.913</v>
      </c>
      <c r="I345" s="14">
        <f>CHOOSE(CONTROL!$C$42, 14.7339, 14.7339)* CHOOSE(CONTROL!$C$21, $C$9, 100%, $E$9)</f>
        <v>14.7339</v>
      </c>
      <c r="J345" s="14">
        <f>CHOOSE(CONTROL!$C$42, 14.6601, 14.6601)* CHOOSE(CONTROL!$C$21, $C$9, 100%, $E$9)</f>
        <v>14.6601</v>
      </c>
      <c r="K345" s="53">
        <f>CHOOSE(CONTROL!$C$42, 14.73, 14.73) * CHOOSE(CONTROL!$C$21, $C$9, 100%, $E$9)</f>
        <v>14.73</v>
      </c>
      <c r="L345" s="14">
        <f>CHOOSE(CONTROL!$C$42, 15.5, 15.5) * CHOOSE(CONTROL!$C$21, $C$9, 100%, $E$9)</f>
        <v>15.5</v>
      </c>
      <c r="M345" s="14">
        <f>CHOOSE(CONTROL!$C$42, 14.3674, 14.3674) * CHOOSE(CONTROL!$C$21, $C$9, 100%, $E$9)</f>
        <v>14.3674</v>
      </c>
      <c r="N345" s="14">
        <f>CHOOSE(CONTROL!$C$42, 14.3837, 14.3837) * CHOOSE(CONTROL!$C$21, $C$9, 100%, $E$9)</f>
        <v>14.383699999999999</v>
      </c>
      <c r="O345" s="14">
        <f>CHOOSE(CONTROL!$C$42, 14.6151, 14.6151) * CHOOSE(CONTROL!$C$21, $C$9, 100%, $E$9)</f>
        <v>14.6151</v>
      </c>
      <c r="P345" s="14">
        <f>CHOOSE(CONTROL!$C$42, 14.4389, 14.4389) * CHOOSE(CONTROL!$C$21, $C$9, 100%, $E$9)</f>
        <v>14.4389</v>
      </c>
      <c r="Q345" s="14">
        <f>CHOOSE(CONTROL!$C$42, 15.2098, 15.2098) * CHOOSE(CONTROL!$C$21, $C$9, 100%, $E$9)</f>
        <v>15.2098</v>
      </c>
      <c r="R345" s="14">
        <f>CHOOSE(CONTROL!$C$42, 15.8349, 15.8349) * CHOOSE(CONTROL!$C$21, $C$9, 100%, $E$9)</f>
        <v>15.834899999999999</v>
      </c>
      <c r="S345" s="14">
        <f>CHOOSE(CONTROL!$C$42, 14.0953, 14.0953) * CHOOSE(CONTROL!$C$21, $C$9, 100%, $E$9)</f>
        <v>14.0953</v>
      </c>
      <c r="T3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7">
        <f>(1000*CHOOSE(CONTROL!$C$42, 695, 695)*CHOOSE(CONTROL!$C$42, 0.5599, 0.5599)*CHOOSE(CONTROL!$C$42, 30, 30))/1000000</f>
        <v>11.673914999999997</v>
      </c>
      <c r="V345" s="57">
        <f>(1000*CHOOSE(CONTROL!$C$42, 500, 500)*CHOOSE(CONTROL!$C$42, 0.275, 0.275)*CHOOSE(CONTROL!$C$42, 30, 30))/1000000</f>
        <v>4.125</v>
      </c>
      <c r="W345" s="57">
        <f>(1000*CHOOSE(CONTROL!$C$42, 0.1146, 0.1146)*CHOOSE(CONTROL!$C$42, 121.5, 121.5)*CHOOSE(CONTROL!$C$42, 30, 30))/1000000</f>
        <v>0.417717</v>
      </c>
      <c r="X345" s="57">
        <f>(30*0.1790888*245000/1000000)+(30*0.2374*100000/1000000)</f>
        <v>2.0285026799999999</v>
      </c>
      <c r="Y345" s="57"/>
      <c r="Z345" s="14"/>
      <c r="AA345" s="56"/>
      <c r="AB345" s="50">
        <f>(B345*194.205+C345*267.466+D345*133.845+E345*53.484+F345*40+G345*185+H345*0+I345*100+J345*300)/(194.205+267.466+133.845+53.484+0+40+185+100+300)</f>
        <v>14.713947528257457</v>
      </c>
      <c r="AC345" s="45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14.450938848920861</v>
      </c>
    </row>
    <row r="346" spans="1:29" ht="15.75" x14ac:dyDescent="0.25">
      <c r="A346" s="33">
        <v>51440</v>
      </c>
      <c r="B346" s="14">
        <f>CHOOSE(CONTROL!$C$42, 14.3803, 14.3803) * CHOOSE(CONTROL!$C$21, $C$9, 100%, $E$9)</f>
        <v>14.3803</v>
      </c>
      <c r="C346" s="14">
        <f>CHOOSE(CONTROL!$C$42, 14.3856, 14.3856) * CHOOSE(CONTROL!$C$21, $C$9, 100%, $E$9)</f>
        <v>14.3856</v>
      </c>
      <c r="D346" s="14">
        <f>CHOOSE(CONTROL!$C$42, 14.5956, 14.5956) * CHOOSE(CONTROL!$C$21, $C$9, 100%, $E$9)</f>
        <v>14.595599999999999</v>
      </c>
      <c r="E346" s="14">
        <f>CHOOSE(CONTROL!$C$42, 14.6247, 14.6247) * CHOOSE(CONTROL!$C$21, $C$9, 100%, $E$9)</f>
        <v>14.624700000000001</v>
      </c>
      <c r="F346" s="14">
        <f>CHOOSE(CONTROL!$C$42, 14.3695, 14.3695)*CHOOSE(CONTROL!$C$21, $C$9, 100%, $E$9)</f>
        <v>14.3695</v>
      </c>
      <c r="G346" s="14">
        <f>CHOOSE(CONTROL!$C$42, 14.3859, 14.3859)*CHOOSE(CONTROL!$C$21, $C$9, 100%, $E$9)</f>
        <v>14.385899999999999</v>
      </c>
      <c r="H346" s="14">
        <f>CHOOSE(CONTROL!$C$42, 14.6152, 14.6152) * CHOOSE(CONTROL!$C$21, $C$9, 100%, $E$9)</f>
        <v>14.6152</v>
      </c>
      <c r="I346" s="14">
        <f>CHOOSE(CONTROL!$C$42, 14.4352, 14.4352)* CHOOSE(CONTROL!$C$21, $C$9, 100%, $E$9)</f>
        <v>14.4352</v>
      </c>
      <c r="J346" s="14">
        <f>CHOOSE(CONTROL!$C$42, 14.3625, 14.3625)* CHOOSE(CONTROL!$C$21, $C$9, 100%, $E$9)</f>
        <v>14.362500000000001</v>
      </c>
      <c r="K346" s="53">
        <f>CHOOSE(CONTROL!$C$42, 14.4313, 14.4313) * CHOOSE(CONTROL!$C$21, $C$9, 100%, $E$9)</f>
        <v>14.4313</v>
      </c>
      <c r="L346" s="14">
        <f>CHOOSE(CONTROL!$C$42, 15.2022, 15.2022) * CHOOSE(CONTROL!$C$21, $C$9, 100%, $E$9)</f>
        <v>15.202199999999999</v>
      </c>
      <c r="M346" s="14">
        <f>CHOOSE(CONTROL!$C$42, 14.0759, 14.0759) * CHOOSE(CONTROL!$C$21, $C$9, 100%, $E$9)</f>
        <v>14.075900000000001</v>
      </c>
      <c r="N346" s="14">
        <f>CHOOSE(CONTROL!$C$42, 14.092, 14.092) * CHOOSE(CONTROL!$C$21, $C$9, 100%, $E$9)</f>
        <v>14.092000000000001</v>
      </c>
      <c r="O346" s="14">
        <f>CHOOSE(CONTROL!$C$42, 14.3234, 14.3234) * CHOOSE(CONTROL!$C$21, $C$9, 100%, $E$9)</f>
        <v>14.323399999999999</v>
      </c>
      <c r="P346" s="14">
        <f>CHOOSE(CONTROL!$C$42, 14.1463, 14.1463) * CHOOSE(CONTROL!$C$21, $C$9, 100%, $E$9)</f>
        <v>14.1463</v>
      </c>
      <c r="Q346" s="14">
        <f>CHOOSE(CONTROL!$C$42, 14.9181, 14.9181) * CHOOSE(CONTROL!$C$21, $C$9, 100%, $E$9)</f>
        <v>14.918100000000001</v>
      </c>
      <c r="R346" s="14">
        <f>CHOOSE(CONTROL!$C$42, 15.5424, 15.5424) * CHOOSE(CONTROL!$C$21, $C$9, 100%, $E$9)</f>
        <v>15.542400000000001</v>
      </c>
      <c r="S346" s="14">
        <f>CHOOSE(CONTROL!$C$42, 13.8091, 13.8091) * CHOOSE(CONTROL!$C$21, $C$9, 100%, $E$9)</f>
        <v>13.809100000000001</v>
      </c>
      <c r="T3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7">
        <f>(1000*CHOOSE(CONTROL!$C$42, 695, 695)*CHOOSE(CONTROL!$C$42, 0.5599, 0.5599)*CHOOSE(CONTROL!$C$42, 31, 31))/1000000</f>
        <v>12.063045499999998</v>
      </c>
      <c r="V346" s="57">
        <f>(1000*CHOOSE(CONTROL!$C$42, 500, 500)*CHOOSE(CONTROL!$C$42, 0.275, 0.275)*CHOOSE(CONTROL!$C$42, 31, 31))/1000000</f>
        <v>4.2625000000000002</v>
      </c>
      <c r="W346" s="57">
        <f>(1000*CHOOSE(CONTROL!$C$42, 0.1146, 0.1146)*CHOOSE(CONTROL!$C$42, 121.5, 121.5)*CHOOSE(CONTROL!$C$42, 31, 31))/1000000</f>
        <v>0.43164089999999994</v>
      </c>
      <c r="X346" s="57">
        <f>(31*0.1790888*245000/1000000)+(31*0.2374*100000/1000000)</f>
        <v>2.0961194359999999</v>
      </c>
      <c r="Y346" s="57"/>
      <c r="Z346" s="14"/>
      <c r="AA346" s="56"/>
      <c r="AB346" s="50">
        <f>(B346*131.881+C346*277.167+D346*79.08+E346*125.872+F346*40+G346*185+H346*0+I346*100+J346*300)/(131.881+277.167+79.08+125.872+0+40+185+100+300)</f>
        <v>14.420664831234866</v>
      </c>
      <c r="AC346" s="45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14.159178417266189</v>
      </c>
    </row>
    <row r="347" spans="1:29" ht="15.75" x14ac:dyDescent="0.25">
      <c r="A347" s="33">
        <v>51470</v>
      </c>
      <c r="B347" s="14">
        <f>CHOOSE(CONTROL!$C$42, 14.7585, 14.7585) * CHOOSE(CONTROL!$C$21, $C$9, 100%, $E$9)</f>
        <v>14.7585</v>
      </c>
      <c r="C347" s="14">
        <f>CHOOSE(CONTROL!$C$42, 14.7635, 14.7635) * CHOOSE(CONTROL!$C$21, $C$9, 100%, $E$9)</f>
        <v>14.763500000000001</v>
      </c>
      <c r="D347" s="14">
        <f>CHOOSE(CONTROL!$C$42, 14.8274, 14.8274) * CHOOSE(CONTROL!$C$21, $C$9, 100%, $E$9)</f>
        <v>14.827400000000001</v>
      </c>
      <c r="E347" s="14">
        <f>CHOOSE(CONTROL!$C$42, 14.8615, 14.8615) * CHOOSE(CONTROL!$C$21, $C$9, 100%, $E$9)</f>
        <v>14.861499999999999</v>
      </c>
      <c r="F347" s="14">
        <f>CHOOSE(CONTROL!$C$42, 14.7607, 14.7607)*CHOOSE(CONTROL!$C$21, $C$9, 100%, $E$9)</f>
        <v>14.7607</v>
      </c>
      <c r="G347" s="14">
        <f>CHOOSE(CONTROL!$C$42, 14.7774, 14.7774)*CHOOSE(CONTROL!$C$21, $C$9, 100%, $E$9)</f>
        <v>14.7774</v>
      </c>
      <c r="H347" s="14">
        <f>CHOOSE(CONTROL!$C$42, 14.8507, 14.8507) * CHOOSE(CONTROL!$C$21, $C$9, 100%, $E$9)</f>
        <v>14.8507</v>
      </c>
      <c r="I347" s="14">
        <f>CHOOSE(CONTROL!$C$42, 14.8186, 14.8186)* CHOOSE(CONTROL!$C$21, $C$9, 100%, $E$9)</f>
        <v>14.8186</v>
      </c>
      <c r="J347" s="14">
        <f>CHOOSE(CONTROL!$C$42, 14.7537, 14.7537)* CHOOSE(CONTROL!$C$21, $C$9, 100%, $E$9)</f>
        <v>14.7537</v>
      </c>
      <c r="K347" s="53">
        <f>CHOOSE(CONTROL!$C$42, 14.8147, 14.8147) * CHOOSE(CONTROL!$C$21, $C$9, 100%, $E$9)</f>
        <v>14.8147</v>
      </c>
      <c r="L347" s="14">
        <f>CHOOSE(CONTROL!$C$42, 15.4377, 15.4377) * CHOOSE(CONTROL!$C$21, $C$9, 100%, $E$9)</f>
        <v>15.4377</v>
      </c>
      <c r="M347" s="14">
        <f>CHOOSE(CONTROL!$C$42, 14.4591, 14.4591) * CHOOSE(CONTROL!$C$21, $C$9, 100%, $E$9)</f>
        <v>14.459099999999999</v>
      </c>
      <c r="N347" s="14">
        <f>CHOOSE(CONTROL!$C$42, 14.4754, 14.4754) * CHOOSE(CONTROL!$C$21, $C$9, 100%, $E$9)</f>
        <v>14.4754</v>
      </c>
      <c r="O347" s="14">
        <f>CHOOSE(CONTROL!$C$42, 14.5541, 14.5541) * CHOOSE(CONTROL!$C$21, $C$9, 100%, $E$9)</f>
        <v>14.5541</v>
      </c>
      <c r="P347" s="14">
        <f>CHOOSE(CONTROL!$C$42, 14.5218, 14.5218) * CHOOSE(CONTROL!$C$21, $C$9, 100%, $E$9)</f>
        <v>14.521800000000001</v>
      </c>
      <c r="Q347" s="14">
        <f>CHOOSE(CONTROL!$C$42, 15.1488, 15.1488) * CHOOSE(CONTROL!$C$21, $C$9, 100%, $E$9)</f>
        <v>15.1488</v>
      </c>
      <c r="R347" s="14">
        <f>CHOOSE(CONTROL!$C$42, 15.7736, 15.7736) * CHOOSE(CONTROL!$C$21, $C$9, 100%, $E$9)</f>
        <v>15.7736</v>
      </c>
      <c r="S347" s="14">
        <f>CHOOSE(CONTROL!$C$42, 14.1729, 14.1729) * CHOOSE(CONTROL!$C$21, $C$9, 100%, $E$9)</f>
        <v>14.1729</v>
      </c>
      <c r="T3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7">
        <f>(1000*CHOOSE(CONTROL!$C$42, 695, 695)*CHOOSE(CONTROL!$C$42, 0.5599, 0.5599)*CHOOSE(CONTROL!$C$42, 30, 30))/1000000</f>
        <v>11.673914999999997</v>
      </c>
      <c r="V347" s="57">
        <f>(1000*CHOOSE(CONTROL!$C$42, 500, 500)*CHOOSE(CONTROL!$C$42, 0.275, 0.275)*CHOOSE(CONTROL!$C$42, 30, 30))/1000000</f>
        <v>4.125</v>
      </c>
      <c r="W347" s="57">
        <f>(1000*CHOOSE(CONTROL!$C$42, 0.1146, 0.1146)*CHOOSE(CONTROL!$C$42, 121.5, 121.5)*CHOOSE(CONTROL!$C$42, 30, 30))/1000000</f>
        <v>0.417717</v>
      </c>
      <c r="X347" s="57">
        <f>(30*0.1790888*100000/1000000)+(30*0.2374*100000/1000000)</f>
        <v>1.2494664</v>
      </c>
      <c r="Y347" s="57"/>
      <c r="Z347" s="14"/>
      <c r="AA347" s="56"/>
      <c r="AB347" s="50">
        <f>(B347*122.58+C347*297.941+D347*89.177+E347*40.302+F347*40+G347*160+H347*0+I347*100+J347*300)/(122.58+297.941+89.177+40.302+0+40+160+100+300)</f>
        <v>14.775427918521739</v>
      </c>
      <c r="AC347" s="45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14.512117266187051</v>
      </c>
    </row>
    <row r="348" spans="1:29" ht="15.75" x14ac:dyDescent="0.25">
      <c r="A348" s="33">
        <v>51501</v>
      </c>
      <c r="B348" s="14">
        <f>CHOOSE(CONTROL!$C$42, 15.764, 15.764) * CHOOSE(CONTROL!$C$21, $C$9, 100%, $E$9)</f>
        <v>15.763999999999999</v>
      </c>
      <c r="C348" s="14">
        <f>CHOOSE(CONTROL!$C$42, 15.7691, 15.7691) * CHOOSE(CONTROL!$C$21, $C$9, 100%, $E$9)</f>
        <v>15.7691</v>
      </c>
      <c r="D348" s="14">
        <f>CHOOSE(CONTROL!$C$42, 15.8329, 15.8329) * CHOOSE(CONTROL!$C$21, $C$9, 100%, $E$9)</f>
        <v>15.8329</v>
      </c>
      <c r="E348" s="14">
        <f>CHOOSE(CONTROL!$C$42, 15.867, 15.867) * CHOOSE(CONTROL!$C$21, $C$9, 100%, $E$9)</f>
        <v>15.867000000000001</v>
      </c>
      <c r="F348" s="14">
        <f>CHOOSE(CONTROL!$C$42, 15.7684, 15.7684)*CHOOSE(CONTROL!$C$21, $C$9, 100%, $E$9)</f>
        <v>15.7684</v>
      </c>
      <c r="G348" s="14">
        <f>CHOOSE(CONTROL!$C$42, 15.7856, 15.7856)*CHOOSE(CONTROL!$C$21, $C$9, 100%, $E$9)</f>
        <v>15.785600000000001</v>
      </c>
      <c r="H348" s="14">
        <f>CHOOSE(CONTROL!$C$42, 15.8562, 15.8562) * CHOOSE(CONTROL!$C$21, $C$9, 100%, $E$9)</f>
        <v>15.856199999999999</v>
      </c>
      <c r="I348" s="14">
        <f>CHOOSE(CONTROL!$C$42, 15.8273, 15.8273)* CHOOSE(CONTROL!$C$21, $C$9, 100%, $E$9)</f>
        <v>15.827299999999999</v>
      </c>
      <c r="J348" s="14">
        <f>CHOOSE(CONTROL!$C$42, 15.7614, 15.7614)* CHOOSE(CONTROL!$C$21, $C$9, 100%, $E$9)</f>
        <v>15.7614</v>
      </c>
      <c r="K348" s="53">
        <f>CHOOSE(CONTROL!$C$42, 15.8234, 15.8234) * CHOOSE(CONTROL!$C$21, $C$9, 100%, $E$9)</f>
        <v>15.823399999999999</v>
      </c>
      <c r="L348" s="14">
        <f>CHOOSE(CONTROL!$C$42, 16.4432, 16.4432) * CHOOSE(CONTROL!$C$21, $C$9, 100%, $E$9)</f>
        <v>16.443200000000001</v>
      </c>
      <c r="M348" s="14">
        <f>CHOOSE(CONTROL!$C$42, 15.4461, 15.4461) * CHOOSE(CONTROL!$C$21, $C$9, 100%, $E$9)</f>
        <v>15.446099999999999</v>
      </c>
      <c r="N348" s="14">
        <f>CHOOSE(CONTROL!$C$42, 15.463, 15.463) * CHOOSE(CONTROL!$C$21, $C$9, 100%, $E$9)</f>
        <v>15.462999999999999</v>
      </c>
      <c r="O348" s="14">
        <f>CHOOSE(CONTROL!$C$42, 15.539, 15.539) * CHOOSE(CONTROL!$C$21, $C$9, 100%, $E$9)</f>
        <v>15.539</v>
      </c>
      <c r="P348" s="14">
        <f>CHOOSE(CONTROL!$C$42, 15.5098, 15.5098) * CHOOSE(CONTROL!$C$21, $C$9, 100%, $E$9)</f>
        <v>15.5098</v>
      </c>
      <c r="Q348" s="14">
        <f>CHOOSE(CONTROL!$C$42, 16.1337, 16.1337) * CHOOSE(CONTROL!$C$21, $C$9, 100%, $E$9)</f>
        <v>16.133700000000001</v>
      </c>
      <c r="R348" s="14">
        <f>CHOOSE(CONTROL!$C$42, 16.7611, 16.7611) * CHOOSE(CONTROL!$C$21, $C$9, 100%, $E$9)</f>
        <v>16.761099999999999</v>
      </c>
      <c r="S348" s="14">
        <f>CHOOSE(CONTROL!$C$42, 15.1391, 15.1391) * CHOOSE(CONTROL!$C$21, $C$9, 100%, $E$9)</f>
        <v>15.139099999999999</v>
      </c>
      <c r="T3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7">
        <f>(1000*CHOOSE(CONTROL!$C$42, 695, 695)*CHOOSE(CONTROL!$C$42, 0.5599, 0.5599)*CHOOSE(CONTROL!$C$42, 31, 31))/1000000</f>
        <v>12.063045499999998</v>
      </c>
      <c r="V348" s="57">
        <f>(1000*CHOOSE(CONTROL!$C$42, 500, 500)*CHOOSE(CONTROL!$C$42, 0.275, 0.275)*CHOOSE(CONTROL!$C$42, 31, 31))/1000000</f>
        <v>4.2625000000000002</v>
      </c>
      <c r="W348" s="57">
        <f>(1000*CHOOSE(CONTROL!$C$42, 0.1146, 0.1146)*CHOOSE(CONTROL!$C$42, 121.5, 121.5)*CHOOSE(CONTROL!$C$42, 31, 31))/1000000</f>
        <v>0.43164089999999994</v>
      </c>
      <c r="X348" s="57">
        <f>(31*0.1790888*100000/1000000)+(31*0.2374*100000/1000000)</f>
        <v>1.2911152800000001</v>
      </c>
      <c r="Y348" s="57"/>
      <c r="Z348" s="14"/>
      <c r="AA348" s="56"/>
      <c r="AB348" s="50">
        <f>(B348*122.58+C348*297.941+D348*89.177+E348*40.302+F348*40+G348*160+H348*0+I348*100+J348*300)/(122.58+297.941+89.177+40.302+0+40+160+100+300)</f>
        <v>15.782258174260869</v>
      </c>
      <c r="AC348" s="45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15.498343884892083</v>
      </c>
    </row>
    <row r="349" spans="1:29" ht="15.75" x14ac:dyDescent="0.25">
      <c r="A349" s="33">
        <v>51532</v>
      </c>
      <c r="B349" s="14">
        <f>CHOOSE(CONTROL!$C$42, 17.0545, 17.0545) * CHOOSE(CONTROL!$C$21, $C$9, 100%, $E$9)</f>
        <v>17.054500000000001</v>
      </c>
      <c r="C349" s="14">
        <f>CHOOSE(CONTROL!$C$42, 17.0596, 17.0596) * CHOOSE(CONTROL!$C$21, $C$9, 100%, $E$9)</f>
        <v>17.0596</v>
      </c>
      <c r="D349" s="14">
        <f>CHOOSE(CONTROL!$C$42, 17.1182, 17.1182) * CHOOSE(CONTROL!$C$21, $C$9, 100%, $E$9)</f>
        <v>17.118200000000002</v>
      </c>
      <c r="E349" s="14">
        <f>CHOOSE(CONTROL!$C$42, 17.1523, 17.1523) * CHOOSE(CONTROL!$C$21, $C$9, 100%, $E$9)</f>
        <v>17.1523</v>
      </c>
      <c r="F349" s="14">
        <f>CHOOSE(CONTROL!$C$42, 17.0537, 17.0537)*CHOOSE(CONTROL!$C$21, $C$9, 100%, $E$9)</f>
        <v>17.053699999999999</v>
      </c>
      <c r="G349" s="14">
        <f>CHOOSE(CONTROL!$C$42, 17.07, 17.07)*CHOOSE(CONTROL!$C$21, $C$9, 100%, $E$9)</f>
        <v>17.07</v>
      </c>
      <c r="H349" s="14">
        <f>CHOOSE(CONTROL!$C$42, 17.1415, 17.1415) * CHOOSE(CONTROL!$C$21, $C$9, 100%, $E$9)</f>
        <v>17.141500000000001</v>
      </c>
      <c r="I349" s="14">
        <f>CHOOSE(CONTROL!$C$42, 17.1182, 17.1182)* CHOOSE(CONTROL!$C$21, $C$9, 100%, $E$9)</f>
        <v>17.118200000000002</v>
      </c>
      <c r="J349" s="14">
        <f>CHOOSE(CONTROL!$C$42, 17.0467, 17.0467)* CHOOSE(CONTROL!$C$21, $C$9, 100%, $E$9)</f>
        <v>17.046700000000001</v>
      </c>
      <c r="K349" s="53">
        <f>CHOOSE(CONTROL!$C$42, 17.1143, 17.1143) * CHOOSE(CONTROL!$C$21, $C$9, 100%, $E$9)</f>
        <v>17.1143</v>
      </c>
      <c r="L349" s="14">
        <f>CHOOSE(CONTROL!$C$42, 17.7285, 17.7285) * CHOOSE(CONTROL!$C$21, $C$9, 100%, $E$9)</f>
        <v>17.7285</v>
      </c>
      <c r="M349" s="14">
        <f>CHOOSE(CONTROL!$C$42, 16.7051, 16.7051) * CHOOSE(CONTROL!$C$21, $C$9, 100%, $E$9)</f>
        <v>16.705100000000002</v>
      </c>
      <c r="N349" s="14">
        <f>CHOOSE(CONTROL!$C$42, 16.7211, 16.7211) * CHOOSE(CONTROL!$C$21, $C$9, 100%, $E$9)</f>
        <v>16.7211</v>
      </c>
      <c r="O349" s="14">
        <f>CHOOSE(CONTROL!$C$42, 16.798, 16.798) * CHOOSE(CONTROL!$C$21, $C$9, 100%, $E$9)</f>
        <v>16.797999999999998</v>
      </c>
      <c r="P349" s="14">
        <f>CHOOSE(CONTROL!$C$42, 16.7741, 16.7741) * CHOOSE(CONTROL!$C$21, $C$9, 100%, $E$9)</f>
        <v>16.774100000000001</v>
      </c>
      <c r="Q349" s="14">
        <f>CHOOSE(CONTROL!$C$42, 17.3927, 17.3927) * CHOOSE(CONTROL!$C$21, $C$9, 100%, $E$9)</f>
        <v>17.392700000000001</v>
      </c>
      <c r="R349" s="14">
        <f>CHOOSE(CONTROL!$C$42, 18.0232, 18.0232) * CHOOSE(CONTROL!$C$21, $C$9, 100%, $E$9)</f>
        <v>18.023199999999999</v>
      </c>
      <c r="S349" s="14">
        <f>CHOOSE(CONTROL!$C$42, 16.3792, 16.3792) * CHOOSE(CONTROL!$C$21, $C$9, 100%, $E$9)</f>
        <v>16.379200000000001</v>
      </c>
      <c r="T3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7">
        <f>(1000*CHOOSE(CONTROL!$C$42, 695, 695)*CHOOSE(CONTROL!$C$42, 0.5599, 0.5599)*CHOOSE(CONTROL!$C$42, 31, 31))/1000000</f>
        <v>12.063045499999998</v>
      </c>
      <c r="V349" s="57">
        <f>(1000*CHOOSE(CONTROL!$C$42, 500, 500)*CHOOSE(CONTROL!$C$42, 0.275, 0.275)*CHOOSE(CONTROL!$C$42, 31, 31))/1000000</f>
        <v>4.2625000000000002</v>
      </c>
      <c r="W349" s="57">
        <f>(1000*CHOOSE(CONTROL!$C$42, 0.1146, 0.1146)*CHOOSE(CONTROL!$C$42, 121.5, 121.5)*CHOOSE(CONTROL!$C$42, 31, 31))/1000000</f>
        <v>0.43164089999999994</v>
      </c>
      <c r="X349" s="57">
        <f>(31*0.1790888*100000/1000000)+(31*0.2374*100000/1000000)</f>
        <v>1.2911152800000001</v>
      </c>
      <c r="Y349" s="57"/>
      <c r="Z349" s="14"/>
      <c r="AA349" s="56"/>
      <c r="AB349" s="50">
        <f>(B349*122.58+C349*297.941+D349*89.177+E349*40.302+F349*40+G349*160+H349*0+I349*100+J349*300)/(122.58+297.941+89.177+40.302+0+40+160+100+300)</f>
        <v>17.069821399652174</v>
      </c>
      <c r="AC349" s="45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16.758054676258993</v>
      </c>
    </row>
    <row r="350" spans="1:29" ht="15.75" x14ac:dyDescent="0.25">
      <c r="A350" s="33">
        <v>51560</v>
      </c>
      <c r="B350" s="14">
        <f>CHOOSE(CONTROL!$C$42, 17.358, 17.358) * CHOOSE(CONTROL!$C$21, $C$9, 100%, $E$9)</f>
        <v>17.358000000000001</v>
      </c>
      <c r="C350" s="14">
        <f>CHOOSE(CONTROL!$C$42, 17.363, 17.363) * CHOOSE(CONTROL!$C$21, $C$9, 100%, $E$9)</f>
        <v>17.363</v>
      </c>
      <c r="D350" s="14">
        <f>CHOOSE(CONTROL!$C$42, 17.4216, 17.4216) * CHOOSE(CONTROL!$C$21, $C$9, 100%, $E$9)</f>
        <v>17.421600000000002</v>
      </c>
      <c r="E350" s="14">
        <f>CHOOSE(CONTROL!$C$42, 17.4557, 17.4557) * CHOOSE(CONTROL!$C$21, $C$9, 100%, $E$9)</f>
        <v>17.4557</v>
      </c>
      <c r="F350" s="14">
        <f>CHOOSE(CONTROL!$C$42, 17.357, 17.357)*CHOOSE(CONTROL!$C$21, $C$9, 100%, $E$9)</f>
        <v>17.356999999999999</v>
      </c>
      <c r="G350" s="14">
        <f>CHOOSE(CONTROL!$C$42, 17.3734, 17.3734)*CHOOSE(CONTROL!$C$21, $C$9, 100%, $E$9)</f>
        <v>17.3734</v>
      </c>
      <c r="H350" s="14">
        <f>CHOOSE(CONTROL!$C$42, 17.4449, 17.4449) * CHOOSE(CONTROL!$C$21, $C$9, 100%, $E$9)</f>
        <v>17.444900000000001</v>
      </c>
      <c r="I350" s="14">
        <f>CHOOSE(CONTROL!$C$42, 17.4226, 17.4226)* CHOOSE(CONTROL!$C$21, $C$9, 100%, $E$9)</f>
        <v>17.422599999999999</v>
      </c>
      <c r="J350" s="14">
        <f>CHOOSE(CONTROL!$C$42, 17.35, 17.35)* CHOOSE(CONTROL!$C$21, $C$9, 100%, $E$9)</f>
        <v>17.350000000000001</v>
      </c>
      <c r="K350" s="53">
        <f>CHOOSE(CONTROL!$C$42, 17.4187, 17.4187) * CHOOSE(CONTROL!$C$21, $C$9, 100%, $E$9)</f>
        <v>17.418700000000001</v>
      </c>
      <c r="L350" s="14">
        <f>CHOOSE(CONTROL!$C$42, 18.0319, 18.0319) * CHOOSE(CONTROL!$C$21, $C$9, 100%, $E$9)</f>
        <v>18.0319</v>
      </c>
      <c r="M350" s="14">
        <f>CHOOSE(CONTROL!$C$42, 17.0023, 17.0023) * CHOOSE(CONTROL!$C$21, $C$9, 100%, $E$9)</f>
        <v>17.002300000000002</v>
      </c>
      <c r="N350" s="14">
        <f>CHOOSE(CONTROL!$C$42, 17.0183, 17.0183) * CHOOSE(CONTROL!$C$21, $C$9, 100%, $E$9)</f>
        <v>17.0183</v>
      </c>
      <c r="O350" s="14">
        <f>CHOOSE(CONTROL!$C$42, 17.0952, 17.0952) * CHOOSE(CONTROL!$C$21, $C$9, 100%, $E$9)</f>
        <v>17.095199999999998</v>
      </c>
      <c r="P350" s="14">
        <f>CHOOSE(CONTROL!$C$42, 17.0723, 17.0723) * CHOOSE(CONTROL!$C$21, $C$9, 100%, $E$9)</f>
        <v>17.072299999999998</v>
      </c>
      <c r="Q350" s="14">
        <f>CHOOSE(CONTROL!$C$42, 17.6899, 17.6899) * CHOOSE(CONTROL!$C$21, $C$9, 100%, $E$9)</f>
        <v>17.689900000000002</v>
      </c>
      <c r="R350" s="14">
        <f>CHOOSE(CONTROL!$C$42, 18.3211, 18.3211) * CHOOSE(CONTROL!$C$21, $C$9, 100%, $E$9)</f>
        <v>18.321100000000001</v>
      </c>
      <c r="S350" s="14">
        <f>CHOOSE(CONTROL!$C$42, 16.6707, 16.6707) * CHOOSE(CONTROL!$C$21, $C$9, 100%, $E$9)</f>
        <v>16.6707</v>
      </c>
      <c r="T3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7">
        <f>(1000*CHOOSE(CONTROL!$C$42, 695, 695)*CHOOSE(CONTROL!$C$42, 0.5599, 0.5599)*CHOOSE(CONTROL!$C$42, 28, 28))/1000000</f>
        <v>10.895653999999999</v>
      </c>
      <c r="V350" s="57">
        <f>(1000*CHOOSE(CONTROL!$C$42, 500, 500)*CHOOSE(CONTROL!$C$42, 0.275, 0.275)*CHOOSE(CONTROL!$C$42, 28, 28))/1000000</f>
        <v>3.85</v>
      </c>
      <c r="W350" s="57">
        <f>(1000*CHOOSE(CONTROL!$C$42, 0.1146, 0.1146)*CHOOSE(CONTROL!$C$42, 121.5, 121.5)*CHOOSE(CONTROL!$C$42, 28, 28))/1000000</f>
        <v>0.38986920000000003</v>
      </c>
      <c r="X350" s="57">
        <f>(28*0.1790888*100000/1000000)+(28*0.2374*100000/1000000)</f>
        <v>1.16616864</v>
      </c>
      <c r="Y350" s="57"/>
      <c r="Z350" s="14"/>
      <c r="AA350" s="56"/>
      <c r="AB350" s="50">
        <f>(B350*122.58+C350*297.941+D350*89.177+E350*40.302+F350*40+G350*160+H350*0+I350*100+J350*300)/(122.58+297.941+89.177+40.302+0+40+160+100+300)</f>
        <v>17.373289450086954</v>
      </c>
      <c r="AC350" s="45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17.05539856115108</v>
      </c>
    </row>
    <row r="351" spans="1:29" ht="15.75" x14ac:dyDescent="0.25">
      <c r="A351" s="33">
        <v>51591</v>
      </c>
      <c r="B351" s="14">
        <f>CHOOSE(CONTROL!$C$42, 16.8654, 16.8654) * CHOOSE(CONTROL!$C$21, $C$9, 100%, $E$9)</f>
        <v>16.865400000000001</v>
      </c>
      <c r="C351" s="14">
        <f>CHOOSE(CONTROL!$C$42, 16.8705, 16.8705) * CHOOSE(CONTROL!$C$21, $C$9, 100%, $E$9)</f>
        <v>16.8705</v>
      </c>
      <c r="D351" s="14">
        <f>CHOOSE(CONTROL!$C$42, 16.9291, 16.9291) * CHOOSE(CONTROL!$C$21, $C$9, 100%, $E$9)</f>
        <v>16.929099999999998</v>
      </c>
      <c r="E351" s="14">
        <f>CHOOSE(CONTROL!$C$42, 16.9632, 16.9632) * CHOOSE(CONTROL!$C$21, $C$9, 100%, $E$9)</f>
        <v>16.963200000000001</v>
      </c>
      <c r="F351" s="14">
        <f>CHOOSE(CONTROL!$C$42, 16.864, 16.864)*CHOOSE(CONTROL!$C$21, $C$9, 100%, $E$9)</f>
        <v>16.864000000000001</v>
      </c>
      <c r="G351" s="14">
        <f>CHOOSE(CONTROL!$C$42, 16.8803, 16.8803)*CHOOSE(CONTROL!$C$21, $C$9, 100%, $E$9)</f>
        <v>16.880299999999998</v>
      </c>
      <c r="H351" s="14">
        <f>CHOOSE(CONTROL!$C$42, 16.9524, 16.9524) * CHOOSE(CONTROL!$C$21, $C$9, 100%, $E$9)</f>
        <v>16.952400000000001</v>
      </c>
      <c r="I351" s="14">
        <f>CHOOSE(CONTROL!$C$42, 16.9285, 16.9285)* CHOOSE(CONTROL!$C$21, $C$9, 100%, $E$9)</f>
        <v>16.9285</v>
      </c>
      <c r="J351" s="14">
        <f>CHOOSE(CONTROL!$C$42, 16.857, 16.857)* CHOOSE(CONTROL!$C$21, $C$9, 100%, $E$9)</f>
        <v>16.856999999999999</v>
      </c>
      <c r="K351" s="53">
        <f>CHOOSE(CONTROL!$C$42, 16.9246, 16.9246) * CHOOSE(CONTROL!$C$21, $C$9, 100%, $E$9)</f>
        <v>16.924600000000002</v>
      </c>
      <c r="L351" s="14">
        <f>CHOOSE(CONTROL!$C$42, 17.5394, 17.5394) * CHOOSE(CONTROL!$C$21, $C$9, 100%, $E$9)</f>
        <v>17.539400000000001</v>
      </c>
      <c r="M351" s="14">
        <f>CHOOSE(CONTROL!$C$42, 16.5193, 16.5193) * CHOOSE(CONTROL!$C$21, $C$9, 100%, $E$9)</f>
        <v>16.519300000000001</v>
      </c>
      <c r="N351" s="14">
        <f>CHOOSE(CONTROL!$C$42, 16.5352, 16.5352) * CHOOSE(CONTROL!$C$21, $C$9, 100%, $E$9)</f>
        <v>16.5352</v>
      </c>
      <c r="O351" s="14">
        <f>CHOOSE(CONTROL!$C$42, 16.6128, 16.6128) * CHOOSE(CONTROL!$C$21, $C$9, 100%, $E$9)</f>
        <v>16.6128</v>
      </c>
      <c r="P351" s="14">
        <f>CHOOSE(CONTROL!$C$42, 16.5883, 16.5883) * CHOOSE(CONTROL!$C$21, $C$9, 100%, $E$9)</f>
        <v>16.5883</v>
      </c>
      <c r="Q351" s="14">
        <f>CHOOSE(CONTROL!$C$42, 17.2075, 17.2075) * CHOOSE(CONTROL!$C$21, $C$9, 100%, $E$9)</f>
        <v>17.2075</v>
      </c>
      <c r="R351" s="14">
        <f>CHOOSE(CONTROL!$C$42, 17.8375, 17.8375) * CHOOSE(CONTROL!$C$21, $C$9, 100%, $E$9)</f>
        <v>17.837499999999999</v>
      </c>
      <c r="S351" s="14">
        <f>CHOOSE(CONTROL!$C$42, 16.1975, 16.1975) * CHOOSE(CONTROL!$C$21, $C$9, 100%, $E$9)</f>
        <v>16.197500000000002</v>
      </c>
      <c r="T3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7">
        <f>(1000*CHOOSE(CONTROL!$C$42, 695, 695)*CHOOSE(CONTROL!$C$42, 0.5599, 0.5599)*CHOOSE(CONTROL!$C$42, 31, 31))/1000000</f>
        <v>12.063045499999998</v>
      </c>
      <c r="V351" s="57">
        <f>(1000*CHOOSE(CONTROL!$C$42, 500, 500)*CHOOSE(CONTROL!$C$42, 0.275, 0.275)*CHOOSE(CONTROL!$C$42, 31, 31))/1000000</f>
        <v>4.2625000000000002</v>
      </c>
      <c r="W351" s="57">
        <f>(1000*CHOOSE(CONTROL!$C$42, 0.1146, 0.1146)*CHOOSE(CONTROL!$C$42, 121.5, 121.5)*CHOOSE(CONTROL!$C$42, 31, 31))/1000000</f>
        <v>0.43164089999999994</v>
      </c>
      <c r="X351" s="57">
        <f>(31*0.1790888*100000/1000000)+(31*0.2374*100000/1000000)</f>
        <v>1.2911152800000001</v>
      </c>
      <c r="Y351" s="57"/>
      <c r="Z351" s="14"/>
      <c r="AA351" s="56"/>
      <c r="AB351" s="50">
        <f>(B351*122.58+C351*297.941+D351*89.177+E351*40.302+F351*40+G351*160+H351*0+I351*100+J351*300)/(122.58+297.941+89.177+40.302+0+40+160+100+300)</f>
        <v>16.880408356173913</v>
      </c>
      <c r="AC351" s="45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16.572520863309354</v>
      </c>
    </row>
    <row r="352" spans="1:29" ht="15.75" x14ac:dyDescent="0.25">
      <c r="A352" s="33">
        <v>51621</v>
      </c>
      <c r="B352" s="14">
        <f>CHOOSE(CONTROL!$C$42, 16.8161, 16.8161) * CHOOSE(CONTROL!$C$21, $C$9, 100%, $E$9)</f>
        <v>16.816099999999999</v>
      </c>
      <c r="C352" s="14">
        <f>CHOOSE(CONTROL!$C$42, 16.8206, 16.8206) * CHOOSE(CONTROL!$C$21, $C$9, 100%, $E$9)</f>
        <v>16.820599999999999</v>
      </c>
      <c r="D352" s="14">
        <f>CHOOSE(CONTROL!$C$42, 17.0287, 17.0287) * CHOOSE(CONTROL!$C$21, $C$9, 100%, $E$9)</f>
        <v>17.028700000000001</v>
      </c>
      <c r="E352" s="14">
        <f>CHOOSE(CONTROL!$C$42, 17.0609, 17.0609) * CHOOSE(CONTROL!$C$21, $C$9, 100%, $E$9)</f>
        <v>17.0609</v>
      </c>
      <c r="F352" s="14">
        <f>CHOOSE(CONTROL!$C$42, 16.8035, 16.8035)*CHOOSE(CONTROL!$C$21, $C$9, 100%, $E$9)</f>
        <v>16.8035</v>
      </c>
      <c r="G352" s="14">
        <f>CHOOSE(CONTROL!$C$42, 16.8194, 16.8194)*CHOOSE(CONTROL!$C$21, $C$9, 100%, $E$9)</f>
        <v>16.819400000000002</v>
      </c>
      <c r="H352" s="14">
        <f>CHOOSE(CONTROL!$C$42, 17.0506, 17.0506) * CHOOSE(CONTROL!$C$21, $C$9, 100%, $E$9)</f>
        <v>17.050599999999999</v>
      </c>
      <c r="I352" s="14">
        <f>CHOOSE(CONTROL!$C$42, 16.8783, 16.8783)* CHOOSE(CONTROL!$C$21, $C$9, 100%, $E$9)</f>
        <v>16.878299999999999</v>
      </c>
      <c r="J352" s="14">
        <f>CHOOSE(CONTROL!$C$42, 16.7965, 16.7965)* CHOOSE(CONTROL!$C$21, $C$9, 100%, $E$9)</f>
        <v>16.796500000000002</v>
      </c>
      <c r="K352" s="53">
        <f>CHOOSE(CONTROL!$C$42, 16.8744, 16.8744) * CHOOSE(CONTROL!$C$21, $C$9, 100%, $E$9)</f>
        <v>16.874400000000001</v>
      </c>
      <c r="L352" s="14">
        <f>CHOOSE(CONTROL!$C$42, 17.6376, 17.6376) * CHOOSE(CONTROL!$C$21, $C$9, 100%, $E$9)</f>
        <v>17.637599999999999</v>
      </c>
      <c r="M352" s="14">
        <f>CHOOSE(CONTROL!$C$42, 16.46, 16.46) * CHOOSE(CONTROL!$C$21, $C$9, 100%, $E$9)</f>
        <v>16.46</v>
      </c>
      <c r="N352" s="14">
        <f>CHOOSE(CONTROL!$C$42, 16.4757, 16.4757) * CHOOSE(CONTROL!$C$21, $C$9, 100%, $E$9)</f>
        <v>16.4757</v>
      </c>
      <c r="O352" s="14">
        <f>CHOOSE(CONTROL!$C$42, 16.709, 16.709) * CHOOSE(CONTROL!$C$21, $C$9, 100%, $E$9)</f>
        <v>16.709</v>
      </c>
      <c r="P352" s="14">
        <f>CHOOSE(CONTROL!$C$42, 16.5391, 16.5391) * CHOOSE(CONTROL!$C$21, $C$9, 100%, $E$9)</f>
        <v>16.539100000000001</v>
      </c>
      <c r="Q352" s="14">
        <f>CHOOSE(CONTROL!$C$42, 17.3037, 17.3037) * CHOOSE(CONTROL!$C$21, $C$9, 100%, $E$9)</f>
        <v>17.303699999999999</v>
      </c>
      <c r="R352" s="14">
        <f>CHOOSE(CONTROL!$C$42, 17.9339, 17.9339) * CHOOSE(CONTROL!$C$21, $C$9, 100%, $E$9)</f>
        <v>17.933900000000001</v>
      </c>
      <c r="S352" s="14">
        <f>CHOOSE(CONTROL!$C$42, 16.1493, 16.1493) * CHOOSE(CONTROL!$C$21, $C$9, 100%, $E$9)</f>
        <v>16.1493</v>
      </c>
      <c r="T3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7">
        <f>(1000*CHOOSE(CONTROL!$C$42, 695, 695)*CHOOSE(CONTROL!$C$42, 0.5599, 0.5599)*CHOOSE(CONTROL!$C$42, 30, 30))/1000000</f>
        <v>11.673914999999997</v>
      </c>
      <c r="V352" s="57">
        <f>(1000*CHOOSE(CONTROL!$C$42, 500, 500)*CHOOSE(CONTROL!$C$42, 0.275, 0.275)*CHOOSE(CONTROL!$C$42, 30, 30))/1000000</f>
        <v>4.125</v>
      </c>
      <c r="W352" s="57">
        <f>(1000*CHOOSE(CONTROL!$C$42, 0.1146, 0.1146)*CHOOSE(CONTROL!$C$42, 121.5, 121.5)*CHOOSE(CONTROL!$C$42, 30, 30))/1000000</f>
        <v>0.417717</v>
      </c>
      <c r="X352" s="57">
        <f>(30*0.1790888*245000/1000000)+(30*0.2374*100000/1000000)</f>
        <v>2.0285026799999999</v>
      </c>
      <c r="Y352" s="57"/>
      <c r="Z352" s="14"/>
      <c r="AA352" s="56"/>
      <c r="AB352" s="50">
        <f>(B352*141.293+C352*267.993+D352*115.016+E352*89.698+F352*40+G352*185+H352*0+I352*100+J352*300)/(141.293+267.993+115.016+89.698+0+40+185+100+300)</f>
        <v>16.854891719531881</v>
      </c>
      <c r="AC352" s="45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16.544858992805754</v>
      </c>
    </row>
    <row r="353" spans="1:29" ht="15.75" x14ac:dyDescent="0.25">
      <c r="A353" s="33">
        <v>51652</v>
      </c>
      <c r="B353" s="14">
        <f>CHOOSE(CONTROL!$C$42, 16.9659, 16.9659) * CHOOSE(CONTROL!$C$21, $C$9, 100%, $E$9)</f>
        <v>16.965900000000001</v>
      </c>
      <c r="C353" s="14">
        <f>CHOOSE(CONTROL!$C$42, 16.9739, 16.9739) * CHOOSE(CONTROL!$C$21, $C$9, 100%, $E$9)</f>
        <v>16.9739</v>
      </c>
      <c r="D353" s="14">
        <f>CHOOSE(CONTROL!$C$42, 17.1789, 17.1789) * CHOOSE(CONTROL!$C$21, $C$9, 100%, $E$9)</f>
        <v>17.178899999999999</v>
      </c>
      <c r="E353" s="14">
        <f>CHOOSE(CONTROL!$C$42, 17.2103, 17.2103) * CHOOSE(CONTROL!$C$21, $C$9, 100%, $E$9)</f>
        <v>17.2103</v>
      </c>
      <c r="F353" s="14">
        <f>CHOOSE(CONTROL!$C$42, 16.9521, 16.9521)*CHOOSE(CONTROL!$C$21, $C$9, 100%, $E$9)</f>
        <v>16.952100000000002</v>
      </c>
      <c r="G353" s="14">
        <f>CHOOSE(CONTROL!$C$42, 16.9685, 16.9685)*CHOOSE(CONTROL!$C$21, $C$9, 100%, $E$9)</f>
        <v>16.968499999999999</v>
      </c>
      <c r="H353" s="14">
        <f>CHOOSE(CONTROL!$C$42, 17.199, 17.199) * CHOOSE(CONTROL!$C$21, $C$9, 100%, $E$9)</f>
        <v>17.199000000000002</v>
      </c>
      <c r="I353" s="14">
        <f>CHOOSE(CONTROL!$C$42, 17.0271, 17.0271)* CHOOSE(CONTROL!$C$21, $C$9, 100%, $E$9)</f>
        <v>17.027100000000001</v>
      </c>
      <c r="J353" s="14">
        <f>CHOOSE(CONTROL!$C$42, 16.9451, 16.9451)* CHOOSE(CONTROL!$C$21, $C$9, 100%, $E$9)</f>
        <v>16.9451</v>
      </c>
      <c r="K353" s="53">
        <f>CHOOSE(CONTROL!$C$42, 17.0232, 17.0232) * CHOOSE(CONTROL!$C$21, $C$9, 100%, $E$9)</f>
        <v>17.023199999999999</v>
      </c>
      <c r="L353" s="14">
        <f>CHOOSE(CONTROL!$C$42, 17.786, 17.786) * CHOOSE(CONTROL!$C$21, $C$9, 100%, $E$9)</f>
        <v>17.786000000000001</v>
      </c>
      <c r="M353" s="14">
        <f>CHOOSE(CONTROL!$C$42, 16.6056, 16.6056) * CHOOSE(CONTROL!$C$21, $C$9, 100%, $E$9)</f>
        <v>16.605599999999999</v>
      </c>
      <c r="N353" s="14">
        <f>CHOOSE(CONTROL!$C$42, 16.6216, 16.6216) * CHOOSE(CONTROL!$C$21, $C$9, 100%, $E$9)</f>
        <v>16.621600000000001</v>
      </c>
      <c r="O353" s="14">
        <f>CHOOSE(CONTROL!$C$42, 16.8543, 16.8543) * CHOOSE(CONTROL!$C$21, $C$9, 100%, $E$9)</f>
        <v>16.854299999999999</v>
      </c>
      <c r="P353" s="14">
        <f>CHOOSE(CONTROL!$C$42, 16.6849, 16.6849) * CHOOSE(CONTROL!$C$21, $C$9, 100%, $E$9)</f>
        <v>16.684899999999999</v>
      </c>
      <c r="Q353" s="14">
        <f>CHOOSE(CONTROL!$C$42, 17.449, 17.449) * CHOOSE(CONTROL!$C$21, $C$9, 100%, $E$9)</f>
        <v>17.449000000000002</v>
      </c>
      <c r="R353" s="14">
        <f>CHOOSE(CONTROL!$C$42, 18.0796, 18.0796) * CHOOSE(CONTROL!$C$21, $C$9, 100%, $E$9)</f>
        <v>18.079599999999999</v>
      </c>
      <c r="S353" s="14">
        <f>CHOOSE(CONTROL!$C$42, 16.2919, 16.2919) * CHOOSE(CONTROL!$C$21, $C$9, 100%, $E$9)</f>
        <v>16.291899999999998</v>
      </c>
      <c r="T3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7">
        <f>(1000*CHOOSE(CONTROL!$C$42, 695, 695)*CHOOSE(CONTROL!$C$42, 0.5599, 0.5599)*CHOOSE(CONTROL!$C$42, 31, 31))/1000000</f>
        <v>12.063045499999998</v>
      </c>
      <c r="V353" s="57">
        <f>(1000*CHOOSE(CONTROL!$C$42, 500, 500)*CHOOSE(CONTROL!$C$42, 0.275, 0.275)*CHOOSE(CONTROL!$C$42, 31, 31))/1000000</f>
        <v>4.2625000000000002</v>
      </c>
      <c r="W353" s="57">
        <f>(1000*CHOOSE(CONTROL!$C$42, 0.1146, 0.1146)*CHOOSE(CONTROL!$C$42, 121.5, 121.5)*CHOOSE(CONTROL!$C$42, 31, 31))/1000000</f>
        <v>0.43164089999999994</v>
      </c>
      <c r="X353" s="57">
        <f>(31*0.1790888*245000/1000000)+(31*0.2374*100000/1000000)</f>
        <v>2.0961194359999999</v>
      </c>
      <c r="Y353" s="57"/>
      <c r="Z353" s="14"/>
      <c r="AA353" s="56"/>
      <c r="AB353" s="50">
        <f>(B353*194.205+C353*267.466+D353*133.845+E353*53.484+F353*40+G353*185+H353*0+I353*100+J353*300)/(194.205+267.466+133.845+53.484+0+40+185+100+300)</f>
        <v>17.000067348979591</v>
      </c>
      <c r="AC353" s="45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16.690472661870501</v>
      </c>
    </row>
    <row r="354" spans="1:29" ht="15.75" x14ac:dyDescent="0.25">
      <c r="A354" s="33">
        <v>51682</v>
      </c>
      <c r="B354" s="14">
        <f>CHOOSE(CONTROL!$C$42, 17.4468, 17.4468) * CHOOSE(CONTROL!$C$21, $C$9, 100%, $E$9)</f>
        <v>17.4468</v>
      </c>
      <c r="C354" s="14">
        <f>CHOOSE(CONTROL!$C$42, 17.4548, 17.4548) * CHOOSE(CONTROL!$C$21, $C$9, 100%, $E$9)</f>
        <v>17.454799999999999</v>
      </c>
      <c r="D354" s="14">
        <f>CHOOSE(CONTROL!$C$42, 17.6598, 17.6598) * CHOOSE(CONTROL!$C$21, $C$9, 100%, $E$9)</f>
        <v>17.659800000000001</v>
      </c>
      <c r="E354" s="14">
        <f>CHOOSE(CONTROL!$C$42, 17.6912, 17.6912) * CHOOSE(CONTROL!$C$21, $C$9, 100%, $E$9)</f>
        <v>17.691199999999998</v>
      </c>
      <c r="F354" s="14">
        <f>CHOOSE(CONTROL!$C$42, 17.4333, 17.4333)*CHOOSE(CONTROL!$C$21, $C$9, 100%, $E$9)</f>
        <v>17.433299999999999</v>
      </c>
      <c r="G354" s="14">
        <f>CHOOSE(CONTROL!$C$42, 17.4499, 17.4499)*CHOOSE(CONTROL!$C$21, $C$9, 100%, $E$9)</f>
        <v>17.4499</v>
      </c>
      <c r="H354" s="14">
        <f>CHOOSE(CONTROL!$C$42, 17.6799, 17.6799) * CHOOSE(CONTROL!$C$21, $C$9, 100%, $E$9)</f>
        <v>17.6799</v>
      </c>
      <c r="I354" s="14">
        <f>CHOOSE(CONTROL!$C$42, 17.5095, 17.5095)* CHOOSE(CONTROL!$C$21, $C$9, 100%, $E$9)</f>
        <v>17.509499999999999</v>
      </c>
      <c r="J354" s="14">
        <f>CHOOSE(CONTROL!$C$42, 17.4263, 17.4263)* CHOOSE(CONTROL!$C$21, $C$9, 100%, $E$9)</f>
        <v>17.426300000000001</v>
      </c>
      <c r="K354" s="53">
        <f>CHOOSE(CONTROL!$C$42, 17.5056, 17.5056) * CHOOSE(CONTROL!$C$21, $C$9, 100%, $E$9)</f>
        <v>17.505600000000001</v>
      </c>
      <c r="L354" s="14">
        <f>CHOOSE(CONTROL!$C$42, 18.2669, 18.2669) * CHOOSE(CONTROL!$C$21, $C$9, 100%, $E$9)</f>
        <v>18.2669</v>
      </c>
      <c r="M354" s="14">
        <f>CHOOSE(CONTROL!$C$42, 17.077, 17.077) * CHOOSE(CONTROL!$C$21, $C$9, 100%, $E$9)</f>
        <v>17.077000000000002</v>
      </c>
      <c r="N354" s="14">
        <f>CHOOSE(CONTROL!$C$42, 17.0932, 17.0932) * CHOOSE(CONTROL!$C$21, $C$9, 100%, $E$9)</f>
        <v>17.0932</v>
      </c>
      <c r="O354" s="14">
        <f>CHOOSE(CONTROL!$C$42, 17.3253, 17.3253) * CHOOSE(CONTROL!$C$21, $C$9, 100%, $E$9)</f>
        <v>17.325299999999999</v>
      </c>
      <c r="P354" s="14">
        <f>CHOOSE(CONTROL!$C$42, 17.1574, 17.1574) * CHOOSE(CONTROL!$C$21, $C$9, 100%, $E$9)</f>
        <v>17.157399999999999</v>
      </c>
      <c r="Q354" s="14">
        <f>CHOOSE(CONTROL!$C$42, 17.92, 17.92) * CHOOSE(CONTROL!$C$21, $C$9, 100%, $E$9)</f>
        <v>17.920000000000002</v>
      </c>
      <c r="R354" s="14">
        <f>CHOOSE(CONTROL!$C$42, 18.5518, 18.5518) * CHOOSE(CONTROL!$C$21, $C$9, 100%, $E$9)</f>
        <v>18.5518</v>
      </c>
      <c r="S354" s="14">
        <f>CHOOSE(CONTROL!$C$42, 16.754, 16.754) * CHOOSE(CONTROL!$C$21, $C$9, 100%, $E$9)</f>
        <v>16.754000000000001</v>
      </c>
      <c r="T3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7">
        <f>(1000*CHOOSE(CONTROL!$C$42, 695, 695)*CHOOSE(CONTROL!$C$42, 0.5599, 0.5599)*CHOOSE(CONTROL!$C$42, 30, 30))/1000000</f>
        <v>11.673914999999997</v>
      </c>
      <c r="V354" s="57">
        <f>(1000*CHOOSE(CONTROL!$C$42, 500, 500)*CHOOSE(CONTROL!$C$42, 0.275, 0.275)*CHOOSE(CONTROL!$C$42, 30, 30))/1000000</f>
        <v>4.125</v>
      </c>
      <c r="W354" s="57">
        <f>(1000*CHOOSE(CONTROL!$C$42, 0.1146, 0.1146)*CHOOSE(CONTROL!$C$42, 121.5, 121.5)*CHOOSE(CONTROL!$C$42, 30, 30))/1000000</f>
        <v>0.417717</v>
      </c>
      <c r="X354" s="57">
        <f>(30*0.1790888*245000/1000000)+(30*0.2374*100000/1000000)</f>
        <v>2.0285026799999999</v>
      </c>
      <c r="Y354" s="57"/>
      <c r="Z354" s="14"/>
      <c r="AA354" s="56"/>
      <c r="AB354" s="50">
        <f>(B354*194.205+C354*267.466+D354*133.845+E354*53.484+F354*40+G354*185+H354*0+I354*100+J354*300)/(194.205+267.466+133.845+53.484+0+40+185+100+300)</f>
        <v>17.481237757142857</v>
      </c>
      <c r="AC354" s="45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17.161964748201438</v>
      </c>
    </row>
    <row r="355" spans="1:29" ht="15.75" x14ac:dyDescent="0.25">
      <c r="A355" s="33">
        <v>51713</v>
      </c>
      <c r="B355" s="14">
        <f>CHOOSE(CONTROL!$C$42, 17.1123, 17.1123) * CHOOSE(CONTROL!$C$21, $C$9, 100%, $E$9)</f>
        <v>17.112300000000001</v>
      </c>
      <c r="C355" s="14">
        <f>CHOOSE(CONTROL!$C$42, 17.1203, 17.1203) * CHOOSE(CONTROL!$C$21, $C$9, 100%, $E$9)</f>
        <v>17.1203</v>
      </c>
      <c r="D355" s="14">
        <f>CHOOSE(CONTROL!$C$42, 17.3253, 17.3253) * CHOOSE(CONTROL!$C$21, $C$9, 100%, $E$9)</f>
        <v>17.325299999999999</v>
      </c>
      <c r="E355" s="14">
        <f>CHOOSE(CONTROL!$C$42, 17.3568, 17.3568) * CHOOSE(CONTROL!$C$21, $C$9, 100%, $E$9)</f>
        <v>17.3568</v>
      </c>
      <c r="F355" s="14">
        <f>CHOOSE(CONTROL!$C$42, 17.0993, 17.0993)*CHOOSE(CONTROL!$C$21, $C$9, 100%, $E$9)</f>
        <v>17.099299999999999</v>
      </c>
      <c r="G355" s="14">
        <f>CHOOSE(CONTROL!$C$42, 17.1159, 17.1159)*CHOOSE(CONTROL!$C$21, $C$9, 100%, $E$9)</f>
        <v>17.1159</v>
      </c>
      <c r="H355" s="14">
        <f>CHOOSE(CONTROL!$C$42, 17.3454, 17.3454) * CHOOSE(CONTROL!$C$21, $C$9, 100%, $E$9)</f>
        <v>17.345400000000001</v>
      </c>
      <c r="I355" s="14">
        <f>CHOOSE(CONTROL!$C$42, 17.1739, 17.1739)* CHOOSE(CONTROL!$C$21, $C$9, 100%, $E$9)</f>
        <v>17.1739</v>
      </c>
      <c r="J355" s="14">
        <f>CHOOSE(CONTROL!$C$42, 17.0923, 17.0923)* CHOOSE(CONTROL!$C$21, $C$9, 100%, $E$9)</f>
        <v>17.092300000000002</v>
      </c>
      <c r="K355" s="53">
        <f>CHOOSE(CONTROL!$C$42, 17.1701, 17.1701) * CHOOSE(CONTROL!$C$21, $C$9, 100%, $E$9)</f>
        <v>17.170100000000001</v>
      </c>
      <c r="L355" s="14">
        <f>CHOOSE(CONTROL!$C$42, 17.9324, 17.9324) * CHOOSE(CONTROL!$C$21, $C$9, 100%, $E$9)</f>
        <v>17.932400000000001</v>
      </c>
      <c r="M355" s="14">
        <f>CHOOSE(CONTROL!$C$42, 16.7498, 16.7498) * CHOOSE(CONTROL!$C$21, $C$9, 100%, $E$9)</f>
        <v>16.7498</v>
      </c>
      <c r="N355" s="14">
        <f>CHOOSE(CONTROL!$C$42, 16.766, 16.766) * CHOOSE(CONTROL!$C$21, $C$9, 100%, $E$9)</f>
        <v>16.765999999999998</v>
      </c>
      <c r="O355" s="14">
        <f>CHOOSE(CONTROL!$C$42, 16.9977, 16.9977) * CHOOSE(CONTROL!$C$21, $C$9, 100%, $E$9)</f>
        <v>16.997699999999998</v>
      </c>
      <c r="P355" s="14">
        <f>CHOOSE(CONTROL!$C$42, 16.8288, 16.8288) * CHOOSE(CONTROL!$C$21, $C$9, 100%, $E$9)</f>
        <v>16.828800000000001</v>
      </c>
      <c r="Q355" s="14">
        <f>CHOOSE(CONTROL!$C$42, 17.5924, 17.5924) * CHOOSE(CONTROL!$C$21, $C$9, 100%, $E$9)</f>
        <v>17.592400000000001</v>
      </c>
      <c r="R355" s="14">
        <f>CHOOSE(CONTROL!$C$42, 18.2234, 18.2234) * CHOOSE(CONTROL!$C$21, $C$9, 100%, $E$9)</f>
        <v>18.223400000000002</v>
      </c>
      <c r="S355" s="14">
        <f>CHOOSE(CONTROL!$C$42, 16.4326, 16.4326) * CHOOSE(CONTROL!$C$21, $C$9, 100%, $E$9)</f>
        <v>16.432600000000001</v>
      </c>
      <c r="T3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7">
        <f>(1000*CHOOSE(CONTROL!$C$42, 695, 695)*CHOOSE(CONTROL!$C$42, 0.5599, 0.5599)*CHOOSE(CONTROL!$C$42, 31, 31))/1000000</f>
        <v>12.063045499999998</v>
      </c>
      <c r="V355" s="57">
        <f>(1000*CHOOSE(CONTROL!$C$42, 500, 500)*CHOOSE(CONTROL!$C$42, 0.275, 0.275)*CHOOSE(CONTROL!$C$42, 31, 31))/1000000</f>
        <v>4.2625000000000002</v>
      </c>
      <c r="W355" s="57">
        <f>(1000*CHOOSE(CONTROL!$C$42, 0.1146, 0.1146)*CHOOSE(CONTROL!$C$42, 121.5, 121.5)*CHOOSE(CONTROL!$C$42, 31, 31))/1000000</f>
        <v>0.43164089999999994</v>
      </c>
      <c r="X355" s="57">
        <f>(31*0.1790888*245000/1000000)+(31*0.2374*100000/1000000)</f>
        <v>2.0961194359999999</v>
      </c>
      <c r="Y355" s="57"/>
      <c r="Z355" s="14"/>
      <c r="AA355" s="56"/>
      <c r="AB355" s="50">
        <f>(B355*194.205+C355*267.466+D355*133.845+E355*53.484+F355*40+G355*185+H355*0+I355*100+J355*300)/(194.205+267.466+133.845+53.484+0+40+185+100+300)</f>
        <v>17.146861656985873</v>
      </c>
      <c r="AC355" s="45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16.834451079136691</v>
      </c>
    </row>
    <row r="356" spans="1:29" ht="15.75" x14ac:dyDescent="0.25">
      <c r="A356" s="33">
        <v>51744</v>
      </c>
      <c r="B356" s="14">
        <f>CHOOSE(CONTROL!$C$42, 16.2676, 16.2676) * CHOOSE(CONTROL!$C$21, $C$9, 100%, $E$9)</f>
        <v>16.267600000000002</v>
      </c>
      <c r="C356" s="14">
        <f>CHOOSE(CONTROL!$C$42, 16.2757, 16.2757) * CHOOSE(CONTROL!$C$21, $C$9, 100%, $E$9)</f>
        <v>16.275700000000001</v>
      </c>
      <c r="D356" s="14">
        <f>CHOOSE(CONTROL!$C$42, 16.4806, 16.4806) * CHOOSE(CONTROL!$C$21, $C$9, 100%, $E$9)</f>
        <v>16.480599999999999</v>
      </c>
      <c r="E356" s="14">
        <f>CHOOSE(CONTROL!$C$42, 16.5121, 16.5121) * CHOOSE(CONTROL!$C$21, $C$9, 100%, $E$9)</f>
        <v>16.5121</v>
      </c>
      <c r="F356" s="14">
        <f>CHOOSE(CONTROL!$C$42, 16.2548, 16.2548)*CHOOSE(CONTROL!$C$21, $C$9, 100%, $E$9)</f>
        <v>16.254799999999999</v>
      </c>
      <c r="G356" s="14">
        <f>CHOOSE(CONTROL!$C$42, 16.2715, 16.2715)*CHOOSE(CONTROL!$C$21, $C$9, 100%, $E$9)</f>
        <v>16.2715</v>
      </c>
      <c r="H356" s="14">
        <f>CHOOSE(CONTROL!$C$42, 16.5007, 16.5007) * CHOOSE(CONTROL!$C$21, $C$9, 100%, $E$9)</f>
        <v>16.500699999999998</v>
      </c>
      <c r="I356" s="14">
        <f>CHOOSE(CONTROL!$C$42, 16.3266, 16.3266)* CHOOSE(CONTROL!$C$21, $C$9, 100%, $E$9)</f>
        <v>16.326599999999999</v>
      </c>
      <c r="J356" s="14">
        <f>CHOOSE(CONTROL!$C$42, 16.2478, 16.2478)* CHOOSE(CONTROL!$C$21, $C$9, 100%, $E$9)</f>
        <v>16.247800000000002</v>
      </c>
      <c r="K356" s="53">
        <f>CHOOSE(CONTROL!$C$42, 16.3227, 16.3227) * CHOOSE(CONTROL!$C$21, $C$9, 100%, $E$9)</f>
        <v>16.322700000000001</v>
      </c>
      <c r="L356" s="14">
        <f>CHOOSE(CONTROL!$C$42, 17.0877, 17.0877) * CHOOSE(CONTROL!$C$21, $C$9, 100%, $E$9)</f>
        <v>17.087700000000002</v>
      </c>
      <c r="M356" s="14">
        <f>CHOOSE(CONTROL!$C$42, 15.9226, 15.9226) * CHOOSE(CONTROL!$C$21, $C$9, 100%, $E$9)</f>
        <v>15.922599999999999</v>
      </c>
      <c r="N356" s="14">
        <f>CHOOSE(CONTROL!$C$42, 15.939, 15.939) * CHOOSE(CONTROL!$C$21, $C$9, 100%, $E$9)</f>
        <v>15.939</v>
      </c>
      <c r="O356" s="14">
        <f>CHOOSE(CONTROL!$C$42, 16.1703, 16.1703) * CHOOSE(CONTROL!$C$21, $C$9, 100%, $E$9)</f>
        <v>16.170300000000001</v>
      </c>
      <c r="P356" s="14">
        <f>CHOOSE(CONTROL!$C$42, 15.9989, 15.9989) * CHOOSE(CONTROL!$C$21, $C$9, 100%, $E$9)</f>
        <v>15.998900000000001</v>
      </c>
      <c r="Q356" s="14">
        <f>CHOOSE(CONTROL!$C$42, 16.765, 16.765) * CHOOSE(CONTROL!$C$21, $C$9, 100%, $E$9)</f>
        <v>16.765000000000001</v>
      </c>
      <c r="R356" s="14">
        <f>CHOOSE(CONTROL!$C$42, 17.394, 17.394) * CHOOSE(CONTROL!$C$21, $C$9, 100%, $E$9)</f>
        <v>17.393999999999998</v>
      </c>
      <c r="S356" s="14">
        <f>CHOOSE(CONTROL!$C$42, 15.6209, 15.6209) * CHOOSE(CONTROL!$C$21, $C$9, 100%, $E$9)</f>
        <v>15.620900000000001</v>
      </c>
      <c r="T3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7">
        <f>(1000*CHOOSE(CONTROL!$C$42, 695, 695)*CHOOSE(CONTROL!$C$42, 0.5599, 0.5599)*CHOOSE(CONTROL!$C$42, 31, 31))/1000000</f>
        <v>12.063045499999998</v>
      </c>
      <c r="V356" s="57">
        <f>(1000*CHOOSE(CONTROL!$C$42, 500, 500)*CHOOSE(CONTROL!$C$42, 0.275, 0.275)*CHOOSE(CONTROL!$C$42, 31, 31))/1000000</f>
        <v>4.2625000000000002</v>
      </c>
      <c r="W356" s="57">
        <f>(1000*CHOOSE(CONTROL!$C$42, 0.1146, 0.1146)*CHOOSE(CONTROL!$C$42, 121.5, 121.5)*CHOOSE(CONTROL!$C$42, 31, 31))/1000000</f>
        <v>0.43164089999999994</v>
      </c>
      <c r="X356" s="57">
        <f>(31*0.1790888*245000/1000000)+(31*0.2374*100000/1000000)</f>
        <v>2.0961194359999999</v>
      </c>
      <c r="Y356" s="57"/>
      <c r="Z356" s="14"/>
      <c r="AA356" s="56"/>
      <c r="AB356" s="50">
        <f>(B356*194.205+C356*267.466+D356*133.845+E356*53.484+F356*40+G356*185+H356*0+I356*100+J356*300)/(194.205+267.466+133.845+53.484+0+40+185+100+300)</f>
        <v>16.30207550832025</v>
      </c>
      <c r="AC356" s="45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16.00685251798561</v>
      </c>
    </row>
    <row r="357" spans="1:29" ht="15.75" x14ac:dyDescent="0.25">
      <c r="A357" s="33">
        <v>51774</v>
      </c>
      <c r="B357" s="14">
        <f>CHOOSE(CONTROL!$C$42, 15.2352, 15.2352) * CHOOSE(CONTROL!$C$21, $C$9, 100%, $E$9)</f>
        <v>15.235200000000001</v>
      </c>
      <c r="C357" s="14">
        <f>CHOOSE(CONTROL!$C$42, 15.2433, 15.2433) * CHOOSE(CONTROL!$C$21, $C$9, 100%, $E$9)</f>
        <v>15.2433</v>
      </c>
      <c r="D357" s="14">
        <f>CHOOSE(CONTROL!$C$42, 15.4482, 15.4482) * CHOOSE(CONTROL!$C$21, $C$9, 100%, $E$9)</f>
        <v>15.4482</v>
      </c>
      <c r="E357" s="14">
        <f>CHOOSE(CONTROL!$C$42, 15.4797, 15.4797) * CHOOSE(CONTROL!$C$21, $C$9, 100%, $E$9)</f>
        <v>15.479699999999999</v>
      </c>
      <c r="F357" s="14">
        <f>CHOOSE(CONTROL!$C$42, 15.2224, 15.2224)*CHOOSE(CONTROL!$C$21, $C$9, 100%, $E$9)</f>
        <v>15.2224</v>
      </c>
      <c r="G357" s="14">
        <f>CHOOSE(CONTROL!$C$42, 15.2391, 15.2391)*CHOOSE(CONTROL!$C$21, $C$9, 100%, $E$9)</f>
        <v>15.239100000000001</v>
      </c>
      <c r="H357" s="14">
        <f>CHOOSE(CONTROL!$C$42, 15.4683, 15.4683) * CHOOSE(CONTROL!$C$21, $C$9, 100%, $E$9)</f>
        <v>15.468299999999999</v>
      </c>
      <c r="I357" s="14">
        <f>CHOOSE(CONTROL!$C$42, 15.291, 15.291)* CHOOSE(CONTROL!$C$21, $C$9, 100%, $E$9)</f>
        <v>15.291</v>
      </c>
      <c r="J357" s="14">
        <f>CHOOSE(CONTROL!$C$42, 15.2154, 15.2154)* CHOOSE(CONTROL!$C$21, $C$9, 100%, $E$9)</f>
        <v>15.215400000000001</v>
      </c>
      <c r="K357" s="53">
        <f>CHOOSE(CONTROL!$C$42, 15.2871, 15.2871) * CHOOSE(CONTROL!$C$21, $C$9, 100%, $E$9)</f>
        <v>15.287100000000001</v>
      </c>
      <c r="L357" s="14">
        <f>CHOOSE(CONTROL!$C$42, 16.0553, 16.0553) * CHOOSE(CONTROL!$C$21, $C$9, 100%, $E$9)</f>
        <v>16.055299999999999</v>
      </c>
      <c r="M357" s="14">
        <f>CHOOSE(CONTROL!$C$42, 14.9113, 14.9113) * CHOOSE(CONTROL!$C$21, $C$9, 100%, $E$9)</f>
        <v>14.911300000000001</v>
      </c>
      <c r="N357" s="14">
        <f>CHOOSE(CONTROL!$C$42, 14.9277, 14.9277) * CHOOSE(CONTROL!$C$21, $C$9, 100%, $E$9)</f>
        <v>14.9277</v>
      </c>
      <c r="O357" s="14">
        <f>CHOOSE(CONTROL!$C$42, 15.1591, 15.1591) * CHOOSE(CONTROL!$C$21, $C$9, 100%, $E$9)</f>
        <v>15.1591</v>
      </c>
      <c r="P357" s="14">
        <f>CHOOSE(CONTROL!$C$42, 14.9845, 14.9845) * CHOOSE(CONTROL!$C$21, $C$9, 100%, $E$9)</f>
        <v>14.984500000000001</v>
      </c>
      <c r="Q357" s="14">
        <f>CHOOSE(CONTROL!$C$42, 15.7538, 15.7538) * CHOOSE(CONTROL!$C$21, $C$9, 100%, $E$9)</f>
        <v>15.7538</v>
      </c>
      <c r="R357" s="14">
        <f>CHOOSE(CONTROL!$C$42, 16.3802, 16.3802) * CHOOSE(CONTROL!$C$21, $C$9, 100%, $E$9)</f>
        <v>16.380199999999999</v>
      </c>
      <c r="S357" s="14">
        <f>CHOOSE(CONTROL!$C$42, 14.6289, 14.6289) * CHOOSE(CONTROL!$C$21, $C$9, 100%, $E$9)</f>
        <v>14.6289</v>
      </c>
      <c r="T3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7">
        <f>(1000*CHOOSE(CONTROL!$C$42, 695, 695)*CHOOSE(CONTROL!$C$42, 0.5599, 0.5599)*CHOOSE(CONTROL!$C$42, 30, 30))/1000000</f>
        <v>11.673914999999997</v>
      </c>
      <c r="V357" s="57">
        <f>(1000*CHOOSE(CONTROL!$C$42, 500, 500)*CHOOSE(CONTROL!$C$42, 0.275, 0.275)*CHOOSE(CONTROL!$C$42, 30, 30))/1000000</f>
        <v>4.125</v>
      </c>
      <c r="W357" s="57">
        <f>(1000*CHOOSE(CONTROL!$C$42, 0.1146, 0.1146)*CHOOSE(CONTROL!$C$42, 121.5, 121.5)*CHOOSE(CONTROL!$C$42, 30, 30))/1000000</f>
        <v>0.417717</v>
      </c>
      <c r="X357" s="57">
        <f>(30*0.1790888*245000/1000000)+(30*0.2374*100000/1000000)</f>
        <v>2.0285026799999999</v>
      </c>
      <c r="Y357" s="57"/>
      <c r="Z357" s="14"/>
      <c r="AA357" s="56"/>
      <c r="AB357" s="50">
        <f>(B357*194.205+C357*267.466+D357*133.845+E357*53.484+F357*40+G357*185+H357*0+I357*100+J357*300)/(194.205+267.466+133.845+53.484+0+40+185+100+300)</f>
        <v>15.269424330926219</v>
      </c>
      <c r="AC357" s="45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14.995134532374101</v>
      </c>
    </row>
    <row r="358" spans="1:29" ht="15.75" x14ac:dyDescent="0.25">
      <c r="A358" s="33">
        <v>51805</v>
      </c>
      <c r="B358" s="14">
        <f>CHOOSE(CONTROL!$C$42, 14.9244, 14.9244) * CHOOSE(CONTROL!$C$21, $C$9, 100%, $E$9)</f>
        <v>14.9244</v>
      </c>
      <c r="C358" s="14">
        <f>CHOOSE(CONTROL!$C$42, 14.9297, 14.9297) * CHOOSE(CONTROL!$C$21, $C$9, 100%, $E$9)</f>
        <v>14.9297</v>
      </c>
      <c r="D358" s="14">
        <f>CHOOSE(CONTROL!$C$42, 15.1396, 15.1396) * CHOOSE(CONTROL!$C$21, $C$9, 100%, $E$9)</f>
        <v>15.1396</v>
      </c>
      <c r="E358" s="14">
        <f>CHOOSE(CONTROL!$C$42, 15.1688, 15.1688) * CHOOSE(CONTROL!$C$21, $C$9, 100%, $E$9)</f>
        <v>15.168799999999999</v>
      </c>
      <c r="F358" s="14">
        <f>CHOOSE(CONTROL!$C$42, 14.9136, 14.9136)*CHOOSE(CONTROL!$C$21, $C$9, 100%, $E$9)</f>
        <v>14.913600000000001</v>
      </c>
      <c r="G358" s="14">
        <f>CHOOSE(CONTROL!$C$42, 14.9299, 14.9299)*CHOOSE(CONTROL!$C$21, $C$9, 100%, $E$9)</f>
        <v>14.9299</v>
      </c>
      <c r="H358" s="14">
        <f>CHOOSE(CONTROL!$C$42, 15.1592, 15.1592) * CHOOSE(CONTROL!$C$21, $C$9, 100%, $E$9)</f>
        <v>15.1592</v>
      </c>
      <c r="I358" s="14">
        <f>CHOOSE(CONTROL!$C$42, 14.9809, 14.9809)* CHOOSE(CONTROL!$C$21, $C$9, 100%, $E$9)</f>
        <v>14.9809</v>
      </c>
      <c r="J358" s="14">
        <f>CHOOSE(CONTROL!$C$42, 14.9066, 14.9066)* CHOOSE(CONTROL!$C$21, $C$9, 100%, $E$9)</f>
        <v>14.906599999999999</v>
      </c>
      <c r="K358" s="53">
        <f>CHOOSE(CONTROL!$C$42, 14.977, 14.977) * CHOOSE(CONTROL!$C$21, $C$9, 100%, $E$9)</f>
        <v>14.977</v>
      </c>
      <c r="L358" s="14">
        <f>CHOOSE(CONTROL!$C$42, 15.7462, 15.7462) * CHOOSE(CONTROL!$C$21, $C$9, 100%, $E$9)</f>
        <v>15.7462</v>
      </c>
      <c r="M358" s="14">
        <f>CHOOSE(CONTROL!$C$42, 14.6089, 14.6089) * CHOOSE(CONTROL!$C$21, $C$9, 100%, $E$9)</f>
        <v>14.6089</v>
      </c>
      <c r="N358" s="14">
        <f>CHOOSE(CONTROL!$C$42, 14.6249, 14.6249) * CHOOSE(CONTROL!$C$21, $C$9, 100%, $E$9)</f>
        <v>14.6249</v>
      </c>
      <c r="O358" s="14">
        <f>CHOOSE(CONTROL!$C$42, 14.8563, 14.8563) * CHOOSE(CONTROL!$C$21, $C$9, 100%, $E$9)</f>
        <v>14.856299999999999</v>
      </c>
      <c r="P358" s="14">
        <f>CHOOSE(CONTROL!$C$42, 14.6808, 14.6808) * CHOOSE(CONTROL!$C$21, $C$9, 100%, $E$9)</f>
        <v>14.6808</v>
      </c>
      <c r="Q358" s="14">
        <f>CHOOSE(CONTROL!$C$42, 15.451, 15.451) * CHOOSE(CONTROL!$C$21, $C$9, 100%, $E$9)</f>
        <v>15.451000000000001</v>
      </c>
      <c r="R358" s="14">
        <f>CHOOSE(CONTROL!$C$42, 16.0766, 16.0766) * CHOOSE(CONTROL!$C$21, $C$9, 100%, $E$9)</f>
        <v>16.076599999999999</v>
      </c>
      <c r="S358" s="14">
        <f>CHOOSE(CONTROL!$C$42, 14.3319, 14.3319) * CHOOSE(CONTROL!$C$21, $C$9, 100%, $E$9)</f>
        <v>14.331899999999999</v>
      </c>
      <c r="T3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7">
        <f>(1000*CHOOSE(CONTROL!$C$42, 695, 695)*CHOOSE(CONTROL!$C$42, 0.5599, 0.5599)*CHOOSE(CONTROL!$C$42, 31, 31))/1000000</f>
        <v>12.063045499999998</v>
      </c>
      <c r="V358" s="57">
        <f>(1000*CHOOSE(CONTROL!$C$42, 500, 500)*CHOOSE(CONTROL!$C$42, 0.275, 0.275)*CHOOSE(CONTROL!$C$42, 31, 31))/1000000</f>
        <v>4.2625000000000002</v>
      </c>
      <c r="W358" s="57">
        <f>(1000*CHOOSE(CONTROL!$C$42, 0.1146, 0.1146)*CHOOSE(CONTROL!$C$42, 121.5, 121.5)*CHOOSE(CONTROL!$C$42, 31, 31))/1000000</f>
        <v>0.43164089999999994</v>
      </c>
      <c r="X358" s="57">
        <f>(31*0.1790888*245000/1000000)+(31*0.2374*100000/1000000)</f>
        <v>2.0961194359999999</v>
      </c>
      <c r="Y358" s="57"/>
      <c r="Z358" s="14"/>
      <c r="AA358" s="56"/>
      <c r="AB358" s="50">
        <f>(B358*131.881+C358*277.167+D358*79.08+E358*125.872+F358*40+G358*185+H358*0+I358*100+J358*300)/(131.881+277.167+79.08+125.872+0+40+185+100+300)</f>
        <v>14.964872653672316</v>
      </c>
      <c r="AC358" s="45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14.692343165467626</v>
      </c>
    </row>
    <row r="359" spans="1:29" ht="15.75" x14ac:dyDescent="0.25">
      <c r="A359" s="33">
        <v>51835</v>
      </c>
      <c r="B359" s="14">
        <f>CHOOSE(CONTROL!$C$42, 15.3169, 15.3169) * CHOOSE(CONTROL!$C$21, $C$9, 100%, $E$9)</f>
        <v>15.3169</v>
      </c>
      <c r="C359" s="14">
        <f>CHOOSE(CONTROL!$C$42, 15.3219, 15.3219) * CHOOSE(CONTROL!$C$21, $C$9, 100%, $E$9)</f>
        <v>15.321899999999999</v>
      </c>
      <c r="D359" s="14">
        <f>CHOOSE(CONTROL!$C$42, 15.3857, 15.3857) * CHOOSE(CONTROL!$C$21, $C$9, 100%, $E$9)</f>
        <v>15.3857</v>
      </c>
      <c r="E359" s="14">
        <f>CHOOSE(CONTROL!$C$42, 15.4199, 15.4199) * CHOOSE(CONTROL!$C$21, $C$9, 100%, $E$9)</f>
        <v>15.4199</v>
      </c>
      <c r="F359" s="14">
        <f>CHOOSE(CONTROL!$C$42, 15.3191, 15.3191)*CHOOSE(CONTROL!$C$21, $C$9, 100%, $E$9)</f>
        <v>15.319100000000001</v>
      </c>
      <c r="G359" s="14">
        <f>CHOOSE(CONTROL!$C$42, 15.3358, 15.3358)*CHOOSE(CONTROL!$C$21, $C$9, 100%, $E$9)</f>
        <v>15.335800000000001</v>
      </c>
      <c r="H359" s="14">
        <f>CHOOSE(CONTROL!$C$42, 15.409, 15.409) * CHOOSE(CONTROL!$C$21, $C$9, 100%, $E$9)</f>
        <v>15.409000000000001</v>
      </c>
      <c r="I359" s="14">
        <f>CHOOSE(CONTROL!$C$42, 15.3787, 15.3787)* CHOOSE(CONTROL!$C$21, $C$9, 100%, $E$9)</f>
        <v>15.3787</v>
      </c>
      <c r="J359" s="14">
        <f>CHOOSE(CONTROL!$C$42, 15.3121, 15.3121)* CHOOSE(CONTROL!$C$21, $C$9, 100%, $E$9)</f>
        <v>15.312099999999999</v>
      </c>
      <c r="K359" s="53">
        <f>CHOOSE(CONTROL!$C$42, 15.3748, 15.3748) * CHOOSE(CONTROL!$C$21, $C$9, 100%, $E$9)</f>
        <v>15.3748</v>
      </c>
      <c r="L359" s="14">
        <f>CHOOSE(CONTROL!$C$42, 15.996, 15.996) * CHOOSE(CONTROL!$C$21, $C$9, 100%, $E$9)</f>
        <v>15.996</v>
      </c>
      <c r="M359" s="14">
        <f>CHOOSE(CONTROL!$C$42, 15.0061, 15.0061) * CHOOSE(CONTROL!$C$21, $C$9, 100%, $E$9)</f>
        <v>15.0061</v>
      </c>
      <c r="N359" s="14">
        <f>CHOOSE(CONTROL!$C$42, 15.0224, 15.0224) * CHOOSE(CONTROL!$C$21, $C$9, 100%, $E$9)</f>
        <v>15.022399999999999</v>
      </c>
      <c r="O359" s="14">
        <f>CHOOSE(CONTROL!$C$42, 15.101, 15.101) * CHOOSE(CONTROL!$C$21, $C$9, 100%, $E$9)</f>
        <v>15.101000000000001</v>
      </c>
      <c r="P359" s="14">
        <f>CHOOSE(CONTROL!$C$42, 15.0704, 15.0704) * CHOOSE(CONTROL!$C$21, $C$9, 100%, $E$9)</f>
        <v>15.070399999999999</v>
      </c>
      <c r="Q359" s="14">
        <f>CHOOSE(CONTROL!$C$42, 15.6957, 15.6957) * CHOOSE(CONTROL!$C$21, $C$9, 100%, $E$9)</f>
        <v>15.6957</v>
      </c>
      <c r="R359" s="14">
        <f>CHOOSE(CONTROL!$C$42, 16.322, 16.322) * CHOOSE(CONTROL!$C$21, $C$9, 100%, $E$9)</f>
        <v>16.321999999999999</v>
      </c>
      <c r="S359" s="14">
        <f>CHOOSE(CONTROL!$C$42, 14.7094, 14.7094) * CHOOSE(CONTROL!$C$21, $C$9, 100%, $E$9)</f>
        <v>14.7094</v>
      </c>
      <c r="T3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7">
        <f>(1000*CHOOSE(CONTROL!$C$42, 695, 695)*CHOOSE(CONTROL!$C$42, 0.5599, 0.5599)*CHOOSE(CONTROL!$C$42, 30, 30))/1000000</f>
        <v>11.673914999999997</v>
      </c>
      <c r="V359" s="57">
        <f>(1000*CHOOSE(CONTROL!$C$42, 500, 500)*CHOOSE(CONTROL!$C$42, 0.275, 0.275)*CHOOSE(CONTROL!$C$42, 30, 30))/1000000</f>
        <v>4.125</v>
      </c>
      <c r="W359" s="57">
        <f>(1000*CHOOSE(CONTROL!$C$42, 0.1146, 0.1146)*CHOOSE(CONTROL!$C$42, 121.5, 121.5)*CHOOSE(CONTROL!$C$42, 30, 30))/1000000</f>
        <v>0.417717</v>
      </c>
      <c r="X359" s="57">
        <f>(30*0.1790888*100000/1000000)+(30*0.2374*100000/1000000)</f>
        <v>1.2494664</v>
      </c>
      <c r="Y359" s="57"/>
      <c r="Z359" s="14"/>
      <c r="AA359" s="56"/>
      <c r="AB359" s="50">
        <f>(B359*122.58+C359*297.941+D359*89.177+E359*40.302+F359*40+G359*160+H359*0+I359*100+J359*300)/(122.58+297.941+89.177+40.302+0+40+160+100+300)</f>
        <v>15.333967990086954</v>
      </c>
      <c r="AC359" s="45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15.059302158273381</v>
      </c>
    </row>
    <row r="360" spans="1:29" ht="15.75" x14ac:dyDescent="0.25">
      <c r="A360" s="33">
        <v>51866</v>
      </c>
      <c r="B360" s="14">
        <f>CHOOSE(CONTROL!$C$42, 16.3605, 16.3605) * CHOOSE(CONTROL!$C$21, $C$9, 100%, $E$9)</f>
        <v>16.360499999999998</v>
      </c>
      <c r="C360" s="14">
        <f>CHOOSE(CONTROL!$C$42, 16.3656, 16.3656) * CHOOSE(CONTROL!$C$21, $C$9, 100%, $E$9)</f>
        <v>16.365600000000001</v>
      </c>
      <c r="D360" s="14">
        <f>CHOOSE(CONTROL!$C$42, 16.4294, 16.4294) * CHOOSE(CONTROL!$C$21, $C$9, 100%, $E$9)</f>
        <v>16.429400000000001</v>
      </c>
      <c r="E360" s="14">
        <f>CHOOSE(CONTROL!$C$42, 16.4635, 16.4635) * CHOOSE(CONTROL!$C$21, $C$9, 100%, $E$9)</f>
        <v>16.4635</v>
      </c>
      <c r="F360" s="14">
        <f>CHOOSE(CONTROL!$C$42, 16.3648, 16.3648)*CHOOSE(CONTROL!$C$21, $C$9, 100%, $E$9)</f>
        <v>16.364799999999999</v>
      </c>
      <c r="G360" s="14">
        <f>CHOOSE(CONTROL!$C$42, 16.382, 16.382)*CHOOSE(CONTROL!$C$21, $C$9, 100%, $E$9)</f>
        <v>16.382000000000001</v>
      </c>
      <c r="H360" s="14">
        <f>CHOOSE(CONTROL!$C$42, 16.4527, 16.4527) * CHOOSE(CONTROL!$C$21, $C$9, 100%, $E$9)</f>
        <v>16.4527</v>
      </c>
      <c r="I360" s="14">
        <f>CHOOSE(CONTROL!$C$42, 16.4256, 16.4256)* CHOOSE(CONTROL!$C$21, $C$9, 100%, $E$9)</f>
        <v>16.425599999999999</v>
      </c>
      <c r="J360" s="14">
        <f>CHOOSE(CONTROL!$C$42, 16.3578, 16.3578)* CHOOSE(CONTROL!$C$21, $C$9, 100%, $E$9)</f>
        <v>16.357800000000001</v>
      </c>
      <c r="K360" s="53">
        <f>CHOOSE(CONTROL!$C$42, 16.4217, 16.4217) * CHOOSE(CONTROL!$C$21, $C$9, 100%, $E$9)</f>
        <v>16.421700000000001</v>
      </c>
      <c r="L360" s="14">
        <f>CHOOSE(CONTROL!$C$42, 17.0397, 17.0397) * CHOOSE(CONTROL!$C$21, $C$9, 100%, $E$9)</f>
        <v>17.0397</v>
      </c>
      <c r="M360" s="14">
        <f>CHOOSE(CONTROL!$C$42, 16.0303, 16.0303) * CHOOSE(CONTROL!$C$21, $C$9, 100%, $E$9)</f>
        <v>16.0303</v>
      </c>
      <c r="N360" s="14">
        <f>CHOOSE(CONTROL!$C$42, 16.0472, 16.0472) * CHOOSE(CONTROL!$C$21, $C$9, 100%, $E$9)</f>
        <v>16.0472</v>
      </c>
      <c r="O360" s="14">
        <f>CHOOSE(CONTROL!$C$42, 16.1233, 16.1233) * CHOOSE(CONTROL!$C$21, $C$9, 100%, $E$9)</f>
        <v>16.1233</v>
      </c>
      <c r="P360" s="14">
        <f>CHOOSE(CONTROL!$C$42, 16.0958, 16.0958) * CHOOSE(CONTROL!$C$21, $C$9, 100%, $E$9)</f>
        <v>16.095800000000001</v>
      </c>
      <c r="Q360" s="14">
        <f>CHOOSE(CONTROL!$C$42, 16.718, 16.718) * CHOOSE(CONTROL!$C$21, $C$9, 100%, $E$9)</f>
        <v>16.718</v>
      </c>
      <c r="R360" s="14">
        <f>CHOOSE(CONTROL!$C$42, 17.3468, 17.3468) * CHOOSE(CONTROL!$C$21, $C$9, 100%, $E$9)</f>
        <v>17.346800000000002</v>
      </c>
      <c r="S360" s="14">
        <f>CHOOSE(CONTROL!$C$42, 15.7123, 15.7123) * CHOOSE(CONTROL!$C$21, $C$9, 100%, $E$9)</f>
        <v>15.712300000000001</v>
      </c>
      <c r="T3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7">
        <f>(1000*CHOOSE(CONTROL!$C$42, 695, 695)*CHOOSE(CONTROL!$C$42, 0.5599, 0.5599)*CHOOSE(CONTROL!$C$42, 31, 31))/1000000</f>
        <v>12.063045499999998</v>
      </c>
      <c r="V360" s="57">
        <f>(1000*CHOOSE(CONTROL!$C$42, 500, 500)*CHOOSE(CONTROL!$C$42, 0.275, 0.275)*CHOOSE(CONTROL!$C$42, 31, 31))/1000000</f>
        <v>4.2625000000000002</v>
      </c>
      <c r="W360" s="57">
        <f>(1000*CHOOSE(CONTROL!$C$42, 0.1146, 0.1146)*CHOOSE(CONTROL!$C$42, 121.5, 121.5)*CHOOSE(CONTROL!$C$42, 31, 31))/1000000</f>
        <v>0.43164089999999994</v>
      </c>
      <c r="X360" s="57">
        <f>(31*0.1790888*100000/1000000)+(31*0.2374*100000/1000000)</f>
        <v>1.2911152800000001</v>
      </c>
      <c r="Y360" s="57"/>
      <c r="Z360" s="14"/>
      <c r="AA360" s="56"/>
      <c r="AB360" s="50">
        <f>(B360*122.58+C360*297.941+D360*89.177+E360*40.302+F360*40+G360*160+H360*0+I360*100+J360*300)/(122.58+297.941+89.177+40.302+0+40+160+100+300)</f>
        <v>16.378871217739132</v>
      </c>
      <c r="AC360" s="45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16.08284820143885</v>
      </c>
    </row>
    <row r="361" spans="1:29" ht="15.75" x14ac:dyDescent="0.25">
      <c r="A361" s="33">
        <v>51897</v>
      </c>
      <c r="B361" s="14">
        <f>CHOOSE(CONTROL!$C$42, 17.6999, 17.6999) * CHOOSE(CONTROL!$C$21, $C$9, 100%, $E$9)</f>
        <v>17.6999</v>
      </c>
      <c r="C361" s="14">
        <f>CHOOSE(CONTROL!$C$42, 17.7049, 17.7049) * CHOOSE(CONTROL!$C$21, $C$9, 100%, $E$9)</f>
        <v>17.704899999999999</v>
      </c>
      <c r="D361" s="14">
        <f>CHOOSE(CONTROL!$C$42, 17.7635, 17.7635) * CHOOSE(CONTROL!$C$21, $C$9, 100%, $E$9)</f>
        <v>17.763500000000001</v>
      </c>
      <c r="E361" s="14">
        <f>CHOOSE(CONTROL!$C$42, 17.7976, 17.7976) * CHOOSE(CONTROL!$C$21, $C$9, 100%, $E$9)</f>
        <v>17.797599999999999</v>
      </c>
      <c r="F361" s="14">
        <f>CHOOSE(CONTROL!$C$42, 17.699, 17.699)*CHOOSE(CONTROL!$C$21, $C$9, 100%, $E$9)</f>
        <v>17.699000000000002</v>
      </c>
      <c r="G361" s="14">
        <f>CHOOSE(CONTROL!$C$42, 17.7154, 17.7154)*CHOOSE(CONTROL!$C$21, $C$9, 100%, $E$9)</f>
        <v>17.715399999999999</v>
      </c>
      <c r="H361" s="14">
        <f>CHOOSE(CONTROL!$C$42, 17.7868, 17.7868) * CHOOSE(CONTROL!$C$21, $C$9, 100%, $E$9)</f>
        <v>17.786799999999999</v>
      </c>
      <c r="I361" s="14">
        <f>CHOOSE(CONTROL!$C$42, 17.7655, 17.7655)* CHOOSE(CONTROL!$C$21, $C$9, 100%, $E$9)</f>
        <v>17.765499999999999</v>
      </c>
      <c r="J361" s="14">
        <f>CHOOSE(CONTROL!$C$42, 17.692, 17.692)* CHOOSE(CONTROL!$C$21, $C$9, 100%, $E$9)</f>
        <v>17.692</v>
      </c>
      <c r="K361" s="53">
        <f>CHOOSE(CONTROL!$C$42, 17.7616, 17.7616) * CHOOSE(CONTROL!$C$21, $C$9, 100%, $E$9)</f>
        <v>17.761600000000001</v>
      </c>
      <c r="L361" s="14">
        <f>CHOOSE(CONTROL!$C$42, 18.3738, 18.3738) * CHOOSE(CONTROL!$C$21, $C$9, 100%, $E$9)</f>
        <v>18.373799999999999</v>
      </c>
      <c r="M361" s="14">
        <f>CHOOSE(CONTROL!$C$42, 17.3372, 17.3372) * CHOOSE(CONTROL!$C$21, $C$9, 100%, $E$9)</f>
        <v>17.337199999999999</v>
      </c>
      <c r="N361" s="14">
        <f>CHOOSE(CONTROL!$C$42, 17.3532, 17.3532) * CHOOSE(CONTROL!$C$21, $C$9, 100%, $E$9)</f>
        <v>17.353200000000001</v>
      </c>
      <c r="O361" s="14">
        <f>CHOOSE(CONTROL!$C$42, 17.4301, 17.4301) * CHOOSE(CONTROL!$C$21, $C$9, 100%, $E$9)</f>
        <v>17.430099999999999</v>
      </c>
      <c r="P361" s="14">
        <f>CHOOSE(CONTROL!$C$42, 17.4082, 17.4082) * CHOOSE(CONTROL!$C$21, $C$9, 100%, $E$9)</f>
        <v>17.408200000000001</v>
      </c>
      <c r="Q361" s="14">
        <f>CHOOSE(CONTROL!$C$42, 18.0248, 18.0248) * CHOOSE(CONTROL!$C$21, $C$9, 100%, $E$9)</f>
        <v>18.024799999999999</v>
      </c>
      <c r="R361" s="14">
        <f>CHOOSE(CONTROL!$C$42, 18.6569, 18.6569) * CHOOSE(CONTROL!$C$21, $C$9, 100%, $E$9)</f>
        <v>18.6569</v>
      </c>
      <c r="S361" s="14">
        <f>CHOOSE(CONTROL!$C$42, 16.9993, 16.9993) * CHOOSE(CONTROL!$C$21, $C$9, 100%, $E$9)</f>
        <v>16.999300000000002</v>
      </c>
      <c r="T3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7">
        <f>(1000*CHOOSE(CONTROL!$C$42, 695, 695)*CHOOSE(CONTROL!$C$42, 0.5599, 0.5599)*CHOOSE(CONTROL!$C$42, 31, 31))/1000000</f>
        <v>12.063045499999998</v>
      </c>
      <c r="V361" s="57">
        <f>(1000*CHOOSE(CONTROL!$C$42, 500, 500)*CHOOSE(CONTROL!$C$42, 0.275, 0.275)*CHOOSE(CONTROL!$C$42, 31, 31))/1000000</f>
        <v>4.2625000000000002</v>
      </c>
      <c r="W361" s="57">
        <f>(1000*CHOOSE(CONTROL!$C$42, 0.1146, 0.1146)*CHOOSE(CONTROL!$C$42, 121.5, 121.5)*CHOOSE(CONTROL!$C$42, 31, 31))/1000000</f>
        <v>0.43164089999999994</v>
      </c>
      <c r="X361" s="57">
        <f>(31*0.1790888*100000/1000000)+(31*0.2374*100000/1000000)</f>
        <v>1.2911152800000001</v>
      </c>
      <c r="Y361" s="57"/>
      <c r="Z361" s="14"/>
      <c r="AA361" s="56"/>
      <c r="AB361" s="50">
        <f>(B361*122.58+C361*297.941+D361*89.177+E361*40.302+F361*40+G361*160+H361*0+I361*100+J361*300)/(122.58+297.941+89.177+40.302+0+40+160+100+300)</f>
        <v>17.715319884869565</v>
      </c>
      <c r="AC361" s="45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17.390442446043163</v>
      </c>
    </row>
    <row r="362" spans="1:29" ht="15.75" x14ac:dyDescent="0.25">
      <c r="A362" s="33">
        <v>51925</v>
      </c>
      <c r="B362" s="14">
        <f>CHOOSE(CONTROL!$C$42, 18.0148, 18.0148) * CHOOSE(CONTROL!$C$21, $C$9, 100%, $E$9)</f>
        <v>18.014800000000001</v>
      </c>
      <c r="C362" s="14">
        <f>CHOOSE(CONTROL!$C$42, 18.0198, 18.0198) * CHOOSE(CONTROL!$C$21, $C$9, 100%, $E$9)</f>
        <v>18.0198</v>
      </c>
      <c r="D362" s="14">
        <f>CHOOSE(CONTROL!$C$42, 18.0784, 18.0784) * CHOOSE(CONTROL!$C$21, $C$9, 100%, $E$9)</f>
        <v>18.078399999999998</v>
      </c>
      <c r="E362" s="14">
        <f>CHOOSE(CONTROL!$C$42, 18.1126, 18.1126) * CHOOSE(CONTROL!$C$21, $C$9, 100%, $E$9)</f>
        <v>18.1126</v>
      </c>
      <c r="F362" s="14">
        <f>CHOOSE(CONTROL!$C$42, 18.0139, 18.0139)*CHOOSE(CONTROL!$C$21, $C$9, 100%, $E$9)</f>
        <v>18.0139</v>
      </c>
      <c r="G362" s="14">
        <f>CHOOSE(CONTROL!$C$42, 18.0302, 18.0302)*CHOOSE(CONTROL!$C$21, $C$9, 100%, $E$9)</f>
        <v>18.030200000000001</v>
      </c>
      <c r="H362" s="14">
        <f>CHOOSE(CONTROL!$C$42, 18.1018, 18.1018) * CHOOSE(CONTROL!$C$21, $C$9, 100%, $E$9)</f>
        <v>18.101800000000001</v>
      </c>
      <c r="I362" s="14">
        <f>CHOOSE(CONTROL!$C$42, 18.0814, 18.0814)* CHOOSE(CONTROL!$C$21, $C$9, 100%, $E$9)</f>
        <v>18.081399999999999</v>
      </c>
      <c r="J362" s="14">
        <f>CHOOSE(CONTROL!$C$42, 18.0069, 18.0069)* CHOOSE(CONTROL!$C$21, $C$9, 100%, $E$9)</f>
        <v>18.006900000000002</v>
      </c>
      <c r="K362" s="53">
        <f>CHOOSE(CONTROL!$C$42, 18.0775, 18.0775) * CHOOSE(CONTROL!$C$21, $C$9, 100%, $E$9)</f>
        <v>18.077500000000001</v>
      </c>
      <c r="L362" s="14">
        <f>CHOOSE(CONTROL!$C$42, 18.6888, 18.6888) * CHOOSE(CONTROL!$C$21, $C$9, 100%, $E$9)</f>
        <v>18.688800000000001</v>
      </c>
      <c r="M362" s="14">
        <f>CHOOSE(CONTROL!$C$42, 17.6456, 17.6456) * CHOOSE(CONTROL!$C$21, $C$9, 100%, $E$9)</f>
        <v>17.645600000000002</v>
      </c>
      <c r="N362" s="14">
        <f>CHOOSE(CONTROL!$C$42, 17.6616, 17.6616) * CHOOSE(CONTROL!$C$21, $C$9, 100%, $E$9)</f>
        <v>17.6616</v>
      </c>
      <c r="O362" s="14">
        <f>CHOOSE(CONTROL!$C$42, 17.7386, 17.7386) * CHOOSE(CONTROL!$C$21, $C$9, 100%, $E$9)</f>
        <v>17.738600000000002</v>
      </c>
      <c r="P362" s="14">
        <f>CHOOSE(CONTROL!$C$42, 17.7176, 17.7176) * CHOOSE(CONTROL!$C$21, $C$9, 100%, $E$9)</f>
        <v>17.717600000000001</v>
      </c>
      <c r="Q362" s="14">
        <f>CHOOSE(CONTROL!$C$42, 18.3333, 18.3333) * CHOOSE(CONTROL!$C$21, $C$9, 100%, $E$9)</f>
        <v>18.333300000000001</v>
      </c>
      <c r="R362" s="14">
        <f>CHOOSE(CONTROL!$C$42, 18.9661, 18.9661) * CHOOSE(CONTROL!$C$21, $C$9, 100%, $E$9)</f>
        <v>18.966100000000001</v>
      </c>
      <c r="S362" s="14">
        <f>CHOOSE(CONTROL!$C$42, 17.3019, 17.3019) * CHOOSE(CONTROL!$C$21, $C$9, 100%, $E$9)</f>
        <v>17.3019</v>
      </c>
      <c r="T3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7">
        <f>(1000*CHOOSE(CONTROL!$C$42, 695, 695)*CHOOSE(CONTROL!$C$42, 0.5599, 0.5599)*CHOOSE(CONTROL!$C$42, 28, 28))/1000000</f>
        <v>10.895653999999999</v>
      </c>
      <c r="V362" s="57">
        <f>(1000*CHOOSE(CONTROL!$C$42, 500, 500)*CHOOSE(CONTROL!$C$42, 0.275, 0.275)*CHOOSE(CONTROL!$C$42, 28, 28))/1000000</f>
        <v>3.85</v>
      </c>
      <c r="W362" s="57">
        <f>(1000*CHOOSE(CONTROL!$C$42, 0.1146, 0.1146)*CHOOSE(CONTROL!$C$42, 121.5, 121.5)*CHOOSE(CONTROL!$C$42, 28, 28))/1000000</f>
        <v>0.38986920000000003</v>
      </c>
      <c r="X362" s="57">
        <f>(28*0.1790888*100000/1000000)+(28*0.2374*100000/1000000)</f>
        <v>1.16616864</v>
      </c>
      <c r="Y362" s="57"/>
      <c r="Z362" s="14"/>
      <c r="AA362" s="56"/>
      <c r="AB362" s="50">
        <f>(B362*122.58+C362*297.941+D362*89.177+E362*40.302+F362*40+G362*160+H362*0+I362*100+J362*300)/(122.58+297.941+89.177+40.302+0+40+160+100+300)</f>
        <v>18.030296432869566</v>
      </c>
      <c r="AC362" s="45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17.699031654676261</v>
      </c>
    </row>
    <row r="363" spans="1:29" ht="15.75" x14ac:dyDescent="0.25">
      <c r="A363" s="33">
        <v>51956</v>
      </c>
      <c r="B363" s="14">
        <f>CHOOSE(CONTROL!$C$42, 17.5036, 17.5036) * CHOOSE(CONTROL!$C$21, $C$9, 100%, $E$9)</f>
        <v>17.503599999999999</v>
      </c>
      <c r="C363" s="14">
        <f>CHOOSE(CONTROL!$C$42, 17.5087, 17.5087) * CHOOSE(CONTROL!$C$21, $C$9, 100%, $E$9)</f>
        <v>17.508700000000001</v>
      </c>
      <c r="D363" s="14">
        <f>CHOOSE(CONTROL!$C$42, 17.5673, 17.5673) * CHOOSE(CONTROL!$C$21, $C$9, 100%, $E$9)</f>
        <v>17.567299999999999</v>
      </c>
      <c r="E363" s="14">
        <f>CHOOSE(CONTROL!$C$42, 17.6014, 17.6014) * CHOOSE(CONTROL!$C$21, $C$9, 100%, $E$9)</f>
        <v>17.601400000000002</v>
      </c>
      <c r="F363" s="14">
        <f>CHOOSE(CONTROL!$C$42, 17.5022, 17.5022)*CHOOSE(CONTROL!$C$21, $C$9, 100%, $E$9)</f>
        <v>17.502199999999998</v>
      </c>
      <c r="G363" s="14">
        <f>CHOOSE(CONTROL!$C$42, 17.5184, 17.5184)*CHOOSE(CONTROL!$C$21, $C$9, 100%, $E$9)</f>
        <v>17.5184</v>
      </c>
      <c r="H363" s="14">
        <f>CHOOSE(CONTROL!$C$42, 17.5906, 17.5906) * CHOOSE(CONTROL!$C$21, $C$9, 100%, $E$9)</f>
        <v>17.590599999999998</v>
      </c>
      <c r="I363" s="14">
        <f>CHOOSE(CONTROL!$C$42, 17.5687, 17.5687)* CHOOSE(CONTROL!$C$21, $C$9, 100%, $E$9)</f>
        <v>17.5687</v>
      </c>
      <c r="J363" s="14">
        <f>CHOOSE(CONTROL!$C$42, 17.4952, 17.4952)* CHOOSE(CONTROL!$C$21, $C$9, 100%, $E$9)</f>
        <v>17.495200000000001</v>
      </c>
      <c r="K363" s="53">
        <f>CHOOSE(CONTROL!$C$42, 17.5648, 17.5648) * CHOOSE(CONTROL!$C$21, $C$9, 100%, $E$9)</f>
        <v>17.564800000000002</v>
      </c>
      <c r="L363" s="14">
        <f>CHOOSE(CONTROL!$C$42, 18.1776, 18.1776) * CHOOSE(CONTROL!$C$21, $C$9, 100%, $E$9)</f>
        <v>18.177600000000002</v>
      </c>
      <c r="M363" s="14">
        <f>CHOOSE(CONTROL!$C$42, 17.1444, 17.1444) * CHOOSE(CONTROL!$C$21, $C$9, 100%, $E$9)</f>
        <v>17.144400000000001</v>
      </c>
      <c r="N363" s="14">
        <f>CHOOSE(CONTROL!$C$42, 17.1603, 17.1603) * CHOOSE(CONTROL!$C$21, $C$9, 100%, $E$9)</f>
        <v>17.160299999999999</v>
      </c>
      <c r="O363" s="14">
        <f>CHOOSE(CONTROL!$C$42, 17.2378, 17.2378) * CHOOSE(CONTROL!$C$21, $C$9, 100%, $E$9)</f>
        <v>17.2378</v>
      </c>
      <c r="P363" s="14">
        <f>CHOOSE(CONTROL!$C$42, 17.2153, 17.2153) * CHOOSE(CONTROL!$C$21, $C$9, 100%, $E$9)</f>
        <v>17.215299999999999</v>
      </c>
      <c r="Q363" s="14">
        <f>CHOOSE(CONTROL!$C$42, 17.8325, 17.8325) * CHOOSE(CONTROL!$C$21, $C$9, 100%, $E$9)</f>
        <v>17.8325</v>
      </c>
      <c r="R363" s="14">
        <f>CHOOSE(CONTROL!$C$42, 18.4641, 18.4641) * CHOOSE(CONTROL!$C$21, $C$9, 100%, $E$9)</f>
        <v>18.464099999999998</v>
      </c>
      <c r="S363" s="14">
        <f>CHOOSE(CONTROL!$C$42, 16.8107, 16.8107) * CHOOSE(CONTROL!$C$21, $C$9, 100%, $E$9)</f>
        <v>16.810700000000001</v>
      </c>
      <c r="T3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7">
        <f>(1000*CHOOSE(CONTROL!$C$42, 695, 695)*CHOOSE(CONTROL!$C$42, 0.5599, 0.5599)*CHOOSE(CONTROL!$C$42, 31, 31))/1000000</f>
        <v>12.063045499999998</v>
      </c>
      <c r="V363" s="57">
        <f>(1000*CHOOSE(CONTROL!$C$42, 500, 500)*CHOOSE(CONTROL!$C$42, 0.275, 0.275)*CHOOSE(CONTROL!$C$42, 31, 31))/1000000</f>
        <v>4.2625000000000002</v>
      </c>
      <c r="W363" s="57">
        <f>(1000*CHOOSE(CONTROL!$C$42, 0.1146, 0.1146)*CHOOSE(CONTROL!$C$42, 121.5, 121.5)*CHOOSE(CONTROL!$C$42, 31, 31))/1000000</f>
        <v>0.43164089999999994</v>
      </c>
      <c r="X363" s="57">
        <f>(31*0.1790888*100000/1000000)+(31*0.2374*100000/1000000)</f>
        <v>1.2911152800000001</v>
      </c>
      <c r="Y363" s="57"/>
      <c r="Z363" s="14"/>
      <c r="AA363" s="56"/>
      <c r="AB363" s="50">
        <f>(B363*122.58+C363*297.941+D363*89.177+E363*40.302+F363*40+G363*160+H363*0+I363*100+J363*300)/(122.58+297.941+89.177+40.302+0+40+160+100+300)</f>
        <v>17.518768356173911</v>
      </c>
      <c r="AC363" s="45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17.197848920863311</v>
      </c>
    </row>
    <row r="364" spans="1:29" ht="15.75" x14ac:dyDescent="0.25">
      <c r="A364" s="33">
        <v>51986</v>
      </c>
      <c r="B364" s="14">
        <f>CHOOSE(CONTROL!$C$42, 17.4524, 17.4524) * CHOOSE(CONTROL!$C$21, $C$9, 100%, $E$9)</f>
        <v>17.452400000000001</v>
      </c>
      <c r="C364" s="14">
        <f>CHOOSE(CONTROL!$C$42, 17.4569, 17.4569) * CHOOSE(CONTROL!$C$21, $C$9, 100%, $E$9)</f>
        <v>17.456900000000001</v>
      </c>
      <c r="D364" s="14">
        <f>CHOOSE(CONTROL!$C$42, 17.665, 17.665) * CHOOSE(CONTROL!$C$21, $C$9, 100%, $E$9)</f>
        <v>17.664999999999999</v>
      </c>
      <c r="E364" s="14">
        <f>CHOOSE(CONTROL!$C$42, 17.6971, 17.6971) * CHOOSE(CONTROL!$C$21, $C$9, 100%, $E$9)</f>
        <v>17.697099999999999</v>
      </c>
      <c r="F364" s="14">
        <f>CHOOSE(CONTROL!$C$42, 17.4397, 17.4397)*CHOOSE(CONTROL!$C$21, $C$9, 100%, $E$9)</f>
        <v>17.439699999999998</v>
      </c>
      <c r="G364" s="14">
        <f>CHOOSE(CONTROL!$C$42, 17.4557, 17.4557)*CHOOSE(CONTROL!$C$21, $C$9, 100%, $E$9)</f>
        <v>17.4557</v>
      </c>
      <c r="H364" s="14">
        <f>CHOOSE(CONTROL!$C$42, 17.6869, 17.6869) * CHOOSE(CONTROL!$C$21, $C$9, 100%, $E$9)</f>
        <v>17.686900000000001</v>
      </c>
      <c r="I364" s="14">
        <f>CHOOSE(CONTROL!$C$42, 17.5165, 17.5165)* CHOOSE(CONTROL!$C$21, $C$9, 100%, $E$9)</f>
        <v>17.516500000000001</v>
      </c>
      <c r="J364" s="14">
        <f>CHOOSE(CONTROL!$C$42, 17.4327, 17.4327)* CHOOSE(CONTROL!$C$21, $C$9, 100%, $E$9)</f>
        <v>17.432700000000001</v>
      </c>
      <c r="K364" s="53">
        <f>CHOOSE(CONTROL!$C$42, 17.5126, 17.5126) * CHOOSE(CONTROL!$C$21, $C$9, 100%, $E$9)</f>
        <v>17.512599999999999</v>
      </c>
      <c r="L364" s="14">
        <f>CHOOSE(CONTROL!$C$42, 18.2739, 18.2739) * CHOOSE(CONTROL!$C$21, $C$9, 100%, $E$9)</f>
        <v>18.273900000000001</v>
      </c>
      <c r="M364" s="14">
        <f>CHOOSE(CONTROL!$C$42, 17.0832, 17.0832) * CHOOSE(CONTROL!$C$21, $C$9, 100%, $E$9)</f>
        <v>17.083200000000001</v>
      </c>
      <c r="N364" s="14">
        <f>CHOOSE(CONTROL!$C$42, 17.0989, 17.0989) * CHOOSE(CONTROL!$C$21, $C$9, 100%, $E$9)</f>
        <v>17.0989</v>
      </c>
      <c r="O364" s="14">
        <f>CHOOSE(CONTROL!$C$42, 17.3322, 17.3322) * CHOOSE(CONTROL!$C$21, $C$9, 100%, $E$9)</f>
        <v>17.3322</v>
      </c>
      <c r="P364" s="14">
        <f>CHOOSE(CONTROL!$C$42, 17.1643, 17.1643) * CHOOSE(CONTROL!$C$21, $C$9, 100%, $E$9)</f>
        <v>17.164300000000001</v>
      </c>
      <c r="Q364" s="14">
        <f>CHOOSE(CONTROL!$C$42, 17.9269, 17.9269) * CHOOSE(CONTROL!$C$21, $C$9, 100%, $E$9)</f>
        <v>17.9269</v>
      </c>
      <c r="R364" s="14">
        <f>CHOOSE(CONTROL!$C$42, 18.5587, 18.5587) * CHOOSE(CONTROL!$C$21, $C$9, 100%, $E$9)</f>
        <v>18.558700000000002</v>
      </c>
      <c r="S364" s="14">
        <f>CHOOSE(CONTROL!$C$42, 16.7607, 16.7607) * CHOOSE(CONTROL!$C$21, $C$9, 100%, $E$9)</f>
        <v>16.7607</v>
      </c>
      <c r="T3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7">
        <f>(1000*CHOOSE(CONTROL!$C$42, 695, 695)*CHOOSE(CONTROL!$C$42, 0.5599, 0.5599)*CHOOSE(CONTROL!$C$42, 30, 30))/1000000</f>
        <v>11.673914999999997</v>
      </c>
      <c r="V364" s="57">
        <f>(1000*CHOOSE(CONTROL!$C$42, 500, 500)*CHOOSE(CONTROL!$C$42, 0.275, 0.275)*CHOOSE(CONTROL!$C$42, 30, 30))/1000000</f>
        <v>4.125</v>
      </c>
      <c r="W364" s="57">
        <f>(1000*CHOOSE(CONTROL!$C$42, 0.1146, 0.1146)*CHOOSE(CONTROL!$C$42, 121.5, 121.5)*CHOOSE(CONTROL!$C$42, 30, 30))/1000000</f>
        <v>0.417717</v>
      </c>
      <c r="X364" s="57">
        <f>(30*0.1790888*245000/1000000)+(30*0.2374*100000/1000000)</f>
        <v>2.0285026799999999</v>
      </c>
      <c r="Y364" s="57"/>
      <c r="Z364" s="14"/>
      <c r="AA364" s="56"/>
      <c r="AB364" s="50">
        <f>(B364*141.293+C364*267.993+D364*115.016+E364*89.698+F364*40+G364*185+H364*0+I364*100+J364*300)/(141.293+267.993+115.016+89.698+0+40+185+100+300)</f>
        <v>17.491310387974174</v>
      </c>
      <c r="AC364" s="45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17.16834676258993</v>
      </c>
    </row>
    <row r="365" spans="1:29" ht="15.75" x14ac:dyDescent="0.25">
      <c r="A365" s="33">
        <v>52017</v>
      </c>
      <c r="B365" s="14">
        <f>CHOOSE(CONTROL!$C$42, 17.6077, 17.6077) * CHOOSE(CONTROL!$C$21, $C$9, 100%, $E$9)</f>
        <v>17.607700000000001</v>
      </c>
      <c r="C365" s="14">
        <f>CHOOSE(CONTROL!$C$42, 17.6158, 17.6158) * CHOOSE(CONTROL!$C$21, $C$9, 100%, $E$9)</f>
        <v>17.6158</v>
      </c>
      <c r="D365" s="14">
        <f>CHOOSE(CONTROL!$C$42, 17.8207, 17.8207) * CHOOSE(CONTROL!$C$21, $C$9, 100%, $E$9)</f>
        <v>17.820699999999999</v>
      </c>
      <c r="E365" s="14">
        <f>CHOOSE(CONTROL!$C$42, 17.8522, 17.8522) * CHOOSE(CONTROL!$C$21, $C$9, 100%, $E$9)</f>
        <v>17.8522</v>
      </c>
      <c r="F365" s="14">
        <f>CHOOSE(CONTROL!$C$42, 17.5939, 17.5939)*CHOOSE(CONTROL!$C$21, $C$9, 100%, $E$9)</f>
        <v>17.593900000000001</v>
      </c>
      <c r="G365" s="14">
        <f>CHOOSE(CONTROL!$C$42, 17.6103, 17.6103)*CHOOSE(CONTROL!$C$21, $C$9, 100%, $E$9)</f>
        <v>17.610299999999999</v>
      </c>
      <c r="H365" s="14">
        <f>CHOOSE(CONTROL!$C$42, 17.8408, 17.8408) * CHOOSE(CONTROL!$C$21, $C$9, 100%, $E$9)</f>
        <v>17.840800000000002</v>
      </c>
      <c r="I365" s="14">
        <f>CHOOSE(CONTROL!$C$42, 17.6709, 17.6709)* CHOOSE(CONTROL!$C$21, $C$9, 100%, $E$9)</f>
        <v>17.6709</v>
      </c>
      <c r="J365" s="14">
        <f>CHOOSE(CONTROL!$C$42, 17.5869, 17.5869)* CHOOSE(CONTROL!$C$21, $C$9, 100%, $E$9)</f>
        <v>17.5869</v>
      </c>
      <c r="K365" s="53">
        <f>CHOOSE(CONTROL!$C$42, 17.667, 17.667) * CHOOSE(CONTROL!$C$21, $C$9, 100%, $E$9)</f>
        <v>17.667000000000002</v>
      </c>
      <c r="L365" s="14">
        <f>CHOOSE(CONTROL!$C$42, 18.4278, 18.4278) * CHOOSE(CONTROL!$C$21, $C$9, 100%, $E$9)</f>
        <v>18.427800000000001</v>
      </c>
      <c r="M365" s="14">
        <f>CHOOSE(CONTROL!$C$42, 17.2343, 17.2343) * CHOOSE(CONTROL!$C$21, $C$9, 100%, $E$9)</f>
        <v>17.234300000000001</v>
      </c>
      <c r="N365" s="14">
        <f>CHOOSE(CONTROL!$C$42, 17.2503, 17.2503) * CHOOSE(CONTROL!$C$21, $C$9, 100%, $E$9)</f>
        <v>17.250299999999999</v>
      </c>
      <c r="O365" s="14">
        <f>CHOOSE(CONTROL!$C$42, 17.483, 17.483) * CHOOSE(CONTROL!$C$21, $C$9, 100%, $E$9)</f>
        <v>17.483000000000001</v>
      </c>
      <c r="P365" s="14">
        <f>CHOOSE(CONTROL!$C$42, 17.3155, 17.3155) * CHOOSE(CONTROL!$C$21, $C$9, 100%, $E$9)</f>
        <v>17.3155</v>
      </c>
      <c r="Q365" s="14">
        <f>CHOOSE(CONTROL!$C$42, 18.0777, 18.0777) * CHOOSE(CONTROL!$C$21, $C$9, 100%, $E$9)</f>
        <v>18.0777</v>
      </c>
      <c r="R365" s="14">
        <f>CHOOSE(CONTROL!$C$42, 18.7099, 18.7099) * CHOOSE(CONTROL!$C$21, $C$9, 100%, $E$9)</f>
        <v>18.709900000000001</v>
      </c>
      <c r="S365" s="14">
        <f>CHOOSE(CONTROL!$C$42, 16.9086, 16.9086) * CHOOSE(CONTROL!$C$21, $C$9, 100%, $E$9)</f>
        <v>16.9086</v>
      </c>
      <c r="T3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7">
        <f>(1000*CHOOSE(CONTROL!$C$42, 695, 695)*CHOOSE(CONTROL!$C$42, 0.5599, 0.5599)*CHOOSE(CONTROL!$C$42, 31, 31))/1000000</f>
        <v>12.063045499999998</v>
      </c>
      <c r="V365" s="57">
        <f>(1000*CHOOSE(CONTROL!$C$42, 500, 500)*CHOOSE(CONTROL!$C$42, 0.275, 0.275)*CHOOSE(CONTROL!$C$42, 31, 31))/1000000</f>
        <v>4.2625000000000002</v>
      </c>
      <c r="W365" s="57">
        <f>(1000*CHOOSE(CONTROL!$C$42, 0.1146, 0.1146)*CHOOSE(CONTROL!$C$42, 121.5, 121.5)*CHOOSE(CONTROL!$C$42, 31, 31))/1000000</f>
        <v>0.43164089999999994</v>
      </c>
      <c r="X365" s="57">
        <f>(31*0.1790888*245000/1000000)+(31*0.2374*100000/1000000)</f>
        <v>2.0961194359999999</v>
      </c>
      <c r="Y365" s="57"/>
      <c r="Z365" s="14"/>
      <c r="AA365" s="56"/>
      <c r="AB365" s="50">
        <f>(B365*194.205+C365*267.466+D365*133.845+E365*53.484+F365*40+G365*185+H365*0+I365*100+J365*300)/(194.205+267.466+133.845+53.484+0+40+185+100+300)</f>
        <v>17.642049527158555</v>
      </c>
      <c r="AC365" s="45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17.319446043165467</v>
      </c>
    </row>
    <row r="366" spans="1:29" ht="15.75" x14ac:dyDescent="0.25">
      <c r="A366" s="33">
        <v>52047</v>
      </c>
      <c r="B366" s="14">
        <f>CHOOSE(CONTROL!$C$42, 18.1069, 18.1069) * CHOOSE(CONTROL!$C$21, $C$9, 100%, $E$9)</f>
        <v>18.1069</v>
      </c>
      <c r="C366" s="14">
        <f>CHOOSE(CONTROL!$C$42, 18.1149, 18.1149) * CHOOSE(CONTROL!$C$21, $C$9, 100%, $E$9)</f>
        <v>18.114899999999999</v>
      </c>
      <c r="D366" s="14">
        <f>CHOOSE(CONTROL!$C$42, 18.3199, 18.3199) * CHOOSE(CONTROL!$C$21, $C$9, 100%, $E$9)</f>
        <v>18.319900000000001</v>
      </c>
      <c r="E366" s="14">
        <f>CHOOSE(CONTROL!$C$42, 18.3513, 18.3513) * CHOOSE(CONTROL!$C$21, $C$9, 100%, $E$9)</f>
        <v>18.351299999999998</v>
      </c>
      <c r="F366" s="14">
        <f>CHOOSE(CONTROL!$C$42, 18.0934, 18.0934)*CHOOSE(CONTROL!$C$21, $C$9, 100%, $E$9)</f>
        <v>18.093399999999999</v>
      </c>
      <c r="G366" s="14">
        <f>CHOOSE(CONTROL!$C$42, 18.1099, 18.1099)*CHOOSE(CONTROL!$C$21, $C$9, 100%, $E$9)</f>
        <v>18.1099</v>
      </c>
      <c r="H366" s="14">
        <f>CHOOSE(CONTROL!$C$42, 18.3399, 18.3399) * CHOOSE(CONTROL!$C$21, $C$9, 100%, $E$9)</f>
        <v>18.3399</v>
      </c>
      <c r="I366" s="14">
        <f>CHOOSE(CONTROL!$C$42, 18.1716, 18.1716)* CHOOSE(CONTROL!$C$21, $C$9, 100%, $E$9)</f>
        <v>18.171600000000002</v>
      </c>
      <c r="J366" s="14">
        <f>CHOOSE(CONTROL!$C$42, 18.0864, 18.0864)* CHOOSE(CONTROL!$C$21, $C$9, 100%, $E$9)</f>
        <v>18.086400000000001</v>
      </c>
      <c r="K366" s="53">
        <f>CHOOSE(CONTROL!$C$42, 18.1677, 18.1677) * CHOOSE(CONTROL!$C$21, $C$9, 100%, $E$9)</f>
        <v>18.1677</v>
      </c>
      <c r="L366" s="14">
        <f>CHOOSE(CONTROL!$C$42, 18.9269, 18.9269) * CHOOSE(CONTROL!$C$21, $C$9, 100%, $E$9)</f>
        <v>18.9269</v>
      </c>
      <c r="M366" s="14">
        <f>CHOOSE(CONTROL!$C$42, 17.7235, 17.7235) * CHOOSE(CONTROL!$C$21, $C$9, 100%, $E$9)</f>
        <v>17.723500000000001</v>
      </c>
      <c r="N366" s="14">
        <f>CHOOSE(CONTROL!$C$42, 17.7397, 17.7397) * CHOOSE(CONTROL!$C$21, $C$9, 100%, $E$9)</f>
        <v>17.739699999999999</v>
      </c>
      <c r="O366" s="14">
        <f>CHOOSE(CONTROL!$C$42, 17.9719, 17.9719) * CHOOSE(CONTROL!$C$21, $C$9, 100%, $E$9)</f>
        <v>17.971900000000002</v>
      </c>
      <c r="P366" s="14">
        <f>CHOOSE(CONTROL!$C$42, 17.8059, 17.8059) * CHOOSE(CONTROL!$C$21, $C$9, 100%, $E$9)</f>
        <v>17.805900000000001</v>
      </c>
      <c r="Q366" s="14">
        <f>CHOOSE(CONTROL!$C$42, 18.5666, 18.5666) * CHOOSE(CONTROL!$C$21, $C$9, 100%, $E$9)</f>
        <v>18.566600000000001</v>
      </c>
      <c r="R366" s="14">
        <f>CHOOSE(CONTROL!$C$42, 19.2, 19.2) * CHOOSE(CONTROL!$C$21, $C$9, 100%, $E$9)</f>
        <v>19.2</v>
      </c>
      <c r="S366" s="14">
        <f>CHOOSE(CONTROL!$C$42, 17.3882, 17.3882) * CHOOSE(CONTROL!$C$21, $C$9, 100%, $E$9)</f>
        <v>17.388200000000001</v>
      </c>
      <c r="T3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7">
        <f>(1000*CHOOSE(CONTROL!$C$42, 695, 695)*CHOOSE(CONTROL!$C$42, 0.5599, 0.5599)*CHOOSE(CONTROL!$C$42, 30, 30))/1000000</f>
        <v>11.673914999999997</v>
      </c>
      <c r="V366" s="57">
        <f>(1000*CHOOSE(CONTROL!$C$42, 500, 500)*CHOOSE(CONTROL!$C$42, 0.275, 0.275)*CHOOSE(CONTROL!$C$42, 30, 30))/1000000</f>
        <v>4.125</v>
      </c>
      <c r="W366" s="57">
        <f>(1000*CHOOSE(CONTROL!$C$42, 0.1146, 0.1146)*CHOOSE(CONTROL!$C$42, 121.5, 121.5)*CHOOSE(CONTROL!$C$42, 30, 30))/1000000</f>
        <v>0.417717</v>
      </c>
      <c r="X366" s="57">
        <f>(30*0.1790888*245000/1000000)+(30*0.2374*100000/1000000)</f>
        <v>2.0285026799999999</v>
      </c>
      <c r="Y366" s="57"/>
      <c r="Z366" s="14"/>
      <c r="AA366" s="56"/>
      <c r="AB366" s="50">
        <f>(B366*194.205+C366*267.466+D366*133.845+E366*53.484+F366*40+G366*185+H366*0+I366*100+J366*300)/(194.205+267.466+133.845+53.484+0+40+185+100+300)</f>
        <v>18.141480221821038</v>
      </c>
      <c r="AC366" s="45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17.808780575539569</v>
      </c>
    </row>
    <row r="367" spans="1:29" ht="15.75" x14ac:dyDescent="0.25">
      <c r="A367" s="33">
        <v>52078</v>
      </c>
      <c r="B367" s="14">
        <f>CHOOSE(CONTROL!$C$42, 17.7597, 17.7597) * CHOOSE(CONTROL!$C$21, $C$9, 100%, $E$9)</f>
        <v>17.759699999999999</v>
      </c>
      <c r="C367" s="14">
        <f>CHOOSE(CONTROL!$C$42, 17.7677, 17.7677) * CHOOSE(CONTROL!$C$21, $C$9, 100%, $E$9)</f>
        <v>17.767700000000001</v>
      </c>
      <c r="D367" s="14">
        <f>CHOOSE(CONTROL!$C$42, 17.9727, 17.9727) * CHOOSE(CONTROL!$C$21, $C$9, 100%, $E$9)</f>
        <v>17.9727</v>
      </c>
      <c r="E367" s="14">
        <f>CHOOSE(CONTROL!$C$42, 18.0042, 18.0042) * CHOOSE(CONTROL!$C$21, $C$9, 100%, $E$9)</f>
        <v>18.004200000000001</v>
      </c>
      <c r="F367" s="14">
        <f>CHOOSE(CONTROL!$C$42, 17.7467, 17.7467)*CHOOSE(CONTROL!$C$21, $C$9, 100%, $E$9)</f>
        <v>17.746700000000001</v>
      </c>
      <c r="G367" s="14">
        <f>CHOOSE(CONTROL!$C$42, 17.7633, 17.7633)*CHOOSE(CONTROL!$C$21, $C$9, 100%, $E$9)</f>
        <v>17.763300000000001</v>
      </c>
      <c r="H367" s="14">
        <f>CHOOSE(CONTROL!$C$42, 17.9928, 17.9928) * CHOOSE(CONTROL!$C$21, $C$9, 100%, $E$9)</f>
        <v>17.992799999999999</v>
      </c>
      <c r="I367" s="14">
        <f>CHOOSE(CONTROL!$C$42, 17.8234, 17.8234)* CHOOSE(CONTROL!$C$21, $C$9, 100%, $E$9)</f>
        <v>17.823399999999999</v>
      </c>
      <c r="J367" s="14">
        <f>CHOOSE(CONTROL!$C$42, 17.7397, 17.7397)* CHOOSE(CONTROL!$C$21, $C$9, 100%, $E$9)</f>
        <v>17.739699999999999</v>
      </c>
      <c r="K367" s="53">
        <f>CHOOSE(CONTROL!$C$42, 17.8195, 17.8195) * CHOOSE(CONTROL!$C$21, $C$9, 100%, $E$9)</f>
        <v>17.819500000000001</v>
      </c>
      <c r="L367" s="14">
        <f>CHOOSE(CONTROL!$C$42, 18.5798, 18.5798) * CHOOSE(CONTROL!$C$21, $C$9, 100%, $E$9)</f>
        <v>18.579799999999999</v>
      </c>
      <c r="M367" s="14">
        <f>CHOOSE(CONTROL!$C$42, 17.3839, 17.3839) * CHOOSE(CONTROL!$C$21, $C$9, 100%, $E$9)</f>
        <v>17.383900000000001</v>
      </c>
      <c r="N367" s="14">
        <f>CHOOSE(CONTROL!$C$42, 17.4002, 17.4002) * CHOOSE(CONTROL!$C$21, $C$9, 100%, $E$9)</f>
        <v>17.400200000000002</v>
      </c>
      <c r="O367" s="14">
        <f>CHOOSE(CONTROL!$C$42, 17.6318, 17.6318) * CHOOSE(CONTROL!$C$21, $C$9, 100%, $E$9)</f>
        <v>17.631799999999998</v>
      </c>
      <c r="P367" s="14">
        <f>CHOOSE(CONTROL!$C$42, 17.4648, 17.4648) * CHOOSE(CONTROL!$C$21, $C$9, 100%, $E$9)</f>
        <v>17.4648</v>
      </c>
      <c r="Q367" s="14">
        <f>CHOOSE(CONTROL!$C$42, 18.2265, 18.2265) * CHOOSE(CONTROL!$C$21, $C$9, 100%, $E$9)</f>
        <v>18.226500000000001</v>
      </c>
      <c r="R367" s="14">
        <f>CHOOSE(CONTROL!$C$42, 18.8591, 18.8591) * CHOOSE(CONTROL!$C$21, $C$9, 100%, $E$9)</f>
        <v>18.859100000000002</v>
      </c>
      <c r="S367" s="14">
        <f>CHOOSE(CONTROL!$C$42, 17.0547, 17.0547) * CHOOSE(CONTROL!$C$21, $C$9, 100%, $E$9)</f>
        <v>17.0547</v>
      </c>
      <c r="T3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7">
        <f>(1000*CHOOSE(CONTROL!$C$42, 695, 695)*CHOOSE(CONTROL!$C$42, 0.5599, 0.5599)*CHOOSE(CONTROL!$C$42, 31, 31))/1000000</f>
        <v>12.063045499999998</v>
      </c>
      <c r="V367" s="57">
        <f>(1000*CHOOSE(CONTROL!$C$42, 500, 500)*CHOOSE(CONTROL!$C$42, 0.275, 0.275)*CHOOSE(CONTROL!$C$42, 31, 31))/1000000</f>
        <v>4.2625000000000002</v>
      </c>
      <c r="W367" s="57">
        <f>(1000*CHOOSE(CONTROL!$C$42, 0.1146, 0.1146)*CHOOSE(CONTROL!$C$42, 121.5, 121.5)*CHOOSE(CONTROL!$C$42, 31, 31))/1000000</f>
        <v>0.43164089999999994</v>
      </c>
      <c r="X367" s="57">
        <f>(31*0.1790888*245000/1000000)+(31*0.2374*100000/1000000)</f>
        <v>2.0961194359999999</v>
      </c>
      <c r="Y367" s="57"/>
      <c r="Z367" s="14"/>
      <c r="AA367" s="56"/>
      <c r="AB367" s="50">
        <f>(B367*194.205+C367*267.466+D367*133.845+E367*53.484+F367*40+G367*185+H367*0+I367*100+J367*300)/(194.205+267.466+133.845+53.484+0+40+185+100+300)</f>
        <v>17.794426492150706</v>
      </c>
      <c r="AC367" s="45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17.46884748201439</v>
      </c>
    </row>
    <row r="368" spans="1:29" ht="15.75" x14ac:dyDescent="0.25">
      <c r="A368" s="33">
        <v>52109</v>
      </c>
      <c r="B368" s="14">
        <f>CHOOSE(CONTROL!$C$42, 16.8831, 16.8831) * CHOOSE(CONTROL!$C$21, $C$9, 100%, $E$9)</f>
        <v>16.883099999999999</v>
      </c>
      <c r="C368" s="14">
        <f>CHOOSE(CONTROL!$C$42, 16.8911, 16.8911) * CHOOSE(CONTROL!$C$21, $C$9, 100%, $E$9)</f>
        <v>16.891100000000002</v>
      </c>
      <c r="D368" s="14">
        <f>CHOOSE(CONTROL!$C$42, 17.0961, 17.0961) * CHOOSE(CONTROL!$C$21, $C$9, 100%, $E$9)</f>
        <v>17.0961</v>
      </c>
      <c r="E368" s="14">
        <f>CHOOSE(CONTROL!$C$42, 17.1275, 17.1275) * CHOOSE(CONTROL!$C$21, $C$9, 100%, $E$9)</f>
        <v>17.127500000000001</v>
      </c>
      <c r="F368" s="14">
        <f>CHOOSE(CONTROL!$C$42, 16.8703, 16.8703)*CHOOSE(CONTROL!$C$21, $C$9, 100%, $E$9)</f>
        <v>16.8703</v>
      </c>
      <c r="G368" s="14">
        <f>CHOOSE(CONTROL!$C$42, 16.8869, 16.8869)*CHOOSE(CONTROL!$C$21, $C$9, 100%, $E$9)</f>
        <v>16.886900000000001</v>
      </c>
      <c r="H368" s="14">
        <f>CHOOSE(CONTROL!$C$42, 17.1162, 17.1162) * CHOOSE(CONTROL!$C$21, $C$9, 100%, $E$9)</f>
        <v>17.116199999999999</v>
      </c>
      <c r="I368" s="14">
        <f>CHOOSE(CONTROL!$C$42, 16.944, 16.944)* CHOOSE(CONTROL!$C$21, $C$9, 100%, $E$9)</f>
        <v>16.943999999999999</v>
      </c>
      <c r="J368" s="14">
        <f>CHOOSE(CONTROL!$C$42, 16.8633, 16.8633)* CHOOSE(CONTROL!$C$21, $C$9, 100%, $E$9)</f>
        <v>16.863299999999999</v>
      </c>
      <c r="K368" s="53">
        <f>CHOOSE(CONTROL!$C$42, 16.9401, 16.9401) * CHOOSE(CONTROL!$C$21, $C$9, 100%, $E$9)</f>
        <v>16.940100000000001</v>
      </c>
      <c r="L368" s="14">
        <f>CHOOSE(CONTROL!$C$42, 17.7032, 17.7032) * CHOOSE(CONTROL!$C$21, $C$9, 100%, $E$9)</f>
        <v>17.703199999999999</v>
      </c>
      <c r="M368" s="14">
        <f>CHOOSE(CONTROL!$C$42, 16.5254, 16.5254) * CHOOSE(CONTROL!$C$21, $C$9, 100%, $E$9)</f>
        <v>16.525400000000001</v>
      </c>
      <c r="N368" s="14">
        <f>CHOOSE(CONTROL!$C$42, 16.5418, 16.5418) * CHOOSE(CONTROL!$C$21, $C$9, 100%, $E$9)</f>
        <v>16.541799999999999</v>
      </c>
      <c r="O368" s="14">
        <f>CHOOSE(CONTROL!$C$42, 16.7732, 16.7732) * CHOOSE(CONTROL!$C$21, $C$9, 100%, $E$9)</f>
        <v>16.773199999999999</v>
      </c>
      <c r="P368" s="14">
        <f>CHOOSE(CONTROL!$C$42, 16.6035, 16.6035) * CHOOSE(CONTROL!$C$21, $C$9, 100%, $E$9)</f>
        <v>16.6035</v>
      </c>
      <c r="Q368" s="14">
        <f>CHOOSE(CONTROL!$C$42, 17.3679, 17.3679) * CHOOSE(CONTROL!$C$21, $C$9, 100%, $E$9)</f>
        <v>17.367899999999999</v>
      </c>
      <c r="R368" s="14">
        <f>CHOOSE(CONTROL!$C$42, 17.9983, 17.9983) * CHOOSE(CONTROL!$C$21, $C$9, 100%, $E$9)</f>
        <v>17.9983</v>
      </c>
      <c r="S368" s="14">
        <f>CHOOSE(CONTROL!$C$42, 16.2123, 16.2123) * CHOOSE(CONTROL!$C$21, $C$9, 100%, $E$9)</f>
        <v>16.212299999999999</v>
      </c>
      <c r="T3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7">
        <f>(1000*CHOOSE(CONTROL!$C$42, 695, 695)*CHOOSE(CONTROL!$C$42, 0.5599, 0.5599)*CHOOSE(CONTROL!$C$42, 31, 31))/1000000</f>
        <v>12.063045499999998</v>
      </c>
      <c r="V368" s="57">
        <f>(1000*CHOOSE(CONTROL!$C$42, 500, 500)*CHOOSE(CONTROL!$C$42, 0.275, 0.275)*CHOOSE(CONTROL!$C$42, 31, 31))/1000000</f>
        <v>4.2625000000000002</v>
      </c>
      <c r="W368" s="57">
        <f>(1000*CHOOSE(CONTROL!$C$42, 0.1146, 0.1146)*CHOOSE(CONTROL!$C$42, 121.5, 121.5)*CHOOSE(CONTROL!$C$42, 31, 31))/1000000</f>
        <v>0.43164089999999994</v>
      </c>
      <c r="X368" s="57">
        <f>(31*0.1790888*245000/1000000)+(31*0.2374*100000/1000000)</f>
        <v>2.0961194359999999</v>
      </c>
      <c r="Y368" s="57"/>
      <c r="Z368" s="14"/>
      <c r="AA368" s="56"/>
      <c r="AB368" s="50">
        <f>(B368*194.205+C368*267.466+D368*133.845+E368*53.484+F368*40+G368*185+H368*0+I368*100+J368*300)/(194.205+267.466+133.845+53.484+0+40+185+100+300)</f>
        <v>16.917684931397176</v>
      </c>
      <c r="AC368" s="45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16.609939568345322</v>
      </c>
    </row>
    <row r="369" spans="1:29" ht="15.75" x14ac:dyDescent="0.25">
      <c r="A369" s="33">
        <v>52139</v>
      </c>
      <c r="B369" s="14">
        <f>CHOOSE(CONTROL!$C$42, 15.8116, 15.8116) * CHOOSE(CONTROL!$C$21, $C$9, 100%, $E$9)</f>
        <v>15.8116</v>
      </c>
      <c r="C369" s="14">
        <f>CHOOSE(CONTROL!$C$42, 15.8196, 15.8196) * CHOOSE(CONTROL!$C$21, $C$9, 100%, $E$9)</f>
        <v>15.819599999999999</v>
      </c>
      <c r="D369" s="14">
        <f>CHOOSE(CONTROL!$C$42, 16.0246, 16.0246) * CHOOSE(CONTROL!$C$21, $C$9, 100%, $E$9)</f>
        <v>16.0246</v>
      </c>
      <c r="E369" s="14">
        <f>CHOOSE(CONTROL!$C$42, 16.056, 16.056) * CHOOSE(CONTROL!$C$21, $C$9, 100%, $E$9)</f>
        <v>16.056000000000001</v>
      </c>
      <c r="F369" s="14">
        <f>CHOOSE(CONTROL!$C$42, 15.7987, 15.7987)*CHOOSE(CONTROL!$C$21, $C$9, 100%, $E$9)</f>
        <v>15.7987</v>
      </c>
      <c r="G369" s="14">
        <f>CHOOSE(CONTROL!$C$42, 15.8154, 15.8154)*CHOOSE(CONTROL!$C$21, $C$9, 100%, $E$9)</f>
        <v>15.8154</v>
      </c>
      <c r="H369" s="14">
        <f>CHOOSE(CONTROL!$C$42, 16.0447, 16.0447) * CHOOSE(CONTROL!$C$21, $C$9, 100%, $E$9)</f>
        <v>16.044699999999999</v>
      </c>
      <c r="I369" s="14">
        <f>CHOOSE(CONTROL!$C$42, 15.8692, 15.8692)* CHOOSE(CONTROL!$C$21, $C$9, 100%, $E$9)</f>
        <v>15.869199999999999</v>
      </c>
      <c r="J369" s="14">
        <f>CHOOSE(CONTROL!$C$42, 15.7917, 15.7917)* CHOOSE(CONTROL!$C$21, $C$9, 100%, $E$9)</f>
        <v>15.791700000000001</v>
      </c>
      <c r="K369" s="53">
        <f>CHOOSE(CONTROL!$C$42, 15.8653, 15.8653) * CHOOSE(CONTROL!$C$21, $C$9, 100%, $E$9)</f>
        <v>15.8653</v>
      </c>
      <c r="L369" s="14">
        <f>CHOOSE(CONTROL!$C$42, 16.6317, 16.6317) * CHOOSE(CONTROL!$C$21, $C$9, 100%, $E$9)</f>
        <v>16.631699999999999</v>
      </c>
      <c r="M369" s="14">
        <f>CHOOSE(CONTROL!$C$42, 15.4759, 15.4759) * CHOOSE(CONTROL!$C$21, $C$9, 100%, $E$9)</f>
        <v>15.475899999999999</v>
      </c>
      <c r="N369" s="14">
        <f>CHOOSE(CONTROL!$C$42, 15.4922, 15.4922) * CHOOSE(CONTROL!$C$21, $C$9, 100%, $E$9)</f>
        <v>15.4922</v>
      </c>
      <c r="O369" s="14">
        <f>CHOOSE(CONTROL!$C$42, 15.7236, 15.7236) * CHOOSE(CONTROL!$C$21, $C$9, 100%, $E$9)</f>
        <v>15.723599999999999</v>
      </c>
      <c r="P369" s="14">
        <f>CHOOSE(CONTROL!$C$42, 15.5508, 15.5508) * CHOOSE(CONTROL!$C$21, $C$9, 100%, $E$9)</f>
        <v>15.550800000000001</v>
      </c>
      <c r="Q369" s="14">
        <f>CHOOSE(CONTROL!$C$42, 16.3183, 16.3183) * CHOOSE(CONTROL!$C$21, $C$9, 100%, $E$9)</f>
        <v>16.318300000000001</v>
      </c>
      <c r="R369" s="14">
        <f>CHOOSE(CONTROL!$C$42, 16.9461, 16.9461) * CHOOSE(CONTROL!$C$21, $C$9, 100%, $E$9)</f>
        <v>16.946100000000001</v>
      </c>
      <c r="S369" s="14">
        <f>CHOOSE(CONTROL!$C$42, 15.1827, 15.1827) * CHOOSE(CONTROL!$C$21, $C$9, 100%, $E$9)</f>
        <v>15.182700000000001</v>
      </c>
      <c r="T3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7">
        <f>(1000*CHOOSE(CONTROL!$C$42, 695, 695)*CHOOSE(CONTROL!$C$42, 0.5599, 0.5599)*CHOOSE(CONTROL!$C$42, 30, 30))/1000000</f>
        <v>11.673914999999997</v>
      </c>
      <c r="V369" s="57">
        <f>(1000*CHOOSE(CONTROL!$C$42, 500, 500)*CHOOSE(CONTROL!$C$42, 0.275, 0.275)*CHOOSE(CONTROL!$C$42, 30, 30))/1000000</f>
        <v>4.125</v>
      </c>
      <c r="W369" s="57">
        <f>(1000*CHOOSE(CONTROL!$C$42, 0.1146, 0.1146)*CHOOSE(CONTROL!$C$42, 121.5, 121.5)*CHOOSE(CONTROL!$C$42, 30, 30))/1000000</f>
        <v>0.417717</v>
      </c>
      <c r="X369" s="57">
        <f>(30*0.1790888*245000/1000000)+(30*0.2374*100000/1000000)</f>
        <v>2.0285026799999999</v>
      </c>
      <c r="Y369" s="57"/>
      <c r="Z369" s="14"/>
      <c r="AA369" s="56"/>
      <c r="AB369" s="50">
        <f>(B369*194.205+C369*267.466+D369*133.845+E369*53.484+F369*40+G369*185+H369*0+I369*100+J369*300)/(194.205+267.466+133.845+53.484+0+40+185+100+300)</f>
        <v>15.845899217111461</v>
      </c>
      <c r="AC369" s="45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15.559928057553956</v>
      </c>
    </row>
    <row r="370" spans="1:29" ht="15.75" x14ac:dyDescent="0.25">
      <c r="A370" s="33">
        <v>52170</v>
      </c>
      <c r="B370" s="14">
        <f>CHOOSE(CONTROL!$C$42, 15.489, 15.489) * CHOOSE(CONTROL!$C$21, $C$9, 100%, $E$9)</f>
        <v>15.489000000000001</v>
      </c>
      <c r="C370" s="14">
        <f>CHOOSE(CONTROL!$C$42, 15.4943, 15.4943) * CHOOSE(CONTROL!$C$21, $C$9, 100%, $E$9)</f>
        <v>15.494300000000001</v>
      </c>
      <c r="D370" s="14">
        <f>CHOOSE(CONTROL!$C$42, 15.7043, 15.7043) * CHOOSE(CONTROL!$C$21, $C$9, 100%, $E$9)</f>
        <v>15.7043</v>
      </c>
      <c r="E370" s="14">
        <f>CHOOSE(CONTROL!$C$42, 15.7334, 15.7334) * CHOOSE(CONTROL!$C$21, $C$9, 100%, $E$9)</f>
        <v>15.7334</v>
      </c>
      <c r="F370" s="14">
        <f>CHOOSE(CONTROL!$C$42, 15.4782, 15.4782)*CHOOSE(CONTROL!$C$21, $C$9, 100%, $E$9)</f>
        <v>15.478199999999999</v>
      </c>
      <c r="G370" s="14">
        <f>CHOOSE(CONTROL!$C$42, 15.4946, 15.4946)*CHOOSE(CONTROL!$C$21, $C$9, 100%, $E$9)</f>
        <v>15.4946</v>
      </c>
      <c r="H370" s="14">
        <f>CHOOSE(CONTROL!$C$42, 15.7239, 15.7239) * CHOOSE(CONTROL!$C$21, $C$9, 100%, $E$9)</f>
        <v>15.7239</v>
      </c>
      <c r="I370" s="14">
        <f>CHOOSE(CONTROL!$C$42, 15.5473, 15.5473)* CHOOSE(CONTROL!$C$21, $C$9, 100%, $E$9)</f>
        <v>15.5473</v>
      </c>
      <c r="J370" s="14">
        <f>CHOOSE(CONTROL!$C$42, 15.4712, 15.4712)* CHOOSE(CONTROL!$C$21, $C$9, 100%, $E$9)</f>
        <v>15.4712</v>
      </c>
      <c r="K370" s="53">
        <f>CHOOSE(CONTROL!$C$42, 15.5435, 15.5435) * CHOOSE(CONTROL!$C$21, $C$9, 100%, $E$9)</f>
        <v>15.5435</v>
      </c>
      <c r="L370" s="14">
        <f>CHOOSE(CONTROL!$C$42, 16.3109, 16.3109) * CHOOSE(CONTROL!$C$21, $C$9, 100%, $E$9)</f>
        <v>16.3109</v>
      </c>
      <c r="M370" s="14">
        <f>CHOOSE(CONTROL!$C$42, 15.1619, 15.1619) * CHOOSE(CONTROL!$C$21, $C$9, 100%, $E$9)</f>
        <v>15.161899999999999</v>
      </c>
      <c r="N370" s="14">
        <f>CHOOSE(CONTROL!$C$42, 15.178, 15.178) * CHOOSE(CONTROL!$C$21, $C$9, 100%, $E$9)</f>
        <v>15.178000000000001</v>
      </c>
      <c r="O370" s="14">
        <f>CHOOSE(CONTROL!$C$42, 15.4094, 15.4094) * CHOOSE(CONTROL!$C$21, $C$9, 100%, $E$9)</f>
        <v>15.4094</v>
      </c>
      <c r="P370" s="14">
        <f>CHOOSE(CONTROL!$C$42, 15.2356, 15.2356) * CHOOSE(CONTROL!$C$21, $C$9, 100%, $E$9)</f>
        <v>15.2356</v>
      </c>
      <c r="Q370" s="14">
        <f>CHOOSE(CONTROL!$C$42, 16.0041, 16.0041) * CHOOSE(CONTROL!$C$21, $C$9, 100%, $E$9)</f>
        <v>16.004100000000001</v>
      </c>
      <c r="R370" s="14">
        <f>CHOOSE(CONTROL!$C$42, 16.6311, 16.6311) * CHOOSE(CONTROL!$C$21, $C$9, 100%, $E$9)</f>
        <v>16.6311</v>
      </c>
      <c r="S370" s="14">
        <f>CHOOSE(CONTROL!$C$42, 14.8745, 14.8745) * CHOOSE(CONTROL!$C$21, $C$9, 100%, $E$9)</f>
        <v>14.874499999999999</v>
      </c>
      <c r="T3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7">
        <f>(1000*CHOOSE(CONTROL!$C$42, 695, 695)*CHOOSE(CONTROL!$C$42, 0.5599, 0.5599)*CHOOSE(CONTROL!$C$42, 31, 31))/1000000</f>
        <v>12.063045499999998</v>
      </c>
      <c r="V370" s="57">
        <f>(1000*CHOOSE(CONTROL!$C$42, 500, 500)*CHOOSE(CONTROL!$C$42, 0.275, 0.275)*CHOOSE(CONTROL!$C$42, 31, 31))/1000000</f>
        <v>4.2625000000000002</v>
      </c>
      <c r="W370" s="57">
        <f>(1000*CHOOSE(CONTROL!$C$42, 0.1146, 0.1146)*CHOOSE(CONTROL!$C$42, 121.5, 121.5)*CHOOSE(CONTROL!$C$42, 31, 31))/1000000</f>
        <v>0.43164089999999994</v>
      </c>
      <c r="X370" s="57">
        <f>(31*0.1790888*245000/1000000)+(31*0.2374*100000/1000000)</f>
        <v>2.0961194359999999</v>
      </c>
      <c r="Y370" s="57"/>
      <c r="Z370" s="14"/>
      <c r="AA370" s="56"/>
      <c r="AB370" s="50">
        <f>(B370*131.881+C370*277.167+D370*79.08+E370*125.872+F370*40+G370*185+H370*0+I370*100+J370*300)/(131.881+277.167+79.08+125.872+0+40+185+100+300)</f>
        <v>15.529639246085551</v>
      </c>
      <c r="AC370" s="45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15.245653237410071</v>
      </c>
    </row>
    <row r="371" spans="1:29" ht="15.75" x14ac:dyDescent="0.25">
      <c r="A371" s="33">
        <v>52200</v>
      </c>
      <c r="B371" s="14">
        <f>CHOOSE(CONTROL!$C$42, 15.8964, 15.8964) * CHOOSE(CONTROL!$C$21, $C$9, 100%, $E$9)</f>
        <v>15.8964</v>
      </c>
      <c r="C371" s="14">
        <f>CHOOSE(CONTROL!$C$42, 15.9015, 15.9015) * CHOOSE(CONTROL!$C$21, $C$9, 100%, $E$9)</f>
        <v>15.9015</v>
      </c>
      <c r="D371" s="14">
        <f>CHOOSE(CONTROL!$C$42, 15.9653, 15.9653) * CHOOSE(CONTROL!$C$21, $C$9, 100%, $E$9)</f>
        <v>15.965299999999999</v>
      </c>
      <c r="E371" s="14">
        <f>CHOOSE(CONTROL!$C$42, 15.9994, 15.9994) * CHOOSE(CONTROL!$C$21, $C$9, 100%, $E$9)</f>
        <v>15.9994</v>
      </c>
      <c r="F371" s="14">
        <f>CHOOSE(CONTROL!$C$42, 15.8986, 15.8986)*CHOOSE(CONTROL!$C$21, $C$9, 100%, $E$9)</f>
        <v>15.8986</v>
      </c>
      <c r="G371" s="14">
        <f>CHOOSE(CONTROL!$C$42, 15.9153, 15.9153)*CHOOSE(CONTROL!$C$21, $C$9, 100%, $E$9)</f>
        <v>15.9153</v>
      </c>
      <c r="H371" s="14">
        <f>CHOOSE(CONTROL!$C$42, 15.9886, 15.9886) * CHOOSE(CONTROL!$C$21, $C$9, 100%, $E$9)</f>
        <v>15.9886</v>
      </c>
      <c r="I371" s="14">
        <f>CHOOSE(CONTROL!$C$42, 15.9601, 15.9601)* CHOOSE(CONTROL!$C$21, $C$9, 100%, $E$9)</f>
        <v>15.960100000000001</v>
      </c>
      <c r="J371" s="14">
        <f>CHOOSE(CONTROL!$C$42, 15.8916, 15.8916)* CHOOSE(CONTROL!$C$21, $C$9, 100%, $E$9)</f>
        <v>15.8916</v>
      </c>
      <c r="K371" s="53">
        <f>CHOOSE(CONTROL!$C$42, 15.9562, 15.9562) * CHOOSE(CONTROL!$C$21, $C$9, 100%, $E$9)</f>
        <v>15.956200000000001</v>
      </c>
      <c r="L371" s="14">
        <f>CHOOSE(CONTROL!$C$42, 16.5756, 16.5756) * CHOOSE(CONTROL!$C$21, $C$9, 100%, $E$9)</f>
        <v>16.575600000000001</v>
      </c>
      <c r="M371" s="14">
        <f>CHOOSE(CONTROL!$C$42, 15.5737, 15.5737) * CHOOSE(CONTROL!$C$21, $C$9, 100%, $E$9)</f>
        <v>15.573700000000001</v>
      </c>
      <c r="N371" s="14">
        <f>CHOOSE(CONTROL!$C$42, 15.59, 15.59) * CHOOSE(CONTROL!$C$21, $C$9, 100%, $E$9)</f>
        <v>15.59</v>
      </c>
      <c r="O371" s="14">
        <f>CHOOSE(CONTROL!$C$42, 15.6687, 15.6687) * CHOOSE(CONTROL!$C$21, $C$9, 100%, $E$9)</f>
        <v>15.668699999999999</v>
      </c>
      <c r="P371" s="14">
        <f>CHOOSE(CONTROL!$C$42, 15.6398, 15.6398) * CHOOSE(CONTROL!$C$21, $C$9, 100%, $E$9)</f>
        <v>15.639799999999999</v>
      </c>
      <c r="Q371" s="14">
        <f>CHOOSE(CONTROL!$C$42, 16.2634, 16.2634) * CHOOSE(CONTROL!$C$21, $C$9, 100%, $E$9)</f>
        <v>16.263400000000001</v>
      </c>
      <c r="R371" s="14">
        <f>CHOOSE(CONTROL!$C$42, 16.891, 16.891) * CHOOSE(CONTROL!$C$21, $C$9, 100%, $E$9)</f>
        <v>16.890999999999998</v>
      </c>
      <c r="S371" s="14">
        <f>CHOOSE(CONTROL!$C$42, 15.2663, 15.2663) * CHOOSE(CONTROL!$C$21, $C$9, 100%, $E$9)</f>
        <v>15.266299999999999</v>
      </c>
      <c r="T3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7">
        <f>(1000*CHOOSE(CONTROL!$C$42, 695, 695)*CHOOSE(CONTROL!$C$42, 0.5599, 0.5599)*CHOOSE(CONTROL!$C$42, 30, 30))/1000000</f>
        <v>11.673914999999997</v>
      </c>
      <c r="V371" s="57">
        <f>(1000*CHOOSE(CONTROL!$C$42, 500, 500)*CHOOSE(CONTROL!$C$42, 0.275, 0.275)*CHOOSE(CONTROL!$C$42, 30, 30))/1000000</f>
        <v>4.125</v>
      </c>
      <c r="W371" s="57">
        <f>(1000*CHOOSE(CONTROL!$C$42, 0.1146, 0.1146)*CHOOSE(CONTROL!$C$42, 121.5, 121.5)*CHOOSE(CONTROL!$C$42, 30, 30))/1000000</f>
        <v>0.417717</v>
      </c>
      <c r="X371" s="57">
        <f>(30*0.1790888*100000/1000000)+(30*0.2374*100000/1000000)</f>
        <v>1.2494664</v>
      </c>
      <c r="Y371" s="57"/>
      <c r="Z371" s="14"/>
      <c r="AA371" s="56"/>
      <c r="AB371" s="50">
        <f>(B371*122.58+C371*297.941+D371*89.177+E371*40.302+F371*40+G371*160+H371*0+I371*100+J371*300)/(122.58+297.941+89.177+40.302+0+40+160+100+300)</f>
        <v>15.913666869913042</v>
      </c>
      <c r="AC371" s="45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15.627206474820143</v>
      </c>
    </row>
    <row r="372" spans="1:29" ht="15.75" x14ac:dyDescent="0.25">
      <c r="A372" s="33">
        <v>52231</v>
      </c>
      <c r="B372" s="14">
        <f>CHOOSE(CONTROL!$C$42, 16.9795, 16.9795) * CHOOSE(CONTROL!$C$21, $C$9, 100%, $E$9)</f>
        <v>16.979500000000002</v>
      </c>
      <c r="C372" s="14">
        <f>CHOOSE(CONTROL!$C$42, 16.9846, 16.9846) * CHOOSE(CONTROL!$C$21, $C$9, 100%, $E$9)</f>
        <v>16.9846</v>
      </c>
      <c r="D372" s="14">
        <f>CHOOSE(CONTROL!$C$42, 17.0484, 17.0484) * CHOOSE(CONTROL!$C$21, $C$9, 100%, $E$9)</f>
        <v>17.048400000000001</v>
      </c>
      <c r="E372" s="14">
        <f>CHOOSE(CONTROL!$C$42, 17.0825, 17.0825) * CHOOSE(CONTROL!$C$21, $C$9, 100%, $E$9)</f>
        <v>17.0825</v>
      </c>
      <c r="F372" s="14">
        <f>CHOOSE(CONTROL!$C$42, 16.9839, 16.9839)*CHOOSE(CONTROL!$C$21, $C$9, 100%, $E$9)</f>
        <v>16.983899999999998</v>
      </c>
      <c r="G372" s="14">
        <f>CHOOSE(CONTROL!$C$42, 17.0011, 17.0011)*CHOOSE(CONTROL!$C$21, $C$9, 100%, $E$9)</f>
        <v>17.001100000000001</v>
      </c>
      <c r="H372" s="14">
        <f>CHOOSE(CONTROL!$C$42, 17.0717, 17.0717) * CHOOSE(CONTROL!$C$21, $C$9, 100%, $E$9)</f>
        <v>17.0717</v>
      </c>
      <c r="I372" s="14">
        <f>CHOOSE(CONTROL!$C$42, 17.0466, 17.0466)* CHOOSE(CONTROL!$C$21, $C$9, 100%, $E$9)</f>
        <v>17.046600000000002</v>
      </c>
      <c r="J372" s="14">
        <f>CHOOSE(CONTROL!$C$42, 16.9769, 16.9769)* CHOOSE(CONTROL!$C$21, $C$9, 100%, $E$9)</f>
        <v>16.976900000000001</v>
      </c>
      <c r="K372" s="53">
        <f>CHOOSE(CONTROL!$C$42, 17.0427, 17.0427) * CHOOSE(CONTROL!$C$21, $C$9, 100%, $E$9)</f>
        <v>17.0427</v>
      </c>
      <c r="L372" s="14">
        <f>CHOOSE(CONTROL!$C$42, 17.6587, 17.6587) * CHOOSE(CONTROL!$C$21, $C$9, 100%, $E$9)</f>
        <v>17.6587</v>
      </c>
      <c r="M372" s="14">
        <f>CHOOSE(CONTROL!$C$42, 16.6367, 16.6367) * CHOOSE(CONTROL!$C$21, $C$9, 100%, $E$9)</f>
        <v>16.636700000000001</v>
      </c>
      <c r="N372" s="14">
        <f>CHOOSE(CONTROL!$C$42, 16.6536, 16.6536) * CHOOSE(CONTROL!$C$21, $C$9, 100%, $E$9)</f>
        <v>16.653600000000001</v>
      </c>
      <c r="O372" s="14">
        <f>CHOOSE(CONTROL!$C$42, 16.7296, 16.7296) * CHOOSE(CONTROL!$C$21, $C$9, 100%, $E$9)</f>
        <v>16.729600000000001</v>
      </c>
      <c r="P372" s="14">
        <f>CHOOSE(CONTROL!$C$42, 16.704, 16.704) * CHOOSE(CONTROL!$C$21, $C$9, 100%, $E$9)</f>
        <v>16.704000000000001</v>
      </c>
      <c r="Q372" s="14">
        <f>CHOOSE(CONTROL!$C$42, 17.3243, 17.3243) * CHOOSE(CONTROL!$C$21, $C$9, 100%, $E$9)</f>
        <v>17.324300000000001</v>
      </c>
      <c r="R372" s="14">
        <f>CHOOSE(CONTROL!$C$42, 17.9546, 17.9546) * CHOOSE(CONTROL!$C$21, $C$9, 100%, $E$9)</f>
        <v>17.954599999999999</v>
      </c>
      <c r="S372" s="14">
        <f>CHOOSE(CONTROL!$C$42, 16.3071, 16.3071) * CHOOSE(CONTROL!$C$21, $C$9, 100%, $E$9)</f>
        <v>16.307099999999998</v>
      </c>
      <c r="T3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7">
        <f>(1000*CHOOSE(CONTROL!$C$42, 695, 695)*CHOOSE(CONTROL!$C$42, 0.5599, 0.5599)*CHOOSE(CONTROL!$C$42, 31, 31))/1000000</f>
        <v>12.063045499999998</v>
      </c>
      <c r="V372" s="57">
        <f>(1000*CHOOSE(CONTROL!$C$42, 500, 500)*CHOOSE(CONTROL!$C$42, 0.275, 0.275)*CHOOSE(CONTROL!$C$42, 31, 31))/1000000</f>
        <v>4.2625000000000002</v>
      </c>
      <c r="W372" s="57">
        <f>(1000*CHOOSE(CONTROL!$C$42, 0.1146, 0.1146)*CHOOSE(CONTROL!$C$42, 121.5, 121.5)*CHOOSE(CONTROL!$C$42, 31, 31))/1000000</f>
        <v>0.43164089999999994</v>
      </c>
      <c r="X372" s="57">
        <f>(31*0.1790888*100000/1000000)+(31*0.2374*100000/1000000)</f>
        <v>1.2911152800000001</v>
      </c>
      <c r="Y372" s="57"/>
      <c r="Z372" s="14"/>
      <c r="AA372" s="56"/>
      <c r="AB372" s="50">
        <f>(B372*122.58+C372*297.941+D372*89.177+E372*40.302+F372*40+G372*160+H372*0+I372*100+J372*300)/(122.58+297.941+89.177+40.302+0+40+160+100+300)</f>
        <v>16.998088609043478</v>
      </c>
      <c r="AC372" s="45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16.6894618705036</v>
      </c>
    </row>
    <row r="373" spans="1:29" ht="15.75" x14ac:dyDescent="0.25">
      <c r="A373" s="33">
        <v>52262</v>
      </c>
      <c r="B373" s="14">
        <f>CHOOSE(CONTROL!$C$42, 18.3696, 18.3696) * CHOOSE(CONTROL!$C$21, $C$9, 100%, $E$9)</f>
        <v>18.369599999999998</v>
      </c>
      <c r="C373" s="14">
        <f>CHOOSE(CONTROL!$C$42, 18.3747, 18.3747) * CHOOSE(CONTROL!$C$21, $C$9, 100%, $E$9)</f>
        <v>18.374700000000001</v>
      </c>
      <c r="D373" s="14">
        <f>CHOOSE(CONTROL!$C$42, 18.4333, 18.4333) * CHOOSE(CONTROL!$C$21, $C$9, 100%, $E$9)</f>
        <v>18.433299999999999</v>
      </c>
      <c r="E373" s="14">
        <f>CHOOSE(CONTROL!$C$42, 18.4674, 18.4674) * CHOOSE(CONTROL!$C$21, $C$9, 100%, $E$9)</f>
        <v>18.467400000000001</v>
      </c>
      <c r="F373" s="14">
        <f>CHOOSE(CONTROL!$C$42, 18.3687, 18.3687)*CHOOSE(CONTROL!$C$21, $C$9, 100%, $E$9)</f>
        <v>18.3687</v>
      </c>
      <c r="G373" s="14">
        <f>CHOOSE(CONTROL!$C$42, 18.3851, 18.3851)*CHOOSE(CONTROL!$C$21, $C$9, 100%, $E$9)</f>
        <v>18.385100000000001</v>
      </c>
      <c r="H373" s="14">
        <f>CHOOSE(CONTROL!$C$42, 18.4566, 18.4566) * CHOOSE(CONTROL!$C$21, $C$9, 100%, $E$9)</f>
        <v>18.456600000000002</v>
      </c>
      <c r="I373" s="14">
        <f>CHOOSE(CONTROL!$C$42, 18.4374, 18.4374)* CHOOSE(CONTROL!$C$21, $C$9, 100%, $E$9)</f>
        <v>18.4374</v>
      </c>
      <c r="J373" s="14">
        <f>CHOOSE(CONTROL!$C$42, 18.3617, 18.3617)* CHOOSE(CONTROL!$C$21, $C$9, 100%, $E$9)</f>
        <v>18.361699999999999</v>
      </c>
      <c r="K373" s="53">
        <f>CHOOSE(CONTROL!$C$42, 18.4335, 18.4335) * CHOOSE(CONTROL!$C$21, $C$9, 100%, $E$9)</f>
        <v>18.433499999999999</v>
      </c>
      <c r="L373" s="14">
        <f>CHOOSE(CONTROL!$C$42, 19.0436, 19.0436) * CHOOSE(CONTROL!$C$21, $C$9, 100%, $E$9)</f>
        <v>19.043600000000001</v>
      </c>
      <c r="M373" s="14">
        <f>CHOOSE(CONTROL!$C$42, 17.9932, 17.9932) * CHOOSE(CONTROL!$C$21, $C$9, 100%, $E$9)</f>
        <v>17.993200000000002</v>
      </c>
      <c r="N373" s="14">
        <f>CHOOSE(CONTROL!$C$42, 18.0092, 18.0092) * CHOOSE(CONTROL!$C$21, $C$9, 100%, $E$9)</f>
        <v>18.0092</v>
      </c>
      <c r="O373" s="14">
        <f>CHOOSE(CONTROL!$C$42, 18.0861, 18.0861) * CHOOSE(CONTROL!$C$21, $C$9, 100%, $E$9)</f>
        <v>18.086099999999998</v>
      </c>
      <c r="P373" s="14">
        <f>CHOOSE(CONTROL!$C$42, 18.0662, 18.0662) * CHOOSE(CONTROL!$C$21, $C$9, 100%, $E$9)</f>
        <v>18.066199999999998</v>
      </c>
      <c r="Q373" s="14">
        <f>CHOOSE(CONTROL!$C$42, 18.6808, 18.6808) * CHOOSE(CONTROL!$C$21, $C$9, 100%, $E$9)</f>
        <v>18.680800000000001</v>
      </c>
      <c r="R373" s="14">
        <f>CHOOSE(CONTROL!$C$42, 19.3145, 19.3145) * CHOOSE(CONTROL!$C$21, $C$9, 100%, $E$9)</f>
        <v>19.314499999999999</v>
      </c>
      <c r="S373" s="14">
        <f>CHOOSE(CONTROL!$C$42, 17.6428, 17.6428) * CHOOSE(CONTROL!$C$21, $C$9, 100%, $E$9)</f>
        <v>17.642800000000001</v>
      </c>
      <c r="T3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7">
        <f>(1000*CHOOSE(CONTROL!$C$42, 695, 695)*CHOOSE(CONTROL!$C$42, 0.5599, 0.5599)*CHOOSE(CONTROL!$C$42, 31, 31))/1000000</f>
        <v>12.063045499999998</v>
      </c>
      <c r="V373" s="57">
        <f>(1000*CHOOSE(CONTROL!$C$42, 500, 500)*CHOOSE(CONTROL!$C$42, 0.275, 0.275)*CHOOSE(CONTROL!$C$42, 31, 31))/1000000</f>
        <v>4.2625000000000002</v>
      </c>
      <c r="W373" s="57">
        <f>(1000*CHOOSE(CONTROL!$C$42, 0.1146, 0.1146)*CHOOSE(CONTROL!$C$42, 121.5, 121.5)*CHOOSE(CONTROL!$C$42, 31, 31))/1000000</f>
        <v>0.43164089999999994</v>
      </c>
      <c r="X373" s="57">
        <f>(31*0.1790888*100000/1000000)+(31*0.2374*100000/1000000)</f>
        <v>1.2911152800000001</v>
      </c>
      <c r="Y373" s="57"/>
      <c r="Z373" s="14"/>
      <c r="AA373" s="56"/>
      <c r="AB373" s="50">
        <f>(B373*122.58+C373*297.941+D373*89.177+E373*40.302+F373*40+G373*160+H373*0+I373*100+J373*300)/(122.58+297.941+89.177+40.302+0+40+160+100+300)</f>
        <v>18.385248356173914</v>
      </c>
      <c r="AC373" s="45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18.046730215827338</v>
      </c>
    </row>
    <row r="374" spans="1:29" ht="15.75" x14ac:dyDescent="0.25">
      <c r="A374" s="33">
        <v>52290</v>
      </c>
      <c r="B374" s="14">
        <f>CHOOSE(CONTROL!$C$42, 18.6964, 18.6964) * CHOOSE(CONTROL!$C$21, $C$9, 100%, $E$9)</f>
        <v>18.696400000000001</v>
      </c>
      <c r="C374" s="14">
        <f>CHOOSE(CONTROL!$C$42, 18.7015, 18.7015) * CHOOSE(CONTROL!$C$21, $C$9, 100%, $E$9)</f>
        <v>18.701499999999999</v>
      </c>
      <c r="D374" s="14">
        <f>CHOOSE(CONTROL!$C$42, 18.7601, 18.7601) * CHOOSE(CONTROL!$C$21, $C$9, 100%, $E$9)</f>
        <v>18.760100000000001</v>
      </c>
      <c r="E374" s="14">
        <f>CHOOSE(CONTROL!$C$42, 18.7942, 18.7942) * CHOOSE(CONTROL!$C$21, $C$9, 100%, $E$9)</f>
        <v>18.7942</v>
      </c>
      <c r="F374" s="14">
        <f>CHOOSE(CONTROL!$C$42, 18.6955, 18.6955)*CHOOSE(CONTROL!$C$21, $C$9, 100%, $E$9)</f>
        <v>18.695499999999999</v>
      </c>
      <c r="G374" s="14">
        <f>CHOOSE(CONTROL!$C$42, 18.7119, 18.7119)*CHOOSE(CONTROL!$C$21, $C$9, 100%, $E$9)</f>
        <v>18.7119</v>
      </c>
      <c r="H374" s="14">
        <f>CHOOSE(CONTROL!$C$42, 18.7834, 18.7834) * CHOOSE(CONTROL!$C$21, $C$9, 100%, $E$9)</f>
        <v>18.7834</v>
      </c>
      <c r="I374" s="14">
        <f>CHOOSE(CONTROL!$C$42, 18.7652, 18.7652)* CHOOSE(CONTROL!$C$21, $C$9, 100%, $E$9)</f>
        <v>18.7652</v>
      </c>
      <c r="J374" s="14">
        <f>CHOOSE(CONTROL!$C$42, 18.6885, 18.6885)* CHOOSE(CONTROL!$C$21, $C$9, 100%, $E$9)</f>
        <v>18.688500000000001</v>
      </c>
      <c r="K374" s="53">
        <f>CHOOSE(CONTROL!$C$42, 18.7613, 18.7613) * CHOOSE(CONTROL!$C$21, $C$9, 100%, $E$9)</f>
        <v>18.761299999999999</v>
      </c>
      <c r="L374" s="14">
        <f>CHOOSE(CONTROL!$C$42, 19.3704, 19.3704) * CHOOSE(CONTROL!$C$21, $C$9, 100%, $E$9)</f>
        <v>19.3704</v>
      </c>
      <c r="M374" s="14">
        <f>CHOOSE(CONTROL!$C$42, 18.3133, 18.3133) * CHOOSE(CONTROL!$C$21, $C$9, 100%, $E$9)</f>
        <v>18.313300000000002</v>
      </c>
      <c r="N374" s="14">
        <f>CHOOSE(CONTROL!$C$42, 18.3293, 18.3293) * CHOOSE(CONTROL!$C$21, $C$9, 100%, $E$9)</f>
        <v>18.3293</v>
      </c>
      <c r="O374" s="14">
        <f>CHOOSE(CONTROL!$C$42, 18.4063, 18.4063) * CHOOSE(CONTROL!$C$21, $C$9, 100%, $E$9)</f>
        <v>18.406300000000002</v>
      </c>
      <c r="P374" s="14">
        <f>CHOOSE(CONTROL!$C$42, 18.3873, 18.3873) * CHOOSE(CONTROL!$C$21, $C$9, 100%, $E$9)</f>
        <v>18.3873</v>
      </c>
      <c r="Q374" s="14">
        <f>CHOOSE(CONTROL!$C$42, 19.001, 19.001) * CHOOSE(CONTROL!$C$21, $C$9, 100%, $E$9)</f>
        <v>19.001000000000001</v>
      </c>
      <c r="R374" s="14">
        <f>CHOOSE(CONTROL!$C$42, 19.6355, 19.6355) * CHOOSE(CONTROL!$C$21, $C$9, 100%, $E$9)</f>
        <v>19.6355</v>
      </c>
      <c r="S374" s="14">
        <f>CHOOSE(CONTROL!$C$42, 17.9569, 17.9569) * CHOOSE(CONTROL!$C$21, $C$9, 100%, $E$9)</f>
        <v>17.956900000000001</v>
      </c>
      <c r="T3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7">
        <f>(1000*CHOOSE(CONTROL!$C$42, 695, 695)*CHOOSE(CONTROL!$C$42, 0.5599, 0.5599)*CHOOSE(CONTROL!$C$42, 28, 28))/1000000</f>
        <v>10.895653999999999</v>
      </c>
      <c r="V374" s="57">
        <f>(1000*CHOOSE(CONTROL!$C$42, 500, 500)*CHOOSE(CONTROL!$C$42, 0.275, 0.275)*CHOOSE(CONTROL!$C$42, 28, 28))/1000000</f>
        <v>3.85</v>
      </c>
      <c r="W374" s="57">
        <f>(1000*CHOOSE(CONTROL!$C$42, 0.1146, 0.1146)*CHOOSE(CONTROL!$C$42, 121.5, 121.5)*CHOOSE(CONTROL!$C$42, 28, 28))/1000000</f>
        <v>0.38986920000000003</v>
      </c>
      <c r="X374" s="57">
        <f>(28*0.1790888*100000/1000000)+(28*0.2374*100000/1000000)</f>
        <v>1.16616864</v>
      </c>
      <c r="Y374" s="57"/>
      <c r="Z374" s="14"/>
      <c r="AA374" s="56"/>
      <c r="AB374" s="50">
        <f>(B374*122.58+C374*297.941+D374*89.177+E374*40.302+F374*40+G374*160+H374*0+I374*100+J374*300)/(122.58+297.941+89.177+40.302+0+40+160+100+300)</f>
        <v>18.712135312695654</v>
      </c>
      <c r="AC374" s="45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18.36701942446043</v>
      </c>
    </row>
    <row r="375" spans="1:29" ht="15.75" x14ac:dyDescent="0.25">
      <c r="A375" s="33">
        <v>52321</v>
      </c>
      <c r="B375" s="14">
        <f>CHOOSE(CONTROL!$C$42, 18.1659, 18.1659) * CHOOSE(CONTROL!$C$21, $C$9, 100%, $E$9)</f>
        <v>18.165900000000001</v>
      </c>
      <c r="C375" s="14">
        <f>CHOOSE(CONTROL!$C$42, 18.171, 18.171) * CHOOSE(CONTROL!$C$21, $C$9, 100%, $E$9)</f>
        <v>18.170999999999999</v>
      </c>
      <c r="D375" s="14">
        <f>CHOOSE(CONTROL!$C$42, 18.2296, 18.2296) * CHOOSE(CONTROL!$C$21, $C$9, 100%, $E$9)</f>
        <v>18.229600000000001</v>
      </c>
      <c r="E375" s="14">
        <f>CHOOSE(CONTROL!$C$42, 18.2637, 18.2637) * CHOOSE(CONTROL!$C$21, $C$9, 100%, $E$9)</f>
        <v>18.2637</v>
      </c>
      <c r="F375" s="14">
        <f>CHOOSE(CONTROL!$C$42, 18.1645, 18.1645)*CHOOSE(CONTROL!$C$21, $C$9, 100%, $E$9)</f>
        <v>18.1645</v>
      </c>
      <c r="G375" s="14">
        <f>CHOOSE(CONTROL!$C$42, 18.1807, 18.1807)*CHOOSE(CONTROL!$C$21, $C$9, 100%, $E$9)</f>
        <v>18.180700000000002</v>
      </c>
      <c r="H375" s="14">
        <f>CHOOSE(CONTROL!$C$42, 18.2529, 18.2529) * CHOOSE(CONTROL!$C$21, $C$9, 100%, $E$9)</f>
        <v>18.2529</v>
      </c>
      <c r="I375" s="14">
        <f>CHOOSE(CONTROL!$C$42, 18.233, 18.233)* CHOOSE(CONTROL!$C$21, $C$9, 100%, $E$9)</f>
        <v>18.233000000000001</v>
      </c>
      <c r="J375" s="14">
        <f>CHOOSE(CONTROL!$C$42, 18.1575, 18.1575)* CHOOSE(CONTROL!$C$21, $C$9, 100%, $E$9)</f>
        <v>18.157499999999999</v>
      </c>
      <c r="K375" s="53">
        <f>CHOOSE(CONTROL!$C$42, 18.2292, 18.2292) * CHOOSE(CONTROL!$C$21, $C$9, 100%, $E$9)</f>
        <v>18.229199999999999</v>
      </c>
      <c r="L375" s="14">
        <f>CHOOSE(CONTROL!$C$42, 18.8399, 18.8399) * CHOOSE(CONTROL!$C$21, $C$9, 100%, $E$9)</f>
        <v>18.8399</v>
      </c>
      <c r="M375" s="14">
        <f>CHOOSE(CONTROL!$C$42, 17.7931, 17.7931) * CHOOSE(CONTROL!$C$21, $C$9, 100%, $E$9)</f>
        <v>17.793099999999999</v>
      </c>
      <c r="N375" s="14">
        <f>CHOOSE(CONTROL!$C$42, 17.8091, 17.8091) * CHOOSE(CONTROL!$C$21, $C$9, 100%, $E$9)</f>
        <v>17.809100000000001</v>
      </c>
      <c r="O375" s="14">
        <f>CHOOSE(CONTROL!$C$42, 17.8866, 17.8866) * CHOOSE(CONTROL!$C$21, $C$9, 100%, $E$9)</f>
        <v>17.886600000000001</v>
      </c>
      <c r="P375" s="14">
        <f>CHOOSE(CONTROL!$C$42, 17.8661, 17.8661) * CHOOSE(CONTROL!$C$21, $C$9, 100%, $E$9)</f>
        <v>17.866099999999999</v>
      </c>
      <c r="Q375" s="14">
        <f>CHOOSE(CONTROL!$C$42, 18.4813, 18.4813) * CHOOSE(CONTROL!$C$21, $C$9, 100%, $E$9)</f>
        <v>18.481300000000001</v>
      </c>
      <c r="R375" s="14">
        <f>CHOOSE(CONTROL!$C$42, 19.1145, 19.1145) * CHOOSE(CONTROL!$C$21, $C$9, 100%, $E$9)</f>
        <v>19.1145</v>
      </c>
      <c r="S375" s="14">
        <f>CHOOSE(CONTROL!$C$42, 17.4471, 17.4471) * CHOOSE(CONTROL!$C$21, $C$9, 100%, $E$9)</f>
        <v>17.447099999999999</v>
      </c>
      <c r="T3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7">
        <f>(1000*CHOOSE(CONTROL!$C$42, 695, 695)*CHOOSE(CONTROL!$C$42, 0.5599, 0.5599)*CHOOSE(CONTROL!$C$42, 31, 31))/1000000</f>
        <v>12.063045499999998</v>
      </c>
      <c r="V375" s="57">
        <f>(1000*CHOOSE(CONTROL!$C$42, 500, 500)*CHOOSE(CONTROL!$C$42, 0.275, 0.275)*CHOOSE(CONTROL!$C$42, 31, 31))/1000000</f>
        <v>4.2625000000000002</v>
      </c>
      <c r="W375" s="57">
        <f>(1000*CHOOSE(CONTROL!$C$42, 0.1146, 0.1146)*CHOOSE(CONTROL!$C$42, 121.5, 121.5)*CHOOSE(CONTROL!$C$42, 31, 31))/1000000</f>
        <v>0.43164089999999994</v>
      </c>
      <c r="X375" s="57">
        <f>(31*0.1790888*100000/1000000)+(31*0.2374*100000/1000000)</f>
        <v>1.2911152800000001</v>
      </c>
      <c r="Y375" s="57"/>
      <c r="Z375" s="14"/>
      <c r="AA375" s="56"/>
      <c r="AB375" s="50">
        <f>(B375*122.58+C375*297.941+D375*89.177+E375*40.302+F375*40+G375*160+H375*0+I375*100+J375*300)/(122.58+297.941+89.177+40.302+0+40+160+100+300)</f>
        <v>18.181242269217393</v>
      </c>
      <c r="AC375" s="45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17.846902158273384</v>
      </c>
    </row>
    <row r="376" spans="1:29" ht="15.75" x14ac:dyDescent="0.25">
      <c r="A376" s="33">
        <v>52351</v>
      </c>
      <c r="B376" s="14">
        <f>CHOOSE(CONTROL!$C$42, 18.1127, 18.1127) * CHOOSE(CONTROL!$C$21, $C$9, 100%, $E$9)</f>
        <v>18.1127</v>
      </c>
      <c r="C376" s="14">
        <f>CHOOSE(CONTROL!$C$42, 18.1172, 18.1172) * CHOOSE(CONTROL!$C$21, $C$9, 100%, $E$9)</f>
        <v>18.1172</v>
      </c>
      <c r="D376" s="14">
        <f>CHOOSE(CONTROL!$C$42, 18.3253, 18.3253) * CHOOSE(CONTROL!$C$21, $C$9, 100%, $E$9)</f>
        <v>18.325299999999999</v>
      </c>
      <c r="E376" s="14">
        <f>CHOOSE(CONTROL!$C$42, 18.3574, 18.3574) * CHOOSE(CONTROL!$C$21, $C$9, 100%, $E$9)</f>
        <v>18.357399999999998</v>
      </c>
      <c r="F376" s="14">
        <f>CHOOSE(CONTROL!$C$42, 18.1001, 18.1001)*CHOOSE(CONTROL!$C$21, $C$9, 100%, $E$9)</f>
        <v>18.100100000000001</v>
      </c>
      <c r="G376" s="14">
        <f>CHOOSE(CONTROL!$C$42, 18.116, 18.116)*CHOOSE(CONTROL!$C$21, $C$9, 100%, $E$9)</f>
        <v>18.116</v>
      </c>
      <c r="H376" s="14">
        <f>CHOOSE(CONTROL!$C$42, 18.3472, 18.3472) * CHOOSE(CONTROL!$C$21, $C$9, 100%, $E$9)</f>
        <v>18.347200000000001</v>
      </c>
      <c r="I376" s="14">
        <f>CHOOSE(CONTROL!$C$42, 18.1789, 18.1789)* CHOOSE(CONTROL!$C$21, $C$9, 100%, $E$9)</f>
        <v>18.178899999999999</v>
      </c>
      <c r="J376" s="14">
        <f>CHOOSE(CONTROL!$C$42, 18.0931, 18.0931)* CHOOSE(CONTROL!$C$21, $C$9, 100%, $E$9)</f>
        <v>18.0931</v>
      </c>
      <c r="K376" s="53">
        <f>CHOOSE(CONTROL!$C$42, 18.175, 18.175) * CHOOSE(CONTROL!$C$21, $C$9, 100%, $E$9)</f>
        <v>18.175000000000001</v>
      </c>
      <c r="L376" s="14">
        <f>CHOOSE(CONTROL!$C$42, 18.9342, 18.9342) * CHOOSE(CONTROL!$C$21, $C$9, 100%, $E$9)</f>
        <v>18.934200000000001</v>
      </c>
      <c r="M376" s="14">
        <f>CHOOSE(CONTROL!$C$42, 17.73, 17.73) * CHOOSE(CONTROL!$C$21, $C$9, 100%, $E$9)</f>
        <v>17.73</v>
      </c>
      <c r="N376" s="14">
        <f>CHOOSE(CONTROL!$C$42, 17.7457, 17.7457) * CHOOSE(CONTROL!$C$21, $C$9, 100%, $E$9)</f>
        <v>17.745699999999999</v>
      </c>
      <c r="O376" s="14">
        <f>CHOOSE(CONTROL!$C$42, 17.979, 17.979) * CHOOSE(CONTROL!$C$21, $C$9, 100%, $E$9)</f>
        <v>17.978999999999999</v>
      </c>
      <c r="P376" s="14">
        <f>CHOOSE(CONTROL!$C$42, 17.8131, 17.8131) * CHOOSE(CONTROL!$C$21, $C$9, 100%, $E$9)</f>
        <v>17.813099999999999</v>
      </c>
      <c r="Q376" s="14">
        <f>CHOOSE(CONTROL!$C$42, 18.5737, 18.5737) * CHOOSE(CONTROL!$C$21, $C$9, 100%, $E$9)</f>
        <v>18.573699999999999</v>
      </c>
      <c r="R376" s="14">
        <f>CHOOSE(CONTROL!$C$42, 19.2071, 19.2071) * CHOOSE(CONTROL!$C$21, $C$9, 100%, $E$9)</f>
        <v>19.207100000000001</v>
      </c>
      <c r="S376" s="14">
        <f>CHOOSE(CONTROL!$C$42, 17.3952, 17.3952) * CHOOSE(CONTROL!$C$21, $C$9, 100%, $E$9)</f>
        <v>17.395199999999999</v>
      </c>
      <c r="T3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7">
        <f>(1000*CHOOSE(CONTROL!$C$42, 695, 695)*CHOOSE(CONTROL!$C$42, 0.5599, 0.5599)*CHOOSE(CONTROL!$C$42, 30, 30))/1000000</f>
        <v>11.673914999999997</v>
      </c>
      <c r="V376" s="57">
        <f>(1000*CHOOSE(CONTROL!$C$42, 500, 500)*CHOOSE(CONTROL!$C$42, 0.275, 0.275)*CHOOSE(CONTROL!$C$42, 30, 30))/1000000</f>
        <v>4.125</v>
      </c>
      <c r="W376" s="57">
        <f>(1000*CHOOSE(CONTROL!$C$42, 0.1146, 0.1146)*CHOOSE(CONTROL!$C$42, 121.5, 121.5)*CHOOSE(CONTROL!$C$42, 30, 30))/1000000</f>
        <v>0.417717</v>
      </c>
      <c r="X376" s="57">
        <f>(30*0.1790888*245000/1000000)+(30*0.2374*100000/1000000)</f>
        <v>2.0285026799999999</v>
      </c>
      <c r="Y376" s="57"/>
      <c r="Z376" s="14"/>
      <c r="AA376" s="56"/>
      <c r="AB376" s="50">
        <f>(B376*141.293+C376*267.993+D376*115.016+E376*89.698+F376*40+G376*185+H376*0+I376*100+J376*300)/(141.293+267.993+115.016+89.698+0+40+185+100+300)</f>
        <v>18.151807320984666</v>
      </c>
      <c r="AC376" s="45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17.815434532374098</v>
      </c>
    </row>
    <row r="377" spans="1:29" ht="15.75" x14ac:dyDescent="0.25">
      <c r="A377" s="33">
        <v>52382</v>
      </c>
      <c r="B377" s="14">
        <f>CHOOSE(CONTROL!$C$42, 18.2739, 18.2739) * CHOOSE(CONTROL!$C$21, $C$9, 100%, $E$9)</f>
        <v>18.273900000000001</v>
      </c>
      <c r="C377" s="14">
        <f>CHOOSE(CONTROL!$C$42, 18.2819, 18.2819) * CHOOSE(CONTROL!$C$21, $C$9, 100%, $E$9)</f>
        <v>18.2819</v>
      </c>
      <c r="D377" s="14">
        <f>CHOOSE(CONTROL!$C$42, 18.4869, 18.4869) * CHOOSE(CONTROL!$C$21, $C$9, 100%, $E$9)</f>
        <v>18.486899999999999</v>
      </c>
      <c r="E377" s="14">
        <f>CHOOSE(CONTROL!$C$42, 18.5184, 18.5184) * CHOOSE(CONTROL!$C$21, $C$9, 100%, $E$9)</f>
        <v>18.5184</v>
      </c>
      <c r="F377" s="14">
        <f>CHOOSE(CONTROL!$C$42, 18.2601, 18.2601)*CHOOSE(CONTROL!$C$21, $C$9, 100%, $E$9)</f>
        <v>18.260100000000001</v>
      </c>
      <c r="G377" s="14">
        <f>CHOOSE(CONTROL!$C$42, 18.2765, 18.2765)*CHOOSE(CONTROL!$C$21, $C$9, 100%, $E$9)</f>
        <v>18.276499999999999</v>
      </c>
      <c r="H377" s="14">
        <f>CHOOSE(CONTROL!$C$42, 18.507, 18.507) * CHOOSE(CONTROL!$C$21, $C$9, 100%, $E$9)</f>
        <v>18.507000000000001</v>
      </c>
      <c r="I377" s="14">
        <f>CHOOSE(CONTROL!$C$42, 18.3392, 18.3392)* CHOOSE(CONTROL!$C$21, $C$9, 100%, $E$9)</f>
        <v>18.339200000000002</v>
      </c>
      <c r="J377" s="14">
        <f>CHOOSE(CONTROL!$C$42, 18.2531, 18.2531)* CHOOSE(CONTROL!$C$21, $C$9, 100%, $E$9)</f>
        <v>18.2531</v>
      </c>
      <c r="K377" s="53">
        <f>CHOOSE(CONTROL!$C$42, 18.3353, 18.3353) * CHOOSE(CONTROL!$C$21, $C$9, 100%, $E$9)</f>
        <v>18.3353</v>
      </c>
      <c r="L377" s="14">
        <f>CHOOSE(CONTROL!$C$42, 19.094, 19.094) * CHOOSE(CONTROL!$C$21, $C$9, 100%, $E$9)</f>
        <v>19.094000000000001</v>
      </c>
      <c r="M377" s="14">
        <f>CHOOSE(CONTROL!$C$42, 17.8868, 17.8868) * CHOOSE(CONTROL!$C$21, $C$9, 100%, $E$9)</f>
        <v>17.886800000000001</v>
      </c>
      <c r="N377" s="14">
        <f>CHOOSE(CONTROL!$C$42, 17.9029, 17.9029) * CHOOSE(CONTROL!$C$21, $C$9, 100%, $E$9)</f>
        <v>17.902899999999999</v>
      </c>
      <c r="O377" s="14">
        <f>CHOOSE(CONTROL!$C$42, 18.1355, 18.1355) * CHOOSE(CONTROL!$C$21, $C$9, 100%, $E$9)</f>
        <v>18.1355</v>
      </c>
      <c r="P377" s="14">
        <f>CHOOSE(CONTROL!$C$42, 17.97, 17.97) * CHOOSE(CONTROL!$C$21, $C$9, 100%, $E$9)</f>
        <v>17.97</v>
      </c>
      <c r="Q377" s="14">
        <f>CHOOSE(CONTROL!$C$42, 18.7302, 18.7302) * CHOOSE(CONTROL!$C$21, $C$9, 100%, $E$9)</f>
        <v>18.7302</v>
      </c>
      <c r="R377" s="14">
        <f>CHOOSE(CONTROL!$C$42, 19.364, 19.364) * CHOOSE(CONTROL!$C$21, $C$9, 100%, $E$9)</f>
        <v>19.364000000000001</v>
      </c>
      <c r="S377" s="14">
        <f>CHOOSE(CONTROL!$C$42, 17.5488, 17.5488) * CHOOSE(CONTROL!$C$21, $C$9, 100%, $E$9)</f>
        <v>17.5488</v>
      </c>
      <c r="T3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7">
        <f>(1000*CHOOSE(CONTROL!$C$42, 695, 695)*CHOOSE(CONTROL!$C$42, 0.5599, 0.5599)*CHOOSE(CONTROL!$C$42, 31, 31))/1000000</f>
        <v>12.063045499999998</v>
      </c>
      <c r="V377" s="57">
        <f>(1000*CHOOSE(CONTROL!$C$42, 500, 500)*CHOOSE(CONTROL!$C$42, 0.275, 0.275)*CHOOSE(CONTROL!$C$42, 31, 31))/1000000</f>
        <v>4.2625000000000002</v>
      </c>
      <c r="W377" s="57">
        <f>(1000*CHOOSE(CONTROL!$C$42, 0.1146, 0.1146)*CHOOSE(CONTROL!$C$42, 121.5, 121.5)*CHOOSE(CONTROL!$C$42, 31, 31))/1000000</f>
        <v>0.43164089999999994</v>
      </c>
      <c r="X377" s="57">
        <f>(31*0.1790888*245000/1000000)+(31*0.2374*100000/1000000)</f>
        <v>2.0961194359999999</v>
      </c>
      <c r="Y377" s="57"/>
      <c r="Z377" s="14"/>
      <c r="AA377" s="56"/>
      <c r="AB377" s="50">
        <f>(B377*194.205+C377*267.466+D377*133.845+E377*53.484+F377*40+G377*185+H377*0+I377*100+J377*300)/(194.205+267.466+133.845+53.484+0+40+185+100+300)</f>
        <v>18.308393368131867</v>
      </c>
      <c r="AC377" s="45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17.972256834532374</v>
      </c>
    </row>
    <row r="378" spans="1:29" ht="15.75" x14ac:dyDescent="0.25">
      <c r="A378" s="33">
        <v>52412</v>
      </c>
      <c r="B378" s="14">
        <f>CHOOSE(CONTROL!$C$42, 18.7919, 18.7919) * CHOOSE(CONTROL!$C$21, $C$9, 100%, $E$9)</f>
        <v>18.791899999999998</v>
      </c>
      <c r="C378" s="14">
        <f>CHOOSE(CONTROL!$C$42, 18.7999, 18.7999) * CHOOSE(CONTROL!$C$21, $C$9, 100%, $E$9)</f>
        <v>18.799900000000001</v>
      </c>
      <c r="D378" s="14">
        <f>CHOOSE(CONTROL!$C$42, 19.0049, 19.0049) * CHOOSE(CONTROL!$C$21, $C$9, 100%, $E$9)</f>
        <v>19.004899999999999</v>
      </c>
      <c r="E378" s="14">
        <f>CHOOSE(CONTROL!$C$42, 19.0364, 19.0364) * CHOOSE(CONTROL!$C$21, $C$9, 100%, $E$9)</f>
        <v>19.0364</v>
      </c>
      <c r="F378" s="14">
        <f>CHOOSE(CONTROL!$C$42, 18.7785, 18.7785)*CHOOSE(CONTROL!$C$21, $C$9, 100%, $E$9)</f>
        <v>18.778500000000001</v>
      </c>
      <c r="G378" s="14">
        <f>CHOOSE(CONTROL!$C$42, 18.795, 18.795)*CHOOSE(CONTROL!$C$21, $C$9, 100%, $E$9)</f>
        <v>18.795000000000002</v>
      </c>
      <c r="H378" s="14">
        <f>CHOOSE(CONTROL!$C$42, 19.025, 19.025) * CHOOSE(CONTROL!$C$21, $C$9, 100%, $E$9)</f>
        <v>19.024999999999999</v>
      </c>
      <c r="I378" s="14">
        <f>CHOOSE(CONTROL!$C$42, 18.8588, 18.8588)* CHOOSE(CONTROL!$C$21, $C$9, 100%, $E$9)</f>
        <v>18.858799999999999</v>
      </c>
      <c r="J378" s="14">
        <f>CHOOSE(CONTROL!$C$42, 18.7715, 18.7715)* CHOOSE(CONTROL!$C$21, $C$9, 100%, $E$9)</f>
        <v>18.7715</v>
      </c>
      <c r="K378" s="53">
        <f>CHOOSE(CONTROL!$C$42, 18.8549, 18.8549) * CHOOSE(CONTROL!$C$21, $C$9, 100%, $E$9)</f>
        <v>18.854900000000001</v>
      </c>
      <c r="L378" s="14">
        <f>CHOOSE(CONTROL!$C$42, 19.612, 19.612) * CHOOSE(CONTROL!$C$21, $C$9, 100%, $E$9)</f>
        <v>19.611999999999998</v>
      </c>
      <c r="M378" s="14">
        <f>CHOOSE(CONTROL!$C$42, 18.3945, 18.3945) * CHOOSE(CONTROL!$C$21, $C$9, 100%, $E$9)</f>
        <v>18.394500000000001</v>
      </c>
      <c r="N378" s="14">
        <f>CHOOSE(CONTROL!$C$42, 18.4107, 18.4107) * CHOOSE(CONTROL!$C$21, $C$9, 100%, $E$9)</f>
        <v>18.410699999999999</v>
      </c>
      <c r="O378" s="14">
        <f>CHOOSE(CONTROL!$C$42, 18.6429, 18.6429) * CHOOSE(CONTROL!$C$21, $C$9, 100%, $E$9)</f>
        <v>18.642900000000001</v>
      </c>
      <c r="P378" s="14">
        <f>CHOOSE(CONTROL!$C$42, 18.479, 18.479) * CHOOSE(CONTROL!$C$21, $C$9, 100%, $E$9)</f>
        <v>18.478999999999999</v>
      </c>
      <c r="Q378" s="14">
        <f>CHOOSE(CONTROL!$C$42, 19.2376, 19.2376) * CHOOSE(CONTROL!$C$21, $C$9, 100%, $E$9)</f>
        <v>19.2376</v>
      </c>
      <c r="R378" s="14">
        <f>CHOOSE(CONTROL!$C$42, 19.8727, 19.8727) * CHOOSE(CONTROL!$C$21, $C$9, 100%, $E$9)</f>
        <v>19.872699999999998</v>
      </c>
      <c r="S378" s="14">
        <f>CHOOSE(CONTROL!$C$42, 18.0465, 18.0465) * CHOOSE(CONTROL!$C$21, $C$9, 100%, $E$9)</f>
        <v>18.046500000000002</v>
      </c>
      <c r="T3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7">
        <f>(1000*CHOOSE(CONTROL!$C$42, 695, 695)*CHOOSE(CONTROL!$C$42, 0.5599, 0.5599)*CHOOSE(CONTROL!$C$42, 30, 30))/1000000</f>
        <v>11.673914999999997</v>
      </c>
      <c r="V378" s="57">
        <f>(1000*CHOOSE(CONTROL!$C$42, 500, 500)*CHOOSE(CONTROL!$C$42, 0.275, 0.275)*CHOOSE(CONTROL!$C$42, 30, 30))/1000000</f>
        <v>4.125</v>
      </c>
      <c r="W378" s="57">
        <f>(1000*CHOOSE(CONTROL!$C$42, 0.1146, 0.1146)*CHOOSE(CONTROL!$C$42, 121.5, 121.5)*CHOOSE(CONTROL!$C$42, 30, 30))/1000000</f>
        <v>0.417717</v>
      </c>
      <c r="X378" s="57">
        <f>(30*0.1790888*245000/1000000)+(30*0.2374*100000/1000000)</f>
        <v>2.0285026799999999</v>
      </c>
      <c r="Y378" s="57"/>
      <c r="Z378" s="14"/>
      <c r="AA378" s="56"/>
      <c r="AB378" s="50">
        <f>(B378*194.205+C378*267.466+D378*133.845+E378*53.484+F378*40+G378*185+H378*0+I378*100+J378*300)/(194.205+267.466+133.845+53.484+0+40+185+100+300)</f>
        <v>18.826698313186814</v>
      </c>
      <c r="AC378" s="45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18.480082733812949</v>
      </c>
    </row>
    <row r="379" spans="1:29" ht="15.75" x14ac:dyDescent="0.25">
      <c r="A379" s="33">
        <v>52443</v>
      </c>
      <c r="B379" s="14">
        <f>CHOOSE(CONTROL!$C$42, 18.4316, 18.4316) * CHOOSE(CONTROL!$C$21, $C$9, 100%, $E$9)</f>
        <v>18.4316</v>
      </c>
      <c r="C379" s="14">
        <f>CHOOSE(CONTROL!$C$42, 18.4397, 18.4397) * CHOOSE(CONTROL!$C$21, $C$9, 100%, $E$9)</f>
        <v>18.439699999999998</v>
      </c>
      <c r="D379" s="14">
        <f>CHOOSE(CONTROL!$C$42, 18.6446, 18.6446) * CHOOSE(CONTROL!$C$21, $C$9, 100%, $E$9)</f>
        <v>18.644600000000001</v>
      </c>
      <c r="E379" s="14">
        <f>CHOOSE(CONTROL!$C$42, 18.6761, 18.6761) * CHOOSE(CONTROL!$C$21, $C$9, 100%, $E$9)</f>
        <v>18.676100000000002</v>
      </c>
      <c r="F379" s="14">
        <f>CHOOSE(CONTROL!$C$42, 18.4186, 18.4186)*CHOOSE(CONTROL!$C$21, $C$9, 100%, $E$9)</f>
        <v>18.418600000000001</v>
      </c>
      <c r="G379" s="14">
        <f>CHOOSE(CONTROL!$C$42, 18.4352, 18.4352)*CHOOSE(CONTROL!$C$21, $C$9, 100%, $E$9)</f>
        <v>18.435199999999998</v>
      </c>
      <c r="H379" s="14">
        <f>CHOOSE(CONTROL!$C$42, 18.6647, 18.6647) * CHOOSE(CONTROL!$C$21, $C$9, 100%, $E$9)</f>
        <v>18.6647</v>
      </c>
      <c r="I379" s="14">
        <f>CHOOSE(CONTROL!$C$42, 18.4974, 18.4974)* CHOOSE(CONTROL!$C$21, $C$9, 100%, $E$9)</f>
        <v>18.497399999999999</v>
      </c>
      <c r="J379" s="14">
        <f>CHOOSE(CONTROL!$C$42, 18.4116, 18.4116)* CHOOSE(CONTROL!$C$21, $C$9, 100%, $E$9)</f>
        <v>18.4116</v>
      </c>
      <c r="K379" s="53">
        <f>CHOOSE(CONTROL!$C$42, 18.4935, 18.4935) * CHOOSE(CONTROL!$C$21, $C$9, 100%, $E$9)</f>
        <v>18.493500000000001</v>
      </c>
      <c r="L379" s="14">
        <f>CHOOSE(CONTROL!$C$42, 19.2517, 19.2517) * CHOOSE(CONTROL!$C$21, $C$9, 100%, $E$9)</f>
        <v>19.2517</v>
      </c>
      <c r="M379" s="14">
        <f>CHOOSE(CONTROL!$C$42, 18.0421, 18.0421) * CHOOSE(CONTROL!$C$21, $C$9, 100%, $E$9)</f>
        <v>18.042100000000001</v>
      </c>
      <c r="N379" s="14">
        <f>CHOOSE(CONTROL!$C$42, 18.0583, 18.0583) * CHOOSE(CONTROL!$C$21, $C$9, 100%, $E$9)</f>
        <v>18.058299999999999</v>
      </c>
      <c r="O379" s="14">
        <f>CHOOSE(CONTROL!$C$42, 18.29, 18.29) * CHOOSE(CONTROL!$C$21, $C$9, 100%, $E$9)</f>
        <v>18.29</v>
      </c>
      <c r="P379" s="14">
        <f>CHOOSE(CONTROL!$C$42, 18.125, 18.125) * CHOOSE(CONTROL!$C$21, $C$9, 100%, $E$9)</f>
        <v>18.125</v>
      </c>
      <c r="Q379" s="14">
        <f>CHOOSE(CONTROL!$C$42, 18.8847, 18.8847) * CHOOSE(CONTROL!$C$21, $C$9, 100%, $E$9)</f>
        <v>18.884699999999999</v>
      </c>
      <c r="R379" s="14">
        <f>CHOOSE(CONTROL!$C$42, 19.5189, 19.5189) * CHOOSE(CONTROL!$C$21, $C$9, 100%, $E$9)</f>
        <v>19.518899999999999</v>
      </c>
      <c r="S379" s="14">
        <f>CHOOSE(CONTROL!$C$42, 17.7003, 17.7003) * CHOOSE(CONTROL!$C$21, $C$9, 100%, $E$9)</f>
        <v>17.700299999999999</v>
      </c>
      <c r="T3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7">
        <f>(1000*CHOOSE(CONTROL!$C$42, 695, 695)*CHOOSE(CONTROL!$C$42, 0.5599, 0.5599)*CHOOSE(CONTROL!$C$42, 31, 31))/1000000</f>
        <v>12.063045499999998</v>
      </c>
      <c r="V379" s="57">
        <f>(1000*CHOOSE(CONTROL!$C$42, 500, 500)*CHOOSE(CONTROL!$C$42, 0.275, 0.275)*CHOOSE(CONTROL!$C$42, 31, 31))/1000000</f>
        <v>4.2625000000000002</v>
      </c>
      <c r="W379" s="57">
        <f>(1000*CHOOSE(CONTROL!$C$42, 0.1146, 0.1146)*CHOOSE(CONTROL!$C$42, 121.5, 121.5)*CHOOSE(CONTROL!$C$42, 31, 31))/1000000</f>
        <v>0.43164089999999994</v>
      </c>
      <c r="X379" s="57">
        <f>(31*0.1790888*245000/1000000)+(31*0.2374*100000/1000000)</f>
        <v>2.0961194359999999</v>
      </c>
      <c r="Y379" s="57"/>
      <c r="Z379" s="14"/>
      <c r="AA379" s="56"/>
      <c r="AB379" s="50">
        <f>(B379*194.205+C379*267.466+D379*133.845+E379*53.484+F379*40+G379*185+H379*0+I379*100+J379*300)/(194.205+267.466+133.845+53.484+0+40+185+100+300)</f>
        <v>18.466512321507064</v>
      </c>
      <c r="AC379" s="45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18.127312230215828</v>
      </c>
    </row>
    <row r="380" spans="1:29" ht="15.75" x14ac:dyDescent="0.25">
      <c r="A380" s="33">
        <v>52474</v>
      </c>
      <c r="B380" s="14">
        <f>CHOOSE(CONTROL!$C$42, 17.5218, 17.5218) * CHOOSE(CONTROL!$C$21, $C$9, 100%, $E$9)</f>
        <v>17.521799999999999</v>
      </c>
      <c r="C380" s="14">
        <f>CHOOSE(CONTROL!$C$42, 17.5298, 17.5298) * CHOOSE(CONTROL!$C$21, $C$9, 100%, $E$9)</f>
        <v>17.529800000000002</v>
      </c>
      <c r="D380" s="14">
        <f>CHOOSE(CONTROL!$C$42, 17.7348, 17.7348) * CHOOSE(CONTROL!$C$21, $C$9, 100%, $E$9)</f>
        <v>17.7348</v>
      </c>
      <c r="E380" s="14">
        <f>CHOOSE(CONTROL!$C$42, 17.7663, 17.7663) * CHOOSE(CONTROL!$C$21, $C$9, 100%, $E$9)</f>
        <v>17.766300000000001</v>
      </c>
      <c r="F380" s="14">
        <f>CHOOSE(CONTROL!$C$42, 17.509, 17.509)*CHOOSE(CONTROL!$C$21, $C$9, 100%, $E$9)</f>
        <v>17.509</v>
      </c>
      <c r="G380" s="14">
        <f>CHOOSE(CONTROL!$C$42, 17.5257, 17.5257)*CHOOSE(CONTROL!$C$21, $C$9, 100%, $E$9)</f>
        <v>17.525700000000001</v>
      </c>
      <c r="H380" s="14">
        <f>CHOOSE(CONTROL!$C$42, 17.7549, 17.7549) * CHOOSE(CONTROL!$C$21, $C$9, 100%, $E$9)</f>
        <v>17.754899999999999</v>
      </c>
      <c r="I380" s="14">
        <f>CHOOSE(CONTROL!$C$42, 17.5847, 17.5847)* CHOOSE(CONTROL!$C$21, $C$9, 100%, $E$9)</f>
        <v>17.584700000000002</v>
      </c>
      <c r="J380" s="14">
        <f>CHOOSE(CONTROL!$C$42, 17.502, 17.502)* CHOOSE(CONTROL!$C$21, $C$9, 100%, $E$9)</f>
        <v>17.501999999999999</v>
      </c>
      <c r="K380" s="53">
        <f>CHOOSE(CONTROL!$C$42, 17.5808, 17.5808) * CHOOSE(CONTROL!$C$21, $C$9, 100%, $E$9)</f>
        <v>17.5808</v>
      </c>
      <c r="L380" s="14">
        <f>CHOOSE(CONTROL!$C$42, 18.3419, 18.3419) * CHOOSE(CONTROL!$C$21, $C$9, 100%, $E$9)</f>
        <v>18.341899999999999</v>
      </c>
      <c r="M380" s="14">
        <f>CHOOSE(CONTROL!$C$42, 17.1511, 17.1511) * CHOOSE(CONTROL!$C$21, $C$9, 100%, $E$9)</f>
        <v>17.1511</v>
      </c>
      <c r="N380" s="14">
        <f>CHOOSE(CONTROL!$C$42, 17.1674, 17.1674) * CHOOSE(CONTROL!$C$21, $C$9, 100%, $E$9)</f>
        <v>17.167400000000001</v>
      </c>
      <c r="O380" s="14">
        <f>CHOOSE(CONTROL!$C$42, 17.3988, 17.3988) * CHOOSE(CONTROL!$C$21, $C$9, 100%, $E$9)</f>
        <v>17.398800000000001</v>
      </c>
      <c r="P380" s="14">
        <f>CHOOSE(CONTROL!$C$42, 17.2311, 17.2311) * CHOOSE(CONTROL!$C$21, $C$9, 100%, $E$9)</f>
        <v>17.231100000000001</v>
      </c>
      <c r="Q380" s="14">
        <f>CHOOSE(CONTROL!$C$42, 17.9935, 17.9935) * CHOOSE(CONTROL!$C$21, $C$9, 100%, $E$9)</f>
        <v>17.993500000000001</v>
      </c>
      <c r="R380" s="14">
        <f>CHOOSE(CONTROL!$C$42, 18.6255, 18.6255) * CHOOSE(CONTROL!$C$21, $C$9, 100%, $E$9)</f>
        <v>18.625499999999999</v>
      </c>
      <c r="S380" s="14">
        <f>CHOOSE(CONTROL!$C$42, 16.8261, 16.8261) * CHOOSE(CONTROL!$C$21, $C$9, 100%, $E$9)</f>
        <v>16.8261</v>
      </c>
      <c r="T3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7">
        <f>(1000*CHOOSE(CONTROL!$C$42, 695, 695)*CHOOSE(CONTROL!$C$42, 0.5599, 0.5599)*CHOOSE(CONTROL!$C$42, 31, 31))/1000000</f>
        <v>12.063045499999998</v>
      </c>
      <c r="V380" s="57">
        <f>(1000*CHOOSE(CONTROL!$C$42, 500, 500)*CHOOSE(CONTROL!$C$42, 0.275, 0.275)*CHOOSE(CONTROL!$C$42, 31, 31))/1000000</f>
        <v>4.2625000000000002</v>
      </c>
      <c r="W380" s="57">
        <f>(1000*CHOOSE(CONTROL!$C$42, 0.1146, 0.1146)*CHOOSE(CONTROL!$C$42, 121.5, 121.5)*CHOOSE(CONTROL!$C$42, 31, 31))/1000000</f>
        <v>0.43164089999999994</v>
      </c>
      <c r="X380" s="57">
        <f>(31*0.1790888*245000/1000000)+(31*0.2374*100000/1000000)</f>
        <v>2.0961194359999999</v>
      </c>
      <c r="Y380" s="57"/>
      <c r="Z380" s="14"/>
      <c r="AA380" s="56"/>
      <c r="AB380" s="50">
        <f>(B380*194.205+C380*267.466+D380*133.845+E380*53.484+F380*40+G380*185+H380*0+I380*100+J380*300)/(194.205+267.466+133.845+53.484+0+40+185+100+300)</f>
        <v>17.556560636577711</v>
      </c>
      <c r="AC380" s="45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17.235861870503598</v>
      </c>
    </row>
    <row r="381" spans="1:29" ht="15.75" x14ac:dyDescent="0.25">
      <c r="A381" s="33">
        <v>52504</v>
      </c>
      <c r="B381" s="14">
        <f>CHOOSE(CONTROL!$C$42, 16.4098, 16.4098) * CHOOSE(CONTROL!$C$21, $C$9, 100%, $E$9)</f>
        <v>16.409800000000001</v>
      </c>
      <c r="C381" s="14">
        <f>CHOOSE(CONTROL!$C$42, 16.4178, 16.4178) * CHOOSE(CONTROL!$C$21, $C$9, 100%, $E$9)</f>
        <v>16.4178</v>
      </c>
      <c r="D381" s="14">
        <f>CHOOSE(CONTROL!$C$42, 16.6228, 16.6228) * CHOOSE(CONTROL!$C$21, $C$9, 100%, $E$9)</f>
        <v>16.622800000000002</v>
      </c>
      <c r="E381" s="14">
        <f>CHOOSE(CONTROL!$C$42, 16.6542, 16.6542) * CHOOSE(CONTROL!$C$21, $C$9, 100%, $E$9)</f>
        <v>16.654199999999999</v>
      </c>
      <c r="F381" s="14">
        <f>CHOOSE(CONTROL!$C$42, 16.3969, 16.3969)*CHOOSE(CONTROL!$C$21, $C$9, 100%, $E$9)</f>
        <v>16.396899999999999</v>
      </c>
      <c r="G381" s="14">
        <f>CHOOSE(CONTROL!$C$42, 16.4136, 16.4136)*CHOOSE(CONTROL!$C$21, $C$9, 100%, $E$9)</f>
        <v>16.413599999999999</v>
      </c>
      <c r="H381" s="14">
        <f>CHOOSE(CONTROL!$C$42, 16.6429, 16.6429) * CHOOSE(CONTROL!$C$21, $C$9, 100%, $E$9)</f>
        <v>16.642900000000001</v>
      </c>
      <c r="I381" s="14">
        <f>CHOOSE(CONTROL!$C$42, 16.4692, 16.4692)* CHOOSE(CONTROL!$C$21, $C$9, 100%, $E$9)</f>
        <v>16.469200000000001</v>
      </c>
      <c r="J381" s="14">
        <f>CHOOSE(CONTROL!$C$42, 16.3899, 16.3899)* CHOOSE(CONTROL!$C$21, $C$9, 100%, $E$9)</f>
        <v>16.389900000000001</v>
      </c>
      <c r="K381" s="53">
        <f>CHOOSE(CONTROL!$C$42, 16.4653, 16.4653) * CHOOSE(CONTROL!$C$21, $C$9, 100%, $E$9)</f>
        <v>16.465299999999999</v>
      </c>
      <c r="L381" s="14">
        <f>CHOOSE(CONTROL!$C$42, 17.2299, 17.2299) * CHOOSE(CONTROL!$C$21, $C$9, 100%, $E$9)</f>
        <v>17.229900000000001</v>
      </c>
      <c r="M381" s="14">
        <f>CHOOSE(CONTROL!$C$42, 16.0618, 16.0618) * CHOOSE(CONTROL!$C$21, $C$9, 100%, $E$9)</f>
        <v>16.061800000000002</v>
      </c>
      <c r="N381" s="14">
        <f>CHOOSE(CONTROL!$C$42, 16.0781, 16.0781) * CHOOSE(CONTROL!$C$21, $C$9, 100%, $E$9)</f>
        <v>16.078099999999999</v>
      </c>
      <c r="O381" s="14">
        <f>CHOOSE(CONTROL!$C$42, 16.3095, 16.3095) * CHOOSE(CONTROL!$C$21, $C$9, 100%, $E$9)</f>
        <v>16.3095</v>
      </c>
      <c r="P381" s="14">
        <f>CHOOSE(CONTROL!$C$42, 16.1385, 16.1385) * CHOOSE(CONTROL!$C$21, $C$9, 100%, $E$9)</f>
        <v>16.138500000000001</v>
      </c>
      <c r="Q381" s="14">
        <f>CHOOSE(CONTROL!$C$42, 16.9042, 16.9042) * CHOOSE(CONTROL!$C$21, $C$9, 100%, $E$9)</f>
        <v>16.904199999999999</v>
      </c>
      <c r="R381" s="14">
        <f>CHOOSE(CONTROL!$C$42, 17.5335, 17.5335) * CHOOSE(CONTROL!$C$21, $C$9, 100%, $E$9)</f>
        <v>17.5335</v>
      </c>
      <c r="S381" s="14">
        <f>CHOOSE(CONTROL!$C$42, 15.7575, 15.7575) * CHOOSE(CONTROL!$C$21, $C$9, 100%, $E$9)</f>
        <v>15.7575</v>
      </c>
      <c r="T3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7">
        <f>(1000*CHOOSE(CONTROL!$C$42, 695, 695)*CHOOSE(CONTROL!$C$42, 0.5599, 0.5599)*CHOOSE(CONTROL!$C$42, 30, 30))/1000000</f>
        <v>11.673914999999997</v>
      </c>
      <c r="V381" s="57">
        <f>(1000*CHOOSE(CONTROL!$C$42, 500, 500)*CHOOSE(CONTROL!$C$42, 0.275, 0.275)*CHOOSE(CONTROL!$C$42, 30, 30))/1000000</f>
        <v>4.125</v>
      </c>
      <c r="W381" s="57">
        <f>(1000*CHOOSE(CONTROL!$C$42, 0.1146, 0.1146)*CHOOSE(CONTROL!$C$42, 121.5, 121.5)*CHOOSE(CONTROL!$C$42, 30, 30))/1000000</f>
        <v>0.417717</v>
      </c>
      <c r="X381" s="57">
        <f>(30*0.1790888*245000/1000000)+(30*0.2374*100000/1000000)</f>
        <v>2.0285026799999999</v>
      </c>
      <c r="Y381" s="57"/>
      <c r="Z381" s="14"/>
      <c r="AA381" s="56"/>
      <c r="AB381" s="50">
        <f>(B381*194.205+C381*267.466+D381*133.845+E381*53.484+F381*40+G381*185+H381*0+I381*100+J381*300)/(194.205+267.466+133.845+53.484+0+40+185+100+300)</f>
        <v>16.444240504395601</v>
      </c>
      <c r="AC381" s="45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16.146087050359714</v>
      </c>
    </row>
    <row r="382" spans="1:29" ht="15.75" x14ac:dyDescent="0.25">
      <c r="A382" s="33">
        <v>52535</v>
      </c>
      <c r="B382" s="14">
        <f>CHOOSE(CONTROL!$C$42, 16.0751, 16.0751) * CHOOSE(CONTROL!$C$21, $C$9, 100%, $E$9)</f>
        <v>16.075099999999999</v>
      </c>
      <c r="C382" s="14">
        <f>CHOOSE(CONTROL!$C$42, 16.0804, 16.0804) * CHOOSE(CONTROL!$C$21, $C$9, 100%, $E$9)</f>
        <v>16.080400000000001</v>
      </c>
      <c r="D382" s="14">
        <f>CHOOSE(CONTROL!$C$42, 16.2903, 16.2903) * CHOOSE(CONTROL!$C$21, $C$9, 100%, $E$9)</f>
        <v>16.290299999999998</v>
      </c>
      <c r="E382" s="14">
        <f>CHOOSE(CONTROL!$C$42, 16.3194, 16.3194) * CHOOSE(CONTROL!$C$21, $C$9, 100%, $E$9)</f>
        <v>16.319400000000002</v>
      </c>
      <c r="F382" s="14">
        <f>CHOOSE(CONTROL!$C$42, 16.0643, 16.0643)*CHOOSE(CONTROL!$C$21, $C$9, 100%, $E$9)</f>
        <v>16.064299999999999</v>
      </c>
      <c r="G382" s="14">
        <f>CHOOSE(CONTROL!$C$42, 16.0806, 16.0806)*CHOOSE(CONTROL!$C$21, $C$9, 100%, $E$9)</f>
        <v>16.0806</v>
      </c>
      <c r="H382" s="14">
        <f>CHOOSE(CONTROL!$C$42, 16.3099, 16.3099) * CHOOSE(CONTROL!$C$21, $C$9, 100%, $E$9)</f>
        <v>16.309899999999999</v>
      </c>
      <c r="I382" s="14">
        <f>CHOOSE(CONTROL!$C$42, 16.1352, 16.1352)* CHOOSE(CONTROL!$C$21, $C$9, 100%, $E$9)</f>
        <v>16.135200000000001</v>
      </c>
      <c r="J382" s="14">
        <f>CHOOSE(CONTROL!$C$42, 16.0573, 16.0573)* CHOOSE(CONTROL!$C$21, $C$9, 100%, $E$9)</f>
        <v>16.057300000000001</v>
      </c>
      <c r="K382" s="53">
        <f>CHOOSE(CONTROL!$C$42, 16.1313, 16.1313) * CHOOSE(CONTROL!$C$21, $C$9, 100%, $E$9)</f>
        <v>16.1313</v>
      </c>
      <c r="L382" s="14">
        <f>CHOOSE(CONTROL!$C$42, 16.8969, 16.8969) * CHOOSE(CONTROL!$C$21, $C$9, 100%, $E$9)</f>
        <v>16.896899999999999</v>
      </c>
      <c r="M382" s="14">
        <f>CHOOSE(CONTROL!$C$42, 15.736, 15.736) * CHOOSE(CONTROL!$C$21, $C$9, 100%, $E$9)</f>
        <v>15.736000000000001</v>
      </c>
      <c r="N382" s="14">
        <f>CHOOSE(CONTROL!$C$42, 15.752, 15.752) * CHOOSE(CONTROL!$C$21, $C$9, 100%, $E$9)</f>
        <v>15.752000000000001</v>
      </c>
      <c r="O382" s="14">
        <f>CHOOSE(CONTROL!$C$42, 15.9834, 15.9834) * CHOOSE(CONTROL!$C$21, $C$9, 100%, $E$9)</f>
        <v>15.9834</v>
      </c>
      <c r="P382" s="14">
        <f>CHOOSE(CONTROL!$C$42, 15.8114, 15.8114) * CHOOSE(CONTROL!$C$21, $C$9, 100%, $E$9)</f>
        <v>15.811400000000001</v>
      </c>
      <c r="Q382" s="14">
        <f>CHOOSE(CONTROL!$C$42, 16.5781, 16.5781) * CHOOSE(CONTROL!$C$21, $C$9, 100%, $E$9)</f>
        <v>16.578099999999999</v>
      </c>
      <c r="R382" s="14">
        <f>CHOOSE(CONTROL!$C$42, 17.2066, 17.2066) * CHOOSE(CONTROL!$C$21, $C$9, 100%, $E$9)</f>
        <v>17.206600000000002</v>
      </c>
      <c r="S382" s="14">
        <f>CHOOSE(CONTROL!$C$42, 15.4376, 15.4376) * CHOOSE(CONTROL!$C$21, $C$9, 100%, $E$9)</f>
        <v>15.4376</v>
      </c>
      <c r="T3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7">
        <f>(1000*CHOOSE(CONTROL!$C$42, 695, 695)*CHOOSE(CONTROL!$C$42, 0.5599, 0.5599)*CHOOSE(CONTROL!$C$42, 31, 31))/1000000</f>
        <v>12.063045499999998</v>
      </c>
      <c r="V382" s="57">
        <f>(1000*CHOOSE(CONTROL!$C$42, 500, 500)*CHOOSE(CONTROL!$C$42, 0.275, 0.275)*CHOOSE(CONTROL!$C$42, 31, 31))/1000000</f>
        <v>4.2625000000000002</v>
      </c>
      <c r="W382" s="57">
        <f>(1000*CHOOSE(CONTROL!$C$42, 0.1146, 0.1146)*CHOOSE(CONTROL!$C$42, 121.5, 121.5)*CHOOSE(CONTROL!$C$42, 31, 31))/1000000</f>
        <v>0.43164089999999994</v>
      </c>
      <c r="X382" s="57">
        <f>(31*0.1790888*245000/1000000)+(31*0.2374*100000/1000000)</f>
        <v>2.0961194359999999</v>
      </c>
      <c r="Y382" s="57"/>
      <c r="Z382" s="14"/>
      <c r="AA382" s="56"/>
      <c r="AB382" s="50">
        <f>(B382*131.881+C382*277.167+D382*79.08+E382*125.872+F382*40+G382*185+H382*0+I382*100+J382*300)/(131.881+277.167+79.08+125.872+0+40+185+100+300)</f>
        <v>16.115853051412429</v>
      </c>
      <c r="AC382" s="45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15.819946762589931</v>
      </c>
    </row>
    <row r="383" spans="1:29" ht="15.75" x14ac:dyDescent="0.25">
      <c r="A383" s="33">
        <v>52565</v>
      </c>
      <c r="B383" s="14">
        <f>CHOOSE(CONTROL!$C$42, 16.4979, 16.4979) * CHOOSE(CONTROL!$C$21, $C$9, 100%, $E$9)</f>
        <v>16.497900000000001</v>
      </c>
      <c r="C383" s="14">
        <f>CHOOSE(CONTROL!$C$42, 16.5029, 16.5029) * CHOOSE(CONTROL!$C$21, $C$9, 100%, $E$9)</f>
        <v>16.5029</v>
      </c>
      <c r="D383" s="14">
        <f>CHOOSE(CONTROL!$C$42, 16.5667, 16.5667) * CHOOSE(CONTROL!$C$21, $C$9, 100%, $E$9)</f>
        <v>16.566700000000001</v>
      </c>
      <c r="E383" s="14">
        <f>CHOOSE(CONTROL!$C$42, 16.6008, 16.6008) * CHOOSE(CONTROL!$C$21, $C$9, 100%, $E$9)</f>
        <v>16.6008</v>
      </c>
      <c r="F383" s="14">
        <f>CHOOSE(CONTROL!$C$42, 16.5001, 16.5001)*CHOOSE(CONTROL!$C$21, $C$9, 100%, $E$9)</f>
        <v>16.5001</v>
      </c>
      <c r="G383" s="14">
        <f>CHOOSE(CONTROL!$C$42, 16.5168, 16.5168)*CHOOSE(CONTROL!$C$21, $C$9, 100%, $E$9)</f>
        <v>16.5168</v>
      </c>
      <c r="H383" s="14">
        <f>CHOOSE(CONTROL!$C$42, 16.59, 16.59) * CHOOSE(CONTROL!$C$21, $C$9, 100%, $E$9)</f>
        <v>16.59</v>
      </c>
      <c r="I383" s="14">
        <f>CHOOSE(CONTROL!$C$42, 16.5634, 16.5634)* CHOOSE(CONTROL!$C$21, $C$9, 100%, $E$9)</f>
        <v>16.563400000000001</v>
      </c>
      <c r="J383" s="14">
        <f>CHOOSE(CONTROL!$C$42, 16.4931, 16.4931)* CHOOSE(CONTROL!$C$21, $C$9, 100%, $E$9)</f>
        <v>16.493099999999998</v>
      </c>
      <c r="K383" s="53">
        <f>CHOOSE(CONTROL!$C$42, 16.5595, 16.5595) * CHOOSE(CONTROL!$C$21, $C$9, 100%, $E$9)</f>
        <v>16.5595</v>
      </c>
      <c r="L383" s="14">
        <f>CHOOSE(CONTROL!$C$42, 17.177, 17.177) * CHOOSE(CONTROL!$C$21, $C$9, 100%, $E$9)</f>
        <v>17.177</v>
      </c>
      <c r="M383" s="14">
        <f>CHOOSE(CONTROL!$C$42, 16.1629, 16.1629) * CHOOSE(CONTROL!$C$21, $C$9, 100%, $E$9)</f>
        <v>16.1629</v>
      </c>
      <c r="N383" s="14">
        <f>CHOOSE(CONTROL!$C$42, 16.1792, 16.1792) * CHOOSE(CONTROL!$C$21, $C$9, 100%, $E$9)</f>
        <v>16.179200000000002</v>
      </c>
      <c r="O383" s="14">
        <f>CHOOSE(CONTROL!$C$42, 16.2578, 16.2578) * CHOOSE(CONTROL!$C$21, $C$9, 100%, $E$9)</f>
        <v>16.2578</v>
      </c>
      <c r="P383" s="14">
        <f>CHOOSE(CONTROL!$C$42, 16.2308, 16.2308) * CHOOSE(CONTROL!$C$21, $C$9, 100%, $E$9)</f>
        <v>16.230799999999999</v>
      </c>
      <c r="Q383" s="14">
        <f>CHOOSE(CONTROL!$C$42, 16.8525, 16.8525) * CHOOSE(CONTROL!$C$21, $C$9, 100%, $E$9)</f>
        <v>16.852499999999999</v>
      </c>
      <c r="R383" s="14">
        <f>CHOOSE(CONTROL!$C$42, 17.4817, 17.4817) * CHOOSE(CONTROL!$C$21, $C$9, 100%, $E$9)</f>
        <v>17.4817</v>
      </c>
      <c r="S383" s="14">
        <f>CHOOSE(CONTROL!$C$42, 15.8443, 15.8443) * CHOOSE(CONTROL!$C$21, $C$9, 100%, $E$9)</f>
        <v>15.8443</v>
      </c>
      <c r="T3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7">
        <f>(1000*CHOOSE(CONTROL!$C$42, 695, 695)*CHOOSE(CONTROL!$C$42, 0.5599, 0.5599)*CHOOSE(CONTROL!$C$42, 30, 30))/1000000</f>
        <v>11.673914999999997</v>
      </c>
      <c r="V383" s="57">
        <f>(1000*CHOOSE(CONTROL!$C$42, 500, 500)*CHOOSE(CONTROL!$C$42, 0.275, 0.275)*CHOOSE(CONTROL!$C$42, 30, 30))/1000000</f>
        <v>4.125</v>
      </c>
      <c r="W383" s="57">
        <f>(1000*CHOOSE(CONTROL!$C$42, 0.1146, 0.1146)*CHOOSE(CONTROL!$C$42, 121.5, 121.5)*CHOOSE(CONTROL!$C$42, 30, 30))/1000000</f>
        <v>0.417717</v>
      </c>
      <c r="X383" s="57">
        <f>(30*0.1790888*100000/1000000)+(30*0.2374*100000/1000000)</f>
        <v>1.2494664</v>
      </c>
      <c r="Y383" s="57"/>
      <c r="Z383" s="14"/>
      <c r="AA383" s="56"/>
      <c r="AB383" s="50">
        <f>(B383*122.58+C383*297.941+D383*89.177+E383*40.302+F383*40+G383*160+H383*0+I383*100+J383*300)/(122.58+297.941+89.177+40.302+0+40+160+100+300)</f>
        <v>16.515286224695654</v>
      </c>
      <c r="AC383" s="45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16.216620143884892</v>
      </c>
    </row>
    <row r="384" spans="1:29" ht="15.75" x14ac:dyDescent="0.25">
      <c r="A384" s="33">
        <v>52596</v>
      </c>
      <c r="B384" s="14">
        <f>CHOOSE(CONTROL!$C$42, 17.622, 17.622) * CHOOSE(CONTROL!$C$21, $C$9, 100%, $E$9)</f>
        <v>17.622</v>
      </c>
      <c r="C384" s="14">
        <f>CHOOSE(CONTROL!$C$42, 17.6271, 17.6271) * CHOOSE(CONTROL!$C$21, $C$9, 100%, $E$9)</f>
        <v>17.627099999999999</v>
      </c>
      <c r="D384" s="14">
        <f>CHOOSE(CONTROL!$C$42, 17.6909, 17.6909) * CHOOSE(CONTROL!$C$21, $C$9, 100%, $E$9)</f>
        <v>17.690899999999999</v>
      </c>
      <c r="E384" s="14">
        <f>CHOOSE(CONTROL!$C$42, 17.725, 17.725) * CHOOSE(CONTROL!$C$21, $C$9, 100%, $E$9)</f>
        <v>17.725000000000001</v>
      </c>
      <c r="F384" s="14">
        <f>CHOOSE(CONTROL!$C$42, 17.6263, 17.6263)*CHOOSE(CONTROL!$C$21, $C$9, 100%, $E$9)</f>
        <v>17.626300000000001</v>
      </c>
      <c r="G384" s="14">
        <f>CHOOSE(CONTROL!$C$42, 17.6435, 17.6435)*CHOOSE(CONTROL!$C$21, $C$9, 100%, $E$9)</f>
        <v>17.6435</v>
      </c>
      <c r="H384" s="14">
        <f>CHOOSE(CONTROL!$C$42, 17.7142, 17.7142) * CHOOSE(CONTROL!$C$21, $C$9, 100%, $E$9)</f>
        <v>17.714200000000002</v>
      </c>
      <c r="I384" s="14">
        <f>CHOOSE(CONTROL!$C$42, 17.6911, 17.6911)* CHOOSE(CONTROL!$C$21, $C$9, 100%, $E$9)</f>
        <v>17.691099999999999</v>
      </c>
      <c r="J384" s="14">
        <f>CHOOSE(CONTROL!$C$42, 17.6193, 17.6193)* CHOOSE(CONTROL!$C$21, $C$9, 100%, $E$9)</f>
        <v>17.619299999999999</v>
      </c>
      <c r="K384" s="53">
        <f>CHOOSE(CONTROL!$C$42, 17.6872, 17.6872) * CHOOSE(CONTROL!$C$21, $C$9, 100%, $E$9)</f>
        <v>17.687200000000001</v>
      </c>
      <c r="L384" s="14">
        <f>CHOOSE(CONTROL!$C$42, 18.3012, 18.3012) * CHOOSE(CONTROL!$C$21, $C$9, 100%, $E$9)</f>
        <v>18.301200000000001</v>
      </c>
      <c r="M384" s="14">
        <f>CHOOSE(CONTROL!$C$42, 17.266, 17.266) * CHOOSE(CONTROL!$C$21, $C$9, 100%, $E$9)</f>
        <v>17.265999999999998</v>
      </c>
      <c r="N384" s="14">
        <f>CHOOSE(CONTROL!$C$42, 17.2829, 17.2829) * CHOOSE(CONTROL!$C$21, $C$9, 100%, $E$9)</f>
        <v>17.282900000000001</v>
      </c>
      <c r="O384" s="14">
        <f>CHOOSE(CONTROL!$C$42, 17.3589, 17.3589) * CHOOSE(CONTROL!$C$21, $C$9, 100%, $E$9)</f>
        <v>17.358899999999998</v>
      </c>
      <c r="P384" s="14">
        <f>CHOOSE(CONTROL!$C$42, 17.3353, 17.3353) * CHOOSE(CONTROL!$C$21, $C$9, 100%, $E$9)</f>
        <v>17.3353</v>
      </c>
      <c r="Q384" s="14">
        <f>CHOOSE(CONTROL!$C$42, 17.9536, 17.9536) * CHOOSE(CONTROL!$C$21, $C$9, 100%, $E$9)</f>
        <v>17.953600000000002</v>
      </c>
      <c r="R384" s="14">
        <f>CHOOSE(CONTROL!$C$42, 18.5855, 18.5855) * CHOOSE(CONTROL!$C$21, $C$9, 100%, $E$9)</f>
        <v>18.5855</v>
      </c>
      <c r="S384" s="14">
        <f>CHOOSE(CONTROL!$C$42, 16.9245, 16.9245) * CHOOSE(CONTROL!$C$21, $C$9, 100%, $E$9)</f>
        <v>16.924499999999998</v>
      </c>
      <c r="T3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7">
        <f>(1000*CHOOSE(CONTROL!$C$42, 695, 695)*CHOOSE(CONTROL!$C$42, 0.5599, 0.5599)*CHOOSE(CONTROL!$C$42, 31, 31))/1000000</f>
        <v>12.063045499999998</v>
      </c>
      <c r="V384" s="57">
        <f>(1000*CHOOSE(CONTROL!$C$42, 500, 500)*CHOOSE(CONTROL!$C$42, 0.275, 0.275)*CHOOSE(CONTROL!$C$42, 31, 31))/1000000</f>
        <v>4.2625000000000002</v>
      </c>
      <c r="W384" s="57">
        <f>(1000*CHOOSE(CONTROL!$C$42, 0.1146, 0.1146)*CHOOSE(CONTROL!$C$42, 121.5, 121.5)*CHOOSE(CONTROL!$C$42, 31, 31))/1000000</f>
        <v>0.43164089999999994</v>
      </c>
      <c r="X384" s="57">
        <f>(31*0.1790888*100000/1000000)+(31*0.2374*100000/1000000)</f>
        <v>1.2911152800000001</v>
      </c>
      <c r="Y384" s="57"/>
      <c r="Z384" s="14"/>
      <c r="AA384" s="56"/>
      <c r="AB384" s="50">
        <f>(B384*122.58+C384*297.941+D384*89.177+E384*40.302+F384*40+G384*160+H384*0+I384*100+J384*300)/(122.58+297.941+89.177+40.302+0+40+160+100+300)</f>
        <v>17.640719043826085</v>
      </c>
      <c r="AC384" s="45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17.319049640287766</v>
      </c>
    </row>
    <row r="385" spans="1:29" ht="15.75" x14ac:dyDescent="0.25">
      <c r="A385" s="33">
        <v>52627</v>
      </c>
      <c r="B385" s="14">
        <f>CHOOSE(CONTROL!$C$42, 19.0647, 19.0647) * CHOOSE(CONTROL!$C$21, $C$9, 100%, $E$9)</f>
        <v>19.064699999999998</v>
      </c>
      <c r="C385" s="14">
        <f>CHOOSE(CONTROL!$C$42, 19.0698, 19.0698) * CHOOSE(CONTROL!$C$21, $C$9, 100%, $E$9)</f>
        <v>19.069800000000001</v>
      </c>
      <c r="D385" s="14">
        <f>CHOOSE(CONTROL!$C$42, 19.1284, 19.1284) * CHOOSE(CONTROL!$C$21, $C$9, 100%, $E$9)</f>
        <v>19.128399999999999</v>
      </c>
      <c r="E385" s="14">
        <f>CHOOSE(CONTROL!$C$42, 19.1625, 19.1625) * CHOOSE(CONTROL!$C$21, $C$9, 100%, $E$9)</f>
        <v>19.162500000000001</v>
      </c>
      <c r="F385" s="14">
        <f>CHOOSE(CONTROL!$C$42, 19.0638, 19.0638)*CHOOSE(CONTROL!$C$21, $C$9, 100%, $E$9)</f>
        <v>19.063800000000001</v>
      </c>
      <c r="G385" s="14">
        <f>CHOOSE(CONTROL!$C$42, 19.0802, 19.0802)*CHOOSE(CONTROL!$C$21, $C$9, 100%, $E$9)</f>
        <v>19.080200000000001</v>
      </c>
      <c r="H385" s="14">
        <f>CHOOSE(CONTROL!$C$42, 19.1517, 19.1517) * CHOOSE(CONTROL!$C$21, $C$9, 100%, $E$9)</f>
        <v>19.151700000000002</v>
      </c>
      <c r="I385" s="14">
        <f>CHOOSE(CONTROL!$C$42, 19.1347, 19.1347)* CHOOSE(CONTROL!$C$21, $C$9, 100%, $E$9)</f>
        <v>19.134699999999999</v>
      </c>
      <c r="J385" s="14">
        <f>CHOOSE(CONTROL!$C$42, 19.0568, 19.0568)* CHOOSE(CONTROL!$C$21, $C$9, 100%, $E$9)</f>
        <v>19.056799999999999</v>
      </c>
      <c r="K385" s="53">
        <f>CHOOSE(CONTROL!$C$42, 19.1308, 19.1308) * CHOOSE(CONTROL!$C$21, $C$9, 100%, $E$9)</f>
        <v>19.130800000000001</v>
      </c>
      <c r="L385" s="14">
        <f>CHOOSE(CONTROL!$C$42, 19.7387, 19.7387) * CHOOSE(CONTROL!$C$21, $C$9, 100%, $E$9)</f>
        <v>19.738700000000001</v>
      </c>
      <c r="M385" s="14">
        <f>CHOOSE(CONTROL!$C$42, 18.6741, 18.6741) * CHOOSE(CONTROL!$C$21, $C$9, 100%, $E$9)</f>
        <v>18.674099999999999</v>
      </c>
      <c r="N385" s="14">
        <f>CHOOSE(CONTROL!$C$42, 18.6901, 18.6901) * CHOOSE(CONTROL!$C$21, $C$9, 100%, $E$9)</f>
        <v>18.690100000000001</v>
      </c>
      <c r="O385" s="14">
        <f>CHOOSE(CONTROL!$C$42, 18.767, 18.767) * CHOOSE(CONTROL!$C$21, $C$9, 100%, $E$9)</f>
        <v>18.766999999999999</v>
      </c>
      <c r="P385" s="14">
        <f>CHOOSE(CONTROL!$C$42, 18.7492, 18.7492) * CHOOSE(CONTROL!$C$21, $C$9, 100%, $E$9)</f>
        <v>18.749199999999998</v>
      </c>
      <c r="Q385" s="14">
        <f>CHOOSE(CONTROL!$C$42, 19.3617, 19.3617) * CHOOSE(CONTROL!$C$21, $C$9, 100%, $E$9)</f>
        <v>19.361699999999999</v>
      </c>
      <c r="R385" s="14">
        <f>CHOOSE(CONTROL!$C$42, 19.9971, 19.9971) * CHOOSE(CONTROL!$C$21, $C$9, 100%, $E$9)</f>
        <v>19.9971</v>
      </c>
      <c r="S385" s="14">
        <f>CHOOSE(CONTROL!$C$42, 18.3107, 18.3107) * CHOOSE(CONTROL!$C$21, $C$9, 100%, $E$9)</f>
        <v>18.310700000000001</v>
      </c>
      <c r="T3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7">
        <f>(1000*CHOOSE(CONTROL!$C$42, 695, 695)*CHOOSE(CONTROL!$C$42, 0.5599, 0.5599)*CHOOSE(CONTROL!$C$42, 31, 31))/1000000</f>
        <v>12.063045499999998</v>
      </c>
      <c r="V385" s="57">
        <f>(1000*CHOOSE(CONTROL!$C$42, 500, 500)*CHOOSE(CONTROL!$C$42, 0.275, 0.275)*CHOOSE(CONTROL!$C$42, 31, 31))/1000000</f>
        <v>4.2625000000000002</v>
      </c>
      <c r="W385" s="57">
        <f>(1000*CHOOSE(CONTROL!$C$42, 0.1146, 0.1146)*CHOOSE(CONTROL!$C$42, 121.5, 121.5)*CHOOSE(CONTROL!$C$42, 31, 31))/1000000</f>
        <v>0.43164089999999994</v>
      </c>
      <c r="X385" s="57">
        <f>(31*0.1790888*100000/1000000)+(31*0.2374*100000/1000000)</f>
        <v>1.2911152800000001</v>
      </c>
      <c r="Y385" s="57"/>
      <c r="Z385" s="14"/>
      <c r="AA385" s="56"/>
      <c r="AB385" s="50">
        <f>(B385*122.58+C385*297.941+D385*89.177+E385*40.302+F385*40+G385*160+H385*0+I385*100+J385*300)/(122.58+297.941+89.177+40.302+0+40+160+100+300)</f>
        <v>19.080539660521737</v>
      </c>
      <c r="AC385" s="45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18.727932374100718</v>
      </c>
    </row>
    <row r="386" spans="1:29" ht="15.75" x14ac:dyDescent="0.25">
      <c r="A386" s="33">
        <v>52655</v>
      </c>
      <c r="B386" s="14">
        <f>CHOOSE(CONTROL!$C$42, 19.4039, 19.4039) * CHOOSE(CONTROL!$C$21, $C$9, 100%, $E$9)</f>
        <v>19.4039</v>
      </c>
      <c r="C386" s="14">
        <f>CHOOSE(CONTROL!$C$42, 19.409, 19.409) * CHOOSE(CONTROL!$C$21, $C$9, 100%, $E$9)</f>
        <v>19.408999999999999</v>
      </c>
      <c r="D386" s="14">
        <f>CHOOSE(CONTROL!$C$42, 19.4676, 19.4676) * CHOOSE(CONTROL!$C$21, $C$9, 100%, $E$9)</f>
        <v>19.467600000000001</v>
      </c>
      <c r="E386" s="14">
        <f>CHOOSE(CONTROL!$C$42, 19.5017, 19.5017) * CHOOSE(CONTROL!$C$21, $C$9, 100%, $E$9)</f>
        <v>19.5017</v>
      </c>
      <c r="F386" s="14">
        <f>CHOOSE(CONTROL!$C$42, 19.403, 19.403)*CHOOSE(CONTROL!$C$21, $C$9, 100%, $E$9)</f>
        <v>19.402999999999999</v>
      </c>
      <c r="G386" s="14">
        <f>CHOOSE(CONTROL!$C$42, 19.4194, 19.4194)*CHOOSE(CONTROL!$C$21, $C$9, 100%, $E$9)</f>
        <v>19.4194</v>
      </c>
      <c r="H386" s="14">
        <f>CHOOSE(CONTROL!$C$42, 19.4909, 19.4909) * CHOOSE(CONTROL!$C$21, $C$9, 100%, $E$9)</f>
        <v>19.4909</v>
      </c>
      <c r="I386" s="14">
        <f>CHOOSE(CONTROL!$C$42, 19.4749, 19.4749)* CHOOSE(CONTROL!$C$21, $C$9, 100%, $E$9)</f>
        <v>19.474900000000002</v>
      </c>
      <c r="J386" s="14">
        <f>CHOOSE(CONTROL!$C$42, 19.396, 19.396)* CHOOSE(CONTROL!$C$21, $C$9, 100%, $E$9)</f>
        <v>19.396000000000001</v>
      </c>
      <c r="K386" s="53">
        <f>CHOOSE(CONTROL!$C$42, 19.471, 19.471) * CHOOSE(CONTROL!$C$21, $C$9, 100%, $E$9)</f>
        <v>19.471</v>
      </c>
      <c r="L386" s="14">
        <f>CHOOSE(CONTROL!$C$42, 20.0779, 20.0779) * CHOOSE(CONTROL!$C$21, $C$9, 100%, $E$9)</f>
        <v>20.0779</v>
      </c>
      <c r="M386" s="14">
        <f>CHOOSE(CONTROL!$C$42, 19.0063, 19.0063) * CHOOSE(CONTROL!$C$21, $C$9, 100%, $E$9)</f>
        <v>19.0063</v>
      </c>
      <c r="N386" s="14">
        <f>CHOOSE(CONTROL!$C$42, 19.0223, 19.0223) * CHOOSE(CONTROL!$C$21, $C$9, 100%, $E$9)</f>
        <v>19.022300000000001</v>
      </c>
      <c r="O386" s="14">
        <f>CHOOSE(CONTROL!$C$42, 19.0992, 19.0992) * CHOOSE(CONTROL!$C$21, $C$9, 100%, $E$9)</f>
        <v>19.0992</v>
      </c>
      <c r="P386" s="14">
        <f>CHOOSE(CONTROL!$C$42, 19.0824, 19.0824) * CHOOSE(CONTROL!$C$21, $C$9, 100%, $E$9)</f>
        <v>19.0824</v>
      </c>
      <c r="Q386" s="14">
        <f>CHOOSE(CONTROL!$C$42, 19.6939, 19.6939) * CHOOSE(CONTROL!$C$21, $C$9, 100%, $E$9)</f>
        <v>19.693899999999999</v>
      </c>
      <c r="R386" s="14">
        <f>CHOOSE(CONTROL!$C$42, 20.3302, 20.3302) * CHOOSE(CONTROL!$C$21, $C$9, 100%, $E$9)</f>
        <v>20.330200000000001</v>
      </c>
      <c r="S386" s="14">
        <f>CHOOSE(CONTROL!$C$42, 18.6367, 18.6367) * CHOOSE(CONTROL!$C$21, $C$9, 100%, $E$9)</f>
        <v>18.636700000000001</v>
      </c>
      <c r="T38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7">
        <f>(1000*CHOOSE(CONTROL!$C$42, 695, 695)*CHOOSE(CONTROL!$C$42, 0.5599, 0.5599)*CHOOSE(CONTROL!$C$42, 29, 29))/1000000</f>
        <v>11.284784499999999</v>
      </c>
      <c r="V386" s="57">
        <f>(1000*CHOOSE(CONTROL!$C$42, 500, 500)*CHOOSE(CONTROL!$C$42, 0.275, 0.275)*CHOOSE(CONTROL!$C$42, 29, 29))/1000000</f>
        <v>3.9874999999999998</v>
      </c>
      <c r="W386" s="57">
        <f>(1000*CHOOSE(CONTROL!$C$42, 0.1146, 0.1146)*CHOOSE(CONTROL!$C$42, 121.5, 121.5)*CHOOSE(CONTROL!$C$42, 29, 29))/1000000</f>
        <v>0.40379309999999996</v>
      </c>
      <c r="X386" s="57">
        <f>(29*0.1790888*100000/1000000)+(29*0.2374*100000/1000000)</f>
        <v>1.2078175199999999</v>
      </c>
      <c r="Y386" s="57"/>
      <c r="Z386" s="14"/>
      <c r="AA386" s="56"/>
      <c r="AB386" s="50">
        <f>(B386*122.58+C386*297.941+D386*89.177+E386*40.302+F386*40+G386*160+H386*0+I386*100+J386*300)/(122.58+297.941+89.177+40.302+0+40+160+100+300)</f>
        <v>19.419826617043476</v>
      </c>
      <c r="AC386" s="45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19.060276258992804</v>
      </c>
    </row>
    <row r="387" spans="1:29" ht="15.75" x14ac:dyDescent="0.25">
      <c r="A387" s="33">
        <v>52687</v>
      </c>
      <c r="B387" s="14">
        <f>CHOOSE(CONTROL!$C$42, 18.8533, 18.8533) * CHOOSE(CONTROL!$C$21, $C$9, 100%, $E$9)</f>
        <v>18.853300000000001</v>
      </c>
      <c r="C387" s="14">
        <f>CHOOSE(CONTROL!$C$42, 18.8584, 18.8584) * CHOOSE(CONTROL!$C$21, $C$9, 100%, $E$9)</f>
        <v>18.8584</v>
      </c>
      <c r="D387" s="14">
        <f>CHOOSE(CONTROL!$C$42, 18.917, 18.917) * CHOOSE(CONTROL!$C$21, $C$9, 100%, $E$9)</f>
        <v>18.917000000000002</v>
      </c>
      <c r="E387" s="14">
        <f>CHOOSE(CONTROL!$C$42, 18.9511, 18.9511) * CHOOSE(CONTROL!$C$21, $C$9, 100%, $E$9)</f>
        <v>18.9511</v>
      </c>
      <c r="F387" s="14">
        <f>CHOOSE(CONTROL!$C$42, 18.8519, 18.8519)*CHOOSE(CONTROL!$C$21, $C$9, 100%, $E$9)</f>
        <v>18.851900000000001</v>
      </c>
      <c r="G387" s="14">
        <f>CHOOSE(CONTROL!$C$42, 18.8681, 18.8681)*CHOOSE(CONTROL!$C$21, $C$9, 100%, $E$9)</f>
        <v>18.868099999999998</v>
      </c>
      <c r="H387" s="14">
        <f>CHOOSE(CONTROL!$C$42, 18.9403, 18.9403) * CHOOSE(CONTROL!$C$21, $C$9, 100%, $E$9)</f>
        <v>18.940300000000001</v>
      </c>
      <c r="I387" s="14">
        <f>CHOOSE(CONTROL!$C$42, 18.9226, 18.9226)* CHOOSE(CONTROL!$C$21, $C$9, 100%, $E$9)</f>
        <v>18.922599999999999</v>
      </c>
      <c r="J387" s="14">
        <f>CHOOSE(CONTROL!$C$42, 18.8449, 18.8449)* CHOOSE(CONTROL!$C$21, $C$9, 100%, $E$9)</f>
        <v>18.844899999999999</v>
      </c>
      <c r="K387" s="53">
        <f>CHOOSE(CONTROL!$C$42, 18.9187, 18.9187) * CHOOSE(CONTROL!$C$21, $C$9, 100%, $E$9)</f>
        <v>18.918700000000001</v>
      </c>
      <c r="L387" s="14">
        <f>CHOOSE(CONTROL!$C$42, 19.5273, 19.5273) * CHOOSE(CONTROL!$C$21, $C$9, 100%, $E$9)</f>
        <v>19.5273</v>
      </c>
      <c r="M387" s="14">
        <f>CHOOSE(CONTROL!$C$42, 18.4665, 18.4665) * CHOOSE(CONTROL!$C$21, $C$9, 100%, $E$9)</f>
        <v>18.4665</v>
      </c>
      <c r="N387" s="14">
        <f>CHOOSE(CONTROL!$C$42, 18.4824, 18.4824) * CHOOSE(CONTROL!$C$21, $C$9, 100%, $E$9)</f>
        <v>18.482399999999998</v>
      </c>
      <c r="O387" s="14">
        <f>CHOOSE(CONTROL!$C$42, 18.5599, 18.5599) * CHOOSE(CONTROL!$C$21, $C$9, 100%, $E$9)</f>
        <v>18.559899999999999</v>
      </c>
      <c r="P387" s="14">
        <f>CHOOSE(CONTROL!$C$42, 18.5415, 18.5415) * CHOOSE(CONTROL!$C$21, $C$9, 100%, $E$9)</f>
        <v>18.541499999999999</v>
      </c>
      <c r="Q387" s="14">
        <f>CHOOSE(CONTROL!$C$42, 19.1546, 19.1546) * CHOOSE(CONTROL!$C$21, $C$9, 100%, $E$9)</f>
        <v>19.154599999999999</v>
      </c>
      <c r="R387" s="14">
        <f>CHOOSE(CONTROL!$C$42, 19.7895, 19.7895) * CHOOSE(CONTROL!$C$21, $C$9, 100%, $E$9)</f>
        <v>19.7895</v>
      </c>
      <c r="S387" s="14">
        <f>CHOOSE(CONTROL!$C$42, 18.1076, 18.1076) * CHOOSE(CONTROL!$C$21, $C$9, 100%, $E$9)</f>
        <v>18.107600000000001</v>
      </c>
      <c r="T3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7">
        <f>(1000*CHOOSE(CONTROL!$C$42, 695, 695)*CHOOSE(CONTROL!$C$42, 0.5599, 0.5599)*CHOOSE(CONTROL!$C$42, 31, 31))/1000000</f>
        <v>12.063045499999998</v>
      </c>
      <c r="V387" s="57">
        <f>(1000*CHOOSE(CONTROL!$C$42, 500, 500)*CHOOSE(CONTROL!$C$42, 0.275, 0.275)*CHOOSE(CONTROL!$C$42, 31, 31))/1000000</f>
        <v>4.2625000000000002</v>
      </c>
      <c r="W387" s="57">
        <f>(1000*CHOOSE(CONTROL!$C$42, 0.1146, 0.1146)*CHOOSE(CONTROL!$C$42, 121.5, 121.5)*CHOOSE(CONTROL!$C$42, 31, 31))/1000000</f>
        <v>0.43164089999999994</v>
      </c>
      <c r="X387" s="57">
        <f>(31*0.1790888*100000/1000000)+(31*0.2374*100000/1000000)</f>
        <v>1.2911152800000001</v>
      </c>
      <c r="Y387" s="57"/>
      <c r="Z387" s="14"/>
      <c r="AA387" s="56"/>
      <c r="AB387" s="50">
        <f>(B387*122.58+C387*297.941+D387*89.177+E387*40.302+F387*40+G387*160+H387*0+I387*100+J387*300)/(122.58+297.941+89.177+40.302+0+40+160+100+300)</f>
        <v>18.868833573565215</v>
      </c>
      <c r="AC387" s="45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18.520538848920861</v>
      </c>
    </row>
    <row r="388" spans="1:29" ht="15.75" x14ac:dyDescent="0.25">
      <c r="A388" s="33">
        <v>52717</v>
      </c>
      <c r="B388" s="14">
        <f>CHOOSE(CONTROL!$C$42, 18.7981, 18.7981) * CHOOSE(CONTROL!$C$21, $C$9, 100%, $E$9)</f>
        <v>18.798100000000002</v>
      </c>
      <c r="C388" s="14">
        <f>CHOOSE(CONTROL!$C$42, 18.8025, 18.8025) * CHOOSE(CONTROL!$C$21, $C$9, 100%, $E$9)</f>
        <v>18.802499999999998</v>
      </c>
      <c r="D388" s="14">
        <f>CHOOSE(CONTROL!$C$42, 19.0107, 19.0107) * CHOOSE(CONTROL!$C$21, $C$9, 100%, $E$9)</f>
        <v>19.0107</v>
      </c>
      <c r="E388" s="14">
        <f>CHOOSE(CONTROL!$C$42, 19.0428, 19.0428) * CHOOSE(CONTROL!$C$21, $C$9, 100%, $E$9)</f>
        <v>19.0428</v>
      </c>
      <c r="F388" s="14">
        <f>CHOOSE(CONTROL!$C$42, 18.7854, 18.7854)*CHOOSE(CONTROL!$C$21, $C$9, 100%, $E$9)</f>
        <v>18.785399999999999</v>
      </c>
      <c r="G388" s="14">
        <f>CHOOSE(CONTROL!$C$42, 18.8014, 18.8014)*CHOOSE(CONTROL!$C$21, $C$9, 100%, $E$9)</f>
        <v>18.801400000000001</v>
      </c>
      <c r="H388" s="14">
        <f>CHOOSE(CONTROL!$C$42, 19.0326, 19.0326) * CHOOSE(CONTROL!$C$21, $C$9, 100%, $E$9)</f>
        <v>19.032599999999999</v>
      </c>
      <c r="I388" s="14">
        <f>CHOOSE(CONTROL!$C$42, 18.8664, 18.8664)* CHOOSE(CONTROL!$C$21, $C$9, 100%, $E$9)</f>
        <v>18.866399999999999</v>
      </c>
      <c r="J388" s="14">
        <f>CHOOSE(CONTROL!$C$42, 18.7784, 18.7784)* CHOOSE(CONTROL!$C$21, $C$9, 100%, $E$9)</f>
        <v>18.778400000000001</v>
      </c>
      <c r="K388" s="53">
        <f>CHOOSE(CONTROL!$C$42, 18.8625, 18.8625) * CHOOSE(CONTROL!$C$21, $C$9, 100%, $E$9)</f>
        <v>18.862500000000001</v>
      </c>
      <c r="L388" s="14">
        <f>CHOOSE(CONTROL!$C$42, 19.6196, 19.6196) * CHOOSE(CONTROL!$C$21, $C$9, 100%, $E$9)</f>
        <v>19.619599999999998</v>
      </c>
      <c r="M388" s="14">
        <f>CHOOSE(CONTROL!$C$42, 18.4013, 18.4013) * CHOOSE(CONTROL!$C$21, $C$9, 100%, $E$9)</f>
        <v>18.401299999999999</v>
      </c>
      <c r="N388" s="14">
        <f>CHOOSE(CONTROL!$C$42, 18.417, 18.417) * CHOOSE(CONTROL!$C$21, $C$9, 100%, $E$9)</f>
        <v>18.417000000000002</v>
      </c>
      <c r="O388" s="14">
        <f>CHOOSE(CONTROL!$C$42, 18.6503, 18.6503) * CHOOSE(CONTROL!$C$21, $C$9, 100%, $E$9)</f>
        <v>18.650300000000001</v>
      </c>
      <c r="P388" s="14">
        <f>CHOOSE(CONTROL!$C$42, 18.4864, 18.4864) * CHOOSE(CONTROL!$C$21, $C$9, 100%, $E$9)</f>
        <v>18.4864</v>
      </c>
      <c r="Q388" s="14">
        <f>CHOOSE(CONTROL!$C$42, 19.245, 19.245) * CHOOSE(CONTROL!$C$21, $C$9, 100%, $E$9)</f>
        <v>19.245000000000001</v>
      </c>
      <c r="R388" s="14">
        <f>CHOOSE(CONTROL!$C$42, 19.8801, 19.8801) * CHOOSE(CONTROL!$C$21, $C$9, 100%, $E$9)</f>
        <v>19.880099999999999</v>
      </c>
      <c r="S388" s="14">
        <f>CHOOSE(CONTROL!$C$42, 18.0538, 18.0538) * CHOOSE(CONTROL!$C$21, $C$9, 100%, $E$9)</f>
        <v>18.053799999999999</v>
      </c>
      <c r="T3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7">
        <f>(1000*CHOOSE(CONTROL!$C$42, 695, 695)*CHOOSE(CONTROL!$C$42, 0.5599, 0.5599)*CHOOSE(CONTROL!$C$42, 30, 30))/1000000</f>
        <v>11.673914999999997</v>
      </c>
      <c r="V388" s="57">
        <f>(1000*CHOOSE(CONTROL!$C$42, 500, 500)*CHOOSE(CONTROL!$C$42, 0.275, 0.275)*CHOOSE(CONTROL!$C$42, 30, 30))/1000000</f>
        <v>4.125</v>
      </c>
      <c r="W388" s="57">
        <f>(1000*CHOOSE(CONTROL!$C$42, 0.1146, 0.1146)*CHOOSE(CONTROL!$C$42, 121.5, 121.5)*CHOOSE(CONTROL!$C$42, 30, 30))/1000000</f>
        <v>0.417717</v>
      </c>
      <c r="X388" s="57">
        <f>(30*0.1790888*245000/1000000)+(30*0.2374*100000/1000000)</f>
        <v>2.0285026799999999</v>
      </c>
      <c r="Y388" s="57"/>
      <c r="Z388" s="14"/>
      <c r="AA388" s="56"/>
      <c r="AB388" s="50">
        <f>(B388*141.293+C388*267.993+D388*115.016+E388*89.698+F388*40+G388*185+H388*0+I388*100+J388*300)/(141.293+267.993+115.016+89.698+0+40+185+100+300)</f>
        <v>18.837327741242937</v>
      </c>
      <c r="AC388" s="45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18.487022302158273</v>
      </c>
    </row>
    <row r="389" spans="1:29" ht="15.75" x14ac:dyDescent="0.25">
      <c r="A389" s="33">
        <v>52748</v>
      </c>
      <c r="B389" s="14">
        <f>CHOOSE(CONTROL!$C$42, 18.9653, 18.9653) * CHOOSE(CONTROL!$C$21, $C$9, 100%, $E$9)</f>
        <v>18.965299999999999</v>
      </c>
      <c r="C389" s="14">
        <f>CHOOSE(CONTROL!$C$42, 18.9733, 18.9733) * CHOOSE(CONTROL!$C$21, $C$9, 100%, $E$9)</f>
        <v>18.973299999999998</v>
      </c>
      <c r="D389" s="14">
        <f>CHOOSE(CONTROL!$C$42, 19.1783, 19.1783) * CHOOSE(CONTROL!$C$21, $C$9, 100%, $E$9)</f>
        <v>19.1783</v>
      </c>
      <c r="E389" s="14">
        <f>CHOOSE(CONTROL!$C$42, 19.2097, 19.2097) * CHOOSE(CONTROL!$C$21, $C$9, 100%, $E$9)</f>
        <v>19.209700000000002</v>
      </c>
      <c r="F389" s="14">
        <f>CHOOSE(CONTROL!$C$42, 18.9515, 18.9515)*CHOOSE(CONTROL!$C$21, $C$9, 100%, $E$9)</f>
        <v>18.951499999999999</v>
      </c>
      <c r="G389" s="14">
        <f>CHOOSE(CONTROL!$C$42, 18.9679, 18.9679)*CHOOSE(CONTROL!$C$21, $C$9, 100%, $E$9)</f>
        <v>18.9679</v>
      </c>
      <c r="H389" s="14">
        <f>CHOOSE(CONTROL!$C$42, 19.1984, 19.1984) * CHOOSE(CONTROL!$C$21, $C$9, 100%, $E$9)</f>
        <v>19.198399999999999</v>
      </c>
      <c r="I389" s="14">
        <f>CHOOSE(CONTROL!$C$42, 19.0327, 19.0327)* CHOOSE(CONTROL!$C$21, $C$9, 100%, $E$9)</f>
        <v>19.032699999999998</v>
      </c>
      <c r="J389" s="14">
        <f>CHOOSE(CONTROL!$C$42, 18.9445, 18.9445)* CHOOSE(CONTROL!$C$21, $C$9, 100%, $E$9)</f>
        <v>18.944500000000001</v>
      </c>
      <c r="K389" s="53">
        <f>CHOOSE(CONTROL!$C$42, 19.0288, 19.0288) * CHOOSE(CONTROL!$C$21, $C$9, 100%, $E$9)</f>
        <v>19.0288</v>
      </c>
      <c r="L389" s="14">
        <f>CHOOSE(CONTROL!$C$42, 19.7854, 19.7854) * CHOOSE(CONTROL!$C$21, $C$9, 100%, $E$9)</f>
        <v>19.785399999999999</v>
      </c>
      <c r="M389" s="14">
        <f>CHOOSE(CONTROL!$C$42, 18.564, 18.564) * CHOOSE(CONTROL!$C$21, $C$9, 100%, $E$9)</f>
        <v>18.564</v>
      </c>
      <c r="N389" s="14">
        <f>CHOOSE(CONTROL!$C$42, 18.5801, 18.5801) * CHOOSE(CONTROL!$C$21, $C$9, 100%, $E$9)</f>
        <v>18.580100000000002</v>
      </c>
      <c r="O389" s="14">
        <f>CHOOSE(CONTROL!$C$42, 18.8127, 18.8127) * CHOOSE(CONTROL!$C$21, $C$9, 100%, $E$9)</f>
        <v>18.8127</v>
      </c>
      <c r="P389" s="14">
        <f>CHOOSE(CONTROL!$C$42, 18.6493, 18.6493) * CHOOSE(CONTROL!$C$21, $C$9, 100%, $E$9)</f>
        <v>18.6493</v>
      </c>
      <c r="Q389" s="14">
        <f>CHOOSE(CONTROL!$C$42, 19.4074, 19.4074) * CHOOSE(CONTROL!$C$21, $C$9, 100%, $E$9)</f>
        <v>19.407399999999999</v>
      </c>
      <c r="R389" s="14">
        <f>CHOOSE(CONTROL!$C$42, 20.0429, 20.0429) * CHOOSE(CONTROL!$C$21, $C$9, 100%, $E$9)</f>
        <v>20.042899999999999</v>
      </c>
      <c r="S389" s="14">
        <f>CHOOSE(CONTROL!$C$42, 18.2131, 18.2131) * CHOOSE(CONTROL!$C$21, $C$9, 100%, $E$9)</f>
        <v>18.213100000000001</v>
      </c>
      <c r="T3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7">
        <f>(1000*CHOOSE(CONTROL!$C$42, 695, 695)*CHOOSE(CONTROL!$C$42, 0.5599, 0.5599)*CHOOSE(CONTROL!$C$42, 31, 31))/1000000</f>
        <v>12.063045499999998</v>
      </c>
      <c r="V389" s="57">
        <f>(1000*CHOOSE(CONTROL!$C$42, 500, 500)*CHOOSE(CONTROL!$C$42, 0.275, 0.275)*CHOOSE(CONTROL!$C$42, 31, 31))/1000000</f>
        <v>4.2625000000000002</v>
      </c>
      <c r="W389" s="57">
        <f>(1000*CHOOSE(CONTROL!$C$42, 0.1146, 0.1146)*CHOOSE(CONTROL!$C$42, 121.5, 121.5)*CHOOSE(CONTROL!$C$42, 31, 31))/1000000</f>
        <v>0.43164089999999994</v>
      </c>
      <c r="X389" s="57">
        <f>(31*0.1790888*245000/1000000)+(31*0.2374*100000/1000000)</f>
        <v>2.0961194359999999</v>
      </c>
      <c r="Y389" s="57"/>
      <c r="Z389" s="14"/>
      <c r="AA389" s="56"/>
      <c r="AB389" s="50">
        <f>(B389*194.205+C389*267.466+D389*133.845+E389*53.484+F389*40+G389*185+H389*0+I389*100+J389*300)/(194.205+267.466+133.845+53.484+0+40+185+100+300)</f>
        <v>18.999954005180534</v>
      </c>
      <c r="AC389" s="45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18.649758992805754</v>
      </c>
    </row>
    <row r="390" spans="1:29" ht="15.75" x14ac:dyDescent="0.25">
      <c r="A390" s="33">
        <v>52778</v>
      </c>
      <c r="B390" s="14">
        <f>CHOOSE(CONTROL!$C$42, 19.5029, 19.5029) * CHOOSE(CONTROL!$C$21, $C$9, 100%, $E$9)</f>
        <v>19.5029</v>
      </c>
      <c r="C390" s="14">
        <f>CHOOSE(CONTROL!$C$42, 19.5109, 19.5109) * CHOOSE(CONTROL!$C$21, $C$9, 100%, $E$9)</f>
        <v>19.510899999999999</v>
      </c>
      <c r="D390" s="14">
        <f>CHOOSE(CONTROL!$C$42, 19.7159, 19.7159) * CHOOSE(CONTROL!$C$21, $C$9, 100%, $E$9)</f>
        <v>19.715900000000001</v>
      </c>
      <c r="E390" s="14">
        <f>CHOOSE(CONTROL!$C$42, 19.7474, 19.7474) * CHOOSE(CONTROL!$C$21, $C$9, 100%, $E$9)</f>
        <v>19.747399999999999</v>
      </c>
      <c r="F390" s="14">
        <f>CHOOSE(CONTROL!$C$42, 19.4895, 19.4895)*CHOOSE(CONTROL!$C$21, $C$9, 100%, $E$9)</f>
        <v>19.4895</v>
      </c>
      <c r="G390" s="14">
        <f>CHOOSE(CONTROL!$C$42, 19.506, 19.506)*CHOOSE(CONTROL!$C$21, $C$9, 100%, $E$9)</f>
        <v>19.506</v>
      </c>
      <c r="H390" s="14">
        <f>CHOOSE(CONTROL!$C$42, 19.736, 19.736) * CHOOSE(CONTROL!$C$21, $C$9, 100%, $E$9)</f>
        <v>19.736000000000001</v>
      </c>
      <c r="I390" s="14">
        <f>CHOOSE(CONTROL!$C$42, 19.572, 19.572)* CHOOSE(CONTROL!$C$21, $C$9, 100%, $E$9)</f>
        <v>19.571999999999999</v>
      </c>
      <c r="J390" s="14">
        <f>CHOOSE(CONTROL!$C$42, 19.4825, 19.4825)* CHOOSE(CONTROL!$C$21, $C$9, 100%, $E$9)</f>
        <v>19.482500000000002</v>
      </c>
      <c r="K390" s="53">
        <f>CHOOSE(CONTROL!$C$42, 19.5681, 19.5681) * CHOOSE(CONTROL!$C$21, $C$9, 100%, $E$9)</f>
        <v>19.568100000000001</v>
      </c>
      <c r="L390" s="14">
        <f>CHOOSE(CONTROL!$C$42, 20.323, 20.323) * CHOOSE(CONTROL!$C$21, $C$9, 100%, $E$9)</f>
        <v>20.323</v>
      </c>
      <c r="M390" s="14">
        <f>CHOOSE(CONTROL!$C$42, 19.091, 19.091) * CHOOSE(CONTROL!$C$21, $C$9, 100%, $E$9)</f>
        <v>19.091000000000001</v>
      </c>
      <c r="N390" s="14">
        <f>CHOOSE(CONTROL!$C$42, 19.1072, 19.1072) * CHOOSE(CONTROL!$C$21, $C$9, 100%, $E$9)</f>
        <v>19.107199999999999</v>
      </c>
      <c r="O390" s="14">
        <f>CHOOSE(CONTROL!$C$42, 19.3393, 19.3393) * CHOOSE(CONTROL!$C$21, $C$9, 100%, $E$9)</f>
        <v>19.339300000000001</v>
      </c>
      <c r="P390" s="14">
        <f>CHOOSE(CONTROL!$C$42, 19.1776, 19.1776) * CHOOSE(CONTROL!$C$21, $C$9, 100%, $E$9)</f>
        <v>19.177600000000002</v>
      </c>
      <c r="Q390" s="14">
        <f>CHOOSE(CONTROL!$C$42, 19.934, 19.934) * CHOOSE(CONTROL!$C$21, $C$9, 100%, $E$9)</f>
        <v>19.934000000000001</v>
      </c>
      <c r="R390" s="14">
        <f>CHOOSE(CONTROL!$C$42, 20.5709, 20.5709) * CHOOSE(CONTROL!$C$21, $C$9, 100%, $E$9)</f>
        <v>20.570900000000002</v>
      </c>
      <c r="S390" s="14">
        <f>CHOOSE(CONTROL!$C$42, 18.7297, 18.7297) * CHOOSE(CONTROL!$C$21, $C$9, 100%, $E$9)</f>
        <v>18.729700000000001</v>
      </c>
      <c r="T3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7">
        <f>(1000*CHOOSE(CONTROL!$C$42, 695, 695)*CHOOSE(CONTROL!$C$42, 0.5599, 0.5599)*CHOOSE(CONTROL!$C$42, 30, 30))/1000000</f>
        <v>11.673914999999997</v>
      </c>
      <c r="V390" s="57">
        <f>(1000*CHOOSE(CONTROL!$C$42, 500, 500)*CHOOSE(CONTROL!$C$42, 0.275, 0.275)*CHOOSE(CONTROL!$C$42, 30, 30))/1000000</f>
        <v>4.125</v>
      </c>
      <c r="W390" s="57">
        <f>(1000*CHOOSE(CONTROL!$C$42, 0.1146, 0.1146)*CHOOSE(CONTROL!$C$42, 121.5, 121.5)*CHOOSE(CONTROL!$C$42, 30, 30))/1000000</f>
        <v>0.417717</v>
      </c>
      <c r="X390" s="57">
        <f>(30*0.1790888*245000/1000000)+(30*0.2374*100000/1000000)</f>
        <v>2.0285026799999999</v>
      </c>
      <c r="Y390" s="57"/>
      <c r="Z390" s="14"/>
      <c r="AA390" s="56"/>
      <c r="AB390" s="50">
        <f>(B390*194.205+C390*267.466+D390*133.845+E390*53.484+F390*40+G390*185+H390*0+I390*100+J390*300)/(194.205+267.466+133.845+53.484+0+40+185+100+300)</f>
        <v>19.537870997645214</v>
      </c>
      <c r="AC390" s="45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19.176856834532376</v>
      </c>
    </row>
    <row r="391" spans="1:29" ht="15.75" x14ac:dyDescent="0.25">
      <c r="A391" s="33">
        <v>52809</v>
      </c>
      <c r="B391" s="14">
        <f>CHOOSE(CONTROL!$C$42, 19.129, 19.129) * CHOOSE(CONTROL!$C$21, $C$9, 100%, $E$9)</f>
        <v>19.129000000000001</v>
      </c>
      <c r="C391" s="14">
        <f>CHOOSE(CONTROL!$C$42, 19.137, 19.137) * CHOOSE(CONTROL!$C$21, $C$9, 100%, $E$9)</f>
        <v>19.137</v>
      </c>
      <c r="D391" s="14">
        <f>CHOOSE(CONTROL!$C$42, 19.342, 19.342) * CHOOSE(CONTROL!$C$21, $C$9, 100%, $E$9)</f>
        <v>19.341999999999999</v>
      </c>
      <c r="E391" s="14">
        <f>CHOOSE(CONTROL!$C$42, 19.3734, 19.3734) * CHOOSE(CONTROL!$C$21, $C$9, 100%, $E$9)</f>
        <v>19.3734</v>
      </c>
      <c r="F391" s="14">
        <f>CHOOSE(CONTROL!$C$42, 19.116, 19.116)*CHOOSE(CONTROL!$C$21, $C$9, 100%, $E$9)</f>
        <v>19.116</v>
      </c>
      <c r="G391" s="14">
        <f>CHOOSE(CONTROL!$C$42, 19.1326, 19.1326)*CHOOSE(CONTROL!$C$21, $C$9, 100%, $E$9)</f>
        <v>19.1326</v>
      </c>
      <c r="H391" s="14">
        <f>CHOOSE(CONTROL!$C$42, 19.3621, 19.3621) * CHOOSE(CONTROL!$C$21, $C$9, 100%, $E$9)</f>
        <v>19.362100000000002</v>
      </c>
      <c r="I391" s="14">
        <f>CHOOSE(CONTROL!$C$42, 19.1969, 19.1969)* CHOOSE(CONTROL!$C$21, $C$9, 100%, $E$9)</f>
        <v>19.196899999999999</v>
      </c>
      <c r="J391" s="14">
        <f>CHOOSE(CONTROL!$C$42, 19.109, 19.109)* CHOOSE(CONTROL!$C$21, $C$9, 100%, $E$9)</f>
        <v>19.109000000000002</v>
      </c>
      <c r="K391" s="53">
        <f>CHOOSE(CONTROL!$C$42, 19.1931, 19.1931) * CHOOSE(CONTROL!$C$21, $C$9, 100%, $E$9)</f>
        <v>19.193100000000001</v>
      </c>
      <c r="L391" s="14">
        <f>CHOOSE(CONTROL!$C$42, 19.9491, 19.9491) * CHOOSE(CONTROL!$C$21, $C$9, 100%, $E$9)</f>
        <v>19.949100000000001</v>
      </c>
      <c r="M391" s="14">
        <f>CHOOSE(CONTROL!$C$42, 18.7251, 18.7251) * CHOOSE(CONTROL!$C$21, $C$9, 100%, $E$9)</f>
        <v>18.725100000000001</v>
      </c>
      <c r="N391" s="14">
        <f>CHOOSE(CONTROL!$C$42, 18.7414, 18.7414) * CHOOSE(CONTROL!$C$21, $C$9, 100%, $E$9)</f>
        <v>18.741399999999999</v>
      </c>
      <c r="O391" s="14">
        <f>CHOOSE(CONTROL!$C$42, 18.9731, 18.9731) * CHOOSE(CONTROL!$C$21, $C$9, 100%, $E$9)</f>
        <v>18.973099999999999</v>
      </c>
      <c r="P391" s="14">
        <f>CHOOSE(CONTROL!$C$42, 18.8102, 18.8102) * CHOOSE(CONTROL!$C$21, $C$9, 100%, $E$9)</f>
        <v>18.810199999999998</v>
      </c>
      <c r="Q391" s="14">
        <f>CHOOSE(CONTROL!$C$42, 19.5678, 19.5678) * CHOOSE(CONTROL!$C$21, $C$9, 100%, $E$9)</f>
        <v>19.567799999999998</v>
      </c>
      <c r="R391" s="14">
        <f>CHOOSE(CONTROL!$C$42, 20.2037, 20.2037) * CHOOSE(CONTROL!$C$21, $C$9, 100%, $E$9)</f>
        <v>20.203700000000001</v>
      </c>
      <c r="S391" s="14">
        <f>CHOOSE(CONTROL!$C$42, 18.3704, 18.3704) * CHOOSE(CONTROL!$C$21, $C$9, 100%, $E$9)</f>
        <v>18.3704</v>
      </c>
      <c r="T3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7">
        <f>(1000*CHOOSE(CONTROL!$C$42, 695, 695)*CHOOSE(CONTROL!$C$42, 0.5599, 0.5599)*CHOOSE(CONTROL!$C$42, 31, 31))/1000000</f>
        <v>12.063045499999998</v>
      </c>
      <c r="V391" s="57">
        <f>(1000*CHOOSE(CONTROL!$C$42, 500, 500)*CHOOSE(CONTROL!$C$42, 0.275, 0.275)*CHOOSE(CONTROL!$C$42, 31, 31))/1000000</f>
        <v>4.2625000000000002</v>
      </c>
      <c r="W391" s="57">
        <f>(1000*CHOOSE(CONTROL!$C$42, 0.1146, 0.1146)*CHOOSE(CONTROL!$C$42, 121.5, 121.5)*CHOOSE(CONTROL!$C$42, 31, 31))/1000000</f>
        <v>0.43164089999999994</v>
      </c>
      <c r="X391" s="57">
        <f>(31*0.1790888*245000/1000000)+(31*0.2374*100000/1000000)</f>
        <v>2.0961194359999999</v>
      </c>
      <c r="Y391" s="57"/>
      <c r="Z391" s="14"/>
      <c r="AA391" s="56"/>
      <c r="AB391" s="50">
        <f>(B391*194.205+C391*267.466+D391*133.845+E391*53.484+F391*40+G391*185+H391*0+I391*100+J391*300)/(194.205+267.466+133.845+53.484+0+40+185+100+300)</f>
        <v>19.164051964364209</v>
      </c>
      <c r="AC391" s="45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18.810679856115108</v>
      </c>
    </row>
    <row r="392" spans="1:29" ht="15.75" x14ac:dyDescent="0.25">
      <c r="A392" s="33">
        <v>52840</v>
      </c>
      <c r="B392" s="14">
        <f>CHOOSE(CONTROL!$C$42, 18.1847, 18.1847) * CHOOSE(CONTROL!$C$21, $C$9, 100%, $E$9)</f>
        <v>18.184699999999999</v>
      </c>
      <c r="C392" s="14">
        <f>CHOOSE(CONTROL!$C$42, 18.1927, 18.1927) * CHOOSE(CONTROL!$C$21, $C$9, 100%, $E$9)</f>
        <v>18.192699999999999</v>
      </c>
      <c r="D392" s="14">
        <f>CHOOSE(CONTROL!$C$42, 18.3977, 18.3977) * CHOOSE(CONTROL!$C$21, $C$9, 100%, $E$9)</f>
        <v>18.3977</v>
      </c>
      <c r="E392" s="14">
        <f>CHOOSE(CONTROL!$C$42, 18.4292, 18.4292) * CHOOSE(CONTROL!$C$21, $C$9, 100%, $E$9)</f>
        <v>18.429200000000002</v>
      </c>
      <c r="F392" s="14">
        <f>CHOOSE(CONTROL!$C$42, 18.1719, 18.1719)*CHOOSE(CONTROL!$C$21, $C$9, 100%, $E$9)</f>
        <v>18.171900000000001</v>
      </c>
      <c r="G392" s="14">
        <f>CHOOSE(CONTROL!$C$42, 18.1886, 18.1886)*CHOOSE(CONTROL!$C$21, $C$9, 100%, $E$9)</f>
        <v>18.188600000000001</v>
      </c>
      <c r="H392" s="14">
        <f>CHOOSE(CONTROL!$C$42, 18.4178, 18.4178) * CHOOSE(CONTROL!$C$21, $C$9, 100%, $E$9)</f>
        <v>18.4178</v>
      </c>
      <c r="I392" s="14">
        <f>CHOOSE(CONTROL!$C$42, 18.2497, 18.2497)* CHOOSE(CONTROL!$C$21, $C$9, 100%, $E$9)</f>
        <v>18.249700000000001</v>
      </c>
      <c r="J392" s="14">
        <f>CHOOSE(CONTROL!$C$42, 18.1649, 18.1649)* CHOOSE(CONTROL!$C$21, $C$9, 100%, $E$9)</f>
        <v>18.164899999999999</v>
      </c>
      <c r="K392" s="53">
        <f>CHOOSE(CONTROL!$C$42, 18.2458, 18.2458) * CHOOSE(CONTROL!$C$21, $C$9, 100%, $E$9)</f>
        <v>18.245799999999999</v>
      </c>
      <c r="L392" s="14">
        <f>CHOOSE(CONTROL!$C$42, 19.0048, 19.0048) * CHOOSE(CONTROL!$C$21, $C$9, 100%, $E$9)</f>
        <v>19.004799999999999</v>
      </c>
      <c r="M392" s="14">
        <f>CHOOSE(CONTROL!$C$42, 17.8004, 17.8004) * CHOOSE(CONTROL!$C$21, $C$9, 100%, $E$9)</f>
        <v>17.8004</v>
      </c>
      <c r="N392" s="14">
        <f>CHOOSE(CONTROL!$C$42, 17.8167, 17.8167) * CHOOSE(CONTROL!$C$21, $C$9, 100%, $E$9)</f>
        <v>17.816700000000001</v>
      </c>
      <c r="O392" s="14">
        <f>CHOOSE(CONTROL!$C$42, 18.0481, 18.0481) * CHOOSE(CONTROL!$C$21, $C$9, 100%, $E$9)</f>
        <v>18.048100000000002</v>
      </c>
      <c r="P392" s="14">
        <f>CHOOSE(CONTROL!$C$42, 17.8824, 17.8824) * CHOOSE(CONTROL!$C$21, $C$9, 100%, $E$9)</f>
        <v>17.882400000000001</v>
      </c>
      <c r="Q392" s="14">
        <f>CHOOSE(CONTROL!$C$42, 18.6428, 18.6428) * CHOOSE(CONTROL!$C$21, $C$9, 100%, $E$9)</f>
        <v>18.642800000000001</v>
      </c>
      <c r="R392" s="14">
        <f>CHOOSE(CONTROL!$C$42, 19.2764, 19.2764) * CHOOSE(CONTROL!$C$21, $C$9, 100%, $E$9)</f>
        <v>19.276399999999999</v>
      </c>
      <c r="S392" s="14">
        <f>CHOOSE(CONTROL!$C$42, 17.4631, 17.4631) * CHOOSE(CONTROL!$C$21, $C$9, 100%, $E$9)</f>
        <v>17.463100000000001</v>
      </c>
      <c r="T3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7">
        <f>(1000*CHOOSE(CONTROL!$C$42, 695, 695)*CHOOSE(CONTROL!$C$42, 0.5599, 0.5599)*CHOOSE(CONTROL!$C$42, 31, 31))/1000000</f>
        <v>12.063045499999998</v>
      </c>
      <c r="V392" s="57">
        <f>(1000*CHOOSE(CONTROL!$C$42, 500, 500)*CHOOSE(CONTROL!$C$42, 0.275, 0.275)*CHOOSE(CONTROL!$C$42, 31, 31))/1000000</f>
        <v>4.2625000000000002</v>
      </c>
      <c r="W392" s="57">
        <f>(1000*CHOOSE(CONTROL!$C$42, 0.1146, 0.1146)*CHOOSE(CONTROL!$C$42, 121.5, 121.5)*CHOOSE(CONTROL!$C$42, 31, 31))/1000000</f>
        <v>0.43164089999999994</v>
      </c>
      <c r="X392" s="57">
        <f>(31*0.1790888*245000/1000000)+(31*0.2374*100000/1000000)</f>
        <v>2.0961194359999999</v>
      </c>
      <c r="Y392" s="57"/>
      <c r="Z392" s="14"/>
      <c r="AA392" s="56"/>
      <c r="AB392" s="50">
        <f>(B392*194.205+C392*267.466+D392*133.845+E392*53.484+F392*40+G392*185+H392*0+I392*100+J392*300)/(194.205+267.466+133.845+53.484+0+40+185+100+300)</f>
        <v>18.219625471742543</v>
      </c>
      <c r="AC392" s="45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17.885449640287771</v>
      </c>
    </row>
    <row r="393" spans="1:29" ht="15.75" x14ac:dyDescent="0.25">
      <c r="A393" s="33">
        <v>52870</v>
      </c>
      <c r="B393" s="14">
        <f>CHOOSE(CONTROL!$C$42, 17.0306, 17.0306) * CHOOSE(CONTROL!$C$21, $C$9, 100%, $E$9)</f>
        <v>17.0306</v>
      </c>
      <c r="C393" s="14">
        <f>CHOOSE(CONTROL!$C$42, 17.0386, 17.0386) * CHOOSE(CONTROL!$C$21, $C$9, 100%, $E$9)</f>
        <v>17.038599999999999</v>
      </c>
      <c r="D393" s="14">
        <f>CHOOSE(CONTROL!$C$42, 17.2436, 17.2436) * CHOOSE(CONTROL!$C$21, $C$9, 100%, $E$9)</f>
        <v>17.243600000000001</v>
      </c>
      <c r="E393" s="14">
        <f>CHOOSE(CONTROL!$C$42, 17.275, 17.275) * CHOOSE(CONTROL!$C$21, $C$9, 100%, $E$9)</f>
        <v>17.274999999999999</v>
      </c>
      <c r="F393" s="14">
        <f>CHOOSE(CONTROL!$C$42, 17.0177, 17.0177)*CHOOSE(CONTROL!$C$21, $C$9, 100%, $E$9)</f>
        <v>17.017700000000001</v>
      </c>
      <c r="G393" s="14">
        <f>CHOOSE(CONTROL!$C$42, 17.0344, 17.0344)*CHOOSE(CONTROL!$C$21, $C$9, 100%, $E$9)</f>
        <v>17.034400000000002</v>
      </c>
      <c r="H393" s="14">
        <f>CHOOSE(CONTROL!$C$42, 17.2637, 17.2637) * CHOOSE(CONTROL!$C$21, $C$9, 100%, $E$9)</f>
        <v>17.2637</v>
      </c>
      <c r="I393" s="14">
        <f>CHOOSE(CONTROL!$C$42, 17.092, 17.092)* CHOOSE(CONTROL!$C$21, $C$9, 100%, $E$9)</f>
        <v>17.091999999999999</v>
      </c>
      <c r="J393" s="14">
        <f>CHOOSE(CONTROL!$C$42, 17.0107, 17.0107)* CHOOSE(CONTROL!$C$21, $C$9, 100%, $E$9)</f>
        <v>17.0107</v>
      </c>
      <c r="K393" s="53">
        <f>CHOOSE(CONTROL!$C$42, 17.0881, 17.0881) * CHOOSE(CONTROL!$C$21, $C$9, 100%, $E$9)</f>
        <v>17.088100000000001</v>
      </c>
      <c r="L393" s="14">
        <f>CHOOSE(CONTROL!$C$42, 17.8507, 17.8507) * CHOOSE(CONTROL!$C$21, $C$9, 100%, $E$9)</f>
        <v>17.8507</v>
      </c>
      <c r="M393" s="14">
        <f>CHOOSE(CONTROL!$C$42, 16.6699, 16.6699) * CHOOSE(CONTROL!$C$21, $C$9, 100%, $E$9)</f>
        <v>16.669899999999998</v>
      </c>
      <c r="N393" s="14">
        <f>CHOOSE(CONTROL!$C$42, 16.6862, 16.6862) * CHOOSE(CONTROL!$C$21, $C$9, 100%, $E$9)</f>
        <v>16.686199999999999</v>
      </c>
      <c r="O393" s="14">
        <f>CHOOSE(CONTROL!$C$42, 16.9177, 16.9177) * CHOOSE(CONTROL!$C$21, $C$9, 100%, $E$9)</f>
        <v>16.9177</v>
      </c>
      <c r="P393" s="14">
        <f>CHOOSE(CONTROL!$C$42, 16.7485, 16.7485) * CHOOSE(CONTROL!$C$21, $C$9, 100%, $E$9)</f>
        <v>16.7485</v>
      </c>
      <c r="Q393" s="14">
        <f>CHOOSE(CONTROL!$C$42, 17.5124, 17.5124) * CHOOSE(CONTROL!$C$21, $C$9, 100%, $E$9)</f>
        <v>17.5124</v>
      </c>
      <c r="R393" s="14">
        <f>CHOOSE(CONTROL!$C$42, 18.1431, 18.1431) * CHOOSE(CONTROL!$C$21, $C$9, 100%, $E$9)</f>
        <v>18.1431</v>
      </c>
      <c r="S393" s="14">
        <f>CHOOSE(CONTROL!$C$42, 16.3541, 16.3541) * CHOOSE(CONTROL!$C$21, $C$9, 100%, $E$9)</f>
        <v>16.354099999999999</v>
      </c>
      <c r="T3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7">
        <f>(1000*CHOOSE(CONTROL!$C$42, 695, 695)*CHOOSE(CONTROL!$C$42, 0.5599, 0.5599)*CHOOSE(CONTROL!$C$42, 30, 30))/1000000</f>
        <v>11.673914999999997</v>
      </c>
      <c r="V393" s="57">
        <f>(1000*CHOOSE(CONTROL!$C$42, 500, 500)*CHOOSE(CONTROL!$C$42, 0.275, 0.275)*CHOOSE(CONTROL!$C$42, 30, 30))/1000000</f>
        <v>4.125</v>
      </c>
      <c r="W393" s="57">
        <f>(1000*CHOOSE(CONTROL!$C$42, 0.1146, 0.1146)*CHOOSE(CONTROL!$C$42, 121.5, 121.5)*CHOOSE(CONTROL!$C$42, 30, 30))/1000000</f>
        <v>0.417717</v>
      </c>
      <c r="X393" s="57">
        <f>(30*0.1790888*245000/1000000)+(30*0.2374*100000/1000000)</f>
        <v>2.0285026799999999</v>
      </c>
      <c r="Y393" s="57"/>
      <c r="Z393" s="14"/>
      <c r="AA393" s="56"/>
      <c r="AB393" s="50">
        <f>(B393*194.205+C393*267.466+D393*133.845+E393*53.484+F393*40+G393*185+H393*0+I393*100+J393*300)/(194.205+267.466+133.845+53.484+0+40+185+100+300)</f>
        <v>17.065197490266879</v>
      </c>
      <c r="AC393" s="45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16.754488489208633</v>
      </c>
    </row>
    <row r="394" spans="1:29" ht="15.75" x14ac:dyDescent="0.25">
      <c r="A394" s="33">
        <v>52901</v>
      </c>
      <c r="B394" s="14">
        <f>CHOOSE(CONTROL!$C$42, 16.6833, 16.6833) * CHOOSE(CONTROL!$C$21, $C$9, 100%, $E$9)</f>
        <v>16.683299999999999</v>
      </c>
      <c r="C394" s="14">
        <f>CHOOSE(CONTROL!$C$42, 16.6886, 16.6886) * CHOOSE(CONTROL!$C$21, $C$9, 100%, $E$9)</f>
        <v>16.688600000000001</v>
      </c>
      <c r="D394" s="14">
        <f>CHOOSE(CONTROL!$C$42, 16.8985, 16.8985) * CHOOSE(CONTROL!$C$21, $C$9, 100%, $E$9)</f>
        <v>16.898499999999999</v>
      </c>
      <c r="E394" s="14">
        <f>CHOOSE(CONTROL!$C$42, 16.9277, 16.9277) * CHOOSE(CONTROL!$C$21, $C$9, 100%, $E$9)</f>
        <v>16.927700000000002</v>
      </c>
      <c r="F394" s="14">
        <f>CHOOSE(CONTROL!$C$42, 16.6725, 16.6725)*CHOOSE(CONTROL!$C$21, $C$9, 100%, $E$9)</f>
        <v>16.672499999999999</v>
      </c>
      <c r="G394" s="14">
        <f>CHOOSE(CONTROL!$C$42, 16.6888, 16.6888)*CHOOSE(CONTROL!$C$21, $C$9, 100%, $E$9)</f>
        <v>16.688800000000001</v>
      </c>
      <c r="H394" s="14">
        <f>CHOOSE(CONTROL!$C$42, 16.9181, 16.9181) * CHOOSE(CONTROL!$C$21, $C$9, 100%, $E$9)</f>
        <v>16.918099999999999</v>
      </c>
      <c r="I394" s="14">
        <f>CHOOSE(CONTROL!$C$42, 16.7453, 16.7453)* CHOOSE(CONTROL!$C$21, $C$9, 100%, $E$9)</f>
        <v>16.7453</v>
      </c>
      <c r="J394" s="14">
        <f>CHOOSE(CONTROL!$C$42, 16.6655, 16.6655)* CHOOSE(CONTROL!$C$21, $C$9, 100%, $E$9)</f>
        <v>16.665500000000002</v>
      </c>
      <c r="K394" s="53">
        <f>CHOOSE(CONTROL!$C$42, 16.7414, 16.7414) * CHOOSE(CONTROL!$C$21, $C$9, 100%, $E$9)</f>
        <v>16.741399999999999</v>
      </c>
      <c r="L394" s="14">
        <f>CHOOSE(CONTROL!$C$42, 17.5051, 17.5051) * CHOOSE(CONTROL!$C$21, $C$9, 100%, $E$9)</f>
        <v>17.505099999999999</v>
      </c>
      <c r="M394" s="14">
        <f>CHOOSE(CONTROL!$C$42, 16.3317, 16.3317) * CHOOSE(CONTROL!$C$21, $C$9, 100%, $E$9)</f>
        <v>16.331700000000001</v>
      </c>
      <c r="N394" s="14">
        <f>CHOOSE(CONTROL!$C$42, 16.3477, 16.3477) * CHOOSE(CONTROL!$C$21, $C$9, 100%, $E$9)</f>
        <v>16.3477</v>
      </c>
      <c r="O394" s="14">
        <f>CHOOSE(CONTROL!$C$42, 16.5792, 16.5792) * CHOOSE(CONTROL!$C$21, $C$9, 100%, $E$9)</f>
        <v>16.5792</v>
      </c>
      <c r="P394" s="14">
        <f>CHOOSE(CONTROL!$C$42, 16.409, 16.409) * CHOOSE(CONTROL!$C$21, $C$9, 100%, $E$9)</f>
        <v>16.408999999999999</v>
      </c>
      <c r="Q394" s="14">
        <f>CHOOSE(CONTROL!$C$42, 17.1739, 17.1739) * CHOOSE(CONTROL!$C$21, $C$9, 100%, $E$9)</f>
        <v>17.1739</v>
      </c>
      <c r="R394" s="14">
        <f>CHOOSE(CONTROL!$C$42, 17.8038, 17.8038) * CHOOSE(CONTROL!$C$21, $C$9, 100%, $E$9)</f>
        <v>17.803799999999999</v>
      </c>
      <c r="S394" s="14">
        <f>CHOOSE(CONTROL!$C$42, 16.022, 16.022) * CHOOSE(CONTROL!$C$21, $C$9, 100%, $E$9)</f>
        <v>16.021999999999998</v>
      </c>
      <c r="T3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7">
        <f>(1000*CHOOSE(CONTROL!$C$42, 695, 695)*CHOOSE(CONTROL!$C$42, 0.5599, 0.5599)*CHOOSE(CONTROL!$C$42, 31, 31))/1000000</f>
        <v>12.063045499999998</v>
      </c>
      <c r="V394" s="57">
        <f>(1000*CHOOSE(CONTROL!$C$42, 500, 500)*CHOOSE(CONTROL!$C$42, 0.275, 0.275)*CHOOSE(CONTROL!$C$42, 31, 31))/1000000</f>
        <v>4.2625000000000002</v>
      </c>
      <c r="W394" s="57">
        <f>(1000*CHOOSE(CONTROL!$C$42, 0.1146, 0.1146)*CHOOSE(CONTROL!$C$42, 121.5, 121.5)*CHOOSE(CONTROL!$C$42, 31, 31))/1000000</f>
        <v>0.43164089999999994</v>
      </c>
      <c r="X394" s="57">
        <f>(31*0.1790888*245000/1000000)+(31*0.2374*100000/1000000)</f>
        <v>2.0961194359999999</v>
      </c>
      <c r="Y394" s="57"/>
      <c r="Z394" s="14"/>
      <c r="AA394" s="56"/>
      <c r="AB394" s="50">
        <f>(B394*131.881+C394*277.167+D394*79.08+E394*125.872+F394*40+G394*185+H394*0+I394*100+J394*300)/(131.881+277.167+79.08+125.872+0+40+185+100+300)</f>
        <v>16.724216560048426</v>
      </c>
      <c r="AC394" s="45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16.415948201438848</v>
      </c>
    </row>
    <row r="395" spans="1:29" ht="15.75" x14ac:dyDescent="0.25">
      <c r="A395" s="33">
        <v>52931</v>
      </c>
      <c r="B395" s="14">
        <f>CHOOSE(CONTROL!$C$42, 17.1221, 17.1221) * CHOOSE(CONTROL!$C$21, $C$9, 100%, $E$9)</f>
        <v>17.1221</v>
      </c>
      <c r="C395" s="14">
        <f>CHOOSE(CONTROL!$C$42, 17.1272, 17.1272) * CHOOSE(CONTROL!$C$21, $C$9, 100%, $E$9)</f>
        <v>17.127199999999998</v>
      </c>
      <c r="D395" s="14">
        <f>CHOOSE(CONTROL!$C$42, 17.191, 17.191) * CHOOSE(CONTROL!$C$21, $C$9, 100%, $E$9)</f>
        <v>17.190999999999999</v>
      </c>
      <c r="E395" s="14">
        <f>CHOOSE(CONTROL!$C$42, 17.2251, 17.2251) * CHOOSE(CONTROL!$C$21, $C$9, 100%, $E$9)</f>
        <v>17.225100000000001</v>
      </c>
      <c r="F395" s="14">
        <f>CHOOSE(CONTROL!$C$42, 17.1244, 17.1244)*CHOOSE(CONTROL!$C$21, $C$9, 100%, $E$9)</f>
        <v>17.124400000000001</v>
      </c>
      <c r="G395" s="14">
        <f>CHOOSE(CONTROL!$C$42, 17.141, 17.141)*CHOOSE(CONTROL!$C$21, $C$9, 100%, $E$9)</f>
        <v>17.140999999999998</v>
      </c>
      <c r="H395" s="14">
        <f>CHOOSE(CONTROL!$C$42, 17.2143, 17.2143) * CHOOSE(CONTROL!$C$21, $C$9, 100%, $E$9)</f>
        <v>17.214300000000001</v>
      </c>
      <c r="I395" s="14">
        <f>CHOOSE(CONTROL!$C$42, 17.1896, 17.1896)* CHOOSE(CONTROL!$C$21, $C$9, 100%, $E$9)</f>
        <v>17.189599999999999</v>
      </c>
      <c r="J395" s="14">
        <f>CHOOSE(CONTROL!$C$42, 17.1174, 17.1174)* CHOOSE(CONTROL!$C$21, $C$9, 100%, $E$9)</f>
        <v>17.1174</v>
      </c>
      <c r="K395" s="53">
        <f>CHOOSE(CONTROL!$C$42, 17.1857, 17.1857) * CHOOSE(CONTROL!$C$21, $C$9, 100%, $E$9)</f>
        <v>17.185700000000001</v>
      </c>
      <c r="L395" s="14">
        <f>CHOOSE(CONTROL!$C$42, 17.8013, 17.8013) * CHOOSE(CONTROL!$C$21, $C$9, 100%, $E$9)</f>
        <v>17.801300000000001</v>
      </c>
      <c r="M395" s="14">
        <f>CHOOSE(CONTROL!$C$42, 16.7743, 16.7743) * CHOOSE(CONTROL!$C$21, $C$9, 100%, $E$9)</f>
        <v>16.7743</v>
      </c>
      <c r="N395" s="14">
        <f>CHOOSE(CONTROL!$C$42, 16.7906, 16.7906) * CHOOSE(CONTROL!$C$21, $C$9, 100%, $E$9)</f>
        <v>16.790600000000001</v>
      </c>
      <c r="O395" s="14">
        <f>CHOOSE(CONTROL!$C$42, 16.8693, 16.8693) * CHOOSE(CONTROL!$C$21, $C$9, 100%, $E$9)</f>
        <v>16.869299999999999</v>
      </c>
      <c r="P395" s="14">
        <f>CHOOSE(CONTROL!$C$42, 16.8441, 16.8441) * CHOOSE(CONTROL!$C$21, $C$9, 100%, $E$9)</f>
        <v>16.844100000000001</v>
      </c>
      <c r="Q395" s="14">
        <f>CHOOSE(CONTROL!$C$42, 17.464, 17.464) * CHOOSE(CONTROL!$C$21, $C$9, 100%, $E$9)</f>
        <v>17.463999999999999</v>
      </c>
      <c r="R395" s="14">
        <f>CHOOSE(CONTROL!$C$42, 18.0946, 18.0946) * CHOOSE(CONTROL!$C$21, $C$9, 100%, $E$9)</f>
        <v>18.0946</v>
      </c>
      <c r="S395" s="14">
        <f>CHOOSE(CONTROL!$C$42, 16.4441, 16.4441) * CHOOSE(CONTROL!$C$21, $C$9, 100%, $E$9)</f>
        <v>16.444099999999999</v>
      </c>
      <c r="T3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7">
        <f>(1000*CHOOSE(CONTROL!$C$42, 695, 695)*CHOOSE(CONTROL!$C$42, 0.5599, 0.5599)*CHOOSE(CONTROL!$C$42, 30, 30))/1000000</f>
        <v>11.673914999999997</v>
      </c>
      <c r="V395" s="57">
        <f>(1000*CHOOSE(CONTROL!$C$42, 500, 500)*CHOOSE(CONTROL!$C$42, 0.275, 0.275)*CHOOSE(CONTROL!$C$42, 30, 30))/1000000</f>
        <v>4.125</v>
      </c>
      <c r="W395" s="57">
        <f>(1000*CHOOSE(CONTROL!$C$42, 0.1146, 0.1146)*CHOOSE(CONTROL!$C$42, 121.5, 121.5)*CHOOSE(CONTROL!$C$42, 30, 30))/1000000</f>
        <v>0.417717</v>
      </c>
      <c r="X395" s="57">
        <f>(30*0.1790888*100000/1000000)+(30*0.2374*100000/1000000)</f>
        <v>1.2494664</v>
      </c>
      <c r="Y395" s="57"/>
      <c r="Z395" s="14"/>
      <c r="AA395" s="56"/>
      <c r="AB395" s="50">
        <f>(B395*122.58+C395*297.941+D395*89.177+E395*40.302+F395*40+G395*160+H395*0+I395*100+J395*300)/(122.58+297.941+89.177+40.302+0+40+160+100+300)</f>
        <v>17.139726869913044</v>
      </c>
      <c r="AC395" s="45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16.828338848920865</v>
      </c>
    </row>
    <row r="396" spans="1:29" ht="15.75" x14ac:dyDescent="0.25">
      <c r="A396" s="33">
        <v>52962</v>
      </c>
      <c r="B396" s="14">
        <f>CHOOSE(CONTROL!$C$42, 18.2888, 18.2888) * CHOOSE(CONTROL!$C$21, $C$9, 100%, $E$9)</f>
        <v>18.288799999999998</v>
      </c>
      <c r="C396" s="14">
        <f>CHOOSE(CONTROL!$C$42, 18.2939, 18.2939) * CHOOSE(CONTROL!$C$21, $C$9, 100%, $E$9)</f>
        <v>18.293900000000001</v>
      </c>
      <c r="D396" s="14">
        <f>CHOOSE(CONTROL!$C$42, 18.3577, 18.3577) * CHOOSE(CONTROL!$C$21, $C$9, 100%, $E$9)</f>
        <v>18.357700000000001</v>
      </c>
      <c r="E396" s="14">
        <f>CHOOSE(CONTROL!$C$42, 18.3918, 18.3918) * CHOOSE(CONTROL!$C$21, $C$9, 100%, $E$9)</f>
        <v>18.3918</v>
      </c>
      <c r="F396" s="14">
        <f>CHOOSE(CONTROL!$C$42, 18.2931, 18.2931)*CHOOSE(CONTROL!$C$21, $C$9, 100%, $E$9)</f>
        <v>18.293099999999999</v>
      </c>
      <c r="G396" s="14">
        <f>CHOOSE(CONTROL!$C$42, 18.3103, 18.3103)*CHOOSE(CONTROL!$C$21, $C$9, 100%, $E$9)</f>
        <v>18.310300000000002</v>
      </c>
      <c r="H396" s="14">
        <f>CHOOSE(CONTROL!$C$42, 18.381, 18.381) * CHOOSE(CONTROL!$C$21, $C$9, 100%, $E$9)</f>
        <v>18.381</v>
      </c>
      <c r="I396" s="14">
        <f>CHOOSE(CONTROL!$C$42, 18.36, 18.36)* CHOOSE(CONTROL!$C$21, $C$9, 100%, $E$9)</f>
        <v>18.36</v>
      </c>
      <c r="J396" s="14">
        <f>CHOOSE(CONTROL!$C$42, 18.2861, 18.2861)* CHOOSE(CONTROL!$C$21, $C$9, 100%, $E$9)</f>
        <v>18.286100000000001</v>
      </c>
      <c r="K396" s="53">
        <f>CHOOSE(CONTROL!$C$42, 18.3561, 18.3561) * CHOOSE(CONTROL!$C$21, $C$9, 100%, $E$9)</f>
        <v>18.356100000000001</v>
      </c>
      <c r="L396" s="14">
        <f>CHOOSE(CONTROL!$C$42, 18.968, 18.968) * CHOOSE(CONTROL!$C$21, $C$9, 100%, $E$9)</f>
        <v>18.968</v>
      </c>
      <c r="M396" s="14">
        <f>CHOOSE(CONTROL!$C$42, 17.9192, 17.9192) * CHOOSE(CONTROL!$C$21, $C$9, 100%, $E$9)</f>
        <v>17.9192</v>
      </c>
      <c r="N396" s="14">
        <f>CHOOSE(CONTROL!$C$42, 17.936, 17.936) * CHOOSE(CONTROL!$C$21, $C$9, 100%, $E$9)</f>
        <v>17.936</v>
      </c>
      <c r="O396" s="14">
        <f>CHOOSE(CONTROL!$C$42, 18.0121, 18.0121) * CHOOSE(CONTROL!$C$21, $C$9, 100%, $E$9)</f>
        <v>18.0121</v>
      </c>
      <c r="P396" s="14">
        <f>CHOOSE(CONTROL!$C$42, 17.9904, 17.9904) * CHOOSE(CONTROL!$C$21, $C$9, 100%, $E$9)</f>
        <v>17.990400000000001</v>
      </c>
      <c r="Q396" s="14">
        <f>CHOOSE(CONTROL!$C$42, 18.6068, 18.6068) * CHOOSE(CONTROL!$C$21, $C$9, 100%, $E$9)</f>
        <v>18.6068</v>
      </c>
      <c r="R396" s="14">
        <f>CHOOSE(CONTROL!$C$42, 19.2403, 19.2403) * CHOOSE(CONTROL!$C$21, $C$9, 100%, $E$9)</f>
        <v>19.240300000000001</v>
      </c>
      <c r="S396" s="14">
        <f>CHOOSE(CONTROL!$C$42, 17.5652, 17.5652) * CHOOSE(CONTROL!$C$21, $C$9, 100%, $E$9)</f>
        <v>17.565200000000001</v>
      </c>
      <c r="T3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7">
        <f>(1000*CHOOSE(CONTROL!$C$42, 695, 695)*CHOOSE(CONTROL!$C$42, 0.5599, 0.5599)*CHOOSE(CONTROL!$C$42, 31, 31))/1000000</f>
        <v>12.063045499999998</v>
      </c>
      <c r="V396" s="57">
        <f>(1000*CHOOSE(CONTROL!$C$42, 500, 500)*CHOOSE(CONTROL!$C$42, 0.275, 0.275)*CHOOSE(CONTROL!$C$42, 31, 31))/1000000</f>
        <v>4.2625000000000002</v>
      </c>
      <c r="W396" s="57">
        <f>(1000*CHOOSE(CONTROL!$C$42, 0.1146, 0.1146)*CHOOSE(CONTROL!$C$42, 121.5, 121.5)*CHOOSE(CONTROL!$C$42, 31, 31))/1000000</f>
        <v>0.43164089999999994</v>
      </c>
      <c r="X396" s="57">
        <f>(31*0.1790888*100000/1000000)+(31*0.2374*100000/1000000)</f>
        <v>1.2911152800000001</v>
      </c>
      <c r="Y396" s="57"/>
      <c r="Z396" s="14"/>
      <c r="AA396" s="56"/>
      <c r="AB396" s="50">
        <f>(B396*122.58+C396*297.941+D396*89.177+E396*40.302+F396*40+G396*160+H396*0+I396*100+J396*300)/(122.58+297.941+89.177+40.302+0+40+160+100+300)</f>
        <v>18.30770165252174</v>
      </c>
      <c r="AC396" s="45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17.972517266187051</v>
      </c>
    </row>
    <row r="397" spans="1:29" ht="15.75" x14ac:dyDescent="0.25">
      <c r="A397" s="33">
        <v>52993</v>
      </c>
      <c r="B397" s="14">
        <f>CHOOSE(CONTROL!$C$42, 19.7861, 19.7861) * CHOOSE(CONTROL!$C$21, $C$9, 100%, $E$9)</f>
        <v>19.786100000000001</v>
      </c>
      <c r="C397" s="14">
        <f>CHOOSE(CONTROL!$C$42, 19.7912, 19.7912) * CHOOSE(CONTROL!$C$21, $C$9, 100%, $E$9)</f>
        <v>19.7912</v>
      </c>
      <c r="D397" s="14">
        <f>CHOOSE(CONTROL!$C$42, 19.8498, 19.8498) * CHOOSE(CONTROL!$C$21, $C$9, 100%, $E$9)</f>
        <v>19.849799999999998</v>
      </c>
      <c r="E397" s="14">
        <f>CHOOSE(CONTROL!$C$42, 19.8839, 19.8839) * CHOOSE(CONTROL!$C$21, $C$9, 100%, $E$9)</f>
        <v>19.883900000000001</v>
      </c>
      <c r="F397" s="14">
        <f>CHOOSE(CONTROL!$C$42, 19.7852, 19.7852)*CHOOSE(CONTROL!$C$21, $C$9, 100%, $E$9)</f>
        <v>19.7852</v>
      </c>
      <c r="G397" s="14">
        <f>CHOOSE(CONTROL!$C$42, 19.8016, 19.8016)*CHOOSE(CONTROL!$C$21, $C$9, 100%, $E$9)</f>
        <v>19.801600000000001</v>
      </c>
      <c r="H397" s="14">
        <f>CHOOSE(CONTROL!$C$42, 19.8731, 19.8731) * CHOOSE(CONTROL!$C$21, $C$9, 100%, $E$9)</f>
        <v>19.873100000000001</v>
      </c>
      <c r="I397" s="14">
        <f>CHOOSE(CONTROL!$C$42, 19.8583, 19.8583)* CHOOSE(CONTROL!$C$21, $C$9, 100%, $E$9)</f>
        <v>19.8583</v>
      </c>
      <c r="J397" s="14">
        <f>CHOOSE(CONTROL!$C$42, 19.7782, 19.7782)* CHOOSE(CONTROL!$C$21, $C$9, 100%, $E$9)</f>
        <v>19.778199999999998</v>
      </c>
      <c r="K397" s="53">
        <f>CHOOSE(CONTROL!$C$42, 19.8545, 19.8545) * CHOOSE(CONTROL!$C$21, $C$9, 100%, $E$9)</f>
        <v>19.854500000000002</v>
      </c>
      <c r="L397" s="14">
        <f>CHOOSE(CONTROL!$C$42, 20.4601, 20.4601) * CHOOSE(CONTROL!$C$21, $C$9, 100%, $E$9)</f>
        <v>20.460100000000001</v>
      </c>
      <c r="M397" s="14">
        <f>CHOOSE(CONTROL!$C$42, 19.3807, 19.3807) * CHOOSE(CONTROL!$C$21, $C$9, 100%, $E$9)</f>
        <v>19.380700000000001</v>
      </c>
      <c r="N397" s="14">
        <f>CHOOSE(CONTROL!$C$42, 19.3967, 19.3967) * CHOOSE(CONTROL!$C$21, $C$9, 100%, $E$9)</f>
        <v>19.396699999999999</v>
      </c>
      <c r="O397" s="14">
        <f>CHOOSE(CONTROL!$C$42, 19.4736, 19.4736) * CHOOSE(CONTROL!$C$21, $C$9, 100%, $E$9)</f>
        <v>19.473600000000001</v>
      </c>
      <c r="P397" s="14">
        <f>CHOOSE(CONTROL!$C$42, 19.458, 19.458) * CHOOSE(CONTROL!$C$21, $C$9, 100%, $E$9)</f>
        <v>19.457999999999998</v>
      </c>
      <c r="Q397" s="14">
        <f>CHOOSE(CONTROL!$C$42, 20.0683, 20.0683) * CHOOSE(CONTROL!$C$21, $C$9, 100%, $E$9)</f>
        <v>20.068300000000001</v>
      </c>
      <c r="R397" s="14">
        <f>CHOOSE(CONTROL!$C$42, 20.7055, 20.7055) * CHOOSE(CONTROL!$C$21, $C$9, 100%, $E$9)</f>
        <v>20.705500000000001</v>
      </c>
      <c r="S397" s="14">
        <f>CHOOSE(CONTROL!$C$42, 19.004, 19.004) * CHOOSE(CONTROL!$C$21, $C$9, 100%, $E$9)</f>
        <v>19.004000000000001</v>
      </c>
      <c r="T3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7">
        <f>(1000*CHOOSE(CONTROL!$C$42, 695, 695)*CHOOSE(CONTROL!$C$42, 0.5599, 0.5599)*CHOOSE(CONTROL!$C$42, 31, 31))/1000000</f>
        <v>12.063045499999998</v>
      </c>
      <c r="V397" s="57">
        <f>(1000*CHOOSE(CONTROL!$C$42, 500, 500)*CHOOSE(CONTROL!$C$42, 0.275, 0.275)*CHOOSE(CONTROL!$C$42, 31, 31))/1000000</f>
        <v>4.2625000000000002</v>
      </c>
      <c r="W397" s="57">
        <f>(1000*CHOOSE(CONTROL!$C$42, 0.1146, 0.1146)*CHOOSE(CONTROL!$C$42, 121.5, 121.5)*CHOOSE(CONTROL!$C$42, 31, 31))/1000000</f>
        <v>0.43164089999999994</v>
      </c>
      <c r="X397" s="57">
        <f>(31*0.1790888*100000/1000000)+(31*0.2374*100000/1000000)</f>
        <v>1.2911152800000001</v>
      </c>
      <c r="Y397" s="57"/>
      <c r="Z397" s="14"/>
      <c r="AA397" s="56"/>
      <c r="AB397" s="50">
        <f>(B397*122.58+C397*297.941+D397*89.177+E397*40.302+F397*40+G397*160+H397*0+I397*100+J397*300)/(122.58+297.941+89.177+40.302+0+40+160+100+300)</f>
        <v>19.802130964869562</v>
      </c>
      <c r="AC397" s="45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19.43484892086331</v>
      </c>
    </row>
    <row r="398" spans="1:29" ht="15.75" x14ac:dyDescent="0.25">
      <c r="A398" s="33">
        <v>53021</v>
      </c>
      <c r="B398" s="14">
        <f>CHOOSE(CONTROL!$C$42, 20.1382, 20.1382) * CHOOSE(CONTROL!$C$21, $C$9, 100%, $E$9)</f>
        <v>20.138200000000001</v>
      </c>
      <c r="C398" s="14">
        <f>CHOOSE(CONTROL!$C$42, 20.1433, 20.1433) * CHOOSE(CONTROL!$C$21, $C$9, 100%, $E$9)</f>
        <v>20.1433</v>
      </c>
      <c r="D398" s="14">
        <f>CHOOSE(CONTROL!$C$42, 20.2019, 20.2019) * CHOOSE(CONTROL!$C$21, $C$9, 100%, $E$9)</f>
        <v>20.201899999999998</v>
      </c>
      <c r="E398" s="14">
        <f>CHOOSE(CONTROL!$C$42, 20.236, 20.236) * CHOOSE(CONTROL!$C$21, $C$9, 100%, $E$9)</f>
        <v>20.236000000000001</v>
      </c>
      <c r="F398" s="14">
        <f>CHOOSE(CONTROL!$C$42, 20.1373, 20.1373)*CHOOSE(CONTROL!$C$21, $C$9, 100%, $E$9)</f>
        <v>20.1373</v>
      </c>
      <c r="G398" s="14">
        <f>CHOOSE(CONTROL!$C$42, 20.1536, 20.1536)*CHOOSE(CONTROL!$C$21, $C$9, 100%, $E$9)</f>
        <v>20.153600000000001</v>
      </c>
      <c r="H398" s="14">
        <f>CHOOSE(CONTROL!$C$42, 20.2252, 20.2252) * CHOOSE(CONTROL!$C$21, $C$9, 100%, $E$9)</f>
        <v>20.225200000000001</v>
      </c>
      <c r="I398" s="14">
        <f>CHOOSE(CONTROL!$C$42, 20.2115, 20.2115)* CHOOSE(CONTROL!$C$21, $C$9, 100%, $E$9)</f>
        <v>20.211500000000001</v>
      </c>
      <c r="J398" s="14">
        <f>CHOOSE(CONTROL!$C$42, 20.1303, 20.1303)* CHOOSE(CONTROL!$C$21, $C$9, 100%, $E$9)</f>
        <v>20.130299999999998</v>
      </c>
      <c r="K398" s="53">
        <f>CHOOSE(CONTROL!$C$42, 20.2076, 20.2076) * CHOOSE(CONTROL!$C$21, $C$9, 100%, $E$9)</f>
        <v>20.207599999999999</v>
      </c>
      <c r="L398" s="14">
        <f>CHOOSE(CONTROL!$C$42, 20.8122, 20.8122) * CHOOSE(CONTROL!$C$21, $C$9, 100%, $E$9)</f>
        <v>20.812200000000001</v>
      </c>
      <c r="M398" s="14">
        <f>CHOOSE(CONTROL!$C$42, 19.7255, 19.7255) * CHOOSE(CONTROL!$C$21, $C$9, 100%, $E$9)</f>
        <v>19.7255</v>
      </c>
      <c r="N398" s="14">
        <f>CHOOSE(CONTROL!$C$42, 19.7415, 19.7415) * CHOOSE(CONTROL!$C$21, $C$9, 100%, $E$9)</f>
        <v>19.741499999999998</v>
      </c>
      <c r="O398" s="14">
        <f>CHOOSE(CONTROL!$C$42, 19.8185, 19.8185) * CHOOSE(CONTROL!$C$21, $C$9, 100%, $E$9)</f>
        <v>19.8185</v>
      </c>
      <c r="P398" s="14">
        <f>CHOOSE(CONTROL!$C$42, 19.8039, 19.8039) * CHOOSE(CONTROL!$C$21, $C$9, 100%, $E$9)</f>
        <v>19.803899999999999</v>
      </c>
      <c r="Q398" s="14">
        <f>CHOOSE(CONTROL!$C$42, 20.4132, 20.4132) * CHOOSE(CONTROL!$C$21, $C$9, 100%, $E$9)</f>
        <v>20.4132</v>
      </c>
      <c r="R398" s="14">
        <f>CHOOSE(CONTROL!$C$42, 21.0512, 21.0512) * CHOOSE(CONTROL!$C$21, $C$9, 100%, $E$9)</f>
        <v>21.051200000000001</v>
      </c>
      <c r="S398" s="14">
        <f>CHOOSE(CONTROL!$C$42, 19.3422, 19.3422) * CHOOSE(CONTROL!$C$21, $C$9, 100%, $E$9)</f>
        <v>19.342199999999998</v>
      </c>
      <c r="T3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7">
        <f>(1000*CHOOSE(CONTROL!$C$42, 695, 695)*CHOOSE(CONTROL!$C$42, 0.5599, 0.5599)*CHOOSE(CONTROL!$C$42, 28, 28))/1000000</f>
        <v>10.895653999999999</v>
      </c>
      <c r="V398" s="57">
        <f>(1000*CHOOSE(CONTROL!$C$42, 500, 500)*CHOOSE(CONTROL!$C$42, 0.275, 0.275)*CHOOSE(CONTROL!$C$42, 28, 28))/1000000</f>
        <v>3.85</v>
      </c>
      <c r="W398" s="57">
        <f>(1000*CHOOSE(CONTROL!$C$42, 0.1146, 0.1146)*CHOOSE(CONTROL!$C$42, 121.5, 121.5)*CHOOSE(CONTROL!$C$42, 28, 28))/1000000</f>
        <v>0.38986920000000003</v>
      </c>
      <c r="X398" s="57">
        <f>(28*0.1790888*100000/1000000)+(28*0.2374*100000/1000000)</f>
        <v>1.16616864</v>
      </c>
      <c r="Y398" s="57"/>
      <c r="Z398" s="14"/>
      <c r="AA398" s="56"/>
      <c r="AB398" s="50">
        <f>(B398*122.58+C398*297.941+D398*89.177+E398*40.302+F398*40+G398*160+H398*0+I398*100+J398*300)/(122.58+297.941+89.177+40.302+0+40+160+100+300)</f>
        <v>20.154312704000002</v>
      </c>
      <c r="AC398" s="45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19.77985251798561</v>
      </c>
    </row>
    <row r="399" spans="1:29" ht="15.75" x14ac:dyDescent="0.25">
      <c r="A399" s="33">
        <v>53052</v>
      </c>
      <c r="B399" s="14">
        <f>CHOOSE(CONTROL!$C$42, 19.5667, 19.5667) * CHOOSE(CONTROL!$C$21, $C$9, 100%, $E$9)</f>
        <v>19.566700000000001</v>
      </c>
      <c r="C399" s="14">
        <f>CHOOSE(CONTROL!$C$42, 19.5718, 19.5718) * CHOOSE(CONTROL!$C$21, $C$9, 100%, $E$9)</f>
        <v>19.5718</v>
      </c>
      <c r="D399" s="14">
        <f>CHOOSE(CONTROL!$C$42, 19.6304, 19.6304) * CHOOSE(CONTROL!$C$21, $C$9, 100%, $E$9)</f>
        <v>19.630400000000002</v>
      </c>
      <c r="E399" s="14">
        <f>CHOOSE(CONTROL!$C$42, 19.6645, 19.6645) * CHOOSE(CONTROL!$C$21, $C$9, 100%, $E$9)</f>
        <v>19.6645</v>
      </c>
      <c r="F399" s="14">
        <f>CHOOSE(CONTROL!$C$42, 19.5653, 19.5653)*CHOOSE(CONTROL!$C$21, $C$9, 100%, $E$9)</f>
        <v>19.565300000000001</v>
      </c>
      <c r="G399" s="14">
        <f>CHOOSE(CONTROL!$C$42, 19.5815, 19.5815)*CHOOSE(CONTROL!$C$21, $C$9, 100%, $E$9)</f>
        <v>19.581499999999998</v>
      </c>
      <c r="H399" s="14">
        <f>CHOOSE(CONTROL!$C$42, 19.6537, 19.6537) * CHOOSE(CONTROL!$C$21, $C$9, 100%, $E$9)</f>
        <v>19.653700000000001</v>
      </c>
      <c r="I399" s="14">
        <f>CHOOSE(CONTROL!$C$42, 19.6382, 19.6382)* CHOOSE(CONTROL!$C$21, $C$9, 100%, $E$9)</f>
        <v>19.638200000000001</v>
      </c>
      <c r="J399" s="14">
        <f>CHOOSE(CONTROL!$C$42, 19.5583, 19.5583)* CHOOSE(CONTROL!$C$21, $C$9, 100%, $E$9)</f>
        <v>19.558299999999999</v>
      </c>
      <c r="K399" s="53">
        <f>CHOOSE(CONTROL!$C$42, 19.6344, 19.6344) * CHOOSE(CONTROL!$C$21, $C$9, 100%, $E$9)</f>
        <v>19.634399999999999</v>
      </c>
      <c r="L399" s="14">
        <f>CHOOSE(CONTROL!$C$42, 20.2407, 20.2407) * CHOOSE(CONTROL!$C$21, $C$9, 100%, $E$9)</f>
        <v>20.2407</v>
      </c>
      <c r="M399" s="14">
        <f>CHOOSE(CONTROL!$C$42, 19.1653, 19.1653) * CHOOSE(CONTROL!$C$21, $C$9, 100%, $E$9)</f>
        <v>19.165299999999998</v>
      </c>
      <c r="N399" s="14">
        <f>CHOOSE(CONTROL!$C$42, 19.1812, 19.1812) * CHOOSE(CONTROL!$C$21, $C$9, 100%, $E$9)</f>
        <v>19.1812</v>
      </c>
      <c r="O399" s="14">
        <f>CHOOSE(CONTROL!$C$42, 19.2587, 19.2587) * CHOOSE(CONTROL!$C$21, $C$9, 100%, $E$9)</f>
        <v>19.258700000000001</v>
      </c>
      <c r="P399" s="14">
        <f>CHOOSE(CONTROL!$C$42, 19.2424, 19.2424) * CHOOSE(CONTROL!$C$21, $C$9, 100%, $E$9)</f>
        <v>19.2424</v>
      </c>
      <c r="Q399" s="14">
        <f>CHOOSE(CONTROL!$C$42, 19.8534, 19.8534) * CHOOSE(CONTROL!$C$21, $C$9, 100%, $E$9)</f>
        <v>19.853400000000001</v>
      </c>
      <c r="R399" s="14">
        <f>CHOOSE(CONTROL!$C$42, 20.49, 20.49) * CHOOSE(CONTROL!$C$21, $C$9, 100%, $E$9)</f>
        <v>20.49</v>
      </c>
      <c r="S399" s="14">
        <f>CHOOSE(CONTROL!$C$42, 18.7931, 18.7931) * CHOOSE(CONTROL!$C$21, $C$9, 100%, $E$9)</f>
        <v>18.793099999999999</v>
      </c>
      <c r="T3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7">
        <f>(1000*CHOOSE(CONTROL!$C$42, 695, 695)*CHOOSE(CONTROL!$C$42, 0.5599, 0.5599)*CHOOSE(CONTROL!$C$42, 31, 31))/1000000</f>
        <v>12.063045499999998</v>
      </c>
      <c r="V399" s="57">
        <f>(1000*CHOOSE(CONTROL!$C$42, 500, 500)*CHOOSE(CONTROL!$C$42, 0.275, 0.275)*CHOOSE(CONTROL!$C$42, 31, 31))/1000000</f>
        <v>4.2625000000000002</v>
      </c>
      <c r="W399" s="57">
        <f>(1000*CHOOSE(CONTROL!$C$42, 0.1146, 0.1146)*CHOOSE(CONTROL!$C$42, 121.5, 121.5)*CHOOSE(CONTROL!$C$42, 31, 31))/1000000</f>
        <v>0.43164089999999994</v>
      </c>
      <c r="X399" s="57">
        <f>(31*0.1790888*100000/1000000)+(31*0.2374*100000/1000000)</f>
        <v>1.2911152800000001</v>
      </c>
      <c r="Y399" s="57"/>
      <c r="Z399" s="14"/>
      <c r="AA399" s="56"/>
      <c r="AB399" s="50">
        <f>(B399*122.58+C399*297.941+D399*89.177+E399*40.302+F399*40+G399*160+H399*0+I399*100+J399*300)/(122.58+297.941+89.177+40.302+0+40+160+100+300)</f>
        <v>19.582424877913045</v>
      </c>
      <c r="AC399" s="45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19.219641007194245</v>
      </c>
    </row>
    <row r="400" spans="1:29" ht="15.75" x14ac:dyDescent="0.25">
      <c r="A400" s="33">
        <v>53082</v>
      </c>
      <c r="B400" s="14">
        <f>CHOOSE(CONTROL!$C$42, 19.5093, 19.5093) * CHOOSE(CONTROL!$C$21, $C$9, 100%, $E$9)</f>
        <v>19.5093</v>
      </c>
      <c r="C400" s="14">
        <f>CHOOSE(CONTROL!$C$42, 19.5138, 19.5138) * CHOOSE(CONTROL!$C$21, $C$9, 100%, $E$9)</f>
        <v>19.5138</v>
      </c>
      <c r="D400" s="14">
        <f>CHOOSE(CONTROL!$C$42, 19.7219, 19.7219) * CHOOSE(CONTROL!$C$21, $C$9, 100%, $E$9)</f>
        <v>19.721900000000002</v>
      </c>
      <c r="E400" s="14">
        <f>CHOOSE(CONTROL!$C$42, 19.7541, 19.7541) * CHOOSE(CONTROL!$C$21, $C$9, 100%, $E$9)</f>
        <v>19.754100000000001</v>
      </c>
      <c r="F400" s="14">
        <f>CHOOSE(CONTROL!$C$42, 19.4967, 19.4967)*CHOOSE(CONTROL!$C$21, $C$9, 100%, $E$9)</f>
        <v>19.496700000000001</v>
      </c>
      <c r="G400" s="14">
        <f>CHOOSE(CONTROL!$C$42, 19.5126, 19.5126)*CHOOSE(CONTROL!$C$21, $C$9, 100%, $E$9)</f>
        <v>19.512599999999999</v>
      </c>
      <c r="H400" s="14">
        <f>CHOOSE(CONTROL!$C$42, 19.7438, 19.7438) * CHOOSE(CONTROL!$C$21, $C$9, 100%, $E$9)</f>
        <v>19.7438</v>
      </c>
      <c r="I400" s="14">
        <f>CHOOSE(CONTROL!$C$42, 19.5799, 19.5799)* CHOOSE(CONTROL!$C$21, $C$9, 100%, $E$9)</f>
        <v>19.579899999999999</v>
      </c>
      <c r="J400" s="14">
        <f>CHOOSE(CONTROL!$C$42, 19.4897, 19.4897)* CHOOSE(CONTROL!$C$21, $C$9, 100%, $E$9)</f>
        <v>19.489699999999999</v>
      </c>
      <c r="K400" s="53">
        <f>CHOOSE(CONTROL!$C$42, 19.576, 19.576) * CHOOSE(CONTROL!$C$21, $C$9, 100%, $E$9)</f>
        <v>19.576000000000001</v>
      </c>
      <c r="L400" s="14">
        <f>CHOOSE(CONTROL!$C$42, 20.3308, 20.3308) * CHOOSE(CONTROL!$C$21, $C$9, 100%, $E$9)</f>
        <v>20.3308</v>
      </c>
      <c r="M400" s="14">
        <f>CHOOSE(CONTROL!$C$42, 19.098, 19.098) * CHOOSE(CONTROL!$C$21, $C$9, 100%, $E$9)</f>
        <v>19.097999999999999</v>
      </c>
      <c r="N400" s="14">
        <f>CHOOSE(CONTROL!$C$42, 19.1137, 19.1137) * CHOOSE(CONTROL!$C$21, $C$9, 100%, $E$9)</f>
        <v>19.113700000000001</v>
      </c>
      <c r="O400" s="14">
        <f>CHOOSE(CONTROL!$C$42, 19.347, 19.347) * CHOOSE(CONTROL!$C$21, $C$9, 100%, $E$9)</f>
        <v>19.347000000000001</v>
      </c>
      <c r="P400" s="14">
        <f>CHOOSE(CONTROL!$C$42, 19.1853, 19.1853) * CHOOSE(CONTROL!$C$21, $C$9, 100%, $E$9)</f>
        <v>19.185300000000002</v>
      </c>
      <c r="Q400" s="14">
        <f>CHOOSE(CONTROL!$C$42, 19.9417, 19.9417) * CHOOSE(CONTROL!$C$21, $C$9, 100%, $E$9)</f>
        <v>19.941700000000001</v>
      </c>
      <c r="R400" s="14">
        <f>CHOOSE(CONTROL!$C$42, 20.5785, 20.5785) * CHOOSE(CONTROL!$C$21, $C$9, 100%, $E$9)</f>
        <v>20.578499999999998</v>
      </c>
      <c r="S400" s="14">
        <f>CHOOSE(CONTROL!$C$42, 18.7372, 18.7372) * CHOOSE(CONTROL!$C$21, $C$9, 100%, $E$9)</f>
        <v>18.737200000000001</v>
      </c>
      <c r="T4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7">
        <f>(1000*CHOOSE(CONTROL!$C$42, 695, 695)*CHOOSE(CONTROL!$C$42, 0.5599, 0.5599)*CHOOSE(CONTROL!$C$42, 30, 30))/1000000</f>
        <v>11.673914999999997</v>
      </c>
      <c r="V400" s="57">
        <f>(1000*CHOOSE(CONTROL!$C$42, 500, 500)*CHOOSE(CONTROL!$C$42, 0.275, 0.275)*CHOOSE(CONTROL!$C$42, 30, 30))/1000000</f>
        <v>4.125</v>
      </c>
      <c r="W400" s="57">
        <f>(1000*CHOOSE(CONTROL!$C$42, 0.1146, 0.1146)*CHOOSE(CONTROL!$C$42, 121.5, 121.5)*CHOOSE(CONTROL!$C$42, 30, 30))/1000000</f>
        <v>0.417717</v>
      </c>
      <c r="X400" s="57">
        <f>(30*0.1790888*245000/1000000)+(30*0.2374*100000/1000000)</f>
        <v>2.0285026799999999</v>
      </c>
      <c r="Y400" s="57"/>
      <c r="Z400" s="14"/>
      <c r="AA400" s="56"/>
      <c r="AB400" s="50">
        <f>(B400*141.293+C400*267.993+D400*115.016+E400*89.698+F400*40+G400*185+H400*0+I400*100+J400*300)/(141.293+267.993+115.016+89.698+0+40+185+100+300)</f>
        <v>19.548769685633577</v>
      </c>
      <c r="AC400" s="45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19.184038848920864</v>
      </c>
    </row>
    <row r="401" spans="1:29" ht="15.75" x14ac:dyDescent="0.25">
      <c r="A401" s="33">
        <v>53113</v>
      </c>
      <c r="B401" s="14">
        <f>CHOOSE(CONTROL!$C$42, 19.6828, 19.6828) * CHOOSE(CONTROL!$C$21, $C$9, 100%, $E$9)</f>
        <v>19.6828</v>
      </c>
      <c r="C401" s="14">
        <f>CHOOSE(CONTROL!$C$42, 19.6909, 19.6909) * CHOOSE(CONTROL!$C$21, $C$9, 100%, $E$9)</f>
        <v>19.690899999999999</v>
      </c>
      <c r="D401" s="14">
        <f>CHOOSE(CONTROL!$C$42, 19.8958, 19.8958) * CHOOSE(CONTROL!$C$21, $C$9, 100%, $E$9)</f>
        <v>19.895800000000001</v>
      </c>
      <c r="E401" s="14">
        <f>CHOOSE(CONTROL!$C$42, 19.9273, 19.9273) * CHOOSE(CONTROL!$C$21, $C$9, 100%, $E$9)</f>
        <v>19.927299999999999</v>
      </c>
      <c r="F401" s="14">
        <f>CHOOSE(CONTROL!$C$42, 19.669, 19.669)*CHOOSE(CONTROL!$C$21, $C$9, 100%, $E$9)</f>
        <v>19.669</v>
      </c>
      <c r="G401" s="14">
        <f>CHOOSE(CONTROL!$C$42, 19.6854, 19.6854)*CHOOSE(CONTROL!$C$21, $C$9, 100%, $E$9)</f>
        <v>19.685400000000001</v>
      </c>
      <c r="H401" s="14">
        <f>CHOOSE(CONTROL!$C$42, 19.9159, 19.9159) * CHOOSE(CONTROL!$C$21, $C$9, 100%, $E$9)</f>
        <v>19.915900000000001</v>
      </c>
      <c r="I401" s="14">
        <f>CHOOSE(CONTROL!$C$42, 19.7525, 19.7525)* CHOOSE(CONTROL!$C$21, $C$9, 100%, $E$9)</f>
        <v>19.752500000000001</v>
      </c>
      <c r="J401" s="14">
        <f>CHOOSE(CONTROL!$C$42, 19.662, 19.662)* CHOOSE(CONTROL!$C$21, $C$9, 100%, $E$9)</f>
        <v>19.661999999999999</v>
      </c>
      <c r="K401" s="53">
        <f>CHOOSE(CONTROL!$C$42, 19.7486, 19.7486) * CHOOSE(CONTROL!$C$21, $C$9, 100%, $E$9)</f>
        <v>19.7486</v>
      </c>
      <c r="L401" s="14">
        <f>CHOOSE(CONTROL!$C$42, 20.5029, 20.5029) * CHOOSE(CONTROL!$C$21, $C$9, 100%, $E$9)</f>
        <v>20.5029</v>
      </c>
      <c r="M401" s="14">
        <f>CHOOSE(CONTROL!$C$42, 19.2669, 19.2669) * CHOOSE(CONTROL!$C$21, $C$9, 100%, $E$9)</f>
        <v>19.2669</v>
      </c>
      <c r="N401" s="14">
        <f>CHOOSE(CONTROL!$C$42, 19.2829, 19.2829) * CHOOSE(CONTROL!$C$21, $C$9, 100%, $E$9)</f>
        <v>19.282900000000001</v>
      </c>
      <c r="O401" s="14">
        <f>CHOOSE(CONTROL!$C$42, 19.5156, 19.5156) * CHOOSE(CONTROL!$C$21, $C$9, 100%, $E$9)</f>
        <v>19.515599999999999</v>
      </c>
      <c r="P401" s="14">
        <f>CHOOSE(CONTROL!$C$42, 19.3543, 19.3543) * CHOOSE(CONTROL!$C$21, $C$9, 100%, $E$9)</f>
        <v>19.354299999999999</v>
      </c>
      <c r="Q401" s="14">
        <f>CHOOSE(CONTROL!$C$42, 20.1103, 20.1103) * CHOOSE(CONTROL!$C$21, $C$9, 100%, $E$9)</f>
        <v>20.110299999999999</v>
      </c>
      <c r="R401" s="14">
        <f>CHOOSE(CONTROL!$C$42, 20.7475, 20.7475) * CHOOSE(CONTROL!$C$21, $C$9, 100%, $E$9)</f>
        <v>20.747499999999999</v>
      </c>
      <c r="S401" s="14">
        <f>CHOOSE(CONTROL!$C$42, 18.9026, 18.9026) * CHOOSE(CONTROL!$C$21, $C$9, 100%, $E$9)</f>
        <v>18.9026</v>
      </c>
      <c r="T4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7">
        <f>(1000*CHOOSE(CONTROL!$C$42, 695, 695)*CHOOSE(CONTROL!$C$42, 0.5599, 0.5599)*CHOOSE(CONTROL!$C$42, 31, 31))/1000000</f>
        <v>12.063045499999998</v>
      </c>
      <c r="V401" s="57">
        <f>(1000*CHOOSE(CONTROL!$C$42, 500, 500)*CHOOSE(CONTROL!$C$42, 0.275, 0.275)*CHOOSE(CONTROL!$C$42, 31, 31))/1000000</f>
        <v>4.2625000000000002</v>
      </c>
      <c r="W401" s="57">
        <f>(1000*CHOOSE(CONTROL!$C$42, 0.1146, 0.1146)*CHOOSE(CONTROL!$C$42, 121.5, 121.5)*CHOOSE(CONTROL!$C$42, 31, 31))/1000000</f>
        <v>0.43164089999999994</v>
      </c>
      <c r="X401" s="57">
        <f>(31*0.1790888*245000/1000000)+(31*0.2374*100000/1000000)</f>
        <v>2.0961194359999999</v>
      </c>
      <c r="Y401" s="57"/>
      <c r="Z401" s="14"/>
      <c r="AA401" s="56"/>
      <c r="AB401" s="50">
        <f>(B401*194.205+C401*267.466+D401*133.845+E401*53.484+F401*40+G401*185+H401*0+I401*100+J401*300)/(194.205+267.466+133.845+53.484+0+40+185+100+300)</f>
        <v>19.71765973124019</v>
      </c>
      <c r="AC401" s="45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19.352938129496401</v>
      </c>
    </row>
    <row r="402" spans="1:29" ht="15.75" x14ac:dyDescent="0.25">
      <c r="A402" s="33">
        <v>53143</v>
      </c>
      <c r="B402" s="14">
        <f>CHOOSE(CONTROL!$C$42, 20.2408, 20.2408) * CHOOSE(CONTROL!$C$21, $C$9, 100%, $E$9)</f>
        <v>20.2408</v>
      </c>
      <c r="C402" s="14">
        <f>CHOOSE(CONTROL!$C$42, 20.2489, 20.2489) * CHOOSE(CONTROL!$C$21, $C$9, 100%, $E$9)</f>
        <v>20.248899999999999</v>
      </c>
      <c r="D402" s="14">
        <f>CHOOSE(CONTROL!$C$42, 20.4538, 20.4538) * CHOOSE(CONTROL!$C$21, $C$9, 100%, $E$9)</f>
        <v>20.453800000000001</v>
      </c>
      <c r="E402" s="14">
        <f>CHOOSE(CONTROL!$C$42, 20.4853, 20.4853) * CHOOSE(CONTROL!$C$21, $C$9, 100%, $E$9)</f>
        <v>20.485299999999999</v>
      </c>
      <c r="F402" s="14">
        <f>CHOOSE(CONTROL!$C$42, 20.2274, 20.2274)*CHOOSE(CONTROL!$C$21, $C$9, 100%, $E$9)</f>
        <v>20.227399999999999</v>
      </c>
      <c r="G402" s="14">
        <f>CHOOSE(CONTROL!$C$42, 20.2439, 20.2439)*CHOOSE(CONTROL!$C$21, $C$9, 100%, $E$9)</f>
        <v>20.2439</v>
      </c>
      <c r="H402" s="14">
        <f>CHOOSE(CONTROL!$C$42, 20.4739, 20.4739) * CHOOSE(CONTROL!$C$21, $C$9, 100%, $E$9)</f>
        <v>20.4739</v>
      </c>
      <c r="I402" s="14">
        <f>CHOOSE(CONTROL!$C$42, 20.3123, 20.3123)* CHOOSE(CONTROL!$C$21, $C$9, 100%, $E$9)</f>
        <v>20.3123</v>
      </c>
      <c r="J402" s="14">
        <f>CHOOSE(CONTROL!$C$42, 20.2204, 20.2204)* CHOOSE(CONTROL!$C$21, $C$9, 100%, $E$9)</f>
        <v>20.220400000000001</v>
      </c>
      <c r="K402" s="53">
        <f>CHOOSE(CONTROL!$C$42, 20.3084, 20.3084) * CHOOSE(CONTROL!$C$21, $C$9, 100%, $E$9)</f>
        <v>20.308399999999999</v>
      </c>
      <c r="L402" s="14">
        <f>CHOOSE(CONTROL!$C$42, 21.0609, 21.0609) * CHOOSE(CONTROL!$C$21, $C$9, 100%, $E$9)</f>
        <v>21.0609</v>
      </c>
      <c r="M402" s="14">
        <f>CHOOSE(CONTROL!$C$42, 19.8138, 19.8138) * CHOOSE(CONTROL!$C$21, $C$9, 100%, $E$9)</f>
        <v>19.813800000000001</v>
      </c>
      <c r="N402" s="14">
        <f>CHOOSE(CONTROL!$C$42, 19.8299, 19.8299) * CHOOSE(CONTROL!$C$21, $C$9, 100%, $E$9)</f>
        <v>19.829899999999999</v>
      </c>
      <c r="O402" s="14">
        <f>CHOOSE(CONTROL!$C$42, 20.0621, 20.0621) * CHOOSE(CONTROL!$C$21, $C$9, 100%, $E$9)</f>
        <v>20.062100000000001</v>
      </c>
      <c r="P402" s="14">
        <f>CHOOSE(CONTROL!$C$42, 19.9026, 19.9026) * CHOOSE(CONTROL!$C$21, $C$9, 100%, $E$9)</f>
        <v>19.9026</v>
      </c>
      <c r="Q402" s="14">
        <f>CHOOSE(CONTROL!$C$42, 20.6568, 20.6568) * CHOOSE(CONTROL!$C$21, $C$9, 100%, $E$9)</f>
        <v>20.6568</v>
      </c>
      <c r="R402" s="14">
        <f>CHOOSE(CONTROL!$C$42, 21.2955, 21.2955) * CHOOSE(CONTROL!$C$21, $C$9, 100%, $E$9)</f>
        <v>21.295500000000001</v>
      </c>
      <c r="S402" s="14">
        <f>CHOOSE(CONTROL!$C$42, 19.4388, 19.4388) * CHOOSE(CONTROL!$C$21, $C$9, 100%, $E$9)</f>
        <v>19.438800000000001</v>
      </c>
      <c r="T4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7">
        <f>(1000*CHOOSE(CONTROL!$C$42, 695, 695)*CHOOSE(CONTROL!$C$42, 0.5599, 0.5599)*CHOOSE(CONTROL!$C$42, 30, 30))/1000000</f>
        <v>11.673914999999997</v>
      </c>
      <c r="V402" s="57">
        <f>(1000*CHOOSE(CONTROL!$C$42, 500, 500)*CHOOSE(CONTROL!$C$42, 0.275, 0.275)*CHOOSE(CONTROL!$C$42, 30, 30))/1000000</f>
        <v>4.125</v>
      </c>
      <c r="W402" s="57">
        <f>(1000*CHOOSE(CONTROL!$C$42, 0.1146, 0.1146)*CHOOSE(CONTROL!$C$42, 121.5, 121.5)*CHOOSE(CONTROL!$C$42, 30, 30))/1000000</f>
        <v>0.417717</v>
      </c>
      <c r="X402" s="57">
        <f>(30*0.1790888*245000/1000000)+(30*0.2374*100000/1000000)</f>
        <v>2.0285026799999999</v>
      </c>
      <c r="Y402" s="57"/>
      <c r="Z402" s="14"/>
      <c r="AA402" s="56"/>
      <c r="AB402" s="50">
        <f>(B402*194.205+C402*267.466+D402*133.845+E402*53.484+F402*40+G402*185+H402*0+I402*100+J402*300)/(194.205+267.466+133.845+53.484+0+40+185+100+300)</f>
        <v>20.275980374882259</v>
      </c>
      <c r="AC402" s="45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19.899950359712232</v>
      </c>
    </row>
    <row r="403" spans="1:29" ht="15.75" x14ac:dyDescent="0.25">
      <c r="A403" s="33">
        <v>53174</v>
      </c>
      <c r="B403" s="14">
        <f>CHOOSE(CONTROL!$C$42, 19.8527, 19.8527) * CHOOSE(CONTROL!$C$21, $C$9, 100%, $E$9)</f>
        <v>19.852699999999999</v>
      </c>
      <c r="C403" s="14">
        <f>CHOOSE(CONTROL!$C$42, 19.8608, 19.8608) * CHOOSE(CONTROL!$C$21, $C$9, 100%, $E$9)</f>
        <v>19.860800000000001</v>
      </c>
      <c r="D403" s="14">
        <f>CHOOSE(CONTROL!$C$42, 20.0657, 20.0657) * CHOOSE(CONTROL!$C$21, $C$9, 100%, $E$9)</f>
        <v>20.0657</v>
      </c>
      <c r="E403" s="14">
        <f>CHOOSE(CONTROL!$C$42, 20.0972, 20.0972) * CHOOSE(CONTROL!$C$21, $C$9, 100%, $E$9)</f>
        <v>20.097200000000001</v>
      </c>
      <c r="F403" s="14">
        <f>CHOOSE(CONTROL!$C$42, 19.8397, 19.8397)*CHOOSE(CONTROL!$C$21, $C$9, 100%, $E$9)</f>
        <v>19.839700000000001</v>
      </c>
      <c r="G403" s="14">
        <f>CHOOSE(CONTROL!$C$42, 19.8563, 19.8563)*CHOOSE(CONTROL!$C$21, $C$9, 100%, $E$9)</f>
        <v>19.856300000000001</v>
      </c>
      <c r="H403" s="14">
        <f>CHOOSE(CONTROL!$C$42, 20.0858, 20.0858) * CHOOSE(CONTROL!$C$21, $C$9, 100%, $E$9)</f>
        <v>20.085799999999999</v>
      </c>
      <c r="I403" s="14">
        <f>CHOOSE(CONTROL!$C$42, 19.923, 19.923)* CHOOSE(CONTROL!$C$21, $C$9, 100%, $E$9)</f>
        <v>19.922999999999998</v>
      </c>
      <c r="J403" s="14">
        <f>CHOOSE(CONTROL!$C$42, 19.8327, 19.8327)* CHOOSE(CONTROL!$C$21, $C$9, 100%, $E$9)</f>
        <v>19.832699999999999</v>
      </c>
      <c r="K403" s="53">
        <f>CHOOSE(CONTROL!$C$42, 19.9191, 19.9191) * CHOOSE(CONTROL!$C$21, $C$9, 100%, $E$9)</f>
        <v>19.9191</v>
      </c>
      <c r="L403" s="14">
        <f>CHOOSE(CONTROL!$C$42, 20.6728, 20.6728) * CHOOSE(CONTROL!$C$21, $C$9, 100%, $E$9)</f>
        <v>20.672799999999999</v>
      </c>
      <c r="M403" s="14">
        <f>CHOOSE(CONTROL!$C$42, 19.4341, 19.4341) * CHOOSE(CONTROL!$C$21, $C$9, 100%, $E$9)</f>
        <v>19.434100000000001</v>
      </c>
      <c r="N403" s="14">
        <f>CHOOSE(CONTROL!$C$42, 19.4503, 19.4503) * CHOOSE(CONTROL!$C$21, $C$9, 100%, $E$9)</f>
        <v>19.450299999999999</v>
      </c>
      <c r="O403" s="14">
        <f>CHOOSE(CONTROL!$C$42, 19.682, 19.682) * CHOOSE(CONTROL!$C$21, $C$9, 100%, $E$9)</f>
        <v>19.681999999999999</v>
      </c>
      <c r="P403" s="14">
        <f>CHOOSE(CONTROL!$C$42, 19.5213, 19.5213) * CHOOSE(CONTROL!$C$21, $C$9, 100%, $E$9)</f>
        <v>19.5213</v>
      </c>
      <c r="Q403" s="14">
        <f>CHOOSE(CONTROL!$C$42, 20.2767, 20.2767) * CHOOSE(CONTROL!$C$21, $C$9, 100%, $E$9)</f>
        <v>20.276700000000002</v>
      </c>
      <c r="R403" s="14">
        <f>CHOOSE(CONTROL!$C$42, 20.9144, 20.9144) * CHOOSE(CONTROL!$C$21, $C$9, 100%, $E$9)</f>
        <v>20.914400000000001</v>
      </c>
      <c r="S403" s="14">
        <f>CHOOSE(CONTROL!$C$42, 19.0659, 19.0659) * CHOOSE(CONTROL!$C$21, $C$9, 100%, $E$9)</f>
        <v>19.065899999999999</v>
      </c>
      <c r="T4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7">
        <f>(1000*CHOOSE(CONTROL!$C$42, 695, 695)*CHOOSE(CONTROL!$C$42, 0.5599, 0.5599)*CHOOSE(CONTROL!$C$42, 31, 31))/1000000</f>
        <v>12.063045499999998</v>
      </c>
      <c r="V403" s="57">
        <f>(1000*CHOOSE(CONTROL!$C$42, 500, 500)*CHOOSE(CONTROL!$C$42, 0.275, 0.275)*CHOOSE(CONTROL!$C$42, 31, 31))/1000000</f>
        <v>4.2625000000000002</v>
      </c>
      <c r="W403" s="57">
        <f>(1000*CHOOSE(CONTROL!$C$42, 0.1146, 0.1146)*CHOOSE(CONTROL!$C$42, 121.5, 121.5)*CHOOSE(CONTROL!$C$42, 31, 31))/1000000</f>
        <v>0.43164089999999994</v>
      </c>
      <c r="X403" s="57">
        <f>(31*0.1790888*245000/1000000)+(31*0.2374*100000/1000000)</f>
        <v>2.0961194359999999</v>
      </c>
      <c r="Y403" s="57"/>
      <c r="Z403" s="14"/>
      <c r="AA403" s="56"/>
      <c r="AB403" s="50">
        <f>(B403*194.205+C403*267.466+D403*133.845+E403*53.484+F403*40+G403*185+H403*0+I403*100+J403*300)/(194.205+267.466+133.845+53.484+0+40+185+100+300)</f>
        <v>19.887965539717424</v>
      </c>
      <c r="AC403" s="45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19.519930935251796</v>
      </c>
    </row>
    <row r="404" spans="1:29" ht="15.75" x14ac:dyDescent="0.25">
      <c r="A404" s="33">
        <v>53205</v>
      </c>
      <c r="B404" s="14">
        <f>CHOOSE(CONTROL!$C$42, 18.8727, 18.8727) * CHOOSE(CONTROL!$C$21, $C$9, 100%, $E$9)</f>
        <v>18.872699999999998</v>
      </c>
      <c r="C404" s="14">
        <f>CHOOSE(CONTROL!$C$42, 18.8807, 18.8807) * CHOOSE(CONTROL!$C$21, $C$9, 100%, $E$9)</f>
        <v>18.880700000000001</v>
      </c>
      <c r="D404" s="14">
        <f>CHOOSE(CONTROL!$C$42, 19.0857, 19.0857) * CHOOSE(CONTROL!$C$21, $C$9, 100%, $E$9)</f>
        <v>19.085699999999999</v>
      </c>
      <c r="E404" s="14">
        <f>CHOOSE(CONTROL!$C$42, 19.1172, 19.1172) * CHOOSE(CONTROL!$C$21, $C$9, 100%, $E$9)</f>
        <v>19.1172</v>
      </c>
      <c r="F404" s="14">
        <f>CHOOSE(CONTROL!$C$42, 18.8599, 18.8599)*CHOOSE(CONTROL!$C$21, $C$9, 100%, $E$9)</f>
        <v>18.8599</v>
      </c>
      <c r="G404" s="14">
        <f>CHOOSE(CONTROL!$C$42, 18.8766, 18.8766)*CHOOSE(CONTROL!$C$21, $C$9, 100%, $E$9)</f>
        <v>18.8766</v>
      </c>
      <c r="H404" s="14">
        <f>CHOOSE(CONTROL!$C$42, 19.1058, 19.1058) * CHOOSE(CONTROL!$C$21, $C$9, 100%, $E$9)</f>
        <v>19.105799999999999</v>
      </c>
      <c r="I404" s="14">
        <f>CHOOSE(CONTROL!$C$42, 18.9399, 18.9399)* CHOOSE(CONTROL!$C$21, $C$9, 100%, $E$9)</f>
        <v>18.939900000000002</v>
      </c>
      <c r="J404" s="14">
        <f>CHOOSE(CONTROL!$C$42, 18.8529, 18.8529)* CHOOSE(CONTROL!$C$21, $C$9, 100%, $E$9)</f>
        <v>18.852900000000002</v>
      </c>
      <c r="K404" s="53">
        <f>CHOOSE(CONTROL!$C$42, 18.936, 18.936) * CHOOSE(CONTROL!$C$21, $C$9, 100%, $E$9)</f>
        <v>18.936</v>
      </c>
      <c r="L404" s="14">
        <f>CHOOSE(CONTROL!$C$42, 19.6928, 19.6928) * CHOOSE(CONTROL!$C$21, $C$9, 100%, $E$9)</f>
        <v>19.692799999999998</v>
      </c>
      <c r="M404" s="14">
        <f>CHOOSE(CONTROL!$C$42, 18.4743, 18.4743) * CHOOSE(CONTROL!$C$21, $C$9, 100%, $E$9)</f>
        <v>18.474299999999999</v>
      </c>
      <c r="N404" s="14">
        <f>CHOOSE(CONTROL!$C$42, 18.4906, 18.4906) * CHOOSE(CONTROL!$C$21, $C$9, 100%, $E$9)</f>
        <v>18.490600000000001</v>
      </c>
      <c r="O404" s="14">
        <f>CHOOSE(CONTROL!$C$42, 18.722, 18.722) * CHOOSE(CONTROL!$C$21, $C$9, 100%, $E$9)</f>
        <v>18.722000000000001</v>
      </c>
      <c r="P404" s="14">
        <f>CHOOSE(CONTROL!$C$42, 18.5584, 18.5584) * CHOOSE(CONTROL!$C$21, $C$9, 100%, $E$9)</f>
        <v>18.558399999999999</v>
      </c>
      <c r="Q404" s="14">
        <f>CHOOSE(CONTROL!$C$42, 19.3167, 19.3167) * CHOOSE(CONTROL!$C$21, $C$9, 100%, $E$9)</f>
        <v>19.316700000000001</v>
      </c>
      <c r="R404" s="14">
        <f>CHOOSE(CONTROL!$C$42, 19.952, 19.952) * CHOOSE(CONTROL!$C$21, $C$9, 100%, $E$9)</f>
        <v>19.952000000000002</v>
      </c>
      <c r="S404" s="14">
        <f>CHOOSE(CONTROL!$C$42, 18.1242, 18.1242) * CHOOSE(CONTROL!$C$21, $C$9, 100%, $E$9)</f>
        <v>18.124199999999998</v>
      </c>
      <c r="T4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7">
        <f>(1000*CHOOSE(CONTROL!$C$42, 695, 695)*CHOOSE(CONTROL!$C$42, 0.5599, 0.5599)*CHOOSE(CONTROL!$C$42, 31, 31))/1000000</f>
        <v>12.063045499999998</v>
      </c>
      <c r="V404" s="57">
        <f>(1000*CHOOSE(CONTROL!$C$42, 500, 500)*CHOOSE(CONTROL!$C$42, 0.275, 0.275)*CHOOSE(CONTROL!$C$42, 31, 31))/1000000</f>
        <v>4.2625000000000002</v>
      </c>
      <c r="W404" s="57">
        <f>(1000*CHOOSE(CONTROL!$C$42, 0.1146, 0.1146)*CHOOSE(CONTROL!$C$42, 121.5, 121.5)*CHOOSE(CONTROL!$C$42, 31, 31))/1000000</f>
        <v>0.43164089999999994</v>
      </c>
      <c r="X404" s="57">
        <f>(31*0.1790888*245000/1000000)+(31*0.2374*100000/1000000)</f>
        <v>2.0961194359999999</v>
      </c>
      <c r="Y404" s="57"/>
      <c r="Z404" s="14"/>
      <c r="AA404" s="56"/>
      <c r="AB404" s="50">
        <f>(B404*194.205+C404*267.466+D404*133.845+E404*53.484+F404*40+G404*185+H404*0+I404*100+J404*300)/(194.205+267.466+133.845+53.484+0+40+185+100+300)</f>
        <v>18.907798156200943</v>
      </c>
      <c r="AC404" s="45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18.559651798561152</v>
      </c>
    </row>
    <row r="405" spans="1:29" ht="15.75" x14ac:dyDescent="0.25">
      <c r="A405" s="33">
        <v>53235</v>
      </c>
      <c r="B405" s="14">
        <f>CHOOSE(CONTROL!$C$42, 17.6749, 17.6749) * CHOOSE(CONTROL!$C$21, $C$9, 100%, $E$9)</f>
        <v>17.674900000000001</v>
      </c>
      <c r="C405" s="14">
        <f>CHOOSE(CONTROL!$C$42, 17.6829, 17.6829) * CHOOSE(CONTROL!$C$21, $C$9, 100%, $E$9)</f>
        <v>17.6829</v>
      </c>
      <c r="D405" s="14">
        <f>CHOOSE(CONTROL!$C$42, 17.8879, 17.8879) * CHOOSE(CONTROL!$C$21, $C$9, 100%, $E$9)</f>
        <v>17.887899999999998</v>
      </c>
      <c r="E405" s="14">
        <f>CHOOSE(CONTROL!$C$42, 17.9194, 17.9194) * CHOOSE(CONTROL!$C$21, $C$9, 100%, $E$9)</f>
        <v>17.9194</v>
      </c>
      <c r="F405" s="14">
        <f>CHOOSE(CONTROL!$C$42, 17.6621, 17.6621)*CHOOSE(CONTROL!$C$21, $C$9, 100%, $E$9)</f>
        <v>17.662099999999999</v>
      </c>
      <c r="G405" s="14">
        <f>CHOOSE(CONTROL!$C$42, 17.6787, 17.6787)*CHOOSE(CONTROL!$C$21, $C$9, 100%, $E$9)</f>
        <v>17.678699999999999</v>
      </c>
      <c r="H405" s="14">
        <f>CHOOSE(CONTROL!$C$42, 17.908, 17.908) * CHOOSE(CONTROL!$C$21, $C$9, 100%, $E$9)</f>
        <v>17.908000000000001</v>
      </c>
      <c r="I405" s="14">
        <f>CHOOSE(CONTROL!$C$42, 17.7383, 17.7383)* CHOOSE(CONTROL!$C$21, $C$9, 100%, $E$9)</f>
        <v>17.738299999999999</v>
      </c>
      <c r="J405" s="14">
        <f>CHOOSE(CONTROL!$C$42, 17.6551, 17.6551)* CHOOSE(CONTROL!$C$21, $C$9, 100%, $E$9)</f>
        <v>17.655100000000001</v>
      </c>
      <c r="K405" s="53">
        <f>CHOOSE(CONTROL!$C$42, 17.7344, 17.7344) * CHOOSE(CONTROL!$C$21, $C$9, 100%, $E$9)</f>
        <v>17.734400000000001</v>
      </c>
      <c r="L405" s="14">
        <f>CHOOSE(CONTROL!$C$42, 18.495, 18.495) * CHOOSE(CONTROL!$C$21, $C$9, 100%, $E$9)</f>
        <v>18.495000000000001</v>
      </c>
      <c r="M405" s="14">
        <f>CHOOSE(CONTROL!$C$42, 17.301, 17.301) * CHOOSE(CONTROL!$C$21, $C$9, 100%, $E$9)</f>
        <v>17.300999999999998</v>
      </c>
      <c r="N405" s="14">
        <f>CHOOSE(CONTROL!$C$42, 17.3174, 17.3174) * CHOOSE(CONTROL!$C$21, $C$9, 100%, $E$9)</f>
        <v>17.317399999999999</v>
      </c>
      <c r="O405" s="14">
        <f>CHOOSE(CONTROL!$C$42, 17.5488, 17.5488) * CHOOSE(CONTROL!$C$21, $C$9, 100%, $E$9)</f>
        <v>17.5488</v>
      </c>
      <c r="P405" s="14">
        <f>CHOOSE(CONTROL!$C$42, 17.3815, 17.3815) * CHOOSE(CONTROL!$C$21, $C$9, 100%, $E$9)</f>
        <v>17.381499999999999</v>
      </c>
      <c r="Q405" s="14">
        <f>CHOOSE(CONTROL!$C$42, 18.1435, 18.1435) * CHOOSE(CONTROL!$C$21, $C$9, 100%, $E$9)</f>
        <v>18.1435</v>
      </c>
      <c r="R405" s="14">
        <f>CHOOSE(CONTROL!$C$42, 18.7758, 18.7758) * CHOOSE(CONTROL!$C$21, $C$9, 100%, $E$9)</f>
        <v>18.7758</v>
      </c>
      <c r="S405" s="14">
        <f>CHOOSE(CONTROL!$C$42, 16.9732, 16.9732) * CHOOSE(CONTROL!$C$21, $C$9, 100%, $E$9)</f>
        <v>16.973199999999999</v>
      </c>
      <c r="T4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7">
        <f>(1000*CHOOSE(CONTROL!$C$42, 695, 695)*CHOOSE(CONTROL!$C$42, 0.5599, 0.5599)*CHOOSE(CONTROL!$C$42, 30, 30))/1000000</f>
        <v>11.673914999999997</v>
      </c>
      <c r="V405" s="57">
        <f>(1000*CHOOSE(CONTROL!$C$42, 500, 500)*CHOOSE(CONTROL!$C$42, 0.275, 0.275)*CHOOSE(CONTROL!$C$42, 30, 30))/1000000</f>
        <v>4.125</v>
      </c>
      <c r="W405" s="57">
        <f>(1000*CHOOSE(CONTROL!$C$42, 0.1146, 0.1146)*CHOOSE(CONTROL!$C$42, 121.5, 121.5)*CHOOSE(CONTROL!$C$42, 30, 30))/1000000</f>
        <v>0.417717</v>
      </c>
      <c r="X405" s="57">
        <f>(30*0.1790888*245000/1000000)+(30*0.2374*100000/1000000)</f>
        <v>2.0285026799999999</v>
      </c>
      <c r="Y405" s="57"/>
      <c r="Z405" s="14"/>
      <c r="AA405" s="56"/>
      <c r="AB405" s="50">
        <f>(B405*194.205+C405*267.466+D405*133.845+E405*53.484+F405*40+G405*185+H405*0+I405*100+J405*300)/(194.205+267.466+133.845+53.484+0+40+185+100+300)</f>
        <v>17.709685361852429</v>
      </c>
      <c r="AC405" s="45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17.385884892086327</v>
      </c>
    </row>
    <row r="406" spans="1:29" ht="15.75" x14ac:dyDescent="0.25">
      <c r="A406" s="33">
        <v>53266</v>
      </c>
      <c r="B406" s="14">
        <f>CHOOSE(CONTROL!$C$42, 17.3145, 17.3145) * CHOOSE(CONTROL!$C$21, $C$9, 100%, $E$9)</f>
        <v>17.314499999999999</v>
      </c>
      <c r="C406" s="14">
        <f>CHOOSE(CONTROL!$C$42, 17.3198, 17.3198) * CHOOSE(CONTROL!$C$21, $C$9, 100%, $E$9)</f>
        <v>17.319800000000001</v>
      </c>
      <c r="D406" s="14">
        <f>CHOOSE(CONTROL!$C$42, 17.5298, 17.5298) * CHOOSE(CONTROL!$C$21, $C$9, 100%, $E$9)</f>
        <v>17.529800000000002</v>
      </c>
      <c r="E406" s="14">
        <f>CHOOSE(CONTROL!$C$42, 17.5589, 17.5589) * CHOOSE(CONTROL!$C$21, $C$9, 100%, $E$9)</f>
        <v>17.558900000000001</v>
      </c>
      <c r="F406" s="14">
        <f>CHOOSE(CONTROL!$C$42, 17.3037, 17.3037)*CHOOSE(CONTROL!$C$21, $C$9, 100%, $E$9)</f>
        <v>17.303699999999999</v>
      </c>
      <c r="G406" s="14">
        <f>CHOOSE(CONTROL!$C$42, 17.3201, 17.3201)*CHOOSE(CONTROL!$C$21, $C$9, 100%, $E$9)</f>
        <v>17.3201</v>
      </c>
      <c r="H406" s="14">
        <f>CHOOSE(CONTROL!$C$42, 17.5494, 17.5494) * CHOOSE(CONTROL!$C$21, $C$9, 100%, $E$9)</f>
        <v>17.549399999999999</v>
      </c>
      <c r="I406" s="14">
        <f>CHOOSE(CONTROL!$C$42, 17.3786, 17.3786)* CHOOSE(CONTROL!$C$21, $C$9, 100%, $E$9)</f>
        <v>17.378599999999999</v>
      </c>
      <c r="J406" s="14">
        <f>CHOOSE(CONTROL!$C$42, 17.2967, 17.2967)* CHOOSE(CONTROL!$C$21, $C$9, 100%, $E$9)</f>
        <v>17.296700000000001</v>
      </c>
      <c r="K406" s="53">
        <f>CHOOSE(CONTROL!$C$42, 17.3747, 17.3747) * CHOOSE(CONTROL!$C$21, $C$9, 100%, $E$9)</f>
        <v>17.374700000000001</v>
      </c>
      <c r="L406" s="14">
        <f>CHOOSE(CONTROL!$C$42, 18.1364, 18.1364) * CHOOSE(CONTROL!$C$21, $C$9, 100%, $E$9)</f>
        <v>18.136399999999998</v>
      </c>
      <c r="M406" s="14">
        <f>CHOOSE(CONTROL!$C$42, 16.95, 16.95) * CHOOSE(CONTROL!$C$21, $C$9, 100%, $E$9)</f>
        <v>16.95</v>
      </c>
      <c r="N406" s="14">
        <f>CHOOSE(CONTROL!$C$42, 16.966, 16.966) * CHOOSE(CONTROL!$C$21, $C$9, 100%, $E$9)</f>
        <v>16.966000000000001</v>
      </c>
      <c r="O406" s="14">
        <f>CHOOSE(CONTROL!$C$42, 17.1975, 17.1975) * CHOOSE(CONTROL!$C$21, $C$9, 100%, $E$9)</f>
        <v>17.197500000000002</v>
      </c>
      <c r="P406" s="14">
        <f>CHOOSE(CONTROL!$C$42, 17.0292, 17.0292) * CHOOSE(CONTROL!$C$21, $C$9, 100%, $E$9)</f>
        <v>17.029199999999999</v>
      </c>
      <c r="Q406" s="14">
        <f>CHOOSE(CONTROL!$C$42, 17.7922, 17.7922) * CHOOSE(CONTROL!$C$21, $C$9, 100%, $E$9)</f>
        <v>17.792200000000001</v>
      </c>
      <c r="R406" s="14">
        <f>CHOOSE(CONTROL!$C$42, 18.4237, 18.4237) * CHOOSE(CONTROL!$C$21, $C$9, 100%, $E$9)</f>
        <v>18.4237</v>
      </c>
      <c r="S406" s="14">
        <f>CHOOSE(CONTROL!$C$42, 16.6286, 16.6286) * CHOOSE(CONTROL!$C$21, $C$9, 100%, $E$9)</f>
        <v>16.628599999999999</v>
      </c>
      <c r="T4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7">
        <f>(1000*CHOOSE(CONTROL!$C$42, 695, 695)*CHOOSE(CONTROL!$C$42, 0.5599, 0.5599)*CHOOSE(CONTROL!$C$42, 31, 31))/1000000</f>
        <v>12.063045499999998</v>
      </c>
      <c r="V406" s="57">
        <f>(1000*CHOOSE(CONTROL!$C$42, 500, 500)*CHOOSE(CONTROL!$C$42, 0.275, 0.275)*CHOOSE(CONTROL!$C$42, 31, 31))/1000000</f>
        <v>4.2625000000000002</v>
      </c>
      <c r="W406" s="57">
        <f>(1000*CHOOSE(CONTROL!$C$42, 0.1146, 0.1146)*CHOOSE(CONTROL!$C$42, 121.5, 121.5)*CHOOSE(CONTROL!$C$42, 31, 31))/1000000</f>
        <v>0.43164089999999994</v>
      </c>
      <c r="X406" s="57">
        <f>(31*0.1790888*245000/1000000)+(31*0.2374*100000/1000000)</f>
        <v>2.0961194359999999</v>
      </c>
      <c r="Y406" s="57"/>
      <c r="Z406" s="14"/>
      <c r="AA406" s="56"/>
      <c r="AB406" s="50">
        <f>(B406*131.881+C406*277.167+D406*79.08+E406*125.872+F406*40+G406*185+H406*0+I406*100+J406*300)/(131.881+277.167+79.08+125.872+0+40+185+100+300)</f>
        <v>17.35560736553672</v>
      </c>
      <c r="AC406" s="45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17.034521582733813</v>
      </c>
    </row>
    <row r="407" spans="1:29" ht="15.75" x14ac:dyDescent="0.25">
      <c r="A407" s="33">
        <v>53296</v>
      </c>
      <c r="B407" s="14">
        <f>CHOOSE(CONTROL!$C$42, 17.77, 17.77) * CHOOSE(CONTROL!$C$21, $C$9, 100%, $E$9)</f>
        <v>17.77</v>
      </c>
      <c r="C407" s="14">
        <f>CHOOSE(CONTROL!$C$42, 17.775, 17.775) * CHOOSE(CONTROL!$C$21, $C$9, 100%, $E$9)</f>
        <v>17.774999999999999</v>
      </c>
      <c r="D407" s="14">
        <f>CHOOSE(CONTROL!$C$42, 17.8389, 17.8389) * CHOOSE(CONTROL!$C$21, $C$9, 100%, $E$9)</f>
        <v>17.838899999999999</v>
      </c>
      <c r="E407" s="14">
        <f>CHOOSE(CONTROL!$C$42, 17.873, 17.873) * CHOOSE(CONTROL!$C$21, $C$9, 100%, $E$9)</f>
        <v>17.873000000000001</v>
      </c>
      <c r="F407" s="14">
        <f>CHOOSE(CONTROL!$C$42, 17.7722, 17.7722)*CHOOSE(CONTROL!$C$21, $C$9, 100%, $E$9)</f>
        <v>17.772200000000002</v>
      </c>
      <c r="G407" s="14">
        <f>CHOOSE(CONTROL!$C$42, 17.7889, 17.7889)*CHOOSE(CONTROL!$C$21, $C$9, 100%, $E$9)</f>
        <v>17.788900000000002</v>
      </c>
      <c r="H407" s="14">
        <f>CHOOSE(CONTROL!$C$42, 17.8622, 17.8622) * CHOOSE(CONTROL!$C$21, $C$9, 100%, $E$9)</f>
        <v>17.862200000000001</v>
      </c>
      <c r="I407" s="14">
        <f>CHOOSE(CONTROL!$C$42, 17.8395, 17.8395)* CHOOSE(CONTROL!$C$21, $C$9, 100%, $E$9)</f>
        <v>17.839500000000001</v>
      </c>
      <c r="J407" s="14">
        <f>CHOOSE(CONTROL!$C$42, 17.7652, 17.7652)* CHOOSE(CONTROL!$C$21, $C$9, 100%, $E$9)</f>
        <v>17.7652</v>
      </c>
      <c r="K407" s="53">
        <f>CHOOSE(CONTROL!$C$42, 17.8356, 17.8356) * CHOOSE(CONTROL!$C$21, $C$9, 100%, $E$9)</f>
        <v>17.835599999999999</v>
      </c>
      <c r="L407" s="14">
        <f>CHOOSE(CONTROL!$C$42, 18.4492, 18.4492) * CHOOSE(CONTROL!$C$21, $C$9, 100%, $E$9)</f>
        <v>18.449200000000001</v>
      </c>
      <c r="M407" s="14">
        <f>CHOOSE(CONTROL!$C$42, 17.4089, 17.4089) * CHOOSE(CONTROL!$C$21, $C$9, 100%, $E$9)</f>
        <v>17.408899999999999</v>
      </c>
      <c r="N407" s="14">
        <f>CHOOSE(CONTROL!$C$42, 17.4252, 17.4252) * CHOOSE(CONTROL!$C$21, $C$9, 100%, $E$9)</f>
        <v>17.4252</v>
      </c>
      <c r="O407" s="14">
        <f>CHOOSE(CONTROL!$C$42, 17.5039, 17.5039) * CHOOSE(CONTROL!$C$21, $C$9, 100%, $E$9)</f>
        <v>17.503900000000002</v>
      </c>
      <c r="P407" s="14">
        <f>CHOOSE(CONTROL!$C$42, 17.4807, 17.4807) * CHOOSE(CONTROL!$C$21, $C$9, 100%, $E$9)</f>
        <v>17.480699999999999</v>
      </c>
      <c r="Q407" s="14">
        <f>CHOOSE(CONTROL!$C$42, 18.0986, 18.0986) * CHOOSE(CONTROL!$C$21, $C$9, 100%, $E$9)</f>
        <v>18.098600000000001</v>
      </c>
      <c r="R407" s="14">
        <f>CHOOSE(CONTROL!$C$42, 18.7308, 18.7308) * CHOOSE(CONTROL!$C$21, $C$9, 100%, $E$9)</f>
        <v>18.730799999999999</v>
      </c>
      <c r="S407" s="14">
        <f>CHOOSE(CONTROL!$C$42, 17.0666, 17.0666) * CHOOSE(CONTROL!$C$21, $C$9, 100%, $E$9)</f>
        <v>17.066600000000001</v>
      </c>
      <c r="T4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7">
        <f>(1000*CHOOSE(CONTROL!$C$42, 695, 695)*CHOOSE(CONTROL!$C$42, 0.5599, 0.5599)*CHOOSE(CONTROL!$C$42, 30, 30))/1000000</f>
        <v>11.673914999999997</v>
      </c>
      <c r="V407" s="57">
        <f>(1000*CHOOSE(CONTROL!$C$42, 500, 500)*CHOOSE(CONTROL!$C$42, 0.275, 0.275)*CHOOSE(CONTROL!$C$42, 30, 30))/1000000</f>
        <v>4.125</v>
      </c>
      <c r="W407" s="57">
        <f>(1000*CHOOSE(CONTROL!$C$42, 0.1146, 0.1146)*CHOOSE(CONTROL!$C$42, 121.5, 121.5)*CHOOSE(CONTROL!$C$42, 30, 30))/1000000</f>
        <v>0.417717</v>
      </c>
      <c r="X407" s="57">
        <f>(30*0.1790888*100000/1000000)+(30*0.2374*100000/1000000)</f>
        <v>1.2494664</v>
      </c>
      <c r="Y407" s="57"/>
      <c r="Z407" s="14"/>
      <c r="AA407" s="56"/>
      <c r="AB407" s="50">
        <f>(B407*122.58+C407*297.941+D407*89.177+E407*40.302+F407*40+G407*160+H407*0+I407*100+J407*300)/(122.58+297.941+89.177+40.302+0+40+160+100+300)</f>
        <v>17.787745309826089</v>
      </c>
      <c r="AC407" s="45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17.463226618705036</v>
      </c>
    </row>
    <row r="408" spans="1:29" ht="15.75" x14ac:dyDescent="0.25">
      <c r="A408" s="33">
        <v>53327</v>
      </c>
      <c r="B408" s="14">
        <f>CHOOSE(CONTROL!$C$42, 18.9809, 18.9809) * CHOOSE(CONTROL!$C$21, $C$9, 100%, $E$9)</f>
        <v>18.980899999999998</v>
      </c>
      <c r="C408" s="14">
        <f>CHOOSE(CONTROL!$C$42, 18.9859, 18.9859) * CHOOSE(CONTROL!$C$21, $C$9, 100%, $E$9)</f>
        <v>18.985900000000001</v>
      </c>
      <c r="D408" s="14">
        <f>CHOOSE(CONTROL!$C$42, 19.0497, 19.0497) * CHOOSE(CONTROL!$C$21, $C$9, 100%, $E$9)</f>
        <v>19.049700000000001</v>
      </c>
      <c r="E408" s="14">
        <f>CHOOSE(CONTROL!$C$42, 19.0839, 19.0839) * CHOOSE(CONTROL!$C$21, $C$9, 100%, $E$9)</f>
        <v>19.0839</v>
      </c>
      <c r="F408" s="14">
        <f>CHOOSE(CONTROL!$C$42, 18.9852, 18.9852)*CHOOSE(CONTROL!$C$21, $C$9, 100%, $E$9)</f>
        <v>18.985199999999999</v>
      </c>
      <c r="G408" s="14">
        <f>CHOOSE(CONTROL!$C$42, 19.0024, 19.0024)*CHOOSE(CONTROL!$C$21, $C$9, 100%, $E$9)</f>
        <v>19.002400000000002</v>
      </c>
      <c r="H408" s="14">
        <f>CHOOSE(CONTROL!$C$42, 19.073, 19.073) * CHOOSE(CONTROL!$C$21, $C$9, 100%, $E$9)</f>
        <v>19.073</v>
      </c>
      <c r="I408" s="14">
        <f>CHOOSE(CONTROL!$C$42, 19.0542, 19.0542)* CHOOSE(CONTROL!$C$21, $C$9, 100%, $E$9)</f>
        <v>19.054200000000002</v>
      </c>
      <c r="J408" s="14">
        <f>CHOOSE(CONTROL!$C$42, 18.9782, 18.9782)* CHOOSE(CONTROL!$C$21, $C$9, 100%, $E$9)</f>
        <v>18.978200000000001</v>
      </c>
      <c r="K408" s="53">
        <f>CHOOSE(CONTROL!$C$42, 19.0503, 19.0503) * CHOOSE(CONTROL!$C$21, $C$9, 100%, $E$9)</f>
        <v>19.0503</v>
      </c>
      <c r="L408" s="14">
        <f>CHOOSE(CONTROL!$C$42, 19.66, 19.66) * CHOOSE(CONTROL!$C$21, $C$9, 100%, $E$9)</f>
        <v>19.66</v>
      </c>
      <c r="M408" s="14">
        <f>CHOOSE(CONTROL!$C$42, 18.597, 18.597) * CHOOSE(CONTROL!$C$21, $C$9, 100%, $E$9)</f>
        <v>18.597000000000001</v>
      </c>
      <c r="N408" s="14">
        <f>CHOOSE(CONTROL!$C$42, 18.6139, 18.6139) * CHOOSE(CONTROL!$C$21, $C$9, 100%, $E$9)</f>
        <v>18.613900000000001</v>
      </c>
      <c r="O408" s="14">
        <f>CHOOSE(CONTROL!$C$42, 18.6899, 18.6899) * CHOOSE(CONTROL!$C$21, $C$9, 100%, $E$9)</f>
        <v>18.689900000000002</v>
      </c>
      <c r="P408" s="14">
        <f>CHOOSE(CONTROL!$C$42, 18.6704, 18.6704) * CHOOSE(CONTROL!$C$21, $C$9, 100%, $E$9)</f>
        <v>18.670400000000001</v>
      </c>
      <c r="Q408" s="14">
        <f>CHOOSE(CONTROL!$C$42, 19.2846, 19.2846) * CHOOSE(CONTROL!$C$21, $C$9, 100%, $E$9)</f>
        <v>19.284600000000001</v>
      </c>
      <c r="R408" s="14">
        <f>CHOOSE(CONTROL!$C$42, 19.9199, 19.9199) * CHOOSE(CONTROL!$C$21, $C$9, 100%, $E$9)</f>
        <v>19.919899999999998</v>
      </c>
      <c r="S408" s="14">
        <f>CHOOSE(CONTROL!$C$42, 18.2302, 18.2302) * CHOOSE(CONTROL!$C$21, $C$9, 100%, $E$9)</f>
        <v>18.2302</v>
      </c>
      <c r="T4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7">
        <f>(1000*CHOOSE(CONTROL!$C$42, 695, 695)*CHOOSE(CONTROL!$C$42, 0.5599, 0.5599)*CHOOSE(CONTROL!$C$42, 31, 31))/1000000</f>
        <v>12.063045499999998</v>
      </c>
      <c r="V408" s="57">
        <f>(1000*CHOOSE(CONTROL!$C$42, 500, 500)*CHOOSE(CONTROL!$C$42, 0.275, 0.275)*CHOOSE(CONTROL!$C$42, 31, 31))/1000000</f>
        <v>4.2625000000000002</v>
      </c>
      <c r="W408" s="57">
        <f>(1000*CHOOSE(CONTROL!$C$42, 0.1146, 0.1146)*CHOOSE(CONTROL!$C$42, 121.5, 121.5)*CHOOSE(CONTROL!$C$42, 31, 31))/1000000</f>
        <v>0.43164089999999994</v>
      </c>
      <c r="X408" s="57">
        <f>(31*0.1790888*100000/1000000)+(31*0.2374*100000/1000000)</f>
        <v>1.2911152800000001</v>
      </c>
      <c r="Y408" s="57"/>
      <c r="Z408" s="14"/>
      <c r="AA408" s="56"/>
      <c r="AB408" s="50">
        <f>(B408*122.58+C408*297.941+D408*89.177+E408*40.302+F408*40+G408*160+H408*0+I408*100+J408*300)/(122.58+297.941+89.177+40.302+0+40+160+100+300)</f>
        <v>18.999950598782611</v>
      </c>
      <c r="AC408" s="45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18.650639568345326</v>
      </c>
    </row>
    <row r="409" spans="1:29" ht="15.75" x14ac:dyDescent="0.25">
      <c r="A409" s="33">
        <v>53358</v>
      </c>
      <c r="B409" s="14">
        <f>CHOOSE(CONTROL!$C$42, 20.5349, 20.5349) * CHOOSE(CONTROL!$C$21, $C$9, 100%, $E$9)</f>
        <v>20.5349</v>
      </c>
      <c r="C409" s="14">
        <f>CHOOSE(CONTROL!$C$42, 20.5399, 20.5399) * CHOOSE(CONTROL!$C$21, $C$9, 100%, $E$9)</f>
        <v>20.539899999999999</v>
      </c>
      <c r="D409" s="14">
        <f>CHOOSE(CONTROL!$C$42, 20.5986, 20.5986) * CHOOSE(CONTROL!$C$21, $C$9, 100%, $E$9)</f>
        <v>20.598600000000001</v>
      </c>
      <c r="E409" s="14">
        <f>CHOOSE(CONTROL!$C$42, 20.6327, 20.6327) * CHOOSE(CONTROL!$C$21, $C$9, 100%, $E$9)</f>
        <v>20.6327</v>
      </c>
      <c r="F409" s="14">
        <f>CHOOSE(CONTROL!$C$42, 20.534, 20.534)*CHOOSE(CONTROL!$C$21, $C$9, 100%, $E$9)</f>
        <v>20.533999999999999</v>
      </c>
      <c r="G409" s="14">
        <f>CHOOSE(CONTROL!$C$42, 20.5504, 20.5504)*CHOOSE(CONTROL!$C$21, $C$9, 100%, $E$9)</f>
        <v>20.5504</v>
      </c>
      <c r="H409" s="14">
        <f>CHOOSE(CONTROL!$C$42, 20.6219, 20.6219) * CHOOSE(CONTROL!$C$21, $C$9, 100%, $E$9)</f>
        <v>20.6219</v>
      </c>
      <c r="I409" s="14">
        <f>CHOOSE(CONTROL!$C$42, 20.6094, 20.6094)* CHOOSE(CONTROL!$C$21, $C$9, 100%, $E$9)</f>
        <v>20.609400000000001</v>
      </c>
      <c r="J409" s="14">
        <f>CHOOSE(CONTROL!$C$42, 20.527, 20.527)* CHOOSE(CONTROL!$C$21, $C$9, 100%, $E$9)</f>
        <v>20.527000000000001</v>
      </c>
      <c r="K409" s="53">
        <f>CHOOSE(CONTROL!$C$42, 20.6055, 20.6055) * CHOOSE(CONTROL!$C$21, $C$9, 100%, $E$9)</f>
        <v>20.605499999999999</v>
      </c>
      <c r="L409" s="14">
        <f>CHOOSE(CONTROL!$C$42, 21.2089, 21.2089) * CHOOSE(CONTROL!$C$21, $C$9, 100%, $E$9)</f>
        <v>21.2089</v>
      </c>
      <c r="M409" s="14">
        <f>CHOOSE(CONTROL!$C$42, 20.1141, 20.1141) * CHOOSE(CONTROL!$C$21, $C$9, 100%, $E$9)</f>
        <v>20.114100000000001</v>
      </c>
      <c r="N409" s="14">
        <f>CHOOSE(CONTROL!$C$42, 20.1301, 20.1301) * CHOOSE(CONTROL!$C$21, $C$9, 100%, $E$9)</f>
        <v>20.130099999999999</v>
      </c>
      <c r="O409" s="14">
        <f>CHOOSE(CONTROL!$C$42, 20.207, 20.207) * CHOOSE(CONTROL!$C$21, $C$9, 100%, $E$9)</f>
        <v>20.207000000000001</v>
      </c>
      <c r="P409" s="14">
        <f>CHOOSE(CONTROL!$C$42, 20.1936, 20.1936) * CHOOSE(CONTROL!$C$21, $C$9, 100%, $E$9)</f>
        <v>20.1936</v>
      </c>
      <c r="Q409" s="14">
        <f>CHOOSE(CONTROL!$C$42, 20.8017, 20.8017) * CHOOSE(CONTROL!$C$21, $C$9, 100%, $E$9)</f>
        <v>20.8017</v>
      </c>
      <c r="R409" s="14">
        <f>CHOOSE(CONTROL!$C$42, 21.4407, 21.4407) * CHOOSE(CONTROL!$C$21, $C$9, 100%, $E$9)</f>
        <v>21.4407</v>
      </c>
      <c r="S409" s="14">
        <f>CHOOSE(CONTROL!$C$42, 19.7234, 19.7234) * CHOOSE(CONTROL!$C$21, $C$9, 100%, $E$9)</f>
        <v>19.723400000000002</v>
      </c>
      <c r="T4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7">
        <f>(1000*CHOOSE(CONTROL!$C$42, 695, 695)*CHOOSE(CONTROL!$C$42, 0.5599, 0.5599)*CHOOSE(CONTROL!$C$42, 31, 31))/1000000</f>
        <v>12.063045499999998</v>
      </c>
      <c r="V409" s="57">
        <f>(1000*CHOOSE(CONTROL!$C$42, 500, 500)*CHOOSE(CONTROL!$C$42, 0.275, 0.275)*CHOOSE(CONTROL!$C$42, 31, 31))/1000000</f>
        <v>4.2625000000000002</v>
      </c>
      <c r="W409" s="57">
        <f>(1000*CHOOSE(CONTROL!$C$42, 0.1146, 0.1146)*CHOOSE(CONTROL!$C$42, 121.5, 121.5)*CHOOSE(CONTROL!$C$42, 31, 31))/1000000</f>
        <v>0.43164089999999994</v>
      </c>
      <c r="X409" s="57">
        <f>(31*0.1790888*100000/1000000)+(31*0.2374*100000/1000000)</f>
        <v>1.2911152800000001</v>
      </c>
      <c r="Y409" s="57"/>
      <c r="Z409" s="14"/>
      <c r="AA409" s="56"/>
      <c r="AB409" s="50">
        <f>(B409*122.58+C409*297.941+D409*89.177+E409*40.302+F409*40+G409*160+H409*0+I409*100+J409*300)/(122.58+297.941+89.177+40.302+0+40+160+100+300)</f>
        <v>20.551105056956523</v>
      </c>
      <c r="AC409" s="45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20.1685654676259</v>
      </c>
    </row>
    <row r="410" spans="1:29" ht="15.75" x14ac:dyDescent="0.25">
      <c r="A410" s="33">
        <v>53386</v>
      </c>
      <c r="B410" s="14">
        <f>CHOOSE(CONTROL!$C$42, 20.9003, 20.9003) * CHOOSE(CONTROL!$C$21, $C$9, 100%, $E$9)</f>
        <v>20.900300000000001</v>
      </c>
      <c r="C410" s="14">
        <f>CHOOSE(CONTROL!$C$42, 20.9053, 20.9053) * CHOOSE(CONTROL!$C$21, $C$9, 100%, $E$9)</f>
        <v>20.9053</v>
      </c>
      <c r="D410" s="14">
        <f>CHOOSE(CONTROL!$C$42, 20.9639, 20.9639) * CHOOSE(CONTROL!$C$21, $C$9, 100%, $E$9)</f>
        <v>20.963899999999999</v>
      </c>
      <c r="E410" s="14">
        <f>CHOOSE(CONTROL!$C$42, 20.998, 20.998) * CHOOSE(CONTROL!$C$21, $C$9, 100%, $E$9)</f>
        <v>20.998000000000001</v>
      </c>
      <c r="F410" s="14">
        <f>CHOOSE(CONTROL!$C$42, 20.8993, 20.8993)*CHOOSE(CONTROL!$C$21, $C$9, 100%, $E$9)</f>
        <v>20.8993</v>
      </c>
      <c r="G410" s="14">
        <f>CHOOSE(CONTROL!$C$42, 20.9157, 20.9157)*CHOOSE(CONTROL!$C$21, $C$9, 100%, $E$9)</f>
        <v>20.915700000000001</v>
      </c>
      <c r="H410" s="14">
        <f>CHOOSE(CONTROL!$C$42, 20.9872, 20.9872) * CHOOSE(CONTROL!$C$21, $C$9, 100%, $E$9)</f>
        <v>20.987200000000001</v>
      </c>
      <c r="I410" s="14">
        <f>CHOOSE(CONTROL!$C$42, 20.9759, 20.9759)* CHOOSE(CONTROL!$C$21, $C$9, 100%, $E$9)</f>
        <v>20.975899999999999</v>
      </c>
      <c r="J410" s="14">
        <f>CHOOSE(CONTROL!$C$42, 20.8923, 20.8923)* CHOOSE(CONTROL!$C$21, $C$9, 100%, $E$9)</f>
        <v>20.892299999999999</v>
      </c>
      <c r="K410" s="53">
        <f>CHOOSE(CONTROL!$C$42, 20.9721, 20.9721) * CHOOSE(CONTROL!$C$21, $C$9, 100%, $E$9)</f>
        <v>20.972100000000001</v>
      </c>
      <c r="L410" s="14">
        <f>CHOOSE(CONTROL!$C$42, 21.5742, 21.5742) * CHOOSE(CONTROL!$C$21, $C$9, 100%, $E$9)</f>
        <v>21.574200000000001</v>
      </c>
      <c r="M410" s="14">
        <f>CHOOSE(CONTROL!$C$42, 20.472, 20.472) * CHOOSE(CONTROL!$C$21, $C$9, 100%, $E$9)</f>
        <v>20.472000000000001</v>
      </c>
      <c r="N410" s="14">
        <f>CHOOSE(CONTROL!$C$42, 20.488, 20.488) * CHOOSE(CONTROL!$C$21, $C$9, 100%, $E$9)</f>
        <v>20.488</v>
      </c>
      <c r="O410" s="14">
        <f>CHOOSE(CONTROL!$C$42, 20.5649, 20.5649) * CHOOSE(CONTROL!$C$21, $C$9, 100%, $E$9)</f>
        <v>20.564900000000002</v>
      </c>
      <c r="P410" s="14">
        <f>CHOOSE(CONTROL!$C$42, 20.5526, 20.5526) * CHOOSE(CONTROL!$C$21, $C$9, 100%, $E$9)</f>
        <v>20.552600000000002</v>
      </c>
      <c r="Q410" s="14">
        <f>CHOOSE(CONTROL!$C$42, 21.1596, 21.1596) * CHOOSE(CONTROL!$C$21, $C$9, 100%, $E$9)</f>
        <v>21.159600000000001</v>
      </c>
      <c r="R410" s="14">
        <f>CHOOSE(CONTROL!$C$42, 21.7995, 21.7995) * CHOOSE(CONTROL!$C$21, $C$9, 100%, $E$9)</f>
        <v>21.799499999999998</v>
      </c>
      <c r="S410" s="14">
        <f>CHOOSE(CONTROL!$C$42, 20.0745, 20.0745) * CHOOSE(CONTROL!$C$21, $C$9, 100%, $E$9)</f>
        <v>20.0745</v>
      </c>
      <c r="T4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7">
        <f>(1000*CHOOSE(CONTROL!$C$42, 695, 695)*CHOOSE(CONTROL!$C$42, 0.5599, 0.5599)*CHOOSE(CONTROL!$C$42, 28, 28))/1000000</f>
        <v>10.895653999999999</v>
      </c>
      <c r="V410" s="57">
        <f>(1000*CHOOSE(CONTROL!$C$42, 500, 500)*CHOOSE(CONTROL!$C$42, 0.275, 0.275)*CHOOSE(CONTROL!$C$42, 28, 28))/1000000</f>
        <v>3.85</v>
      </c>
      <c r="W410" s="57">
        <f>(1000*CHOOSE(CONTROL!$C$42, 0.1146, 0.1146)*CHOOSE(CONTROL!$C$42, 121.5, 121.5)*CHOOSE(CONTROL!$C$42, 28, 28))/1000000</f>
        <v>0.38986920000000003</v>
      </c>
      <c r="X410" s="57">
        <f>(28*0.1790888*100000/1000000)+(28*0.2374*100000/1000000)</f>
        <v>1.16616864</v>
      </c>
      <c r="Y410" s="57"/>
      <c r="Z410" s="14"/>
      <c r="AA410" s="56"/>
      <c r="AB410" s="50">
        <f>(B410*122.58+C410*297.941+D410*89.177+E410*40.302+F410*40+G410*160+H410*0+I410*100+J410*300)/(122.58+297.941+89.177+40.302+0+40+160+100+300)</f>
        <v>20.916545971826086</v>
      </c>
      <c r="AC410" s="45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20.526623741007196</v>
      </c>
    </row>
    <row r="411" spans="1:29" ht="15.75" x14ac:dyDescent="0.25">
      <c r="A411" s="33">
        <v>53417</v>
      </c>
      <c r="B411" s="14">
        <f>CHOOSE(CONTROL!$C$42, 20.3072, 20.3072) * CHOOSE(CONTROL!$C$21, $C$9, 100%, $E$9)</f>
        <v>20.307200000000002</v>
      </c>
      <c r="C411" s="14">
        <f>CHOOSE(CONTROL!$C$42, 20.3122, 20.3122) * CHOOSE(CONTROL!$C$21, $C$9, 100%, $E$9)</f>
        <v>20.312200000000001</v>
      </c>
      <c r="D411" s="14">
        <f>CHOOSE(CONTROL!$C$42, 20.3708, 20.3708) * CHOOSE(CONTROL!$C$21, $C$9, 100%, $E$9)</f>
        <v>20.370799999999999</v>
      </c>
      <c r="E411" s="14">
        <f>CHOOSE(CONTROL!$C$42, 20.4049, 20.4049) * CHOOSE(CONTROL!$C$21, $C$9, 100%, $E$9)</f>
        <v>20.404900000000001</v>
      </c>
      <c r="F411" s="14">
        <f>CHOOSE(CONTROL!$C$42, 20.3057, 20.3057)*CHOOSE(CONTROL!$C$21, $C$9, 100%, $E$9)</f>
        <v>20.305700000000002</v>
      </c>
      <c r="G411" s="14">
        <f>CHOOSE(CONTROL!$C$42, 20.322, 20.322)*CHOOSE(CONTROL!$C$21, $C$9, 100%, $E$9)</f>
        <v>20.321999999999999</v>
      </c>
      <c r="H411" s="14">
        <f>CHOOSE(CONTROL!$C$42, 20.3941, 20.3941) * CHOOSE(CONTROL!$C$21, $C$9, 100%, $E$9)</f>
        <v>20.394100000000002</v>
      </c>
      <c r="I411" s="14">
        <f>CHOOSE(CONTROL!$C$42, 20.381, 20.381)* CHOOSE(CONTROL!$C$21, $C$9, 100%, $E$9)</f>
        <v>20.381</v>
      </c>
      <c r="J411" s="14">
        <f>CHOOSE(CONTROL!$C$42, 20.2987, 20.2987)* CHOOSE(CONTROL!$C$21, $C$9, 100%, $E$9)</f>
        <v>20.2987</v>
      </c>
      <c r="K411" s="53">
        <f>CHOOSE(CONTROL!$C$42, 20.3771, 20.3771) * CHOOSE(CONTROL!$C$21, $C$9, 100%, $E$9)</f>
        <v>20.377099999999999</v>
      </c>
      <c r="L411" s="14">
        <f>CHOOSE(CONTROL!$C$42, 20.9811, 20.9811) * CHOOSE(CONTROL!$C$21, $C$9, 100%, $E$9)</f>
        <v>20.981100000000001</v>
      </c>
      <c r="M411" s="14">
        <f>CHOOSE(CONTROL!$C$42, 19.8905, 19.8905) * CHOOSE(CONTROL!$C$21, $C$9, 100%, $E$9)</f>
        <v>19.890499999999999</v>
      </c>
      <c r="N411" s="14">
        <f>CHOOSE(CONTROL!$C$42, 19.9064, 19.9064) * CHOOSE(CONTROL!$C$21, $C$9, 100%, $E$9)</f>
        <v>19.906400000000001</v>
      </c>
      <c r="O411" s="14">
        <f>CHOOSE(CONTROL!$C$42, 19.984, 19.984) * CHOOSE(CONTROL!$C$21, $C$9, 100%, $E$9)</f>
        <v>19.984000000000002</v>
      </c>
      <c r="P411" s="14">
        <f>CHOOSE(CONTROL!$C$42, 19.9699, 19.9699) * CHOOSE(CONTROL!$C$21, $C$9, 100%, $E$9)</f>
        <v>19.969899999999999</v>
      </c>
      <c r="Q411" s="14">
        <f>CHOOSE(CONTROL!$C$42, 20.5787, 20.5787) * CHOOSE(CONTROL!$C$21, $C$9, 100%, $E$9)</f>
        <v>20.578700000000001</v>
      </c>
      <c r="R411" s="14">
        <f>CHOOSE(CONTROL!$C$42, 21.2171, 21.2171) * CHOOSE(CONTROL!$C$21, $C$9, 100%, $E$9)</f>
        <v>21.217099999999999</v>
      </c>
      <c r="S411" s="14">
        <f>CHOOSE(CONTROL!$C$42, 19.5046, 19.5046) * CHOOSE(CONTROL!$C$21, $C$9, 100%, $E$9)</f>
        <v>19.5046</v>
      </c>
      <c r="T4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7">
        <f>(1000*CHOOSE(CONTROL!$C$42, 695, 695)*CHOOSE(CONTROL!$C$42, 0.5599, 0.5599)*CHOOSE(CONTROL!$C$42, 31, 31))/1000000</f>
        <v>12.063045499999998</v>
      </c>
      <c r="V411" s="57">
        <f>(1000*CHOOSE(CONTROL!$C$42, 500, 500)*CHOOSE(CONTROL!$C$42, 0.275, 0.275)*CHOOSE(CONTROL!$C$42, 31, 31))/1000000</f>
        <v>4.2625000000000002</v>
      </c>
      <c r="W411" s="57">
        <f>(1000*CHOOSE(CONTROL!$C$42, 0.1146, 0.1146)*CHOOSE(CONTROL!$C$42, 121.5, 121.5)*CHOOSE(CONTROL!$C$42, 31, 31))/1000000</f>
        <v>0.43164089999999994</v>
      </c>
      <c r="X411" s="57">
        <f>(31*0.1790888*100000/1000000)+(31*0.2374*100000/1000000)</f>
        <v>1.2911152800000001</v>
      </c>
      <c r="Y411" s="57"/>
      <c r="Z411" s="14"/>
      <c r="AA411" s="56"/>
      <c r="AB411" s="50">
        <f>(B411*122.58+C411*297.941+D411*89.177+E411*40.302+F411*40+G411*160+H411*0+I411*100+J411*300)/(122.58+297.941+89.177+40.302+0+40+160+100+300)</f>
        <v>20.323058145739129</v>
      </c>
      <c r="AC411" s="45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19.945217266187051</v>
      </c>
    </row>
    <row r="412" spans="1:29" ht="15.75" x14ac:dyDescent="0.25">
      <c r="A412" s="33">
        <v>53447</v>
      </c>
      <c r="B412" s="14">
        <f>CHOOSE(CONTROL!$C$42, 20.2476, 20.2476) * CHOOSE(CONTROL!$C$21, $C$9, 100%, $E$9)</f>
        <v>20.247599999999998</v>
      </c>
      <c r="C412" s="14">
        <f>CHOOSE(CONTROL!$C$42, 20.252, 20.252) * CHOOSE(CONTROL!$C$21, $C$9, 100%, $E$9)</f>
        <v>20.251999999999999</v>
      </c>
      <c r="D412" s="14">
        <f>CHOOSE(CONTROL!$C$42, 20.4602, 20.4602) * CHOOSE(CONTROL!$C$21, $C$9, 100%, $E$9)</f>
        <v>20.4602</v>
      </c>
      <c r="E412" s="14">
        <f>CHOOSE(CONTROL!$C$42, 20.4923, 20.4923) * CHOOSE(CONTROL!$C$21, $C$9, 100%, $E$9)</f>
        <v>20.4923</v>
      </c>
      <c r="F412" s="14">
        <f>CHOOSE(CONTROL!$C$42, 20.2349, 20.2349)*CHOOSE(CONTROL!$C$21, $C$9, 100%, $E$9)</f>
        <v>20.2349</v>
      </c>
      <c r="G412" s="14">
        <f>CHOOSE(CONTROL!$C$42, 20.2509, 20.2509)*CHOOSE(CONTROL!$C$21, $C$9, 100%, $E$9)</f>
        <v>20.250900000000001</v>
      </c>
      <c r="H412" s="14">
        <f>CHOOSE(CONTROL!$C$42, 20.4821, 20.4821) * CHOOSE(CONTROL!$C$21, $C$9, 100%, $E$9)</f>
        <v>20.482099999999999</v>
      </c>
      <c r="I412" s="14">
        <f>CHOOSE(CONTROL!$C$42, 20.3204, 20.3204)* CHOOSE(CONTROL!$C$21, $C$9, 100%, $E$9)</f>
        <v>20.320399999999999</v>
      </c>
      <c r="J412" s="14">
        <f>CHOOSE(CONTROL!$C$42, 20.2279, 20.2279)* CHOOSE(CONTROL!$C$21, $C$9, 100%, $E$9)</f>
        <v>20.227900000000002</v>
      </c>
      <c r="K412" s="53">
        <f>CHOOSE(CONTROL!$C$42, 20.3165, 20.3165) * CHOOSE(CONTROL!$C$21, $C$9, 100%, $E$9)</f>
        <v>20.316500000000001</v>
      </c>
      <c r="L412" s="14">
        <f>CHOOSE(CONTROL!$C$42, 21.0691, 21.0691) * CHOOSE(CONTROL!$C$21, $C$9, 100%, $E$9)</f>
        <v>21.069099999999999</v>
      </c>
      <c r="M412" s="14">
        <f>CHOOSE(CONTROL!$C$42, 19.8211, 19.8211) * CHOOSE(CONTROL!$C$21, $C$9, 100%, $E$9)</f>
        <v>19.821100000000001</v>
      </c>
      <c r="N412" s="14">
        <f>CHOOSE(CONTROL!$C$42, 19.8368, 19.8368) * CHOOSE(CONTROL!$C$21, $C$9, 100%, $E$9)</f>
        <v>19.8368</v>
      </c>
      <c r="O412" s="14">
        <f>CHOOSE(CONTROL!$C$42, 20.0701, 20.0701) * CHOOSE(CONTROL!$C$21, $C$9, 100%, $E$9)</f>
        <v>20.0701</v>
      </c>
      <c r="P412" s="14">
        <f>CHOOSE(CONTROL!$C$42, 19.9106, 19.9106) * CHOOSE(CONTROL!$C$21, $C$9, 100%, $E$9)</f>
        <v>19.910599999999999</v>
      </c>
      <c r="Q412" s="14">
        <f>CHOOSE(CONTROL!$C$42, 20.6648, 20.6648) * CHOOSE(CONTROL!$C$21, $C$9, 100%, $E$9)</f>
        <v>20.6648</v>
      </c>
      <c r="R412" s="14">
        <f>CHOOSE(CONTROL!$C$42, 21.3034, 21.3034) * CHOOSE(CONTROL!$C$21, $C$9, 100%, $E$9)</f>
        <v>21.3034</v>
      </c>
      <c r="S412" s="14">
        <f>CHOOSE(CONTROL!$C$42, 19.4466, 19.4466) * CHOOSE(CONTROL!$C$21, $C$9, 100%, $E$9)</f>
        <v>19.4466</v>
      </c>
      <c r="T4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7">
        <f>(1000*CHOOSE(CONTROL!$C$42, 695, 695)*CHOOSE(CONTROL!$C$42, 0.5599, 0.5599)*CHOOSE(CONTROL!$C$42, 30, 30))/1000000</f>
        <v>11.673914999999997</v>
      </c>
      <c r="V412" s="57">
        <f>(1000*CHOOSE(CONTROL!$C$42, 500, 500)*CHOOSE(CONTROL!$C$42, 0.275, 0.275)*CHOOSE(CONTROL!$C$42, 30, 30))/1000000</f>
        <v>4.125</v>
      </c>
      <c r="W412" s="57">
        <f>(1000*CHOOSE(CONTROL!$C$42, 0.1146, 0.1146)*CHOOSE(CONTROL!$C$42, 121.5, 121.5)*CHOOSE(CONTROL!$C$42, 30, 30))/1000000</f>
        <v>0.417717</v>
      </c>
      <c r="X412" s="57">
        <f>(30*0.1790888*245000/1000000)+(30*0.2374*100000/1000000)</f>
        <v>2.0285026799999999</v>
      </c>
      <c r="Y412" s="57"/>
      <c r="Z412" s="14"/>
      <c r="AA412" s="56"/>
      <c r="AB412" s="50">
        <f>(B412*141.293+C412*267.993+D412*115.016+E412*89.698+F412*40+G412*185+H412*0+I412*100+J412*300)/(141.293+267.993+115.016+89.698+0+40+185+100+300)</f>
        <v>20.287190937368845</v>
      </c>
      <c r="AC412" s="45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19.907455395683453</v>
      </c>
    </row>
    <row r="413" spans="1:29" ht="15.75" x14ac:dyDescent="0.25">
      <c r="A413" s="33">
        <v>53478</v>
      </c>
      <c r="B413" s="14">
        <f>CHOOSE(CONTROL!$C$42, 20.4276, 20.4276) * CHOOSE(CONTROL!$C$21, $C$9, 100%, $E$9)</f>
        <v>20.427600000000002</v>
      </c>
      <c r="C413" s="14">
        <f>CHOOSE(CONTROL!$C$42, 20.4356, 20.4356) * CHOOSE(CONTROL!$C$21, $C$9, 100%, $E$9)</f>
        <v>20.435600000000001</v>
      </c>
      <c r="D413" s="14">
        <f>CHOOSE(CONTROL!$C$42, 20.6406, 20.6406) * CHOOSE(CONTROL!$C$21, $C$9, 100%, $E$9)</f>
        <v>20.640599999999999</v>
      </c>
      <c r="E413" s="14">
        <f>CHOOSE(CONTROL!$C$42, 20.672, 20.672) * CHOOSE(CONTROL!$C$21, $C$9, 100%, $E$9)</f>
        <v>20.672000000000001</v>
      </c>
      <c r="F413" s="14">
        <f>CHOOSE(CONTROL!$C$42, 20.4138, 20.4138)*CHOOSE(CONTROL!$C$21, $C$9, 100%, $E$9)</f>
        <v>20.413799999999998</v>
      </c>
      <c r="G413" s="14">
        <f>CHOOSE(CONTROL!$C$42, 20.4302, 20.4302)*CHOOSE(CONTROL!$C$21, $C$9, 100%, $E$9)</f>
        <v>20.430199999999999</v>
      </c>
      <c r="H413" s="14">
        <f>CHOOSE(CONTROL!$C$42, 20.6607, 20.6607) * CHOOSE(CONTROL!$C$21, $C$9, 100%, $E$9)</f>
        <v>20.660699999999999</v>
      </c>
      <c r="I413" s="14">
        <f>CHOOSE(CONTROL!$C$42, 20.4996, 20.4996)* CHOOSE(CONTROL!$C$21, $C$9, 100%, $E$9)</f>
        <v>20.499600000000001</v>
      </c>
      <c r="J413" s="14">
        <f>CHOOSE(CONTROL!$C$42, 20.4068, 20.4068)* CHOOSE(CONTROL!$C$21, $C$9, 100%, $E$9)</f>
        <v>20.4068</v>
      </c>
      <c r="K413" s="53">
        <f>CHOOSE(CONTROL!$C$42, 20.4957, 20.4957) * CHOOSE(CONTROL!$C$21, $C$9, 100%, $E$9)</f>
        <v>20.495699999999999</v>
      </c>
      <c r="L413" s="14">
        <f>CHOOSE(CONTROL!$C$42, 21.2477, 21.2477) * CHOOSE(CONTROL!$C$21, $C$9, 100%, $E$9)</f>
        <v>21.247699999999998</v>
      </c>
      <c r="M413" s="14">
        <f>CHOOSE(CONTROL!$C$42, 19.9963, 19.9963) * CHOOSE(CONTROL!$C$21, $C$9, 100%, $E$9)</f>
        <v>19.996300000000002</v>
      </c>
      <c r="N413" s="14">
        <f>CHOOSE(CONTROL!$C$42, 20.0124, 20.0124) * CHOOSE(CONTROL!$C$21, $C$9, 100%, $E$9)</f>
        <v>20.0124</v>
      </c>
      <c r="O413" s="14">
        <f>CHOOSE(CONTROL!$C$42, 20.245, 20.245) * CHOOSE(CONTROL!$C$21, $C$9, 100%, $E$9)</f>
        <v>20.245000000000001</v>
      </c>
      <c r="P413" s="14">
        <f>CHOOSE(CONTROL!$C$42, 20.0861, 20.0861) * CHOOSE(CONTROL!$C$21, $C$9, 100%, $E$9)</f>
        <v>20.086099999999998</v>
      </c>
      <c r="Q413" s="14">
        <f>CHOOSE(CONTROL!$C$42, 20.8397, 20.8397) * CHOOSE(CONTROL!$C$21, $C$9, 100%, $E$9)</f>
        <v>20.839700000000001</v>
      </c>
      <c r="R413" s="14">
        <f>CHOOSE(CONTROL!$C$42, 21.4788, 21.4788) * CHOOSE(CONTROL!$C$21, $C$9, 100%, $E$9)</f>
        <v>21.4788</v>
      </c>
      <c r="S413" s="14">
        <f>CHOOSE(CONTROL!$C$42, 19.6182, 19.6182) * CHOOSE(CONTROL!$C$21, $C$9, 100%, $E$9)</f>
        <v>19.618200000000002</v>
      </c>
      <c r="T4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7">
        <f>(1000*CHOOSE(CONTROL!$C$42, 695, 695)*CHOOSE(CONTROL!$C$42, 0.5599, 0.5599)*CHOOSE(CONTROL!$C$42, 31, 31))/1000000</f>
        <v>12.063045499999998</v>
      </c>
      <c r="V413" s="57">
        <f>(1000*CHOOSE(CONTROL!$C$42, 500, 500)*CHOOSE(CONTROL!$C$42, 0.275, 0.275)*CHOOSE(CONTROL!$C$42, 31, 31))/1000000</f>
        <v>4.2625000000000002</v>
      </c>
      <c r="W413" s="57">
        <f>(1000*CHOOSE(CONTROL!$C$42, 0.1146, 0.1146)*CHOOSE(CONTROL!$C$42, 121.5, 121.5)*CHOOSE(CONTROL!$C$42, 31, 31))/1000000</f>
        <v>0.43164089999999994</v>
      </c>
      <c r="X413" s="57">
        <f>(31*0.1790888*245000/1000000)+(31*0.2374*100000/1000000)</f>
        <v>2.0961194359999999</v>
      </c>
      <c r="Y413" s="57"/>
      <c r="Z413" s="14"/>
      <c r="AA413" s="56"/>
      <c r="AB413" s="50">
        <f>(B413*194.205+C413*267.466+D413*133.845+E413*53.484+F413*40+G413*185+H413*0+I413*100+J413*300)/(194.205+267.466+133.845+53.484+0+40+185+100+300)</f>
        <v>20.462615072684457</v>
      </c>
      <c r="AC413" s="45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20.082706474820142</v>
      </c>
    </row>
    <row r="414" spans="1:29" ht="15.75" x14ac:dyDescent="0.25">
      <c r="A414" s="33">
        <v>53508</v>
      </c>
      <c r="B414" s="14">
        <f>CHOOSE(CONTROL!$C$42, 21.0067, 21.0067) * CHOOSE(CONTROL!$C$21, $C$9, 100%, $E$9)</f>
        <v>21.006699999999999</v>
      </c>
      <c r="C414" s="14">
        <f>CHOOSE(CONTROL!$C$42, 21.0147, 21.0147) * CHOOSE(CONTROL!$C$21, $C$9, 100%, $E$9)</f>
        <v>21.014700000000001</v>
      </c>
      <c r="D414" s="14">
        <f>CHOOSE(CONTROL!$C$42, 21.2197, 21.2197) * CHOOSE(CONTROL!$C$21, $C$9, 100%, $E$9)</f>
        <v>21.2197</v>
      </c>
      <c r="E414" s="14">
        <f>CHOOSE(CONTROL!$C$42, 21.2511, 21.2511) * CHOOSE(CONTROL!$C$21, $C$9, 100%, $E$9)</f>
        <v>21.251100000000001</v>
      </c>
      <c r="F414" s="14">
        <f>CHOOSE(CONTROL!$C$42, 20.9932, 20.9932)*CHOOSE(CONTROL!$C$21, $C$9, 100%, $E$9)</f>
        <v>20.993200000000002</v>
      </c>
      <c r="G414" s="14">
        <f>CHOOSE(CONTROL!$C$42, 21.0097, 21.0097)*CHOOSE(CONTROL!$C$21, $C$9, 100%, $E$9)</f>
        <v>21.009699999999999</v>
      </c>
      <c r="H414" s="14">
        <f>CHOOSE(CONTROL!$C$42, 21.2398, 21.2398) * CHOOSE(CONTROL!$C$21, $C$9, 100%, $E$9)</f>
        <v>21.239799999999999</v>
      </c>
      <c r="I414" s="14">
        <f>CHOOSE(CONTROL!$C$42, 21.0805, 21.0805)* CHOOSE(CONTROL!$C$21, $C$9, 100%, $E$9)</f>
        <v>21.080500000000001</v>
      </c>
      <c r="J414" s="14">
        <f>CHOOSE(CONTROL!$C$42, 20.9862, 20.9862)* CHOOSE(CONTROL!$C$21, $C$9, 100%, $E$9)</f>
        <v>20.9862</v>
      </c>
      <c r="K414" s="53">
        <f>CHOOSE(CONTROL!$C$42, 21.0766, 21.0766) * CHOOSE(CONTROL!$C$21, $C$9, 100%, $E$9)</f>
        <v>21.076599999999999</v>
      </c>
      <c r="L414" s="14">
        <f>CHOOSE(CONTROL!$C$42, 21.8268, 21.8268) * CHOOSE(CONTROL!$C$21, $C$9, 100%, $E$9)</f>
        <v>21.826799999999999</v>
      </c>
      <c r="M414" s="14">
        <f>CHOOSE(CONTROL!$C$42, 20.5639, 20.5639) * CHOOSE(CONTROL!$C$21, $C$9, 100%, $E$9)</f>
        <v>20.5639</v>
      </c>
      <c r="N414" s="14">
        <f>CHOOSE(CONTROL!$C$42, 20.5801, 20.5801) * CHOOSE(CONTROL!$C$21, $C$9, 100%, $E$9)</f>
        <v>20.580100000000002</v>
      </c>
      <c r="O414" s="14">
        <f>CHOOSE(CONTROL!$C$42, 20.8123, 20.8123) * CHOOSE(CONTROL!$C$21, $C$9, 100%, $E$9)</f>
        <v>20.8123</v>
      </c>
      <c r="P414" s="14">
        <f>CHOOSE(CONTROL!$C$42, 20.655, 20.655) * CHOOSE(CONTROL!$C$21, $C$9, 100%, $E$9)</f>
        <v>20.655000000000001</v>
      </c>
      <c r="Q414" s="14">
        <f>CHOOSE(CONTROL!$C$42, 21.407, 21.407) * CHOOSE(CONTROL!$C$21, $C$9, 100%, $E$9)</f>
        <v>21.407</v>
      </c>
      <c r="R414" s="14">
        <f>CHOOSE(CONTROL!$C$42, 22.0475, 22.0475) * CHOOSE(CONTROL!$C$21, $C$9, 100%, $E$9)</f>
        <v>22.047499999999999</v>
      </c>
      <c r="S414" s="14">
        <f>CHOOSE(CONTROL!$C$42, 20.1747, 20.1747) * CHOOSE(CONTROL!$C$21, $C$9, 100%, $E$9)</f>
        <v>20.174700000000001</v>
      </c>
      <c r="T4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7">
        <f>(1000*CHOOSE(CONTROL!$C$42, 695, 695)*CHOOSE(CONTROL!$C$42, 0.5599, 0.5599)*CHOOSE(CONTROL!$C$42, 30, 30))/1000000</f>
        <v>11.673914999999997</v>
      </c>
      <c r="V414" s="57">
        <f>(1000*CHOOSE(CONTROL!$C$42, 500, 500)*CHOOSE(CONTROL!$C$42, 0.275, 0.275)*CHOOSE(CONTROL!$C$42, 30, 30))/1000000</f>
        <v>4.125</v>
      </c>
      <c r="W414" s="57">
        <f>(1000*CHOOSE(CONTROL!$C$42, 0.1146, 0.1146)*CHOOSE(CONTROL!$C$42, 121.5, 121.5)*CHOOSE(CONTROL!$C$42, 30, 30))/1000000</f>
        <v>0.417717</v>
      </c>
      <c r="X414" s="57">
        <f>(30*0.1790888*245000/1000000)+(30*0.2374*100000/1000000)</f>
        <v>2.0285026799999999</v>
      </c>
      <c r="Y414" s="57"/>
      <c r="Z414" s="14"/>
      <c r="AA414" s="56"/>
      <c r="AB414" s="50">
        <f>(B414*194.205+C414*267.466+D414*133.845+E414*53.484+F414*40+G414*185+H414*0+I414*100+J414*300)/(194.205+267.466+133.845+53.484+0+40+185+100+300)</f>
        <v>21.041994507535321</v>
      </c>
      <c r="AC414" s="45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20.650432374100721</v>
      </c>
    </row>
    <row r="415" spans="1:29" ht="15.75" x14ac:dyDescent="0.25">
      <c r="A415" s="33">
        <v>53539</v>
      </c>
      <c r="B415" s="14">
        <f>CHOOSE(CONTROL!$C$42, 20.6039, 20.6039) * CHOOSE(CONTROL!$C$21, $C$9, 100%, $E$9)</f>
        <v>20.603899999999999</v>
      </c>
      <c r="C415" s="14">
        <f>CHOOSE(CONTROL!$C$42, 20.6119, 20.6119) * CHOOSE(CONTROL!$C$21, $C$9, 100%, $E$9)</f>
        <v>20.611899999999999</v>
      </c>
      <c r="D415" s="14">
        <f>CHOOSE(CONTROL!$C$42, 20.8169, 20.8169) * CHOOSE(CONTROL!$C$21, $C$9, 100%, $E$9)</f>
        <v>20.8169</v>
      </c>
      <c r="E415" s="14">
        <f>CHOOSE(CONTROL!$C$42, 20.8484, 20.8484) * CHOOSE(CONTROL!$C$21, $C$9, 100%, $E$9)</f>
        <v>20.848400000000002</v>
      </c>
      <c r="F415" s="14">
        <f>CHOOSE(CONTROL!$C$42, 20.5909, 20.5909)*CHOOSE(CONTROL!$C$21, $C$9, 100%, $E$9)</f>
        <v>20.590900000000001</v>
      </c>
      <c r="G415" s="14">
        <f>CHOOSE(CONTROL!$C$42, 20.6075, 20.6075)*CHOOSE(CONTROL!$C$21, $C$9, 100%, $E$9)</f>
        <v>20.607500000000002</v>
      </c>
      <c r="H415" s="14">
        <f>CHOOSE(CONTROL!$C$42, 20.837, 20.837) * CHOOSE(CONTROL!$C$21, $C$9, 100%, $E$9)</f>
        <v>20.837</v>
      </c>
      <c r="I415" s="14">
        <f>CHOOSE(CONTROL!$C$42, 20.6765, 20.6765)* CHOOSE(CONTROL!$C$21, $C$9, 100%, $E$9)</f>
        <v>20.676500000000001</v>
      </c>
      <c r="J415" s="14">
        <f>CHOOSE(CONTROL!$C$42, 20.5839, 20.5839)* CHOOSE(CONTROL!$C$21, $C$9, 100%, $E$9)</f>
        <v>20.5839</v>
      </c>
      <c r="K415" s="53">
        <f>CHOOSE(CONTROL!$C$42, 20.6726, 20.6726) * CHOOSE(CONTROL!$C$21, $C$9, 100%, $E$9)</f>
        <v>20.672599999999999</v>
      </c>
      <c r="L415" s="14">
        <f>CHOOSE(CONTROL!$C$42, 21.424, 21.424) * CHOOSE(CONTROL!$C$21, $C$9, 100%, $E$9)</f>
        <v>21.423999999999999</v>
      </c>
      <c r="M415" s="14">
        <f>CHOOSE(CONTROL!$C$42, 20.1698, 20.1698) * CHOOSE(CONTROL!$C$21, $C$9, 100%, $E$9)</f>
        <v>20.169799999999999</v>
      </c>
      <c r="N415" s="14">
        <f>CHOOSE(CONTROL!$C$42, 20.1861, 20.1861) * CHOOSE(CONTROL!$C$21, $C$9, 100%, $E$9)</f>
        <v>20.1861</v>
      </c>
      <c r="O415" s="14">
        <f>CHOOSE(CONTROL!$C$42, 20.4178, 20.4178) * CHOOSE(CONTROL!$C$21, $C$9, 100%, $E$9)</f>
        <v>20.4178</v>
      </c>
      <c r="P415" s="14">
        <f>CHOOSE(CONTROL!$C$42, 20.2593, 20.2593) * CHOOSE(CONTROL!$C$21, $C$9, 100%, $E$9)</f>
        <v>20.2593</v>
      </c>
      <c r="Q415" s="14">
        <f>CHOOSE(CONTROL!$C$42, 21.0125, 21.0125) * CHOOSE(CONTROL!$C$21, $C$9, 100%, $E$9)</f>
        <v>21.012499999999999</v>
      </c>
      <c r="R415" s="14">
        <f>CHOOSE(CONTROL!$C$42, 21.652, 21.652) * CHOOSE(CONTROL!$C$21, $C$9, 100%, $E$9)</f>
        <v>21.652000000000001</v>
      </c>
      <c r="S415" s="14">
        <f>CHOOSE(CONTROL!$C$42, 19.7877, 19.7877) * CHOOSE(CONTROL!$C$21, $C$9, 100%, $E$9)</f>
        <v>19.787700000000001</v>
      </c>
      <c r="T4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7">
        <f>(1000*CHOOSE(CONTROL!$C$42, 695, 695)*CHOOSE(CONTROL!$C$42, 0.5599, 0.5599)*CHOOSE(CONTROL!$C$42, 31, 31))/1000000</f>
        <v>12.063045499999998</v>
      </c>
      <c r="V415" s="57">
        <f>(1000*CHOOSE(CONTROL!$C$42, 500, 500)*CHOOSE(CONTROL!$C$42, 0.275, 0.275)*CHOOSE(CONTROL!$C$42, 31, 31))/1000000</f>
        <v>4.2625000000000002</v>
      </c>
      <c r="W415" s="57">
        <f>(1000*CHOOSE(CONTROL!$C$42, 0.1146, 0.1146)*CHOOSE(CONTROL!$C$42, 121.5, 121.5)*CHOOSE(CONTROL!$C$42, 31, 31))/1000000</f>
        <v>0.43164089999999994</v>
      </c>
      <c r="X415" s="57">
        <f>(31*0.1790888*245000/1000000)+(31*0.2374*100000/1000000)</f>
        <v>2.0961194359999999</v>
      </c>
      <c r="Y415" s="57"/>
      <c r="Z415" s="14"/>
      <c r="AA415" s="56"/>
      <c r="AB415" s="50">
        <f>(B415*194.205+C415*267.466+D415*133.845+E415*53.484+F415*40+G415*185+H415*0+I415*100+J415*300)/(194.205+267.466+133.845+53.484+0+40+185+100+300)</f>
        <v>20.639325079277864</v>
      </c>
      <c r="AC415" s="45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20.256012949640287</v>
      </c>
    </row>
    <row r="416" spans="1:29" ht="15.75" x14ac:dyDescent="0.25">
      <c r="A416" s="33">
        <v>53570</v>
      </c>
      <c r="B416" s="14">
        <f>CHOOSE(CONTROL!$C$42, 19.5868, 19.5868) * CHOOSE(CONTROL!$C$21, $C$9, 100%, $E$9)</f>
        <v>19.5868</v>
      </c>
      <c r="C416" s="14">
        <f>CHOOSE(CONTROL!$C$42, 19.5948, 19.5948) * CHOOSE(CONTROL!$C$21, $C$9, 100%, $E$9)</f>
        <v>19.594799999999999</v>
      </c>
      <c r="D416" s="14">
        <f>CHOOSE(CONTROL!$C$42, 19.7998, 19.7998) * CHOOSE(CONTROL!$C$21, $C$9, 100%, $E$9)</f>
        <v>19.799800000000001</v>
      </c>
      <c r="E416" s="14">
        <f>CHOOSE(CONTROL!$C$42, 19.8312, 19.8312) * CHOOSE(CONTROL!$C$21, $C$9, 100%, $E$9)</f>
        <v>19.831199999999999</v>
      </c>
      <c r="F416" s="14">
        <f>CHOOSE(CONTROL!$C$42, 19.574, 19.574)*CHOOSE(CONTROL!$C$21, $C$9, 100%, $E$9)</f>
        <v>19.574000000000002</v>
      </c>
      <c r="G416" s="14">
        <f>CHOOSE(CONTROL!$C$42, 19.5906, 19.5906)*CHOOSE(CONTROL!$C$21, $C$9, 100%, $E$9)</f>
        <v>19.590599999999998</v>
      </c>
      <c r="H416" s="14">
        <f>CHOOSE(CONTROL!$C$42, 19.8199, 19.8199) * CHOOSE(CONTROL!$C$21, $C$9, 100%, $E$9)</f>
        <v>19.819900000000001</v>
      </c>
      <c r="I416" s="14">
        <f>CHOOSE(CONTROL!$C$42, 19.6562, 19.6562)* CHOOSE(CONTROL!$C$21, $C$9, 100%, $E$9)</f>
        <v>19.656199999999998</v>
      </c>
      <c r="J416" s="14">
        <f>CHOOSE(CONTROL!$C$42, 19.567, 19.567)* CHOOSE(CONTROL!$C$21, $C$9, 100%, $E$9)</f>
        <v>19.567</v>
      </c>
      <c r="K416" s="53">
        <f>CHOOSE(CONTROL!$C$42, 19.6523, 19.6523) * CHOOSE(CONTROL!$C$21, $C$9, 100%, $E$9)</f>
        <v>19.6523</v>
      </c>
      <c r="L416" s="14">
        <f>CHOOSE(CONTROL!$C$42, 20.4069, 20.4069) * CHOOSE(CONTROL!$C$21, $C$9, 100%, $E$9)</f>
        <v>20.4069</v>
      </c>
      <c r="M416" s="14">
        <f>CHOOSE(CONTROL!$C$42, 19.1737, 19.1737) * CHOOSE(CONTROL!$C$21, $C$9, 100%, $E$9)</f>
        <v>19.1737</v>
      </c>
      <c r="N416" s="14">
        <f>CHOOSE(CONTROL!$C$42, 19.1901, 19.1901) * CHOOSE(CONTROL!$C$21, $C$9, 100%, $E$9)</f>
        <v>19.190100000000001</v>
      </c>
      <c r="O416" s="14">
        <f>CHOOSE(CONTROL!$C$42, 19.4215, 19.4215) * CHOOSE(CONTROL!$C$21, $C$9, 100%, $E$9)</f>
        <v>19.421500000000002</v>
      </c>
      <c r="P416" s="14">
        <f>CHOOSE(CONTROL!$C$42, 19.26, 19.26) * CHOOSE(CONTROL!$C$21, $C$9, 100%, $E$9)</f>
        <v>19.260000000000002</v>
      </c>
      <c r="Q416" s="14">
        <f>CHOOSE(CONTROL!$C$42, 20.0162, 20.0162) * CHOOSE(CONTROL!$C$21, $C$9, 100%, $E$9)</f>
        <v>20.016200000000001</v>
      </c>
      <c r="R416" s="14">
        <f>CHOOSE(CONTROL!$C$42, 20.6532, 20.6532) * CHOOSE(CONTROL!$C$21, $C$9, 100%, $E$9)</f>
        <v>20.653199999999998</v>
      </c>
      <c r="S416" s="14">
        <f>CHOOSE(CONTROL!$C$42, 18.8103, 18.8103) * CHOOSE(CONTROL!$C$21, $C$9, 100%, $E$9)</f>
        <v>18.810300000000002</v>
      </c>
      <c r="T4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7">
        <f>(1000*CHOOSE(CONTROL!$C$42, 695, 695)*CHOOSE(CONTROL!$C$42, 0.5599, 0.5599)*CHOOSE(CONTROL!$C$42, 31, 31))/1000000</f>
        <v>12.063045499999998</v>
      </c>
      <c r="V416" s="57">
        <f>(1000*CHOOSE(CONTROL!$C$42, 500, 500)*CHOOSE(CONTROL!$C$42, 0.275, 0.275)*CHOOSE(CONTROL!$C$42, 31, 31))/1000000</f>
        <v>4.2625000000000002</v>
      </c>
      <c r="W416" s="57">
        <f>(1000*CHOOSE(CONTROL!$C$42, 0.1146, 0.1146)*CHOOSE(CONTROL!$C$42, 121.5, 121.5)*CHOOSE(CONTROL!$C$42, 31, 31))/1000000</f>
        <v>0.43164089999999994</v>
      </c>
      <c r="X416" s="57">
        <f>(31*0.1790888*245000/1000000)+(31*0.2374*100000/1000000)</f>
        <v>2.0961194359999999</v>
      </c>
      <c r="Y416" s="57"/>
      <c r="Z416" s="14"/>
      <c r="AA416" s="56"/>
      <c r="AB416" s="50">
        <f>(B416*194.205+C416*267.466+D416*133.845+E416*53.484+F416*40+G416*185+H416*0+I416*100+J416*300)/(194.205+267.466+133.845+53.484+0+40+185+100+300)</f>
        <v>19.622052121350073</v>
      </c>
      <c r="AC416" s="45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19.259419424460432</v>
      </c>
    </row>
    <row r="417" spans="1:29" ht="15.75" x14ac:dyDescent="0.25">
      <c r="A417" s="33">
        <v>53600</v>
      </c>
      <c r="B417" s="14">
        <f>CHOOSE(CONTROL!$C$42, 18.3436, 18.3436) * CHOOSE(CONTROL!$C$21, $C$9, 100%, $E$9)</f>
        <v>18.343599999999999</v>
      </c>
      <c r="C417" s="14">
        <f>CHOOSE(CONTROL!$C$42, 18.3517, 18.3517) * CHOOSE(CONTROL!$C$21, $C$9, 100%, $E$9)</f>
        <v>18.351700000000001</v>
      </c>
      <c r="D417" s="14">
        <f>CHOOSE(CONTROL!$C$42, 18.5566, 18.5566) * CHOOSE(CONTROL!$C$21, $C$9, 100%, $E$9)</f>
        <v>18.5566</v>
      </c>
      <c r="E417" s="14">
        <f>CHOOSE(CONTROL!$C$42, 18.5881, 18.5881) * CHOOSE(CONTROL!$C$21, $C$9, 100%, $E$9)</f>
        <v>18.588100000000001</v>
      </c>
      <c r="F417" s="14">
        <f>CHOOSE(CONTROL!$C$42, 18.3308, 18.3308)*CHOOSE(CONTROL!$C$21, $C$9, 100%, $E$9)</f>
        <v>18.3308</v>
      </c>
      <c r="G417" s="14">
        <f>CHOOSE(CONTROL!$C$42, 18.3475, 18.3475)*CHOOSE(CONTROL!$C$21, $C$9, 100%, $E$9)</f>
        <v>18.3475</v>
      </c>
      <c r="H417" s="14">
        <f>CHOOSE(CONTROL!$C$42, 18.5767, 18.5767) * CHOOSE(CONTROL!$C$21, $C$9, 100%, $E$9)</f>
        <v>18.576699999999999</v>
      </c>
      <c r="I417" s="14">
        <f>CHOOSE(CONTROL!$C$42, 18.4091, 18.4091)* CHOOSE(CONTROL!$C$21, $C$9, 100%, $E$9)</f>
        <v>18.409099999999999</v>
      </c>
      <c r="J417" s="14">
        <f>CHOOSE(CONTROL!$C$42, 18.3238, 18.3238)* CHOOSE(CONTROL!$C$21, $C$9, 100%, $E$9)</f>
        <v>18.323799999999999</v>
      </c>
      <c r="K417" s="53">
        <f>CHOOSE(CONTROL!$C$42, 18.4052, 18.4052) * CHOOSE(CONTROL!$C$21, $C$9, 100%, $E$9)</f>
        <v>18.405200000000001</v>
      </c>
      <c r="L417" s="14">
        <f>CHOOSE(CONTROL!$C$42, 19.1637, 19.1637) * CHOOSE(CONTROL!$C$21, $C$9, 100%, $E$9)</f>
        <v>19.163699999999999</v>
      </c>
      <c r="M417" s="14">
        <f>CHOOSE(CONTROL!$C$42, 17.956, 17.956) * CHOOSE(CONTROL!$C$21, $C$9, 100%, $E$9)</f>
        <v>17.956</v>
      </c>
      <c r="N417" s="14">
        <f>CHOOSE(CONTROL!$C$42, 17.9724, 17.9724) * CHOOSE(CONTROL!$C$21, $C$9, 100%, $E$9)</f>
        <v>17.9724</v>
      </c>
      <c r="O417" s="14">
        <f>CHOOSE(CONTROL!$C$42, 18.2038, 18.2038) * CHOOSE(CONTROL!$C$21, $C$9, 100%, $E$9)</f>
        <v>18.203800000000001</v>
      </c>
      <c r="P417" s="14">
        <f>CHOOSE(CONTROL!$C$42, 18.0386, 18.0386) * CHOOSE(CONTROL!$C$21, $C$9, 100%, $E$9)</f>
        <v>18.038599999999999</v>
      </c>
      <c r="Q417" s="14">
        <f>CHOOSE(CONTROL!$C$42, 18.7985, 18.7985) * CHOOSE(CONTROL!$C$21, $C$9, 100%, $E$9)</f>
        <v>18.798500000000001</v>
      </c>
      <c r="R417" s="14">
        <f>CHOOSE(CONTROL!$C$42, 19.4325, 19.4325) * CHOOSE(CONTROL!$C$21, $C$9, 100%, $E$9)</f>
        <v>19.432500000000001</v>
      </c>
      <c r="S417" s="14">
        <f>CHOOSE(CONTROL!$C$42, 17.6158, 17.6158) * CHOOSE(CONTROL!$C$21, $C$9, 100%, $E$9)</f>
        <v>17.6158</v>
      </c>
      <c r="T4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7">
        <f>(1000*CHOOSE(CONTROL!$C$42, 695, 695)*CHOOSE(CONTROL!$C$42, 0.5599, 0.5599)*CHOOSE(CONTROL!$C$42, 30, 30))/1000000</f>
        <v>11.673914999999997</v>
      </c>
      <c r="V417" s="57">
        <f>(1000*CHOOSE(CONTROL!$C$42, 500, 500)*CHOOSE(CONTROL!$C$42, 0.275, 0.275)*CHOOSE(CONTROL!$C$42, 30, 30))/1000000</f>
        <v>4.125</v>
      </c>
      <c r="W417" s="57">
        <f>(1000*CHOOSE(CONTROL!$C$42, 0.1146, 0.1146)*CHOOSE(CONTROL!$C$42, 121.5, 121.5)*CHOOSE(CONTROL!$C$42, 30, 30))/1000000</f>
        <v>0.417717</v>
      </c>
      <c r="X417" s="57">
        <f>(30*0.1790888*245000/1000000)+(30*0.2374*100000/1000000)</f>
        <v>2.0285026799999999</v>
      </c>
      <c r="Y417" s="57"/>
      <c r="Z417" s="14"/>
      <c r="AA417" s="56"/>
      <c r="AB417" s="50">
        <f>(B417*194.205+C417*267.466+D417*133.845+E417*53.484+F417*40+G417*185+H417*0+I417*100+J417*300)/(194.205+267.466+133.845+53.484+0+40+185+100+300)</f>
        <v>18.378585712401883</v>
      </c>
      <c r="AC417" s="45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18.041187050359714</v>
      </c>
    </row>
    <row r="418" spans="1:29" ht="15.75" x14ac:dyDescent="0.25">
      <c r="A418" s="33">
        <v>53631</v>
      </c>
      <c r="B418" s="14">
        <f>CHOOSE(CONTROL!$C$42, 17.9697, 17.9697) * CHOOSE(CONTROL!$C$21, $C$9, 100%, $E$9)</f>
        <v>17.9697</v>
      </c>
      <c r="C418" s="14">
        <f>CHOOSE(CONTROL!$C$42, 17.975, 17.975) * CHOOSE(CONTROL!$C$21, $C$9, 100%, $E$9)</f>
        <v>17.975000000000001</v>
      </c>
      <c r="D418" s="14">
        <f>CHOOSE(CONTROL!$C$42, 18.1849, 18.1849) * CHOOSE(CONTROL!$C$21, $C$9, 100%, $E$9)</f>
        <v>18.184899999999999</v>
      </c>
      <c r="E418" s="14">
        <f>CHOOSE(CONTROL!$C$42, 18.2141, 18.2141) * CHOOSE(CONTROL!$C$21, $C$9, 100%, $E$9)</f>
        <v>18.214099999999998</v>
      </c>
      <c r="F418" s="14">
        <f>CHOOSE(CONTROL!$C$42, 17.9589, 17.9589)*CHOOSE(CONTROL!$C$21, $C$9, 100%, $E$9)</f>
        <v>17.9589</v>
      </c>
      <c r="G418" s="14">
        <f>CHOOSE(CONTROL!$C$42, 17.9752, 17.9752)*CHOOSE(CONTROL!$C$21, $C$9, 100%, $E$9)</f>
        <v>17.975200000000001</v>
      </c>
      <c r="H418" s="14">
        <f>CHOOSE(CONTROL!$C$42, 18.2045, 18.2045) * CHOOSE(CONTROL!$C$21, $C$9, 100%, $E$9)</f>
        <v>18.204499999999999</v>
      </c>
      <c r="I418" s="14">
        <f>CHOOSE(CONTROL!$C$42, 18.0358, 18.0358)* CHOOSE(CONTROL!$C$21, $C$9, 100%, $E$9)</f>
        <v>18.035799999999998</v>
      </c>
      <c r="J418" s="14">
        <f>CHOOSE(CONTROL!$C$42, 17.9519, 17.9519)* CHOOSE(CONTROL!$C$21, $C$9, 100%, $E$9)</f>
        <v>17.951899999999998</v>
      </c>
      <c r="K418" s="53">
        <f>CHOOSE(CONTROL!$C$42, 18.0319, 18.0319) * CHOOSE(CONTROL!$C$21, $C$9, 100%, $E$9)</f>
        <v>18.0319</v>
      </c>
      <c r="L418" s="14">
        <f>CHOOSE(CONTROL!$C$42, 18.7915, 18.7915) * CHOOSE(CONTROL!$C$21, $C$9, 100%, $E$9)</f>
        <v>18.791499999999999</v>
      </c>
      <c r="M418" s="14">
        <f>CHOOSE(CONTROL!$C$42, 17.5917, 17.5917) * CHOOSE(CONTROL!$C$21, $C$9, 100%, $E$9)</f>
        <v>17.591699999999999</v>
      </c>
      <c r="N418" s="14">
        <f>CHOOSE(CONTROL!$C$42, 17.6078, 17.6078) * CHOOSE(CONTROL!$C$21, $C$9, 100%, $E$9)</f>
        <v>17.607800000000001</v>
      </c>
      <c r="O418" s="14">
        <f>CHOOSE(CONTROL!$C$42, 17.8392, 17.8392) * CHOOSE(CONTROL!$C$21, $C$9, 100%, $E$9)</f>
        <v>17.839200000000002</v>
      </c>
      <c r="P418" s="14">
        <f>CHOOSE(CONTROL!$C$42, 17.6729, 17.6729) * CHOOSE(CONTROL!$C$21, $C$9, 100%, $E$9)</f>
        <v>17.672899999999998</v>
      </c>
      <c r="Q418" s="14">
        <f>CHOOSE(CONTROL!$C$42, 18.4339, 18.4339) * CHOOSE(CONTROL!$C$21, $C$9, 100%, $E$9)</f>
        <v>18.433900000000001</v>
      </c>
      <c r="R418" s="14">
        <f>CHOOSE(CONTROL!$C$42, 19.067, 19.067) * CHOOSE(CONTROL!$C$21, $C$9, 100%, $E$9)</f>
        <v>19.067</v>
      </c>
      <c r="S418" s="14">
        <f>CHOOSE(CONTROL!$C$42, 17.2581, 17.2581) * CHOOSE(CONTROL!$C$21, $C$9, 100%, $E$9)</f>
        <v>17.258099999999999</v>
      </c>
      <c r="T4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7">
        <f>(1000*CHOOSE(CONTROL!$C$42, 695, 695)*CHOOSE(CONTROL!$C$42, 0.5599, 0.5599)*CHOOSE(CONTROL!$C$42, 31, 31))/1000000</f>
        <v>12.063045499999998</v>
      </c>
      <c r="V418" s="57">
        <f>(1000*CHOOSE(CONTROL!$C$42, 500, 500)*CHOOSE(CONTROL!$C$42, 0.275, 0.275)*CHOOSE(CONTROL!$C$42, 31, 31))/1000000</f>
        <v>4.2625000000000002</v>
      </c>
      <c r="W418" s="57">
        <f>(1000*CHOOSE(CONTROL!$C$42, 0.1146, 0.1146)*CHOOSE(CONTROL!$C$42, 121.5, 121.5)*CHOOSE(CONTROL!$C$42, 31, 31))/1000000</f>
        <v>0.43164089999999994</v>
      </c>
      <c r="X418" s="57">
        <f>(31*0.1790888*245000/1000000)+(31*0.2374*100000/1000000)</f>
        <v>2.0961194359999999</v>
      </c>
      <c r="Y418" s="57"/>
      <c r="Z418" s="14"/>
      <c r="AA418" s="56"/>
      <c r="AB418" s="50">
        <f>(B418*131.881+C418*277.167+D418*79.08+E418*125.872+F418*40+G418*185+H418*0+I418*100+J418*300)/(131.881+277.167+79.08+125.872+0+40+185+100+300)</f>
        <v>18.010947472074253</v>
      </c>
      <c r="AC418" s="45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17.676532374100717</v>
      </c>
    </row>
    <row r="419" spans="1:29" ht="15.75" x14ac:dyDescent="0.25">
      <c r="A419" s="33">
        <v>53661</v>
      </c>
      <c r="B419" s="14">
        <f>CHOOSE(CONTROL!$C$42, 18.4424, 18.4424) * CHOOSE(CONTROL!$C$21, $C$9, 100%, $E$9)</f>
        <v>18.442399999999999</v>
      </c>
      <c r="C419" s="14">
        <f>CHOOSE(CONTROL!$C$42, 18.4475, 18.4475) * CHOOSE(CONTROL!$C$21, $C$9, 100%, $E$9)</f>
        <v>18.447500000000002</v>
      </c>
      <c r="D419" s="14">
        <f>CHOOSE(CONTROL!$C$42, 18.5113, 18.5113) * CHOOSE(CONTROL!$C$21, $C$9, 100%, $E$9)</f>
        <v>18.511299999999999</v>
      </c>
      <c r="E419" s="14">
        <f>CHOOSE(CONTROL!$C$42, 18.5454, 18.5454) * CHOOSE(CONTROL!$C$21, $C$9, 100%, $E$9)</f>
        <v>18.545400000000001</v>
      </c>
      <c r="F419" s="14">
        <f>CHOOSE(CONTROL!$C$42, 18.4446, 18.4446)*CHOOSE(CONTROL!$C$21, $C$9, 100%, $E$9)</f>
        <v>18.444600000000001</v>
      </c>
      <c r="G419" s="14">
        <f>CHOOSE(CONTROL!$C$42, 18.4613, 18.4613)*CHOOSE(CONTROL!$C$21, $C$9, 100%, $E$9)</f>
        <v>18.461300000000001</v>
      </c>
      <c r="H419" s="14">
        <f>CHOOSE(CONTROL!$C$42, 18.5346, 18.5346) * CHOOSE(CONTROL!$C$21, $C$9, 100%, $E$9)</f>
        <v>18.534600000000001</v>
      </c>
      <c r="I419" s="14">
        <f>CHOOSE(CONTROL!$C$42, 18.514, 18.514)* CHOOSE(CONTROL!$C$21, $C$9, 100%, $E$9)</f>
        <v>18.513999999999999</v>
      </c>
      <c r="J419" s="14">
        <f>CHOOSE(CONTROL!$C$42, 18.4376, 18.4376)* CHOOSE(CONTROL!$C$21, $C$9, 100%, $E$9)</f>
        <v>18.4376</v>
      </c>
      <c r="K419" s="53">
        <f>CHOOSE(CONTROL!$C$42, 18.5101, 18.5101) * CHOOSE(CONTROL!$C$21, $C$9, 100%, $E$9)</f>
        <v>18.510100000000001</v>
      </c>
      <c r="L419" s="14">
        <f>CHOOSE(CONTROL!$C$42, 19.1216, 19.1216) * CHOOSE(CONTROL!$C$21, $C$9, 100%, $E$9)</f>
        <v>19.121600000000001</v>
      </c>
      <c r="M419" s="14">
        <f>CHOOSE(CONTROL!$C$42, 18.0675, 18.0675) * CHOOSE(CONTROL!$C$21, $C$9, 100%, $E$9)</f>
        <v>18.067499999999999</v>
      </c>
      <c r="N419" s="14">
        <f>CHOOSE(CONTROL!$C$42, 18.0839, 18.0839) * CHOOSE(CONTROL!$C$21, $C$9, 100%, $E$9)</f>
        <v>18.0839</v>
      </c>
      <c r="O419" s="14">
        <f>CHOOSE(CONTROL!$C$42, 18.1625, 18.1625) * CHOOSE(CONTROL!$C$21, $C$9, 100%, $E$9)</f>
        <v>18.162500000000001</v>
      </c>
      <c r="P419" s="14">
        <f>CHOOSE(CONTROL!$C$42, 18.1413, 18.1413) * CHOOSE(CONTROL!$C$21, $C$9, 100%, $E$9)</f>
        <v>18.141300000000001</v>
      </c>
      <c r="Q419" s="14">
        <f>CHOOSE(CONTROL!$C$42, 18.7572, 18.7572) * CHOOSE(CONTROL!$C$21, $C$9, 100%, $E$9)</f>
        <v>18.757200000000001</v>
      </c>
      <c r="R419" s="14">
        <f>CHOOSE(CONTROL!$C$42, 19.3911, 19.3911) * CHOOSE(CONTROL!$C$21, $C$9, 100%, $E$9)</f>
        <v>19.391100000000002</v>
      </c>
      <c r="S419" s="14">
        <f>CHOOSE(CONTROL!$C$42, 17.7127, 17.7127) * CHOOSE(CONTROL!$C$21, $C$9, 100%, $E$9)</f>
        <v>17.712700000000002</v>
      </c>
      <c r="T4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7">
        <f>(1000*CHOOSE(CONTROL!$C$42, 695, 695)*CHOOSE(CONTROL!$C$42, 0.5599, 0.5599)*CHOOSE(CONTROL!$C$42, 30, 30))/1000000</f>
        <v>11.673914999999997</v>
      </c>
      <c r="V419" s="57">
        <f>(1000*CHOOSE(CONTROL!$C$42, 500, 500)*CHOOSE(CONTROL!$C$42, 0.275, 0.275)*CHOOSE(CONTROL!$C$42, 30, 30))/1000000</f>
        <v>4.125</v>
      </c>
      <c r="W419" s="57">
        <f>(1000*CHOOSE(CONTROL!$C$42, 0.1146, 0.1146)*CHOOSE(CONTROL!$C$42, 121.5, 121.5)*CHOOSE(CONTROL!$C$42, 30, 30))/1000000</f>
        <v>0.417717</v>
      </c>
      <c r="X419" s="57">
        <f>(30*0.1790888*100000/1000000)+(30*0.2374*100000/1000000)</f>
        <v>1.2494664</v>
      </c>
      <c r="Y419" s="57"/>
      <c r="Z419" s="14"/>
      <c r="AA419" s="56"/>
      <c r="AB419" s="50">
        <f>(B419*122.58+C419*297.941+D419*89.177+E419*40.302+F419*40+G419*160+H419*0+I419*100+J419*300)/(122.58+297.941+89.177+40.302+0+40+160+100+300)</f>
        <v>18.460353826434783</v>
      </c>
      <c r="AC419" s="45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18.122120143884896</v>
      </c>
    </row>
    <row r="420" spans="1:29" ht="15.75" x14ac:dyDescent="0.25">
      <c r="A420" s="33">
        <v>53692</v>
      </c>
      <c r="B420" s="14">
        <f>CHOOSE(CONTROL!$C$42, 19.6991, 19.6991) * CHOOSE(CONTROL!$C$21, $C$9, 100%, $E$9)</f>
        <v>19.699100000000001</v>
      </c>
      <c r="C420" s="14">
        <f>CHOOSE(CONTROL!$C$42, 19.7042, 19.7042) * CHOOSE(CONTROL!$C$21, $C$9, 100%, $E$9)</f>
        <v>19.7042</v>
      </c>
      <c r="D420" s="14">
        <f>CHOOSE(CONTROL!$C$42, 19.768, 19.768) * CHOOSE(CONTROL!$C$21, $C$9, 100%, $E$9)</f>
        <v>19.768000000000001</v>
      </c>
      <c r="E420" s="14">
        <f>CHOOSE(CONTROL!$C$42, 19.8021, 19.8021) * CHOOSE(CONTROL!$C$21, $C$9, 100%, $E$9)</f>
        <v>19.802099999999999</v>
      </c>
      <c r="F420" s="14">
        <f>CHOOSE(CONTROL!$C$42, 19.7034, 19.7034)*CHOOSE(CONTROL!$C$21, $C$9, 100%, $E$9)</f>
        <v>19.703399999999998</v>
      </c>
      <c r="G420" s="14">
        <f>CHOOSE(CONTROL!$C$42, 19.7206, 19.7206)*CHOOSE(CONTROL!$C$21, $C$9, 100%, $E$9)</f>
        <v>19.720600000000001</v>
      </c>
      <c r="H420" s="14">
        <f>CHOOSE(CONTROL!$C$42, 19.7913, 19.7913) * CHOOSE(CONTROL!$C$21, $C$9, 100%, $E$9)</f>
        <v>19.7913</v>
      </c>
      <c r="I420" s="14">
        <f>CHOOSE(CONTROL!$C$42, 19.7747, 19.7747)* CHOOSE(CONTROL!$C$21, $C$9, 100%, $E$9)</f>
        <v>19.774699999999999</v>
      </c>
      <c r="J420" s="14">
        <f>CHOOSE(CONTROL!$C$42, 19.6964, 19.6964)* CHOOSE(CONTROL!$C$21, $C$9, 100%, $E$9)</f>
        <v>19.696400000000001</v>
      </c>
      <c r="K420" s="53">
        <f>CHOOSE(CONTROL!$C$42, 19.7708, 19.7708) * CHOOSE(CONTROL!$C$21, $C$9, 100%, $E$9)</f>
        <v>19.770800000000001</v>
      </c>
      <c r="L420" s="14">
        <f>CHOOSE(CONTROL!$C$42, 20.3783, 20.3783) * CHOOSE(CONTROL!$C$21, $C$9, 100%, $E$9)</f>
        <v>20.378299999999999</v>
      </c>
      <c r="M420" s="14">
        <f>CHOOSE(CONTROL!$C$42, 19.3006, 19.3006) * CHOOSE(CONTROL!$C$21, $C$9, 100%, $E$9)</f>
        <v>19.300599999999999</v>
      </c>
      <c r="N420" s="14">
        <f>CHOOSE(CONTROL!$C$42, 19.3174, 19.3174) * CHOOSE(CONTROL!$C$21, $C$9, 100%, $E$9)</f>
        <v>19.317399999999999</v>
      </c>
      <c r="O420" s="14">
        <f>CHOOSE(CONTROL!$C$42, 19.3935, 19.3935) * CHOOSE(CONTROL!$C$21, $C$9, 100%, $E$9)</f>
        <v>19.3935</v>
      </c>
      <c r="P420" s="14">
        <f>CHOOSE(CONTROL!$C$42, 19.3761, 19.3761) * CHOOSE(CONTROL!$C$21, $C$9, 100%, $E$9)</f>
        <v>19.376100000000001</v>
      </c>
      <c r="Q420" s="14">
        <f>CHOOSE(CONTROL!$C$42, 19.9882, 19.9882) * CHOOSE(CONTROL!$C$21, $C$9, 100%, $E$9)</f>
        <v>19.988199999999999</v>
      </c>
      <c r="R420" s="14">
        <f>CHOOSE(CONTROL!$C$42, 20.6252, 20.6252) * CHOOSE(CONTROL!$C$21, $C$9, 100%, $E$9)</f>
        <v>20.6252</v>
      </c>
      <c r="S420" s="14">
        <f>CHOOSE(CONTROL!$C$42, 18.9203, 18.9203) * CHOOSE(CONTROL!$C$21, $C$9, 100%, $E$9)</f>
        <v>18.920300000000001</v>
      </c>
      <c r="T4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7">
        <f>(1000*CHOOSE(CONTROL!$C$42, 695, 695)*CHOOSE(CONTROL!$C$42, 0.5599, 0.5599)*CHOOSE(CONTROL!$C$42, 31, 31))/1000000</f>
        <v>12.063045499999998</v>
      </c>
      <c r="V420" s="57">
        <f>(1000*CHOOSE(CONTROL!$C$42, 500, 500)*CHOOSE(CONTROL!$C$42, 0.275, 0.275)*CHOOSE(CONTROL!$C$42, 31, 31))/1000000</f>
        <v>4.2625000000000002</v>
      </c>
      <c r="W420" s="57">
        <f>(1000*CHOOSE(CONTROL!$C$42, 0.1146, 0.1146)*CHOOSE(CONTROL!$C$42, 121.5, 121.5)*CHOOSE(CONTROL!$C$42, 31, 31))/1000000</f>
        <v>0.43164089999999994</v>
      </c>
      <c r="X420" s="57">
        <f>(31*0.1790888*100000/1000000)+(31*0.2374*100000/1000000)</f>
        <v>1.2911152800000001</v>
      </c>
      <c r="Y420" s="57"/>
      <c r="Z420" s="14"/>
      <c r="AA420" s="56"/>
      <c r="AB420" s="50">
        <f>(B420*122.58+C420*297.941+D420*89.177+E420*40.302+F420*40+G420*160+H420*0+I420*100+J420*300)/(122.58+297.941+89.177+40.302+0+40+160+100+300)</f>
        <v>19.718384261217391</v>
      </c>
      <c r="AC420" s="45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19.354535971223022</v>
      </c>
    </row>
    <row r="421" spans="1:29" ht="15.75" x14ac:dyDescent="0.25">
      <c r="A421" s="33">
        <v>53723</v>
      </c>
      <c r="B421" s="14">
        <f>CHOOSE(CONTROL!$C$42, 21.312, 21.312) * CHOOSE(CONTROL!$C$21, $C$9, 100%, $E$9)</f>
        <v>21.312000000000001</v>
      </c>
      <c r="C421" s="14">
        <f>CHOOSE(CONTROL!$C$42, 21.317, 21.317) * CHOOSE(CONTROL!$C$21, $C$9, 100%, $E$9)</f>
        <v>21.317</v>
      </c>
      <c r="D421" s="14">
        <f>CHOOSE(CONTROL!$C$42, 21.3756, 21.3756) * CHOOSE(CONTROL!$C$21, $C$9, 100%, $E$9)</f>
        <v>21.375599999999999</v>
      </c>
      <c r="E421" s="14">
        <f>CHOOSE(CONTROL!$C$42, 21.4097, 21.4097) * CHOOSE(CONTROL!$C$21, $C$9, 100%, $E$9)</f>
        <v>21.409700000000001</v>
      </c>
      <c r="F421" s="14">
        <f>CHOOSE(CONTROL!$C$42, 21.3111, 21.3111)*CHOOSE(CONTROL!$C$21, $C$9, 100%, $E$9)</f>
        <v>21.3111</v>
      </c>
      <c r="G421" s="14">
        <f>CHOOSE(CONTROL!$C$42, 21.3274, 21.3274)*CHOOSE(CONTROL!$C$21, $C$9, 100%, $E$9)</f>
        <v>21.327400000000001</v>
      </c>
      <c r="H421" s="14">
        <f>CHOOSE(CONTROL!$C$42, 21.3989, 21.3989) * CHOOSE(CONTROL!$C$21, $C$9, 100%, $E$9)</f>
        <v>21.398900000000001</v>
      </c>
      <c r="I421" s="14">
        <f>CHOOSE(CONTROL!$C$42, 21.3889, 21.3889)* CHOOSE(CONTROL!$C$21, $C$9, 100%, $E$9)</f>
        <v>21.3889</v>
      </c>
      <c r="J421" s="14">
        <f>CHOOSE(CONTROL!$C$42, 21.3041, 21.3041)* CHOOSE(CONTROL!$C$21, $C$9, 100%, $E$9)</f>
        <v>21.304099999999998</v>
      </c>
      <c r="K421" s="53">
        <f>CHOOSE(CONTROL!$C$42, 21.385, 21.385) * CHOOSE(CONTROL!$C$21, $C$9, 100%, $E$9)</f>
        <v>21.385000000000002</v>
      </c>
      <c r="L421" s="14">
        <f>CHOOSE(CONTROL!$C$42, 21.9859, 21.9859) * CHOOSE(CONTROL!$C$21, $C$9, 100%, $E$9)</f>
        <v>21.985900000000001</v>
      </c>
      <c r="M421" s="14">
        <f>CHOOSE(CONTROL!$C$42, 20.8753, 20.8753) * CHOOSE(CONTROL!$C$21, $C$9, 100%, $E$9)</f>
        <v>20.875299999999999</v>
      </c>
      <c r="N421" s="14">
        <f>CHOOSE(CONTROL!$C$42, 20.8913, 20.8913) * CHOOSE(CONTROL!$C$21, $C$9, 100%, $E$9)</f>
        <v>20.891300000000001</v>
      </c>
      <c r="O421" s="14">
        <f>CHOOSE(CONTROL!$C$42, 20.9682, 20.9682) * CHOOSE(CONTROL!$C$21, $C$9, 100%, $E$9)</f>
        <v>20.9682</v>
      </c>
      <c r="P421" s="14">
        <f>CHOOSE(CONTROL!$C$42, 20.9571, 20.9571) * CHOOSE(CONTROL!$C$21, $C$9, 100%, $E$9)</f>
        <v>20.957100000000001</v>
      </c>
      <c r="Q421" s="14">
        <f>CHOOSE(CONTROL!$C$42, 21.5629, 21.5629) * CHOOSE(CONTROL!$C$21, $C$9, 100%, $E$9)</f>
        <v>21.562899999999999</v>
      </c>
      <c r="R421" s="14">
        <f>CHOOSE(CONTROL!$C$42, 22.2038, 22.2038) * CHOOSE(CONTROL!$C$21, $C$9, 100%, $E$9)</f>
        <v>22.203800000000001</v>
      </c>
      <c r="S421" s="14">
        <f>CHOOSE(CONTROL!$C$42, 20.4701, 20.4701) * CHOOSE(CONTROL!$C$21, $C$9, 100%, $E$9)</f>
        <v>20.470099999999999</v>
      </c>
      <c r="T4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7">
        <f>(1000*CHOOSE(CONTROL!$C$42, 695, 695)*CHOOSE(CONTROL!$C$42, 0.5599, 0.5599)*CHOOSE(CONTROL!$C$42, 31, 31))/1000000</f>
        <v>12.063045499999998</v>
      </c>
      <c r="V421" s="57">
        <f>(1000*CHOOSE(CONTROL!$C$42, 500, 500)*CHOOSE(CONTROL!$C$42, 0.275, 0.275)*CHOOSE(CONTROL!$C$42, 31, 31))/1000000</f>
        <v>4.2625000000000002</v>
      </c>
      <c r="W421" s="57">
        <f>(1000*CHOOSE(CONTROL!$C$42, 0.1146, 0.1146)*CHOOSE(CONTROL!$C$42, 121.5, 121.5)*CHOOSE(CONTROL!$C$42, 31, 31))/1000000</f>
        <v>0.43164089999999994</v>
      </c>
      <c r="X421" s="57">
        <f>(31*0.1790888*100000/1000000)+(31*0.2374*100000/1000000)</f>
        <v>1.2911152800000001</v>
      </c>
      <c r="Y421" s="57"/>
      <c r="Z421" s="14"/>
      <c r="AA421" s="56"/>
      <c r="AB421" s="50">
        <f>(B421*122.58+C421*297.941+D421*89.177+E421*40.302+F421*40+G421*160+H421*0+I421*100+J421*300)/(122.58+297.941+89.177+40.302+0+40+160+100+300)</f>
        <v>21.328388580521739</v>
      </c>
      <c r="AC421" s="45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20.930096402877698</v>
      </c>
    </row>
    <row r="422" spans="1:29" ht="15.75" x14ac:dyDescent="0.25">
      <c r="A422" s="33">
        <v>53751</v>
      </c>
      <c r="B422" s="14">
        <f>CHOOSE(CONTROL!$C$42, 21.6912, 21.6912) * CHOOSE(CONTROL!$C$21, $C$9, 100%, $E$9)</f>
        <v>21.691199999999998</v>
      </c>
      <c r="C422" s="14">
        <f>CHOOSE(CONTROL!$C$42, 21.6962, 21.6962) * CHOOSE(CONTROL!$C$21, $C$9, 100%, $E$9)</f>
        <v>21.696200000000001</v>
      </c>
      <c r="D422" s="14">
        <f>CHOOSE(CONTROL!$C$42, 21.7548, 21.7548) * CHOOSE(CONTROL!$C$21, $C$9, 100%, $E$9)</f>
        <v>21.754799999999999</v>
      </c>
      <c r="E422" s="14">
        <f>CHOOSE(CONTROL!$C$42, 21.789, 21.789) * CHOOSE(CONTROL!$C$21, $C$9, 100%, $E$9)</f>
        <v>21.789000000000001</v>
      </c>
      <c r="F422" s="14">
        <f>CHOOSE(CONTROL!$C$42, 21.6903, 21.6903)*CHOOSE(CONTROL!$C$21, $C$9, 100%, $E$9)</f>
        <v>21.690300000000001</v>
      </c>
      <c r="G422" s="14">
        <f>CHOOSE(CONTROL!$C$42, 21.7066, 21.7066)*CHOOSE(CONTROL!$C$21, $C$9, 100%, $E$9)</f>
        <v>21.706600000000002</v>
      </c>
      <c r="H422" s="14">
        <f>CHOOSE(CONTROL!$C$42, 21.7781, 21.7781) * CHOOSE(CONTROL!$C$21, $C$9, 100%, $E$9)</f>
        <v>21.778099999999998</v>
      </c>
      <c r="I422" s="14">
        <f>CHOOSE(CONTROL!$C$42, 21.7693, 21.7693)* CHOOSE(CONTROL!$C$21, $C$9, 100%, $E$9)</f>
        <v>21.769300000000001</v>
      </c>
      <c r="J422" s="14">
        <f>CHOOSE(CONTROL!$C$42, 21.6833, 21.6833)* CHOOSE(CONTROL!$C$21, $C$9, 100%, $E$9)</f>
        <v>21.683299999999999</v>
      </c>
      <c r="K422" s="53">
        <f>CHOOSE(CONTROL!$C$42, 21.7654, 21.7654) * CHOOSE(CONTROL!$C$21, $C$9, 100%, $E$9)</f>
        <v>21.7654</v>
      </c>
      <c r="L422" s="14">
        <f>CHOOSE(CONTROL!$C$42, 22.3651, 22.3651) * CHOOSE(CONTROL!$C$21, $C$9, 100%, $E$9)</f>
        <v>22.365100000000002</v>
      </c>
      <c r="M422" s="14">
        <f>CHOOSE(CONTROL!$C$42, 21.2467, 21.2467) * CHOOSE(CONTROL!$C$21, $C$9, 100%, $E$9)</f>
        <v>21.246700000000001</v>
      </c>
      <c r="N422" s="14">
        <f>CHOOSE(CONTROL!$C$42, 21.2627, 21.2627) * CHOOSE(CONTROL!$C$21, $C$9, 100%, $E$9)</f>
        <v>21.262699999999999</v>
      </c>
      <c r="O422" s="14">
        <f>CHOOSE(CONTROL!$C$42, 21.3396, 21.3396) * CHOOSE(CONTROL!$C$21, $C$9, 100%, $E$9)</f>
        <v>21.339600000000001</v>
      </c>
      <c r="P422" s="14">
        <f>CHOOSE(CONTROL!$C$42, 21.3297, 21.3297) * CHOOSE(CONTROL!$C$21, $C$9, 100%, $E$9)</f>
        <v>21.329699999999999</v>
      </c>
      <c r="Q422" s="14">
        <f>CHOOSE(CONTROL!$C$42, 21.9343, 21.9343) * CHOOSE(CONTROL!$C$21, $C$9, 100%, $E$9)</f>
        <v>21.9343</v>
      </c>
      <c r="R422" s="14">
        <f>CHOOSE(CONTROL!$C$42, 22.5762, 22.5762) * CHOOSE(CONTROL!$C$21, $C$9, 100%, $E$9)</f>
        <v>22.5762</v>
      </c>
      <c r="S422" s="14">
        <f>CHOOSE(CONTROL!$C$42, 20.8345, 20.8345) * CHOOSE(CONTROL!$C$21, $C$9, 100%, $E$9)</f>
        <v>20.834499999999998</v>
      </c>
      <c r="T4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7">
        <f>(1000*CHOOSE(CONTROL!$C$42, 695, 695)*CHOOSE(CONTROL!$C$42, 0.5599, 0.5599)*CHOOSE(CONTROL!$C$42, 28, 28))/1000000</f>
        <v>10.895653999999999</v>
      </c>
      <c r="V422" s="57">
        <f>(1000*CHOOSE(CONTROL!$C$42, 500, 500)*CHOOSE(CONTROL!$C$42, 0.275, 0.275)*CHOOSE(CONTROL!$C$42, 28, 28))/1000000</f>
        <v>3.85</v>
      </c>
      <c r="W422" s="57">
        <f>(1000*CHOOSE(CONTROL!$C$42, 0.1146, 0.1146)*CHOOSE(CONTROL!$C$42, 121.5, 121.5)*CHOOSE(CONTROL!$C$42, 28, 28))/1000000</f>
        <v>0.38986920000000003</v>
      </c>
      <c r="X422" s="57">
        <f>(28*0.1790888*100000/1000000)+(28*0.2374*100000/1000000)</f>
        <v>1.16616864</v>
      </c>
      <c r="Y422" s="57"/>
      <c r="Z422" s="14"/>
      <c r="AA422" s="56"/>
      <c r="AB422" s="50">
        <f>(B422*122.58+C422*297.941+D422*89.177+E422*40.302+F422*40+G422*160+H422*0+I422*100+J422*300)/(122.58+297.941+89.177+40.302+0+40+160+100+300)</f>
        <v>21.707696432869568</v>
      </c>
      <c r="AC422" s="45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21.3016690647482</v>
      </c>
    </row>
    <row r="423" spans="1:29" ht="15.75" x14ac:dyDescent="0.25">
      <c r="A423" s="33">
        <v>53782</v>
      </c>
      <c r="B423" s="14">
        <f>CHOOSE(CONTROL!$C$42, 21.0756, 21.0756) * CHOOSE(CONTROL!$C$21, $C$9, 100%, $E$9)</f>
        <v>21.075600000000001</v>
      </c>
      <c r="C423" s="14">
        <f>CHOOSE(CONTROL!$C$42, 21.0807, 21.0807) * CHOOSE(CONTROL!$C$21, $C$9, 100%, $E$9)</f>
        <v>21.0807</v>
      </c>
      <c r="D423" s="14">
        <f>CHOOSE(CONTROL!$C$42, 21.1393, 21.1393) * CHOOSE(CONTROL!$C$21, $C$9, 100%, $E$9)</f>
        <v>21.139299999999999</v>
      </c>
      <c r="E423" s="14">
        <f>CHOOSE(CONTROL!$C$42, 21.1734, 21.1734) * CHOOSE(CONTROL!$C$21, $C$9, 100%, $E$9)</f>
        <v>21.173400000000001</v>
      </c>
      <c r="F423" s="14">
        <f>CHOOSE(CONTROL!$C$42, 21.0742, 21.0742)*CHOOSE(CONTROL!$C$21, $C$9, 100%, $E$9)</f>
        <v>21.074200000000001</v>
      </c>
      <c r="G423" s="14">
        <f>CHOOSE(CONTROL!$C$42, 21.0904, 21.0904)*CHOOSE(CONTROL!$C$21, $C$9, 100%, $E$9)</f>
        <v>21.090399999999999</v>
      </c>
      <c r="H423" s="14">
        <f>CHOOSE(CONTROL!$C$42, 21.1626, 21.1626) * CHOOSE(CONTROL!$C$21, $C$9, 100%, $E$9)</f>
        <v>21.162600000000001</v>
      </c>
      <c r="I423" s="14">
        <f>CHOOSE(CONTROL!$C$42, 21.1519, 21.1519)* CHOOSE(CONTROL!$C$21, $C$9, 100%, $E$9)</f>
        <v>21.151900000000001</v>
      </c>
      <c r="J423" s="14">
        <f>CHOOSE(CONTROL!$C$42, 21.0672, 21.0672)* CHOOSE(CONTROL!$C$21, $C$9, 100%, $E$9)</f>
        <v>21.0672</v>
      </c>
      <c r="K423" s="53">
        <f>CHOOSE(CONTROL!$C$42, 21.148, 21.148) * CHOOSE(CONTROL!$C$21, $C$9, 100%, $E$9)</f>
        <v>21.148</v>
      </c>
      <c r="L423" s="14">
        <f>CHOOSE(CONTROL!$C$42, 21.7496, 21.7496) * CHOOSE(CONTROL!$C$21, $C$9, 100%, $E$9)</f>
        <v>21.749600000000001</v>
      </c>
      <c r="M423" s="14">
        <f>CHOOSE(CONTROL!$C$42, 20.6432, 20.6432) * CHOOSE(CONTROL!$C$21, $C$9, 100%, $E$9)</f>
        <v>20.6432</v>
      </c>
      <c r="N423" s="14">
        <f>CHOOSE(CONTROL!$C$42, 20.6591, 20.6591) * CHOOSE(CONTROL!$C$21, $C$9, 100%, $E$9)</f>
        <v>20.659099999999999</v>
      </c>
      <c r="O423" s="14">
        <f>CHOOSE(CONTROL!$C$42, 20.7367, 20.7367) * CHOOSE(CONTROL!$C$21, $C$9, 100%, $E$9)</f>
        <v>20.736699999999999</v>
      </c>
      <c r="P423" s="14">
        <f>CHOOSE(CONTROL!$C$42, 20.7249, 20.7249) * CHOOSE(CONTROL!$C$21, $C$9, 100%, $E$9)</f>
        <v>20.724900000000002</v>
      </c>
      <c r="Q423" s="14">
        <f>CHOOSE(CONTROL!$C$42, 21.3314, 21.3314) * CHOOSE(CONTROL!$C$21, $C$9, 100%, $E$9)</f>
        <v>21.331399999999999</v>
      </c>
      <c r="R423" s="14">
        <f>CHOOSE(CONTROL!$C$42, 21.9717, 21.9717) * CHOOSE(CONTROL!$C$21, $C$9, 100%, $E$9)</f>
        <v>21.971699999999998</v>
      </c>
      <c r="S423" s="14">
        <f>CHOOSE(CONTROL!$C$42, 20.243, 20.243) * CHOOSE(CONTROL!$C$21, $C$9, 100%, $E$9)</f>
        <v>20.242999999999999</v>
      </c>
      <c r="T4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7">
        <f>(1000*CHOOSE(CONTROL!$C$42, 695, 695)*CHOOSE(CONTROL!$C$42, 0.5599, 0.5599)*CHOOSE(CONTROL!$C$42, 31, 31))/1000000</f>
        <v>12.063045499999998</v>
      </c>
      <c r="V423" s="57">
        <f>(1000*CHOOSE(CONTROL!$C$42, 500, 500)*CHOOSE(CONTROL!$C$42, 0.275, 0.275)*CHOOSE(CONTROL!$C$42, 31, 31))/1000000</f>
        <v>4.2625000000000002</v>
      </c>
      <c r="W423" s="57">
        <f>(1000*CHOOSE(CONTROL!$C$42, 0.1146, 0.1146)*CHOOSE(CONTROL!$C$42, 121.5, 121.5)*CHOOSE(CONTROL!$C$42, 31, 31))/1000000</f>
        <v>0.43164089999999994</v>
      </c>
      <c r="X423" s="57">
        <f>(31*0.1790888*100000/1000000)+(31*0.2374*100000/1000000)</f>
        <v>1.2911152800000001</v>
      </c>
      <c r="Y423" s="57"/>
      <c r="Z423" s="14"/>
      <c r="AA423" s="56"/>
      <c r="AB423" s="50">
        <f>(B423*122.58+C423*297.941+D423*89.177+E423*40.302+F423*40+G423*160+H423*0+I423*100+J423*300)/(122.58+297.941+89.177+40.302+0+40+160+100+300)</f>
        <v>21.091742269217391</v>
      </c>
      <c r="AC423" s="45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20.698248201438847</v>
      </c>
    </row>
    <row r="424" spans="1:29" ht="15.75" x14ac:dyDescent="0.25">
      <c r="A424" s="33">
        <v>53812</v>
      </c>
      <c r="B424" s="14">
        <f>CHOOSE(CONTROL!$C$42, 21.0137, 21.0137) * CHOOSE(CONTROL!$C$21, $C$9, 100%, $E$9)</f>
        <v>21.0137</v>
      </c>
      <c r="C424" s="14">
        <f>CHOOSE(CONTROL!$C$42, 21.0182, 21.0182) * CHOOSE(CONTROL!$C$21, $C$9, 100%, $E$9)</f>
        <v>21.0182</v>
      </c>
      <c r="D424" s="14">
        <f>CHOOSE(CONTROL!$C$42, 21.2263, 21.2263) * CHOOSE(CONTROL!$C$21, $C$9, 100%, $E$9)</f>
        <v>21.226299999999998</v>
      </c>
      <c r="E424" s="14">
        <f>CHOOSE(CONTROL!$C$42, 21.2584, 21.2584) * CHOOSE(CONTROL!$C$21, $C$9, 100%, $E$9)</f>
        <v>21.258400000000002</v>
      </c>
      <c r="F424" s="14">
        <f>CHOOSE(CONTROL!$C$42, 21.0011, 21.0011)*CHOOSE(CONTROL!$C$21, $C$9, 100%, $E$9)</f>
        <v>21.001100000000001</v>
      </c>
      <c r="G424" s="14">
        <f>CHOOSE(CONTROL!$C$42, 21.017, 21.017)*CHOOSE(CONTROL!$C$21, $C$9, 100%, $E$9)</f>
        <v>21.016999999999999</v>
      </c>
      <c r="H424" s="14">
        <f>CHOOSE(CONTROL!$C$42, 21.2482, 21.2482) * CHOOSE(CONTROL!$C$21, $C$9, 100%, $E$9)</f>
        <v>21.248200000000001</v>
      </c>
      <c r="I424" s="14">
        <f>CHOOSE(CONTROL!$C$42, 21.089, 21.089)* CHOOSE(CONTROL!$C$21, $C$9, 100%, $E$9)</f>
        <v>21.088999999999999</v>
      </c>
      <c r="J424" s="14">
        <f>CHOOSE(CONTROL!$C$42, 20.9941, 20.9941)* CHOOSE(CONTROL!$C$21, $C$9, 100%, $E$9)</f>
        <v>20.9941</v>
      </c>
      <c r="K424" s="53">
        <f>CHOOSE(CONTROL!$C$42, 21.0851, 21.0851) * CHOOSE(CONTROL!$C$21, $C$9, 100%, $E$9)</f>
        <v>21.085100000000001</v>
      </c>
      <c r="L424" s="14">
        <f>CHOOSE(CONTROL!$C$42, 21.8352, 21.8352) * CHOOSE(CONTROL!$C$21, $C$9, 100%, $E$9)</f>
        <v>21.8352</v>
      </c>
      <c r="M424" s="14">
        <f>CHOOSE(CONTROL!$C$42, 20.5716, 20.5716) * CHOOSE(CONTROL!$C$21, $C$9, 100%, $E$9)</f>
        <v>20.5716</v>
      </c>
      <c r="N424" s="14">
        <f>CHOOSE(CONTROL!$C$42, 20.5872, 20.5872) * CHOOSE(CONTROL!$C$21, $C$9, 100%, $E$9)</f>
        <v>20.587199999999999</v>
      </c>
      <c r="O424" s="14">
        <f>CHOOSE(CONTROL!$C$42, 20.8205, 20.8205) * CHOOSE(CONTROL!$C$21, $C$9, 100%, $E$9)</f>
        <v>20.820499999999999</v>
      </c>
      <c r="P424" s="14">
        <f>CHOOSE(CONTROL!$C$42, 20.6633, 20.6633) * CHOOSE(CONTROL!$C$21, $C$9, 100%, $E$9)</f>
        <v>20.6633</v>
      </c>
      <c r="Q424" s="14">
        <f>CHOOSE(CONTROL!$C$42, 21.4152, 21.4152) * CHOOSE(CONTROL!$C$21, $C$9, 100%, $E$9)</f>
        <v>21.415199999999999</v>
      </c>
      <c r="R424" s="14">
        <f>CHOOSE(CONTROL!$C$42, 22.0558, 22.0558) * CHOOSE(CONTROL!$C$21, $C$9, 100%, $E$9)</f>
        <v>22.055800000000001</v>
      </c>
      <c r="S424" s="14">
        <f>CHOOSE(CONTROL!$C$42, 20.1828, 20.1828) * CHOOSE(CONTROL!$C$21, $C$9, 100%, $E$9)</f>
        <v>20.1828</v>
      </c>
      <c r="T4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7">
        <f>(1000*CHOOSE(CONTROL!$C$42, 695, 695)*CHOOSE(CONTROL!$C$42, 0.5599, 0.5599)*CHOOSE(CONTROL!$C$42, 30, 30))/1000000</f>
        <v>11.673914999999997</v>
      </c>
      <c r="V424" s="57">
        <f>(1000*CHOOSE(CONTROL!$C$42, 500, 500)*CHOOSE(CONTROL!$C$42, 0.275, 0.275)*CHOOSE(CONTROL!$C$42, 30, 30))/1000000</f>
        <v>4.125</v>
      </c>
      <c r="W424" s="57">
        <f>(1000*CHOOSE(CONTROL!$C$42, 0.1146, 0.1146)*CHOOSE(CONTROL!$C$42, 121.5, 121.5)*CHOOSE(CONTROL!$C$42, 30, 30))/1000000</f>
        <v>0.417717</v>
      </c>
      <c r="X424" s="57">
        <f>(30*0.1790888*245000/1000000)+(30*0.2374*100000/1000000)</f>
        <v>2.0285026799999999</v>
      </c>
      <c r="Y424" s="57"/>
      <c r="Z424" s="14"/>
      <c r="AA424" s="56"/>
      <c r="AB424" s="50">
        <f>(B424*141.293+C424*267.993+D424*115.016+E424*89.698+F424*40+G424*185+H424*0+I424*100+J424*300)/(141.293+267.993+115.016+89.698+0+40+185+100+300)</f>
        <v>21.053541784261498</v>
      </c>
      <c r="AC424" s="45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20.658220863309353</v>
      </c>
    </row>
    <row r="425" spans="1:29" ht="15.75" x14ac:dyDescent="0.25">
      <c r="A425" s="33">
        <v>53843</v>
      </c>
      <c r="B425" s="14">
        <f>CHOOSE(CONTROL!$C$42, 21.2005, 21.2005) * CHOOSE(CONTROL!$C$21, $C$9, 100%, $E$9)</f>
        <v>21.200500000000002</v>
      </c>
      <c r="C425" s="14">
        <f>CHOOSE(CONTROL!$C$42, 21.2085, 21.2085) * CHOOSE(CONTROL!$C$21, $C$9, 100%, $E$9)</f>
        <v>21.208500000000001</v>
      </c>
      <c r="D425" s="14">
        <f>CHOOSE(CONTROL!$C$42, 21.4135, 21.4135) * CHOOSE(CONTROL!$C$21, $C$9, 100%, $E$9)</f>
        <v>21.413499999999999</v>
      </c>
      <c r="E425" s="14">
        <f>CHOOSE(CONTROL!$C$42, 21.445, 21.445) * CHOOSE(CONTROL!$C$21, $C$9, 100%, $E$9)</f>
        <v>21.445</v>
      </c>
      <c r="F425" s="14">
        <f>CHOOSE(CONTROL!$C$42, 21.1867, 21.1867)*CHOOSE(CONTROL!$C$21, $C$9, 100%, $E$9)</f>
        <v>21.186699999999998</v>
      </c>
      <c r="G425" s="14">
        <f>CHOOSE(CONTROL!$C$42, 21.2031, 21.2031)*CHOOSE(CONTROL!$C$21, $C$9, 100%, $E$9)</f>
        <v>21.203099999999999</v>
      </c>
      <c r="H425" s="14">
        <f>CHOOSE(CONTROL!$C$42, 21.4336, 21.4336) * CHOOSE(CONTROL!$C$21, $C$9, 100%, $E$9)</f>
        <v>21.433599999999998</v>
      </c>
      <c r="I425" s="14">
        <f>CHOOSE(CONTROL!$C$42, 21.2749, 21.2749)* CHOOSE(CONTROL!$C$21, $C$9, 100%, $E$9)</f>
        <v>21.274899999999999</v>
      </c>
      <c r="J425" s="14">
        <f>CHOOSE(CONTROL!$C$42, 21.1797, 21.1797)* CHOOSE(CONTROL!$C$21, $C$9, 100%, $E$9)</f>
        <v>21.1797</v>
      </c>
      <c r="K425" s="53">
        <f>CHOOSE(CONTROL!$C$42, 21.271, 21.271) * CHOOSE(CONTROL!$C$21, $C$9, 100%, $E$9)</f>
        <v>21.271000000000001</v>
      </c>
      <c r="L425" s="14">
        <f>CHOOSE(CONTROL!$C$42, 22.0206, 22.0206) * CHOOSE(CONTROL!$C$21, $C$9, 100%, $E$9)</f>
        <v>22.020600000000002</v>
      </c>
      <c r="M425" s="14">
        <f>CHOOSE(CONTROL!$C$42, 20.7534, 20.7534) * CHOOSE(CONTROL!$C$21, $C$9, 100%, $E$9)</f>
        <v>20.753399999999999</v>
      </c>
      <c r="N425" s="14">
        <f>CHOOSE(CONTROL!$C$42, 20.7695, 20.7695) * CHOOSE(CONTROL!$C$21, $C$9, 100%, $E$9)</f>
        <v>20.769500000000001</v>
      </c>
      <c r="O425" s="14">
        <f>CHOOSE(CONTROL!$C$42, 21.0021, 21.0021) * CHOOSE(CONTROL!$C$21, $C$9, 100%, $E$9)</f>
        <v>21.002099999999999</v>
      </c>
      <c r="P425" s="14">
        <f>CHOOSE(CONTROL!$C$42, 20.8455, 20.8455) * CHOOSE(CONTROL!$C$21, $C$9, 100%, $E$9)</f>
        <v>20.845500000000001</v>
      </c>
      <c r="Q425" s="14">
        <f>CHOOSE(CONTROL!$C$42, 21.5968, 21.5968) * CHOOSE(CONTROL!$C$21, $C$9, 100%, $E$9)</f>
        <v>21.596800000000002</v>
      </c>
      <c r="R425" s="14">
        <f>CHOOSE(CONTROL!$C$42, 22.2378, 22.2378) * CHOOSE(CONTROL!$C$21, $C$9, 100%, $E$9)</f>
        <v>22.2378</v>
      </c>
      <c r="S425" s="14">
        <f>CHOOSE(CONTROL!$C$42, 20.3609, 20.3609) * CHOOSE(CONTROL!$C$21, $C$9, 100%, $E$9)</f>
        <v>20.360900000000001</v>
      </c>
      <c r="T4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7">
        <f>(1000*CHOOSE(CONTROL!$C$42, 695, 695)*CHOOSE(CONTROL!$C$42, 0.5599, 0.5599)*CHOOSE(CONTROL!$C$42, 31, 31))/1000000</f>
        <v>12.063045499999998</v>
      </c>
      <c r="V425" s="57">
        <f>(1000*CHOOSE(CONTROL!$C$42, 500, 500)*CHOOSE(CONTROL!$C$42, 0.275, 0.275)*CHOOSE(CONTROL!$C$42, 31, 31))/1000000</f>
        <v>4.2625000000000002</v>
      </c>
      <c r="W425" s="57">
        <f>(1000*CHOOSE(CONTROL!$C$42, 0.1146, 0.1146)*CHOOSE(CONTROL!$C$42, 121.5, 121.5)*CHOOSE(CONTROL!$C$42, 31, 31))/1000000</f>
        <v>0.43164089999999994</v>
      </c>
      <c r="X425" s="57">
        <f>(31*0.1790888*245000/1000000)+(31*0.2374*100000/1000000)</f>
        <v>2.0961194359999999</v>
      </c>
      <c r="Y425" s="57"/>
      <c r="Z425" s="14"/>
      <c r="AA425" s="56"/>
      <c r="AB425" s="50">
        <f>(B425*194.205+C425*267.466+D425*133.845+E425*53.484+F425*40+G425*185+H425*0+I425*100+J425*300)/(194.205+267.466+133.845+53.484+0+40+185+100+300)</f>
        <v>21.235707653846152</v>
      </c>
      <c r="AC425" s="45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20.840137410071939</v>
      </c>
    </row>
    <row r="426" spans="1:29" ht="15.75" x14ac:dyDescent="0.25">
      <c r="A426" s="33">
        <v>53873</v>
      </c>
      <c r="B426" s="14">
        <f>CHOOSE(CONTROL!$C$42, 21.8015, 21.8015) * CHOOSE(CONTROL!$C$21, $C$9, 100%, $E$9)</f>
        <v>21.801500000000001</v>
      </c>
      <c r="C426" s="14">
        <f>CHOOSE(CONTROL!$C$42, 21.8096, 21.8096) * CHOOSE(CONTROL!$C$21, $C$9, 100%, $E$9)</f>
        <v>21.8096</v>
      </c>
      <c r="D426" s="14">
        <f>CHOOSE(CONTROL!$C$42, 22.0145, 22.0145) * CHOOSE(CONTROL!$C$21, $C$9, 100%, $E$9)</f>
        <v>22.014500000000002</v>
      </c>
      <c r="E426" s="14">
        <f>CHOOSE(CONTROL!$C$42, 22.046, 22.046) * CHOOSE(CONTROL!$C$21, $C$9, 100%, $E$9)</f>
        <v>22.045999999999999</v>
      </c>
      <c r="F426" s="14">
        <f>CHOOSE(CONTROL!$C$42, 21.7881, 21.7881)*CHOOSE(CONTROL!$C$21, $C$9, 100%, $E$9)</f>
        <v>21.7881</v>
      </c>
      <c r="G426" s="14">
        <f>CHOOSE(CONTROL!$C$42, 21.8046, 21.8046)*CHOOSE(CONTROL!$C$21, $C$9, 100%, $E$9)</f>
        <v>21.804600000000001</v>
      </c>
      <c r="H426" s="14">
        <f>CHOOSE(CONTROL!$C$42, 22.0346, 22.0346) * CHOOSE(CONTROL!$C$21, $C$9, 100%, $E$9)</f>
        <v>22.034600000000001</v>
      </c>
      <c r="I426" s="14">
        <f>CHOOSE(CONTROL!$C$42, 21.8779, 21.8779)* CHOOSE(CONTROL!$C$21, $C$9, 100%, $E$9)</f>
        <v>21.8779</v>
      </c>
      <c r="J426" s="14">
        <f>CHOOSE(CONTROL!$C$42, 21.7811, 21.7811)* CHOOSE(CONTROL!$C$21, $C$9, 100%, $E$9)</f>
        <v>21.781099999999999</v>
      </c>
      <c r="K426" s="53">
        <f>CHOOSE(CONTROL!$C$42, 21.874, 21.874) * CHOOSE(CONTROL!$C$21, $C$9, 100%, $E$9)</f>
        <v>21.873999999999999</v>
      </c>
      <c r="L426" s="14">
        <f>CHOOSE(CONTROL!$C$42, 22.6216, 22.6216) * CHOOSE(CONTROL!$C$21, $C$9, 100%, $E$9)</f>
        <v>22.621600000000001</v>
      </c>
      <c r="M426" s="14">
        <f>CHOOSE(CONTROL!$C$42, 21.3425, 21.3425) * CHOOSE(CONTROL!$C$21, $C$9, 100%, $E$9)</f>
        <v>21.342500000000001</v>
      </c>
      <c r="N426" s="14">
        <f>CHOOSE(CONTROL!$C$42, 21.3587, 21.3587) * CHOOSE(CONTROL!$C$21, $C$9, 100%, $E$9)</f>
        <v>21.358699999999999</v>
      </c>
      <c r="O426" s="14">
        <f>CHOOSE(CONTROL!$C$42, 21.5908, 21.5908) * CHOOSE(CONTROL!$C$21, $C$9, 100%, $E$9)</f>
        <v>21.590800000000002</v>
      </c>
      <c r="P426" s="14">
        <f>CHOOSE(CONTROL!$C$42, 21.436, 21.436) * CHOOSE(CONTROL!$C$21, $C$9, 100%, $E$9)</f>
        <v>21.436</v>
      </c>
      <c r="Q426" s="14">
        <f>CHOOSE(CONTROL!$C$42, 22.1855, 22.1855) * CHOOSE(CONTROL!$C$21, $C$9, 100%, $E$9)</f>
        <v>22.185500000000001</v>
      </c>
      <c r="R426" s="14">
        <f>CHOOSE(CONTROL!$C$42, 22.828, 22.828) * CHOOSE(CONTROL!$C$21, $C$9, 100%, $E$9)</f>
        <v>22.827999999999999</v>
      </c>
      <c r="S426" s="14">
        <f>CHOOSE(CONTROL!$C$42, 20.9385, 20.9385) * CHOOSE(CONTROL!$C$21, $C$9, 100%, $E$9)</f>
        <v>20.938500000000001</v>
      </c>
      <c r="T4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7">
        <f>(1000*CHOOSE(CONTROL!$C$42, 695, 695)*CHOOSE(CONTROL!$C$42, 0.5599, 0.5599)*CHOOSE(CONTROL!$C$42, 30, 30))/1000000</f>
        <v>11.673914999999997</v>
      </c>
      <c r="V426" s="57">
        <f>(1000*CHOOSE(CONTROL!$C$42, 500, 500)*CHOOSE(CONTROL!$C$42, 0.275, 0.275)*CHOOSE(CONTROL!$C$42, 30, 30))/1000000</f>
        <v>4.125</v>
      </c>
      <c r="W426" s="57">
        <f>(1000*CHOOSE(CONTROL!$C$42, 0.1146, 0.1146)*CHOOSE(CONTROL!$C$42, 121.5, 121.5)*CHOOSE(CONTROL!$C$42, 30, 30))/1000000</f>
        <v>0.417717</v>
      </c>
      <c r="X426" s="57">
        <f>(30*0.1790888*245000/1000000)+(30*0.2374*100000/1000000)</f>
        <v>2.0285026799999999</v>
      </c>
      <c r="Y426" s="57"/>
      <c r="Z426" s="14"/>
      <c r="AA426" s="56"/>
      <c r="AB426" s="50">
        <f>(B426*194.205+C426*267.466+D426*133.845+E426*53.484+F426*40+G426*185+H426*0+I426*100+J426*300)/(194.205+267.466+133.845+53.484+0+40+185+100+300)</f>
        <v>21.837064990266878</v>
      </c>
      <c r="AC426" s="45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21.429349640287771</v>
      </c>
    </row>
    <row r="427" spans="1:29" ht="15.75" x14ac:dyDescent="0.25">
      <c r="A427" s="33">
        <v>53904</v>
      </c>
      <c r="B427" s="14">
        <f>CHOOSE(CONTROL!$C$42, 21.3835, 21.3835) * CHOOSE(CONTROL!$C$21, $C$9, 100%, $E$9)</f>
        <v>21.383500000000002</v>
      </c>
      <c r="C427" s="14">
        <f>CHOOSE(CONTROL!$C$42, 21.3915, 21.3915) * CHOOSE(CONTROL!$C$21, $C$9, 100%, $E$9)</f>
        <v>21.391500000000001</v>
      </c>
      <c r="D427" s="14">
        <f>CHOOSE(CONTROL!$C$42, 21.5965, 21.5965) * CHOOSE(CONTROL!$C$21, $C$9, 100%, $E$9)</f>
        <v>21.596499999999999</v>
      </c>
      <c r="E427" s="14">
        <f>CHOOSE(CONTROL!$C$42, 21.628, 21.628) * CHOOSE(CONTROL!$C$21, $C$9, 100%, $E$9)</f>
        <v>21.628</v>
      </c>
      <c r="F427" s="14">
        <f>CHOOSE(CONTROL!$C$42, 21.3705, 21.3705)*CHOOSE(CONTROL!$C$21, $C$9, 100%, $E$9)</f>
        <v>21.3705</v>
      </c>
      <c r="G427" s="14">
        <f>CHOOSE(CONTROL!$C$42, 21.3871, 21.3871)*CHOOSE(CONTROL!$C$21, $C$9, 100%, $E$9)</f>
        <v>21.3871</v>
      </c>
      <c r="H427" s="14">
        <f>CHOOSE(CONTROL!$C$42, 21.6166, 21.6166) * CHOOSE(CONTROL!$C$21, $C$9, 100%, $E$9)</f>
        <v>21.616599999999998</v>
      </c>
      <c r="I427" s="14">
        <f>CHOOSE(CONTROL!$C$42, 21.4585, 21.4585)* CHOOSE(CONTROL!$C$21, $C$9, 100%, $E$9)</f>
        <v>21.458500000000001</v>
      </c>
      <c r="J427" s="14">
        <f>CHOOSE(CONTROL!$C$42, 21.3635, 21.3635)* CHOOSE(CONTROL!$C$21, $C$9, 100%, $E$9)</f>
        <v>21.363499999999998</v>
      </c>
      <c r="K427" s="53">
        <f>CHOOSE(CONTROL!$C$42, 21.4546, 21.4546) * CHOOSE(CONTROL!$C$21, $C$9, 100%, $E$9)</f>
        <v>21.454599999999999</v>
      </c>
      <c r="L427" s="14">
        <f>CHOOSE(CONTROL!$C$42, 22.2036, 22.2036) * CHOOSE(CONTROL!$C$21, $C$9, 100%, $E$9)</f>
        <v>22.203600000000002</v>
      </c>
      <c r="M427" s="14">
        <f>CHOOSE(CONTROL!$C$42, 20.9334, 20.9334) * CHOOSE(CONTROL!$C$21, $C$9, 100%, $E$9)</f>
        <v>20.933399999999999</v>
      </c>
      <c r="N427" s="14">
        <f>CHOOSE(CONTROL!$C$42, 20.9497, 20.9497) * CHOOSE(CONTROL!$C$21, $C$9, 100%, $E$9)</f>
        <v>20.9497</v>
      </c>
      <c r="O427" s="14">
        <f>CHOOSE(CONTROL!$C$42, 21.1814, 21.1814) * CHOOSE(CONTROL!$C$21, $C$9, 100%, $E$9)</f>
        <v>21.1814</v>
      </c>
      <c r="P427" s="14">
        <f>CHOOSE(CONTROL!$C$42, 21.0253, 21.0253) * CHOOSE(CONTROL!$C$21, $C$9, 100%, $E$9)</f>
        <v>21.025300000000001</v>
      </c>
      <c r="Q427" s="14">
        <f>CHOOSE(CONTROL!$C$42, 21.7761, 21.7761) * CHOOSE(CONTROL!$C$21, $C$9, 100%, $E$9)</f>
        <v>21.7761</v>
      </c>
      <c r="R427" s="14">
        <f>CHOOSE(CONTROL!$C$42, 22.4175, 22.4175) * CHOOSE(CONTROL!$C$21, $C$9, 100%, $E$9)</f>
        <v>22.4175</v>
      </c>
      <c r="S427" s="14">
        <f>CHOOSE(CONTROL!$C$42, 20.5368, 20.5368) * CHOOSE(CONTROL!$C$21, $C$9, 100%, $E$9)</f>
        <v>20.536799999999999</v>
      </c>
      <c r="T4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7">
        <f>(1000*CHOOSE(CONTROL!$C$42, 695, 695)*CHOOSE(CONTROL!$C$42, 0.5599, 0.5599)*CHOOSE(CONTROL!$C$42, 31, 31))/1000000</f>
        <v>12.063045499999998</v>
      </c>
      <c r="V427" s="57">
        <f>(1000*CHOOSE(CONTROL!$C$42, 500, 500)*CHOOSE(CONTROL!$C$42, 0.275, 0.275)*CHOOSE(CONTROL!$C$42, 31, 31))/1000000</f>
        <v>4.2625000000000002</v>
      </c>
      <c r="W427" s="57">
        <f>(1000*CHOOSE(CONTROL!$C$42, 0.1146, 0.1146)*CHOOSE(CONTROL!$C$42, 121.5, 121.5)*CHOOSE(CONTROL!$C$42, 31, 31))/1000000</f>
        <v>0.43164089999999994</v>
      </c>
      <c r="X427" s="57">
        <f>(31*0.1790888*245000/1000000)+(31*0.2374*100000/1000000)</f>
        <v>2.0961194359999999</v>
      </c>
      <c r="Y427" s="57"/>
      <c r="Z427" s="14"/>
      <c r="AA427" s="56"/>
      <c r="AB427" s="50">
        <f>(B427*194.205+C427*267.466+D427*133.845+E427*53.484+F427*40+G427*185+H427*0+I427*100+J427*300)/(194.205+267.466+133.845+53.484+0+40+185+100+300)</f>
        <v>21.419113462323391</v>
      </c>
      <c r="AC427" s="45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21.019958273381295</v>
      </c>
    </row>
    <row r="428" spans="1:29" ht="15.75" x14ac:dyDescent="0.25">
      <c r="A428" s="33">
        <v>53935</v>
      </c>
      <c r="B428" s="14">
        <f>CHOOSE(CONTROL!$C$42, 20.3279, 20.3279) * CHOOSE(CONTROL!$C$21, $C$9, 100%, $E$9)</f>
        <v>20.3279</v>
      </c>
      <c r="C428" s="14">
        <f>CHOOSE(CONTROL!$C$42, 20.3359, 20.3359) * CHOOSE(CONTROL!$C$21, $C$9, 100%, $E$9)</f>
        <v>20.335899999999999</v>
      </c>
      <c r="D428" s="14">
        <f>CHOOSE(CONTROL!$C$42, 20.5409, 20.5409) * CHOOSE(CONTROL!$C$21, $C$9, 100%, $E$9)</f>
        <v>20.540900000000001</v>
      </c>
      <c r="E428" s="14">
        <f>CHOOSE(CONTROL!$C$42, 20.5723, 20.5723) * CHOOSE(CONTROL!$C$21, $C$9, 100%, $E$9)</f>
        <v>20.572299999999998</v>
      </c>
      <c r="F428" s="14">
        <f>CHOOSE(CONTROL!$C$42, 20.315, 20.315)*CHOOSE(CONTROL!$C$21, $C$9, 100%, $E$9)</f>
        <v>20.315000000000001</v>
      </c>
      <c r="G428" s="14">
        <f>CHOOSE(CONTROL!$C$42, 20.3317, 20.3317)*CHOOSE(CONTROL!$C$21, $C$9, 100%, $E$9)</f>
        <v>20.331700000000001</v>
      </c>
      <c r="H428" s="14">
        <f>CHOOSE(CONTROL!$C$42, 20.561, 20.561) * CHOOSE(CONTROL!$C$21, $C$9, 100%, $E$9)</f>
        <v>20.561</v>
      </c>
      <c r="I428" s="14">
        <f>CHOOSE(CONTROL!$C$42, 20.3996, 20.3996)* CHOOSE(CONTROL!$C$21, $C$9, 100%, $E$9)</f>
        <v>20.3996</v>
      </c>
      <c r="J428" s="14">
        <f>CHOOSE(CONTROL!$C$42, 20.308, 20.308)* CHOOSE(CONTROL!$C$21, $C$9, 100%, $E$9)</f>
        <v>20.308</v>
      </c>
      <c r="K428" s="53">
        <f>CHOOSE(CONTROL!$C$42, 20.3957, 20.3957) * CHOOSE(CONTROL!$C$21, $C$9, 100%, $E$9)</f>
        <v>20.395700000000001</v>
      </c>
      <c r="L428" s="14">
        <f>CHOOSE(CONTROL!$C$42, 21.148, 21.148) * CHOOSE(CONTROL!$C$21, $C$9, 100%, $E$9)</f>
        <v>21.148</v>
      </c>
      <c r="M428" s="14">
        <f>CHOOSE(CONTROL!$C$42, 19.8996, 19.8996) * CHOOSE(CONTROL!$C$21, $C$9, 100%, $E$9)</f>
        <v>19.8996</v>
      </c>
      <c r="N428" s="14">
        <f>CHOOSE(CONTROL!$C$42, 19.916, 19.916) * CHOOSE(CONTROL!$C$21, $C$9, 100%, $E$9)</f>
        <v>19.916</v>
      </c>
      <c r="O428" s="14">
        <f>CHOOSE(CONTROL!$C$42, 20.1474, 20.1474) * CHOOSE(CONTROL!$C$21, $C$9, 100%, $E$9)</f>
        <v>20.147400000000001</v>
      </c>
      <c r="P428" s="14">
        <f>CHOOSE(CONTROL!$C$42, 19.9881, 19.9881) * CHOOSE(CONTROL!$C$21, $C$9, 100%, $E$9)</f>
        <v>19.988099999999999</v>
      </c>
      <c r="Q428" s="14">
        <f>CHOOSE(CONTROL!$C$42, 20.7421, 20.7421) * CHOOSE(CONTROL!$C$21, $C$9, 100%, $E$9)</f>
        <v>20.742100000000001</v>
      </c>
      <c r="R428" s="14">
        <f>CHOOSE(CONTROL!$C$42, 21.3809, 21.3809) * CHOOSE(CONTROL!$C$21, $C$9, 100%, $E$9)</f>
        <v>21.3809</v>
      </c>
      <c r="S428" s="14">
        <f>CHOOSE(CONTROL!$C$42, 19.5224, 19.5224) * CHOOSE(CONTROL!$C$21, $C$9, 100%, $E$9)</f>
        <v>19.522400000000001</v>
      </c>
      <c r="T4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7">
        <f>(1000*CHOOSE(CONTROL!$C$42, 695, 695)*CHOOSE(CONTROL!$C$42, 0.5599, 0.5599)*CHOOSE(CONTROL!$C$42, 31, 31))/1000000</f>
        <v>12.063045499999998</v>
      </c>
      <c r="V428" s="57">
        <f>(1000*CHOOSE(CONTROL!$C$42, 500, 500)*CHOOSE(CONTROL!$C$42, 0.275, 0.275)*CHOOSE(CONTROL!$C$42, 31, 31))/1000000</f>
        <v>4.2625000000000002</v>
      </c>
      <c r="W428" s="57">
        <f>(1000*CHOOSE(CONTROL!$C$42, 0.1146, 0.1146)*CHOOSE(CONTROL!$C$42, 121.5, 121.5)*CHOOSE(CONTROL!$C$42, 31, 31))/1000000</f>
        <v>0.43164089999999994</v>
      </c>
      <c r="X428" s="57">
        <f>(31*0.1790888*245000/1000000)+(31*0.2374*100000/1000000)</f>
        <v>2.0961194359999999</v>
      </c>
      <c r="Y428" s="57"/>
      <c r="Z428" s="14"/>
      <c r="AA428" s="56"/>
      <c r="AB428" s="50">
        <f>(B428*194.205+C428*267.466+D428*133.845+E428*53.484+F428*40+G428*185+H428*0+I428*100+J428*300)/(194.205+267.466+133.845+53.484+0+40+185+100+300)</f>
        <v>20.363305967503926</v>
      </c>
      <c r="AC428" s="45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19.985635971223022</v>
      </c>
    </row>
    <row r="429" spans="1:29" ht="15.75" x14ac:dyDescent="0.25">
      <c r="A429" s="33">
        <v>53965</v>
      </c>
      <c r="B429" s="14">
        <f>CHOOSE(CONTROL!$C$42, 19.0377, 19.0377) * CHOOSE(CONTROL!$C$21, $C$9, 100%, $E$9)</f>
        <v>19.037700000000001</v>
      </c>
      <c r="C429" s="14">
        <f>CHOOSE(CONTROL!$C$42, 19.0457, 19.0457) * CHOOSE(CONTROL!$C$21, $C$9, 100%, $E$9)</f>
        <v>19.0457</v>
      </c>
      <c r="D429" s="14">
        <f>CHOOSE(CONTROL!$C$42, 19.2507, 19.2507) * CHOOSE(CONTROL!$C$21, $C$9, 100%, $E$9)</f>
        <v>19.250699999999998</v>
      </c>
      <c r="E429" s="14">
        <f>CHOOSE(CONTROL!$C$42, 19.2821, 19.2821) * CHOOSE(CONTROL!$C$21, $C$9, 100%, $E$9)</f>
        <v>19.2821</v>
      </c>
      <c r="F429" s="14">
        <f>CHOOSE(CONTROL!$C$42, 19.0248, 19.0248)*CHOOSE(CONTROL!$C$21, $C$9, 100%, $E$9)</f>
        <v>19.024799999999999</v>
      </c>
      <c r="G429" s="14">
        <f>CHOOSE(CONTROL!$C$42, 19.0415, 19.0415)*CHOOSE(CONTROL!$C$21, $C$9, 100%, $E$9)</f>
        <v>19.041499999999999</v>
      </c>
      <c r="H429" s="14">
        <f>CHOOSE(CONTROL!$C$42, 19.2708, 19.2708) * CHOOSE(CONTROL!$C$21, $C$9, 100%, $E$9)</f>
        <v>19.270800000000001</v>
      </c>
      <c r="I429" s="14">
        <f>CHOOSE(CONTROL!$C$42, 19.1053, 19.1053)* CHOOSE(CONTROL!$C$21, $C$9, 100%, $E$9)</f>
        <v>19.1053</v>
      </c>
      <c r="J429" s="14">
        <f>CHOOSE(CONTROL!$C$42, 19.0178, 19.0178)* CHOOSE(CONTROL!$C$21, $C$9, 100%, $E$9)</f>
        <v>19.017800000000001</v>
      </c>
      <c r="K429" s="53">
        <f>CHOOSE(CONTROL!$C$42, 19.1015, 19.1015) * CHOOSE(CONTROL!$C$21, $C$9, 100%, $E$9)</f>
        <v>19.101500000000001</v>
      </c>
      <c r="L429" s="14">
        <f>CHOOSE(CONTROL!$C$42, 19.8578, 19.8578) * CHOOSE(CONTROL!$C$21, $C$9, 100%, $E$9)</f>
        <v>19.857800000000001</v>
      </c>
      <c r="M429" s="14">
        <f>CHOOSE(CONTROL!$C$42, 18.6359, 18.6359) * CHOOSE(CONTROL!$C$21, $C$9, 100%, $E$9)</f>
        <v>18.635899999999999</v>
      </c>
      <c r="N429" s="14">
        <f>CHOOSE(CONTROL!$C$42, 18.6522, 18.6522) * CHOOSE(CONTROL!$C$21, $C$9, 100%, $E$9)</f>
        <v>18.652200000000001</v>
      </c>
      <c r="O429" s="14">
        <f>CHOOSE(CONTROL!$C$42, 18.8836, 18.8836) * CHOOSE(CONTROL!$C$21, $C$9, 100%, $E$9)</f>
        <v>18.883600000000001</v>
      </c>
      <c r="P429" s="14">
        <f>CHOOSE(CONTROL!$C$42, 18.7205, 18.7205) * CHOOSE(CONTROL!$C$21, $C$9, 100%, $E$9)</f>
        <v>18.720500000000001</v>
      </c>
      <c r="Q429" s="14">
        <f>CHOOSE(CONTROL!$C$42, 19.4783, 19.4783) * CHOOSE(CONTROL!$C$21, $C$9, 100%, $E$9)</f>
        <v>19.478300000000001</v>
      </c>
      <c r="R429" s="14">
        <f>CHOOSE(CONTROL!$C$42, 20.114, 20.114) * CHOOSE(CONTROL!$C$21, $C$9, 100%, $E$9)</f>
        <v>20.114000000000001</v>
      </c>
      <c r="S429" s="14">
        <f>CHOOSE(CONTROL!$C$42, 18.2827, 18.2827) * CHOOSE(CONTROL!$C$21, $C$9, 100%, $E$9)</f>
        <v>18.282699999999998</v>
      </c>
      <c r="T4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7">
        <f>(1000*CHOOSE(CONTROL!$C$42, 695, 695)*CHOOSE(CONTROL!$C$42, 0.5599, 0.5599)*CHOOSE(CONTROL!$C$42, 30, 30))/1000000</f>
        <v>11.673914999999997</v>
      </c>
      <c r="V429" s="57">
        <f>(1000*CHOOSE(CONTROL!$C$42, 500, 500)*CHOOSE(CONTROL!$C$42, 0.275, 0.275)*CHOOSE(CONTROL!$C$42, 30, 30))/1000000</f>
        <v>4.125</v>
      </c>
      <c r="W429" s="57">
        <f>(1000*CHOOSE(CONTROL!$C$42, 0.1146, 0.1146)*CHOOSE(CONTROL!$C$42, 121.5, 121.5)*CHOOSE(CONTROL!$C$42, 30, 30))/1000000</f>
        <v>0.417717</v>
      </c>
      <c r="X429" s="57">
        <f>(30*0.1790888*245000/1000000)+(30*0.2374*100000/1000000)</f>
        <v>2.0285026799999999</v>
      </c>
      <c r="Y429" s="57"/>
      <c r="Z429" s="14"/>
      <c r="AA429" s="56"/>
      <c r="AB429" s="50">
        <f>(B429*194.205+C429*267.466+D429*133.845+E429*53.484+F429*40+G429*185+H429*0+I429*100+J429*300)/(194.205+267.466+133.845+53.484+0+40+185+100+300)</f>
        <v>19.072784146467818</v>
      </c>
      <c r="AC429" s="45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18.721323741007193</v>
      </c>
    </row>
    <row r="430" spans="1:29" ht="15.75" x14ac:dyDescent="0.25">
      <c r="A430" s="33">
        <v>53996</v>
      </c>
      <c r="B430" s="14">
        <f>CHOOSE(CONTROL!$C$42, 18.6496, 18.6496) * CHOOSE(CONTROL!$C$21, $C$9, 100%, $E$9)</f>
        <v>18.6496</v>
      </c>
      <c r="C430" s="14">
        <f>CHOOSE(CONTROL!$C$42, 18.6549, 18.6549) * CHOOSE(CONTROL!$C$21, $C$9, 100%, $E$9)</f>
        <v>18.654900000000001</v>
      </c>
      <c r="D430" s="14">
        <f>CHOOSE(CONTROL!$C$42, 18.8649, 18.8649) * CHOOSE(CONTROL!$C$21, $C$9, 100%, $E$9)</f>
        <v>18.864899999999999</v>
      </c>
      <c r="E430" s="14">
        <f>CHOOSE(CONTROL!$C$42, 18.894, 18.894) * CHOOSE(CONTROL!$C$21, $C$9, 100%, $E$9)</f>
        <v>18.893999999999998</v>
      </c>
      <c r="F430" s="14">
        <f>CHOOSE(CONTROL!$C$42, 18.6388, 18.6388)*CHOOSE(CONTROL!$C$21, $C$9, 100%, $E$9)</f>
        <v>18.6388</v>
      </c>
      <c r="G430" s="14">
        <f>CHOOSE(CONTROL!$C$42, 18.6552, 18.6552)*CHOOSE(CONTROL!$C$21, $C$9, 100%, $E$9)</f>
        <v>18.655200000000001</v>
      </c>
      <c r="H430" s="14">
        <f>CHOOSE(CONTROL!$C$42, 18.8845, 18.8845) * CHOOSE(CONTROL!$C$21, $C$9, 100%, $E$9)</f>
        <v>18.884499999999999</v>
      </c>
      <c r="I430" s="14">
        <f>CHOOSE(CONTROL!$C$42, 18.7178, 18.7178)* CHOOSE(CONTROL!$C$21, $C$9, 100%, $E$9)</f>
        <v>18.7178</v>
      </c>
      <c r="J430" s="14">
        <f>CHOOSE(CONTROL!$C$42, 18.6318, 18.6318)* CHOOSE(CONTROL!$C$21, $C$9, 100%, $E$9)</f>
        <v>18.631799999999998</v>
      </c>
      <c r="K430" s="53">
        <f>CHOOSE(CONTROL!$C$42, 18.7139, 18.7139) * CHOOSE(CONTROL!$C$21, $C$9, 100%, $E$9)</f>
        <v>18.713899999999999</v>
      </c>
      <c r="L430" s="14">
        <f>CHOOSE(CONTROL!$C$42, 19.4715, 19.4715) * CHOOSE(CONTROL!$C$21, $C$9, 100%, $E$9)</f>
        <v>19.471499999999999</v>
      </c>
      <c r="M430" s="14">
        <f>CHOOSE(CONTROL!$C$42, 18.2578, 18.2578) * CHOOSE(CONTROL!$C$21, $C$9, 100%, $E$9)</f>
        <v>18.2578</v>
      </c>
      <c r="N430" s="14">
        <f>CHOOSE(CONTROL!$C$42, 18.2738, 18.2738) * CHOOSE(CONTROL!$C$21, $C$9, 100%, $E$9)</f>
        <v>18.273800000000001</v>
      </c>
      <c r="O430" s="14">
        <f>CHOOSE(CONTROL!$C$42, 18.5052, 18.5052) * CHOOSE(CONTROL!$C$21, $C$9, 100%, $E$9)</f>
        <v>18.505199999999999</v>
      </c>
      <c r="P430" s="14">
        <f>CHOOSE(CONTROL!$C$42, 18.3409, 18.3409) * CHOOSE(CONTROL!$C$21, $C$9, 100%, $E$9)</f>
        <v>18.340900000000001</v>
      </c>
      <c r="Q430" s="14">
        <f>CHOOSE(CONTROL!$C$42, 19.0999, 19.0999) * CHOOSE(CONTROL!$C$21, $C$9, 100%, $E$9)</f>
        <v>19.099900000000002</v>
      </c>
      <c r="R430" s="14">
        <f>CHOOSE(CONTROL!$C$42, 19.7347, 19.7347) * CHOOSE(CONTROL!$C$21, $C$9, 100%, $E$9)</f>
        <v>19.7347</v>
      </c>
      <c r="S430" s="14">
        <f>CHOOSE(CONTROL!$C$42, 17.9115, 17.9115) * CHOOSE(CONTROL!$C$21, $C$9, 100%, $E$9)</f>
        <v>17.9115</v>
      </c>
      <c r="T4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7">
        <f>(1000*CHOOSE(CONTROL!$C$42, 695, 695)*CHOOSE(CONTROL!$C$42, 0.5599, 0.5599)*CHOOSE(CONTROL!$C$42, 31, 31))/1000000</f>
        <v>12.063045499999998</v>
      </c>
      <c r="V430" s="57">
        <f>(1000*CHOOSE(CONTROL!$C$42, 500, 500)*CHOOSE(CONTROL!$C$42, 0.275, 0.275)*CHOOSE(CONTROL!$C$42, 31, 31))/1000000</f>
        <v>4.2625000000000002</v>
      </c>
      <c r="W430" s="57">
        <f>(1000*CHOOSE(CONTROL!$C$42, 0.1146, 0.1146)*CHOOSE(CONTROL!$C$42, 121.5, 121.5)*CHOOSE(CONTROL!$C$42, 31, 31))/1000000</f>
        <v>0.43164089999999994</v>
      </c>
      <c r="X430" s="57">
        <f>(31*0.1790888*245000/1000000)+(31*0.2374*100000/1000000)</f>
        <v>2.0961194359999999</v>
      </c>
      <c r="Y430" s="57"/>
      <c r="Z430" s="14"/>
      <c r="AA430" s="56"/>
      <c r="AB430" s="50">
        <f>(B430*131.881+C430*277.167+D430*79.08+E430*125.872+F430*40+G430*185+H430*0+I430*100+J430*300)/(131.881+277.167+79.08+125.872+0+40+185+100+300)</f>
        <v>18.691038277562551</v>
      </c>
      <c r="AC430" s="45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18.342854676258991</v>
      </c>
    </row>
    <row r="431" spans="1:29" ht="15.75" x14ac:dyDescent="0.25">
      <c r="A431" s="33">
        <v>54026</v>
      </c>
      <c r="B431" s="14">
        <f>CHOOSE(CONTROL!$C$42, 19.1402, 19.1402) * CHOOSE(CONTROL!$C$21, $C$9, 100%, $E$9)</f>
        <v>19.1402</v>
      </c>
      <c r="C431" s="14">
        <f>CHOOSE(CONTROL!$C$42, 19.1453, 19.1453) * CHOOSE(CONTROL!$C$21, $C$9, 100%, $E$9)</f>
        <v>19.145299999999999</v>
      </c>
      <c r="D431" s="14">
        <f>CHOOSE(CONTROL!$C$42, 19.2091, 19.2091) * CHOOSE(CONTROL!$C$21, $C$9, 100%, $E$9)</f>
        <v>19.209099999999999</v>
      </c>
      <c r="E431" s="14">
        <f>CHOOSE(CONTROL!$C$42, 19.2432, 19.2432) * CHOOSE(CONTROL!$C$21, $C$9, 100%, $E$9)</f>
        <v>19.243200000000002</v>
      </c>
      <c r="F431" s="14">
        <f>CHOOSE(CONTROL!$C$42, 19.1425, 19.1425)*CHOOSE(CONTROL!$C$21, $C$9, 100%, $E$9)</f>
        <v>19.142499999999998</v>
      </c>
      <c r="G431" s="14">
        <f>CHOOSE(CONTROL!$C$42, 19.1592, 19.1592)*CHOOSE(CONTROL!$C$21, $C$9, 100%, $E$9)</f>
        <v>19.159199999999998</v>
      </c>
      <c r="H431" s="14">
        <f>CHOOSE(CONTROL!$C$42, 19.2324, 19.2324) * CHOOSE(CONTROL!$C$21, $C$9, 100%, $E$9)</f>
        <v>19.232399999999998</v>
      </c>
      <c r="I431" s="14">
        <f>CHOOSE(CONTROL!$C$42, 19.2141, 19.2141)* CHOOSE(CONTROL!$C$21, $C$9, 100%, $E$9)</f>
        <v>19.214099999999998</v>
      </c>
      <c r="J431" s="14">
        <f>CHOOSE(CONTROL!$C$42, 19.1355, 19.1355)* CHOOSE(CONTROL!$C$21, $C$9, 100%, $E$9)</f>
        <v>19.1355</v>
      </c>
      <c r="K431" s="53">
        <f>CHOOSE(CONTROL!$C$42, 19.2102, 19.2102) * CHOOSE(CONTROL!$C$21, $C$9, 100%, $E$9)</f>
        <v>19.2102</v>
      </c>
      <c r="L431" s="14">
        <f>CHOOSE(CONTROL!$C$42, 19.8194, 19.8194) * CHOOSE(CONTROL!$C$21, $C$9, 100%, $E$9)</f>
        <v>19.819400000000002</v>
      </c>
      <c r="M431" s="14">
        <f>CHOOSE(CONTROL!$C$42, 18.7511, 18.7511) * CHOOSE(CONTROL!$C$21, $C$9, 100%, $E$9)</f>
        <v>18.751100000000001</v>
      </c>
      <c r="N431" s="14">
        <f>CHOOSE(CONTROL!$C$42, 18.7674, 18.7674) * CHOOSE(CONTROL!$C$21, $C$9, 100%, $E$9)</f>
        <v>18.767399999999999</v>
      </c>
      <c r="O431" s="14">
        <f>CHOOSE(CONTROL!$C$42, 18.8461, 18.8461) * CHOOSE(CONTROL!$C$21, $C$9, 100%, $E$9)</f>
        <v>18.8461</v>
      </c>
      <c r="P431" s="14">
        <f>CHOOSE(CONTROL!$C$42, 18.827, 18.827) * CHOOSE(CONTROL!$C$21, $C$9, 100%, $E$9)</f>
        <v>18.827000000000002</v>
      </c>
      <c r="Q431" s="14">
        <f>CHOOSE(CONTROL!$C$42, 19.4408, 19.4408) * CHOOSE(CONTROL!$C$21, $C$9, 100%, $E$9)</f>
        <v>19.440799999999999</v>
      </c>
      <c r="R431" s="14">
        <f>CHOOSE(CONTROL!$C$42, 20.0764, 20.0764) * CHOOSE(CONTROL!$C$21, $C$9, 100%, $E$9)</f>
        <v>20.0764</v>
      </c>
      <c r="S431" s="14">
        <f>CHOOSE(CONTROL!$C$42, 18.3833, 18.3833) * CHOOSE(CONTROL!$C$21, $C$9, 100%, $E$9)</f>
        <v>18.383299999999998</v>
      </c>
      <c r="T4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7">
        <f>(1000*CHOOSE(CONTROL!$C$42, 695, 695)*CHOOSE(CONTROL!$C$42, 0.5599, 0.5599)*CHOOSE(CONTROL!$C$42, 30, 30))/1000000</f>
        <v>11.673914999999997</v>
      </c>
      <c r="V431" s="57">
        <f>(1000*CHOOSE(CONTROL!$C$42, 500, 500)*CHOOSE(CONTROL!$C$42, 0.275, 0.275)*CHOOSE(CONTROL!$C$42, 30, 30))/1000000</f>
        <v>4.125</v>
      </c>
      <c r="W431" s="57">
        <f>(1000*CHOOSE(CONTROL!$C$42, 0.1146, 0.1146)*CHOOSE(CONTROL!$C$42, 121.5, 121.5)*CHOOSE(CONTROL!$C$42, 30, 30))/1000000</f>
        <v>0.417717</v>
      </c>
      <c r="X431" s="57">
        <f>(30*0.1790888*100000/1000000)+(30*0.2374*100000/1000000)</f>
        <v>1.2494664</v>
      </c>
      <c r="Y431" s="57"/>
      <c r="Z431" s="14"/>
      <c r="AA431" s="56"/>
      <c r="AB431" s="50">
        <f>(B431*122.58+C431*297.941+D431*89.177+E431*40.302+F431*40+G431*160+H431*0+I431*100+J431*300)/(122.58+297.941+89.177+40.302+0+40+160+100+300)</f>
        <v>19.158397304695654</v>
      </c>
      <c r="AC431" s="45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18.806016546762592</v>
      </c>
    </row>
    <row r="432" spans="1:29" ht="15.75" x14ac:dyDescent="0.25">
      <c r="A432" s="33">
        <v>54057</v>
      </c>
      <c r="B432" s="14">
        <f>CHOOSE(CONTROL!$C$42, 20.4446, 20.4446) * CHOOSE(CONTROL!$C$21, $C$9, 100%, $E$9)</f>
        <v>20.444600000000001</v>
      </c>
      <c r="C432" s="14">
        <f>CHOOSE(CONTROL!$C$42, 20.4496, 20.4496) * CHOOSE(CONTROL!$C$21, $C$9, 100%, $E$9)</f>
        <v>20.4496</v>
      </c>
      <c r="D432" s="14">
        <f>CHOOSE(CONTROL!$C$42, 20.5134, 20.5134) * CHOOSE(CONTROL!$C$21, $C$9, 100%, $E$9)</f>
        <v>20.513400000000001</v>
      </c>
      <c r="E432" s="14">
        <f>CHOOSE(CONTROL!$C$42, 20.5475, 20.5475) * CHOOSE(CONTROL!$C$21, $C$9, 100%, $E$9)</f>
        <v>20.547499999999999</v>
      </c>
      <c r="F432" s="14">
        <f>CHOOSE(CONTROL!$C$42, 20.4489, 20.4489)*CHOOSE(CONTROL!$C$21, $C$9, 100%, $E$9)</f>
        <v>20.448899999999998</v>
      </c>
      <c r="G432" s="14">
        <f>CHOOSE(CONTROL!$C$42, 20.4661, 20.4661)*CHOOSE(CONTROL!$C$21, $C$9, 100%, $E$9)</f>
        <v>20.466100000000001</v>
      </c>
      <c r="H432" s="14">
        <f>CHOOSE(CONTROL!$C$42, 20.5367, 20.5367) * CHOOSE(CONTROL!$C$21, $C$9, 100%, $E$9)</f>
        <v>20.5367</v>
      </c>
      <c r="I432" s="14">
        <f>CHOOSE(CONTROL!$C$42, 20.5225, 20.5225)* CHOOSE(CONTROL!$C$21, $C$9, 100%, $E$9)</f>
        <v>20.522500000000001</v>
      </c>
      <c r="J432" s="14">
        <f>CHOOSE(CONTROL!$C$42, 20.4419, 20.4419)* CHOOSE(CONTROL!$C$21, $C$9, 100%, $E$9)</f>
        <v>20.4419</v>
      </c>
      <c r="K432" s="53">
        <f>CHOOSE(CONTROL!$C$42, 20.5186, 20.5186) * CHOOSE(CONTROL!$C$21, $C$9, 100%, $E$9)</f>
        <v>20.518599999999999</v>
      </c>
      <c r="L432" s="14">
        <f>CHOOSE(CONTROL!$C$42, 21.1237, 21.1237) * CHOOSE(CONTROL!$C$21, $C$9, 100%, $E$9)</f>
        <v>21.123699999999999</v>
      </c>
      <c r="M432" s="14">
        <f>CHOOSE(CONTROL!$C$42, 20.0307, 20.0307) * CHOOSE(CONTROL!$C$21, $C$9, 100%, $E$9)</f>
        <v>20.0307</v>
      </c>
      <c r="N432" s="14">
        <f>CHOOSE(CONTROL!$C$42, 20.0476, 20.0476) * CHOOSE(CONTROL!$C$21, $C$9, 100%, $E$9)</f>
        <v>20.047599999999999</v>
      </c>
      <c r="O432" s="14">
        <f>CHOOSE(CONTROL!$C$42, 20.1236, 20.1236) * CHOOSE(CONTROL!$C$21, $C$9, 100%, $E$9)</f>
        <v>20.1236</v>
      </c>
      <c r="P432" s="14">
        <f>CHOOSE(CONTROL!$C$42, 20.1085, 20.1085) * CHOOSE(CONTROL!$C$21, $C$9, 100%, $E$9)</f>
        <v>20.108499999999999</v>
      </c>
      <c r="Q432" s="14">
        <f>CHOOSE(CONTROL!$C$42, 20.7183, 20.7183) * CHOOSE(CONTROL!$C$21, $C$9, 100%, $E$9)</f>
        <v>20.718299999999999</v>
      </c>
      <c r="R432" s="14">
        <f>CHOOSE(CONTROL!$C$42, 21.3571, 21.3571) * CHOOSE(CONTROL!$C$21, $C$9, 100%, $E$9)</f>
        <v>21.357099999999999</v>
      </c>
      <c r="S432" s="14">
        <f>CHOOSE(CONTROL!$C$42, 19.6366, 19.6366) * CHOOSE(CONTROL!$C$21, $C$9, 100%, $E$9)</f>
        <v>19.636600000000001</v>
      </c>
      <c r="T4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7">
        <f>(1000*CHOOSE(CONTROL!$C$42, 695, 695)*CHOOSE(CONTROL!$C$42, 0.5599, 0.5599)*CHOOSE(CONTROL!$C$42, 31, 31))/1000000</f>
        <v>12.063045499999998</v>
      </c>
      <c r="V432" s="57">
        <f>(1000*CHOOSE(CONTROL!$C$42, 500, 500)*CHOOSE(CONTROL!$C$42, 0.275, 0.275)*CHOOSE(CONTROL!$C$42, 31, 31))/1000000</f>
        <v>4.2625000000000002</v>
      </c>
      <c r="W432" s="57">
        <f>(1000*CHOOSE(CONTROL!$C$42, 0.1146, 0.1146)*CHOOSE(CONTROL!$C$42, 121.5, 121.5)*CHOOSE(CONTROL!$C$42, 31, 31))/1000000</f>
        <v>0.43164089999999994</v>
      </c>
      <c r="X432" s="57">
        <f>(31*0.1790888*100000/1000000)+(31*0.2374*100000/1000000)</f>
        <v>1.2911152800000001</v>
      </c>
      <c r="Y432" s="57"/>
      <c r="Z432" s="14"/>
      <c r="AA432" s="56"/>
      <c r="AB432" s="50">
        <f>(B432*122.58+C432*297.941+D432*89.177+E432*40.302+F432*40+G432*160+H432*0+I432*100+J432*300)/(122.58+297.941+89.177+40.302+0+40+160+100+300)</f>
        <v>20.46404709426087</v>
      </c>
      <c r="AC432" s="45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20.084972661870502</v>
      </c>
    </row>
    <row r="433" spans="1:29" ht="15.75" x14ac:dyDescent="0.25">
      <c r="A433" s="33">
        <v>54088</v>
      </c>
      <c r="B433" s="14">
        <f>CHOOSE(CONTROL!$C$42, 22.1185, 22.1185) * CHOOSE(CONTROL!$C$21, $C$9, 100%, $E$9)</f>
        <v>22.118500000000001</v>
      </c>
      <c r="C433" s="14">
        <f>CHOOSE(CONTROL!$C$42, 22.1235, 22.1235) * CHOOSE(CONTROL!$C$21, $C$9, 100%, $E$9)</f>
        <v>22.1235</v>
      </c>
      <c r="D433" s="14">
        <f>CHOOSE(CONTROL!$C$42, 22.1821, 22.1821) * CHOOSE(CONTROL!$C$21, $C$9, 100%, $E$9)</f>
        <v>22.182099999999998</v>
      </c>
      <c r="E433" s="14">
        <f>CHOOSE(CONTROL!$C$42, 22.2162, 22.2162) * CHOOSE(CONTROL!$C$21, $C$9, 100%, $E$9)</f>
        <v>22.216200000000001</v>
      </c>
      <c r="F433" s="14">
        <f>CHOOSE(CONTROL!$C$42, 22.1176, 22.1176)*CHOOSE(CONTROL!$C$21, $C$9, 100%, $E$9)</f>
        <v>22.117599999999999</v>
      </c>
      <c r="G433" s="14">
        <f>CHOOSE(CONTROL!$C$42, 22.134, 22.134)*CHOOSE(CONTROL!$C$21, $C$9, 100%, $E$9)</f>
        <v>22.134</v>
      </c>
      <c r="H433" s="14">
        <f>CHOOSE(CONTROL!$C$42, 22.2054, 22.2054) * CHOOSE(CONTROL!$C$21, $C$9, 100%, $E$9)</f>
        <v>22.205400000000001</v>
      </c>
      <c r="I433" s="14">
        <f>CHOOSE(CONTROL!$C$42, 22.198, 22.198)* CHOOSE(CONTROL!$C$21, $C$9, 100%, $E$9)</f>
        <v>22.198</v>
      </c>
      <c r="J433" s="14">
        <f>CHOOSE(CONTROL!$C$42, 22.1106, 22.1106)* CHOOSE(CONTROL!$C$21, $C$9, 100%, $E$9)</f>
        <v>22.110600000000002</v>
      </c>
      <c r="K433" s="53">
        <f>CHOOSE(CONTROL!$C$42, 22.1941, 22.1941) * CHOOSE(CONTROL!$C$21, $C$9, 100%, $E$9)</f>
        <v>22.194099999999999</v>
      </c>
      <c r="L433" s="14">
        <f>CHOOSE(CONTROL!$C$42, 22.7924, 22.7924) * CHOOSE(CONTROL!$C$21, $C$9, 100%, $E$9)</f>
        <v>22.792400000000001</v>
      </c>
      <c r="M433" s="14">
        <f>CHOOSE(CONTROL!$C$42, 21.6652, 21.6652) * CHOOSE(CONTROL!$C$21, $C$9, 100%, $E$9)</f>
        <v>21.665199999999999</v>
      </c>
      <c r="N433" s="14">
        <f>CHOOSE(CONTROL!$C$42, 21.6813, 21.6813) * CHOOSE(CONTROL!$C$21, $C$9, 100%, $E$9)</f>
        <v>21.6813</v>
      </c>
      <c r="O433" s="14">
        <f>CHOOSE(CONTROL!$C$42, 21.7582, 21.7582) * CHOOSE(CONTROL!$C$21, $C$9, 100%, $E$9)</f>
        <v>21.758199999999999</v>
      </c>
      <c r="P433" s="14">
        <f>CHOOSE(CONTROL!$C$42, 21.7495, 21.7495) * CHOOSE(CONTROL!$C$21, $C$9, 100%, $E$9)</f>
        <v>21.749500000000001</v>
      </c>
      <c r="Q433" s="14">
        <f>CHOOSE(CONTROL!$C$42, 22.3529, 22.3529) * CHOOSE(CONTROL!$C$21, $C$9, 100%, $E$9)</f>
        <v>22.352900000000002</v>
      </c>
      <c r="R433" s="14">
        <f>CHOOSE(CONTROL!$C$42, 22.9957, 22.9957) * CHOOSE(CONTROL!$C$21, $C$9, 100%, $E$9)</f>
        <v>22.995699999999999</v>
      </c>
      <c r="S433" s="14">
        <f>CHOOSE(CONTROL!$C$42, 21.2451, 21.2451) * CHOOSE(CONTROL!$C$21, $C$9, 100%, $E$9)</f>
        <v>21.245100000000001</v>
      </c>
      <c r="T4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7">
        <f>(1000*CHOOSE(CONTROL!$C$42, 695, 695)*CHOOSE(CONTROL!$C$42, 0.5599, 0.5599)*CHOOSE(CONTROL!$C$42, 31, 31))/1000000</f>
        <v>12.063045499999998</v>
      </c>
      <c r="V433" s="57">
        <f>(1000*CHOOSE(CONTROL!$C$42, 500, 500)*CHOOSE(CONTROL!$C$42, 0.275, 0.275)*CHOOSE(CONTROL!$C$42, 31, 31))/1000000</f>
        <v>4.2625000000000002</v>
      </c>
      <c r="W433" s="57">
        <f>(1000*CHOOSE(CONTROL!$C$42, 0.1146, 0.1146)*CHOOSE(CONTROL!$C$42, 121.5, 121.5)*CHOOSE(CONTROL!$C$42, 31, 31))/1000000</f>
        <v>0.43164089999999994</v>
      </c>
      <c r="X433" s="57">
        <f>(31*0.1790888*100000/1000000)+(31*0.2374*100000/1000000)</f>
        <v>1.2911152800000001</v>
      </c>
      <c r="Y433" s="57"/>
      <c r="Z433" s="14"/>
      <c r="AA433" s="56"/>
      <c r="AB433" s="50">
        <f>(B433*122.58+C433*297.941+D433*89.177+E433*40.302+F433*40+G433*160+H433*0+I433*100+J433*300)/(122.58+297.941+89.177+40.302+0+40+160+100+300)</f>
        <v>22.135128580521737</v>
      </c>
      <c r="AC433" s="45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21.720407194244604</v>
      </c>
    </row>
    <row r="434" spans="1:29" ht="15.75" x14ac:dyDescent="0.25">
      <c r="A434" s="33">
        <v>54116</v>
      </c>
      <c r="B434" s="14">
        <f>CHOOSE(CONTROL!$C$42, 22.512, 22.512) * CHOOSE(CONTROL!$C$21, $C$9, 100%, $E$9)</f>
        <v>22.512</v>
      </c>
      <c r="C434" s="14">
        <f>CHOOSE(CONTROL!$C$42, 22.5171, 22.5171) * CHOOSE(CONTROL!$C$21, $C$9, 100%, $E$9)</f>
        <v>22.517099999999999</v>
      </c>
      <c r="D434" s="14">
        <f>CHOOSE(CONTROL!$C$42, 22.5757, 22.5757) * CHOOSE(CONTROL!$C$21, $C$9, 100%, $E$9)</f>
        <v>22.575700000000001</v>
      </c>
      <c r="E434" s="14">
        <f>CHOOSE(CONTROL!$C$42, 22.6098, 22.6098) * CHOOSE(CONTROL!$C$21, $C$9, 100%, $E$9)</f>
        <v>22.6098</v>
      </c>
      <c r="F434" s="14">
        <f>CHOOSE(CONTROL!$C$42, 22.5111, 22.5111)*CHOOSE(CONTROL!$C$21, $C$9, 100%, $E$9)</f>
        <v>22.511099999999999</v>
      </c>
      <c r="G434" s="14">
        <f>CHOOSE(CONTROL!$C$42, 22.5275, 22.5275)*CHOOSE(CONTROL!$C$21, $C$9, 100%, $E$9)</f>
        <v>22.5275</v>
      </c>
      <c r="H434" s="14">
        <f>CHOOSE(CONTROL!$C$42, 22.599, 22.599) * CHOOSE(CONTROL!$C$21, $C$9, 100%, $E$9)</f>
        <v>22.599</v>
      </c>
      <c r="I434" s="14">
        <f>CHOOSE(CONTROL!$C$42, 22.5928, 22.5928)* CHOOSE(CONTROL!$C$21, $C$9, 100%, $E$9)</f>
        <v>22.5928</v>
      </c>
      <c r="J434" s="14">
        <f>CHOOSE(CONTROL!$C$42, 22.5041, 22.5041)* CHOOSE(CONTROL!$C$21, $C$9, 100%, $E$9)</f>
        <v>22.504100000000001</v>
      </c>
      <c r="K434" s="53">
        <f>CHOOSE(CONTROL!$C$42, 22.5889, 22.5889) * CHOOSE(CONTROL!$C$21, $C$9, 100%, $E$9)</f>
        <v>22.588899999999999</v>
      </c>
      <c r="L434" s="14">
        <f>CHOOSE(CONTROL!$C$42, 23.186, 23.186) * CHOOSE(CONTROL!$C$21, $C$9, 100%, $E$9)</f>
        <v>23.186</v>
      </c>
      <c r="M434" s="14">
        <f>CHOOSE(CONTROL!$C$42, 22.0507, 22.0507) * CHOOSE(CONTROL!$C$21, $C$9, 100%, $E$9)</f>
        <v>22.050699999999999</v>
      </c>
      <c r="N434" s="14">
        <f>CHOOSE(CONTROL!$C$42, 22.0667, 22.0667) * CHOOSE(CONTROL!$C$21, $C$9, 100%, $E$9)</f>
        <v>22.066700000000001</v>
      </c>
      <c r="O434" s="14">
        <f>CHOOSE(CONTROL!$C$42, 22.1437, 22.1437) * CHOOSE(CONTROL!$C$21, $C$9, 100%, $E$9)</f>
        <v>22.143699999999999</v>
      </c>
      <c r="P434" s="14">
        <f>CHOOSE(CONTROL!$C$42, 22.1362, 22.1362) * CHOOSE(CONTROL!$C$21, $C$9, 100%, $E$9)</f>
        <v>22.136199999999999</v>
      </c>
      <c r="Q434" s="14">
        <f>CHOOSE(CONTROL!$C$42, 22.7384, 22.7384) * CHOOSE(CONTROL!$C$21, $C$9, 100%, $E$9)</f>
        <v>22.738399999999999</v>
      </c>
      <c r="R434" s="14">
        <f>CHOOSE(CONTROL!$C$42, 23.3822, 23.3822) * CHOOSE(CONTROL!$C$21, $C$9, 100%, $E$9)</f>
        <v>23.382200000000001</v>
      </c>
      <c r="S434" s="14">
        <f>CHOOSE(CONTROL!$C$42, 21.6233, 21.6233) * CHOOSE(CONTROL!$C$21, $C$9, 100%, $E$9)</f>
        <v>21.6233</v>
      </c>
      <c r="T43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7">
        <f>(1000*CHOOSE(CONTROL!$C$42, 695, 695)*CHOOSE(CONTROL!$C$42, 0.5599, 0.5599)*CHOOSE(CONTROL!$C$42, 29, 29))/1000000</f>
        <v>11.284784499999999</v>
      </c>
      <c r="V434" s="57">
        <f>(1000*CHOOSE(CONTROL!$C$42, 500, 500)*CHOOSE(CONTROL!$C$42, 0.275, 0.275)*CHOOSE(CONTROL!$C$42, 29, 29))/1000000</f>
        <v>3.9874999999999998</v>
      </c>
      <c r="W434" s="57">
        <f>(1000*CHOOSE(CONTROL!$C$42, 0.1146, 0.1146)*CHOOSE(CONTROL!$C$42, 121.5, 121.5)*CHOOSE(CONTROL!$C$42, 29, 29))/1000000</f>
        <v>0.40379309999999996</v>
      </c>
      <c r="X434" s="57">
        <f>(29*0.1790888*100000/1000000)+(29*0.2374*100000/1000000)</f>
        <v>1.2078175199999999</v>
      </c>
      <c r="Y434" s="57"/>
      <c r="Z434" s="14"/>
      <c r="AA434" s="56"/>
      <c r="AB434" s="50">
        <f>(B434*122.58+C434*297.941+D434*89.177+E434*40.302+F434*40+G434*160+H434*0+I434*100+J434*300)/(122.58+297.941+89.177+40.302+0+40+160+100+300)</f>
        <v>22.528778790956519</v>
      </c>
      <c r="AC434" s="45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22.106074100719425</v>
      </c>
    </row>
    <row r="435" spans="1:29" ht="15.75" x14ac:dyDescent="0.25">
      <c r="A435" s="33">
        <v>54148</v>
      </c>
      <c r="B435" s="14">
        <f>CHOOSE(CONTROL!$C$42, 21.8732, 21.8732) * CHOOSE(CONTROL!$C$21, $C$9, 100%, $E$9)</f>
        <v>21.873200000000001</v>
      </c>
      <c r="C435" s="14">
        <f>CHOOSE(CONTROL!$C$42, 21.8782, 21.8782) * CHOOSE(CONTROL!$C$21, $C$9, 100%, $E$9)</f>
        <v>21.8782</v>
      </c>
      <c r="D435" s="14">
        <f>CHOOSE(CONTROL!$C$42, 21.9368, 21.9368) * CHOOSE(CONTROL!$C$21, $C$9, 100%, $E$9)</f>
        <v>21.936800000000002</v>
      </c>
      <c r="E435" s="14">
        <f>CHOOSE(CONTROL!$C$42, 21.971, 21.971) * CHOOSE(CONTROL!$C$21, $C$9, 100%, $E$9)</f>
        <v>21.971</v>
      </c>
      <c r="F435" s="14">
        <f>CHOOSE(CONTROL!$C$42, 21.8717, 21.8717)*CHOOSE(CONTROL!$C$21, $C$9, 100%, $E$9)</f>
        <v>21.871700000000001</v>
      </c>
      <c r="G435" s="14">
        <f>CHOOSE(CONTROL!$C$42, 21.888, 21.888)*CHOOSE(CONTROL!$C$21, $C$9, 100%, $E$9)</f>
        <v>21.888000000000002</v>
      </c>
      <c r="H435" s="14">
        <f>CHOOSE(CONTROL!$C$42, 21.9601, 21.9601) * CHOOSE(CONTROL!$C$21, $C$9, 100%, $E$9)</f>
        <v>21.960100000000001</v>
      </c>
      <c r="I435" s="14">
        <f>CHOOSE(CONTROL!$C$42, 21.9519, 21.9519)* CHOOSE(CONTROL!$C$21, $C$9, 100%, $E$9)</f>
        <v>21.951899999999998</v>
      </c>
      <c r="J435" s="14">
        <f>CHOOSE(CONTROL!$C$42, 21.8647, 21.8647)* CHOOSE(CONTROL!$C$21, $C$9, 100%, $E$9)</f>
        <v>21.864699999999999</v>
      </c>
      <c r="K435" s="53">
        <f>CHOOSE(CONTROL!$C$42, 21.948, 21.948) * CHOOSE(CONTROL!$C$21, $C$9, 100%, $E$9)</f>
        <v>21.948</v>
      </c>
      <c r="L435" s="14">
        <f>CHOOSE(CONTROL!$C$42, 22.5471, 22.5471) * CHOOSE(CONTROL!$C$21, $C$9, 100%, $E$9)</f>
        <v>22.5471</v>
      </c>
      <c r="M435" s="14">
        <f>CHOOSE(CONTROL!$C$42, 21.4244, 21.4244) * CHOOSE(CONTROL!$C$21, $C$9, 100%, $E$9)</f>
        <v>21.424399999999999</v>
      </c>
      <c r="N435" s="14">
        <f>CHOOSE(CONTROL!$C$42, 21.4404, 21.4404) * CHOOSE(CONTROL!$C$21, $C$9, 100%, $E$9)</f>
        <v>21.4404</v>
      </c>
      <c r="O435" s="14">
        <f>CHOOSE(CONTROL!$C$42, 21.5179, 21.5179) * CHOOSE(CONTROL!$C$21, $C$9, 100%, $E$9)</f>
        <v>21.517900000000001</v>
      </c>
      <c r="P435" s="14">
        <f>CHOOSE(CONTROL!$C$42, 21.5085, 21.5085) * CHOOSE(CONTROL!$C$21, $C$9, 100%, $E$9)</f>
        <v>21.508500000000002</v>
      </c>
      <c r="Q435" s="14">
        <f>CHOOSE(CONTROL!$C$42, 22.1126, 22.1126) * CHOOSE(CONTROL!$C$21, $C$9, 100%, $E$9)</f>
        <v>22.1126</v>
      </c>
      <c r="R435" s="14">
        <f>CHOOSE(CONTROL!$C$42, 22.7549, 22.7549) * CHOOSE(CONTROL!$C$21, $C$9, 100%, $E$9)</f>
        <v>22.754899999999999</v>
      </c>
      <c r="S435" s="14">
        <f>CHOOSE(CONTROL!$C$42, 21.0094, 21.0094) * CHOOSE(CONTROL!$C$21, $C$9, 100%, $E$9)</f>
        <v>21.009399999999999</v>
      </c>
      <c r="T4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7">
        <f>(1000*CHOOSE(CONTROL!$C$42, 695, 695)*CHOOSE(CONTROL!$C$42, 0.5599, 0.5599)*CHOOSE(CONTROL!$C$42, 31, 31))/1000000</f>
        <v>12.063045499999998</v>
      </c>
      <c r="V435" s="57">
        <f>(1000*CHOOSE(CONTROL!$C$42, 500, 500)*CHOOSE(CONTROL!$C$42, 0.275, 0.275)*CHOOSE(CONTROL!$C$42, 31, 31))/1000000</f>
        <v>4.2625000000000002</v>
      </c>
      <c r="W435" s="57">
        <f>(1000*CHOOSE(CONTROL!$C$42, 0.1146, 0.1146)*CHOOSE(CONTROL!$C$42, 121.5, 121.5)*CHOOSE(CONTROL!$C$42, 31, 31))/1000000</f>
        <v>0.43164089999999994</v>
      </c>
      <c r="X435" s="57">
        <f>(31*0.1790888*100000/1000000)+(31*0.2374*100000/1000000)</f>
        <v>1.2911152800000001</v>
      </c>
      <c r="Y435" s="57"/>
      <c r="Z435" s="14"/>
      <c r="AA435" s="56"/>
      <c r="AB435" s="50">
        <f>(B435*122.58+C435*297.941+D435*89.177+E435*40.302+F435*40+G435*160+H435*0+I435*100+J435*300)/(122.58+297.941+89.177+40.302+0+40+160+100+300)</f>
        <v>21.88948773721739</v>
      </c>
      <c r="AC435" s="45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21.479799280575538</v>
      </c>
    </row>
    <row r="436" spans="1:29" ht="15.75" x14ac:dyDescent="0.25">
      <c r="A436" s="33">
        <v>54178</v>
      </c>
      <c r="B436" s="14">
        <f>CHOOSE(CONTROL!$C$42, 21.8089, 21.8089) * CHOOSE(CONTROL!$C$21, $C$9, 100%, $E$9)</f>
        <v>21.808900000000001</v>
      </c>
      <c r="C436" s="14">
        <f>CHOOSE(CONTROL!$C$42, 21.8134, 21.8134) * CHOOSE(CONTROL!$C$21, $C$9, 100%, $E$9)</f>
        <v>21.813400000000001</v>
      </c>
      <c r="D436" s="14">
        <f>CHOOSE(CONTROL!$C$42, 22.0215, 22.0215) * CHOOSE(CONTROL!$C$21, $C$9, 100%, $E$9)</f>
        <v>22.0215</v>
      </c>
      <c r="E436" s="14">
        <f>CHOOSE(CONTROL!$C$42, 22.0536, 22.0536) * CHOOSE(CONTROL!$C$21, $C$9, 100%, $E$9)</f>
        <v>22.053599999999999</v>
      </c>
      <c r="F436" s="14">
        <f>CHOOSE(CONTROL!$C$42, 21.7962, 21.7962)*CHOOSE(CONTROL!$C$21, $C$9, 100%, $E$9)</f>
        <v>21.796199999999999</v>
      </c>
      <c r="G436" s="14">
        <f>CHOOSE(CONTROL!$C$42, 21.8122, 21.8122)*CHOOSE(CONTROL!$C$21, $C$9, 100%, $E$9)</f>
        <v>21.812200000000001</v>
      </c>
      <c r="H436" s="14">
        <f>CHOOSE(CONTROL!$C$42, 22.0434, 22.0434) * CHOOSE(CONTROL!$C$21, $C$9, 100%, $E$9)</f>
        <v>22.043399999999998</v>
      </c>
      <c r="I436" s="14">
        <f>CHOOSE(CONTROL!$C$42, 21.8866, 21.8866)* CHOOSE(CONTROL!$C$21, $C$9, 100%, $E$9)</f>
        <v>21.886600000000001</v>
      </c>
      <c r="J436" s="14">
        <f>CHOOSE(CONTROL!$C$42, 21.7892, 21.7892)* CHOOSE(CONTROL!$C$21, $C$9, 100%, $E$9)</f>
        <v>21.789200000000001</v>
      </c>
      <c r="K436" s="53">
        <f>CHOOSE(CONTROL!$C$42, 21.8827, 21.8827) * CHOOSE(CONTROL!$C$21, $C$9, 100%, $E$9)</f>
        <v>21.8827</v>
      </c>
      <c r="L436" s="14">
        <f>CHOOSE(CONTROL!$C$42, 22.6304, 22.6304) * CHOOSE(CONTROL!$C$21, $C$9, 100%, $E$9)</f>
        <v>22.630400000000002</v>
      </c>
      <c r="M436" s="14">
        <f>CHOOSE(CONTROL!$C$42, 21.3505, 21.3505) * CHOOSE(CONTROL!$C$21, $C$9, 100%, $E$9)</f>
        <v>21.3505</v>
      </c>
      <c r="N436" s="14">
        <f>CHOOSE(CONTROL!$C$42, 21.3661, 21.3661) * CHOOSE(CONTROL!$C$21, $C$9, 100%, $E$9)</f>
        <v>21.366099999999999</v>
      </c>
      <c r="O436" s="14">
        <f>CHOOSE(CONTROL!$C$42, 21.5994, 21.5994) * CHOOSE(CONTROL!$C$21, $C$9, 100%, $E$9)</f>
        <v>21.599399999999999</v>
      </c>
      <c r="P436" s="14">
        <f>CHOOSE(CONTROL!$C$42, 21.4446, 21.4446) * CHOOSE(CONTROL!$C$21, $C$9, 100%, $E$9)</f>
        <v>21.444600000000001</v>
      </c>
      <c r="Q436" s="14">
        <f>CHOOSE(CONTROL!$C$42, 22.1941, 22.1941) * CHOOSE(CONTROL!$C$21, $C$9, 100%, $E$9)</f>
        <v>22.194099999999999</v>
      </c>
      <c r="R436" s="14">
        <f>CHOOSE(CONTROL!$C$42, 22.8366, 22.8366) * CHOOSE(CONTROL!$C$21, $C$9, 100%, $E$9)</f>
        <v>22.836600000000001</v>
      </c>
      <c r="S436" s="14">
        <f>CHOOSE(CONTROL!$C$42, 20.9469, 20.9469) * CHOOSE(CONTROL!$C$21, $C$9, 100%, $E$9)</f>
        <v>20.946899999999999</v>
      </c>
      <c r="T4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7">
        <f>(1000*CHOOSE(CONTROL!$C$42, 695, 695)*CHOOSE(CONTROL!$C$42, 0.5599, 0.5599)*CHOOSE(CONTROL!$C$42, 30, 30))/1000000</f>
        <v>11.673914999999997</v>
      </c>
      <c r="V436" s="57">
        <f>(1000*CHOOSE(CONTROL!$C$42, 500, 500)*CHOOSE(CONTROL!$C$42, 0.275, 0.275)*CHOOSE(CONTROL!$C$42, 30, 30))/1000000</f>
        <v>4.125</v>
      </c>
      <c r="W436" s="57">
        <f>(1000*CHOOSE(CONTROL!$C$42, 0.1146, 0.1146)*CHOOSE(CONTROL!$C$42, 121.5, 121.5)*CHOOSE(CONTROL!$C$42, 30, 30))/1000000</f>
        <v>0.417717</v>
      </c>
      <c r="X436" s="57">
        <f>(30*0.1790888*245000/1000000)+(30*0.2374*100000/1000000)</f>
        <v>2.0285026799999999</v>
      </c>
      <c r="Y436" s="57"/>
      <c r="Z436" s="14"/>
      <c r="AA436" s="56"/>
      <c r="AB436" s="50">
        <f>(B436*141.293+C436*267.993+D436*115.016+E436*89.698+F436*40+G436*185+H436*0+I436*100+J436*300)/(141.293+267.993+115.016+89.698+0+40+185+100+300)</f>
        <v>21.848908047376916</v>
      </c>
      <c r="AC436" s="45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21.437466187050362</v>
      </c>
    </row>
    <row r="437" spans="1:29" ht="15.75" x14ac:dyDescent="0.25">
      <c r="A437" s="33">
        <v>54209</v>
      </c>
      <c r="B437" s="14">
        <f>CHOOSE(CONTROL!$C$42, 22.0027, 22.0027) * CHOOSE(CONTROL!$C$21, $C$9, 100%, $E$9)</f>
        <v>22.002700000000001</v>
      </c>
      <c r="C437" s="14">
        <f>CHOOSE(CONTROL!$C$42, 22.0107, 22.0107) * CHOOSE(CONTROL!$C$21, $C$9, 100%, $E$9)</f>
        <v>22.0107</v>
      </c>
      <c r="D437" s="14">
        <f>CHOOSE(CONTROL!$C$42, 22.2157, 22.2157) * CHOOSE(CONTROL!$C$21, $C$9, 100%, $E$9)</f>
        <v>22.215699999999998</v>
      </c>
      <c r="E437" s="14">
        <f>CHOOSE(CONTROL!$C$42, 22.2471, 22.2471) * CHOOSE(CONTROL!$C$21, $C$9, 100%, $E$9)</f>
        <v>22.2471</v>
      </c>
      <c r="F437" s="14">
        <f>CHOOSE(CONTROL!$C$42, 21.9889, 21.9889)*CHOOSE(CONTROL!$C$21, $C$9, 100%, $E$9)</f>
        <v>21.988900000000001</v>
      </c>
      <c r="G437" s="14">
        <f>CHOOSE(CONTROL!$C$42, 22.0053, 22.0053)*CHOOSE(CONTROL!$C$21, $C$9, 100%, $E$9)</f>
        <v>22.005299999999998</v>
      </c>
      <c r="H437" s="14">
        <f>CHOOSE(CONTROL!$C$42, 22.2358, 22.2358) * CHOOSE(CONTROL!$C$21, $C$9, 100%, $E$9)</f>
        <v>22.235800000000001</v>
      </c>
      <c r="I437" s="14">
        <f>CHOOSE(CONTROL!$C$42, 22.0796, 22.0796)* CHOOSE(CONTROL!$C$21, $C$9, 100%, $E$9)</f>
        <v>22.079599999999999</v>
      </c>
      <c r="J437" s="14">
        <f>CHOOSE(CONTROL!$C$42, 21.9819, 21.9819)* CHOOSE(CONTROL!$C$21, $C$9, 100%, $E$9)</f>
        <v>21.9819</v>
      </c>
      <c r="K437" s="53">
        <f>CHOOSE(CONTROL!$C$42, 22.0757, 22.0757) * CHOOSE(CONTROL!$C$21, $C$9, 100%, $E$9)</f>
        <v>22.075700000000001</v>
      </c>
      <c r="L437" s="14">
        <f>CHOOSE(CONTROL!$C$42, 22.8228, 22.8228) * CHOOSE(CONTROL!$C$21, $C$9, 100%, $E$9)</f>
        <v>22.822800000000001</v>
      </c>
      <c r="M437" s="14">
        <f>CHOOSE(CONTROL!$C$42, 21.5392, 21.5392) * CHOOSE(CONTROL!$C$21, $C$9, 100%, $E$9)</f>
        <v>21.539200000000001</v>
      </c>
      <c r="N437" s="14">
        <f>CHOOSE(CONTROL!$C$42, 21.5552, 21.5552) * CHOOSE(CONTROL!$C$21, $C$9, 100%, $E$9)</f>
        <v>21.555199999999999</v>
      </c>
      <c r="O437" s="14">
        <f>CHOOSE(CONTROL!$C$42, 21.7879, 21.7879) * CHOOSE(CONTROL!$C$21, $C$9, 100%, $E$9)</f>
        <v>21.7879</v>
      </c>
      <c r="P437" s="14">
        <f>CHOOSE(CONTROL!$C$42, 21.6336, 21.6336) * CHOOSE(CONTROL!$C$21, $C$9, 100%, $E$9)</f>
        <v>21.633600000000001</v>
      </c>
      <c r="Q437" s="14">
        <f>CHOOSE(CONTROL!$C$42, 22.3826, 22.3826) * CHOOSE(CONTROL!$C$21, $C$9, 100%, $E$9)</f>
        <v>22.3826</v>
      </c>
      <c r="R437" s="14">
        <f>CHOOSE(CONTROL!$C$42, 23.0255, 23.0255) * CHOOSE(CONTROL!$C$21, $C$9, 100%, $E$9)</f>
        <v>23.025500000000001</v>
      </c>
      <c r="S437" s="14">
        <f>CHOOSE(CONTROL!$C$42, 21.1317, 21.1317) * CHOOSE(CONTROL!$C$21, $C$9, 100%, $E$9)</f>
        <v>21.131699999999999</v>
      </c>
      <c r="T4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7">
        <f>(1000*CHOOSE(CONTROL!$C$42, 695, 695)*CHOOSE(CONTROL!$C$42, 0.5599, 0.5599)*CHOOSE(CONTROL!$C$42, 31, 31))/1000000</f>
        <v>12.063045499999998</v>
      </c>
      <c r="V437" s="57">
        <f>(1000*CHOOSE(CONTROL!$C$42, 500, 500)*CHOOSE(CONTROL!$C$42, 0.275, 0.275)*CHOOSE(CONTROL!$C$42, 31, 31))/1000000</f>
        <v>4.2625000000000002</v>
      </c>
      <c r="W437" s="57">
        <f>(1000*CHOOSE(CONTROL!$C$42, 0.1146, 0.1146)*CHOOSE(CONTROL!$C$42, 121.5, 121.5)*CHOOSE(CONTROL!$C$42, 31, 31))/1000000</f>
        <v>0.43164089999999994</v>
      </c>
      <c r="X437" s="57">
        <f>(31*0.1790888*245000/1000000)+(31*0.2374*100000/1000000)</f>
        <v>2.0961194359999999</v>
      </c>
      <c r="Y437" s="57"/>
      <c r="Z437" s="14"/>
      <c r="AA437" s="56"/>
      <c r="AB437" s="50">
        <f>(B437*194.205+C437*267.466+D437*133.845+E437*53.484+F437*40+G437*185+H437*0+I437*100+J437*300)/(194.205+267.466+133.845+53.484+0+40+185+100+300)</f>
        <v>22.038099688069074</v>
      </c>
      <c r="AC437" s="45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21.626245323741006</v>
      </c>
    </row>
    <row r="438" spans="1:29" ht="15.75" x14ac:dyDescent="0.25">
      <c r="A438" s="33">
        <v>54239</v>
      </c>
      <c r="B438" s="14">
        <f>CHOOSE(CONTROL!$C$42, 22.6265, 22.6265) * CHOOSE(CONTROL!$C$21, $C$9, 100%, $E$9)</f>
        <v>22.6265</v>
      </c>
      <c r="C438" s="14">
        <f>CHOOSE(CONTROL!$C$42, 22.6345, 22.6345) * CHOOSE(CONTROL!$C$21, $C$9, 100%, $E$9)</f>
        <v>22.634499999999999</v>
      </c>
      <c r="D438" s="14">
        <f>CHOOSE(CONTROL!$C$42, 22.8395, 22.8395) * CHOOSE(CONTROL!$C$21, $C$9, 100%, $E$9)</f>
        <v>22.839500000000001</v>
      </c>
      <c r="E438" s="14">
        <f>CHOOSE(CONTROL!$C$42, 22.8709, 22.8709) * CHOOSE(CONTROL!$C$21, $C$9, 100%, $E$9)</f>
        <v>22.870899999999999</v>
      </c>
      <c r="F438" s="14">
        <f>CHOOSE(CONTROL!$C$42, 22.613, 22.613)*CHOOSE(CONTROL!$C$21, $C$9, 100%, $E$9)</f>
        <v>22.613</v>
      </c>
      <c r="G438" s="14">
        <f>CHOOSE(CONTROL!$C$42, 22.6295, 22.6295)*CHOOSE(CONTROL!$C$21, $C$9, 100%, $E$9)</f>
        <v>22.6295</v>
      </c>
      <c r="H438" s="14">
        <f>CHOOSE(CONTROL!$C$42, 22.8596, 22.8596) * CHOOSE(CONTROL!$C$21, $C$9, 100%, $E$9)</f>
        <v>22.8596</v>
      </c>
      <c r="I438" s="14">
        <f>CHOOSE(CONTROL!$C$42, 22.7054, 22.7054)* CHOOSE(CONTROL!$C$21, $C$9, 100%, $E$9)</f>
        <v>22.705400000000001</v>
      </c>
      <c r="J438" s="14">
        <f>CHOOSE(CONTROL!$C$42, 22.606, 22.606)* CHOOSE(CONTROL!$C$21, $C$9, 100%, $E$9)</f>
        <v>22.606000000000002</v>
      </c>
      <c r="K438" s="53">
        <f>CHOOSE(CONTROL!$C$42, 22.7015, 22.7015) * CHOOSE(CONTROL!$C$21, $C$9, 100%, $E$9)</f>
        <v>22.701499999999999</v>
      </c>
      <c r="L438" s="14">
        <f>CHOOSE(CONTROL!$C$42, 23.4466, 23.4466) * CHOOSE(CONTROL!$C$21, $C$9, 100%, $E$9)</f>
        <v>23.4466</v>
      </c>
      <c r="M438" s="14">
        <f>CHOOSE(CONTROL!$C$42, 22.1505, 22.1505) * CHOOSE(CONTROL!$C$21, $C$9, 100%, $E$9)</f>
        <v>22.150500000000001</v>
      </c>
      <c r="N438" s="14">
        <f>CHOOSE(CONTROL!$C$42, 22.1667, 22.1667) * CHOOSE(CONTROL!$C$21, $C$9, 100%, $E$9)</f>
        <v>22.166699999999999</v>
      </c>
      <c r="O438" s="14">
        <f>CHOOSE(CONTROL!$C$42, 22.3989, 22.3989) * CHOOSE(CONTROL!$C$21, $C$9, 100%, $E$9)</f>
        <v>22.398900000000001</v>
      </c>
      <c r="P438" s="14">
        <f>CHOOSE(CONTROL!$C$42, 22.2465, 22.2465) * CHOOSE(CONTROL!$C$21, $C$9, 100%, $E$9)</f>
        <v>22.246500000000001</v>
      </c>
      <c r="Q438" s="14">
        <f>CHOOSE(CONTROL!$C$42, 22.9936, 22.9936) * CHOOSE(CONTROL!$C$21, $C$9, 100%, $E$9)</f>
        <v>22.993600000000001</v>
      </c>
      <c r="R438" s="14">
        <f>CHOOSE(CONTROL!$C$42, 23.6381, 23.6381) * CHOOSE(CONTROL!$C$21, $C$9, 100%, $E$9)</f>
        <v>23.638100000000001</v>
      </c>
      <c r="S438" s="14">
        <f>CHOOSE(CONTROL!$C$42, 21.7311, 21.7311) * CHOOSE(CONTROL!$C$21, $C$9, 100%, $E$9)</f>
        <v>21.731100000000001</v>
      </c>
      <c r="T4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7">
        <f>(1000*CHOOSE(CONTROL!$C$42, 695, 695)*CHOOSE(CONTROL!$C$42, 0.5599, 0.5599)*CHOOSE(CONTROL!$C$42, 30, 30))/1000000</f>
        <v>11.673914999999997</v>
      </c>
      <c r="V438" s="57">
        <f>(1000*CHOOSE(CONTROL!$C$42, 500, 500)*CHOOSE(CONTROL!$C$42, 0.275, 0.275)*CHOOSE(CONTROL!$C$42, 30, 30))/1000000</f>
        <v>4.125</v>
      </c>
      <c r="W438" s="57">
        <f>(1000*CHOOSE(CONTROL!$C$42, 0.1146, 0.1146)*CHOOSE(CONTROL!$C$42, 121.5, 121.5)*CHOOSE(CONTROL!$C$42, 30, 30))/1000000</f>
        <v>0.417717</v>
      </c>
      <c r="X438" s="57">
        <f>(30*0.1790888*245000/1000000)+(30*0.2374*100000/1000000)</f>
        <v>2.0285026799999999</v>
      </c>
      <c r="Y438" s="57"/>
      <c r="Z438" s="14"/>
      <c r="AA438" s="56"/>
      <c r="AB438" s="50">
        <f>(B438*194.205+C438*267.466+D438*133.845+E438*53.484+F438*40+G438*185+H438*0+I438*100+J438*300)/(194.205+267.466+133.845+53.484+0+40+185+100+300)</f>
        <v>22.662194821507065</v>
      </c>
      <c r="AC438" s="45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22.23773741007194</v>
      </c>
    </row>
    <row r="439" spans="1:29" ht="15.75" x14ac:dyDescent="0.25">
      <c r="A439" s="33">
        <v>54270</v>
      </c>
      <c r="B439" s="14">
        <f>CHOOSE(CONTROL!$C$42, 22.1926, 22.1926) * CHOOSE(CONTROL!$C$21, $C$9, 100%, $E$9)</f>
        <v>22.192599999999999</v>
      </c>
      <c r="C439" s="14">
        <f>CHOOSE(CONTROL!$C$42, 22.2006, 22.2006) * CHOOSE(CONTROL!$C$21, $C$9, 100%, $E$9)</f>
        <v>22.200600000000001</v>
      </c>
      <c r="D439" s="14">
        <f>CHOOSE(CONTROL!$C$42, 22.4056, 22.4056) * CHOOSE(CONTROL!$C$21, $C$9, 100%, $E$9)</f>
        <v>22.4056</v>
      </c>
      <c r="E439" s="14">
        <f>CHOOSE(CONTROL!$C$42, 22.4371, 22.4371) * CHOOSE(CONTROL!$C$21, $C$9, 100%, $E$9)</f>
        <v>22.437100000000001</v>
      </c>
      <c r="F439" s="14">
        <f>CHOOSE(CONTROL!$C$42, 22.1796, 22.1796)*CHOOSE(CONTROL!$C$21, $C$9, 100%, $E$9)</f>
        <v>22.179600000000001</v>
      </c>
      <c r="G439" s="14">
        <f>CHOOSE(CONTROL!$C$42, 22.1962, 22.1962)*CHOOSE(CONTROL!$C$21, $C$9, 100%, $E$9)</f>
        <v>22.196200000000001</v>
      </c>
      <c r="H439" s="14">
        <f>CHOOSE(CONTROL!$C$42, 22.4257, 22.4257) * CHOOSE(CONTROL!$C$21, $C$9, 100%, $E$9)</f>
        <v>22.425699999999999</v>
      </c>
      <c r="I439" s="14">
        <f>CHOOSE(CONTROL!$C$42, 22.2702, 22.2702)* CHOOSE(CONTROL!$C$21, $C$9, 100%, $E$9)</f>
        <v>22.270199999999999</v>
      </c>
      <c r="J439" s="14">
        <f>CHOOSE(CONTROL!$C$42, 22.1726, 22.1726)* CHOOSE(CONTROL!$C$21, $C$9, 100%, $E$9)</f>
        <v>22.172599999999999</v>
      </c>
      <c r="K439" s="53">
        <f>CHOOSE(CONTROL!$C$42, 22.2663, 22.2663) * CHOOSE(CONTROL!$C$21, $C$9, 100%, $E$9)</f>
        <v>22.266300000000001</v>
      </c>
      <c r="L439" s="14">
        <f>CHOOSE(CONTROL!$C$42, 23.0127, 23.0127) * CHOOSE(CONTROL!$C$21, $C$9, 100%, $E$9)</f>
        <v>23.012699999999999</v>
      </c>
      <c r="M439" s="14">
        <f>CHOOSE(CONTROL!$C$42, 21.726, 21.726) * CHOOSE(CONTROL!$C$21, $C$9, 100%, $E$9)</f>
        <v>21.725999999999999</v>
      </c>
      <c r="N439" s="14">
        <f>CHOOSE(CONTROL!$C$42, 21.7423, 21.7423) * CHOOSE(CONTROL!$C$21, $C$9, 100%, $E$9)</f>
        <v>21.7423</v>
      </c>
      <c r="O439" s="14">
        <f>CHOOSE(CONTROL!$C$42, 21.9739, 21.9739) * CHOOSE(CONTROL!$C$21, $C$9, 100%, $E$9)</f>
        <v>21.9739</v>
      </c>
      <c r="P439" s="14">
        <f>CHOOSE(CONTROL!$C$42, 21.8202, 21.8202) * CHOOSE(CONTROL!$C$21, $C$9, 100%, $E$9)</f>
        <v>21.8202</v>
      </c>
      <c r="Q439" s="14">
        <f>CHOOSE(CONTROL!$C$42, 22.5686, 22.5686) * CHOOSE(CONTROL!$C$21, $C$9, 100%, $E$9)</f>
        <v>22.5686</v>
      </c>
      <c r="R439" s="14">
        <f>CHOOSE(CONTROL!$C$42, 23.212, 23.212) * CHOOSE(CONTROL!$C$21, $C$9, 100%, $E$9)</f>
        <v>23.212</v>
      </c>
      <c r="S439" s="14">
        <f>CHOOSE(CONTROL!$C$42, 21.3143, 21.3143) * CHOOSE(CONTROL!$C$21, $C$9, 100%, $E$9)</f>
        <v>21.314299999999999</v>
      </c>
      <c r="T4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7">
        <f>(1000*CHOOSE(CONTROL!$C$42, 695, 695)*CHOOSE(CONTROL!$C$42, 0.5599, 0.5599)*CHOOSE(CONTROL!$C$42, 31, 31))/1000000</f>
        <v>12.063045499999998</v>
      </c>
      <c r="V439" s="57">
        <f>(1000*CHOOSE(CONTROL!$C$42, 500, 500)*CHOOSE(CONTROL!$C$42, 0.275, 0.275)*CHOOSE(CONTROL!$C$42, 31, 31))/1000000</f>
        <v>4.2625000000000002</v>
      </c>
      <c r="W439" s="57">
        <f>(1000*CHOOSE(CONTROL!$C$42, 0.1146, 0.1146)*CHOOSE(CONTROL!$C$42, 121.5, 121.5)*CHOOSE(CONTROL!$C$42, 31, 31))/1000000</f>
        <v>0.43164089999999994</v>
      </c>
      <c r="X439" s="57">
        <f>(31*0.1790888*245000/1000000)+(31*0.2374*100000/1000000)</f>
        <v>2.0961194359999999</v>
      </c>
      <c r="Y439" s="57"/>
      <c r="Z439" s="14"/>
      <c r="AA439" s="56"/>
      <c r="AB439" s="50">
        <f>(B439*194.205+C439*267.466+D439*133.845+E439*53.484+F439*40+G439*185+H439*0+I439*100+J439*300)/(194.205+267.466+133.845+53.484+0+40+185+100+300)</f>
        <v>22.228417543956045</v>
      </c>
      <c r="AC439" s="45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21.812861151079137</v>
      </c>
    </row>
    <row r="440" spans="1:29" ht="15.75" x14ac:dyDescent="0.25">
      <c r="A440" s="33">
        <v>54301</v>
      </c>
      <c r="B440" s="14">
        <f>CHOOSE(CONTROL!$C$42, 21.097, 21.097) * CHOOSE(CONTROL!$C$21, $C$9, 100%, $E$9)</f>
        <v>21.097000000000001</v>
      </c>
      <c r="C440" s="14">
        <f>CHOOSE(CONTROL!$C$42, 21.105, 21.105) * CHOOSE(CONTROL!$C$21, $C$9, 100%, $E$9)</f>
        <v>21.105</v>
      </c>
      <c r="D440" s="14">
        <f>CHOOSE(CONTROL!$C$42, 21.31, 21.31) * CHOOSE(CONTROL!$C$21, $C$9, 100%, $E$9)</f>
        <v>21.31</v>
      </c>
      <c r="E440" s="14">
        <f>CHOOSE(CONTROL!$C$42, 21.3415, 21.3415) * CHOOSE(CONTROL!$C$21, $C$9, 100%, $E$9)</f>
        <v>21.3415</v>
      </c>
      <c r="F440" s="14">
        <f>CHOOSE(CONTROL!$C$42, 21.0842, 21.0842)*CHOOSE(CONTROL!$C$21, $C$9, 100%, $E$9)</f>
        <v>21.084199999999999</v>
      </c>
      <c r="G440" s="14">
        <f>CHOOSE(CONTROL!$C$42, 21.1009, 21.1009)*CHOOSE(CONTROL!$C$21, $C$9, 100%, $E$9)</f>
        <v>21.100899999999999</v>
      </c>
      <c r="H440" s="14">
        <f>CHOOSE(CONTROL!$C$42, 21.3301, 21.3301) * CHOOSE(CONTROL!$C$21, $C$9, 100%, $E$9)</f>
        <v>21.330100000000002</v>
      </c>
      <c r="I440" s="14">
        <f>CHOOSE(CONTROL!$C$42, 21.1711, 21.1711)* CHOOSE(CONTROL!$C$21, $C$9, 100%, $E$9)</f>
        <v>21.171099999999999</v>
      </c>
      <c r="J440" s="14">
        <f>CHOOSE(CONTROL!$C$42, 21.0772, 21.0772)* CHOOSE(CONTROL!$C$21, $C$9, 100%, $E$9)</f>
        <v>21.077200000000001</v>
      </c>
      <c r="K440" s="53">
        <f>CHOOSE(CONTROL!$C$42, 21.1672, 21.1672) * CHOOSE(CONTROL!$C$21, $C$9, 100%, $E$9)</f>
        <v>21.167200000000001</v>
      </c>
      <c r="L440" s="14">
        <f>CHOOSE(CONTROL!$C$42, 21.9171, 21.9171) * CHOOSE(CONTROL!$C$21, $C$9, 100%, $E$9)</f>
        <v>21.917100000000001</v>
      </c>
      <c r="M440" s="14">
        <f>CHOOSE(CONTROL!$C$42, 20.653, 20.653) * CHOOSE(CONTROL!$C$21, $C$9, 100%, $E$9)</f>
        <v>20.652999999999999</v>
      </c>
      <c r="N440" s="14">
        <f>CHOOSE(CONTROL!$C$42, 20.6694, 20.6694) * CHOOSE(CONTROL!$C$21, $C$9, 100%, $E$9)</f>
        <v>20.6694</v>
      </c>
      <c r="O440" s="14">
        <f>CHOOSE(CONTROL!$C$42, 20.9008, 20.9008) * CHOOSE(CONTROL!$C$21, $C$9, 100%, $E$9)</f>
        <v>20.9008</v>
      </c>
      <c r="P440" s="14">
        <f>CHOOSE(CONTROL!$C$42, 20.7438, 20.7438) * CHOOSE(CONTROL!$C$21, $C$9, 100%, $E$9)</f>
        <v>20.7438</v>
      </c>
      <c r="Q440" s="14">
        <f>CHOOSE(CONTROL!$C$42, 21.4955, 21.4955) * CHOOSE(CONTROL!$C$21, $C$9, 100%, $E$9)</f>
        <v>21.4955</v>
      </c>
      <c r="R440" s="14">
        <f>CHOOSE(CONTROL!$C$42, 22.1362, 22.1362) * CHOOSE(CONTROL!$C$21, $C$9, 100%, $E$9)</f>
        <v>22.136199999999999</v>
      </c>
      <c r="S440" s="14">
        <f>CHOOSE(CONTROL!$C$42, 20.2615, 20.2615) * CHOOSE(CONTROL!$C$21, $C$9, 100%, $E$9)</f>
        <v>20.261500000000002</v>
      </c>
      <c r="T4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7">
        <f>(1000*CHOOSE(CONTROL!$C$42, 695, 695)*CHOOSE(CONTROL!$C$42, 0.5599, 0.5599)*CHOOSE(CONTROL!$C$42, 31, 31))/1000000</f>
        <v>12.063045499999998</v>
      </c>
      <c r="V440" s="57">
        <f>(1000*CHOOSE(CONTROL!$C$42, 500, 500)*CHOOSE(CONTROL!$C$42, 0.275, 0.275)*CHOOSE(CONTROL!$C$42, 31, 31))/1000000</f>
        <v>4.2625000000000002</v>
      </c>
      <c r="W440" s="57">
        <f>(1000*CHOOSE(CONTROL!$C$42, 0.1146, 0.1146)*CHOOSE(CONTROL!$C$42, 121.5, 121.5)*CHOOSE(CONTROL!$C$42, 31, 31))/1000000</f>
        <v>0.43164089999999994</v>
      </c>
      <c r="X440" s="57">
        <f>(31*0.1790888*245000/1000000)+(31*0.2374*100000/1000000)</f>
        <v>2.0961194359999999</v>
      </c>
      <c r="Y440" s="57"/>
      <c r="Z440" s="14"/>
      <c r="AA440" s="56"/>
      <c r="AB440" s="50">
        <f>(B440*194.205+C440*267.466+D440*133.845+E440*53.484+F440*40+G440*185+H440*0+I440*100+J440*300)/(194.205+267.466+133.845+53.484+0+40+185+100+300)</f>
        <v>21.132639757456833</v>
      </c>
      <c r="AC440" s="45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20.739366906474821</v>
      </c>
    </row>
    <row r="441" spans="1:29" ht="15.75" x14ac:dyDescent="0.25">
      <c r="A441" s="33">
        <v>54331</v>
      </c>
      <c r="B441" s="14">
        <f>CHOOSE(CONTROL!$C$42, 19.758, 19.758) * CHOOSE(CONTROL!$C$21, $C$9, 100%, $E$9)</f>
        <v>19.757999999999999</v>
      </c>
      <c r="C441" s="14">
        <f>CHOOSE(CONTROL!$C$42, 19.766, 19.766) * CHOOSE(CONTROL!$C$21, $C$9, 100%, $E$9)</f>
        <v>19.765999999999998</v>
      </c>
      <c r="D441" s="14">
        <f>CHOOSE(CONTROL!$C$42, 19.971, 19.971) * CHOOSE(CONTROL!$C$21, $C$9, 100%, $E$9)</f>
        <v>19.971</v>
      </c>
      <c r="E441" s="14">
        <f>CHOOSE(CONTROL!$C$42, 20.0025, 20.0025) * CHOOSE(CONTROL!$C$21, $C$9, 100%, $E$9)</f>
        <v>20.002500000000001</v>
      </c>
      <c r="F441" s="14">
        <f>CHOOSE(CONTROL!$C$42, 19.7451, 19.7451)*CHOOSE(CONTROL!$C$21, $C$9, 100%, $E$9)</f>
        <v>19.745100000000001</v>
      </c>
      <c r="G441" s="14">
        <f>CHOOSE(CONTROL!$C$42, 19.7618, 19.7618)*CHOOSE(CONTROL!$C$21, $C$9, 100%, $E$9)</f>
        <v>19.761800000000001</v>
      </c>
      <c r="H441" s="14">
        <f>CHOOSE(CONTROL!$C$42, 19.9911, 19.9911) * CHOOSE(CONTROL!$C$21, $C$9, 100%, $E$9)</f>
        <v>19.991099999999999</v>
      </c>
      <c r="I441" s="14">
        <f>CHOOSE(CONTROL!$C$42, 19.8279, 19.8279)* CHOOSE(CONTROL!$C$21, $C$9, 100%, $E$9)</f>
        <v>19.8279</v>
      </c>
      <c r="J441" s="14">
        <f>CHOOSE(CONTROL!$C$42, 19.7381, 19.7381)* CHOOSE(CONTROL!$C$21, $C$9, 100%, $E$9)</f>
        <v>19.738099999999999</v>
      </c>
      <c r="K441" s="53">
        <f>CHOOSE(CONTROL!$C$42, 19.824, 19.824) * CHOOSE(CONTROL!$C$21, $C$9, 100%, $E$9)</f>
        <v>19.824000000000002</v>
      </c>
      <c r="L441" s="14">
        <f>CHOOSE(CONTROL!$C$42, 20.5781, 20.5781) * CHOOSE(CONTROL!$C$21, $C$9, 100%, $E$9)</f>
        <v>20.578099999999999</v>
      </c>
      <c r="M441" s="14">
        <f>CHOOSE(CONTROL!$C$42, 19.3414, 19.3414) * CHOOSE(CONTROL!$C$21, $C$9, 100%, $E$9)</f>
        <v>19.3414</v>
      </c>
      <c r="N441" s="14">
        <f>CHOOSE(CONTROL!$C$42, 19.3577, 19.3577) * CHOOSE(CONTROL!$C$21, $C$9, 100%, $E$9)</f>
        <v>19.357700000000001</v>
      </c>
      <c r="O441" s="14">
        <f>CHOOSE(CONTROL!$C$42, 19.5892, 19.5892) * CHOOSE(CONTROL!$C$21, $C$9, 100%, $E$9)</f>
        <v>19.589200000000002</v>
      </c>
      <c r="P441" s="14">
        <f>CHOOSE(CONTROL!$C$42, 19.4282, 19.4282) * CHOOSE(CONTROL!$C$21, $C$9, 100%, $E$9)</f>
        <v>19.4282</v>
      </c>
      <c r="Q441" s="14">
        <f>CHOOSE(CONTROL!$C$42, 20.1839, 20.1839) * CHOOSE(CONTROL!$C$21, $C$9, 100%, $E$9)</f>
        <v>20.183900000000001</v>
      </c>
      <c r="R441" s="14">
        <f>CHOOSE(CONTROL!$C$42, 20.8213, 20.8213) * CHOOSE(CONTROL!$C$21, $C$9, 100%, $E$9)</f>
        <v>20.821300000000001</v>
      </c>
      <c r="S441" s="14">
        <f>CHOOSE(CONTROL!$C$42, 18.9748, 18.9748) * CHOOSE(CONTROL!$C$21, $C$9, 100%, $E$9)</f>
        <v>18.974799999999998</v>
      </c>
      <c r="T4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7">
        <f>(1000*CHOOSE(CONTROL!$C$42, 695, 695)*CHOOSE(CONTROL!$C$42, 0.5599, 0.5599)*CHOOSE(CONTROL!$C$42, 30, 30))/1000000</f>
        <v>11.673914999999997</v>
      </c>
      <c r="V441" s="57">
        <f>(1000*CHOOSE(CONTROL!$C$42, 500, 500)*CHOOSE(CONTROL!$C$42, 0.275, 0.275)*CHOOSE(CONTROL!$C$42, 30, 30))/1000000</f>
        <v>4.125</v>
      </c>
      <c r="W441" s="57">
        <f>(1000*CHOOSE(CONTROL!$C$42, 0.1146, 0.1146)*CHOOSE(CONTROL!$C$42, 121.5, 121.5)*CHOOSE(CONTROL!$C$42, 30, 30))/1000000</f>
        <v>0.417717</v>
      </c>
      <c r="X441" s="57">
        <f>(30*0.1790888*245000/1000000)+(30*0.2374*100000/1000000)</f>
        <v>2.0285026799999999</v>
      </c>
      <c r="Y441" s="57"/>
      <c r="Z441" s="14"/>
      <c r="AA441" s="56"/>
      <c r="AB441" s="50">
        <f>(B441*194.205+C441*267.466+D441*133.845+E441*53.484+F441*40+G441*185+H441*0+I441*100+J441*300)/(194.205+267.466+133.845+53.484+0+40+185+100+300)</f>
        <v>19.793268878335951</v>
      </c>
      <c r="AC441" s="45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19.427168345323739</v>
      </c>
    </row>
    <row r="442" spans="1:29" ht="15.75" x14ac:dyDescent="0.25">
      <c r="A442" s="33">
        <v>54362</v>
      </c>
      <c r="B442" s="14">
        <f>CHOOSE(CONTROL!$C$42, 19.3553, 19.3553) * CHOOSE(CONTROL!$C$21, $C$9, 100%, $E$9)</f>
        <v>19.3553</v>
      </c>
      <c r="C442" s="14">
        <f>CHOOSE(CONTROL!$C$42, 19.3606, 19.3606) * CHOOSE(CONTROL!$C$21, $C$9, 100%, $E$9)</f>
        <v>19.360600000000002</v>
      </c>
      <c r="D442" s="14">
        <f>CHOOSE(CONTROL!$C$42, 19.5706, 19.5706) * CHOOSE(CONTROL!$C$21, $C$9, 100%, $E$9)</f>
        <v>19.570599999999999</v>
      </c>
      <c r="E442" s="14">
        <f>CHOOSE(CONTROL!$C$42, 19.5997, 19.5997) * CHOOSE(CONTROL!$C$21, $C$9, 100%, $E$9)</f>
        <v>19.599699999999999</v>
      </c>
      <c r="F442" s="14">
        <f>CHOOSE(CONTROL!$C$42, 19.3445, 19.3445)*CHOOSE(CONTROL!$C$21, $C$9, 100%, $E$9)</f>
        <v>19.3445</v>
      </c>
      <c r="G442" s="14">
        <f>CHOOSE(CONTROL!$C$42, 19.3609, 19.3609)*CHOOSE(CONTROL!$C$21, $C$9, 100%, $E$9)</f>
        <v>19.360900000000001</v>
      </c>
      <c r="H442" s="14">
        <f>CHOOSE(CONTROL!$C$42, 19.5902, 19.5902) * CHOOSE(CONTROL!$C$21, $C$9, 100%, $E$9)</f>
        <v>19.590199999999999</v>
      </c>
      <c r="I442" s="14">
        <f>CHOOSE(CONTROL!$C$42, 19.4257, 19.4257)* CHOOSE(CONTROL!$C$21, $C$9, 100%, $E$9)</f>
        <v>19.425699999999999</v>
      </c>
      <c r="J442" s="14">
        <f>CHOOSE(CONTROL!$C$42, 19.3375, 19.3375)* CHOOSE(CONTROL!$C$21, $C$9, 100%, $E$9)</f>
        <v>19.337499999999999</v>
      </c>
      <c r="K442" s="53">
        <f>CHOOSE(CONTROL!$C$42, 19.4218, 19.4218) * CHOOSE(CONTROL!$C$21, $C$9, 100%, $E$9)</f>
        <v>19.421800000000001</v>
      </c>
      <c r="L442" s="14">
        <f>CHOOSE(CONTROL!$C$42, 20.1772, 20.1772) * CHOOSE(CONTROL!$C$21, $C$9, 100%, $E$9)</f>
        <v>20.177199999999999</v>
      </c>
      <c r="M442" s="14">
        <f>CHOOSE(CONTROL!$C$42, 18.949, 18.949) * CHOOSE(CONTROL!$C$21, $C$9, 100%, $E$9)</f>
        <v>18.949000000000002</v>
      </c>
      <c r="N442" s="14">
        <f>CHOOSE(CONTROL!$C$42, 18.965, 18.965) * CHOOSE(CONTROL!$C$21, $C$9, 100%, $E$9)</f>
        <v>18.965</v>
      </c>
      <c r="O442" s="14">
        <f>CHOOSE(CONTROL!$C$42, 19.1965, 19.1965) * CHOOSE(CONTROL!$C$21, $C$9, 100%, $E$9)</f>
        <v>19.1965</v>
      </c>
      <c r="P442" s="14">
        <f>CHOOSE(CONTROL!$C$42, 19.0343, 19.0343) * CHOOSE(CONTROL!$C$21, $C$9, 100%, $E$9)</f>
        <v>19.034300000000002</v>
      </c>
      <c r="Q442" s="14">
        <f>CHOOSE(CONTROL!$C$42, 19.7912, 19.7912) * CHOOSE(CONTROL!$C$21, $C$9, 100%, $E$9)</f>
        <v>19.7912</v>
      </c>
      <c r="R442" s="14">
        <f>CHOOSE(CONTROL!$C$42, 20.4276, 20.4276) * CHOOSE(CONTROL!$C$21, $C$9, 100%, $E$9)</f>
        <v>20.427600000000002</v>
      </c>
      <c r="S442" s="14">
        <f>CHOOSE(CONTROL!$C$42, 18.5896, 18.5896) * CHOOSE(CONTROL!$C$21, $C$9, 100%, $E$9)</f>
        <v>18.589600000000001</v>
      </c>
      <c r="T4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7">
        <f>(1000*CHOOSE(CONTROL!$C$42, 695, 695)*CHOOSE(CONTROL!$C$42, 0.5599, 0.5599)*CHOOSE(CONTROL!$C$42, 31, 31))/1000000</f>
        <v>12.063045499999998</v>
      </c>
      <c r="V442" s="57">
        <f>(1000*CHOOSE(CONTROL!$C$42, 500, 500)*CHOOSE(CONTROL!$C$42, 0.275, 0.275)*CHOOSE(CONTROL!$C$42, 31, 31))/1000000</f>
        <v>4.2625000000000002</v>
      </c>
      <c r="W442" s="57">
        <f>(1000*CHOOSE(CONTROL!$C$42, 0.1146, 0.1146)*CHOOSE(CONTROL!$C$42, 121.5, 121.5)*CHOOSE(CONTROL!$C$42, 31, 31))/1000000</f>
        <v>0.43164089999999994</v>
      </c>
      <c r="X442" s="57">
        <f>(31*0.1790888*245000/1000000)+(31*0.2374*100000/1000000)</f>
        <v>2.0961194359999999</v>
      </c>
      <c r="Y442" s="57"/>
      <c r="Z442" s="14"/>
      <c r="AA442" s="56"/>
      <c r="AB442" s="50">
        <f>(B442*131.881+C442*277.167+D442*79.08+E442*125.872+F442*40+G442*185+H442*0+I442*100+J442*300)/(131.881+277.167+79.08+125.872+0+40+185+100+300)</f>
        <v>19.396915840112992</v>
      </c>
      <c r="AC442" s="45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19.034399280575542</v>
      </c>
    </row>
    <row r="443" spans="1:29" ht="15.75" x14ac:dyDescent="0.25">
      <c r="A443" s="33">
        <v>54392</v>
      </c>
      <c r="B443" s="14">
        <f>CHOOSE(CONTROL!$C$42, 19.8645, 19.8645) * CHOOSE(CONTROL!$C$21, $C$9, 100%, $E$9)</f>
        <v>19.8645</v>
      </c>
      <c r="C443" s="14">
        <f>CHOOSE(CONTROL!$C$42, 19.8696, 19.8696) * CHOOSE(CONTROL!$C$21, $C$9, 100%, $E$9)</f>
        <v>19.869599999999998</v>
      </c>
      <c r="D443" s="14">
        <f>CHOOSE(CONTROL!$C$42, 19.9334, 19.9334) * CHOOSE(CONTROL!$C$21, $C$9, 100%, $E$9)</f>
        <v>19.933399999999999</v>
      </c>
      <c r="E443" s="14">
        <f>CHOOSE(CONTROL!$C$42, 19.9675, 19.9675) * CHOOSE(CONTROL!$C$21, $C$9, 100%, $E$9)</f>
        <v>19.967500000000001</v>
      </c>
      <c r="F443" s="14">
        <f>CHOOSE(CONTROL!$C$42, 19.8668, 19.8668)*CHOOSE(CONTROL!$C$21, $C$9, 100%, $E$9)</f>
        <v>19.866800000000001</v>
      </c>
      <c r="G443" s="14">
        <f>CHOOSE(CONTROL!$C$42, 19.8834, 19.8834)*CHOOSE(CONTROL!$C$21, $C$9, 100%, $E$9)</f>
        <v>19.883400000000002</v>
      </c>
      <c r="H443" s="14">
        <f>CHOOSE(CONTROL!$C$42, 19.9567, 19.9567) * CHOOSE(CONTROL!$C$21, $C$9, 100%, $E$9)</f>
        <v>19.956700000000001</v>
      </c>
      <c r="I443" s="14">
        <f>CHOOSE(CONTROL!$C$42, 19.9406, 19.9406)* CHOOSE(CONTROL!$C$21, $C$9, 100%, $E$9)</f>
        <v>19.9406</v>
      </c>
      <c r="J443" s="14">
        <f>CHOOSE(CONTROL!$C$42, 19.8598, 19.8598)* CHOOSE(CONTROL!$C$21, $C$9, 100%, $E$9)</f>
        <v>19.8598</v>
      </c>
      <c r="K443" s="53">
        <f>CHOOSE(CONTROL!$C$42, 19.9367, 19.9367) * CHOOSE(CONTROL!$C$21, $C$9, 100%, $E$9)</f>
        <v>19.936699999999998</v>
      </c>
      <c r="L443" s="14">
        <f>CHOOSE(CONTROL!$C$42, 20.5437, 20.5437) * CHOOSE(CONTROL!$C$21, $C$9, 100%, $E$9)</f>
        <v>20.543700000000001</v>
      </c>
      <c r="M443" s="14">
        <f>CHOOSE(CONTROL!$C$42, 19.4606, 19.4606) * CHOOSE(CONTROL!$C$21, $C$9, 100%, $E$9)</f>
        <v>19.460599999999999</v>
      </c>
      <c r="N443" s="14">
        <f>CHOOSE(CONTROL!$C$42, 19.4769, 19.4769) * CHOOSE(CONTROL!$C$21, $C$9, 100%, $E$9)</f>
        <v>19.476900000000001</v>
      </c>
      <c r="O443" s="14">
        <f>CHOOSE(CONTROL!$C$42, 19.5555, 19.5555) * CHOOSE(CONTROL!$C$21, $C$9, 100%, $E$9)</f>
        <v>19.555499999999999</v>
      </c>
      <c r="P443" s="14">
        <f>CHOOSE(CONTROL!$C$42, 19.5386, 19.5386) * CHOOSE(CONTROL!$C$21, $C$9, 100%, $E$9)</f>
        <v>19.538599999999999</v>
      </c>
      <c r="Q443" s="14">
        <f>CHOOSE(CONTROL!$C$42, 20.1502, 20.1502) * CHOOSE(CONTROL!$C$21, $C$9, 100%, $E$9)</f>
        <v>20.150200000000002</v>
      </c>
      <c r="R443" s="14">
        <f>CHOOSE(CONTROL!$C$42, 20.7876, 20.7876) * CHOOSE(CONTROL!$C$21, $C$9, 100%, $E$9)</f>
        <v>20.787600000000001</v>
      </c>
      <c r="S443" s="14">
        <f>CHOOSE(CONTROL!$C$42, 19.0793, 19.0793) * CHOOSE(CONTROL!$C$21, $C$9, 100%, $E$9)</f>
        <v>19.0793</v>
      </c>
      <c r="T4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7">
        <f>(1000*CHOOSE(CONTROL!$C$42, 695, 695)*CHOOSE(CONTROL!$C$42, 0.5599, 0.5599)*CHOOSE(CONTROL!$C$42, 30, 30))/1000000</f>
        <v>11.673914999999997</v>
      </c>
      <c r="V443" s="57">
        <f>(1000*CHOOSE(CONTROL!$C$42, 500, 500)*CHOOSE(CONTROL!$C$42, 0.275, 0.275)*CHOOSE(CONTROL!$C$42, 30, 30))/1000000</f>
        <v>4.125</v>
      </c>
      <c r="W443" s="57">
        <f>(1000*CHOOSE(CONTROL!$C$42, 0.1146, 0.1146)*CHOOSE(CONTROL!$C$42, 121.5, 121.5)*CHOOSE(CONTROL!$C$42, 30, 30))/1000000</f>
        <v>0.417717</v>
      </c>
      <c r="X443" s="57">
        <f>(30*0.1790888*100000/1000000)+(30*0.2374*100000/1000000)</f>
        <v>1.2494664</v>
      </c>
      <c r="Y443" s="57"/>
      <c r="Z443" s="14"/>
      <c r="AA443" s="56"/>
      <c r="AB443" s="50">
        <f>(B443*122.58+C443*297.941+D443*89.177+E443*40.302+F443*40+G443*160+H443*0+I443*100+J443*300)/(122.58+297.941+89.177+40.302+0+40+160+100+300)</f>
        <v>19.882874695999998</v>
      </c>
      <c r="AC443" s="45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19.515773381294963</v>
      </c>
    </row>
    <row r="444" spans="1:29" ht="15.75" x14ac:dyDescent="0.25">
      <c r="A444" s="33">
        <v>54423</v>
      </c>
      <c r="B444" s="14">
        <f>CHOOSE(CONTROL!$C$42, 21.2182, 21.2182) * CHOOSE(CONTROL!$C$21, $C$9, 100%, $E$9)</f>
        <v>21.2182</v>
      </c>
      <c r="C444" s="14">
        <f>CHOOSE(CONTROL!$C$42, 21.2233, 21.2233) * CHOOSE(CONTROL!$C$21, $C$9, 100%, $E$9)</f>
        <v>21.223299999999998</v>
      </c>
      <c r="D444" s="14">
        <f>CHOOSE(CONTROL!$C$42, 21.2871, 21.2871) * CHOOSE(CONTROL!$C$21, $C$9, 100%, $E$9)</f>
        <v>21.287099999999999</v>
      </c>
      <c r="E444" s="14">
        <f>CHOOSE(CONTROL!$C$42, 21.3212, 21.3212) * CHOOSE(CONTROL!$C$21, $C$9, 100%, $E$9)</f>
        <v>21.321200000000001</v>
      </c>
      <c r="F444" s="14">
        <f>CHOOSE(CONTROL!$C$42, 21.2225, 21.2225)*CHOOSE(CONTROL!$C$21, $C$9, 100%, $E$9)</f>
        <v>21.2225</v>
      </c>
      <c r="G444" s="14">
        <f>CHOOSE(CONTROL!$C$42, 21.2397, 21.2397)*CHOOSE(CONTROL!$C$21, $C$9, 100%, $E$9)</f>
        <v>21.239699999999999</v>
      </c>
      <c r="H444" s="14">
        <f>CHOOSE(CONTROL!$C$42, 21.3104, 21.3104) * CHOOSE(CONTROL!$C$21, $C$9, 100%, $E$9)</f>
        <v>21.310400000000001</v>
      </c>
      <c r="I444" s="14">
        <f>CHOOSE(CONTROL!$C$42, 21.2986, 21.2986)* CHOOSE(CONTROL!$C$21, $C$9, 100%, $E$9)</f>
        <v>21.2986</v>
      </c>
      <c r="J444" s="14">
        <f>CHOOSE(CONTROL!$C$42, 21.2155, 21.2155)* CHOOSE(CONTROL!$C$21, $C$9, 100%, $E$9)</f>
        <v>21.215499999999999</v>
      </c>
      <c r="K444" s="53">
        <f>CHOOSE(CONTROL!$C$42, 21.2947, 21.2947) * CHOOSE(CONTROL!$C$21, $C$9, 100%, $E$9)</f>
        <v>21.294699999999999</v>
      </c>
      <c r="L444" s="14">
        <f>CHOOSE(CONTROL!$C$42, 21.8974, 21.8974) * CHOOSE(CONTROL!$C$21, $C$9, 100%, $E$9)</f>
        <v>21.897400000000001</v>
      </c>
      <c r="M444" s="14">
        <f>CHOOSE(CONTROL!$C$42, 20.7885, 20.7885) * CHOOSE(CONTROL!$C$21, $C$9, 100%, $E$9)</f>
        <v>20.788499999999999</v>
      </c>
      <c r="N444" s="14">
        <f>CHOOSE(CONTROL!$C$42, 20.8054, 20.8054) * CHOOSE(CONTROL!$C$21, $C$9, 100%, $E$9)</f>
        <v>20.805399999999999</v>
      </c>
      <c r="O444" s="14">
        <f>CHOOSE(CONTROL!$C$42, 20.8815, 20.8815) * CHOOSE(CONTROL!$C$21, $C$9, 100%, $E$9)</f>
        <v>20.881499999999999</v>
      </c>
      <c r="P444" s="14">
        <f>CHOOSE(CONTROL!$C$42, 20.8686, 20.8686) * CHOOSE(CONTROL!$C$21, $C$9, 100%, $E$9)</f>
        <v>20.868600000000001</v>
      </c>
      <c r="Q444" s="14">
        <f>CHOOSE(CONTROL!$C$42, 21.4762, 21.4762) * CHOOSE(CONTROL!$C$21, $C$9, 100%, $E$9)</f>
        <v>21.476199999999999</v>
      </c>
      <c r="R444" s="14">
        <f>CHOOSE(CONTROL!$C$42, 22.1168, 22.1168) * CHOOSE(CONTROL!$C$21, $C$9, 100%, $E$9)</f>
        <v>22.116800000000001</v>
      </c>
      <c r="S444" s="14">
        <f>CHOOSE(CONTROL!$C$42, 20.38, 20.38) * CHOOSE(CONTROL!$C$21, $C$9, 100%, $E$9)</f>
        <v>20.38</v>
      </c>
      <c r="T4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7">
        <f>(1000*CHOOSE(CONTROL!$C$42, 695, 695)*CHOOSE(CONTROL!$C$42, 0.5599, 0.5599)*CHOOSE(CONTROL!$C$42, 31, 31))/1000000</f>
        <v>12.063045499999998</v>
      </c>
      <c r="V444" s="57">
        <f>(1000*CHOOSE(CONTROL!$C$42, 500, 500)*CHOOSE(CONTROL!$C$42, 0.275, 0.275)*CHOOSE(CONTROL!$C$42, 31, 31))/1000000</f>
        <v>4.2625000000000002</v>
      </c>
      <c r="W444" s="57">
        <f>(1000*CHOOSE(CONTROL!$C$42, 0.1146, 0.1146)*CHOOSE(CONTROL!$C$42, 121.5, 121.5)*CHOOSE(CONTROL!$C$42, 31, 31))/1000000</f>
        <v>0.43164089999999994</v>
      </c>
      <c r="X444" s="57">
        <f>(31*0.1790888*100000/1000000)+(31*0.2374*100000/1000000)</f>
        <v>1.2911152800000001</v>
      </c>
      <c r="Y444" s="57"/>
      <c r="Z444" s="14"/>
      <c r="AA444" s="56"/>
      <c r="AB444" s="50">
        <f>(B444*122.58+C444*297.941+D444*89.177+E444*40.302+F444*40+G444*160+H444*0+I444*100+J444*300)/(122.58+297.941+89.177+40.302+0+40+160+100+300)</f>
        <v>21.237901652521739</v>
      </c>
      <c r="AC444" s="45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20.84314892086331</v>
      </c>
    </row>
    <row r="445" spans="1:29" ht="15.75" x14ac:dyDescent="0.25">
      <c r="A445" s="33">
        <v>54454</v>
      </c>
      <c r="B445" s="14">
        <f>CHOOSE(CONTROL!$C$42, 22.9555, 22.9555) * CHOOSE(CONTROL!$C$21, $C$9, 100%, $E$9)</f>
        <v>22.955500000000001</v>
      </c>
      <c r="C445" s="14">
        <f>CHOOSE(CONTROL!$C$42, 22.9606, 22.9606) * CHOOSE(CONTROL!$C$21, $C$9, 100%, $E$9)</f>
        <v>22.960599999999999</v>
      </c>
      <c r="D445" s="14">
        <f>CHOOSE(CONTROL!$C$42, 23.0192, 23.0192) * CHOOSE(CONTROL!$C$21, $C$9, 100%, $E$9)</f>
        <v>23.019200000000001</v>
      </c>
      <c r="E445" s="14">
        <f>CHOOSE(CONTROL!$C$42, 23.0533, 23.0533) * CHOOSE(CONTROL!$C$21, $C$9, 100%, $E$9)</f>
        <v>23.0533</v>
      </c>
      <c r="F445" s="14">
        <f>CHOOSE(CONTROL!$C$42, 22.9546, 22.9546)*CHOOSE(CONTROL!$C$21, $C$9, 100%, $E$9)</f>
        <v>22.954599999999999</v>
      </c>
      <c r="G445" s="14">
        <f>CHOOSE(CONTROL!$C$42, 22.971, 22.971)*CHOOSE(CONTROL!$C$21, $C$9, 100%, $E$9)</f>
        <v>22.971</v>
      </c>
      <c r="H445" s="14">
        <f>CHOOSE(CONTROL!$C$42, 23.0425, 23.0425) * CHOOSE(CONTROL!$C$21, $C$9, 100%, $E$9)</f>
        <v>23.0425</v>
      </c>
      <c r="I445" s="14">
        <f>CHOOSE(CONTROL!$C$42, 23.0376, 23.0376)* CHOOSE(CONTROL!$C$21, $C$9, 100%, $E$9)</f>
        <v>23.037600000000001</v>
      </c>
      <c r="J445" s="14">
        <f>CHOOSE(CONTROL!$C$42, 22.9476, 22.9476)* CHOOSE(CONTROL!$C$21, $C$9, 100%, $E$9)</f>
        <v>22.947600000000001</v>
      </c>
      <c r="K445" s="53">
        <f>CHOOSE(CONTROL!$C$42, 23.0337, 23.0337) * CHOOSE(CONTROL!$C$21, $C$9, 100%, $E$9)</f>
        <v>23.0337</v>
      </c>
      <c r="L445" s="14">
        <f>CHOOSE(CONTROL!$C$42, 23.6295, 23.6295) * CHOOSE(CONTROL!$C$21, $C$9, 100%, $E$9)</f>
        <v>23.6295</v>
      </c>
      <c r="M445" s="14">
        <f>CHOOSE(CONTROL!$C$42, 22.4851, 22.4851) * CHOOSE(CONTROL!$C$21, $C$9, 100%, $E$9)</f>
        <v>22.485099999999999</v>
      </c>
      <c r="N445" s="14">
        <f>CHOOSE(CONTROL!$C$42, 22.5012, 22.5012) * CHOOSE(CONTROL!$C$21, $C$9, 100%, $E$9)</f>
        <v>22.501200000000001</v>
      </c>
      <c r="O445" s="14">
        <f>CHOOSE(CONTROL!$C$42, 22.578, 22.578) * CHOOSE(CONTROL!$C$21, $C$9, 100%, $E$9)</f>
        <v>22.577999999999999</v>
      </c>
      <c r="P445" s="14">
        <f>CHOOSE(CONTROL!$C$42, 22.5719, 22.5719) * CHOOSE(CONTROL!$C$21, $C$9, 100%, $E$9)</f>
        <v>22.571899999999999</v>
      </c>
      <c r="Q445" s="14">
        <f>CHOOSE(CONTROL!$C$42, 23.1727, 23.1727) * CHOOSE(CONTROL!$C$21, $C$9, 100%, $E$9)</f>
        <v>23.172699999999999</v>
      </c>
      <c r="R445" s="14">
        <f>CHOOSE(CONTROL!$C$42, 23.8177, 23.8177) * CHOOSE(CONTROL!$C$21, $C$9, 100%, $E$9)</f>
        <v>23.817699999999999</v>
      </c>
      <c r="S445" s="14">
        <f>CHOOSE(CONTROL!$C$42, 22.0494, 22.0494) * CHOOSE(CONTROL!$C$21, $C$9, 100%, $E$9)</f>
        <v>22.049399999999999</v>
      </c>
      <c r="T4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7">
        <f>(1000*CHOOSE(CONTROL!$C$42, 695, 695)*CHOOSE(CONTROL!$C$42, 0.5599, 0.5599)*CHOOSE(CONTROL!$C$42, 31, 31))/1000000</f>
        <v>12.063045499999998</v>
      </c>
      <c r="V445" s="57">
        <f>(1000*CHOOSE(CONTROL!$C$42, 500, 500)*CHOOSE(CONTROL!$C$42, 0.275, 0.275)*CHOOSE(CONTROL!$C$42, 31, 31))/1000000</f>
        <v>4.2625000000000002</v>
      </c>
      <c r="W445" s="57">
        <f>(1000*CHOOSE(CONTROL!$C$42, 0.1146, 0.1146)*CHOOSE(CONTROL!$C$42, 121.5, 121.5)*CHOOSE(CONTROL!$C$42, 31, 31))/1000000</f>
        <v>0.43164089999999994</v>
      </c>
      <c r="X445" s="57">
        <f>(31*0.1790888*100000/1000000)+(31*0.2374*100000/1000000)</f>
        <v>1.2911152800000001</v>
      </c>
      <c r="Y445" s="57"/>
      <c r="Z445" s="14"/>
      <c r="AA445" s="56"/>
      <c r="AB445" s="50">
        <f>(B445*122.58+C445*297.941+D445*89.177+E445*40.302+F445*40+G445*160+H445*0+I445*100+J445*300)/(122.58+297.941+89.177+40.302+0+40+160+100+300)</f>
        <v>22.972391834434781</v>
      </c>
      <c r="AC445" s="45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22.540621582733813</v>
      </c>
    </row>
    <row r="446" spans="1:29" ht="15.75" x14ac:dyDescent="0.25">
      <c r="A446" s="33">
        <v>54482</v>
      </c>
      <c r="B446" s="14">
        <f>CHOOSE(CONTROL!$C$42, 23.364, 23.364) * CHOOSE(CONTROL!$C$21, $C$9, 100%, $E$9)</f>
        <v>23.364000000000001</v>
      </c>
      <c r="C446" s="14">
        <f>CHOOSE(CONTROL!$C$42, 23.369, 23.369) * CHOOSE(CONTROL!$C$21, $C$9, 100%, $E$9)</f>
        <v>23.369</v>
      </c>
      <c r="D446" s="14">
        <f>CHOOSE(CONTROL!$C$42, 23.4276, 23.4276) * CHOOSE(CONTROL!$C$21, $C$9, 100%, $E$9)</f>
        <v>23.427600000000002</v>
      </c>
      <c r="E446" s="14">
        <f>CHOOSE(CONTROL!$C$42, 23.4617, 23.4617) * CHOOSE(CONTROL!$C$21, $C$9, 100%, $E$9)</f>
        <v>23.4617</v>
      </c>
      <c r="F446" s="14">
        <f>CHOOSE(CONTROL!$C$42, 23.363, 23.363)*CHOOSE(CONTROL!$C$21, $C$9, 100%, $E$9)</f>
        <v>23.363</v>
      </c>
      <c r="G446" s="14">
        <f>CHOOSE(CONTROL!$C$42, 23.3794, 23.3794)*CHOOSE(CONTROL!$C$21, $C$9, 100%, $E$9)</f>
        <v>23.3794</v>
      </c>
      <c r="H446" s="14">
        <f>CHOOSE(CONTROL!$C$42, 23.4509, 23.4509) * CHOOSE(CONTROL!$C$21, $C$9, 100%, $E$9)</f>
        <v>23.450900000000001</v>
      </c>
      <c r="I446" s="14">
        <f>CHOOSE(CONTROL!$C$42, 23.4474, 23.4474)* CHOOSE(CONTROL!$C$21, $C$9, 100%, $E$9)</f>
        <v>23.447399999999998</v>
      </c>
      <c r="J446" s="14">
        <f>CHOOSE(CONTROL!$C$42, 23.356, 23.356)* CHOOSE(CONTROL!$C$21, $C$9, 100%, $E$9)</f>
        <v>23.356000000000002</v>
      </c>
      <c r="K446" s="53">
        <f>CHOOSE(CONTROL!$C$42, 23.4435, 23.4435) * CHOOSE(CONTROL!$C$21, $C$9, 100%, $E$9)</f>
        <v>23.4435</v>
      </c>
      <c r="L446" s="14">
        <f>CHOOSE(CONTROL!$C$42, 24.0379, 24.0379) * CHOOSE(CONTROL!$C$21, $C$9, 100%, $E$9)</f>
        <v>24.0379</v>
      </c>
      <c r="M446" s="14">
        <f>CHOOSE(CONTROL!$C$42, 22.8852, 22.8852) * CHOOSE(CONTROL!$C$21, $C$9, 100%, $E$9)</f>
        <v>22.885200000000001</v>
      </c>
      <c r="N446" s="14">
        <f>CHOOSE(CONTROL!$C$42, 22.9012, 22.9012) * CHOOSE(CONTROL!$C$21, $C$9, 100%, $E$9)</f>
        <v>22.901199999999999</v>
      </c>
      <c r="O446" s="14">
        <f>CHOOSE(CONTROL!$C$42, 22.9781, 22.9781) * CHOOSE(CONTROL!$C$21, $C$9, 100%, $E$9)</f>
        <v>22.978100000000001</v>
      </c>
      <c r="P446" s="14">
        <f>CHOOSE(CONTROL!$C$42, 22.9733, 22.9733) * CHOOSE(CONTROL!$C$21, $C$9, 100%, $E$9)</f>
        <v>22.973299999999998</v>
      </c>
      <c r="Q446" s="14">
        <f>CHOOSE(CONTROL!$C$42, 23.5728, 23.5728) * CHOOSE(CONTROL!$C$21, $C$9, 100%, $E$9)</f>
        <v>23.572800000000001</v>
      </c>
      <c r="R446" s="14">
        <f>CHOOSE(CONTROL!$C$42, 24.2188, 24.2188) * CHOOSE(CONTROL!$C$21, $C$9, 100%, $E$9)</f>
        <v>24.218800000000002</v>
      </c>
      <c r="S446" s="14">
        <f>CHOOSE(CONTROL!$C$42, 22.4419, 22.4419) * CHOOSE(CONTROL!$C$21, $C$9, 100%, $E$9)</f>
        <v>22.4419</v>
      </c>
      <c r="T4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7">
        <f>(1000*CHOOSE(CONTROL!$C$42, 695, 695)*CHOOSE(CONTROL!$C$42, 0.5599, 0.5599)*CHOOSE(CONTROL!$C$42, 28, 28))/1000000</f>
        <v>10.895653999999999</v>
      </c>
      <c r="V446" s="57">
        <f>(1000*CHOOSE(CONTROL!$C$42, 500, 500)*CHOOSE(CONTROL!$C$42, 0.275, 0.275)*CHOOSE(CONTROL!$C$42, 28, 28))/1000000</f>
        <v>3.85</v>
      </c>
      <c r="W446" s="57">
        <f>(1000*CHOOSE(CONTROL!$C$42, 0.1146, 0.1146)*CHOOSE(CONTROL!$C$42, 121.5, 121.5)*CHOOSE(CONTROL!$C$42, 28, 28))/1000000</f>
        <v>0.38986920000000003</v>
      </c>
      <c r="X446" s="57">
        <f>(28*0.1790888*100000/1000000)+(28*0.2374*100000/1000000)</f>
        <v>1.16616864</v>
      </c>
      <c r="Y446" s="57"/>
      <c r="Z446" s="14"/>
      <c r="AA446" s="56"/>
      <c r="AB446" s="50">
        <f>(B446*122.58+C446*297.941+D446*89.177+E446*40.302+F446*40+G446*160+H446*0+I446*100+J446*300)/(122.58+297.941+89.177+40.302+0+40+160+100+300)</f>
        <v>23.380924232695655</v>
      </c>
      <c r="AC446" s="45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22.940902877697841</v>
      </c>
    </row>
    <row r="447" spans="1:29" ht="15.75" x14ac:dyDescent="0.25">
      <c r="A447" s="33">
        <v>54513</v>
      </c>
      <c r="B447" s="14">
        <f>CHOOSE(CONTROL!$C$42, 22.7009, 22.7009) * CHOOSE(CONTROL!$C$21, $C$9, 100%, $E$9)</f>
        <v>22.700900000000001</v>
      </c>
      <c r="C447" s="14">
        <f>CHOOSE(CONTROL!$C$42, 22.706, 22.706) * CHOOSE(CONTROL!$C$21, $C$9, 100%, $E$9)</f>
        <v>22.706</v>
      </c>
      <c r="D447" s="14">
        <f>CHOOSE(CONTROL!$C$42, 22.7646, 22.7646) * CHOOSE(CONTROL!$C$21, $C$9, 100%, $E$9)</f>
        <v>22.764600000000002</v>
      </c>
      <c r="E447" s="14">
        <f>CHOOSE(CONTROL!$C$42, 22.7987, 22.7987) * CHOOSE(CONTROL!$C$21, $C$9, 100%, $E$9)</f>
        <v>22.7987</v>
      </c>
      <c r="F447" s="14">
        <f>CHOOSE(CONTROL!$C$42, 22.6995, 22.6995)*CHOOSE(CONTROL!$C$21, $C$9, 100%, $E$9)</f>
        <v>22.6995</v>
      </c>
      <c r="G447" s="14">
        <f>CHOOSE(CONTROL!$C$42, 22.7157, 22.7157)*CHOOSE(CONTROL!$C$21, $C$9, 100%, $E$9)</f>
        <v>22.715699999999998</v>
      </c>
      <c r="H447" s="14">
        <f>CHOOSE(CONTROL!$C$42, 22.7879, 22.7879) * CHOOSE(CONTROL!$C$21, $C$9, 100%, $E$9)</f>
        <v>22.7879</v>
      </c>
      <c r="I447" s="14">
        <f>CHOOSE(CONTROL!$C$42, 22.7823, 22.7823)* CHOOSE(CONTROL!$C$21, $C$9, 100%, $E$9)</f>
        <v>22.782299999999999</v>
      </c>
      <c r="J447" s="14">
        <f>CHOOSE(CONTROL!$C$42, 22.6925, 22.6925)* CHOOSE(CONTROL!$C$21, $C$9, 100%, $E$9)</f>
        <v>22.692499999999999</v>
      </c>
      <c r="K447" s="53">
        <f>CHOOSE(CONTROL!$C$42, 22.7784, 22.7784) * CHOOSE(CONTROL!$C$21, $C$9, 100%, $E$9)</f>
        <v>22.778400000000001</v>
      </c>
      <c r="L447" s="14">
        <f>CHOOSE(CONTROL!$C$42, 23.3749, 23.3749) * CHOOSE(CONTROL!$C$21, $C$9, 100%, $E$9)</f>
        <v>23.3749</v>
      </c>
      <c r="M447" s="14">
        <f>CHOOSE(CONTROL!$C$42, 22.2352, 22.2352) * CHOOSE(CONTROL!$C$21, $C$9, 100%, $E$9)</f>
        <v>22.235199999999999</v>
      </c>
      <c r="N447" s="14">
        <f>CHOOSE(CONTROL!$C$42, 22.2511, 22.2511) * CHOOSE(CONTROL!$C$21, $C$9, 100%, $E$9)</f>
        <v>22.251100000000001</v>
      </c>
      <c r="O447" s="14">
        <f>CHOOSE(CONTROL!$C$42, 22.3287, 22.3287) * CHOOSE(CONTROL!$C$21, $C$9, 100%, $E$9)</f>
        <v>22.328700000000001</v>
      </c>
      <c r="P447" s="14">
        <f>CHOOSE(CONTROL!$C$42, 22.3218, 22.3218) * CHOOSE(CONTROL!$C$21, $C$9, 100%, $E$9)</f>
        <v>22.3218</v>
      </c>
      <c r="Q447" s="14">
        <f>CHOOSE(CONTROL!$C$42, 22.9234, 22.9234) * CHOOSE(CONTROL!$C$21, $C$9, 100%, $E$9)</f>
        <v>22.923400000000001</v>
      </c>
      <c r="R447" s="14">
        <f>CHOOSE(CONTROL!$C$42, 23.5677, 23.5677) * CHOOSE(CONTROL!$C$21, $C$9, 100%, $E$9)</f>
        <v>23.567699999999999</v>
      </c>
      <c r="S447" s="14">
        <f>CHOOSE(CONTROL!$C$42, 21.8048, 21.8048) * CHOOSE(CONTROL!$C$21, $C$9, 100%, $E$9)</f>
        <v>21.8048</v>
      </c>
      <c r="T4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7">
        <f>(1000*CHOOSE(CONTROL!$C$42, 695, 695)*CHOOSE(CONTROL!$C$42, 0.5599, 0.5599)*CHOOSE(CONTROL!$C$42, 31, 31))/1000000</f>
        <v>12.063045499999998</v>
      </c>
      <c r="V447" s="57">
        <f>(1000*CHOOSE(CONTROL!$C$42, 500, 500)*CHOOSE(CONTROL!$C$42, 0.275, 0.275)*CHOOSE(CONTROL!$C$42, 31, 31))/1000000</f>
        <v>4.2625000000000002</v>
      </c>
      <c r="W447" s="57">
        <f>(1000*CHOOSE(CONTROL!$C$42, 0.1146, 0.1146)*CHOOSE(CONTROL!$C$42, 121.5, 121.5)*CHOOSE(CONTROL!$C$42, 31, 31))/1000000</f>
        <v>0.43164089999999994</v>
      </c>
      <c r="X447" s="57">
        <f>(31*0.1790888*100000/1000000)+(31*0.2374*100000/1000000)</f>
        <v>1.2911152800000001</v>
      </c>
      <c r="Y447" s="57"/>
      <c r="Z447" s="14"/>
      <c r="AA447" s="56"/>
      <c r="AB447" s="50">
        <f>(B447*122.58+C447*297.941+D447*89.177+E447*40.302+F447*40+G447*160+H447*0+I447*100+J447*300)/(122.58+297.941+89.177+40.302+0+40+160+100+300)</f>
        <v>22.717485747478257</v>
      </c>
      <c r="AC447" s="45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22.290953237410072</v>
      </c>
    </row>
    <row r="448" spans="1:29" ht="15.75" x14ac:dyDescent="0.25">
      <c r="A448" s="33">
        <v>54543</v>
      </c>
      <c r="B448" s="14">
        <f>CHOOSE(CONTROL!$C$42, 22.6342, 22.6342) * CHOOSE(CONTROL!$C$21, $C$9, 100%, $E$9)</f>
        <v>22.6342</v>
      </c>
      <c r="C448" s="14">
        <f>CHOOSE(CONTROL!$C$42, 22.6386, 22.6386) * CHOOSE(CONTROL!$C$21, $C$9, 100%, $E$9)</f>
        <v>22.6386</v>
      </c>
      <c r="D448" s="14">
        <f>CHOOSE(CONTROL!$C$42, 22.8468, 22.8468) * CHOOSE(CONTROL!$C$21, $C$9, 100%, $E$9)</f>
        <v>22.846800000000002</v>
      </c>
      <c r="E448" s="14">
        <f>CHOOSE(CONTROL!$C$42, 22.8789, 22.8789) * CHOOSE(CONTROL!$C$21, $C$9, 100%, $E$9)</f>
        <v>22.878900000000002</v>
      </c>
      <c r="F448" s="14">
        <f>CHOOSE(CONTROL!$C$42, 22.6215, 22.6215)*CHOOSE(CONTROL!$C$21, $C$9, 100%, $E$9)</f>
        <v>22.621500000000001</v>
      </c>
      <c r="G448" s="14">
        <f>CHOOSE(CONTROL!$C$42, 22.6375, 22.6375)*CHOOSE(CONTROL!$C$21, $C$9, 100%, $E$9)</f>
        <v>22.637499999999999</v>
      </c>
      <c r="H448" s="14">
        <f>CHOOSE(CONTROL!$C$42, 22.8687, 22.8687) * CHOOSE(CONTROL!$C$21, $C$9, 100%, $E$9)</f>
        <v>22.8687</v>
      </c>
      <c r="I448" s="14">
        <f>CHOOSE(CONTROL!$C$42, 22.7145, 22.7145)* CHOOSE(CONTROL!$C$21, $C$9, 100%, $E$9)</f>
        <v>22.714500000000001</v>
      </c>
      <c r="J448" s="14">
        <f>CHOOSE(CONTROL!$C$42, 22.6145, 22.6145)* CHOOSE(CONTROL!$C$21, $C$9, 100%, $E$9)</f>
        <v>22.6145</v>
      </c>
      <c r="K448" s="53">
        <f>CHOOSE(CONTROL!$C$42, 22.7106, 22.7106) * CHOOSE(CONTROL!$C$21, $C$9, 100%, $E$9)</f>
        <v>22.710599999999999</v>
      </c>
      <c r="L448" s="14">
        <f>CHOOSE(CONTROL!$C$42, 23.4557, 23.4557) * CHOOSE(CONTROL!$C$21, $C$9, 100%, $E$9)</f>
        <v>23.4557</v>
      </c>
      <c r="M448" s="14">
        <f>CHOOSE(CONTROL!$C$42, 22.1588, 22.1588) * CHOOSE(CONTROL!$C$21, $C$9, 100%, $E$9)</f>
        <v>22.158799999999999</v>
      </c>
      <c r="N448" s="14">
        <f>CHOOSE(CONTROL!$C$42, 22.1745, 22.1745) * CHOOSE(CONTROL!$C$21, $C$9, 100%, $E$9)</f>
        <v>22.174499999999998</v>
      </c>
      <c r="O448" s="14">
        <f>CHOOSE(CONTROL!$C$42, 22.4078, 22.4078) * CHOOSE(CONTROL!$C$21, $C$9, 100%, $E$9)</f>
        <v>22.407800000000002</v>
      </c>
      <c r="P448" s="14">
        <f>CHOOSE(CONTROL!$C$42, 22.2554, 22.2554) * CHOOSE(CONTROL!$C$21, $C$9, 100%, $E$9)</f>
        <v>22.255400000000002</v>
      </c>
      <c r="Q448" s="14">
        <f>CHOOSE(CONTROL!$C$42, 23.0025, 23.0025) * CHOOSE(CONTROL!$C$21, $C$9, 100%, $E$9)</f>
        <v>23.002500000000001</v>
      </c>
      <c r="R448" s="14">
        <f>CHOOSE(CONTROL!$C$42, 23.647, 23.647) * CHOOSE(CONTROL!$C$21, $C$9, 100%, $E$9)</f>
        <v>23.646999999999998</v>
      </c>
      <c r="S448" s="14">
        <f>CHOOSE(CONTROL!$C$42, 21.7399, 21.7399) * CHOOSE(CONTROL!$C$21, $C$9, 100%, $E$9)</f>
        <v>21.739899999999999</v>
      </c>
      <c r="T4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7">
        <f>(1000*CHOOSE(CONTROL!$C$42, 695, 695)*CHOOSE(CONTROL!$C$42, 0.5599, 0.5599)*CHOOSE(CONTROL!$C$42, 30, 30))/1000000</f>
        <v>11.673914999999997</v>
      </c>
      <c r="V448" s="57">
        <f>(1000*CHOOSE(CONTROL!$C$42, 500, 500)*CHOOSE(CONTROL!$C$42, 0.275, 0.275)*CHOOSE(CONTROL!$C$42, 30, 30))/1000000</f>
        <v>4.125</v>
      </c>
      <c r="W448" s="57">
        <f>(1000*CHOOSE(CONTROL!$C$42, 0.1146, 0.1146)*CHOOSE(CONTROL!$C$42, 121.5, 121.5)*CHOOSE(CONTROL!$C$42, 30, 30))/1000000</f>
        <v>0.417717</v>
      </c>
      <c r="X448" s="57">
        <f>(30*0.1790888*245000/1000000)+(30*0.2374*100000/1000000)</f>
        <v>2.0285026799999999</v>
      </c>
      <c r="Y448" s="57"/>
      <c r="Z448" s="14"/>
      <c r="AA448" s="56"/>
      <c r="AB448" s="50">
        <f>(B448*141.293+C448*267.993+D448*115.016+E448*89.698+F448*40+G448*185+H448*0+I448*100+J448*300)/(141.293+267.993+115.016+89.698+0+40+185+100+300)</f>
        <v>22.67439626424536</v>
      </c>
      <c r="AC448" s="45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22.246176978417267</v>
      </c>
    </row>
    <row r="449" spans="1:29" ht="15.75" x14ac:dyDescent="0.25">
      <c r="A449" s="33">
        <v>54574</v>
      </c>
      <c r="B449" s="14">
        <f>CHOOSE(CONTROL!$C$42, 22.8352, 22.8352) * CHOOSE(CONTROL!$C$21, $C$9, 100%, $E$9)</f>
        <v>22.8352</v>
      </c>
      <c r="C449" s="14">
        <f>CHOOSE(CONTROL!$C$42, 22.8433, 22.8433) * CHOOSE(CONTROL!$C$21, $C$9, 100%, $E$9)</f>
        <v>22.843299999999999</v>
      </c>
      <c r="D449" s="14">
        <f>CHOOSE(CONTROL!$C$42, 23.0482, 23.0482) * CHOOSE(CONTROL!$C$21, $C$9, 100%, $E$9)</f>
        <v>23.048200000000001</v>
      </c>
      <c r="E449" s="14">
        <f>CHOOSE(CONTROL!$C$42, 23.0797, 23.0797) * CHOOSE(CONTROL!$C$21, $C$9, 100%, $E$9)</f>
        <v>23.079699999999999</v>
      </c>
      <c r="F449" s="14">
        <f>CHOOSE(CONTROL!$C$42, 22.8214, 22.8214)*CHOOSE(CONTROL!$C$21, $C$9, 100%, $E$9)</f>
        <v>22.821400000000001</v>
      </c>
      <c r="G449" s="14">
        <f>CHOOSE(CONTROL!$C$42, 22.8378, 22.8378)*CHOOSE(CONTROL!$C$21, $C$9, 100%, $E$9)</f>
        <v>22.837800000000001</v>
      </c>
      <c r="H449" s="14">
        <f>CHOOSE(CONTROL!$C$42, 23.0683, 23.0683) * CHOOSE(CONTROL!$C$21, $C$9, 100%, $E$9)</f>
        <v>23.068300000000001</v>
      </c>
      <c r="I449" s="14">
        <f>CHOOSE(CONTROL!$C$42, 22.9148, 22.9148)* CHOOSE(CONTROL!$C$21, $C$9, 100%, $E$9)</f>
        <v>22.9148</v>
      </c>
      <c r="J449" s="14">
        <f>CHOOSE(CONTROL!$C$42, 22.8144, 22.8144)* CHOOSE(CONTROL!$C$21, $C$9, 100%, $E$9)</f>
        <v>22.814399999999999</v>
      </c>
      <c r="K449" s="53">
        <f>CHOOSE(CONTROL!$C$42, 22.9109, 22.9109) * CHOOSE(CONTROL!$C$21, $C$9, 100%, $E$9)</f>
        <v>22.910900000000002</v>
      </c>
      <c r="L449" s="14">
        <f>CHOOSE(CONTROL!$C$42, 23.6553, 23.6553) * CHOOSE(CONTROL!$C$21, $C$9, 100%, $E$9)</f>
        <v>23.6553</v>
      </c>
      <c r="M449" s="14">
        <f>CHOOSE(CONTROL!$C$42, 22.3547, 22.3547) * CHOOSE(CONTROL!$C$21, $C$9, 100%, $E$9)</f>
        <v>22.354700000000001</v>
      </c>
      <c r="N449" s="14">
        <f>CHOOSE(CONTROL!$C$42, 22.3707, 22.3707) * CHOOSE(CONTROL!$C$21, $C$9, 100%, $E$9)</f>
        <v>22.370699999999999</v>
      </c>
      <c r="O449" s="14">
        <f>CHOOSE(CONTROL!$C$42, 22.6034, 22.6034) * CHOOSE(CONTROL!$C$21, $C$9, 100%, $E$9)</f>
        <v>22.603400000000001</v>
      </c>
      <c r="P449" s="14">
        <f>CHOOSE(CONTROL!$C$42, 22.4516, 22.4516) * CHOOSE(CONTROL!$C$21, $C$9, 100%, $E$9)</f>
        <v>22.451599999999999</v>
      </c>
      <c r="Q449" s="14">
        <f>CHOOSE(CONTROL!$C$42, 23.1981, 23.1981) * CHOOSE(CONTROL!$C$21, $C$9, 100%, $E$9)</f>
        <v>23.1981</v>
      </c>
      <c r="R449" s="14">
        <f>CHOOSE(CONTROL!$C$42, 23.8431, 23.8431) * CHOOSE(CONTROL!$C$21, $C$9, 100%, $E$9)</f>
        <v>23.8431</v>
      </c>
      <c r="S449" s="14">
        <f>CHOOSE(CONTROL!$C$42, 21.9317, 21.9317) * CHOOSE(CONTROL!$C$21, $C$9, 100%, $E$9)</f>
        <v>21.931699999999999</v>
      </c>
      <c r="T4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7">
        <f>(1000*CHOOSE(CONTROL!$C$42, 695, 695)*CHOOSE(CONTROL!$C$42, 0.5599, 0.5599)*CHOOSE(CONTROL!$C$42, 31, 31))/1000000</f>
        <v>12.063045499999998</v>
      </c>
      <c r="V449" s="57">
        <f>(1000*CHOOSE(CONTROL!$C$42, 500, 500)*CHOOSE(CONTROL!$C$42, 0.275, 0.275)*CHOOSE(CONTROL!$C$42, 31, 31))/1000000</f>
        <v>4.2625000000000002</v>
      </c>
      <c r="W449" s="57">
        <f>(1000*CHOOSE(CONTROL!$C$42, 0.1146, 0.1146)*CHOOSE(CONTROL!$C$42, 121.5, 121.5)*CHOOSE(CONTROL!$C$42, 31, 31))/1000000</f>
        <v>0.43164089999999994</v>
      </c>
      <c r="X449" s="57">
        <f>(31*0.1790888*245000/1000000)+(31*0.2374*100000/1000000)</f>
        <v>2.0961194359999999</v>
      </c>
      <c r="Y449" s="57"/>
      <c r="Z449" s="14"/>
      <c r="AA449" s="56"/>
      <c r="AB449" s="50">
        <f>(B449*194.205+C449*267.466+D449*133.845+E449*53.484+F449*40+G449*185+H449*0+I449*100+J449*300)/(194.205+267.466+133.845+53.484+0+40+185+100+300)</f>
        <v>22.870836811302983</v>
      </c>
      <c r="AC449" s="45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22.442105035971224</v>
      </c>
    </row>
    <row r="450" spans="1:29" ht="15.75" x14ac:dyDescent="0.25">
      <c r="A450" s="33">
        <v>54604</v>
      </c>
      <c r="B450" s="14">
        <f>CHOOSE(CONTROL!$C$42, 23.4826, 23.4826) * CHOOSE(CONTROL!$C$21, $C$9, 100%, $E$9)</f>
        <v>23.482600000000001</v>
      </c>
      <c r="C450" s="14">
        <f>CHOOSE(CONTROL!$C$42, 23.4907, 23.4907) * CHOOSE(CONTROL!$C$21, $C$9, 100%, $E$9)</f>
        <v>23.4907</v>
      </c>
      <c r="D450" s="14">
        <f>CHOOSE(CONTROL!$C$42, 23.6956, 23.6956) * CHOOSE(CONTROL!$C$21, $C$9, 100%, $E$9)</f>
        <v>23.695599999999999</v>
      </c>
      <c r="E450" s="14">
        <f>CHOOSE(CONTROL!$C$42, 23.7271, 23.7271) * CHOOSE(CONTROL!$C$21, $C$9, 100%, $E$9)</f>
        <v>23.7271</v>
      </c>
      <c r="F450" s="14">
        <f>CHOOSE(CONTROL!$C$42, 23.4692, 23.4692)*CHOOSE(CONTROL!$C$21, $C$9, 100%, $E$9)</f>
        <v>23.469200000000001</v>
      </c>
      <c r="G450" s="14">
        <f>CHOOSE(CONTROL!$C$42, 23.4857, 23.4857)*CHOOSE(CONTROL!$C$21, $C$9, 100%, $E$9)</f>
        <v>23.485700000000001</v>
      </c>
      <c r="H450" s="14">
        <f>CHOOSE(CONTROL!$C$42, 23.7157, 23.7157) * CHOOSE(CONTROL!$C$21, $C$9, 100%, $E$9)</f>
        <v>23.715699999999998</v>
      </c>
      <c r="I450" s="14">
        <f>CHOOSE(CONTROL!$C$42, 23.5642, 23.5642)* CHOOSE(CONTROL!$C$21, $C$9, 100%, $E$9)</f>
        <v>23.5642</v>
      </c>
      <c r="J450" s="14">
        <f>CHOOSE(CONTROL!$C$42, 23.4622, 23.4622)* CHOOSE(CONTROL!$C$21, $C$9, 100%, $E$9)</f>
        <v>23.462199999999999</v>
      </c>
      <c r="K450" s="53">
        <f>CHOOSE(CONTROL!$C$42, 23.5603, 23.5603) * CHOOSE(CONTROL!$C$21, $C$9, 100%, $E$9)</f>
        <v>23.560300000000002</v>
      </c>
      <c r="L450" s="14">
        <f>CHOOSE(CONTROL!$C$42, 24.3027, 24.3027) * CHOOSE(CONTROL!$C$21, $C$9, 100%, $E$9)</f>
        <v>24.302700000000002</v>
      </c>
      <c r="M450" s="14">
        <f>CHOOSE(CONTROL!$C$42, 22.9892, 22.9892) * CHOOSE(CONTROL!$C$21, $C$9, 100%, $E$9)</f>
        <v>22.9892</v>
      </c>
      <c r="N450" s="14">
        <f>CHOOSE(CONTROL!$C$42, 23.0053, 23.0053) * CHOOSE(CONTROL!$C$21, $C$9, 100%, $E$9)</f>
        <v>23.005299999999998</v>
      </c>
      <c r="O450" s="14">
        <f>CHOOSE(CONTROL!$C$42, 23.2375, 23.2375) * CHOOSE(CONTROL!$C$21, $C$9, 100%, $E$9)</f>
        <v>23.237500000000001</v>
      </c>
      <c r="P450" s="14">
        <f>CHOOSE(CONTROL!$C$42, 23.0877, 23.0877) * CHOOSE(CONTROL!$C$21, $C$9, 100%, $E$9)</f>
        <v>23.087700000000002</v>
      </c>
      <c r="Q450" s="14">
        <f>CHOOSE(CONTROL!$C$42, 23.8322, 23.8322) * CHOOSE(CONTROL!$C$21, $C$9, 100%, $E$9)</f>
        <v>23.8322</v>
      </c>
      <c r="R450" s="14">
        <f>CHOOSE(CONTROL!$C$42, 24.4788, 24.4788) * CHOOSE(CONTROL!$C$21, $C$9, 100%, $E$9)</f>
        <v>24.4788</v>
      </c>
      <c r="S450" s="14">
        <f>CHOOSE(CONTROL!$C$42, 22.5538, 22.5538) * CHOOSE(CONTROL!$C$21, $C$9, 100%, $E$9)</f>
        <v>22.553799999999999</v>
      </c>
      <c r="T4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7">
        <f>(1000*CHOOSE(CONTROL!$C$42, 695, 695)*CHOOSE(CONTROL!$C$42, 0.5599, 0.5599)*CHOOSE(CONTROL!$C$42, 30, 30))/1000000</f>
        <v>11.673914999999997</v>
      </c>
      <c r="V450" s="57">
        <f>(1000*CHOOSE(CONTROL!$C$42, 500, 500)*CHOOSE(CONTROL!$C$42, 0.275, 0.275)*CHOOSE(CONTROL!$C$42, 30, 30))/1000000</f>
        <v>4.125</v>
      </c>
      <c r="W450" s="57">
        <f>(1000*CHOOSE(CONTROL!$C$42, 0.1146, 0.1146)*CHOOSE(CONTROL!$C$42, 121.5, 121.5)*CHOOSE(CONTROL!$C$42, 30, 30))/1000000</f>
        <v>0.417717</v>
      </c>
      <c r="X450" s="57">
        <f>(30*0.1790888*245000/1000000)+(30*0.2374*100000/1000000)</f>
        <v>2.0285026799999999</v>
      </c>
      <c r="Y450" s="57"/>
      <c r="Z450" s="14"/>
      <c r="AA450" s="56"/>
      <c r="AB450" s="50">
        <f>(B450*194.205+C450*267.466+D450*133.845+E450*53.484+F450*40+G450*185+H450*0+I450*100+J450*300)/(194.205+267.466+133.845+53.484+0+40+185+100+300)</f>
        <v>23.518573153532188</v>
      </c>
      <c r="AC450" s="45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23.076746043165471</v>
      </c>
    </row>
    <row r="451" spans="1:29" ht="15.75" x14ac:dyDescent="0.25">
      <c r="A451" s="33">
        <v>54635</v>
      </c>
      <c r="B451" s="14">
        <f>CHOOSE(CONTROL!$C$42, 23.0324, 23.0324) * CHOOSE(CONTROL!$C$21, $C$9, 100%, $E$9)</f>
        <v>23.032399999999999</v>
      </c>
      <c r="C451" s="14">
        <f>CHOOSE(CONTROL!$C$42, 23.0404, 23.0404) * CHOOSE(CONTROL!$C$21, $C$9, 100%, $E$9)</f>
        <v>23.040400000000002</v>
      </c>
      <c r="D451" s="14">
        <f>CHOOSE(CONTROL!$C$42, 23.2454, 23.2454) * CHOOSE(CONTROL!$C$21, $C$9, 100%, $E$9)</f>
        <v>23.2454</v>
      </c>
      <c r="E451" s="14">
        <f>CHOOSE(CONTROL!$C$42, 23.2768, 23.2768) * CHOOSE(CONTROL!$C$21, $C$9, 100%, $E$9)</f>
        <v>23.276800000000001</v>
      </c>
      <c r="F451" s="14">
        <f>CHOOSE(CONTROL!$C$42, 23.0193, 23.0193)*CHOOSE(CONTROL!$C$21, $C$9, 100%, $E$9)</f>
        <v>23.019300000000001</v>
      </c>
      <c r="G451" s="14">
        <f>CHOOSE(CONTROL!$C$42, 23.036, 23.036)*CHOOSE(CONTROL!$C$21, $C$9, 100%, $E$9)</f>
        <v>23.036000000000001</v>
      </c>
      <c r="H451" s="14">
        <f>CHOOSE(CONTROL!$C$42, 23.2655, 23.2655) * CHOOSE(CONTROL!$C$21, $C$9, 100%, $E$9)</f>
        <v>23.265499999999999</v>
      </c>
      <c r="I451" s="14">
        <f>CHOOSE(CONTROL!$C$42, 23.1125, 23.1125)* CHOOSE(CONTROL!$C$21, $C$9, 100%, $E$9)</f>
        <v>23.112500000000001</v>
      </c>
      <c r="J451" s="14">
        <f>CHOOSE(CONTROL!$C$42, 23.0123, 23.0123)* CHOOSE(CONTROL!$C$21, $C$9, 100%, $E$9)</f>
        <v>23.0123</v>
      </c>
      <c r="K451" s="53">
        <f>CHOOSE(CONTROL!$C$42, 23.1087, 23.1087) * CHOOSE(CONTROL!$C$21, $C$9, 100%, $E$9)</f>
        <v>23.108699999999999</v>
      </c>
      <c r="L451" s="14">
        <f>CHOOSE(CONTROL!$C$42, 23.8525, 23.8525) * CHOOSE(CONTROL!$C$21, $C$9, 100%, $E$9)</f>
        <v>23.852499999999999</v>
      </c>
      <c r="M451" s="14">
        <f>CHOOSE(CONTROL!$C$42, 22.5485, 22.5485) * CHOOSE(CONTROL!$C$21, $C$9, 100%, $E$9)</f>
        <v>22.548500000000001</v>
      </c>
      <c r="N451" s="14">
        <f>CHOOSE(CONTROL!$C$42, 22.5648, 22.5648) * CHOOSE(CONTROL!$C$21, $C$9, 100%, $E$9)</f>
        <v>22.564800000000002</v>
      </c>
      <c r="O451" s="14">
        <f>CHOOSE(CONTROL!$C$42, 22.7965, 22.7965) * CHOOSE(CONTROL!$C$21, $C$9, 100%, $E$9)</f>
        <v>22.796500000000002</v>
      </c>
      <c r="P451" s="14">
        <f>CHOOSE(CONTROL!$C$42, 22.6453, 22.6453) * CHOOSE(CONTROL!$C$21, $C$9, 100%, $E$9)</f>
        <v>22.645299999999999</v>
      </c>
      <c r="Q451" s="14">
        <f>CHOOSE(CONTROL!$C$42, 23.3912, 23.3912) * CHOOSE(CONTROL!$C$21, $C$9, 100%, $E$9)</f>
        <v>23.391200000000001</v>
      </c>
      <c r="R451" s="14">
        <f>CHOOSE(CONTROL!$C$42, 24.0366, 24.0366) * CHOOSE(CONTROL!$C$21, $C$9, 100%, $E$9)</f>
        <v>24.0366</v>
      </c>
      <c r="S451" s="14">
        <f>CHOOSE(CONTROL!$C$42, 22.1212, 22.1212) * CHOOSE(CONTROL!$C$21, $C$9, 100%, $E$9)</f>
        <v>22.121200000000002</v>
      </c>
      <c r="T4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7">
        <f>(1000*CHOOSE(CONTROL!$C$42, 695, 695)*CHOOSE(CONTROL!$C$42, 0.5599, 0.5599)*CHOOSE(CONTROL!$C$42, 31, 31))/1000000</f>
        <v>12.063045499999998</v>
      </c>
      <c r="V451" s="57">
        <f>(1000*CHOOSE(CONTROL!$C$42, 500, 500)*CHOOSE(CONTROL!$C$42, 0.275, 0.275)*CHOOSE(CONTROL!$C$42, 31, 31))/1000000</f>
        <v>4.2625000000000002</v>
      </c>
      <c r="W451" s="57">
        <f>(1000*CHOOSE(CONTROL!$C$42, 0.1146, 0.1146)*CHOOSE(CONTROL!$C$42, 121.5, 121.5)*CHOOSE(CONTROL!$C$42, 31, 31))/1000000</f>
        <v>0.43164089999999994</v>
      </c>
      <c r="X451" s="57">
        <f>(31*0.1790888*245000/1000000)+(31*0.2374*100000/1000000)</f>
        <v>2.0961194359999999</v>
      </c>
      <c r="Y451" s="57"/>
      <c r="Z451" s="14"/>
      <c r="AA451" s="56"/>
      <c r="AB451" s="50">
        <f>(B451*194.205+C451*267.466+D451*133.845+E451*53.484+F451*40+G451*185+H451*0+I451*100+J451*300)/(194.205+267.466+133.845+53.484+0+40+185+100+300)</f>
        <v>23.06838289058085</v>
      </c>
      <c r="AC451" s="45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22.635763309352519</v>
      </c>
    </row>
    <row r="452" spans="1:29" ht="15.75" x14ac:dyDescent="0.25">
      <c r="A452" s="33">
        <v>54666</v>
      </c>
      <c r="B452" s="14">
        <f>CHOOSE(CONTROL!$C$42, 21.8953, 21.8953) * CHOOSE(CONTROL!$C$21, $C$9, 100%, $E$9)</f>
        <v>21.895299999999999</v>
      </c>
      <c r="C452" s="14">
        <f>CHOOSE(CONTROL!$C$42, 21.9033, 21.9033) * CHOOSE(CONTROL!$C$21, $C$9, 100%, $E$9)</f>
        <v>21.903300000000002</v>
      </c>
      <c r="D452" s="14">
        <f>CHOOSE(CONTROL!$C$42, 22.1083, 22.1083) * CHOOSE(CONTROL!$C$21, $C$9, 100%, $E$9)</f>
        <v>22.1083</v>
      </c>
      <c r="E452" s="14">
        <f>CHOOSE(CONTROL!$C$42, 22.1397, 22.1397) * CHOOSE(CONTROL!$C$21, $C$9, 100%, $E$9)</f>
        <v>22.139700000000001</v>
      </c>
      <c r="F452" s="14">
        <f>CHOOSE(CONTROL!$C$42, 21.8825, 21.8825)*CHOOSE(CONTROL!$C$21, $C$9, 100%, $E$9)</f>
        <v>21.8825</v>
      </c>
      <c r="G452" s="14">
        <f>CHOOSE(CONTROL!$C$42, 21.8991, 21.8991)*CHOOSE(CONTROL!$C$21, $C$9, 100%, $E$9)</f>
        <v>21.899100000000001</v>
      </c>
      <c r="H452" s="14">
        <f>CHOOSE(CONTROL!$C$42, 22.1284, 22.1284) * CHOOSE(CONTROL!$C$21, $C$9, 100%, $E$9)</f>
        <v>22.128399999999999</v>
      </c>
      <c r="I452" s="14">
        <f>CHOOSE(CONTROL!$C$42, 21.9719, 21.9719)* CHOOSE(CONTROL!$C$21, $C$9, 100%, $E$9)</f>
        <v>21.971900000000002</v>
      </c>
      <c r="J452" s="14">
        <f>CHOOSE(CONTROL!$C$42, 21.8755, 21.8755)* CHOOSE(CONTROL!$C$21, $C$9, 100%, $E$9)</f>
        <v>21.875499999999999</v>
      </c>
      <c r="K452" s="53">
        <f>CHOOSE(CONTROL!$C$42, 21.968, 21.968) * CHOOSE(CONTROL!$C$21, $C$9, 100%, $E$9)</f>
        <v>21.968</v>
      </c>
      <c r="L452" s="14">
        <f>CHOOSE(CONTROL!$C$42, 22.7154, 22.7154) * CHOOSE(CONTROL!$C$21, $C$9, 100%, $E$9)</f>
        <v>22.715399999999999</v>
      </c>
      <c r="M452" s="14">
        <f>CHOOSE(CONTROL!$C$42, 21.4349, 21.4349) * CHOOSE(CONTROL!$C$21, $C$9, 100%, $E$9)</f>
        <v>21.434899999999999</v>
      </c>
      <c r="N452" s="14">
        <f>CHOOSE(CONTROL!$C$42, 21.4513, 21.4513) * CHOOSE(CONTROL!$C$21, $C$9, 100%, $E$9)</f>
        <v>21.4513</v>
      </c>
      <c r="O452" s="14">
        <f>CHOOSE(CONTROL!$C$42, 21.6827, 21.6827) * CHOOSE(CONTROL!$C$21, $C$9, 100%, $E$9)</f>
        <v>21.682700000000001</v>
      </c>
      <c r="P452" s="14">
        <f>CHOOSE(CONTROL!$C$42, 21.5281, 21.5281) * CHOOSE(CONTROL!$C$21, $C$9, 100%, $E$9)</f>
        <v>21.528099999999998</v>
      </c>
      <c r="Q452" s="14">
        <f>CHOOSE(CONTROL!$C$42, 22.2774, 22.2774) * CHOOSE(CONTROL!$C$21, $C$9, 100%, $E$9)</f>
        <v>22.2774</v>
      </c>
      <c r="R452" s="14">
        <f>CHOOSE(CONTROL!$C$42, 22.9201, 22.9201) * CHOOSE(CONTROL!$C$21, $C$9, 100%, $E$9)</f>
        <v>22.920100000000001</v>
      </c>
      <c r="S452" s="14">
        <f>CHOOSE(CONTROL!$C$42, 21.0285, 21.0285) * CHOOSE(CONTROL!$C$21, $C$9, 100%, $E$9)</f>
        <v>21.028500000000001</v>
      </c>
      <c r="T4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7">
        <f>(1000*CHOOSE(CONTROL!$C$42, 695, 695)*CHOOSE(CONTROL!$C$42, 0.5599, 0.5599)*CHOOSE(CONTROL!$C$42, 31, 31))/1000000</f>
        <v>12.063045499999998</v>
      </c>
      <c r="V452" s="57">
        <f>(1000*CHOOSE(CONTROL!$C$42, 500, 500)*CHOOSE(CONTROL!$C$42, 0.275, 0.275)*CHOOSE(CONTROL!$C$42, 31, 31))/1000000</f>
        <v>4.2625000000000002</v>
      </c>
      <c r="W452" s="57">
        <f>(1000*CHOOSE(CONTROL!$C$42, 0.1146, 0.1146)*CHOOSE(CONTROL!$C$42, 121.5, 121.5)*CHOOSE(CONTROL!$C$42, 31, 31))/1000000</f>
        <v>0.43164089999999994</v>
      </c>
      <c r="X452" s="57">
        <f>(31*0.1790888*245000/1000000)+(31*0.2374*100000/1000000)</f>
        <v>2.0961194359999999</v>
      </c>
      <c r="Y452" s="57"/>
      <c r="Z452" s="14"/>
      <c r="AA452" s="56"/>
      <c r="AB452" s="50">
        <f>(B452*194.205+C452*267.466+D452*133.845+E452*53.484+F452*40+G452*185+H452*0+I452*100+J452*300)/(194.205+267.466+133.845+53.484+0+40+185+100+300)</f>
        <v>21.931117270486656</v>
      </c>
      <c r="AC452" s="45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21.52161223021583</v>
      </c>
    </row>
    <row r="453" spans="1:29" ht="15.75" x14ac:dyDescent="0.25">
      <c r="A453" s="33">
        <v>54696</v>
      </c>
      <c r="B453" s="14">
        <f>CHOOSE(CONTROL!$C$42, 20.5056, 20.5056) * CHOOSE(CONTROL!$C$21, $C$9, 100%, $E$9)</f>
        <v>20.505600000000001</v>
      </c>
      <c r="C453" s="14">
        <f>CHOOSE(CONTROL!$C$42, 20.5136, 20.5136) * CHOOSE(CONTROL!$C$21, $C$9, 100%, $E$9)</f>
        <v>20.5136</v>
      </c>
      <c r="D453" s="14">
        <f>CHOOSE(CONTROL!$C$42, 20.7186, 20.7186) * CHOOSE(CONTROL!$C$21, $C$9, 100%, $E$9)</f>
        <v>20.718599999999999</v>
      </c>
      <c r="E453" s="14">
        <f>CHOOSE(CONTROL!$C$42, 20.75, 20.75) * CHOOSE(CONTROL!$C$21, $C$9, 100%, $E$9)</f>
        <v>20.75</v>
      </c>
      <c r="F453" s="14">
        <f>CHOOSE(CONTROL!$C$42, 20.4927, 20.4927)*CHOOSE(CONTROL!$C$21, $C$9, 100%, $E$9)</f>
        <v>20.492699999999999</v>
      </c>
      <c r="G453" s="14">
        <f>CHOOSE(CONTROL!$C$42, 20.5094, 20.5094)*CHOOSE(CONTROL!$C$21, $C$9, 100%, $E$9)</f>
        <v>20.509399999999999</v>
      </c>
      <c r="H453" s="14">
        <f>CHOOSE(CONTROL!$C$42, 20.7387, 20.7387) * CHOOSE(CONTROL!$C$21, $C$9, 100%, $E$9)</f>
        <v>20.738700000000001</v>
      </c>
      <c r="I453" s="14">
        <f>CHOOSE(CONTROL!$C$42, 20.5778, 20.5778)* CHOOSE(CONTROL!$C$21, $C$9, 100%, $E$9)</f>
        <v>20.5778</v>
      </c>
      <c r="J453" s="14">
        <f>CHOOSE(CONTROL!$C$42, 20.4857, 20.4857)* CHOOSE(CONTROL!$C$21, $C$9, 100%, $E$9)</f>
        <v>20.485700000000001</v>
      </c>
      <c r="K453" s="53">
        <f>CHOOSE(CONTROL!$C$42, 20.574, 20.574) * CHOOSE(CONTROL!$C$21, $C$9, 100%, $E$9)</f>
        <v>20.574000000000002</v>
      </c>
      <c r="L453" s="14">
        <f>CHOOSE(CONTROL!$C$42, 21.3257, 21.3257) * CHOOSE(CONTROL!$C$21, $C$9, 100%, $E$9)</f>
        <v>21.325700000000001</v>
      </c>
      <c r="M453" s="14">
        <f>CHOOSE(CONTROL!$C$42, 20.0737, 20.0737) * CHOOSE(CONTROL!$C$21, $C$9, 100%, $E$9)</f>
        <v>20.073699999999999</v>
      </c>
      <c r="N453" s="14">
        <f>CHOOSE(CONTROL!$C$42, 20.09, 20.09) * CHOOSE(CONTROL!$C$21, $C$9, 100%, $E$9)</f>
        <v>20.09</v>
      </c>
      <c r="O453" s="14">
        <f>CHOOSE(CONTROL!$C$42, 20.3214, 20.3214) * CHOOSE(CONTROL!$C$21, $C$9, 100%, $E$9)</f>
        <v>20.321400000000001</v>
      </c>
      <c r="P453" s="14">
        <f>CHOOSE(CONTROL!$C$42, 20.1627, 20.1627) * CHOOSE(CONTROL!$C$21, $C$9, 100%, $E$9)</f>
        <v>20.162700000000001</v>
      </c>
      <c r="Q453" s="14">
        <f>CHOOSE(CONTROL!$C$42, 20.9161, 20.9161) * CHOOSE(CONTROL!$C$21, $C$9, 100%, $E$9)</f>
        <v>20.9161</v>
      </c>
      <c r="R453" s="14">
        <f>CHOOSE(CONTROL!$C$42, 21.5554, 21.5554) * CHOOSE(CONTROL!$C$21, $C$9, 100%, $E$9)</f>
        <v>21.555399999999999</v>
      </c>
      <c r="S453" s="14">
        <f>CHOOSE(CONTROL!$C$42, 19.6932, 19.6932) * CHOOSE(CONTROL!$C$21, $C$9, 100%, $E$9)</f>
        <v>19.693200000000001</v>
      </c>
      <c r="T4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7">
        <f>(1000*CHOOSE(CONTROL!$C$42, 695, 695)*CHOOSE(CONTROL!$C$42, 0.5599, 0.5599)*CHOOSE(CONTROL!$C$42, 30, 30))/1000000</f>
        <v>11.673914999999997</v>
      </c>
      <c r="V453" s="57">
        <f>(1000*CHOOSE(CONTROL!$C$42, 500, 500)*CHOOSE(CONTROL!$C$42, 0.275, 0.275)*CHOOSE(CONTROL!$C$42, 30, 30))/1000000</f>
        <v>4.125</v>
      </c>
      <c r="W453" s="57">
        <f>(1000*CHOOSE(CONTROL!$C$42, 0.1146, 0.1146)*CHOOSE(CONTROL!$C$42, 121.5, 121.5)*CHOOSE(CONTROL!$C$42, 30, 30))/1000000</f>
        <v>0.417717</v>
      </c>
      <c r="X453" s="57">
        <f>(30*0.1790888*245000/1000000)+(30*0.2374*100000/1000000)</f>
        <v>2.0285026799999999</v>
      </c>
      <c r="Y453" s="57"/>
      <c r="Z453" s="14"/>
      <c r="AA453" s="56"/>
      <c r="AB453" s="50">
        <f>(B453*194.205+C453*267.466+D453*133.845+E453*53.484+F453*40+G453*185+H453*0+I453*100+J453*300)/(194.205+267.466+133.845+53.484+0+40+185+100+300)</f>
        <v>20.541045213971742</v>
      </c>
      <c r="AC453" s="45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20.159756834532374</v>
      </c>
    </row>
    <row r="454" spans="1:29" ht="15.75" x14ac:dyDescent="0.25">
      <c r="A454" s="33">
        <v>54727</v>
      </c>
      <c r="B454" s="14">
        <f>CHOOSE(CONTROL!$C$42, 20.0877, 20.0877) * CHOOSE(CONTROL!$C$21, $C$9, 100%, $E$9)</f>
        <v>20.087700000000002</v>
      </c>
      <c r="C454" s="14">
        <f>CHOOSE(CONTROL!$C$42, 20.093, 20.093) * CHOOSE(CONTROL!$C$21, $C$9, 100%, $E$9)</f>
        <v>20.093</v>
      </c>
      <c r="D454" s="14">
        <f>CHOOSE(CONTROL!$C$42, 20.303, 20.303) * CHOOSE(CONTROL!$C$21, $C$9, 100%, $E$9)</f>
        <v>20.303000000000001</v>
      </c>
      <c r="E454" s="14">
        <f>CHOOSE(CONTROL!$C$42, 20.3321, 20.3321) * CHOOSE(CONTROL!$C$21, $C$9, 100%, $E$9)</f>
        <v>20.332100000000001</v>
      </c>
      <c r="F454" s="14">
        <f>CHOOSE(CONTROL!$C$42, 20.0769, 20.0769)*CHOOSE(CONTROL!$C$21, $C$9, 100%, $E$9)</f>
        <v>20.076899999999998</v>
      </c>
      <c r="G454" s="14">
        <f>CHOOSE(CONTROL!$C$42, 20.0933, 20.0933)*CHOOSE(CONTROL!$C$21, $C$9, 100%, $E$9)</f>
        <v>20.093299999999999</v>
      </c>
      <c r="H454" s="14">
        <f>CHOOSE(CONTROL!$C$42, 20.3226, 20.3226) * CHOOSE(CONTROL!$C$21, $C$9, 100%, $E$9)</f>
        <v>20.322600000000001</v>
      </c>
      <c r="I454" s="14">
        <f>CHOOSE(CONTROL!$C$42, 20.1604, 20.1604)* CHOOSE(CONTROL!$C$21, $C$9, 100%, $E$9)</f>
        <v>20.160399999999999</v>
      </c>
      <c r="J454" s="14">
        <f>CHOOSE(CONTROL!$C$42, 20.0699, 20.0699)* CHOOSE(CONTROL!$C$21, $C$9, 100%, $E$9)</f>
        <v>20.069900000000001</v>
      </c>
      <c r="K454" s="53">
        <f>CHOOSE(CONTROL!$C$42, 20.1565, 20.1565) * CHOOSE(CONTROL!$C$21, $C$9, 100%, $E$9)</f>
        <v>20.156500000000001</v>
      </c>
      <c r="L454" s="14">
        <f>CHOOSE(CONTROL!$C$42, 20.9096, 20.9096) * CHOOSE(CONTROL!$C$21, $C$9, 100%, $E$9)</f>
        <v>20.909600000000001</v>
      </c>
      <c r="M454" s="14">
        <f>CHOOSE(CONTROL!$C$42, 19.6664, 19.6664) * CHOOSE(CONTROL!$C$21, $C$9, 100%, $E$9)</f>
        <v>19.666399999999999</v>
      </c>
      <c r="N454" s="14">
        <f>CHOOSE(CONTROL!$C$42, 19.6824, 19.6824) * CHOOSE(CONTROL!$C$21, $C$9, 100%, $E$9)</f>
        <v>19.682400000000001</v>
      </c>
      <c r="O454" s="14">
        <f>CHOOSE(CONTROL!$C$42, 19.9139, 19.9139) * CHOOSE(CONTROL!$C$21, $C$9, 100%, $E$9)</f>
        <v>19.913900000000002</v>
      </c>
      <c r="P454" s="14">
        <f>CHOOSE(CONTROL!$C$42, 19.7539, 19.7539) * CHOOSE(CONTROL!$C$21, $C$9, 100%, $E$9)</f>
        <v>19.753900000000002</v>
      </c>
      <c r="Q454" s="14">
        <f>CHOOSE(CONTROL!$C$42, 20.5086, 20.5086) * CHOOSE(CONTROL!$C$21, $C$9, 100%, $E$9)</f>
        <v>20.508600000000001</v>
      </c>
      <c r="R454" s="14">
        <f>CHOOSE(CONTROL!$C$42, 21.1468, 21.1468) * CHOOSE(CONTROL!$C$21, $C$9, 100%, $E$9)</f>
        <v>21.146799999999999</v>
      </c>
      <c r="S454" s="14">
        <f>CHOOSE(CONTROL!$C$42, 19.2933, 19.2933) * CHOOSE(CONTROL!$C$21, $C$9, 100%, $E$9)</f>
        <v>19.293299999999999</v>
      </c>
      <c r="T4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7">
        <f>(1000*CHOOSE(CONTROL!$C$42, 695, 695)*CHOOSE(CONTROL!$C$42, 0.5599, 0.5599)*CHOOSE(CONTROL!$C$42, 31, 31))/1000000</f>
        <v>12.063045499999998</v>
      </c>
      <c r="V454" s="57">
        <f>(1000*CHOOSE(CONTROL!$C$42, 500, 500)*CHOOSE(CONTROL!$C$42, 0.275, 0.275)*CHOOSE(CONTROL!$C$42, 31, 31))/1000000</f>
        <v>4.2625000000000002</v>
      </c>
      <c r="W454" s="57">
        <f>(1000*CHOOSE(CONTROL!$C$42, 0.1146, 0.1146)*CHOOSE(CONTROL!$C$42, 121.5, 121.5)*CHOOSE(CONTROL!$C$42, 31, 31))/1000000</f>
        <v>0.43164089999999994</v>
      </c>
      <c r="X454" s="57">
        <f>(31*0.1790888*245000/1000000)+(31*0.2374*100000/1000000)</f>
        <v>2.0961194359999999</v>
      </c>
      <c r="Y454" s="57"/>
      <c r="Z454" s="14"/>
      <c r="AA454" s="56"/>
      <c r="AB454" s="50">
        <f>(B454*131.881+C454*277.167+D454*79.08+E454*125.872+F454*40+G454*185+H454*0+I454*100+J454*300)/(131.881+277.167+79.08+125.872+0+40+185+100+300)</f>
        <v>20.12950147368846</v>
      </c>
      <c r="AC454" s="45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19.75211582733813</v>
      </c>
    </row>
    <row r="455" spans="1:29" ht="15.75" x14ac:dyDescent="0.25">
      <c r="A455" s="33">
        <v>54757</v>
      </c>
      <c r="B455" s="14">
        <f>CHOOSE(CONTROL!$C$42, 20.6162, 20.6162) * CHOOSE(CONTROL!$C$21, $C$9, 100%, $E$9)</f>
        <v>20.616199999999999</v>
      </c>
      <c r="C455" s="14">
        <f>CHOOSE(CONTROL!$C$42, 20.6213, 20.6213) * CHOOSE(CONTROL!$C$21, $C$9, 100%, $E$9)</f>
        <v>20.621300000000002</v>
      </c>
      <c r="D455" s="14">
        <f>CHOOSE(CONTROL!$C$42, 20.6851, 20.6851) * CHOOSE(CONTROL!$C$21, $C$9, 100%, $E$9)</f>
        <v>20.685099999999998</v>
      </c>
      <c r="E455" s="14">
        <f>CHOOSE(CONTROL!$C$42, 20.7192, 20.7192) * CHOOSE(CONTROL!$C$21, $C$9, 100%, $E$9)</f>
        <v>20.719200000000001</v>
      </c>
      <c r="F455" s="14">
        <f>CHOOSE(CONTROL!$C$42, 20.6185, 20.6185)*CHOOSE(CONTROL!$C$21, $C$9, 100%, $E$9)</f>
        <v>20.618500000000001</v>
      </c>
      <c r="G455" s="14">
        <f>CHOOSE(CONTROL!$C$42, 20.6351, 20.6351)*CHOOSE(CONTROL!$C$21, $C$9, 100%, $E$9)</f>
        <v>20.635100000000001</v>
      </c>
      <c r="H455" s="14">
        <f>CHOOSE(CONTROL!$C$42, 20.7084, 20.7084) * CHOOSE(CONTROL!$C$21, $C$9, 100%, $E$9)</f>
        <v>20.708400000000001</v>
      </c>
      <c r="I455" s="14">
        <f>CHOOSE(CONTROL!$C$42, 20.6947, 20.6947)* CHOOSE(CONTROL!$C$21, $C$9, 100%, $E$9)</f>
        <v>20.694700000000001</v>
      </c>
      <c r="J455" s="14">
        <f>CHOOSE(CONTROL!$C$42, 20.6115, 20.6115)* CHOOSE(CONTROL!$C$21, $C$9, 100%, $E$9)</f>
        <v>20.611499999999999</v>
      </c>
      <c r="K455" s="53">
        <f>CHOOSE(CONTROL!$C$42, 20.6908, 20.6908) * CHOOSE(CONTROL!$C$21, $C$9, 100%, $E$9)</f>
        <v>20.690799999999999</v>
      </c>
      <c r="L455" s="14">
        <f>CHOOSE(CONTROL!$C$42, 21.2954, 21.2954) * CHOOSE(CONTROL!$C$21, $C$9, 100%, $E$9)</f>
        <v>21.295400000000001</v>
      </c>
      <c r="M455" s="14">
        <f>CHOOSE(CONTROL!$C$42, 20.1969, 20.1969) * CHOOSE(CONTROL!$C$21, $C$9, 100%, $E$9)</f>
        <v>20.196899999999999</v>
      </c>
      <c r="N455" s="14">
        <f>CHOOSE(CONTROL!$C$42, 20.2132, 20.2132) * CHOOSE(CONTROL!$C$21, $C$9, 100%, $E$9)</f>
        <v>20.213200000000001</v>
      </c>
      <c r="O455" s="14">
        <f>CHOOSE(CONTROL!$C$42, 20.2918, 20.2918) * CHOOSE(CONTROL!$C$21, $C$9, 100%, $E$9)</f>
        <v>20.291799999999999</v>
      </c>
      <c r="P455" s="14">
        <f>CHOOSE(CONTROL!$C$42, 20.2771, 20.2771) * CHOOSE(CONTROL!$C$21, $C$9, 100%, $E$9)</f>
        <v>20.277100000000001</v>
      </c>
      <c r="Q455" s="14">
        <f>CHOOSE(CONTROL!$C$42, 20.8865, 20.8865) * CHOOSE(CONTROL!$C$21, $C$9, 100%, $E$9)</f>
        <v>20.886500000000002</v>
      </c>
      <c r="R455" s="14">
        <f>CHOOSE(CONTROL!$C$42, 21.5257, 21.5257) * CHOOSE(CONTROL!$C$21, $C$9, 100%, $E$9)</f>
        <v>21.525700000000001</v>
      </c>
      <c r="S455" s="14">
        <f>CHOOSE(CONTROL!$C$42, 19.8016, 19.8016) * CHOOSE(CONTROL!$C$21, $C$9, 100%, $E$9)</f>
        <v>19.801600000000001</v>
      </c>
      <c r="T4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7">
        <f>(1000*CHOOSE(CONTROL!$C$42, 695, 695)*CHOOSE(CONTROL!$C$42, 0.5599, 0.5599)*CHOOSE(CONTROL!$C$42, 30, 30))/1000000</f>
        <v>11.673914999999997</v>
      </c>
      <c r="V455" s="57">
        <f>(1000*CHOOSE(CONTROL!$C$42, 500, 500)*CHOOSE(CONTROL!$C$42, 0.275, 0.275)*CHOOSE(CONTROL!$C$42, 30, 30))/1000000</f>
        <v>4.125</v>
      </c>
      <c r="W455" s="57">
        <f>(1000*CHOOSE(CONTROL!$C$42, 0.1146, 0.1146)*CHOOSE(CONTROL!$C$42, 121.5, 121.5)*CHOOSE(CONTROL!$C$42, 30, 30))/1000000</f>
        <v>0.417717</v>
      </c>
      <c r="X455" s="57">
        <f>(30*0.1790888*100000/1000000)+(30*0.2374*100000/1000000)</f>
        <v>1.2494664</v>
      </c>
      <c r="Y455" s="57"/>
      <c r="Z455" s="14"/>
      <c r="AA455" s="56"/>
      <c r="AB455" s="50">
        <f>(B455*122.58+C455*297.941+D455*89.177+E455*40.302+F455*40+G455*160+H455*0+I455*100+J455*300)/(122.58+297.941+89.177+40.302+0+40+160+100+300)</f>
        <v>20.634783391652174</v>
      </c>
      <c r="AC455" s="45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20.252389928057553</v>
      </c>
    </row>
    <row r="456" spans="1:29" ht="15.75" x14ac:dyDescent="0.25">
      <c r="A456" s="33">
        <v>54788</v>
      </c>
      <c r="B456" s="14">
        <f>CHOOSE(CONTROL!$C$42, 22.0212, 22.0212) * CHOOSE(CONTROL!$C$21, $C$9, 100%, $E$9)</f>
        <v>22.0212</v>
      </c>
      <c r="C456" s="14">
        <f>CHOOSE(CONTROL!$C$42, 22.0262, 22.0262) * CHOOSE(CONTROL!$C$21, $C$9, 100%, $E$9)</f>
        <v>22.026199999999999</v>
      </c>
      <c r="D456" s="14">
        <f>CHOOSE(CONTROL!$C$42, 22.0901, 22.0901) * CHOOSE(CONTROL!$C$21, $C$9, 100%, $E$9)</f>
        <v>22.0901</v>
      </c>
      <c r="E456" s="14">
        <f>CHOOSE(CONTROL!$C$42, 22.1242, 22.1242) * CHOOSE(CONTROL!$C$21, $C$9, 100%, $E$9)</f>
        <v>22.124199999999998</v>
      </c>
      <c r="F456" s="14">
        <f>CHOOSE(CONTROL!$C$42, 22.0255, 22.0255)*CHOOSE(CONTROL!$C$21, $C$9, 100%, $E$9)</f>
        <v>22.025500000000001</v>
      </c>
      <c r="G456" s="14">
        <f>CHOOSE(CONTROL!$C$42, 22.0427, 22.0427)*CHOOSE(CONTROL!$C$21, $C$9, 100%, $E$9)</f>
        <v>22.0427</v>
      </c>
      <c r="H456" s="14">
        <f>CHOOSE(CONTROL!$C$42, 22.1134, 22.1134) * CHOOSE(CONTROL!$C$21, $C$9, 100%, $E$9)</f>
        <v>22.113399999999999</v>
      </c>
      <c r="I456" s="14">
        <f>CHOOSE(CONTROL!$C$42, 22.104, 22.104)* CHOOSE(CONTROL!$C$21, $C$9, 100%, $E$9)</f>
        <v>22.103999999999999</v>
      </c>
      <c r="J456" s="14">
        <f>CHOOSE(CONTROL!$C$42, 22.0185, 22.0185)* CHOOSE(CONTROL!$C$21, $C$9, 100%, $E$9)</f>
        <v>22.0185</v>
      </c>
      <c r="K456" s="53">
        <f>CHOOSE(CONTROL!$C$42, 22.1001, 22.1001) * CHOOSE(CONTROL!$C$21, $C$9, 100%, $E$9)</f>
        <v>22.100100000000001</v>
      </c>
      <c r="L456" s="14">
        <f>CHOOSE(CONTROL!$C$42, 22.7004, 22.7004) * CHOOSE(CONTROL!$C$21, $C$9, 100%, $E$9)</f>
        <v>22.700399999999998</v>
      </c>
      <c r="M456" s="14">
        <f>CHOOSE(CONTROL!$C$42, 21.575, 21.575) * CHOOSE(CONTROL!$C$21, $C$9, 100%, $E$9)</f>
        <v>21.574999999999999</v>
      </c>
      <c r="N456" s="14">
        <f>CHOOSE(CONTROL!$C$42, 21.5919, 21.5919) * CHOOSE(CONTROL!$C$21, $C$9, 100%, $E$9)</f>
        <v>21.591899999999999</v>
      </c>
      <c r="O456" s="14">
        <f>CHOOSE(CONTROL!$C$42, 21.668, 21.668) * CHOOSE(CONTROL!$C$21, $C$9, 100%, $E$9)</f>
        <v>21.667999999999999</v>
      </c>
      <c r="P456" s="14">
        <f>CHOOSE(CONTROL!$C$42, 21.6575, 21.6575) * CHOOSE(CONTROL!$C$21, $C$9, 100%, $E$9)</f>
        <v>21.657499999999999</v>
      </c>
      <c r="Q456" s="14">
        <f>CHOOSE(CONTROL!$C$42, 22.2627, 22.2627) * CHOOSE(CONTROL!$C$21, $C$9, 100%, $E$9)</f>
        <v>22.262699999999999</v>
      </c>
      <c r="R456" s="14">
        <f>CHOOSE(CONTROL!$C$42, 22.9053, 22.9053) * CHOOSE(CONTROL!$C$21, $C$9, 100%, $E$9)</f>
        <v>22.9053</v>
      </c>
      <c r="S456" s="14">
        <f>CHOOSE(CONTROL!$C$42, 21.1516, 21.1516) * CHOOSE(CONTROL!$C$21, $C$9, 100%, $E$9)</f>
        <v>21.151599999999998</v>
      </c>
      <c r="T4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7">
        <f>(1000*CHOOSE(CONTROL!$C$42, 695, 695)*CHOOSE(CONTROL!$C$42, 0.5599, 0.5599)*CHOOSE(CONTROL!$C$42, 31, 31))/1000000</f>
        <v>12.063045499999998</v>
      </c>
      <c r="V456" s="57">
        <f>(1000*CHOOSE(CONTROL!$C$42, 500, 500)*CHOOSE(CONTROL!$C$42, 0.275, 0.275)*CHOOSE(CONTROL!$C$42, 31, 31))/1000000</f>
        <v>4.2625000000000002</v>
      </c>
      <c r="W456" s="57">
        <f>(1000*CHOOSE(CONTROL!$C$42, 0.1146, 0.1146)*CHOOSE(CONTROL!$C$42, 121.5, 121.5)*CHOOSE(CONTROL!$C$42, 31, 31))/1000000</f>
        <v>0.43164089999999994</v>
      </c>
      <c r="X456" s="57">
        <f>(31*0.1790888*100000/1000000)+(31*0.2374*100000/1000000)</f>
        <v>1.2911152800000001</v>
      </c>
      <c r="Y456" s="57"/>
      <c r="Z456" s="14"/>
      <c r="AA456" s="56"/>
      <c r="AB456" s="50">
        <f>(B456*122.58+C456*297.941+D456*89.177+E456*40.302+F456*40+G456*160+H456*0+I456*100+J456*300)/(122.58+297.941+89.177+40.302+0+40+160+100+300)</f>
        <v>22.041084440260871</v>
      </c>
      <c r="AC456" s="45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21.629994244604315</v>
      </c>
    </row>
    <row r="457" spans="1:29" ht="15.75" x14ac:dyDescent="0.25">
      <c r="A457" s="33">
        <v>54819</v>
      </c>
      <c r="B457" s="14">
        <f>CHOOSE(CONTROL!$C$42, 23.8242, 23.8242) * CHOOSE(CONTROL!$C$21, $C$9, 100%, $E$9)</f>
        <v>23.824200000000001</v>
      </c>
      <c r="C457" s="14">
        <f>CHOOSE(CONTROL!$C$42, 23.8293, 23.8293) * CHOOSE(CONTROL!$C$21, $C$9, 100%, $E$9)</f>
        <v>23.8293</v>
      </c>
      <c r="D457" s="14">
        <f>CHOOSE(CONTROL!$C$42, 23.8879, 23.8879) * CHOOSE(CONTROL!$C$21, $C$9, 100%, $E$9)</f>
        <v>23.887899999999998</v>
      </c>
      <c r="E457" s="14">
        <f>CHOOSE(CONTROL!$C$42, 23.922, 23.922) * CHOOSE(CONTROL!$C$21, $C$9, 100%, $E$9)</f>
        <v>23.922000000000001</v>
      </c>
      <c r="F457" s="14">
        <f>CHOOSE(CONTROL!$C$42, 23.8233, 23.8233)*CHOOSE(CONTROL!$C$21, $C$9, 100%, $E$9)</f>
        <v>23.8233</v>
      </c>
      <c r="G457" s="14">
        <f>CHOOSE(CONTROL!$C$42, 23.8397, 23.8397)*CHOOSE(CONTROL!$C$21, $C$9, 100%, $E$9)</f>
        <v>23.839700000000001</v>
      </c>
      <c r="H457" s="14">
        <f>CHOOSE(CONTROL!$C$42, 23.9112, 23.9112) * CHOOSE(CONTROL!$C$21, $C$9, 100%, $E$9)</f>
        <v>23.911200000000001</v>
      </c>
      <c r="I457" s="14">
        <f>CHOOSE(CONTROL!$C$42, 23.9091, 23.9091)* CHOOSE(CONTROL!$C$21, $C$9, 100%, $E$9)</f>
        <v>23.909099999999999</v>
      </c>
      <c r="J457" s="14">
        <f>CHOOSE(CONTROL!$C$42, 23.8163, 23.8163)* CHOOSE(CONTROL!$C$21, $C$9, 100%, $E$9)</f>
        <v>23.816299999999998</v>
      </c>
      <c r="K457" s="53">
        <f>CHOOSE(CONTROL!$C$42, 23.9052, 23.9052) * CHOOSE(CONTROL!$C$21, $C$9, 100%, $E$9)</f>
        <v>23.905200000000001</v>
      </c>
      <c r="L457" s="14">
        <f>CHOOSE(CONTROL!$C$42, 24.4982, 24.4982) * CHOOSE(CONTROL!$C$21, $C$9, 100%, $E$9)</f>
        <v>24.498200000000001</v>
      </c>
      <c r="M457" s="14">
        <f>CHOOSE(CONTROL!$C$42, 23.336, 23.336) * CHOOSE(CONTROL!$C$21, $C$9, 100%, $E$9)</f>
        <v>23.335999999999999</v>
      </c>
      <c r="N457" s="14">
        <f>CHOOSE(CONTROL!$C$42, 23.3521, 23.3521) * CHOOSE(CONTROL!$C$21, $C$9, 100%, $E$9)</f>
        <v>23.3521</v>
      </c>
      <c r="O457" s="14">
        <f>CHOOSE(CONTROL!$C$42, 23.429, 23.429) * CHOOSE(CONTROL!$C$21, $C$9, 100%, $E$9)</f>
        <v>23.428999999999998</v>
      </c>
      <c r="P457" s="14">
        <f>CHOOSE(CONTROL!$C$42, 23.4255, 23.4255) * CHOOSE(CONTROL!$C$21, $C$9, 100%, $E$9)</f>
        <v>23.4255</v>
      </c>
      <c r="Q457" s="14">
        <f>CHOOSE(CONTROL!$C$42, 24.0237, 24.0237) * CHOOSE(CONTROL!$C$21, $C$9, 100%, $E$9)</f>
        <v>24.023700000000002</v>
      </c>
      <c r="R457" s="14">
        <f>CHOOSE(CONTROL!$C$42, 24.6707, 24.6707) * CHOOSE(CONTROL!$C$21, $C$9, 100%, $E$9)</f>
        <v>24.6707</v>
      </c>
      <c r="S457" s="14">
        <f>CHOOSE(CONTROL!$C$42, 22.8842, 22.8842) * CHOOSE(CONTROL!$C$21, $C$9, 100%, $E$9)</f>
        <v>22.8842</v>
      </c>
      <c r="T4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7">
        <f>(1000*CHOOSE(CONTROL!$C$42, 695, 695)*CHOOSE(CONTROL!$C$42, 0.5599, 0.5599)*CHOOSE(CONTROL!$C$42, 31, 31))/1000000</f>
        <v>12.063045499999998</v>
      </c>
      <c r="V457" s="57">
        <f>(1000*CHOOSE(CONTROL!$C$42, 500, 500)*CHOOSE(CONTROL!$C$42, 0.275, 0.275)*CHOOSE(CONTROL!$C$42, 31, 31))/1000000</f>
        <v>4.2625000000000002</v>
      </c>
      <c r="W457" s="57">
        <f>(1000*CHOOSE(CONTROL!$C$42, 0.1146, 0.1146)*CHOOSE(CONTROL!$C$42, 121.5, 121.5)*CHOOSE(CONTROL!$C$42, 31, 31))/1000000</f>
        <v>0.43164089999999994</v>
      </c>
      <c r="X457" s="57">
        <f>(31*0.1790888*100000/1000000)+(31*0.2374*100000/1000000)</f>
        <v>1.2911152800000001</v>
      </c>
      <c r="Y457" s="57"/>
      <c r="Z457" s="14"/>
      <c r="AA457" s="56"/>
      <c r="AB457" s="50">
        <f>(B457*122.58+C457*297.941+D457*89.177+E457*40.302+F457*40+G457*160+H457*0+I457*100+J457*300)/(122.58+297.941+89.177+40.302+0+40+160+100+300)</f>
        <v>23.841335312695652</v>
      </c>
      <c r="AC457" s="45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23.391955395683453</v>
      </c>
    </row>
    <row r="458" spans="1:29" ht="15.75" x14ac:dyDescent="0.25">
      <c r="A458" s="33">
        <v>54847</v>
      </c>
      <c r="B458" s="14">
        <f>CHOOSE(CONTROL!$C$42, 24.2482, 24.2482) * CHOOSE(CONTROL!$C$21, $C$9, 100%, $E$9)</f>
        <v>24.248200000000001</v>
      </c>
      <c r="C458" s="14">
        <f>CHOOSE(CONTROL!$C$42, 24.2532, 24.2532) * CHOOSE(CONTROL!$C$21, $C$9, 100%, $E$9)</f>
        <v>24.2532</v>
      </c>
      <c r="D458" s="14">
        <f>CHOOSE(CONTROL!$C$42, 24.3118, 24.3118) * CHOOSE(CONTROL!$C$21, $C$9, 100%, $E$9)</f>
        <v>24.311800000000002</v>
      </c>
      <c r="E458" s="14">
        <f>CHOOSE(CONTROL!$C$42, 24.3459, 24.3459) * CHOOSE(CONTROL!$C$21, $C$9, 100%, $E$9)</f>
        <v>24.3459</v>
      </c>
      <c r="F458" s="14">
        <f>CHOOSE(CONTROL!$C$42, 24.2472, 24.2472)*CHOOSE(CONTROL!$C$21, $C$9, 100%, $E$9)</f>
        <v>24.247199999999999</v>
      </c>
      <c r="G458" s="14">
        <f>CHOOSE(CONTROL!$C$42, 24.2636, 24.2636)*CHOOSE(CONTROL!$C$21, $C$9, 100%, $E$9)</f>
        <v>24.2636</v>
      </c>
      <c r="H458" s="14">
        <f>CHOOSE(CONTROL!$C$42, 24.3351, 24.3351) * CHOOSE(CONTROL!$C$21, $C$9, 100%, $E$9)</f>
        <v>24.335100000000001</v>
      </c>
      <c r="I458" s="14">
        <f>CHOOSE(CONTROL!$C$42, 24.3343, 24.3343)* CHOOSE(CONTROL!$C$21, $C$9, 100%, $E$9)</f>
        <v>24.334299999999999</v>
      </c>
      <c r="J458" s="14">
        <f>CHOOSE(CONTROL!$C$42, 24.2402, 24.2402)* CHOOSE(CONTROL!$C$21, $C$9, 100%, $E$9)</f>
        <v>24.240200000000002</v>
      </c>
      <c r="K458" s="53">
        <f>CHOOSE(CONTROL!$C$42, 24.3304, 24.3304) * CHOOSE(CONTROL!$C$21, $C$9, 100%, $E$9)</f>
        <v>24.330400000000001</v>
      </c>
      <c r="L458" s="14">
        <f>CHOOSE(CONTROL!$C$42, 24.9221, 24.9221) * CHOOSE(CONTROL!$C$21, $C$9, 100%, $E$9)</f>
        <v>24.9221</v>
      </c>
      <c r="M458" s="14">
        <f>CHOOSE(CONTROL!$C$42, 23.7513, 23.7513) * CHOOSE(CONTROL!$C$21, $C$9, 100%, $E$9)</f>
        <v>23.751300000000001</v>
      </c>
      <c r="N458" s="14">
        <f>CHOOSE(CONTROL!$C$42, 23.7673, 23.7673) * CHOOSE(CONTROL!$C$21, $C$9, 100%, $E$9)</f>
        <v>23.767299999999999</v>
      </c>
      <c r="O458" s="14">
        <f>CHOOSE(CONTROL!$C$42, 23.8442, 23.8442) * CHOOSE(CONTROL!$C$21, $C$9, 100%, $E$9)</f>
        <v>23.844200000000001</v>
      </c>
      <c r="P458" s="14">
        <f>CHOOSE(CONTROL!$C$42, 23.842, 23.842) * CHOOSE(CONTROL!$C$21, $C$9, 100%, $E$9)</f>
        <v>23.841999999999999</v>
      </c>
      <c r="Q458" s="14">
        <f>CHOOSE(CONTROL!$C$42, 24.4389, 24.4389) * CHOOSE(CONTROL!$C$21, $C$9, 100%, $E$9)</f>
        <v>24.4389</v>
      </c>
      <c r="R458" s="14">
        <f>CHOOSE(CONTROL!$C$42, 25.087, 25.087) * CHOOSE(CONTROL!$C$21, $C$9, 100%, $E$9)</f>
        <v>25.087</v>
      </c>
      <c r="S458" s="14">
        <f>CHOOSE(CONTROL!$C$42, 23.2915, 23.2915) * CHOOSE(CONTROL!$C$21, $C$9, 100%, $E$9)</f>
        <v>23.291499999999999</v>
      </c>
      <c r="T4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7">
        <f>(1000*CHOOSE(CONTROL!$C$42, 695, 695)*CHOOSE(CONTROL!$C$42, 0.5599, 0.5599)*CHOOSE(CONTROL!$C$42, 28, 28))/1000000</f>
        <v>10.895653999999999</v>
      </c>
      <c r="V458" s="57">
        <f>(1000*CHOOSE(CONTROL!$C$42, 500, 500)*CHOOSE(CONTROL!$C$42, 0.275, 0.275)*CHOOSE(CONTROL!$C$42, 28, 28))/1000000</f>
        <v>3.85</v>
      </c>
      <c r="W458" s="57">
        <f>(1000*CHOOSE(CONTROL!$C$42, 0.1146, 0.1146)*CHOOSE(CONTROL!$C$42, 121.5, 121.5)*CHOOSE(CONTROL!$C$42, 28, 28))/1000000</f>
        <v>0.38986920000000003</v>
      </c>
      <c r="X458" s="57">
        <f>(28*0.1790888*100000/1000000)+(28*0.2374*100000/1000000)</f>
        <v>1.16616864</v>
      </c>
      <c r="Y458" s="57"/>
      <c r="Z458" s="14"/>
      <c r="AA458" s="56"/>
      <c r="AB458" s="50">
        <f>(B458*122.58+C458*297.941+D458*89.177+E458*40.302+F458*40+G458*160+H458*0+I458*100+J458*300)/(122.58+297.941+89.177+40.302+0+40+160+100+300)</f>
        <v>24.265359015304348</v>
      </c>
      <c r="AC458" s="45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23.807376978417267</v>
      </c>
    </row>
    <row r="459" spans="1:29" ht="15.75" x14ac:dyDescent="0.25">
      <c r="A459" s="33">
        <v>54878</v>
      </c>
      <c r="B459" s="14">
        <f>CHOOSE(CONTROL!$C$42, 23.56, 23.56) * CHOOSE(CONTROL!$C$21, $C$9, 100%, $E$9)</f>
        <v>23.56</v>
      </c>
      <c r="C459" s="14">
        <f>CHOOSE(CONTROL!$C$42, 23.5651, 23.5651) * CHOOSE(CONTROL!$C$21, $C$9, 100%, $E$9)</f>
        <v>23.565100000000001</v>
      </c>
      <c r="D459" s="14">
        <f>CHOOSE(CONTROL!$C$42, 23.6237, 23.6237) * CHOOSE(CONTROL!$C$21, $C$9, 100%, $E$9)</f>
        <v>23.623699999999999</v>
      </c>
      <c r="E459" s="14">
        <f>CHOOSE(CONTROL!$C$42, 23.6578, 23.6578) * CHOOSE(CONTROL!$C$21, $C$9, 100%, $E$9)</f>
        <v>23.657800000000002</v>
      </c>
      <c r="F459" s="14">
        <f>CHOOSE(CONTROL!$C$42, 23.5586, 23.5586)*CHOOSE(CONTROL!$C$21, $C$9, 100%, $E$9)</f>
        <v>23.558599999999998</v>
      </c>
      <c r="G459" s="14">
        <f>CHOOSE(CONTROL!$C$42, 23.5748, 23.5748)*CHOOSE(CONTROL!$C$21, $C$9, 100%, $E$9)</f>
        <v>23.5748</v>
      </c>
      <c r="H459" s="14">
        <f>CHOOSE(CONTROL!$C$42, 23.647, 23.647) * CHOOSE(CONTROL!$C$21, $C$9, 100%, $E$9)</f>
        <v>23.646999999999998</v>
      </c>
      <c r="I459" s="14">
        <f>CHOOSE(CONTROL!$C$42, 23.644, 23.644)* CHOOSE(CONTROL!$C$21, $C$9, 100%, $E$9)</f>
        <v>23.643999999999998</v>
      </c>
      <c r="J459" s="14">
        <f>CHOOSE(CONTROL!$C$42, 23.5516, 23.5516)* CHOOSE(CONTROL!$C$21, $C$9, 100%, $E$9)</f>
        <v>23.551600000000001</v>
      </c>
      <c r="K459" s="53">
        <f>CHOOSE(CONTROL!$C$42, 23.6401, 23.6401) * CHOOSE(CONTROL!$C$21, $C$9, 100%, $E$9)</f>
        <v>23.6401</v>
      </c>
      <c r="L459" s="14">
        <f>CHOOSE(CONTROL!$C$42, 24.234, 24.234) * CHOOSE(CONTROL!$C$21, $C$9, 100%, $E$9)</f>
        <v>24.234000000000002</v>
      </c>
      <c r="M459" s="14">
        <f>CHOOSE(CONTROL!$C$42, 23.0767, 23.0767) * CHOOSE(CONTROL!$C$21, $C$9, 100%, $E$9)</f>
        <v>23.076699999999999</v>
      </c>
      <c r="N459" s="14">
        <f>CHOOSE(CONTROL!$C$42, 23.0926, 23.0926) * CHOOSE(CONTROL!$C$21, $C$9, 100%, $E$9)</f>
        <v>23.092600000000001</v>
      </c>
      <c r="O459" s="14">
        <f>CHOOSE(CONTROL!$C$42, 23.1702, 23.1702) * CHOOSE(CONTROL!$C$21, $C$9, 100%, $E$9)</f>
        <v>23.170200000000001</v>
      </c>
      <c r="P459" s="14">
        <f>CHOOSE(CONTROL!$C$42, 23.1659, 23.1659) * CHOOSE(CONTROL!$C$21, $C$9, 100%, $E$9)</f>
        <v>23.165900000000001</v>
      </c>
      <c r="Q459" s="14">
        <f>CHOOSE(CONTROL!$C$42, 23.7649, 23.7649) * CHOOSE(CONTROL!$C$21, $C$9, 100%, $E$9)</f>
        <v>23.764900000000001</v>
      </c>
      <c r="R459" s="14">
        <f>CHOOSE(CONTROL!$C$42, 24.4113, 24.4113) * CHOOSE(CONTROL!$C$21, $C$9, 100%, $E$9)</f>
        <v>24.411300000000001</v>
      </c>
      <c r="S459" s="14">
        <f>CHOOSE(CONTROL!$C$42, 22.6303, 22.6303) * CHOOSE(CONTROL!$C$21, $C$9, 100%, $E$9)</f>
        <v>22.630299999999998</v>
      </c>
      <c r="T4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7">
        <f>(1000*CHOOSE(CONTROL!$C$42, 695, 695)*CHOOSE(CONTROL!$C$42, 0.5599, 0.5599)*CHOOSE(CONTROL!$C$42, 31, 31))/1000000</f>
        <v>12.063045499999998</v>
      </c>
      <c r="V459" s="57">
        <f>(1000*CHOOSE(CONTROL!$C$42, 500, 500)*CHOOSE(CONTROL!$C$42, 0.275, 0.275)*CHOOSE(CONTROL!$C$42, 31, 31))/1000000</f>
        <v>4.2625000000000002</v>
      </c>
      <c r="W459" s="57">
        <f>(1000*CHOOSE(CONTROL!$C$42, 0.1146, 0.1146)*CHOOSE(CONTROL!$C$42, 121.5, 121.5)*CHOOSE(CONTROL!$C$42, 31, 31))/1000000</f>
        <v>0.43164089999999994</v>
      </c>
      <c r="X459" s="57">
        <f>(31*0.1790888*100000/1000000)+(31*0.2374*100000/1000000)</f>
        <v>1.2911152800000001</v>
      </c>
      <c r="Y459" s="57"/>
      <c r="Z459" s="14"/>
      <c r="AA459" s="56"/>
      <c r="AB459" s="50">
        <f>(B459*122.58+C459*297.941+D459*89.177+E459*40.302+F459*40+G459*160+H459*0+I459*100+J459*300)/(122.58+297.941+89.177+40.302+0+40+160+100+300)</f>
        <v>23.576811834434785</v>
      </c>
      <c r="AC459" s="45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23.132827338129495</v>
      </c>
    </row>
    <row r="460" spans="1:29" ht="15.75" x14ac:dyDescent="0.25">
      <c r="A460" s="33">
        <v>54908</v>
      </c>
      <c r="B460" s="14">
        <f>CHOOSE(CONTROL!$C$42, 23.4907, 23.4907) * CHOOSE(CONTROL!$C$21, $C$9, 100%, $E$9)</f>
        <v>23.4907</v>
      </c>
      <c r="C460" s="14">
        <f>CHOOSE(CONTROL!$C$42, 23.4952, 23.4952) * CHOOSE(CONTROL!$C$21, $C$9, 100%, $E$9)</f>
        <v>23.495200000000001</v>
      </c>
      <c r="D460" s="14">
        <f>CHOOSE(CONTROL!$C$42, 23.7033, 23.7033) * CHOOSE(CONTROL!$C$21, $C$9, 100%, $E$9)</f>
        <v>23.703299999999999</v>
      </c>
      <c r="E460" s="14">
        <f>CHOOSE(CONTROL!$C$42, 23.7354, 23.7354) * CHOOSE(CONTROL!$C$21, $C$9, 100%, $E$9)</f>
        <v>23.735399999999998</v>
      </c>
      <c r="F460" s="14">
        <f>CHOOSE(CONTROL!$C$42, 23.478, 23.478)*CHOOSE(CONTROL!$C$21, $C$9, 100%, $E$9)</f>
        <v>23.478000000000002</v>
      </c>
      <c r="G460" s="14">
        <f>CHOOSE(CONTROL!$C$42, 23.494, 23.494)*CHOOSE(CONTROL!$C$21, $C$9, 100%, $E$9)</f>
        <v>23.494</v>
      </c>
      <c r="H460" s="14">
        <f>CHOOSE(CONTROL!$C$42, 23.7252, 23.7252) * CHOOSE(CONTROL!$C$21, $C$9, 100%, $E$9)</f>
        <v>23.725200000000001</v>
      </c>
      <c r="I460" s="14">
        <f>CHOOSE(CONTROL!$C$42, 23.5737, 23.5737)* CHOOSE(CONTROL!$C$21, $C$9, 100%, $E$9)</f>
        <v>23.573699999999999</v>
      </c>
      <c r="J460" s="14">
        <f>CHOOSE(CONTROL!$C$42, 23.471, 23.471)* CHOOSE(CONTROL!$C$21, $C$9, 100%, $E$9)</f>
        <v>23.471</v>
      </c>
      <c r="K460" s="53">
        <f>CHOOSE(CONTROL!$C$42, 23.5698, 23.5698) * CHOOSE(CONTROL!$C$21, $C$9, 100%, $E$9)</f>
        <v>23.569800000000001</v>
      </c>
      <c r="L460" s="14">
        <f>CHOOSE(CONTROL!$C$42, 24.3122, 24.3122) * CHOOSE(CONTROL!$C$21, $C$9, 100%, $E$9)</f>
        <v>24.312200000000001</v>
      </c>
      <c r="M460" s="14">
        <f>CHOOSE(CONTROL!$C$42, 22.9978, 22.9978) * CHOOSE(CONTROL!$C$21, $C$9, 100%, $E$9)</f>
        <v>22.997800000000002</v>
      </c>
      <c r="N460" s="14">
        <f>CHOOSE(CONTROL!$C$42, 23.0134, 23.0134) * CHOOSE(CONTROL!$C$21, $C$9, 100%, $E$9)</f>
        <v>23.013400000000001</v>
      </c>
      <c r="O460" s="14">
        <f>CHOOSE(CONTROL!$C$42, 23.2467, 23.2467) * CHOOSE(CONTROL!$C$21, $C$9, 100%, $E$9)</f>
        <v>23.246700000000001</v>
      </c>
      <c r="P460" s="14">
        <f>CHOOSE(CONTROL!$C$42, 23.097, 23.097) * CHOOSE(CONTROL!$C$21, $C$9, 100%, $E$9)</f>
        <v>23.097000000000001</v>
      </c>
      <c r="Q460" s="14">
        <f>CHOOSE(CONTROL!$C$42, 23.8414, 23.8414) * CHOOSE(CONTROL!$C$21, $C$9, 100%, $E$9)</f>
        <v>23.8414</v>
      </c>
      <c r="R460" s="14">
        <f>CHOOSE(CONTROL!$C$42, 24.4881, 24.4881) * CHOOSE(CONTROL!$C$21, $C$9, 100%, $E$9)</f>
        <v>24.488099999999999</v>
      </c>
      <c r="S460" s="14">
        <f>CHOOSE(CONTROL!$C$42, 22.5629, 22.5629) * CHOOSE(CONTROL!$C$21, $C$9, 100%, $E$9)</f>
        <v>22.562899999999999</v>
      </c>
      <c r="T4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7">
        <f>(1000*CHOOSE(CONTROL!$C$42, 695, 695)*CHOOSE(CONTROL!$C$42, 0.5599, 0.5599)*CHOOSE(CONTROL!$C$42, 30, 30))/1000000</f>
        <v>11.673914999999997</v>
      </c>
      <c r="V460" s="57">
        <f>(1000*CHOOSE(CONTROL!$C$42, 500, 500)*CHOOSE(CONTROL!$C$42, 0.275, 0.275)*CHOOSE(CONTROL!$C$42, 30, 30))/1000000</f>
        <v>4.125</v>
      </c>
      <c r="W460" s="57">
        <f>(1000*CHOOSE(CONTROL!$C$42, 0.1146, 0.1146)*CHOOSE(CONTROL!$C$42, 121.5, 121.5)*CHOOSE(CONTROL!$C$42, 30, 30))/1000000</f>
        <v>0.417717</v>
      </c>
      <c r="X460" s="57">
        <f>(30*0.1790888*245000/1000000)+(30*0.2374*100000/1000000)</f>
        <v>2.0285026799999999</v>
      </c>
      <c r="Y460" s="57"/>
      <c r="Z460" s="14"/>
      <c r="AA460" s="56"/>
      <c r="AB460" s="50">
        <f>(B460*141.293+C460*267.993+D460*115.016+E460*89.698+F460*40+G460*185+H460*0+I460*100+J460*300)/(141.293+267.993+115.016+89.698+0+40+185+100+300)</f>
        <v>23.531135811702985</v>
      </c>
      <c r="AC460" s="45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23.085500000000003</v>
      </c>
    </row>
    <row r="461" spans="1:29" ht="15.75" x14ac:dyDescent="0.25">
      <c r="A461" s="33">
        <v>54939</v>
      </c>
      <c r="B461" s="14">
        <f>CHOOSE(CONTROL!$C$42, 23.6993, 23.6993) * CHOOSE(CONTROL!$C$21, $C$9, 100%, $E$9)</f>
        <v>23.699300000000001</v>
      </c>
      <c r="C461" s="14">
        <f>CHOOSE(CONTROL!$C$42, 23.7073, 23.7073) * CHOOSE(CONTROL!$C$21, $C$9, 100%, $E$9)</f>
        <v>23.7073</v>
      </c>
      <c r="D461" s="14">
        <f>CHOOSE(CONTROL!$C$42, 23.9123, 23.9123) * CHOOSE(CONTROL!$C$21, $C$9, 100%, $E$9)</f>
        <v>23.912299999999998</v>
      </c>
      <c r="E461" s="14">
        <f>CHOOSE(CONTROL!$C$42, 23.9438, 23.9438) * CHOOSE(CONTROL!$C$21, $C$9, 100%, $E$9)</f>
        <v>23.9438</v>
      </c>
      <c r="F461" s="14">
        <f>CHOOSE(CONTROL!$C$42, 23.6855, 23.6855)*CHOOSE(CONTROL!$C$21, $C$9, 100%, $E$9)</f>
        <v>23.685500000000001</v>
      </c>
      <c r="G461" s="14">
        <f>CHOOSE(CONTROL!$C$42, 23.7019, 23.7019)*CHOOSE(CONTROL!$C$21, $C$9, 100%, $E$9)</f>
        <v>23.701899999999998</v>
      </c>
      <c r="H461" s="14">
        <f>CHOOSE(CONTROL!$C$42, 23.9324, 23.9324) * CHOOSE(CONTROL!$C$21, $C$9, 100%, $E$9)</f>
        <v>23.932400000000001</v>
      </c>
      <c r="I461" s="14">
        <f>CHOOSE(CONTROL!$C$42, 23.7816, 23.7816)* CHOOSE(CONTROL!$C$21, $C$9, 100%, $E$9)</f>
        <v>23.781600000000001</v>
      </c>
      <c r="J461" s="14">
        <f>CHOOSE(CONTROL!$C$42, 23.6785, 23.6785)* CHOOSE(CONTROL!$C$21, $C$9, 100%, $E$9)</f>
        <v>23.6785</v>
      </c>
      <c r="K461" s="53">
        <f>CHOOSE(CONTROL!$C$42, 23.7777, 23.7777) * CHOOSE(CONTROL!$C$21, $C$9, 100%, $E$9)</f>
        <v>23.777699999999999</v>
      </c>
      <c r="L461" s="14">
        <f>CHOOSE(CONTROL!$C$42, 24.5194, 24.5194) * CHOOSE(CONTROL!$C$21, $C$9, 100%, $E$9)</f>
        <v>24.519400000000001</v>
      </c>
      <c r="M461" s="14">
        <f>CHOOSE(CONTROL!$C$42, 23.201, 23.201) * CHOOSE(CONTROL!$C$21, $C$9, 100%, $E$9)</f>
        <v>23.201000000000001</v>
      </c>
      <c r="N461" s="14">
        <f>CHOOSE(CONTROL!$C$42, 23.2171, 23.2171) * CHOOSE(CONTROL!$C$21, $C$9, 100%, $E$9)</f>
        <v>23.217099999999999</v>
      </c>
      <c r="O461" s="14">
        <f>CHOOSE(CONTROL!$C$42, 23.4497, 23.4497) * CHOOSE(CONTROL!$C$21, $C$9, 100%, $E$9)</f>
        <v>23.4497</v>
      </c>
      <c r="P461" s="14">
        <f>CHOOSE(CONTROL!$C$42, 23.3006, 23.3006) * CHOOSE(CONTROL!$C$21, $C$9, 100%, $E$9)</f>
        <v>23.300599999999999</v>
      </c>
      <c r="Q461" s="14">
        <f>CHOOSE(CONTROL!$C$42, 24.0444, 24.0444) * CHOOSE(CONTROL!$C$21, $C$9, 100%, $E$9)</f>
        <v>24.0444</v>
      </c>
      <c r="R461" s="14">
        <f>CHOOSE(CONTROL!$C$42, 24.6915, 24.6915) * CHOOSE(CONTROL!$C$21, $C$9, 100%, $E$9)</f>
        <v>24.691500000000001</v>
      </c>
      <c r="S461" s="14">
        <f>CHOOSE(CONTROL!$C$42, 22.762, 22.762) * CHOOSE(CONTROL!$C$21, $C$9, 100%, $E$9)</f>
        <v>22.762</v>
      </c>
      <c r="T4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7">
        <f>(1000*CHOOSE(CONTROL!$C$42, 695, 695)*CHOOSE(CONTROL!$C$42, 0.5599, 0.5599)*CHOOSE(CONTROL!$C$42, 31, 31))/1000000</f>
        <v>12.063045499999998</v>
      </c>
      <c r="V461" s="57">
        <f>(1000*CHOOSE(CONTROL!$C$42, 500, 500)*CHOOSE(CONTROL!$C$42, 0.275, 0.275)*CHOOSE(CONTROL!$C$42, 31, 31))/1000000</f>
        <v>4.2625000000000002</v>
      </c>
      <c r="W461" s="57">
        <f>(1000*CHOOSE(CONTROL!$C$42, 0.1146, 0.1146)*CHOOSE(CONTROL!$C$42, 121.5, 121.5)*CHOOSE(CONTROL!$C$42, 31, 31))/1000000</f>
        <v>0.43164089999999994</v>
      </c>
      <c r="X461" s="57">
        <f>(31*0.1790888*245000/1000000)+(31*0.2374*100000/1000000)</f>
        <v>2.0961194359999999</v>
      </c>
      <c r="Y461" s="57"/>
      <c r="Z461" s="14"/>
      <c r="AA461" s="56"/>
      <c r="AB461" s="50">
        <f>(B461*194.205+C461*267.466+D461*133.845+E461*53.484+F461*40+G461*185+H461*0+I461*100+J461*300)/(194.205+267.466+133.845+53.484+0+40+185+100+300)</f>
        <v>23.735127748037677</v>
      </c>
      <c r="AC461" s="45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23.28881654676259</v>
      </c>
    </row>
    <row r="462" spans="1:29" ht="15.75" x14ac:dyDescent="0.25">
      <c r="A462" s="33">
        <v>54969</v>
      </c>
      <c r="B462" s="14">
        <f>CHOOSE(CONTROL!$C$42, 24.3712, 24.3712) * CHOOSE(CONTROL!$C$21, $C$9, 100%, $E$9)</f>
        <v>24.371200000000002</v>
      </c>
      <c r="C462" s="14">
        <f>CHOOSE(CONTROL!$C$42, 24.3793, 24.3793) * CHOOSE(CONTROL!$C$21, $C$9, 100%, $E$9)</f>
        <v>24.379300000000001</v>
      </c>
      <c r="D462" s="14">
        <f>CHOOSE(CONTROL!$C$42, 24.5842, 24.5842) * CHOOSE(CONTROL!$C$21, $C$9, 100%, $E$9)</f>
        <v>24.584199999999999</v>
      </c>
      <c r="E462" s="14">
        <f>CHOOSE(CONTROL!$C$42, 24.6157, 24.6157) * CHOOSE(CONTROL!$C$21, $C$9, 100%, $E$9)</f>
        <v>24.6157</v>
      </c>
      <c r="F462" s="14">
        <f>CHOOSE(CONTROL!$C$42, 24.3578, 24.3578)*CHOOSE(CONTROL!$C$21, $C$9, 100%, $E$9)</f>
        <v>24.357800000000001</v>
      </c>
      <c r="G462" s="14">
        <f>CHOOSE(CONTROL!$C$42, 24.3743, 24.3743)*CHOOSE(CONTROL!$C$21, $C$9, 100%, $E$9)</f>
        <v>24.374300000000002</v>
      </c>
      <c r="H462" s="14">
        <f>CHOOSE(CONTROL!$C$42, 24.6043, 24.6043) * CHOOSE(CONTROL!$C$21, $C$9, 100%, $E$9)</f>
        <v>24.604299999999999</v>
      </c>
      <c r="I462" s="14">
        <f>CHOOSE(CONTROL!$C$42, 24.4556, 24.4556)* CHOOSE(CONTROL!$C$21, $C$9, 100%, $E$9)</f>
        <v>24.4556</v>
      </c>
      <c r="J462" s="14">
        <f>CHOOSE(CONTROL!$C$42, 24.3508, 24.3508)* CHOOSE(CONTROL!$C$21, $C$9, 100%, $E$9)</f>
        <v>24.3508</v>
      </c>
      <c r="K462" s="53">
        <f>CHOOSE(CONTROL!$C$42, 24.4517, 24.4517) * CHOOSE(CONTROL!$C$21, $C$9, 100%, $E$9)</f>
        <v>24.451699999999999</v>
      </c>
      <c r="L462" s="14">
        <f>CHOOSE(CONTROL!$C$42, 25.1913, 25.1913) * CHOOSE(CONTROL!$C$21, $C$9, 100%, $E$9)</f>
        <v>25.191299999999998</v>
      </c>
      <c r="M462" s="14">
        <f>CHOOSE(CONTROL!$C$42, 23.8595, 23.8595) * CHOOSE(CONTROL!$C$21, $C$9, 100%, $E$9)</f>
        <v>23.859500000000001</v>
      </c>
      <c r="N462" s="14">
        <f>CHOOSE(CONTROL!$C$42, 23.8757, 23.8757) * CHOOSE(CONTROL!$C$21, $C$9, 100%, $E$9)</f>
        <v>23.875699999999998</v>
      </c>
      <c r="O462" s="14">
        <f>CHOOSE(CONTROL!$C$42, 24.1079, 24.1079) * CHOOSE(CONTROL!$C$21, $C$9, 100%, $E$9)</f>
        <v>24.107900000000001</v>
      </c>
      <c r="P462" s="14">
        <f>CHOOSE(CONTROL!$C$42, 23.9608, 23.9608) * CHOOSE(CONTROL!$C$21, $C$9, 100%, $E$9)</f>
        <v>23.960799999999999</v>
      </c>
      <c r="Q462" s="14">
        <f>CHOOSE(CONTROL!$C$42, 24.7026, 24.7026) * CHOOSE(CONTROL!$C$21, $C$9, 100%, $E$9)</f>
        <v>24.7026</v>
      </c>
      <c r="R462" s="14">
        <f>CHOOSE(CONTROL!$C$42, 25.3513, 25.3513) * CHOOSE(CONTROL!$C$21, $C$9, 100%, $E$9)</f>
        <v>25.351299999999998</v>
      </c>
      <c r="S462" s="14">
        <f>CHOOSE(CONTROL!$C$42, 23.4077, 23.4077) * CHOOSE(CONTROL!$C$21, $C$9, 100%, $E$9)</f>
        <v>23.407699999999998</v>
      </c>
      <c r="T4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7">
        <f>(1000*CHOOSE(CONTROL!$C$42, 695, 695)*CHOOSE(CONTROL!$C$42, 0.5599, 0.5599)*CHOOSE(CONTROL!$C$42, 30, 30))/1000000</f>
        <v>11.673914999999997</v>
      </c>
      <c r="V462" s="57">
        <f>(1000*CHOOSE(CONTROL!$C$42, 500, 500)*CHOOSE(CONTROL!$C$42, 0.275, 0.275)*CHOOSE(CONTROL!$C$42, 30, 30))/1000000</f>
        <v>4.125</v>
      </c>
      <c r="W462" s="57">
        <f>(1000*CHOOSE(CONTROL!$C$42, 0.1146, 0.1146)*CHOOSE(CONTROL!$C$42, 121.5, 121.5)*CHOOSE(CONTROL!$C$42, 30, 30))/1000000</f>
        <v>0.417717</v>
      </c>
      <c r="X462" s="57">
        <f>(30*0.1790888*245000/1000000)+(30*0.2374*100000/1000000)</f>
        <v>2.0285026799999999</v>
      </c>
      <c r="Y462" s="57"/>
      <c r="Z462" s="14"/>
      <c r="AA462" s="56"/>
      <c r="AB462" s="50">
        <f>(B462*194.205+C462*267.466+D462*133.845+E462*53.484+F462*40+G462*185+H462*0+I462*100+J462*300)/(194.205+267.466+133.845+53.484+0+40+185+100+300)</f>
        <v>24.407392933751968</v>
      </c>
      <c r="AC462" s="45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23.947499999999994</v>
      </c>
    </row>
    <row r="463" spans="1:29" ht="15.75" x14ac:dyDescent="0.25">
      <c r="A463" s="33">
        <v>55000</v>
      </c>
      <c r="B463" s="14">
        <f>CHOOSE(CONTROL!$C$42, 23.9039, 23.9039) * CHOOSE(CONTROL!$C$21, $C$9, 100%, $E$9)</f>
        <v>23.9039</v>
      </c>
      <c r="C463" s="14">
        <f>CHOOSE(CONTROL!$C$42, 23.9119, 23.9119) * CHOOSE(CONTROL!$C$21, $C$9, 100%, $E$9)</f>
        <v>23.911899999999999</v>
      </c>
      <c r="D463" s="14">
        <f>CHOOSE(CONTROL!$C$42, 24.1169, 24.1169) * CHOOSE(CONTROL!$C$21, $C$9, 100%, $E$9)</f>
        <v>24.116900000000001</v>
      </c>
      <c r="E463" s="14">
        <f>CHOOSE(CONTROL!$C$42, 24.1484, 24.1484) * CHOOSE(CONTROL!$C$21, $C$9, 100%, $E$9)</f>
        <v>24.148399999999999</v>
      </c>
      <c r="F463" s="14">
        <f>CHOOSE(CONTROL!$C$42, 23.8909, 23.8909)*CHOOSE(CONTROL!$C$21, $C$9, 100%, $E$9)</f>
        <v>23.890899999999998</v>
      </c>
      <c r="G463" s="14">
        <f>CHOOSE(CONTROL!$C$42, 23.9075, 23.9075)*CHOOSE(CONTROL!$C$21, $C$9, 100%, $E$9)</f>
        <v>23.907499999999999</v>
      </c>
      <c r="H463" s="14">
        <f>CHOOSE(CONTROL!$C$42, 24.137, 24.137) * CHOOSE(CONTROL!$C$21, $C$9, 100%, $E$9)</f>
        <v>24.137</v>
      </c>
      <c r="I463" s="14">
        <f>CHOOSE(CONTROL!$C$42, 23.9868, 23.9868)* CHOOSE(CONTROL!$C$21, $C$9, 100%, $E$9)</f>
        <v>23.986799999999999</v>
      </c>
      <c r="J463" s="14">
        <f>CHOOSE(CONTROL!$C$42, 23.8839, 23.8839)* CHOOSE(CONTROL!$C$21, $C$9, 100%, $E$9)</f>
        <v>23.883900000000001</v>
      </c>
      <c r="K463" s="53">
        <f>CHOOSE(CONTROL!$C$42, 23.9829, 23.9829) * CHOOSE(CONTROL!$C$21, $C$9, 100%, $E$9)</f>
        <v>23.982900000000001</v>
      </c>
      <c r="L463" s="14">
        <f>CHOOSE(CONTROL!$C$42, 24.724, 24.724) * CHOOSE(CONTROL!$C$21, $C$9, 100%, $E$9)</f>
        <v>24.724</v>
      </c>
      <c r="M463" s="14">
        <f>CHOOSE(CONTROL!$C$42, 23.4022, 23.4022) * CHOOSE(CONTROL!$C$21, $C$9, 100%, $E$9)</f>
        <v>23.402200000000001</v>
      </c>
      <c r="N463" s="14">
        <f>CHOOSE(CONTROL!$C$42, 23.4185, 23.4185) * CHOOSE(CONTROL!$C$21, $C$9, 100%, $E$9)</f>
        <v>23.418500000000002</v>
      </c>
      <c r="O463" s="14">
        <f>CHOOSE(CONTROL!$C$42, 23.6501, 23.6501) * CHOOSE(CONTROL!$C$21, $C$9, 100%, $E$9)</f>
        <v>23.650099999999998</v>
      </c>
      <c r="P463" s="14">
        <f>CHOOSE(CONTROL!$C$42, 23.5016, 23.5016) * CHOOSE(CONTROL!$C$21, $C$9, 100%, $E$9)</f>
        <v>23.5016</v>
      </c>
      <c r="Q463" s="14">
        <f>CHOOSE(CONTROL!$C$42, 24.2448, 24.2448) * CHOOSE(CONTROL!$C$21, $C$9, 100%, $E$9)</f>
        <v>24.244800000000001</v>
      </c>
      <c r="R463" s="14">
        <f>CHOOSE(CONTROL!$C$42, 24.8925, 24.8925) * CHOOSE(CONTROL!$C$21, $C$9, 100%, $E$9)</f>
        <v>24.892499999999998</v>
      </c>
      <c r="S463" s="14">
        <f>CHOOSE(CONTROL!$C$42, 22.9586, 22.9586) * CHOOSE(CONTROL!$C$21, $C$9, 100%, $E$9)</f>
        <v>22.958600000000001</v>
      </c>
      <c r="T4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7">
        <f>(1000*CHOOSE(CONTROL!$C$42, 695, 695)*CHOOSE(CONTROL!$C$42, 0.5599, 0.5599)*CHOOSE(CONTROL!$C$42, 31, 31))/1000000</f>
        <v>12.063045499999998</v>
      </c>
      <c r="V463" s="57">
        <f>(1000*CHOOSE(CONTROL!$C$42, 500, 500)*CHOOSE(CONTROL!$C$42, 0.275, 0.275)*CHOOSE(CONTROL!$C$42, 31, 31))/1000000</f>
        <v>4.2625000000000002</v>
      </c>
      <c r="W463" s="57">
        <f>(1000*CHOOSE(CONTROL!$C$42, 0.1146, 0.1146)*CHOOSE(CONTROL!$C$42, 121.5, 121.5)*CHOOSE(CONTROL!$C$42, 31, 31))/1000000</f>
        <v>0.43164089999999994</v>
      </c>
      <c r="X463" s="57">
        <f>(31*0.1790888*245000/1000000)+(31*0.2374*100000/1000000)</f>
        <v>2.0961194359999999</v>
      </c>
      <c r="Y463" s="57"/>
      <c r="Z463" s="14"/>
      <c r="AA463" s="56"/>
      <c r="AB463" s="50">
        <f>(B463*194.205+C463*267.466+D463*133.845+E463*53.484+F463*40+G463*185+H463*0+I463*100+J463*300)/(194.205+267.466+133.845+53.484+0+40+185+100+300)</f>
        <v>23.940133556514915</v>
      </c>
      <c r="AC463" s="45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23.489809352517984</v>
      </c>
    </row>
    <row r="464" spans="1:29" ht="15.75" x14ac:dyDescent="0.25">
      <c r="A464" s="33">
        <v>55031</v>
      </c>
      <c r="B464" s="14">
        <f>CHOOSE(CONTROL!$C$42, 22.7238, 22.7238) * CHOOSE(CONTROL!$C$21, $C$9, 100%, $E$9)</f>
        <v>22.723800000000001</v>
      </c>
      <c r="C464" s="14">
        <f>CHOOSE(CONTROL!$C$42, 22.7318, 22.7318) * CHOOSE(CONTROL!$C$21, $C$9, 100%, $E$9)</f>
        <v>22.7318</v>
      </c>
      <c r="D464" s="14">
        <f>CHOOSE(CONTROL!$C$42, 22.9368, 22.9368) * CHOOSE(CONTROL!$C$21, $C$9, 100%, $E$9)</f>
        <v>22.936800000000002</v>
      </c>
      <c r="E464" s="14">
        <f>CHOOSE(CONTROL!$C$42, 22.9682, 22.9682) * CHOOSE(CONTROL!$C$21, $C$9, 100%, $E$9)</f>
        <v>22.9682</v>
      </c>
      <c r="F464" s="14">
        <f>CHOOSE(CONTROL!$C$42, 22.711, 22.711)*CHOOSE(CONTROL!$C$21, $C$9, 100%, $E$9)</f>
        <v>22.710999999999999</v>
      </c>
      <c r="G464" s="14">
        <f>CHOOSE(CONTROL!$C$42, 22.7276, 22.7276)*CHOOSE(CONTROL!$C$21, $C$9, 100%, $E$9)</f>
        <v>22.727599999999999</v>
      </c>
      <c r="H464" s="14">
        <f>CHOOSE(CONTROL!$C$42, 22.9569, 22.9569) * CHOOSE(CONTROL!$C$21, $C$9, 100%, $E$9)</f>
        <v>22.956900000000001</v>
      </c>
      <c r="I464" s="14">
        <f>CHOOSE(CONTROL!$C$42, 22.803, 22.803)* CHOOSE(CONTROL!$C$21, $C$9, 100%, $E$9)</f>
        <v>22.803000000000001</v>
      </c>
      <c r="J464" s="14">
        <f>CHOOSE(CONTROL!$C$42, 22.704, 22.704)* CHOOSE(CONTROL!$C$21, $C$9, 100%, $E$9)</f>
        <v>22.704000000000001</v>
      </c>
      <c r="K464" s="53">
        <f>CHOOSE(CONTROL!$C$42, 22.7991, 22.7991) * CHOOSE(CONTROL!$C$21, $C$9, 100%, $E$9)</f>
        <v>22.799099999999999</v>
      </c>
      <c r="L464" s="14">
        <f>CHOOSE(CONTROL!$C$42, 23.5439, 23.5439) * CHOOSE(CONTROL!$C$21, $C$9, 100%, $E$9)</f>
        <v>23.543900000000001</v>
      </c>
      <c r="M464" s="14">
        <f>CHOOSE(CONTROL!$C$42, 22.2465, 22.2465) * CHOOSE(CONTROL!$C$21, $C$9, 100%, $E$9)</f>
        <v>22.246500000000001</v>
      </c>
      <c r="N464" s="14">
        <f>CHOOSE(CONTROL!$C$42, 22.2628, 22.2628) * CHOOSE(CONTROL!$C$21, $C$9, 100%, $E$9)</f>
        <v>22.262799999999999</v>
      </c>
      <c r="O464" s="14">
        <f>CHOOSE(CONTROL!$C$42, 22.4942, 22.4942) * CHOOSE(CONTROL!$C$21, $C$9, 100%, $E$9)</f>
        <v>22.494199999999999</v>
      </c>
      <c r="P464" s="14">
        <f>CHOOSE(CONTROL!$C$42, 22.3421, 22.3421) * CHOOSE(CONTROL!$C$21, $C$9, 100%, $E$9)</f>
        <v>22.342099999999999</v>
      </c>
      <c r="Q464" s="14">
        <f>CHOOSE(CONTROL!$C$42, 23.0889, 23.0889) * CHOOSE(CONTROL!$C$21, $C$9, 100%, $E$9)</f>
        <v>23.088899999999999</v>
      </c>
      <c r="R464" s="14">
        <f>CHOOSE(CONTROL!$C$42, 23.7336, 23.7336) * CHOOSE(CONTROL!$C$21, $C$9, 100%, $E$9)</f>
        <v>23.733599999999999</v>
      </c>
      <c r="S464" s="14">
        <f>CHOOSE(CONTROL!$C$42, 21.8246, 21.8246) * CHOOSE(CONTROL!$C$21, $C$9, 100%, $E$9)</f>
        <v>21.8246</v>
      </c>
      <c r="T4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7">
        <f>(1000*CHOOSE(CONTROL!$C$42, 695, 695)*CHOOSE(CONTROL!$C$42, 0.5599, 0.5599)*CHOOSE(CONTROL!$C$42, 31, 31))/1000000</f>
        <v>12.063045499999998</v>
      </c>
      <c r="V464" s="57">
        <f>(1000*CHOOSE(CONTROL!$C$42, 500, 500)*CHOOSE(CONTROL!$C$42, 0.275, 0.275)*CHOOSE(CONTROL!$C$42, 31, 31))/1000000</f>
        <v>4.2625000000000002</v>
      </c>
      <c r="W464" s="57">
        <f>(1000*CHOOSE(CONTROL!$C$42, 0.1146, 0.1146)*CHOOSE(CONTROL!$C$42, 121.5, 121.5)*CHOOSE(CONTROL!$C$42, 31, 31))/1000000</f>
        <v>0.43164089999999994</v>
      </c>
      <c r="X464" s="57">
        <f>(31*0.1790888*245000/1000000)+(31*0.2374*100000/1000000)</f>
        <v>2.0961194359999999</v>
      </c>
      <c r="Y464" s="57"/>
      <c r="Z464" s="14"/>
      <c r="AA464" s="56"/>
      <c r="AB464" s="50">
        <f>(B464*194.205+C464*267.466+D464*133.845+E464*53.484+F464*40+G464*185+H464*0+I464*100+J464*300)/(194.205+267.466+133.845+53.484+0+40+185+100+300)</f>
        <v>22.759821352119314</v>
      </c>
      <c r="AC464" s="45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22.33350647482014</v>
      </c>
    </row>
    <row r="465" spans="1:29" ht="15.75" x14ac:dyDescent="0.25">
      <c r="A465" s="33">
        <v>55061</v>
      </c>
      <c r="B465" s="14">
        <f>CHOOSE(CONTROL!$C$42, 21.2815, 21.2815) * CHOOSE(CONTROL!$C$21, $C$9, 100%, $E$9)</f>
        <v>21.281500000000001</v>
      </c>
      <c r="C465" s="14">
        <f>CHOOSE(CONTROL!$C$42, 21.2895, 21.2895) * CHOOSE(CONTROL!$C$21, $C$9, 100%, $E$9)</f>
        <v>21.2895</v>
      </c>
      <c r="D465" s="14">
        <f>CHOOSE(CONTROL!$C$42, 21.4945, 21.4945) * CHOOSE(CONTROL!$C$21, $C$9, 100%, $E$9)</f>
        <v>21.494499999999999</v>
      </c>
      <c r="E465" s="14">
        <f>CHOOSE(CONTROL!$C$42, 21.5259, 21.5259) * CHOOSE(CONTROL!$C$21, $C$9, 100%, $E$9)</f>
        <v>21.5259</v>
      </c>
      <c r="F465" s="14">
        <f>CHOOSE(CONTROL!$C$42, 21.2686, 21.2686)*CHOOSE(CONTROL!$C$21, $C$9, 100%, $E$9)</f>
        <v>21.268599999999999</v>
      </c>
      <c r="G465" s="14">
        <f>CHOOSE(CONTROL!$C$42, 21.2853, 21.2853)*CHOOSE(CONTROL!$C$21, $C$9, 100%, $E$9)</f>
        <v>21.285299999999999</v>
      </c>
      <c r="H465" s="14">
        <f>CHOOSE(CONTROL!$C$42, 21.5146, 21.5146) * CHOOSE(CONTROL!$C$21, $C$9, 100%, $E$9)</f>
        <v>21.514600000000002</v>
      </c>
      <c r="I465" s="14">
        <f>CHOOSE(CONTROL!$C$42, 21.3562, 21.3562)* CHOOSE(CONTROL!$C$21, $C$9, 100%, $E$9)</f>
        <v>21.356200000000001</v>
      </c>
      <c r="J465" s="14">
        <f>CHOOSE(CONTROL!$C$42, 21.2616, 21.2616)* CHOOSE(CONTROL!$C$21, $C$9, 100%, $E$9)</f>
        <v>21.261600000000001</v>
      </c>
      <c r="K465" s="53">
        <f>CHOOSE(CONTROL!$C$42, 21.3523, 21.3523) * CHOOSE(CONTROL!$C$21, $C$9, 100%, $E$9)</f>
        <v>21.3523</v>
      </c>
      <c r="L465" s="14">
        <f>CHOOSE(CONTROL!$C$42, 22.1016, 22.1016) * CHOOSE(CONTROL!$C$21, $C$9, 100%, $E$9)</f>
        <v>22.101600000000001</v>
      </c>
      <c r="M465" s="14">
        <f>CHOOSE(CONTROL!$C$42, 20.8337, 20.8337) * CHOOSE(CONTROL!$C$21, $C$9, 100%, $E$9)</f>
        <v>20.8337</v>
      </c>
      <c r="N465" s="14">
        <f>CHOOSE(CONTROL!$C$42, 20.85, 20.85) * CHOOSE(CONTROL!$C$21, $C$9, 100%, $E$9)</f>
        <v>20.85</v>
      </c>
      <c r="O465" s="14">
        <f>CHOOSE(CONTROL!$C$42, 21.0814, 21.0814) * CHOOSE(CONTROL!$C$21, $C$9, 100%, $E$9)</f>
        <v>21.081399999999999</v>
      </c>
      <c r="P465" s="14">
        <f>CHOOSE(CONTROL!$C$42, 20.925, 20.925) * CHOOSE(CONTROL!$C$21, $C$9, 100%, $E$9)</f>
        <v>20.925000000000001</v>
      </c>
      <c r="Q465" s="14">
        <f>CHOOSE(CONTROL!$C$42, 21.6761, 21.6761) * CHOOSE(CONTROL!$C$21, $C$9, 100%, $E$9)</f>
        <v>21.676100000000002</v>
      </c>
      <c r="R465" s="14">
        <f>CHOOSE(CONTROL!$C$42, 22.3173, 22.3173) * CHOOSE(CONTROL!$C$21, $C$9, 100%, $E$9)</f>
        <v>22.317299999999999</v>
      </c>
      <c r="S465" s="14">
        <f>CHOOSE(CONTROL!$C$42, 20.4387, 20.4387) * CHOOSE(CONTROL!$C$21, $C$9, 100%, $E$9)</f>
        <v>20.438700000000001</v>
      </c>
      <c r="T4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7">
        <f>(1000*CHOOSE(CONTROL!$C$42, 695, 695)*CHOOSE(CONTROL!$C$42, 0.5599, 0.5599)*CHOOSE(CONTROL!$C$42, 30, 30))/1000000</f>
        <v>11.673914999999997</v>
      </c>
      <c r="V465" s="57">
        <f>(1000*CHOOSE(CONTROL!$C$42, 500, 500)*CHOOSE(CONTROL!$C$42, 0.275, 0.275)*CHOOSE(CONTROL!$C$42, 30, 30))/1000000</f>
        <v>4.125</v>
      </c>
      <c r="W465" s="57">
        <f>(1000*CHOOSE(CONTROL!$C$42, 0.1146, 0.1146)*CHOOSE(CONTROL!$C$42, 121.5, 121.5)*CHOOSE(CONTROL!$C$42, 30, 30))/1000000</f>
        <v>0.417717</v>
      </c>
      <c r="X465" s="57">
        <f>(30*0.1790888*245000/1000000)+(30*0.2374*100000/1000000)</f>
        <v>2.0285026799999999</v>
      </c>
      <c r="Y465" s="57"/>
      <c r="Z465" s="14"/>
      <c r="AA465" s="56"/>
      <c r="AB465" s="50">
        <f>(B465*194.205+C465*267.466+D465*133.845+E465*53.484+F465*40+G465*185+H465*0+I465*100+J465*300)/(194.205+267.466+133.845+53.484+0+40+185+100+300)</f>
        <v>21.317141446310831</v>
      </c>
      <c r="AC465" s="45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20.920087769784171</v>
      </c>
    </row>
    <row r="466" spans="1:29" ht="15.75" x14ac:dyDescent="0.25">
      <c r="A466" s="33">
        <v>55092</v>
      </c>
      <c r="B466" s="14">
        <f>CHOOSE(CONTROL!$C$42, 20.8478, 20.8478) * CHOOSE(CONTROL!$C$21, $C$9, 100%, $E$9)</f>
        <v>20.847799999999999</v>
      </c>
      <c r="C466" s="14">
        <f>CHOOSE(CONTROL!$C$42, 20.8532, 20.8532) * CHOOSE(CONTROL!$C$21, $C$9, 100%, $E$9)</f>
        <v>20.853200000000001</v>
      </c>
      <c r="D466" s="14">
        <f>CHOOSE(CONTROL!$C$42, 21.0631, 21.0631) * CHOOSE(CONTROL!$C$21, $C$9, 100%, $E$9)</f>
        <v>21.063099999999999</v>
      </c>
      <c r="E466" s="14">
        <f>CHOOSE(CONTROL!$C$42, 21.0922, 21.0922) * CHOOSE(CONTROL!$C$21, $C$9, 100%, $E$9)</f>
        <v>21.092199999999998</v>
      </c>
      <c r="F466" s="14">
        <f>CHOOSE(CONTROL!$C$42, 20.8371, 20.8371)*CHOOSE(CONTROL!$C$21, $C$9, 100%, $E$9)</f>
        <v>20.8371</v>
      </c>
      <c r="G466" s="14">
        <f>CHOOSE(CONTROL!$C$42, 20.8534, 20.8534)*CHOOSE(CONTROL!$C$21, $C$9, 100%, $E$9)</f>
        <v>20.853400000000001</v>
      </c>
      <c r="H466" s="14">
        <f>CHOOSE(CONTROL!$C$42, 21.0827, 21.0827) * CHOOSE(CONTROL!$C$21, $C$9, 100%, $E$9)</f>
        <v>21.082699999999999</v>
      </c>
      <c r="I466" s="14">
        <f>CHOOSE(CONTROL!$C$42, 20.923, 20.923)* CHOOSE(CONTROL!$C$21, $C$9, 100%, $E$9)</f>
        <v>20.922999999999998</v>
      </c>
      <c r="J466" s="14">
        <f>CHOOSE(CONTROL!$C$42, 20.8301, 20.8301)* CHOOSE(CONTROL!$C$21, $C$9, 100%, $E$9)</f>
        <v>20.830100000000002</v>
      </c>
      <c r="K466" s="53">
        <f>CHOOSE(CONTROL!$C$42, 20.9191, 20.9191) * CHOOSE(CONTROL!$C$21, $C$9, 100%, $E$9)</f>
        <v>20.9191</v>
      </c>
      <c r="L466" s="14">
        <f>CHOOSE(CONTROL!$C$42, 21.6697, 21.6697) * CHOOSE(CONTROL!$C$21, $C$9, 100%, $E$9)</f>
        <v>21.669699999999999</v>
      </c>
      <c r="M466" s="14">
        <f>CHOOSE(CONTROL!$C$42, 20.411, 20.411) * CHOOSE(CONTROL!$C$21, $C$9, 100%, $E$9)</f>
        <v>20.411000000000001</v>
      </c>
      <c r="N466" s="14">
        <f>CHOOSE(CONTROL!$C$42, 20.427, 20.427) * CHOOSE(CONTROL!$C$21, $C$9, 100%, $E$9)</f>
        <v>20.427</v>
      </c>
      <c r="O466" s="14">
        <f>CHOOSE(CONTROL!$C$42, 20.6584, 20.6584) * CHOOSE(CONTROL!$C$21, $C$9, 100%, $E$9)</f>
        <v>20.6584</v>
      </c>
      <c r="P466" s="14">
        <f>CHOOSE(CONTROL!$C$42, 20.5007, 20.5007) * CHOOSE(CONTROL!$C$21, $C$9, 100%, $E$9)</f>
        <v>20.500699999999998</v>
      </c>
      <c r="Q466" s="14">
        <f>CHOOSE(CONTROL!$C$42, 21.2531, 21.2531) * CHOOSE(CONTROL!$C$21, $C$9, 100%, $E$9)</f>
        <v>21.2531</v>
      </c>
      <c r="R466" s="14">
        <f>CHOOSE(CONTROL!$C$42, 21.8933, 21.8933) * CHOOSE(CONTROL!$C$21, $C$9, 100%, $E$9)</f>
        <v>21.8933</v>
      </c>
      <c r="S466" s="14">
        <f>CHOOSE(CONTROL!$C$42, 20.0238, 20.0238) * CHOOSE(CONTROL!$C$21, $C$9, 100%, $E$9)</f>
        <v>20.023800000000001</v>
      </c>
      <c r="T4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7">
        <f>(1000*CHOOSE(CONTROL!$C$42, 695, 695)*CHOOSE(CONTROL!$C$42, 0.5599, 0.5599)*CHOOSE(CONTROL!$C$42, 31, 31))/1000000</f>
        <v>12.063045499999998</v>
      </c>
      <c r="V466" s="57">
        <f>(1000*CHOOSE(CONTROL!$C$42, 500, 500)*CHOOSE(CONTROL!$C$42, 0.275, 0.275)*CHOOSE(CONTROL!$C$42, 31, 31))/1000000</f>
        <v>4.2625000000000002</v>
      </c>
      <c r="W466" s="57">
        <f>(1000*CHOOSE(CONTROL!$C$42, 0.1146, 0.1146)*CHOOSE(CONTROL!$C$42, 121.5, 121.5)*CHOOSE(CONTROL!$C$42, 31, 31))/1000000</f>
        <v>0.43164089999999994</v>
      </c>
      <c r="X466" s="57">
        <f>(31*0.1790888*245000/1000000)+(31*0.2374*100000/1000000)</f>
        <v>2.0961194359999999</v>
      </c>
      <c r="Y466" s="57"/>
      <c r="Z466" s="14"/>
      <c r="AA466" s="56"/>
      <c r="AB466" s="50">
        <f>(B466*131.881+C466*277.167+D466*79.08+E466*125.872+F466*40+G466*185+H466*0+I466*100+J466*300)/(131.881+277.167+79.08+125.872+0+40+185+100+300)</f>
        <v>20.889853061016947</v>
      </c>
      <c r="AC466" s="45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20.497004316546761</v>
      </c>
    </row>
    <row r="467" spans="1:29" ht="15.75" x14ac:dyDescent="0.25">
      <c r="A467" s="33">
        <v>55122</v>
      </c>
      <c r="B467" s="14">
        <f>CHOOSE(CONTROL!$C$42, 21.3964, 21.3964) * CHOOSE(CONTROL!$C$21, $C$9, 100%, $E$9)</f>
        <v>21.3964</v>
      </c>
      <c r="C467" s="14">
        <f>CHOOSE(CONTROL!$C$42, 21.4015, 21.4015) * CHOOSE(CONTROL!$C$21, $C$9, 100%, $E$9)</f>
        <v>21.401499999999999</v>
      </c>
      <c r="D467" s="14">
        <f>CHOOSE(CONTROL!$C$42, 21.4653, 21.4653) * CHOOSE(CONTROL!$C$21, $C$9, 100%, $E$9)</f>
        <v>21.465299999999999</v>
      </c>
      <c r="E467" s="14">
        <f>CHOOSE(CONTROL!$C$42, 21.4994, 21.4994) * CHOOSE(CONTROL!$C$21, $C$9, 100%, $E$9)</f>
        <v>21.499400000000001</v>
      </c>
      <c r="F467" s="14">
        <f>CHOOSE(CONTROL!$C$42, 21.3986, 21.3986)*CHOOSE(CONTROL!$C$21, $C$9, 100%, $E$9)</f>
        <v>21.398599999999998</v>
      </c>
      <c r="G467" s="14">
        <f>CHOOSE(CONTROL!$C$42, 21.4153, 21.4153)*CHOOSE(CONTROL!$C$21, $C$9, 100%, $E$9)</f>
        <v>21.415299999999998</v>
      </c>
      <c r="H467" s="14">
        <f>CHOOSE(CONTROL!$C$42, 21.4886, 21.4886) * CHOOSE(CONTROL!$C$21, $C$9, 100%, $E$9)</f>
        <v>21.488600000000002</v>
      </c>
      <c r="I467" s="14">
        <f>CHOOSE(CONTROL!$C$42, 21.4773, 21.4773)* CHOOSE(CONTROL!$C$21, $C$9, 100%, $E$9)</f>
        <v>21.4773</v>
      </c>
      <c r="J467" s="14">
        <f>CHOOSE(CONTROL!$C$42, 21.3916, 21.3916)* CHOOSE(CONTROL!$C$21, $C$9, 100%, $E$9)</f>
        <v>21.3916</v>
      </c>
      <c r="K467" s="53">
        <f>CHOOSE(CONTROL!$C$42, 21.4734, 21.4734) * CHOOSE(CONTROL!$C$21, $C$9, 100%, $E$9)</f>
        <v>21.473400000000002</v>
      </c>
      <c r="L467" s="14">
        <f>CHOOSE(CONTROL!$C$42, 22.0756, 22.0756) * CHOOSE(CONTROL!$C$21, $C$9, 100%, $E$9)</f>
        <v>22.075600000000001</v>
      </c>
      <c r="M467" s="14">
        <f>CHOOSE(CONTROL!$C$42, 20.961, 20.961) * CHOOSE(CONTROL!$C$21, $C$9, 100%, $E$9)</f>
        <v>20.960999999999999</v>
      </c>
      <c r="N467" s="14">
        <f>CHOOSE(CONTROL!$C$42, 20.9774, 20.9774) * CHOOSE(CONTROL!$C$21, $C$9, 100%, $E$9)</f>
        <v>20.977399999999999</v>
      </c>
      <c r="O467" s="14">
        <f>CHOOSE(CONTROL!$C$42, 21.056, 21.056) * CHOOSE(CONTROL!$C$21, $C$9, 100%, $E$9)</f>
        <v>21.056000000000001</v>
      </c>
      <c r="P467" s="14">
        <f>CHOOSE(CONTROL!$C$42, 21.0437, 21.0437) * CHOOSE(CONTROL!$C$21, $C$9, 100%, $E$9)</f>
        <v>21.043700000000001</v>
      </c>
      <c r="Q467" s="14">
        <f>CHOOSE(CONTROL!$C$42, 21.6507, 21.6507) * CHOOSE(CONTROL!$C$21, $C$9, 100%, $E$9)</f>
        <v>21.650700000000001</v>
      </c>
      <c r="R467" s="14">
        <f>CHOOSE(CONTROL!$C$42, 22.2918, 22.2918) * CHOOSE(CONTROL!$C$21, $C$9, 100%, $E$9)</f>
        <v>22.291799999999999</v>
      </c>
      <c r="S467" s="14">
        <f>CHOOSE(CONTROL!$C$42, 20.5513, 20.5513) * CHOOSE(CONTROL!$C$21, $C$9, 100%, $E$9)</f>
        <v>20.551300000000001</v>
      </c>
      <c r="T4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7">
        <f>(1000*CHOOSE(CONTROL!$C$42, 695, 695)*CHOOSE(CONTROL!$C$42, 0.5599, 0.5599)*CHOOSE(CONTROL!$C$42, 30, 30))/1000000</f>
        <v>11.673914999999997</v>
      </c>
      <c r="V467" s="57">
        <f>(1000*CHOOSE(CONTROL!$C$42, 500, 500)*CHOOSE(CONTROL!$C$42, 0.275, 0.275)*CHOOSE(CONTROL!$C$42, 30, 30))/1000000</f>
        <v>4.125</v>
      </c>
      <c r="W467" s="57">
        <f>(1000*CHOOSE(CONTROL!$C$42, 0.1146, 0.1146)*CHOOSE(CONTROL!$C$42, 121.5, 121.5)*CHOOSE(CONTROL!$C$42, 30, 30))/1000000</f>
        <v>0.417717</v>
      </c>
      <c r="X467" s="57">
        <f>(30*0.1790888*100000/1000000)+(30*0.2374*100000/1000000)</f>
        <v>1.2494664</v>
      </c>
      <c r="Y467" s="57"/>
      <c r="Z467" s="14"/>
      <c r="AA467" s="56"/>
      <c r="AB467" s="50">
        <f>(B467*122.58+C467*297.941+D467*89.177+E467*40.302+F467*40+G467*160+H467*0+I467*100+J467*300)/(122.58+297.941+89.177+40.302+0+40+160+100+300)</f>
        <v>21.415162522086955</v>
      </c>
      <c r="AC467" s="45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21.016900719424459</v>
      </c>
    </row>
    <row r="468" spans="1:29" ht="15.75" x14ac:dyDescent="0.25">
      <c r="A468" s="33">
        <v>55153</v>
      </c>
      <c r="B468" s="14">
        <f>CHOOSE(CONTROL!$C$42, 22.8545, 22.8545) * CHOOSE(CONTROL!$C$21, $C$9, 100%, $E$9)</f>
        <v>22.854500000000002</v>
      </c>
      <c r="C468" s="14">
        <f>CHOOSE(CONTROL!$C$42, 22.8596, 22.8596) * CHOOSE(CONTROL!$C$21, $C$9, 100%, $E$9)</f>
        <v>22.8596</v>
      </c>
      <c r="D468" s="14">
        <f>CHOOSE(CONTROL!$C$42, 22.9234, 22.9234) * CHOOSE(CONTROL!$C$21, $C$9, 100%, $E$9)</f>
        <v>22.923400000000001</v>
      </c>
      <c r="E468" s="14">
        <f>CHOOSE(CONTROL!$C$42, 22.9575, 22.9575) * CHOOSE(CONTROL!$C$21, $C$9, 100%, $E$9)</f>
        <v>22.9575</v>
      </c>
      <c r="F468" s="14">
        <f>CHOOSE(CONTROL!$C$42, 22.8588, 22.8588)*CHOOSE(CONTROL!$C$21, $C$9, 100%, $E$9)</f>
        <v>22.858799999999999</v>
      </c>
      <c r="G468" s="14">
        <f>CHOOSE(CONTROL!$C$42, 22.876, 22.876)*CHOOSE(CONTROL!$C$21, $C$9, 100%, $E$9)</f>
        <v>22.876000000000001</v>
      </c>
      <c r="H468" s="14">
        <f>CHOOSE(CONTROL!$C$42, 22.9467, 22.9467) * CHOOSE(CONTROL!$C$21, $C$9, 100%, $E$9)</f>
        <v>22.9467</v>
      </c>
      <c r="I468" s="14">
        <f>CHOOSE(CONTROL!$C$42, 22.94, 22.94)* CHOOSE(CONTROL!$C$21, $C$9, 100%, $E$9)</f>
        <v>22.94</v>
      </c>
      <c r="J468" s="14">
        <f>CHOOSE(CONTROL!$C$42, 22.8518, 22.8518)* CHOOSE(CONTROL!$C$21, $C$9, 100%, $E$9)</f>
        <v>22.851800000000001</v>
      </c>
      <c r="K468" s="53">
        <f>CHOOSE(CONTROL!$C$42, 22.9361, 22.9361) * CHOOSE(CONTROL!$C$21, $C$9, 100%, $E$9)</f>
        <v>22.9361</v>
      </c>
      <c r="L468" s="14">
        <f>CHOOSE(CONTROL!$C$42, 23.5337, 23.5337) * CHOOSE(CONTROL!$C$21, $C$9, 100%, $E$9)</f>
        <v>23.5337</v>
      </c>
      <c r="M468" s="14">
        <f>CHOOSE(CONTROL!$C$42, 22.3913, 22.3913) * CHOOSE(CONTROL!$C$21, $C$9, 100%, $E$9)</f>
        <v>22.391300000000001</v>
      </c>
      <c r="N468" s="14">
        <f>CHOOSE(CONTROL!$C$42, 22.4082, 22.4082) * CHOOSE(CONTROL!$C$21, $C$9, 100%, $E$9)</f>
        <v>22.408200000000001</v>
      </c>
      <c r="O468" s="14">
        <f>CHOOSE(CONTROL!$C$42, 22.4842, 22.4842) * CHOOSE(CONTROL!$C$21, $C$9, 100%, $E$9)</f>
        <v>22.484200000000001</v>
      </c>
      <c r="P468" s="14">
        <f>CHOOSE(CONTROL!$C$42, 22.4763, 22.4763) * CHOOSE(CONTROL!$C$21, $C$9, 100%, $E$9)</f>
        <v>22.476299999999998</v>
      </c>
      <c r="Q468" s="14">
        <f>CHOOSE(CONTROL!$C$42, 23.0789, 23.0789) * CHOOSE(CONTROL!$C$21, $C$9, 100%, $E$9)</f>
        <v>23.078900000000001</v>
      </c>
      <c r="R468" s="14">
        <f>CHOOSE(CONTROL!$C$42, 23.7236, 23.7236) * CHOOSE(CONTROL!$C$21, $C$9, 100%, $E$9)</f>
        <v>23.723600000000001</v>
      </c>
      <c r="S468" s="14">
        <f>CHOOSE(CONTROL!$C$42, 21.9524, 21.9524) * CHOOSE(CONTROL!$C$21, $C$9, 100%, $E$9)</f>
        <v>21.952400000000001</v>
      </c>
      <c r="T4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7">
        <f>(1000*CHOOSE(CONTROL!$C$42, 695, 695)*CHOOSE(CONTROL!$C$42, 0.5599, 0.5599)*CHOOSE(CONTROL!$C$42, 31, 31))/1000000</f>
        <v>12.063045499999998</v>
      </c>
      <c r="V468" s="57">
        <f>(1000*CHOOSE(CONTROL!$C$42, 500, 500)*CHOOSE(CONTROL!$C$42, 0.275, 0.275)*CHOOSE(CONTROL!$C$42, 31, 31))/1000000</f>
        <v>4.2625000000000002</v>
      </c>
      <c r="W468" s="57">
        <f>(1000*CHOOSE(CONTROL!$C$42, 0.1146, 0.1146)*CHOOSE(CONTROL!$C$42, 121.5, 121.5)*CHOOSE(CONTROL!$C$42, 31, 31))/1000000</f>
        <v>0.43164089999999994</v>
      </c>
      <c r="X468" s="57">
        <f>(31*0.1790888*100000/1000000)+(31*0.2374*100000/1000000)</f>
        <v>1.2911152800000001</v>
      </c>
      <c r="Y468" s="57"/>
      <c r="Z468" s="14"/>
      <c r="AA468" s="56"/>
      <c r="AB468" s="50">
        <f>(B468*122.58+C468*297.941+D468*89.177+E468*40.302+F468*40+G468*160+H468*0+I468*100+J468*300)/(122.58+297.941+89.177+40.302+0+40+160+100+300)</f>
        <v>22.874645130782611</v>
      </c>
      <c r="AC468" s="45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22.446608633093522</v>
      </c>
    </row>
    <row r="469" spans="1:29" ht="15.75" x14ac:dyDescent="0.25">
      <c r="A469" s="33">
        <v>55184</v>
      </c>
      <c r="B469" s="14">
        <f>CHOOSE(CONTROL!$C$42, 24.7258, 24.7258) * CHOOSE(CONTROL!$C$21, $C$9, 100%, $E$9)</f>
        <v>24.7258</v>
      </c>
      <c r="C469" s="14">
        <f>CHOOSE(CONTROL!$C$42, 24.7309, 24.7309) * CHOOSE(CONTROL!$C$21, $C$9, 100%, $E$9)</f>
        <v>24.730899999999998</v>
      </c>
      <c r="D469" s="14">
        <f>CHOOSE(CONTROL!$C$42, 24.7895, 24.7895) * CHOOSE(CONTROL!$C$21, $C$9, 100%, $E$9)</f>
        <v>24.7895</v>
      </c>
      <c r="E469" s="14">
        <f>CHOOSE(CONTROL!$C$42, 24.8236, 24.8236) * CHOOSE(CONTROL!$C$21, $C$9, 100%, $E$9)</f>
        <v>24.823599999999999</v>
      </c>
      <c r="F469" s="14">
        <f>CHOOSE(CONTROL!$C$42, 24.725, 24.725)*CHOOSE(CONTROL!$C$21, $C$9, 100%, $E$9)</f>
        <v>24.725000000000001</v>
      </c>
      <c r="G469" s="14">
        <f>CHOOSE(CONTROL!$C$42, 24.7413, 24.7413)*CHOOSE(CONTROL!$C$21, $C$9, 100%, $E$9)</f>
        <v>24.741299999999999</v>
      </c>
      <c r="H469" s="14">
        <f>CHOOSE(CONTROL!$C$42, 24.8128, 24.8128) * CHOOSE(CONTROL!$C$21, $C$9, 100%, $E$9)</f>
        <v>24.812799999999999</v>
      </c>
      <c r="I469" s="14">
        <f>CHOOSE(CONTROL!$C$42, 24.8135, 24.8135)* CHOOSE(CONTROL!$C$21, $C$9, 100%, $E$9)</f>
        <v>24.813500000000001</v>
      </c>
      <c r="J469" s="14">
        <f>CHOOSE(CONTROL!$C$42, 24.718, 24.718)* CHOOSE(CONTROL!$C$21, $C$9, 100%, $E$9)</f>
        <v>24.718</v>
      </c>
      <c r="K469" s="53">
        <f>CHOOSE(CONTROL!$C$42, 24.8096, 24.8096) * CHOOSE(CONTROL!$C$21, $C$9, 100%, $E$9)</f>
        <v>24.8096</v>
      </c>
      <c r="L469" s="14">
        <f>CHOOSE(CONTROL!$C$42, 25.3998, 25.3998) * CHOOSE(CONTROL!$C$21, $C$9, 100%, $E$9)</f>
        <v>25.399799999999999</v>
      </c>
      <c r="M469" s="14">
        <f>CHOOSE(CONTROL!$C$42, 24.2192, 24.2192) * CHOOSE(CONTROL!$C$21, $C$9, 100%, $E$9)</f>
        <v>24.219200000000001</v>
      </c>
      <c r="N469" s="14">
        <f>CHOOSE(CONTROL!$C$42, 24.2352, 24.2352) * CHOOSE(CONTROL!$C$21, $C$9, 100%, $E$9)</f>
        <v>24.235199999999999</v>
      </c>
      <c r="O469" s="14">
        <f>CHOOSE(CONTROL!$C$42, 24.3121, 24.3121) * CHOOSE(CONTROL!$C$21, $C$9, 100%, $E$9)</f>
        <v>24.312100000000001</v>
      </c>
      <c r="P469" s="14">
        <f>CHOOSE(CONTROL!$C$42, 24.3113, 24.3113) * CHOOSE(CONTROL!$C$21, $C$9, 100%, $E$9)</f>
        <v>24.311299999999999</v>
      </c>
      <c r="Q469" s="14">
        <f>CHOOSE(CONTROL!$C$42, 24.9068, 24.9068) * CHOOSE(CONTROL!$C$21, $C$9, 100%, $E$9)</f>
        <v>24.9068</v>
      </c>
      <c r="R469" s="14">
        <f>CHOOSE(CONTROL!$C$42, 25.5561, 25.5561) * CHOOSE(CONTROL!$C$21, $C$9, 100%, $E$9)</f>
        <v>25.556100000000001</v>
      </c>
      <c r="S469" s="14">
        <f>CHOOSE(CONTROL!$C$42, 23.7505, 23.7505) * CHOOSE(CONTROL!$C$21, $C$9, 100%, $E$9)</f>
        <v>23.750499999999999</v>
      </c>
      <c r="T4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7">
        <f>(1000*CHOOSE(CONTROL!$C$42, 695, 695)*CHOOSE(CONTROL!$C$42, 0.5599, 0.5599)*CHOOSE(CONTROL!$C$42, 31, 31))/1000000</f>
        <v>12.063045499999998</v>
      </c>
      <c r="V469" s="57">
        <f>(1000*CHOOSE(CONTROL!$C$42, 500, 500)*CHOOSE(CONTROL!$C$42, 0.275, 0.275)*CHOOSE(CONTROL!$C$42, 31, 31))/1000000</f>
        <v>4.2625000000000002</v>
      </c>
      <c r="W469" s="57">
        <f>(1000*CHOOSE(CONTROL!$C$42, 0.1146, 0.1146)*CHOOSE(CONTROL!$C$42, 121.5, 121.5)*CHOOSE(CONTROL!$C$42, 31, 31))/1000000</f>
        <v>0.43164089999999994</v>
      </c>
      <c r="X469" s="57">
        <f>(31*0.1790888*100000/1000000)+(31*0.2374*100000/1000000)</f>
        <v>1.2911152800000001</v>
      </c>
      <c r="Y469" s="57"/>
      <c r="Z469" s="14"/>
      <c r="AA469" s="56"/>
      <c r="AB469" s="50">
        <f>(B469*122.58+C469*297.941+D469*89.177+E469*40.302+F469*40+G469*160+H469*0+I469*100+J469*300)/(122.58+297.941+89.177+40.302+0+40+160+100+300)</f>
        <v>24.743208356173913</v>
      </c>
      <c r="AC469" s="45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24.275478417266189</v>
      </c>
    </row>
    <row r="470" spans="1:29" ht="15.75" x14ac:dyDescent="0.25">
      <c r="A470" s="33">
        <v>55212</v>
      </c>
      <c r="B470" s="14">
        <f>CHOOSE(CONTROL!$C$42, 25.1658, 25.1658) * CHOOSE(CONTROL!$C$21, $C$9, 100%, $E$9)</f>
        <v>25.165800000000001</v>
      </c>
      <c r="C470" s="14">
        <f>CHOOSE(CONTROL!$C$42, 25.1709, 25.1709) * CHOOSE(CONTROL!$C$21, $C$9, 100%, $E$9)</f>
        <v>25.1709</v>
      </c>
      <c r="D470" s="14">
        <f>CHOOSE(CONTROL!$C$42, 25.2295, 25.2295) * CHOOSE(CONTROL!$C$21, $C$9, 100%, $E$9)</f>
        <v>25.229500000000002</v>
      </c>
      <c r="E470" s="14">
        <f>CHOOSE(CONTROL!$C$42, 25.2636, 25.2636) * CHOOSE(CONTROL!$C$21, $C$9, 100%, $E$9)</f>
        <v>25.2636</v>
      </c>
      <c r="F470" s="14">
        <f>CHOOSE(CONTROL!$C$42, 25.1649, 25.1649)*CHOOSE(CONTROL!$C$21, $C$9, 100%, $E$9)</f>
        <v>25.164899999999999</v>
      </c>
      <c r="G470" s="14">
        <f>CHOOSE(CONTROL!$C$42, 25.1813, 25.1813)*CHOOSE(CONTROL!$C$21, $C$9, 100%, $E$9)</f>
        <v>25.1813</v>
      </c>
      <c r="H470" s="14">
        <f>CHOOSE(CONTROL!$C$42, 25.2528, 25.2528) * CHOOSE(CONTROL!$C$21, $C$9, 100%, $E$9)</f>
        <v>25.252800000000001</v>
      </c>
      <c r="I470" s="14">
        <f>CHOOSE(CONTROL!$C$42, 25.2549, 25.2549)* CHOOSE(CONTROL!$C$21, $C$9, 100%, $E$9)</f>
        <v>25.254899999999999</v>
      </c>
      <c r="J470" s="14">
        <f>CHOOSE(CONTROL!$C$42, 25.1579, 25.1579)* CHOOSE(CONTROL!$C$21, $C$9, 100%, $E$9)</f>
        <v>25.157900000000001</v>
      </c>
      <c r="K470" s="53">
        <f>CHOOSE(CONTROL!$C$42, 25.251, 25.251) * CHOOSE(CONTROL!$C$21, $C$9, 100%, $E$9)</f>
        <v>25.251000000000001</v>
      </c>
      <c r="L470" s="14">
        <f>CHOOSE(CONTROL!$C$42, 25.8398, 25.8398) * CHOOSE(CONTROL!$C$21, $C$9, 100%, $E$9)</f>
        <v>25.8398</v>
      </c>
      <c r="M470" s="14">
        <f>CHOOSE(CONTROL!$C$42, 24.6501, 24.6501) * CHOOSE(CONTROL!$C$21, $C$9, 100%, $E$9)</f>
        <v>24.650099999999998</v>
      </c>
      <c r="N470" s="14">
        <f>CHOOSE(CONTROL!$C$42, 24.6662, 24.6662) * CHOOSE(CONTROL!$C$21, $C$9, 100%, $E$9)</f>
        <v>24.6662</v>
      </c>
      <c r="O470" s="14">
        <f>CHOOSE(CONTROL!$C$42, 24.7431, 24.7431) * CHOOSE(CONTROL!$C$21, $C$9, 100%, $E$9)</f>
        <v>24.743099999999998</v>
      </c>
      <c r="P470" s="14">
        <f>CHOOSE(CONTROL!$C$42, 24.7436, 24.7436) * CHOOSE(CONTROL!$C$21, $C$9, 100%, $E$9)</f>
        <v>24.743600000000001</v>
      </c>
      <c r="Q470" s="14">
        <f>CHOOSE(CONTROL!$C$42, 25.3378, 25.3378) * CHOOSE(CONTROL!$C$21, $C$9, 100%, $E$9)</f>
        <v>25.337800000000001</v>
      </c>
      <c r="R470" s="14">
        <f>CHOOSE(CONTROL!$C$42, 25.9881, 25.9881) * CHOOSE(CONTROL!$C$21, $C$9, 100%, $E$9)</f>
        <v>25.988099999999999</v>
      </c>
      <c r="S470" s="14">
        <f>CHOOSE(CONTROL!$C$42, 24.1733, 24.1733) * CHOOSE(CONTROL!$C$21, $C$9, 100%, $E$9)</f>
        <v>24.173300000000001</v>
      </c>
      <c r="T4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7">
        <f>(1000*CHOOSE(CONTROL!$C$42, 695, 695)*CHOOSE(CONTROL!$C$42, 0.5599, 0.5599)*CHOOSE(CONTROL!$C$42, 28, 28))/1000000</f>
        <v>10.895653999999999</v>
      </c>
      <c r="V470" s="57">
        <f>(1000*CHOOSE(CONTROL!$C$42, 500, 500)*CHOOSE(CONTROL!$C$42, 0.275, 0.275)*CHOOSE(CONTROL!$C$42, 28, 28))/1000000</f>
        <v>3.85</v>
      </c>
      <c r="W470" s="57">
        <f>(1000*CHOOSE(CONTROL!$C$42, 0.1146, 0.1146)*CHOOSE(CONTROL!$C$42, 121.5, 121.5)*CHOOSE(CONTROL!$C$42, 28, 28))/1000000</f>
        <v>0.38986920000000003</v>
      </c>
      <c r="X470" s="57">
        <f>(28*0.1790888*100000/1000000)+(28*0.2374*100000/1000000)</f>
        <v>1.16616864</v>
      </c>
      <c r="Y470" s="57"/>
      <c r="Z470" s="14"/>
      <c r="AA470" s="56"/>
      <c r="AB470" s="50">
        <f>(B470*122.58+C470*297.941+D470*89.177+E470*40.302+F470*40+G470*160+H470*0+I470*100+J470*300)/(122.58+297.941+89.177+40.302+0+40+160+100+300)</f>
        <v>25.183300530086953</v>
      </c>
      <c r="AC470" s="45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24.706630935251795</v>
      </c>
    </row>
    <row r="471" spans="1:29" ht="15.75" x14ac:dyDescent="0.25">
      <c r="A471" s="33">
        <v>55243</v>
      </c>
      <c r="B471" s="14">
        <f>CHOOSE(CONTROL!$C$42, 24.4516, 24.4516) * CHOOSE(CONTROL!$C$21, $C$9, 100%, $E$9)</f>
        <v>24.451599999999999</v>
      </c>
      <c r="C471" s="14">
        <f>CHOOSE(CONTROL!$C$42, 24.4567, 24.4567) * CHOOSE(CONTROL!$C$21, $C$9, 100%, $E$9)</f>
        <v>24.456700000000001</v>
      </c>
      <c r="D471" s="14">
        <f>CHOOSE(CONTROL!$C$42, 24.5153, 24.5153) * CHOOSE(CONTROL!$C$21, $C$9, 100%, $E$9)</f>
        <v>24.5153</v>
      </c>
      <c r="E471" s="14">
        <f>CHOOSE(CONTROL!$C$42, 24.5494, 24.5494) * CHOOSE(CONTROL!$C$21, $C$9, 100%, $E$9)</f>
        <v>24.549399999999999</v>
      </c>
      <c r="F471" s="14">
        <f>CHOOSE(CONTROL!$C$42, 24.4502, 24.4502)*CHOOSE(CONTROL!$C$21, $C$9, 100%, $E$9)</f>
        <v>24.450199999999999</v>
      </c>
      <c r="G471" s="14">
        <f>CHOOSE(CONTROL!$C$42, 24.4664, 24.4664)*CHOOSE(CONTROL!$C$21, $C$9, 100%, $E$9)</f>
        <v>24.4664</v>
      </c>
      <c r="H471" s="14">
        <f>CHOOSE(CONTROL!$C$42, 24.5386, 24.5386) * CHOOSE(CONTROL!$C$21, $C$9, 100%, $E$9)</f>
        <v>24.538599999999999</v>
      </c>
      <c r="I471" s="14">
        <f>CHOOSE(CONTROL!$C$42, 24.5384, 24.5384)* CHOOSE(CONTROL!$C$21, $C$9, 100%, $E$9)</f>
        <v>24.538399999999999</v>
      </c>
      <c r="J471" s="14">
        <f>CHOOSE(CONTROL!$C$42, 24.4432, 24.4432)* CHOOSE(CONTROL!$C$21, $C$9, 100%, $E$9)</f>
        <v>24.443200000000001</v>
      </c>
      <c r="K471" s="53">
        <f>CHOOSE(CONTROL!$C$42, 24.5345, 24.5345) * CHOOSE(CONTROL!$C$21, $C$9, 100%, $E$9)</f>
        <v>24.534500000000001</v>
      </c>
      <c r="L471" s="14">
        <f>CHOOSE(CONTROL!$C$42, 25.1256, 25.1256) * CHOOSE(CONTROL!$C$21, $C$9, 100%, $E$9)</f>
        <v>25.125599999999999</v>
      </c>
      <c r="M471" s="14">
        <f>CHOOSE(CONTROL!$C$42, 23.9501, 23.9501) * CHOOSE(CONTROL!$C$21, $C$9, 100%, $E$9)</f>
        <v>23.950099999999999</v>
      </c>
      <c r="N471" s="14">
        <f>CHOOSE(CONTROL!$C$42, 23.966, 23.966) * CHOOSE(CONTROL!$C$21, $C$9, 100%, $E$9)</f>
        <v>23.966000000000001</v>
      </c>
      <c r="O471" s="14">
        <f>CHOOSE(CONTROL!$C$42, 24.0435, 24.0435) * CHOOSE(CONTROL!$C$21, $C$9, 100%, $E$9)</f>
        <v>24.043500000000002</v>
      </c>
      <c r="P471" s="14">
        <f>CHOOSE(CONTROL!$C$42, 24.0419, 24.0419) * CHOOSE(CONTROL!$C$21, $C$9, 100%, $E$9)</f>
        <v>24.041899999999998</v>
      </c>
      <c r="Q471" s="14">
        <f>CHOOSE(CONTROL!$C$42, 24.6382, 24.6382) * CHOOSE(CONTROL!$C$21, $C$9, 100%, $E$9)</f>
        <v>24.638200000000001</v>
      </c>
      <c r="R471" s="14">
        <f>CHOOSE(CONTROL!$C$42, 25.2868, 25.2868) * CHOOSE(CONTROL!$C$21, $C$9, 100%, $E$9)</f>
        <v>25.286799999999999</v>
      </c>
      <c r="S471" s="14">
        <f>CHOOSE(CONTROL!$C$42, 23.487, 23.487) * CHOOSE(CONTROL!$C$21, $C$9, 100%, $E$9)</f>
        <v>23.486999999999998</v>
      </c>
      <c r="T4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7">
        <f>(1000*CHOOSE(CONTROL!$C$42, 695, 695)*CHOOSE(CONTROL!$C$42, 0.5599, 0.5599)*CHOOSE(CONTROL!$C$42, 31, 31))/1000000</f>
        <v>12.063045499999998</v>
      </c>
      <c r="V471" s="57">
        <f>(1000*CHOOSE(CONTROL!$C$42, 500, 500)*CHOOSE(CONTROL!$C$42, 0.275, 0.275)*CHOOSE(CONTROL!$C$42, 31, 31))/1000000</f>
        <v>4.2625000000000002</v>
      </c>
      <c r="W471" s="57">
        <f>(1000*CHOOSE(CONTROL!$C$42, 0.1146, 0.1146)*CHOOSE(CONTROL!$C$42, 121.5, 121.5)*CHOOSE(CONTROL!$C$42, 31, 31))/1000000</f>
        <v>0.43164089999999994</v>
      </c>
      <c r="X471" s="57">
        <f>(31*0.1790888*100000/1000000)+(31*0.2374*100000/1000000)</f>
        <v>1.2911152800000001</v>
      </c>
      <c r="Y471" s="57"/>
      <c r="Z471" s="14"/>
      <c r="AA471" s="56"/>
      <c r="AB471" s="50">
        <f>(B471*122.58+C471*297.941+D471*89.177+E471*40.302+F471*40+G471*160+H471*0+I471*100+J471*300)/(122.58+297.941+89.177+40.302+0+40+160+100+300)</f>
        <v>24.468655312695649</v>
      </c>
      <c r="AC471" s="45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24.006556115107912</v>
      </c>
    </row>
    <row r="472" spans="1:29" ht="15.75" x14ac:dyDescent="0.25">
      <c r="A472" s="33">
        <v>55273</v>
      </c>
      <c r="B472" s="14">
        <f>CHOOSE(CONTROL!$C$42, 24.3796, 24.3796) * CHOOSE(CONTROL!$C$21, $C$9, 100%, $E$9)</f>
        <v>24.3796</v>
      </c>
      <c r="C472" s="14">
        <f>CHOOSE(CONTROL!$C$42, 24.3841, 24.3841) * CHOOSE(CONTROL!$C$21, $C$9, 100%, $E$9)</f>
        <v>24.3841</v>
      </c>
      <c r="D472" s="14">
        <f>CHOOSE(CONTROL!$C$42, 24.5922, 24.5922) * CHOOSE(CONTROL!$C$21, $C$9, 100%, $E$9)</f>
        <v>24.592199999999998</v>
      </c>
      <c r="E472" s="14">
        <f>CHOOSE(CONTROL!$C$42, 24.6243, 24.6243) * CHOOSE(CONTROL!$C$21, $C$9, 100%, $E$9)</f>
        <v>24.624300000000002</v>
      </c>
      <c r="F472" s="14">
        <f>CHOOSE(CONTROL!$C$42, 24.367, 24.367)*CHOOSE(CONTROL!$C$21, $C$9, 100%, $E$9)</f>
        <v>24.367000000000001</v>
      </c>
      <c r="G472" s="14">
        <f>CHOOSE(CONTROL!$C$42, 24.3829, 24.3829)*CHOOSE(CONTROL!$C$21, $C$9, 100%, $E$9)</f>
        <v>24.382899999999999</v>
      </c>
      <c r="H472" s="14">
        <f>CHOOSE(CONTROL!$C$42, 24.6141, 24.6141) * CHOOSE(CONTROL!$C$21, $C$9, 100%, $E$9)</f>
        <v>24.614100000000001</v>
      </c>
      <c r="I472" s="14">
        <f>CHOOSE(CONTROL!$C$42, 24.4654, 24.4654)* CHOOSE(CONTROL!$C$21, $C$9, 100%, $E$9)</f>
        <v>24.465399999999999</v>
      </c>
      <c r="J472" s="14">
        <f>CHOOSE(CONTROL!$C$42, 24.36, 24.36)* CHOOSE(CONTROL!$C$21, $C$9, 100%, $E$9)</f>
        <v>24.36</v>
      </c>
      <c r="K472" s="53">
        <f>CHOOSE(CONTROL!$C$42, 24.4615, 24.4615) * CHOOSE(CONTROL!$C$21, $C$9, 100%, $E$9)</f>
        <v>24.461500000000001</v>
      </c>
      <c r="L472" s="14">
        <f>CHOOSE(CONTROL!$C$42, 25.2011, 25.2011) * CHOOSE(CONTROL!$C$21, $C$9, 100%, $E$9)</f>
        <v>25.2011</v>
      </c>
      <c r="M472" s="14">
        <f>CHOOSE(CONTROL!$C$42, 23.8685, 23.8685) * CHOOSE(CONTROL!$C$21, $C$9, 100%, $E$9)</f>
        <v>23.868500000000001</v>
      </c>
      <c r="N472" s="14">
        <f>CHOOSE(CONTROL!$C$42, 23.8842, 23.8842) * CHOOSE(CONTROL!$C$21, $C$9, 100%, $E$9)</f>
        <v>23.8842</v>
      </c>
      <c r="O472" s="14">
        <f>CHOOSE(CONTROL!$C$42, 24.1175, 24.1175) * CHOOSE(CONTROL!$C$21, $C$9, 100%, $E$9)</f>
        <v>24.1175</v>
      </c>
      <c r="P472" s="14">
        <f>CHOOSE(CONTROL!$C$42, 23.9704, 23.9704) * CHOOSE(CONTROL!$C$21, $C$9, 100%, $E$9)</f>
        <v>23.970400000000001</v>
      </c>
      <c r="Q472" s="14">
        <f>CHOOSE(CONTROL!$C$42, 24.7122, 24.7122) * CHOOSE(CONTROL!$C$21, $C$9, 100%, $E$9)</f>
        <v>24.712199999999999</v>
      </c>
      <c r="R472" s="14">
        <f>CHOOSE(CONTROL!$C$42, 25.361, 25.361) * CHOOSE(CONTROL!$C$21, $C$9, 100%, $E$9)</f>
        <v>25.361000000000001</v>
      </c>
      <c r="S472" s="14">
        <f>CHOOSE(CONTROL!$C$42, 23.4171, 23.4171) * CHOOSE(CONTROL!$C$21, $C$9, 100%, $E$9)</f>
        <v>23.417100000000001</v>
      </c>
      <c r="T4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7">
        <f>(1000*CHOOSE(CONTROL!$C$42, 695, 695)*CHOOSE(CONTROL!$C$42, 0.5599, 0.5599)*CHOOSE(CONTROL!$C$42, 30, 30))/1000000</f>
        <v>11.673914999999997</v>
      </c>
      <c r="V472" s="57">
        <f>(1000*CHOOSE(CONTROL!$C$42, 500, 500)*CHOOSE(CONTROL!$C$42, 0.275, 0.275)*CHOOSE(CONTROL!$C$42, 30, 30))/1000000</f>
        <v>4.125</v>
      </c>
      <c r="W472" s="57">
        <f>(1000*CHOOSE(CONTROL!$C$42, 0.1146, 0.1146)*CHOOSE(CONTROL!$C$42, 121.5, 121.5)*CHOOSE(CONTROL!$C$42, 30, 30))/1000000</f>
        <v>0.417717</v>
      </c>
      <c r="X472" s="57">
        <f>(30*0.1790888*245000/1000000)+(30*0.2374*100000/1000000)</f>
        <v>2.0285026799999999</v>
      </c>
      <c r="Y472" s="57"/>
      <c r="Z472" s="14"/>
      <c r="AA472" s="56"/>
      <c r="AB472" s="50">
        <f>(B472*141.293+C472*267.993+D472*115.016+E472*89.698+F472*40+G472*185+H472*0+I472*100+J472*300)/(141.293+267.993+115.016+89.698+0+40+185+100+300)</f>
        <v>24.420289241888618</v>
      </c>
      <c r="AC472" s="45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23.956639568345324</v>
      </c>
    </row>
    <row r="473" spans="1:29" ht="15.75" x14ac:dyDescent="0.25">
      <c r="A473" s="33">
        <v>55304</v>
      </c>
      <c r="B473" s="14">
        <f>CHOOSE(CONTROL!$C$42, 24.5961, 24.5961) * CHOOSE(CONTROL!$C$21, $C$9, 100%, $E$9)</f>
        <v>24.5961</v>
      </c>
      <c r="C473" s="14">
        <f>CHOOSE(CONTROL!$C$42, 24.6041, 24.6041) * CHOOSE(CONTROL!$C$21, $C$9, 100%, $E$9)</f>
        <v>24.604099999999999</v>
      </c>
      <c r="D473" s="14">
        <f>CHOOSE(CONTROL!$C$42, 24.8091, 24.8091) * CHOOSE(CONTROL!$C$21, $C$9, 100%, $E$9)</f>
        <v>24.809100000000001</v>
      </c>
      <c r="E473" s="14">
        <f>CHOOSE(CONTROL!$C$42, 24.8406, 24.8406) * CHOOSE(CONTROL!$C$21, $C$9, 100%, $E$9)</f>
        <v>24.840599999999998</v>
      </c>
      <c r="F473" s="14">
        <f>CHOOSE(CONTROL!$C$42, 24.5823, 24.5823)*CHOOSE(CONTROL!$C$21, $C$9, 100%, $E$9)</f>
        <v>24.5823</v>
      </c>
      <c r="G473" s="14">
        <f>CHOOSE(CONTROL!$C$42, 24.5987, 24.5987)*CHOOSE(CONTROL!$C$21, $C$9, 100%, $E$9)</f>
        <v>24.598700000000001</v>
      </c>
      <c r="H473" s="14">
        <f>CHOOSE(CONTROL!$C$42, 24.8292, 24.8292) * CHOOSE(CONTROL!$C$21, $C$9, 100%, $E$9)</f>
        <v>24.8292</v>
      </c>
      <c r="I473" s="14">
        <f>CHOOSE(CONTROL!$C$42, 24.6812, 24.6812)* CHOOSE(CONTROL!$C$21, $C$9, 100%, $E$9)</f>
        <v>24.6812</v>
      </c>
      <c r="J473" s="14">
        <f>CHOOSE(CONTROL!$C$42, 24.5753, 24.5753)* CHOOSE(CONTROL!$C$21, $C$9, 100%, $E$9)</f>
        <v>24.575299999999999</v>
      </c>
      <c r="K473" s="53">
        <f>CHOOSE(CONTROL!$C$42, 24.6773, 24.6773) * CHOOSE(CONTROL!$C$21, $C$9, 100%, $E$9)</f>
        <v>24.677299999999999</v>
      </c>
      <c r="L473" s="14">
        <f>CHOOSE(CONTROL!$C$42, 25.4162, 25.4162) * CHOOSE(CONTROL!$C$21, $C$9, 100%, $E$9)</f>
        <v>25.4162</v>
      </c>
      <c r="M473" s="14">
        <f>CHOOSE(CONTROL!$C$42, 24.0794, 24.0794) * CHOOSE(CONTROL!$C$21, $C$9, 100%, $E$9)</f>
        <v>24.0794</v>
      </c>
      <c r="N473" s="14">
        <f>CHOOSE(CONTROL!$C$42, 24.0955, 24.0955) * CHOOSE(CONTROL!$C$21, $C$9, 100%, $E$9)</f>
        <v>24.095500000000001</v>
      </c>
      <c r="O473" s="14">
        <f>CHOOSE(CONTROL!$C$42, 24.3282, 24.3282) * CHOOSE(CONTROL!$C$21, $C$9, 100%, $E$9)</f>
        <v>24.328199999999999</v>
      </c>
      <c r="P473" s="14">
        <f>CHOOSE(CONTROL!$C$42, 24.1817, 24.1817) * CHOOSE(CONTROL!$C$21, $C$9, 100%, $E$9)</f>
        <v>24.181699999999999</v>
      </c>
      <c r="Q473" s="14">
        <f>CHOOSE(CONTROL!$C$42, 24.9229, 24.9229) * CHOOSE(CONTROL!$C$21, $C$9, 100%, $E$9)</f>
        <v>24.922899999999998</v>
      </c>
      <c r="R473" s="14">
        <f>CHOOSE(CONTROL!$C$42, 25.5722, 25.5722) * CHOOSE(CONTROL!$C$21, $C$9, 100%, $E$9)</f>
        <v>25.572199999999999</v>
      </c>
      <c r="S473" s="14">
        <f>CHOOSE(CONTROL!$C$42, 23.6238, 23.6238) * CHOOSE(CONTROL!$C$21, $C$9, 100%, $E$9)</f>
        <v>23.623799999999999</v>
      </c>
      <c r="T4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7">
        <f>(1000*CHOOSE(CONTROL!$C$42, 695, 695)*CHOOSE(CONTROL!$C$42, 0.5599, 0.5599)*CHOOSE(CONTROL!$C$42, 31, 31))/1000000</f>
        <v>12.063045499999998</v>
      </c>
      <c r="V473" s="57">
        <f>(1000*CHOOSE(CONTROL!$C$42, 500, 500)*CHOOSE(CONTROL!$C$42, 0.275, 0.275)*CHOOSE(CONTROL!$C$42, 31, 31))/1000000</f>
        <v>4.2625000000000002</v>
      </c>
      <c r="W473" s="57">
        <f>(1000*CHOOSE(CONTROL!$C$42, 0.1146, 0.1146)*CHOOSE(CONTROL!$C$42, 121.5, 121.5)*CHOOSE(CONTROL!$C$42, 31, 31))/1000000</f>
        <v>0.43164089999999994</v>
      </c>
      <c r="X473" s="57">
        <f>(31*0.1790888*245000/1000000)+(31*0.2374*100000/1000000)</f>
        <v>2.0961194359999999</v>
      </c>
      <c r="Y473" s="57"/>
      <c r="Z473" s="14"/>
      <c r="AA473" s="56"/>
      <c r="AB473" s="50">
        <f>(B473*194.205+C473*267.466+D473*133.845+E473*53.484+F473*40+G473*185+H473*0+I473*100+J473*300)/(194.205+267.466+133.845+53.484+0+40+185+100+300)</f>
        <v>24.632147528257455</v>
      </c>
      <c r="AC473" s="45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24.167633093525176</v>
      </c>
    </row>
    <row r="474" spans="1:29" ht="15.75" x14ac:dyDescent="0.25">
      <c r="A474" s="33">
        <v>55334</v>
      </c>
      <c r="B474" s="14">
        <f>CHOOSE(CONTROL!$C$42, 25.2935, 25.2935) * CHOOSE(CONTROL!$C$21, $C$9, 100%, $E$9)</f>
        <v>25.293500000000002</v>
      </c>
      <c r="C474" s="14">
        <f>CHOOSE(CONTROL!$C$42, 25.3015, 25.3015) * CHOOSE(CONTROL!$C$21, $C$9, 100%, $E$9)</f>
        <v>25.301500000000001</v>
      </c>
      <c r="D474" s="14">
        <f>CHOOSE(CONTROL!$C$42, 25.5065, 25.5065) * CHOOSE(CONTROL!$C$21, $C$9, 100%, $E$9)</f>
        <v>25.506499999999999</v>
      </c>
      <c r="E474" s="14">
        <f>CHOOSE(CONTROL!$C$42, 25.5379, 25.5379) * CHOOSE(CONTROL!$C$21, $C$9, 100%, $E$9)</f>
        <v>25.5379</v>
      </c>
      <c r="F474" s="14">
        <f>CHOOSE(CONTROL!$C$42, 25.28, 25.28)*CHOOSE(CONTROL!$C$21, $C$9, 100%, $E$9)</f>
        <v>25.28</v>
      </c>
      <c r="G474" s="14">
        <f>CHOOSE(CONTROL!$C$42, 25.2965, 25.2965)*CHOOSE(CONTROL!$C$21, $C$9, 100%, $E$9)</f>
        <v>25.296500000000002</v>
      </c>
      <c r="H474" s="14">
        <f>CHOOSE(CONTROL!$C$42, 25.5266, 25.5266) * CHOOSE(CONTROL!$C$21, $C$9, 100%, $E$9)</f>
        <v>25.526599999999998</v>
      </c>
      <c r="I474" s="14">
        <f>CHOOSE(CONTROL!$C$42, 25.3807, 25.3807)* CHOOSE(CONTROL!$C$21, $C$9, 100%, $E$9)</f>
        <v>25.380700000000001</v>
      </c>
      <c r="J474" s="14">
        <f>CHOOSE(CONTROL!$C$42, 25.273, 25.273)* CHOOSE(CONTROL!$C$21, $C$9, 100%, $E$9)</f>
        <v>25.273</v>
      </c>
      <c r="K474" s="53">
        <f>CHOOSE(CONTROL!$C$42, 25.3768, 25.3768) * CHOOSE(CONTROL!$C$21, $C$9, 100%, $E$9)</f>
        <v>25.376799999999999</v>
      </c>
      <c r="L474" s="14">
        <f>CHOOSE(CONTROL!$C$42, 26.1136, 26.1136) * CHOOSE(CONTROL!$C$21, $C$9, 100%, $E$9)</f>
        <v>26.113600000000002</v>
      </c>
      <c r="M474" s="14">
        <f>CHOOSE(CONTROL!$C$42, 24.7629, 24.7629) * CHOOSE(CONTROL!$C$21, $C$9, 100%, $E$9)</f>
        <v>24.762899999999998</v>
      </c>
      <c r="N474" s="14">
        <f>CHOOSE(CONTROL!$C$42, 24.7791, 24.7791) * CHOOSE(CONTROL!$C$21, $C$9, 100%, $E$9)</f>
        <v>24.7791</v>
      </c>
      <c r="O474" s="14">
        <f>CHOOSE(CONTROL!$C$42, 25.0112, 25.0112) * CHOOSE(CONTROL!$C$21, $C$9, 100%, $E$9)</f>
        <v>25.011199999999999</v>
      </c>
      <c r="P474" s="14">
        <f>CHOOSE(CONTROL!$C$42, 24.8669, 24.8669) * CHOOSE(CONTROL!$C$21, $C$9, 100%, $E$9)</f>
        <v>24.866900000000001</v>
      </c>
      <c r="Q474" s="14">
        <f>CHOOSE(CONTROL!$C$42, 25.6059, 25.6059) * CHOOSE(CONTROL!$C$21, $C$9, 100%, $E$9)</f>
        <v>25.605899999999998</v>
      </c>
      <c r="R474" s="14">
        <f>CHOOSE(CONTROL!$C$42, 26.2569, 26.2569) * CHOOSE(CONTROL!$C$21, $C$9, 100%, $E$9)</f>
        <v>26.256900000000002</v>
      </c>
      <c r="S474" s="14">
        <f>CHOOSE(CONTROL!$C$42, 24.2938, 24.2938) * CHOOSE(CONTROL!$C$21, $C$9, 100%, $E$9)</f>
        <v>24.293800000000001</v>
      </c>
      <c r="T4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7">
        <f>(1000*CHOOSE(CONTROL!$C$42, 695, 695)*CHOOSE(CONTROL!$C$42, 0.5599, 0.5599)*CHOOSE(CONTROL!$C$42, 30, 30))/1000000</f>
        <v>11.673914999999997</v>
      </c>
      <c r="V474" s="57">
        <f>(1000*CHOOSE(CONTROL!$C$42, 500, 500)*CHOOSE(CONTROL!$C$42, 0.275, 0.275)*CHOOSE(CONTROL!$C$42, 30, 30))/1000000</f>
        <v>4.125</v>
      </c>
      <c r="W474" s="57">
        <f>(1000*CHOOSE(CONTROL!$C$42, 0.1146, 0.1146)*CHOOSE(CONTROL!$C$42, 121.5, 121.5)*CHOOSE(CONTROL!$C$42, 30, 30))/1000000</f>
        <v>0.417717</v>
      </c>
      <c r="X474" s="57">
        <f>(30*0.1790888*245000/1000000)+(30*0.2374*100000/1000000)</f>
        <v>2.0285026799999999</v>
      </c>
      <c r="Y474" s="57"/>
      <c r="Z474" s="14"/>
      <c r="AA474" s="56"/>
      <c r="AB474" s="50">
        <f>(B474*194.205+C474*267.466+D474*133.845+E474*53.484+F474*40+G474*185+H474*0+I474*100+J474*300)/(194.205+267.466+133.845+53.484+0+40+185+100+300)</f>
        <v>25.329846312872842</v>
      </c>
      <c r="AC474" s="45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24.851260431654676</v>
      </c>
    </row>
    <row r="475" spans="1:29" ht="15.75" x14ac:dyDescent="0.25">
      <c r="A475" s="33">
        <v>55365</v>
      </c>
      <c r="B475" s="14">
        <f>CHOOSE(CONTROL!$C$42, 24.8084, 24.8084) * CHOOSE(CONTROL!$C$21, $C$9, 100%, $E$9)</f>
        <v>24.808399999999999</v>
      </c>
      <c r="C475" s="14">
        <f>CHOOSE(CONTROL!$C$42, 24.8165, 24.8165) * CHOOSE(CONTROL!$C$21, $C$9, 100%, $E$9)</f>
        <v>24.816500000000001</v>
      </c>
      <c r="D475" s="14">
        <f>CHOOSE(CONTROL!$C$42, 25.0214, 25.0214) * CHOOSE(CONTROL!$C$21, $C$9, 100%, $E$9)</f>
        <v>25.0214</v>
      </c>
      <c r="E475" s="14">
        <f>CHOOSE(CONTROL!$C$42, 25.0529, 25.0529) * CHOOSE(CONTROL!$C$21, $C$9, 100%, $E$9)</f>
        <v>25.052900000000001</v>
      </c>
      <c r="F475" s="14">
        <f>CHOOSE(CONTROL!$C$42, 24.7954, 24.7954)*CHOOSE(CONTROL!$C$21, $C$9, 100%, $E$9)</f>
        <v>24.795400000000001</v>
      </c>
      <c r="G475" s="14">
        <f>CHOOSE(CONTROL!$C$42, 24.812, 24.812)*CHOOSE(CONTROL!$C$21, $C$9, 100%, $E$9)</f>
        <v>24.812000000000001</v>
      </c>
      <c r="H475" s="14">
        <f>CHOOSE(CONTROL!$C$42, 25.0415, 25.0415) * CHOOSE(CONTROL!$C$21, $C$9, 100%, $E$9)</f>
        <v>25.041499999999999</v>
      </c>
      <c r="I475" s="14">
        <f>CHOOSE(CONTROL!$C$42, 24.8942, 24.8942)* CHOOSE(CONTROL!$C$21, $C$9, 100%, $E$9)</f>
        <v>24.894200000000001</v>
      </c>
      <c r="J475" s="14">
        <f>CHOOSE(CONTROL!$C$42, 24.7884, 24.7884)* CHOOSE(CONTROL!$C$21, $C$9, 100%, $E$9)</f>
        <v>24.788399999999999</v>
      </c>
      <c r="K475" s="53">
        <f>CHOOSE(CONTROL!$C$42, 24.8903, 24.8903) * CHOOSE(CONTROL!$C$21, $C$9, 100%, $E$9)</f>
        <v>24.8903</v>
      </c>
      <c r="L475" s="14">
        <f>CHOOSE(CONTROL!$C$42, 25.6285, 25.6285) * CHOOSE(CONTROL!$C$21, $C$9, 100%, $E$9)</f>
        <v>25.628499999999999</v>
      </c>
      <c r="M475" s="14">
        <f>CHOOSE(CONTROL!$C$42, 24.2882, 24.2882) * CHOOSE(CONTROL!$C$21, $C$9, 100%, $E$9)</f>
        <v>24.2882</v>
      </c>
      <c r="N475" s="14">
        <f>CHOOSE(CONTROL!$C$42, 24.3045, 24.3045) * CHOOSE(CONTROL!$C$21, $C$9, 100%, $E$9)</f>
        <v>24.304500000000001</v>
      </c>
      <c r="O475" s="14">
        <f>CHOOSE(CONTROL!$C$42, 24.5361, 24.5361) * CHOOSE(CONTROL!$C$21, $C$9, 100%, $E$9)</f>
        <v>24.536100000000001</v>
      </c>
      <c r="P475" s="14">
        <f>CHOOSE(CONTROL!$C$42, 24.3903, 24.3903) * CHOOSE(CONTROL!$C$21, $C$9, 100%, $E$9)</f>
        <v>24.3903</v>
      </c>
      <c r="Q475" s="14">
        <f>CHOOSE(CONTROL!$C$42, 25.1308, 25.1308) * CHOOSE(CONTROL!$C$21, $C$9, 100%, $E$9)</f>
        <v>25.130800000000001</v>
      </c>
      <c r="R475" s="14">
        <f>CHOOSE(CONTROL!$C$42, 25.7807, 25.7807) * CHOOSE(CONTROL!$C$21, $C$9, 100%, $E$9)</f>
        <v>25.7807</v>
      </c>
      <c r="S475" s="14">
        <f>CHOOSE(CONTROL!$C$42, 23.8278, 23.8278) * CHOOSE(CONTROL!$C$21, $C$9, 100%, $E$9)</f>
        <v>23.8278</v>
      </c>
      <c r="T4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7">
        <f>(1000*CHOOSE(CONTROL!$C$42, 695, 695)*CHOOSE(CONTROL!$C$42, 0.5599, 0.5599)*CHOOSE(CONTROL!$C$42, 31, 31))/1000000</f>
        <v>12.063045499999998</v>
      </c>
      <c r="V475" s="57">
        <f>(1000*CHOOSE(CONTROL!$C$42, 500, 500)*CHOOSE(CONTROL!$C$42, 0.275, 0.275)*CHOOSE(CONTROL!$C$42, 31, 31))/1000000</f>
        <v>4.2625000000000002</v>
      </c>
      <c r="W475" s="57">
        <f>(1000*CHOOSE(CONTROL!$C$42, 0.1146, 0.1146)*CHOOSE(CONTROL!$C$42, 121.5, 121.5)*CHOOSE(CONTROL!$C$42, 31, 31))/1000000</f>
        <v>0.43164089999999994</v>
      </c>
      <c r="X475" s="57">
        <f>(31*0.1790888*245000/1000000)+(31*0.2374*100000/1000000)</f>
        <v>2.0961194359999999</v>
      </c>
      <c r="Y475" s="57"/>
      <c r="Z475" s="14"/>
      <c r="AA475" s="56"/>
      <c r="AB475" s="50">
        <f>(B475*194.205+C475*267.466+D475*133.845+E475*53.484+F475*40+G475*185+H475*0+I475*100+J475*300)/(194.205+267.466+133.845+53.484+0+40+185+100+300)</f>
        <v>24.844882180219781</v>
      </c>
      <c r="AC475" s="45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24.376197841726615</v>
      </c>
    </row>
    <row r="476" spans="1:29" ht="15.75" x14ac:dyDescent="0.25">
      <c r="A476" s="33">
        <v>55396</v>
      </c>
      <c r="B476" s="14">
        <f>CHOOSE(CONTROL!$C$42, 23.5836, 23.5836) * CHOOSE(CONTROL!$C$21, $C$9, 100%, $E$9)</f>
        <v>23.583600000000001</v>
      </c>
      <c r="C476" s="14">
        <f>CHOOSE(CONTROL!$C$42, 23.5917, 23.5917) * CHOOSE(CONTROL!$C$21, $C$9, 100%, $E$9)</f>
        <v>23.591699999999999</v>
      </c>
      <c r="D476" s="14">
        <f>CHOOSE(CONTROL!$C$42, 23.7966, 23.7966) * CHOOSE(CONTROL!$C$21, $C$9, 100%, $E$9)</f>
        <v>23.796600000000002</v>
      </c>
      <c r="E476" s="14">
        <f>CHOOSE(CONTROL!$C$42, 23.8281, 23.8281) * CHOOSE(CONTROL!$C$21, $C$9, 100%, $E$9)</f>
        <v>23.828099999999999</v>
      </c>
      <c r="F476" s="14">
        <f>CHOOSE(CONTROL!$C$42, 23.5708, 23.5708)*CHOOSE(CONTROL!$C$21, $C$9, 100%, $E$9)</f>
        <v>23.570799999999998</v>
      </c>
      <c r="G476" s="14">
        <f>CHOOSE(CONTROL!$C$42, 23.5875, 23.5875)*CHOOSE(CONTROL!$C$21, $C$9, 100%, $E$9)</f>
        <v>23.587499999999999</v>
      </c>
      <c r="H476" s="14">
        <f>CHOOSE(CONTROL!$C$42, 23.8167, 23.8167) * CHOOSE(CONTROL!$C$21, $C$9, 100%, $E$9)</f>
        <v>23.816700000000001</v>
      </c>
      <c r="I476" s="14">
        <f>CHOOSE(CONTROL!$C$42, 23.6655, 23.6655)* CHOOSE(CONTROL!$C$21, $C$9, 100%, $E$9)</f>
        <v>23.665500000000002</v>
      </c>
      <c r="J476" s="14">
        <f>CHOOSE(CONTROL!$C$42, 23.5638, 23.5638)* CHOOSE(CONTROL!$C$21, $C$9, 100%, $E$9)</f>
        <v>23.563800000000001</v>
      </c>
      <c r="K476" s="53">
        <f>CHOOSE(CONTROL!$C$42, 23.6616, 23.6616) * CHOOSE(CONTROL!$C$21, $C$9, 100%, $E$9)</f>
        <v>23.6616</v>
      </c>
      <c r="L476" s="14">
        <f>CHOOSE(CONTROL!$C$42, 24.4037, 24.4037) * CHOOSE(CONTROL!$C$21, $C$9, 100%, $E$9)</f>
        <v>24.403700000000001</v>
      </c>
      <c r="M476" s="14">
        <f>CHOOSE(CONTROL!$C$42, 23.0887, 23.0887) * CHOOSE(CONTROL!$C$21, $C$9, 100%, $E$9)</f>
        <v>23.088699999999999</v>
      </c>
      <c r="N476" s="14">
        <f>CHOOSE(CONTROL!$C$42, 23.105, 23.105) * CHOOSE(CONTROL!$C$21, $C$9, 100%, $E$9)</f>
        <v>23.105</v>
      </c>
      <c r="O476" s="14">
        <f>CHOOSE(CONTROL!$C$42, 23.3364, 23.3364) * CHOOSE(CONTROL!$C$21, $C$9, 100%, $E$9)</f>
        <v>23.336400000000001</v>
      </c>
      <c r="P476" s="14">
        <f>CHOOSE(CONTROL!$C$42, 23.1869, 23.1869) * CHOOSE(CONTROL!$C$21, $C$9, 100%, $E$9)</f>
        <v>23.186900000000001</v>
      </c>
      <c r="Q476" s="14">
        <f>CHOOSE(CONTROL!$C$42, 23.9311, 23.9311) * CHOOSE(CONTROL!$C$21, $C$9, 100%, $E$9)</f>
        <v>23.931100000000001</v>
      </c>
      <c r="R476" s="14">
        <f>CHOOSE(CONTROL!$C$42, 24.578, 24.578) * CHOOSE(CONTROL!$C$21, $C$9, 100%, $E$9)</f>
        <v>24.577999999999999</v>
      </c>
      <c r="S476" s="14">
        <f>CHOOSE(CONTROL!$C$42, 22.6509, 22.6509) * CHOOSE(CONTROL!$C$21, $C$9, 100%, $E$9)</f>
        <v>22.6509</v>
      </c>
      <c r="T4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7">
        <f>(1000*CHOOSE(CONTROL!$C$42, 695, 695)*CHOOSE(CONTROL!$C$42, 0.5599, 0.5599)*CHOOSE(CONTROL!$C$42, 31, 31))/1000000</f>
        <v>12.063045499999998</v>
      </c>
      <c r="V476" s="57">
        <f>(1000*CHOOSE(CONTROL!$C$42, 500, 500)*CHOOSE(CONTROL!$C$42, 0.275, 0.275)*CHOOSE(CONTROL!$C$42, 31, 31))/1000000</f>
        <v>4.2625000000000002</v>
      </c>
      <c r="W476" s="57">
        <f>(1000*CHOOSE(CONTROL!$C$42, 0.1146, 0.1146)*CHOOSE(CONTROL!$C$42, 121.5, 121.5)*CHOOSE(CONTROL!$C$42, 31, 31))/1000000</f>
        <v>0.43164089999999994</v>
      </c>
      <c r="X476" s="57">
        <f>(31*0.1790888*245000/1000000)+(31*0.2374*100000/1000000)</f>
        <v>2.0961194359999999</v>
      </c>
      <c r="Y476" s="57"/>
      <c r="Z476" s="14"/>
      <c r="AA476" s="56"/>
      <c r="AB476" s="50">
        <f>(B476*194.205+C476*267.466+D476*133.845+E476*53.484+F476*40+G476*185+H476*0+I476*100+J476*300)/(194.205+267.466+133.845+53.484+0+40+185+100+300)</f>
        <v>23.619872996546306</v>
      </c>
      <c r="AC476" s="45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23.176080575539569</v>
      </c>
    </row>
    <row r="477" spans="1:29" ht="15.75" x14ac:dyDescent="0.25">
      <c r="A477" s="33">
        <v>55426</v>
      </c>
      <c r="B477" s="14">
        <f>CHOOSE(CONTROL!$C$42, 22.0867, 22.0867) * CHOOSE(CONTROL!$C$21, $C$9, 100%, $E$9)</f>
        <v>22.0867</v>
      </c>
      <c r="C477" s="14">
        <f>CHOOSE(CONTROL!$C$42, 22.0948, 22.0948) * CHOOSE(CONTROL!$C$21, $C$9, 100%, $E$9)</f>
        <v>22.094799999999999</v>
      </c>
      <c r="D477" s="14">
        <f>CHOOSE(CONTROL!$C$42, 22.2997, 22.2997) * CHOOSE(CONTROL!$C$21, $C$9, 100%, $E$9)</f>
        <v>22.299700000000001</v>
      </c>
      <c r="E477" s="14">
        <f>CHOOSE(CONTROL!$C$42, 22.3312, 22.3312) * CHOOSE(CONTROL!$C$21, $C$9, 100%, $E$9)</f>
        <v>22.331199999999999</v>
      </c>
      <c r="F477" s="14">
        <f>CHOOSE(CONTROL!$C$42, 22.0739, 22.0739)*CHOOSE(CONTROL!$C$21, $C$9, 100%, $E$9)</f>
        <v>22.073899999999998</v>
      </c>
      <c r="G477" s="14">
        <f>CHOOSE(CONTROL!$C$42, 22.0906, 22.0906)*CHOOSE(CONTROL!$C$21, $C$9, 100%, $E$9)</f>
        <v>22.090599999999998</v>
      </c>
      <c r="H477" s="14">
        <f>CHOOSE(CONTROL!$C$42, 22.3198, 22.3198) * CHOOSE(CONTROL!$C$21, $C$9, 100%, $E$9)</f>
        <v>22.319800000000001</v>
      </c>
      <c r="I477" s="14">
        <f>CHOOSE(CONTROL!$C$42, 22.164, 22.164)* CHOOSE(CONTROL!$C$21, $C$9, 100%, $E$9)</f>
        <v>22.164000000000001</v>
      </c>
      <c r="J477" s="14">
        <f>CHOOSE(CONTROL!$C$42, 22.0669, 22.0669)* CHOOSE(CONTROL!$C$21, $C$9, 100%, $E$9)</f>
        <v>22.0669</v>
      </c>
      <c r="K477" s="53">
        <f>CHOOSE(CONTROL!$C$42, 22.1601, 22.1601) * CHOOSE(CONTROL!$C$21, $C$9, 100%, $E$9)</f>
        <v>22.1601</v>
      </c>
      <c r="L477" s="14">
        <f>CHOOSE(CONTROL!$C$42, 22.9068, 22.9068) * CHOOSE(CONTROL!$C$21, $C$9, 100%, $E$9)</f>
        <v>22.9068</v>
      </c>
      <c r="M477" s="14">
        <f>CHOOSE(CONTROL!$C$42, 21.6224, 21.6224) * CHOOSE(CONTROL!$C$21, $C$9, 100%, $E$9)</f>
        <v>21.622399999999999</v>
      </c>
      <c r="N477" s="14">
        <f>CHOOSE(CONTROL!$C$42, 21.6388, 21.6388) * CHOOSE(CONTROL!$C$21, $C$9, 100%, $E$9)</f>
        <v>21.6388</v>
      </c>
      <c r="O477" s="14">
        <f>CHOOSE(CONTROL!$C$42, 21.8702, 21.8702) * CHOOSE(CONTROL!$C$21, $C$9, 100%, $E$9)</f>
        <v>21.870200000000001</v>
      </c>
      <c r="P477" s="14">
        <f>CHOOSE(CONTROL!$C$42, 21.7162, 21.7162) * CHOOSE(CONTROL!$C$21, $C$9, 100%, $E$9)</f>
        <v>21.716200000000001</v>
      </c>
      <c r="Q477" s="14">
        <f>CHOOSE(CONTROL!$C$42, 22.4649, 22.4649) * CHOOSE(CONTROL!$C$21, $C$9, 100%, $E$9)</f>
        <v>22.4649</v>
      </c>
      <c r="R477" s="14">
        <f>CHOOSE(CONTROL!$C$42, 23.1081, 23.1081) * CHOOSE(CONTROL!$C$21, $C$9, 100%, $E$9)</f>
        <v>23.1081</v>
      </c>
      <c r="S477" s="14">
        <f>CHOOSE(CONTROL!$C$42, 21.2125, 21.2125) * CHOOSE(CONTROL!$C$21, $C$9, 100%, $E$9)</f>
        <v>21.212499999999999</v>
      </c>
      <c r="T4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7">
        <f>(1000*CHOOSE(CONTROL!$C$42, 695, 695)*CHOOSE(CONTROL!$C$42, 0.5599, 0.5599)*CHOOSE(CONTROL!$C$42, 30, 30))/1000000</f>
        <v>11.673914999999997</v>
      </c>
      <c r="V477" s="57">
        <f>(1000*CHOOSE(CONTROL!$C$42, 500, 500)*CHOOSE(CONTROL!$C$42, 0.275, 0.275)*CHOOSE(CONTROL!$C$42, 30, 30))/1000000</f>
        <v>4.125</v>
      </c>
      <c r="W477" s="57">
        <f>(1000*CHOOSE(CONTROL!$C$42, 0.1146, 0.1146)*CHOOSE(CONTROL!$C$42, 121.5, 121.5)*CHOOSE(CONTROL!$C$42, 30, 30))/1000000</f>
        <v>0.417717</v>
      </c>
      <c r="X477" s="57">
        <f>(30*0.1790888*245000/1000000)+(30*0.2374*100000/1000000)</f>
        <v>2.0285026799999999</v>
      </c>
      <c r="Y477" s="57"/>
      <c r="Z477" s="14"/>
      <c r="AA477" s="56"/>
      <c r="AB477" s="50">
        <f>(B477*194.205+C477*267.466+D477*133.845+E477*53.484+F477*40+G477*185+H477*0+I477*100+J477*300)/(194.205+267.466+133.845+53.484+0+40+185+100+300)</f>
        <v>22.122611929042389</v>
      </c>
      <c r="AC477" s="45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21.70919856115108</v>
      </c>
    </row>
    <row r="478" spans="1:29" ht="15.75" x14ac:dyDescent="0.25">
      <c r="A478" s="33">
        <v>55457</v>
      </c>
      <c r="B478" s="14">
        <f>CHOOSE(CONTROL!$C$42, 21.6368, 21.6368) * CHOOSE(CONTROL!$C$21, $C$9, 100%, $E$9)</f>
        <v>21.636800000000001</v>
      </c>
      <c r="C478" s="14">
        <f>CHOOSE(CONTROL!$C$42, 21.6421, 21.6421) * CHOOSE(CONTROL!$C$21, $C$9, 100%, $E$9)</f>
        <v>21.642099999999999</v>
      </c>
      <c r="D478" s="14">
        <f>CHOOSE(CONTROL!$C$42, 21.852, 21.852) * CHOOSE(CONTROL!$C$21, $C$9, 100%, $E$9)</f>
        <v>21.852</v>
      </c>
      <c r="E478" s="14">
        <f>CHOOSE(CONTROL!$C$42, 21.8812, 21.8812) * CHOOSE(CONTROL!$C$21, $C$9, 100%, $E$9)</f>
        <v>21.8812</v>
      </c>
      <c r="F478" s="14">
        <f>CHOOSE(CONTROL!$C$42, 21.626, 21.626)*CHOOSE(CONTROL!$C$21, $C$9, 100%, $E$9)</f>
        <v>21.626000000000001</v>
      </c>
      <c r="G478" s="14">
        <f>CHOOSE(CONTROL!$C$42, 21.6423, 21.6423)*CHOOSE(CONTROL!$C$21, $C$9, 100%, $E$9)</f>
        <v>21.642299999999999</v>
      </c>
      <c r="H478" s="14">
        <f>CHOOSE(CONTROL!$C$42, 21.8716, 21.8716) * CHOOSE(CONTROL!$C$21, $C$9, 100%, $E$9)</f>
        <v>21.871600000000001</v>
      </c>
      <c r="I478" s="14">
        <f>CHOOSE(CONTROL!$C$42, 21.7143, 21.7143)* CHOOSE(CONTROL!$C$21, $C$9, 100%, $E$9)</f>
        <v>21.714300000000001</v>
      </c>
      <c r="J478" s="14">
        <f>CHOOSE(CONTROL!$C$42, 21.619, 21.619)* CHOOSE(CONTROL!$C$21, $C$9, 100%, $E$9)</f>
        <v>21.619</v>
      </c>
      <c r="K478" s="53">
        <f>CHOOSE(CONTROL!$C$42, 21.7105, 21.7105) * CHOOSE(CONTROL!$C$21, $C$9, 100%, $E$9)</f>
        <v>21.7105</v>
      </c>
      <c r="L478" s="14">
        <f>CHOOSE(CONTROL!$C$42, 22.4586, 22.4586) * CHOOSE(CONTROL!$C$21, $C$9, 100%, $E$9)</f>
        <v>22.458600000000001</v>
      </c>
      <c r="M478" s="14">
        <f>CHOOSE(CONTROL!$C$42, 21.1837, 21.1837) * CHOOSE(CONTROL!$C$21, $C$9, 100%, $E$9)</f>
        <v>21.183700000000002</v>
      </c>
      <c r="N478" s="14">
        <f>CHOOSE(CONTROL!$C$42, 21.1997, 21.1997) * CHOOSE(CONTROL!$C$21, $C$9, 100%, $E$9)</f>
        <v>21.1997</v>
      </c>
      <c r="O478" s="14">
        <f>CHOOSE(CONTROL!$C$42, 21.4312, 21.4312) * CHOOSE(CONTROL!$C$21, $C$9, 100%, $E$9)</f>
        <v>21.4312</v>
      </c>
      <c r="P478" s="14">
        <f>CHOOSE(CONTROL!$C$42, 21.2758, 21.2758) * CHOOSE(CONTROL!$C$21, $C$9, 100%, $E$9)</f>
        <v>21.2758</v>
      </c>
      <c r="Q478" s="14">
        <f>CHOOSE(CONTROL!$C$42, 22.0259, 22.0259) * CHOOSE(CONTROL!$C$21, $C$9, 100%, $E$9)</f>
        <v>22.0259</v>
      </c>
      <c r="R478" s="14">
        <f>CHOOSE(CONTROL!$C$42, 22.6679, 22.6679) * CHOOSE(CONTROL!$C$21, $C$9, 100%, $E$9)</f>
        <v>22.667899999999999</v>
      </c>
      <c r="S478" s="14">
        <f>CHOOSE(CONTROL!$C$42, 20.7818, 20.7818) * CHOOSE(CONTROL!$C$21, $C$9, 100%, $E$9)</f>
        <v>20.7818</v>
      </c>
      <c r="T4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7">
        <f>(1000*CHOOSE(CONTROL!$C$42, 695, 695)*CHOOSE(CONTROL!$C$42, 0.5599, 0.5599)*CHOOSE(CONTROL!$C$42, 31, 31))/1000000</f>
        <v>12.063045499999998</v>
      </c>
      <c r="V478" s="57">
        <f>(1000*CHOOSE(CONTROL!$C$42, 500, 500)*CHOOSE(CONTROL!$C$42, 0.275, 0.275)*CHOOSE(CONTROL!$C$42, 31, 31))/1000000</f>
        <v>4.2625000000000002</v>
      </c>
      <c r="W478" s="57">
        <f>(1000*CHOOSE(CONTROL!$C$42, 0.1146, 0.1146)*CHOOSE(CONTROL!$C$42, 121.5, 121.5)*CHOOSE(CONTROL!$C$42, 31, 31))/1000000</f>
        <v>0.43164089999999994</v>
      </c>
      <c r="X478" s="57">
        <f>(31*0.1790888*245000/1000000)+(31*0.2374*100000/1000000)</f>
        <v>2.0961194359999999</v>
      </c>
      <c r="Y478" s="57"/>
      <c r="Z478" s="14"/>
      <c r="AA478" s="56"/>
      <c r="AB478" s="50">
        <f>(B478*131.881+C478*277.167+D478*79.08+E478*125.872+F478*40+G478*185+H478*0+I478*100+J478*300)/(131.881+277.167+79.08+125.872+0+40+185+100+300)</f>
        <v>21.678967568926556</v>
      </c>
      <c r="AC478" s="45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21.270077697841725</v>
      </c>
    </row>
    <row r="479" spans="1:29" ht="15.75" x14ac:dyDescent="0.25">
      <c r="A479" s="33">
        <v>55487</v>
      </c>
      <c r="B479" s="14">
        <f>CHOOSE(CONTROL!$C$42, 22.2061, 22.2061) * CHOOSE(CONTROL!$C$21, $C$9, 100%, $E$9)</f>
        <v>22.206099999999999</v>
      </c>
      <c r="C479" s="14">
        <f>CHOOSE(CONTROL!$C$42, 22.2112, 22.2112) * CHOOSE(CONTROL!$C$21, $C$9, 100%, $E$9)</f>
        <v>22.211200000000002</v>
      </c>
      <c r="D479" s="14">
        <f>CHOOSE(CONTROL!$C$42, 22.275, 22.275) * CHOOSE(CONTROL!$C$21, $C$9, 100%, $E$9)</f>
        <v>22.274999999999999</v>
      </c>
      <c r="E479" s="14">
        <f>CHOOSE(CONTROL!$C$42, 22.3091, 22.3091) * CHOOSE(CONTROL!$C$21, $C$9, 100%, $E$9)</f>
        <v>22.309100000000001</v>
      </c>
      <c r="F479" s="14">
        <f>CHOOSE(CONTROL!$C$42, 22.2083, 22.2083)*CHOOSE(CONTROL!$C$21, $C$9, 100%, $E$9)</f>
        <v>22.208300000000001</v>
      </c>
      <c r="G479" s="14">
        <f>CHOOSE(CONTROL!$C$42, 22.225, 22.225)*CHOOSE(CONTROL!$C$21, $C$9, 100%, $E$9)</f>
        <v>22.225000000000001</v>
      </c>
      <c r="H479" s="14">
        <f>CHOOSE(CONTROL!$C$42, 22.2983, 22.2983) * CHOOSE(CONTROL!$C$21, $C$9, 100%, $E$9)</f>
        <v>22.298300000000001</v>
      </c>
      <c r="I479" s="14">
        <f>CHOOSE(CONTROL!$C$42, 22.2895, 22.2895)* CHOOSE(CONTROL!$C$21, $C$9, 100%, $E$9)</f>
        <v>22.2895</v>
      </c>
      <c r="J479" s="14">
        <f>CHOOSE(CONTROL!$C$42, 22.2013, 22.2013)* CHOOSE(CONTROL!$C$21, $C$9, 100%, $E$9)</f>
        <v>22.2013</v>
      </c>
      <c r="K479" s="53">
        <f>CHOOSE(CONTROL!$C$42, 22.2856, 22.2856) * CHOOSE(CONTROL!$C$21, $C$9, 100%, $E$9)</f>
        <v>22.285599999999999</v>
      </c>
      <c r="L479" s="14">
        <f>CHOOSE(CONTROL!$C$42, 22.8853, 22.8853) * CHOOSE(CONTROL!$C$21, $C$9, 100%, $E$9)</f>
        <v>22.885300000000001</v>
      </c>
      <c r="M479" s="14">
        <f>CHOOSE(CONTROL!$C$42, 21.7541, 21.7541) * CHOOSE(CONTROL!$C$21, $C$9, 100%, $E$9)</f>
        <v>21.754100000000001</v>
      </c>
      <c r="N479" s="14">
        <f>CHOOSE(CONTROL!$C$42, 21.7705, 21.7705) * CHOOSE(CONTROL!$C$21, $C$9, 100%, $E$9)</f>
        <v>21.770499999999998</v>
      </c>
      <c r="O479" s="14">
        <f>CHOOSE(CONTROL!$C$42, 21.8491, 21.8491) * CHOOSE(CONTROL!$C$21, $C$9, 100%, $E$9)</f>
        <v>21.8491</v>
      </c>
      <c r="P479" s="14">
        <f>CHOOSE(CONTROL!$C$42, 21.8392, 21.8392) * CHOOSE(CONTROL!$C$21, $C$9, 100%, $E$9)</f>
        <v>21.839200000000002</v>
      </c>
      <c r="Q479" s="14">
        <f>CHOOSE(CONTROL!$C$42, 22.4438, 22.4438) * CHOOSE(CONTROL!$C$21, $C$9, 100%, $E$9)</f>
        <v>22.4438</v>
      </c>
      <c r="R479" s="14">
        <f>CHOOSE(CONTROL!$C$42, 23.0869, 23.0869) * CHOOSE(CONTROL!$C$21, $C$9, 100%, $E$9)</f>
        <v>23.0869</v>
      </c>
      <c r="S479" s="14">
        <f>CHOOSE(CONTROL!$C$42, 21.3293, 21.3293) * CHOOSE(CONTROL!$C$21, $C$9, 100%, $E$9)</f>
        <v>21.3293</v>
      </c>
      <c r="T4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7">
        <f>(1000*CHOOSE(CONTROL!$C$42, 695, 695)*CHOOSE(CONTROL!$C$42, 0.5599, 0.5599)*CHOOSE(CONTROL!$C$42, 30, 30))/1000000</f>
        <v>11.673914999999997</v>
      </c>
      <c r="V479" s="57">
        <f>(1000*CHOOSE(CONTROL!$C$42, 500, 500)*CHOOSE(CONTROL!$C$42, 0.275, 0.275)*CHOOSE(CONTROL!$C$42, 30, 30))/1000000</f>
        <v>4.125</v>
      </c>
      <c r="W479" s="57">
        <f>(1000*CHOOSE(CONTROL!$C$42, 0.1146, 0.1146)*CHOOSE(CONTROL!$C$42, 121.5, 121.5)*CHOOSE(CONTROL!$C$42, 30, 30))/1000000</f>
        <v>0.417717</v>
      </c>
      <c r="X479" s="57">
        <f>(30*0.1790888*100000/1000000)+(30*0.2374*100000/1000000)</f>
        <v>1.2494664</v>
      </c>
      <c r="Y479" s="57"/>
      <c r="Z479" s="14"/>
      <c r="AA479" s="56"/>
      <c r="AB479" s="50">
        <f>(B479*122.58+C479*297.941+D479*89.177+E479*40.302+F479*40+G479*160+H479*0+I479*100+J479*300)/(122.58+297.941+89.177+40.302+0+40+160+100+300)</f>
        <v>22.225079913391305</v>
      </c>
      <c r="AC479" s="45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21.810346043165467</v>
      </c>
    </row>
    <row r="480" spans="1:29" ht="15.75" x14ac:dyDescent="0.25">
      <c r="A480" s="33">
        <v>55518</v>
      </c>
      <c r="B480" s="14">
        <f>CHOOSE(CONTROL!$C$42, 23.7194, 23.7194) * CHOOSE(CONTROL!$C$21, $C$9, 100%, $E$9)</f>
        <v>23.7194</v>
      </c>
      <c r="C480" s="14">
        <f>CHOOSE(CONTROL!$C$42, 23.7245, 23.7245) * CHOOSE(CONTROL!$C$21, $C$9, 100%, $E$9)</f>
        <v>23.724499999999999</v>
      </c>
      <c r="D480" s="14">
        <f>CHOOSE(CONTROL!$C$42, 23.7883, 23.7883) * CHOOSE(CONTROL!$C$21, $C$9, 100%, $E$9)</f>
        <v>23.7883</v>
      </c>
      <c r="E480" s="14">
        <f>CHOOSE(CONTROL!$C$42, 23.8224, 23.8224) * CHOOSE(CONTROL!$C$21, $C$9, 100%, $E$9)</f>
        <v>23.822399999999998</v>
      </c>
      <c r="F480" s="14">
        <f>CHOOSE(CONTROL!$C$42, 23.7237, 23.7237)*CHOOSE(CONTROL!$C$21, $C$9, 100%, $E$9)</f>
        <v>23.723700000000001</v>
      </c>
      <c r="G480" s="14">
        <f>CHOOSE(CONTROL!$C$42, 23.7409, 23.7409)*CHOOSE(CONTROL!$C$21, $C$9, 100%, $E$9)</f>
        <v>23.7409</v>
      </c>
      <c r="H480" s="14">
        <f>CHOOSE(CONTROL!$C$42, 23.8116, 23.8116) * CHOOSE(CONTROL!$C$21, $C$9, 100%, $E$9)</f>
        <v>23.811599999999999</v>
      </c>
      <c r="I480" s="14">
        <f>CHOOSE(CONTROL!$C$42, 23.8076, 23.8076)* CHOOSE(CONTROL!$C$21, $C$9, 100%, $E$9)</f>
        <v>23.807600000000001</v>
      </c>
      <c r="J480" s="14">
        <f>CHOOSE(CONTROL!$C$42, 23.7167, 23.7167)* CHOOSE(CONTROL!$C$21, $C$9, 100%, $E$9)</f>
        <v>23.716699999999999</v>
      </c>
      <c r="K480" s="53">
        <f>CHOOSE(CONTROL!$C$42, 23.8037, 23.8037) * CHOOSE(CONTROL!$C$21, $C$9, 100%, $E$9)</f>
        <v>23.803699999999999</v>
      </c>
      <c r="L480" s="14">
        <f>CHOOSE(CONTROL!$C$42, 24.3986, 24.3986) * CHOOSE(CONTROL!$C$21, $C$9, 100%, $E$9)</f>
        <v>24.398599999999998</v>
      </c>
      <c r="M480" s="14">
        <f>CHOOSE(CONTROL!$C$42, 23.2385, 23.2385) * CHOOSE(CONTROL!$C$21, $C$9, 100%, $E$9)</f>
        <v>23.238499999999998</v>
      </c>
      <c r="N480" s="14">
        <f>CHOOSE(CONTROL!$C$42, 23.2553, 23.2553) * CHOOSE(CONTROL!$C$21, $C$9, 100%, $E$9)</f>
        <v>23.255299999999998</v>
      </c>
      <c r="O480" s="14">
        <f>CHOOSE(CONTROL!$C$42, 23.3314, 23.3314) * CHOOSE(CONTROL!$C$21, $C$9, 100%, $E$9)</f>
        <v>23.331399999999999</v>
      </c>
      <c r="P480" s="14">
        <f>CHOOSE(CONTROL!$C$42, 23.3261, 23.3261) * CHOOSE(CONTROL!$C$21, $C$9, 100%, $E$9)</f>
        <v>23.3261</v>
      </c>
      <c r="Q480" s="14">
        <f>CHOOSE(CONTROL!$C$42, 23.9261, 23.9261) * CHOOSE(CONTROL!$C$21, $C$9, 100%, $E$9)</f>
        <v>23.926100000000002</v>
      </c>
      <c r="R480" s="14">
        <f>CHOOSE(CONTROL!$C$42, 24.5729, 24.5729) * CHOOSE(CONTROL!$C$21, $C$9, 100%, $E$9)</f>
        <v>24.572900000000001</v>
      </c>
      <c r="S480" s="14">
        <f>CHOOSE(CONTROL!$C$42, 22.7835, 22.7835) * CHOOSE(CONTROL!$C$21, $C$9, 100%, $E$9)</f>
        <v>22.7835</v>
      </c>
      <c r="T4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7">
        <f>(1000*CHOOSE(CONTROL!$C$42, 695, 695)*CHOOSE(CONTROL!$C$42, 0.5599, 0.5599)*CHOOSE(CONTROL!$C$42, 31, 31))/1000000</f>
        <v>12.063045499999998</v>
      </c>
      <c r="V480" s="57">
        <f>(1000*CHOOSE(CONTROL!$C$42, 500, 500)*CHOOSE(CONTROL!$C$42, 0.275, 0.275)*CHOOSE(CONTROL!$C$42, 31, 31))/1000000</f>
        <v>4.2625000000000002</v>
      </c>
      <c r="W480" s="57">
        <f>(1000*CHOOSE(CONTROL!$C$42, 0.1146, 0.1146)*CHOOSE(CONTROL!$C$42, 121.5, 121.5)*CHOOSE(CONTROL!$C$42, 31, 31))/1000000</f>
        <v>0.43164089999999994</v>
      </c>
      <c r="X480" s="57">
        <f>(31*0.1790888*100000/1000000)+(31*0.2374*100000/1000000)</f>
        <v>1.2911152800000001</v>
      </c>
      <c r="Y480" s="57"/>
      <c r="Z480" s="14"/>
      <c r="AA480" s="56"/>
      <c r="AB480" s="50">
        <f>(B480*122.58+C480*297.941+D480*89.177+E480*40.302+F480*40+G480*160+H480*0+I480*100+J480*300)/(122.58+297.941+89.177+40.302+0+40+160+100+300)</f>
        <v>23.739779913391306</v>
      </c>
      <c r="AC480" s="45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23.294176978417266</v>
      </c>
    </row>
    <row r="481" spans="1:29" ht="15.75" x14ac:dyDescent="0.25">
      <c r="A481" s="33">
        <v>55549</v>
      </c>
      <c r="B481" s="14">
        <f>CHOOSE(CONTROL!$C$42, 25.6616, 25.6616) * CHOOSE(CONTROL!$C$21, $C$9, 100%, $E$9)</f>
        <v>25.6616</v>
      </c>
      <c r="C481" s="14">
        <f>CHOOSE(CONTROL!$C$42, 25.6667, 25.6667) * CHOOSE(CONTROL!$C$21, $C$9, 100%, $E$9)</f>
        <v>25.666699999999999</v>
      </c>
      <c r="D481" s="14">
        <f>CHOOSE(CONTROL!$C$42, 25.7253, 25.7253) * CHOOSE(CONTROL!$C$21, $C$9, 100%, $E$9)</f>
        <v>25.725300000000001</v>
      </c>
      <c r="E481" s="14">
        <f>CHOOSE(CONTROL!$C$42, 25.7594, 25.7594) * CHOOSE(CONTROL!$C$21, $C$9, 100%, $E$9)</f>
        <v>25.759399999999999</v>
      </c>
      <c r="F481" s="14">
        <f>CHOOSE(CONTROL!$C$42, 25.6607, 25.6607)*CHOOSE(CONTROL!$C$21, $C$9, 100%, $E$9)</f>
        <v>25.660699999999999</v>
      </c>
      <c r="G481" s="14">
        <f>CHOOSE(CONTROL!$C$42, 25.6771, 25.6771)*CHOOSE(CONTROL!$C$21, $C$9, 100%, $E$9)</f>
        <v>25.677099999999999</v>
      </c>
      <c r="H481" s="14">
        <f>CHOOSE(CONTROL!$C$42, 25.7486, 25.7486) * CHOOSE(CONTROL!$C$21, $C$9, 100%, $E$9)</f>
        <v>25.7486</v>
      </c>
      <c r="I481" s="14">
        <f>CHOOSE(CONTROL!$C$42, 25.7522, 25.7522)* CHOOSE(CONTROL!$C$21, $C$9, 100%, $E$9)</f>
        <v>25.752199999999998</v>
      </c>
      <c r="J481" s="14">
        <f>CHOOSE(CONTROL!$C$42, 25.6537, 25.6537)* CHOOSE(CONTROL!$C$21, $C$9, 100%, $E$9)</f>
        <v>25.653700000000001</v>
      </c>
      <c r="K481" s="53">
        <f>CHOOSE(CONTROL!$C$42, 25.7483, 25.7483) * CHOOSE(CONTROL!$C$21, $C$9, 100%, $E$9)</f>
        <v>25.7483</v>
      </c>
      <c r="L481" s="14">
        <f>CHOOSE(CONTROL!$C$42, 26.3356, 26.3356) * CHOOSE(CONTROL!$C$21, $C$9, 100%, $E$9)</f>
        <v>26.335599999999999</v>
      </c>
      <c r="M481" s="14">
        <f>CHOOSE(CONTROL!$C$42, 25.1358, 25.1358) * CHOOSE(CONTROL!$C$21, $C$9, 100%, $E$9)</f>
        <v>25.1358</v>
      </c>
      <c r="N481" s="14">
        <f>CHOOSE(CONTROL!$C$42, 25.1518, 25.1518) * CHOOSE(CONTROL!$C$21, $C$9, 100%, $E$9)</f>
        <v>25.151800000000001</v>
      </c>
      <c r="O481" s="14">
        <f>CHOOSE(CONTROL!$C$42, 25.2287, 25.2287) * CHOOSE(CONTROL!$C$21, $C$9, 100%, $E$9)</f>
        <v>25.2287</v>
      </c>
      <c r="P481" s="14">
        <f>CHOOSE(CONTROL!$C$42, 25.2307, 25.2307) * CHOOSE(CONTROL!$C$21, $C$9, 100%, $E$9)</f>
        <v>25.230699999999999</v>
      </c>
      <c r="Q481" s="14">
        <f>CHOOSE(CONTROL!$C$42, 25.8234, 25.8234) * CHOOSE(CONTROL!$C$21, $C$9, 100%, $E$9)</f>
        <v>25.823399999999999</v>
      </c>
      <c r="R481" s="14">
        <f>CHOOSE(CONTROL!$C$42, 26.475, 26.475) * CHOOSE(CONTROL!$C$21, $C$9, 100%, $E$9)</f>
        <v>26.475000000000001</v>
      </c>
      <c r="S481" s="14">
        <f>CHOOSE(CONTROL!$C$42, 24.6497, 24.6497) * CHOOSE(CONTROL!$C$21, $C$9, 100%, $E$9)</f>
        <v>24.649699999999999</v>
      </c>
      <c r="T4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7">
        <f>(1000*CHOOSE(CONTROL!$C$42, 695, 695)*CHOOSE(CONTROL!$C$42, 0.5599, 0.5599)*CHOOSE(CONTROL!$C$42, 31, 31))/1000000</f>
        <v>12.063045499999998</v>
      </c>
      <c r="V481" s="57">
        <f>(1000*CHOOSE(CONTROL!$C$42, 500, 500)*CHOOSE(CONTROL!$C$42, 0.275, 0.275)*CHOOSE(CONTROL!$C$42, 31, 31))/1000000</f>
        <v>4.2625000000000002</v>
      </c>
      <c r="W481" s="57">
        <f>(1000*CHOOSE(CONTROL!$C$42, 0.1146, 0.1146)*CHOOSE(CONTROL!$C$42, 121.5, 121.5)*CHOOSE(CONTROL!$C$42, 31, 31))/1000000</f>
        <v>0.43164089999999994</v>
      </c>
      <c r="X481" s="57">
        <f>(31*0.1790888*100000/1000000)+(31*0.2374*100000/1000000)</f>
        <v>1.2911152800000001</v>
      </c>
      <c r="Y481" s="57"/>
      <c r="Z481" s="14"/>
      <c r="AA481" s="56"/>
      <c r="AB481" s="50">
        <f>(B481*122.58+C481*297.941+D481*89.177+E481*40.302+F481*40+G481*160+H481*0+I481*100+J481*300)/(122.58+297.941+89.177+40.302+0+40+160+100+300)</f>
        <v>25.679230964869564</v>
      </c>
      <c r="AC481" s="45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25.192481294964029</v>
      </c>
    </row>
    <row r="482" spans="1:29" ht="15.75" x14ac:dyDescent="0.25">
      <c r="A482" s="33">
        <v>55577</v>
      </c>
      <c r="B482" s="14">
        <f>CHOOSE(CONTROL!$C$42, 26.1182, 26.1182) * CHOOSE(CONTROL!$C$21, $C$9, 100%, $E$9)</f>
        <v>26.118200000000002</v>
      </c>
      <c r="C482" s="14">
        <f>CHOOSE(CONTROL!$C$42, 26.1233, 26.1233) * CHOOSE(CONTROL!$C$21, $C$9, 100%, $E$9)</f>
        <v>26.1233</v>
      </c>
      <c r="D482" s="14">
        <f>CHOOSE(CONTROL!$C$42, 26.1819, 26.1819) * CHOOSE(CONTROL!$C$21, $C$9, 100%, $E$9)</f>
        <v>26.181899999999999</v>
      </c>
      <c r="E482" s="14">
        <f>CHOOSE(CONTROL!$C$42, 26.216, 26.216) * CHOOSE(CONTROL!$C$21, $C$9, 100%, $E$9)</f>
        <v>26.216000000000001</v>
      </c>
      <c r="F482" s="14">
        <f>CHOOSE(CONTROL!$C$42, 26.1173, 26.1173)*CHOOSE(CONTROL!$C$21, $C$9, 100%, $E$9)</f>
        <v>26.1173</v>
      </c>
      <c r="G482" s="14">
        <f>CHOOSE(CONTROL!$C$42, 26.1337, 26.1337)*CHOOSE(CONTROL!$C$21, $C$9, 100%, $E$9)</f>
        <v>26.133700000000001</v>
      </c>
      <c r="H482" s="14">
        <f>CHOOSE(CONTROL!$C$42, 26.2052, 26.2052) * CHOOSE(CONTROL!$C$21, $C$9, 100%, $E$9)</f>
        <v>26.205200000000001</v>
      </c>
      <c r="I482" s="14">
        <f>CHOOSE(CONTROL!$C$42, 26.2103, 26.2103)* CHOOSE(CONTROL!$C$21, $C$9, 100%, $E$9)</f>
        <v>26.2103</v>
      </c>
      <c r="J482" s="14">
        <f>CHOOSE(CONTROL!$C$42, 26.1103, 26.1103)* CHOOSE(CONTROL!$C$21, $C$9, 100%, $E$9)</f>
        <v>26.110299999999999</v>
      </c>
      <c r="K482" s="53">
        <f>CHOOSE(CONTROL!$C$42, 26.2064, 26.2064) * CHOOSE(CONTROL!$C$21, $C$9, 100%, $E$9)</f>
        <v>26.206399999999999</v>
      </c>
      <c r="L482" s="14">
        <f>CHOOSE(CONTROL!$C$42, 26.7922, 26.7922) * CHOOSE(CONTROL!$C$21, $C$9, 100%, $E$9)</f>
        <v>26.792200000000001</v>
      </c>
      <c r="M482" s="14">
        <f>CHOOSE(CONTROL!$C$42, 25.583, 25.583) * CHOOSE(CONTROL!$C$21, $C$9, 100%, $E$9)</f>
        <v>25.582999999999998</v>
      </c>
      <c r="N482" s="14">
        <f>CHOOSE(CONTROL!$C$42, 25.5991, 25.5991) * CHOOSE(CONTROL!$C$21, $C$9, 100%, $E$9)</f>
        <v>25.5991</v>
      </c>
      <c r="O482" s="14">
        <f>CHOOSE(CONTROL!$C$42, 25.676, 25.676) * CHOOSE(CONTROL!$C$21, $C$9, 100%, $E$9)</f>
        <v>25.675999999999998</v>
      </c>
      <c r="P482" s="14">
        <f>CHOOSE(CONTROL!$C$42, 25.6794, 25.6794) * CHOOSE(CONTROL!$C$21, $C$9, 100%, $E$9)</f>
        <v>25.679400000000001</v>
      </c>
      <c r="Q482" s="14">
        <f>CHOOSE(CONTROL!$C$42, 26.2707, 26.2707) * CHOOSE(CONTROL!$C$21, $C$9, 100%, $E$9)</f>
        <v>26.270700000000001</v>
      </c>
      <c r="R482" s="14">
        <f>CHOOSE(CONTROL!$C$42, 26.9234, 26.9234) * CHOOSE(CONTROL!$C$21, $C$9, 100%, $E$9)</f>
        <v>26.923400000000001</v>
      </c>
      <c r="S482" s="14">
        <f>CHOOSE(CONTROL!$C$42, 25.0885, 25.0885) * CHOOSE(CONTROL!$C$21, $C$9, 100%, $E$9)</f>
        <v>25.0885</v>
      </c>
      <c r="T48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7">
        <f>(1000*CHOOSE(CONTROL!$C$42, 695, 695)*CHOOSE(CONTROL!$C$42, 0.5599, 0.5599)*CHOOSE(CONTROL!$C$42, 29, 29))/1000000</f>
        <v>11.284784499999999</v>
      </c>
      <c r="V482" s="57">
        <f>(1000*CHOOSE(CONTROL!$C$42, 500, 500)*CHOOSE(CONTROL!$C$42, 0.275, 0.275)*CHOOSE(CONTROL!$C$42, 29, 29))/1000000</f>
        <v>3.9874999999999998</v>
      </c>
      <c r="W482" s="57">
        <f>(1000*CHOOSE(CONTROL!$C$42, 0.1146, 0.1146)*CHOOSE(CONTROL!$C$42, 121.5, 121.5)*CHOOSE(CONTROL!$C$42, 29, 29))/1000000</f>
        <v>0.40379309999999996</v>
      </c>
      <c r="X482" s="57">
        <f>(29*0.1790888*100000/1000000)+(29*0.2374*100000/1000000)</f>
        <v>1.2078175199999999</v>
      </c>
      <c r="Y482" s="57"/>
      <c r="Z482" s="14"/>
      <c r="AA482" s="56"/>
      <c r="AB482" s="50">
        <f>(B482*122.58+C482*297.941+D482*89.177+E482*40.302+F482*40+G482*160+H482*0+I482*100+J482*300)/(122.58+297.941+89.177+40.302+0+40+160+100+300)</f>
        <v>26.135961399652171</v>
      </c>
      <c r="AC482" s="45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25.639948201438848</v>
      </c>
    </row>
    <row r="483" spans="1:29" ht="15.75" x14ac:dyDescent="0.25">
      <c r="A483" s="33">
        <v>55609</v>
      </c>
      <c r="B483" s="14">
        <f>CHOOSE(CONTROL!$C$42, 25.377, 25.377) * CHOOSE(CONTROL!$C$21, $C$9, 100%, $E$9)</f>
        <v>25.376999999999999</v>
      </c>
      <c r="C483" s="14">
        <f>CHOOSE(CONTROL!$C$42, 25.3821, 25.3821) * CHOOSE(CONTROL!$C$21, $C$9, 100%, $E$9)</f>
        <v>25.382100000000001</v>
      </c>
      <c r="D483" s="14">
        <f>CHOOSE(CONTROL!$C$42, 25.4407, 25.4407) * CHOOSE(CONTROL!$C$21, $C$9, 100%, $E$9)</f>
        <v>25.4407</v>
      </c>
      <c r="E483" s="14">
        <f>CHOOSE(CONTROL!$C$42, 25.4748, 25.4748) * CHOOSE(CONTROL!$C$21, $C$9, 100%, $E$9)</f>
        <v>25.474799999999998</v>
      </c>
      <c r="F483" s="14">
        <f>CHOOSE(CONTROL!$C$42, 25.3756, 25.3756)*CHOOSE(CONTROL!$C$21, $C$9, 100%, $E$9)</f>
        <v>25.375599999999999</v>
      </c>
      <c r="G483" s="14">
        <f>CHOOSE(CONTROL!$C$42, 25.3918, 25.3918)*CHOOSE(CONTROL!$C$21, $C$9, 100%, $E$9)</f>
        <v>25.3918</v>
      </c>
      <c r="H483" s="14">
        <f>CHOOSE(CONTROL!$C$42, 25.464, 25.464) * CHOOSE(CONTROL!$C$21, $C$9, 100%, $E$9)</f>
        <v>25.463999999999999</v>
      </c>
      <c r="I483" s="14">
        <f>CHOOSE(CONTROL!$C$42, 25.4667, 25.4667)* CHOOSE(CONTROL!$C$21, $C$9, 100%, $E$9)</f>
        <v>25.466699999999999</v>
      </c>
      <c r="J483" s="14">
        <f>CHOOSE(CONTROL!$C$42, 25.3686, 25.3686)* CHOOSE(CONTROL!$C$21, $C$9, 100%, $E$9)</f>
        <v>25.368600000000001</v>
      </c>
      <c r="K483" s="53">
        <f>CHOOSE(CONTROL!$C$42, 25.4628, 25.4628) * CHOOSE(CONTROL!$C$21, $C$9, 100%, $E$9)</f>
        <v>25.462800000000001</v>
      </c>
      <c r="L483" s="14">
        <f>CHOOSE(CONTROL!$C$42, 26.051, 26.051) * CHOOSE(CONTROL!$C$21, $C$9, 100%, $E$9)</f>
        <v>26.050999999999998</v>
      </c>
      <c r="M483" s="14">
        <f>CHOOSE(CONTROL!$C$42, 24.8565, 24.8565) * CHOOSE(CONTROL!$C$21, $C$9, 100%, $E$9)</f>
        <v>24.8565</v>
      </c>
      <c r="N483" s="14">
        <f>CHOOSE(CONTROL!$C$42, 24.8724, 24.8724) * CHOOSE(CONTROL!$C$21, $C$9, 100%, $E$9)</f>
        <v>24.872399999999999</v>
      </c>
      <c r="O483" s="14">
        <f>CHOOSE(CONTROL!$C$42, 24.9499, 24.9499) * CHOOSE(CONTROL!$C$21, $C$9, 100%, $E$9)</f>
        <v>24.9499</v>
      </c>
      <c r="P483" s="14">
        <f>CHOOSE(CONTROL!$C$42, 24.9511, 24.9511) * CHOOSE(CONTROL!$C$21, $C$9, 100%, $E$9)</f>
        <v>24.9511</v>
      </c>
      <c r="Q483" s="14">
        <f>CHOOSE(CONTROL!$C$42, 25.5446, 25.5446) * CHOOSE(CONTROL!$C$21, $C$9, 100%, $E$9)</f>
        <v>25.544599999999999</v>
      </c>
      <c r="R483" s="14">
        <f>CHOOSE(CONTROL!$C$42, 26.1955, 26.1955) * CHOOSE(CONTROL!$C$21, $C$9, 100%, $E$9)</f>
        <v>26.195499999999999</v>
      </c>
      <c r="S483" s="14">
        <f>CHOOSE(CONTROL!$C$42, 24.3762, 24.3762) * CHOOSE(CONTROL!$C$21, $C$9, 100%, $E$9)</f>
        <v>24.376200000000001</v>
      </c>
      <c r="T4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7">
        <f>(1000*CHOOSE(CONTROL!$C$42, 695, 695)*CHOOSE(CONTROL!$C$42, 0.5599, 0.5599)*CHOOSE(CONTROL!$C$42, 31, 31))/1000000</f>
        <v>12.063045499999998</v>
      </c>
      <c r="V483" s="57">
        <f>(1000*CHOOSE(CONTROL!$C$42, 500, 500)*CHOOSE(CONTROL!$C$42, 0.275, 0.275)*CHOOSE(CONTROL!$C$42, 31, 31))/1000000</f>
        <v>4.2625000000000002</v>
      </c>
      <c r="W483" s="57">
        <f>(1000*CHOOSE(CONTROL!$C$42, 0.1146, 0.1146)*CHOOSE(CONTROL!$C$42, 121.5, 121.5)*CHOOSE(CONTROL!$C$42, 31, 31))/1000000</f>
        <v>0.43164089999999994</v>
      </c>
      <c r="X483" s="57">
        <f>(31*0.1790888*100000/1000000)+(31*0.2374*100000/1000000)</f>
        <v>1.2911152800000001</v>
      </c>
      <c r="Y483" s="57"/>
      <c r="Z483" s="14"/>
      <c r="AA483" s="56"/>
      <c r="AB483" s="50">
        <f>(B483*122.58+C483*297.941+D483*89.177+E483*40.302+F483*40+G483*160+H483*0+I483*100+J483*300)/(122.58+297.941+89.177+40.302+0+40+160+100+300)</f>
        <v>25.394307486608696</v>
      </c>
      <c r="AC483" s="45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24.913358992805758</v>
      </c>
    </row>
    <row r="484" spans="1:29" ht="15.75" x14ac:dyDescent="0.25">
      <c r="A484" s="33">
        <v>55639</v>
      </c>
      <c r="B484" s="14">
        <f>CHOOSE(CONTROL!$C$42, 25.3022, 25.3022) * CHOOSE(CONTROL!$C$21, $C$9, 100%, $E$9)</f>
        <v>25.302199999999999</v>
      </c>
      <c r="C484" s="14">
        <f>CHOOSE(CONTROL!$C$42, 25.3067, 25.3067) * CHOOSE(CONTROL!$C$21, $C$9, 100%, $E$9)</f>
        <v>25.306699999999999</v>
      </c>
      <c r="D484" s="14">
        <f>CHOOSE(CONTROL!$C$42, 25.5148, 25.5148) * CHOOSE(CONTROL!$C$21, $C$9, 100%, $E$9)</f>
        <v>25.514800000000001</v>
      </c>
      <c r="E484" s="14">
        <f>CHOOSE(CONTROL!$C$42, 25.5469, 25.5469) * CHOOSE(CONTROL!$C$21, $C$9, 100%, $E$9)</f>
        <v>25.546900000000001</v>
      </c>
      <c r="F484" s="14">
        <f>CHOOSE(CONTROL!$C$42, 25.2896, 25.2896)*CHOOSE(CONTROL!$C$21, $C$9, 100%, $E$9)</f>
        <v>25.2896</v>
      </c>
      <c r="G484" s="14">
        <f>CHOOSE(CONTROL!$C$42, 25.3055, 25.3055)*CHOOSE(CONTROL!$C$21, $C$9, 100%, $E$9)</f>
        <v>25.305499999999999</v>
      </c>
      <c r="H484" s="14">
        <f>CHOOSE(CONTROL!$C$42, 25.5367, 25.5367) * CHOOSE(CONTROL!$C$21, $C$9, 100%, $E$9)</f>
        <v>25.5367</v>
      </c>
      <c r="I484" s="14">
        <f>CHOOSE(CONTROL!$C$42, 25.3909, 25.3909)* CHOOSE(CONTROL!$C$21, $C$9, 100%, $E$9)</f>
        <v>25.390899999999998</v>
      </c>
      <c r="J484" s="14">
        <f>CHOOSE(CONTROL!$C$42, 25.2826, 25.2826)* CHOOSE(CONTROL!$C$21, $C$9, 100%, $E$9)</f>
        <v>25.282599999999999</v>
      </c>
      <c r="K484" s="53">
        <f>CHOOSE(CONTROL!$C$42, 25.387, 25.387) * CHOOSE(CONTROL!$C$21, $C$9, 100%, $E$9)</f>
        <v>25.387</v>
      </c>
      <c r="L484" s="14">
        <f>CHOOSE(CONTROL!$C$42, 26.1237, 26.1237) * CHOOSE(CONTROL!$C$21, $C$9, 100%, $E$9)</f>
        <v>26.123699999999999</v>
      </c>
      <c r="M484" s="14">
        <f>CHOOSE(CONTROL!$C$42, 24.7722, 24.7722) * CHOOSE(CONTROL!$C$21, $C$9, 100%, $E$9)</f>
        <v>24.772200000000002</v>
      </c>
      <c r="N484" s="14">
        <f>CHOOSE(CONTROL!$C$42, 24.7879, 24.7879) * CHOOSE(CONTROL!$C$21, $C$9, 100%, $E$9)</f>
        <v>24.7879</v>
      </c>
      <c r="O484" s="14">
        <f>CHOOSE(CONTROL!$C$42, 25.0212, 25.0212) * CHOOSE(CONTROL!$C$21, $C$9, 100%, $E$9)</f>
        <v>25.0212</v>
      </c>
      <c r="P484" s="14">
        <f>CHOOSE(CONTROL!$C$42, 24.8768, 24.8768) * CHOOSE(CONTROL!$C$21, $C$9, 100%, $E$9)</f>
        <v>24.876799999999999</v>
      </c>
      <c r="Q484" s="14">
        <f>CHOOSE(CONTROL!$C$42, 25.6159, 25.6159) * CHOOSE(CONTROL!$C$21, $C$9, 100%, $E$9)</f>
        <v>25.6159</v>
      </c>
      <c r="R484" s="14">
        <f>CHOOSE(CONTROL!$C$42, 26.2669, 26.2669) * CHOOSE(CONTROL!$C$21, $C$9, 100%, $E$9)</f>
        <v>26.2669</v>
      </c>
      <c r="S484" s="14">
        <f>CHOOSE(CONTROL!$C$42, 24.3036, 24.3036) * CHOOSE(CONTROL!$C$21, $C$9, 100%, $E$9)</f>
        <v>24.303599999999999</v>
      </c>
      <c r="T4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7">
        <f>(1000*CHOOSE(CONTROL!$C$42, 695, 695)*CHOOSE(CONTROL!$C$42, 0.5599, 0.5599)*CHOOSE(CONTROL!$C$42, 30, 30))/1000000</f>
        <v>11.673914999999997</v>
      </c>
      <c r="V484" s="57">
        <f>(1000*CHOOSE(CONTROL!$C$42, 500, 500)*CHOOSE(CONTROL!$C$42, 0.275, 0.275)*CHOOSE(CONTROL!$C$42, 30, 30))/1000000</f>
        <v>4.125</v>
      </c>
      <c r="W484" s="57">
        <f>(1000*CHOOSE(CONTROL!$C$42, 0.1146, 0.1146)*CHOOSE(CONTROL!$C$42, 121.5, 121.5)*CHOOSE(CONTROL!$C$42, 30, 30))/1000000</f>
        <v>0.417717</v>
      </c>
      <c r="X484" s="57">
        <f>(30*0.1790888*245000/1000000)+(30*0.2374*100000/1000000)</f>
        <v>2.0285026799999999</v>
      </c>
      <c r="Y484" s="57"/>
      <c r="Z484" s="14"/>
      <c r="AA484" s="56"/>
      <c r="AB484" s="50">
        <f>(B484*141.293+C484*267.993+D484*115.016+E484*89.698+F484*40+G484*185+H484*0+I484*100+J484*300)/(141.293+267.993+115.016+89.698+0+40+185+100+300)</f>
        <v>25.343123301614206</v>
      </c>
      <c r="AC484" s="45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24.860728057553953</v>
      </c>
    </row>
    <row r="485" spans="1:29" ht="15.75" x14ac:dyDescent="0.25">
      <c r="A485" s="33">
        <v>55670</v>
      </c>
      <c r="B485" s="14">
        <f>CHOOSE(CONTROL!$C$42, 25.5268, 25.5268) * CHOOSE(CONTROL!$C$21, $C$9, 100%, $E$9)</f>
        <v>25.526800000000001</v>
      </c>
      <c r="C485" s="14">
        <f>CHOOSE(CONTROL!$C$42, 25.5349, 25.5349) * CHOOSE(CONTROL!$C$21, $C$9, 100%, $E$9)</f>
        <v>25.5349</v>
      </c>
      <c r="D485" s="14">
        <f>CHOOSE(CONTROL!$C$42, 25.7398, 25.7398) * CHOOSE(CONTROL!$C$21, $C$9, 100%, $E$9)</f>
        <v>25.739799999999999</v>
      </c>
      <c r="E485" s="14">
        <f>CHOOSE(CONTROL!$C$42, 25.7713, 25.7713) * CHOOSE(CONTROL!$C$21, $C$9, 100%, $E$9)</f>
        <v>25.7713</v>
      </c>
      <c r="F485" s="14">
        <f>CHOOSE(CONTROL!$C$42, 25.513, 25.513)*CHOOSE(CONTROL!$C$21, $C$9, 100%, $E$9)</f>
        <v>25.513000000000002</v>
      </c>
      <c r="G485" s="14">
        <f>CHOOSE(CONTROL!$C$42, 25.5294, 25.5294)*CHOOSE(CONTROL!$C$21, $C$9, 100%, $E$9)</f>
        <v>25.529399999999999</v>
      </c>
      <c r="H485" s="14">
        <f>CHOOSE(CONTROL!$C$42, 25.7599, 25.7599) * CHOOSE(CONTROL!$C$21, $C$9, 100%, $E$9)</f>
        <v>25.759899999999998</v>
      </c>
      <c r="I485" s="14">
        <f>CHOOSE(CONTROL!$C$42, 25.6148, 25.6148)* CHOOSE(CONTROL!$C$21, $C$9, 100%, $E$9)</f>
        <v>25.614799999999999</v>
      </c>
      <c r="J485" s="14">
        <f>CHOOSE(CONTROL!$C$42, 25.506, 25.506)* CHOOSE(CONTROL!$C$21, $C$9, 100%, $E$9)</f>
        <v>25.506</v>
      </c>
      <c r="K485" s="53">
        <f>CHOOSE(CONTROL!$C$42, 25.6109, 25.6109) * CHOOSE(CONTROL!$C$21, $C$9, 100%, $E$9)</f>
        <v>25.610900000000001</v>
      </c>
      <c r="L485" s="14">
        <f>CHOOSE(CONTROL!$C$42, 26.3469, 26.3469) * CHOOSE(CONTROL!$C$21, $C$9, 100%, $E$9)</f>
        <v>26.346900000000002</v>
      </c>
      <c r="M485" s="14">
        <f>CHOOSE(CONTROL!$C$42, 24.9911, 24.9911) * CHOOSE(CONTROL!$C$21, $C$9, 100%, $E$9)</f>
        <v>24.991099999999999</v>
      </c>
      <c r="N485" s="14">
        <f>CHOOSE(CONTROL!$C$42, 25.0072, 25.0072) * CHOOSE(CONTROL!$C$21, $C$9, 100%, $E$9)</f>
        <v>25.007200000000001</v>
      </c>
      <c r="O485" s="14">
        <f>CHOOSE(CONTROL!$C$42, 25.2398, 25.2398) * CHOOSE(CONTROL!$C$21, $C$9, 100%, $E$9)</f>
        <v>25.239799999999999</v>
      </c>
      <c r="P485" s="14">
        <f>CHOOSE(CONTROL!$C$42, 25.0962, 25.0962) * CHOOSE(CONTROL!$C$21, $C$9, 100%, $E$9)</f>
        <v>25.0962</v>
      </c>
      <c r="Q485" s="14">
        <f>CHOOSE(CONTROL!$C$42, 25.8345, 25.8345) * CHOOSE(CONTROL!$C$21, $C$9, 100%, $E$9)</f>
        <v>25.834499999999998</v>
      </c>
      <c r="R485" s="14">
        <f>CHOOSE(CONTROL!$C$42, 26.4861, 26.4861) * CHOOSE(CONTROL!$C$21, $C$9, 100%, $E$9)</f>
        <v>26.4861</v>
      </c>
      <c r="S485" s="14">
        <f>CHOOSE(CONTROL!$C$42, 24.5181, 24.5181) * CHOOSE(CONTROL!$C$21, $C$9, 100%, $E$9)</f>
        <v>24.5181</v>
      </c>
      <c r="T4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7">
        <f>(1000*CHOOSE(CONTROL!$C$42, 695, 695)*CHOOSE(CONTROL!$C$42, 0.5599, 0.5599)*CHOOSE(CONTROL!$C$42, 31, 31))/1000000</f>
        <v>12.063045499999998</v>
      </c>
      <c r="V485" s="57">
        <f>(1000*CHOOSE(CONTROL!$C$42, 500, 500)*CHOOSE(CONTROL!$C$42, 0.275, 0.275)*CHOOSE(CONTROL!$C$42, 31, 31))/1000000</f>
        <v>4.2625000000000002</v>
      </c>
      <c r="W485" s="57">
        <f>(1000*CHOOSE(CONTROL!$C$42, 0.1146, 0.1146)*CHOOSE(CONTROL!$C$42, 121.5, 121.5)*CHOOSE(CONTROL!$C$42, 31, 31))/1000000</f>
        <v>0.43164089999999994</v>
      </c>
      <c r="X485" s="57">
        <f>(31*0.1790888*245000/1000000)+(31*0.2374*100000/1000000)</f>
        <v>2.0961194359999999</v>
      </c>
      <c r="Y485" s="57"/>
      <c r="Z485" s="14"/>
      <c r="AA485" s="56"/>
      <c r="AB485" s="50">
        <f>(B485*194.205+C485*267.466+D485*133.845+E485*53.484+F485*40+G485*185+H485*0+I485*100+J485*300)/(194.205+267.466+133.845+53.484+0+40+185+100+300)</f>
        <v>25.563096151962323</v>
      </c>
      <c r="AC485" s="45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25.079707913669061</v>
      </c>
    </row>
    <row r="486" spans="1:29" ht="15.75" x14ac:dyDescent="0.25">
      <c r="A486" s="33">
        <v>55700</v>
      </c>
      <c r="B486" s="14">
        <f>CHOOSE(CONTROL!$C$42, 26.2506, 26.2506) * CHOOSE(CONTROL!$C$21, $C$9, 100%, $E$9)</f>
        <v>26.250599999999999</v>
      </c>
      <c r="C486" s="14">
        <f>CHOOSE(CONTROL!$C$42, 26.2586, 26.2586) * CHOOSE(CONTROL!$C$21, $C$9, 100%, $E$9)</f>
        <v>26.258600000000001</v>
      </c>
      <c r="D486" s="14">
        <f>CHOOSE(CONTROL!$C$42, 26.4636, 26.4636) * CHOOSE(CONTROL!$C$21, $C$9, 100%, $E$9)</f>
        <v>26.4636</v>
      </c>
      <c r="E486" s="14">
        <f>CHOOSE(CONTROL!$C$42, 26.4951, 26.4951) * CHOOSE(CONTROL!$C$21, $C$9, 100%, $E$9)</f>
        <v>26.495100000000001</v>
      </c>
      <c r="F486" s="14">
        <f>CHOOSE(CONTROL!$C$42, 26.2372, 26.2372)*CHOOSE(CONTROL!$C$21, $C$9, 100%, $E$9)</f>
        <v>26.237200000000001</v>
      </c>
      <c r="G486" s="14">
        <f>CHOOSE(CONTROL!$C$42, 26.2537, 26.2537)*CHOOSE(CONTROL!$C$21, $C$9, 100%, $E$9)</f>
        <v>26.253699999999998</v>
      </c>
      <c r="H486" s="14">
        <f>CHOOSE(CONTROL!$C$42, 26.4837, 26.4837) * CHOOSE(CONTROL!$C$21, $C$9, 100%, $E$9)</f>
        <v>26.483699999999999</v>
      </c>
      <c r="I486" s="14">
        <f>CHOOSE(CONTROL!$C$42, 26.3409, 26.3409)* CHOOSE(CONTROL!$C$21, $C$9, 100%, $E$9)</f>
        <v>26.340900000000001</v>
      </c>
      <c r="J486" s="14">
        <f>CHOOSE(CONTROL!$C$42, 26.2302, 26.2302)* CHOOSE(CONTROL!$C$21, $C$9, 100%, $E$9)</f>
        <v>26.2302</v>
      </c>
      <c r="K486" s="53">
        <f>CHOOSE(CONTROL!$C$42, 26.337, 26.337) * CHOOSE(CONTROL!$C$21, $C$9, 100%, $E$9)</f>
        <v>26.337</v>
      </c>
      <c r="L486" s="14">
        <f>CHOOSE(CONTROL!$C$42, 27.0707, 27.0707) * CHOOSE(CONTROL!$C$21, $C$9, 100%, $E$9)</f>
        <v>27.070699999999999</v>
      </c>
      <c r="M486" s="14">
        <f>CHOOSE(CONTROL!$C$42, 25.7004, 25.7004) * CHOOSE(CONTROL!$C$21, $C$9, 100%, $E$9)</f>
        <v>25.700399999999998</v>
      </c>
      <c r="N486" s="14">
        <f>CHOOSE(CONTROL!$C$42, 25.7166, 25.7166) * CHOOSE(CONTROL!$C$21, $C$9, 100%, $E$9)</f>
        <v>25.7166</v>
      </c>
      <c r="O486" s="14">
        <f>CHOOSE(CONTROL!$C$42, 25.9488, 25.9488) * CHOOSE(CONTROL!$C$21, $C$9, 100%, $E$9)</f>
        <v>25.948799999999999</v>
      </c>
      <c r="P486" s="14">
        <f>CHOOSE(CONTROL!$C$42, 25.8073, 25.8073) * CHOOSE(CONTROL!$C$21, $C$9, 100%, $E$9)</f>
        <v>25.807300000000001</v>
      </c>
      <c r="Q486" s="14">
        <f>CHOOSE(CONTROL!$C$42, 26.5435, 26.5435) * CHOOSE(CONTROL!$C$21, $C$9, 100%, $E$9)</f>
        <v>26.543500000000002</v>
      </c>
      <c r="R486" s="14">
        <f>CHOOSE(CONTROL!$C$42, 27.1968, 27.1968) * CHOOSE(CONTROL!$C$21, $C$9, 100%, $E$9)</f>
        <v>27.1968</v>
      </c>
      <c r="S486" s="14">
        <f>CHOOSE(CONTROL!$C$42, 25.2136, 25.2136) * CHOOSE(CONTROL!$C$21, $C$9, 100%, $E$9)</f>
        <v>25.2136</v>
      </c>
      <c r="T4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7">
        <f>(1000*CHOOSE(CONTROL!$C$42, 695, 695)*CHOOSE(CONTROL!$C$42, 0.5599, 0.5599)*CHOOSE(CONTROL!$C$42, 30, 30))/1000000</f>
        <v>11.673914999999997</v>
      </c>
      <c r="V486" s="57">
        <f>(1000*CHOOSE(CONTROL!$C$42, 500, 500)*CHOOSE(CONTROL!$C$42, 0.275, 0.275)*CHOOSE(CONTROL!$C$42, 30, 30))/1000000</f>
        <v>4.125</v>
      </c>
      <c r="W486" s="57">
        <f>(1000*CHOOSE(CONTROL!$C$42, 0.1146, 0.1146)*CHOOSE(CONTROL!$C$42, 121.5, 121.5)*CHOOSE(CONTROL!$C$42, 30, 30))/1000000</f>
        <v>0.417717</v>
      </c>
      <c r="X486" s="57">
        <f>(30*0.1790888*245000/1000000)+(30*0.2374*100000/1000000)</f>
        <v>2.0285026799999999</v>
      </c>
      <c r="Y486" s="57"/>
      <c r="Z486" s="14"/>
      <c r="AA486" s="56"/>
      <c r="AB486" s="50">
        <f>(B486*194.205+C486*267.466+D486*133.845+E486*53.484+F486*40+G486*185+H486*0+I486*100+J486*300)/(194.205+267.466+133.845+53.484+0+40+185+100+300)</f>
        <v>26.287235047880689</v>
      </c>
      <c r="AC486" s="45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25.789205755395685</v>
      </c>
    </row>
    <row r="487" spans="1:29" ht="15.75" x14ac:dyDescent="0.25">
      <c r="A487" s="33">
        <v>55731</v>
      </c>
      <c r="B487" s="14">
        <f>CHOOSE(CONTROL!$C$42, 25.7472, 25.7472) * CHOOSE(CONTROL!$C$21, $C$9, 100%, $E$9)</f>
        <v>25.747199999999999</v>
      </c>
      <c r="C487" s="14">
        <f>CHOOSE(CONTROL!$C$42, 25.7552, 25.7552) * CHOOSE(CONTROL!$C$21, $C$9, 100%, $E$9)</f>
        <v>25.755199999999999</v>
      </c>
      <c r="D487" s="14">
        <f>CHOOSE(CONTROL!$C$42, 25.9602, 25.9602) * CHOOSE(CONTROL!$C$21, $C$9, 100%, $E$9)</f>
        <v>25.9602</v>
      </c>
      <c r="E487" s="14">
        <f>CHOOSE(CONTROL!$C$42, 25.9917, 25.9917) * CHOOSE(CONTROL!$C$21, $C$9, 100%, $E$9)</f>
        <v>25.991700000000002</v>
      </c>
      <c r="F487" s="14">
        <f>CHOOSE(CONTROL!$C$42, 25.7342, 25.7342)*CHOOSE(CONTROL!$C$21, $C$9, 100%, $E$9)</f>
        <v>25.734200000000001</v>
      </c>
      <c r="G487" s="14">
        <f>CHOOSE(CONTROL!$C$42, 25.7508, 25.7508)*CHOOSE(CONTROL!$C$21, $C$9, 100%, $E$9)</f>
        <v>25.750800000000002</v>
      </c>
      <c r="H487" s="14">
        <f>CHOOSE(CONTROL!$C$42, 25.9803, 25.9803) * CHOOSE(CONTROL!$C$21, $C$9, 100%, $E$9)</f>
        <v>25.9803</v>
      </c>
      <c r="I487" s="14">
        <f>CHOOSE(CONTROL!$C$42, 25.8359, 25.8359)* CHOOSE(CONTROL!$C$21, $C$9, 100%, $E$9)</f>
        <v>25.835899999999999</v>
      </c>
      <c r="J487" s="14">
        <f>CHOOSE(CONTROL!$C$42, 25.7272, 25.7272)* CHOOSE(CONTROL!$C$21, $C$9, 100%, $E$9)</f>
        <v>25.7272</v>
      </c>
      <c r="K487" s="53">
        <f>CHOOSE(CONTROL!$C$42, 25.832, 25.832) * CHOOSE(CONTROL!$C$21, $C$9, 100%, $E$9)</f>
        <v>25.832000000000001</v>
      </c>
      <c r="L487" s="14">
        <f>CHOOSE(CONTROL!$C$42, 26.5673, 26.5673) * CHOOSE(CONTROL!$C$21, $C$9, 100%, $E$9)</f>
        <v>26.567299999999999</v>
      </c>
      <c r="M487" s="14">
        <f>CHOOSE(CONTROL!$C$42, 25.2078, 25.2078) * CHOOSE(CONTROL!$C$21, $C$9, 100%, $E$9)</f>
        <v>25.207799999999999</v>
      </c>
      <c r="N487" s="14">
        <f>CHOOSE(CONTROL!$C$42, 25.224, 25.224) * CHOOSE(CONTROL!$C$21, $C$9, 100%, $E$9)</f>
        <v>25.224</v>
      </c>
      <c r="O487" s="14">
        <f>CHOOSE(CONTROL!$C$42, 25.4557, 25.4557) * CHOOSE(CONTROL!$C$21, $C$9, 100%, $E$9)</f>
        <v>25.4557</v>
      </c>
      <c r="P487" s="14">
        <f>CHOOSE(CONTROL!$C$42, 25.3127, 25.3127) * CHOOSE(CONTROL!$C$21, $C$9, 100%, $E$9)</f>
        <v>25.3127</v>
      </c>
      <c r="Q487" s="14">
        <f>CHOOSE(CONTROL!$C$42, 26.0504, 26.0504) * CHOOSE(CONTROL!$C$21, $C$9, 100%, $E$9)</f>
        <v>26.0504</v>
      </c>
      <c r="R487" s="14">
        <f>CHOOSE(CONTROL!$C$42, 26.7025, 26.7025) * CHOOSE(CONTROL!$C$21, $C$9, 100%, $E$9)</f>
        <v>26.702500000000001</v>
      </c>
      <c r="S487" s="14">
        <f>CHOOSE(CONTROL!$C$42, 24.7299, 24.7299) * CHOOSE(CONTROL!$C$21, $C$9, 100%, $E$9)</f>
        <v>24.729900000000001</v>
      </c>
      <c r="T4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7">
        <f>(1000*CHOOSE(CONTROL!$C$42, 695, 695)*CHOOSE(CONTROL!$C$42, 0.5599, 0.5599)*CHOOSE(CONTROL!$C$42, 31, 31))/1000000</f>
        <v>12.063045499999998</v>
      </c>
      <c r="V487" s="57">
        <f>(1000*CHOOSE(CONTROL!$C$42, 500, 500)*CHOOSE(CONTROL!$C$42, 0.275, 0.275)*CHOOSE(CONTROL!$C$42, 31, 31))/1000000</f>
        <v>4.2625000000000002</v>
      </c>
      <c r="W487" s="57">
        <f>(1000*CHOOSE(CONTROL!$C$42, 0.1146, 0.1146)*CHOOSE(CONTROL!$C$42, 121.5, 121.5)*CHOOSE(CONTROL!$C$42, 31, 31))/1000000</f>
        <v>0.43164089999999994</v>
      </c>
      <c r="X487" s="57">
        <f>(31*0.1790888*245000/1000000)+(31*0.2374*100000/1000000)</f>
        <v>2.0961194359999999</v>
      </c>
      <c r="Y487" s="57"/>
      <c r="Z487" s="14"/>
      <c r="AA487" s="56"/>
      <c r="AB487" s="50">
        <f>(B487*194.205+C487*267.466+D487*133.845+E487*53.484+F487*40+G487*185+H487*0+I487*100+J487*300)/(194.205+267.466+133.845+53.484+0+40+185+100+300)</f>
        <v>25.783888815541602</v>
      </c>
      <c r="AC487" s="45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25.296177697841724</v>
      </c>
    </row>
    <row r="488" spans="1:29" ht="15.75" x14ac:dyDescent="0.25">
      <c r="A488" s="33">
        <v>55762</v>
      </c>
      <c r="B488" s="14">
        <f>CHOOSE(CONTROL!$C$42, 24.476, 24.476) * CHOOSE(CONTROL!$C$21, $C$9, 100%, $E$9)</f>
        <v>24.475999999999999</v>
      </c>
      <c r="C488" s="14">
        <f>CHOOSE(CONTROL!$C$42, 24.4841, 24.4841) * CHOOSE(CONTROL!$C$21, $C$9, 100%, $E$9)</f>
        <v>24.484100000000002</v>
      </c>
      <c r="D488" s="14">
        <f>CHOOSE(CONTROL!$C$42, 24.689, 24.689) * CHOOSE(CONTROL!$C$21, $C$9, 100%, $E$9)</f>
        <v>24.689</v>
      </c>
      <c r="E488" s="14">
        <f>CHOOSE(CONTROL!$C$42, 24.7205, 24.7205) * CHOOSE(CONTROL!$C$21, $C$9, 100%, $E$9)</f>
        <v>24.720500000000001</v>
      </c>
      <c r="F488" s="14">
        <f>CHOOSE(CONTROL!$C$42, 24.4632, 24.4632)*CHOOSE(CONTROL!$C$21, $C$9, 100%, $E$9)</f>
        <v>24.463200000000001</v>
      </c>
      <c r="G488" s="14">
        <f>CHOOSE(CONTROL!$C$42, 24.4799, 24.4799)*CHOOSE(CONTROL!$C$21, $C$9, 100%, $E$9)</f>
        <v>24.479900000000001</v>
      </c>
      <c r="H488" s="14">
        <f>CHOOSE(CONTROL!$C$42, 24.7091, 24.7091) * CHOOSE(CONTROL!$C$21, $C$9, 100%, $E$9)</f>
        <v>24.709099999999999</v>
      </c>
      <c r="I488" s="14">
        <f>CHOOSE(CONTROL!$C$42, 24.5607, 24.5607)* CHOOSE(CONTROL!$C$21, $C$9, 100%, $E$9)</f>
        <v>24.560700000000001</v>
      </c>
      <c r="J488" s="14">
        <f>CHOOSE(CONTROL!$C$42, 24.4562, 24.4562)* CHOOSE(CONTROL!$C$21, $C$9, 100%, $E$9)</f>
        <v>24.456199999999999</v>
      </c>
      <c r="K488" s="53">
        <f>CHOOSE(CONTROL!$C$42, 24.5568, 24.5568) * CHOOSE(CONTROL!$C$21, $C$9, 100%, $E$9)</f>
        <v>24.556799999999999</v>
      </c>
      <c r="L488" s="14">
        <f>CHOOSE(CONTROL!$C$42, 25.2961, 25.2961) * CHOOSE(CONTROL!$C$21, $C$9, 100%, $E$9)</f>
        <v>25.296099999999999</v>
      </c>
      <c r="M488" s="14">
        <f>CHOOSE(CONTROL!$C$42, 23.9628, 23.9628) * CHOOSE(CONTROL!$C$21, $C$9, 100%, $E$9)</f>
        <v>23.962800000000001</v>
      </c>
      <c r="N488" s="14">
        <f>CHOOSE(CONTROL!$C$42, 23.9792, 23.9792) * CHOOSE(CONTROL!$C$21, $C$9, 100%, $E$9)</f>
        <v>23.979199999999999</v>
      </c>
      <c r="O488" s="14">
        <f>CHOOSE(CONTROL!$C$42, 24.2105, 24.2105) * CHOOSE(CONTROL!$C$21, $C$9, 100%, $E$9)</f>
        <v>24.2105</v>
      </c>
      <c r="P488" s="14">
        <f>CHOOSE(CONTROL!$C$42, 24.0637, 24.0637) * CHOOSE(CONTROL!$C$21, $C$9, 100%, $E$9)</f>
        <v>24.063700000000001</v>
      </c>
      <c r="Q488" s="14">
        <f>CHOOSE(CONTROL!$C$42, 24.8052, 24.8052) * CHOOSE(CONTROL!$C$21, $C$9, 100%, $E$9)</f>
        <v>24.805199999999999</v>
      </c>
      <c r="R488" s="14">
        <f>CHOOSE(CONTROL!$C$42, 25.4543, 25.4543) * CHOOSE(CONTROL!$C$21, $C$9, 100%, $E$9)</f>
        <v>25.4543</v>
      </c>
      <c r="S488" s="14">
        <f>CHOOSE(CONTROL!$C$42, 23.5084, 23.5084) * CHOOSE(CONTROL!$C$21, $C$9, 100%, $E$9)</f>
        <v>23.508400000000002</v>
      </c>
      <c r="T4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7">
        <f>(1000*CHOOSE(CONTROL!$C$42, 695, 695)*CHOOSE(CONTROL!$C$42, 0.5599, 0.5599)*CHOOSE(CONTROL!$C$42, 31, 31))/1000000</f>
        <v>12.063045499999998</v>
      </c>
      <c r="V488" s="57">
        <f>(1000*CHOOSE(CONTROL!$C$42, 500, 500)*CHOOSE(CONTROL!$C$42, 0.275, 0.275)*CHOOSE(CONTROL!$C$42, 31, 31))/1000000</f>
        <v>4.2625000000000002</v>
      </c>
      <c r="W488" s="57">
        <f>(1000*CHOOSE(CONTROL!$C$42, 0.1146, 0.1146)*CHOOSE(CONTROL!$C$42, 121.5, 121.5)*CHOOSE(CONTROL!$C$42, 31, 31))/1000000</f>
        <v>0.43164089999999994</v>
      </c>
      <c r="X488" s="57">
        <f>(31*0.1790888*245000/1000000)+(31*0.2374*100000/1000000)</f>
        <v>2.0961194359999999</v>
      </c>
      <c r="Y488" s="57"/>
      <c r="Z488" s="14"/>
      <c r="AA488" s="56"/>
      <c r="AB488" s="50">
        <f>(B488*194.205+C488*267.466+D488*133.845+E488*53.484+F488*40+G488*185+H488*0+I488*100+J488*300)/(194.205+267.466+133.845+53.484+0+40+185+100+300)</f>
        <v>24.512492776766091</v>
      </c>
      <c r="AC488" s="45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24.050592086330933</v>
      </c>
    </row>
    <row r="489" spans="1:29" ht="15.75" x14ac:dyDescent="0.25">
      <c r="A489" s="33">
        <v>55792</v>
      </c>
      <c r="B489" s="14">
        <f>CHOOSE(CONTROL!$C$42, 22.9225, 22.9225) * CHOOSE(CONTROL!$C$21, $C$9, 100%, $E$9)</f>
        <v>22.922499999999999</v>
      </c>
      <c r="C489" s="14">
        <f>CHOOSE(CONTROL!$C$42, 22.9305, 22.9305) * CHOOSE(CONTROL!$C$21, $C$9, 100%, $E$9)</f>
        <v>22.930499999999999</v>
      </c>
      <c r="D489" s="14">
        <f>CHOOSE(CONTROL!$C$42, 23.1355, 23.1355) * CHOOSE(CONTROL!$C$21, $C$9, 100%, $E$9)</f>
        <v>23.1355</v>
      </c>
      <c r="E489" s="14">
        <f>CHOOSE(CONTROL!$C$42, 23.1669, 23.1669) * CHOOSE(CONTROL!$C$21, $C$9, 100%, $E$9)</f>
        <v>23.166899999999998</v>
      </c>
      <c r="F489" s="14">
        <f>CHOOSE(CONTROL!$C$42, 22.9096, 22.9096)*CHOOSE(CONTROL!$C$21, $C$9, 100%, $E$9)</f>
        <v>22.909600000000001</v>
      </c>
      <c r="G489" s="14">
        <f>CHOOSE(CONTROL!$C$42, 22.9263, 22.9263)*CHOOSE(CONTROL!$C$21, $C$9, 100%, $E$9)</f>
        <v>22.926300000000001</v>
      </c>
      <c r="H489" s="14">
        <f>CHOOSE(CONTROL!$C$42, 23.1556, 23.1556) * CHOOSE(CONTROL!$C$21, $C$9, 100%, $E$9)</f>
        <v>23.1556</v>
      </c>
      <c r="I489" s="14">
        <f>CHOOSE(CONTROL!$C$42, 23.0023, 23.0023)* CHOOSE(CONTROL!$C$21, $C$9, 100%, $E$9)</f>
        <v>23.002300000000002</v>
      </c>
      <c r="J489" s="14">
        <f>CHOOSE(CONTROL!$C$42, 22.9026, 22.9026)* CHOOSE(CONTROL!$C$21, $C$9, 100%, $E$9)</f>
        <v>22.9026</v>
      </c>
      <c r="K489" s="53">
        <f>CHOOSE(CONTROL!$C$42, 22.9984, 22.9984) * CHOOSE(CONTROL!$C$21, $C$9, 100%, $E$9)</f>
        <v>22.9984</v>
      </c>
      <c r="L489" s="14">
        <f>CHOOSE(CONTROL!$C$42, 23.7426, 23.7426) * CHOOSE(CONTROL!$C$21, $C$9, 100%, $E$9)</f>
        <v>23.742599999999999</v>
      </c>
      <c r="M489" s="14">
        <f>CHOOSE(CONTROL!$C$42, 22.4411, 22.4411) * CHOOSE(CONTROL!$C$21, $C$9, 100%, $E$9)</f>
        <v>22.441099999999999</v>
      </c>
      <c r="N489" s="14">
        <f>CHOOSE(CONTROL!$C$42, 22.4574, 22.4574) * CHOOSE(CONTROL!$C$21, $C$9, 100%, $E$9)</f>
        <v>22.4574</v>
      </c>
      <c r="O489" s="14">
        <f>CHOOSE(CONTROL!$C$42, 22.6888, 22.6888) * CHOOSE(CONTROL!$C$21, $C$9, 100%, $E$9)</f>
        <v>22.688800000000001</v>
      </c>
      <c r="P489" s="14">
        <f>CHOOSE(CONTROL!$C$42, 22.5373, 22.5373) * CHOOSE(CONTROL!$C$21, $C$9, 100%, $E$9)</f>
        <v>22.537299999999998</v>
      </c>
      <c r="Q489" s="14">
        <f>CHOOSE(CONTROL!$C$42, 23.2835, 23.2835) * CHOOSE(CONTROL!$C$21, $C$9, 100%, $E$9)</f>
        <v>23.2835</v>
      </c>
      <c r="R489" s="14">
        <f>CHOOSE(CONTROL!$C$42, 23.9287, 23.9287) * CHOOSE(CONTROL!$C$21, $C$9, 100%, $E$9)</f>
        <v>23.928699999999999</v>
      </c>
      <c r="S489" s="14">
        <f>CHOOSE(CONTROL!$C$42, 22.0156, 22.0156) * CHOOSE(CONTROL!$C$21, $C$9, 100%, $E$9)</f>
        <v>22.015599999999999</v>
      </c>
      <c r="T4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7">
        <f>(1000*CHOOSE(CONTROL!$C$42, 695, 695)*CHOOSE(CONTROL!$C$42, 0.5599, 0.5599)*CHOOSE(CONTROL!$C$42, 30, 30))/1000000</f>
        <v>11.673914999999997</v>
      </c>
      <c r="V489" s="57">
        <f>(1000*CHOOSE(CONTROL!$C$42, 500, 500)*CHOOSE(CONTROL!$C$42, 0.275, 0.275)*CHOOSE(CONTROL!$C$42, 30, 30))/1000000</f>
        <v>4.125</v>
      </c>
      <c r="W489" s="57">
        <f>(1000*CHOOSE(CONTROL!$C$42, 0.1146, 0.1146)*CHOOSE(CONTROL!$C$42, 121.5, 121.5)*CHOOSE(CONTROL!$C$42, 30, 30))/1000000</f>
        <v>0.417717</v>
      </c>
      <c r="X489" s="57">
        <f>(30*0.1790888*245000/1000000)+(30*0.2374*100000/1000000)</f>
        <v>2.0285026799999999</v>
      </c>
      <c r="Y489" s="57"/>
      <c r="Z489" s="14"/>
      <c r="AA489" s="56"/>
      <c r="AB489" s="50">
        <f>(B489*194.205+C489*267.466+D489*133.845+E489*53.484+F489*40+G489*185+H489*0+I489*100+J489*300)/(194.205+267.466+133.845+53.484+0+40+185+100+300)</f>
        <v>22.958541760282571</v>
      </c>
      <c r="AC489" s="45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22.528192805755392</v>
      </c>
    </row>
    <row r="490" spans="1:29" ht="15.75" x14ac:dyDescent="0.25">
      <c r="A490" s="33">
        <v>55823</v>
      </c>
      <c r="B490" s="14">
        <f>CHOOSE(CONTROL!$C$42, 22.4555, 22.4555) * CHOOSE(CONTROL!$C$21, $C$9, 100%, $E$9)</f>
        <v>22.455500000000001</v>
      </c>
      <c r="C490" s="14">
        <f>CHOOSE(CONTROL!$C$42, 22.4609, 22.4609) * CHOOSE(CONTROL!$C$21, $C$9, 100%, $E$9)</f>
        <v>22.460899999999999</v>
      </c>
      <c r="D490" s="14">
        <f>CHOOSE(CONTROL!$C$42, 22.6708, 22.6708) * CHOOSE(CONTROL!$C$21, $C$9, 100%, $E$9)</f>
        <v>22.6708</v>
      </c>
      <c r="E490" s="14">
        <f>CHOOSE(CONTROL!$C$42, 22.6999, 22.6999) * CHOOSE(CONTROL!$C$21, $C$9, 100%, $E$9)</f>
        <v>22.6999</v>
      </c>
      <c r="F490" s="14">
        <f>CHOOSE(CONTROL!$C$42, 22.4448, 22.4448)*CHOOSE(CONTROL!$C$21, $C$9, 100%, $E$9)</f>
        <v>22.444800000000001</v>
      </c>
      <c r="G490" s="14">
        <f>CHOOSE(CONTROL!$C$42, 22.4611, 22.4611)*CHOOSE(CONTROL!$C$21, $C$9, 100%, $E$9)</f>
        <v>22.461099999999998</v>
      </c>
      <c r="H490" s="14">
        <f>CHOOSE(CONTROL!$C$42, 22.6904, 22.6904) * CHOOSE(CONTROL!$C$21, $C$9, 100%, $E$9)</f>
        <v>22.6904</v>
      </c>
      <c r="I490" s="14">
        <f>CHOOSE(CONTROL!$C$42, 22.5357, 22.5357)* CHOOSE(CONTROL!$C$21, $C$9, 100%, $E$9)</f>
        <v>22.535699999999999</v>
      </c>
      <c r="J490" s="14">
        <f>CHOOSE(CONTROL!$C$42, 22.4378, 22.4378)* CHOOSE(CONTROL!$C$21, $C$9, 100%, $E$9)</f>
        <v>22.437799999999999</v>
      </c>
      <c r="K490" s="53">
        <f>CHOOSE(CONTROL!$C$42, 22.5318, 22.5318) * CHOOSE(CONTROL!$C$21, $C$9, 100%, $E$9)</f>
        <v>22.5318</v>
      </c>
      <c r="L490" s="14">
        <f>CHOOSE(CONTROL!$C$42, 23.2774, 23.2774) * CHOOSE(CONTROL!$C$21, $C$9, 100%, $E$9)</f>
        <v>23.2774</v>
      </c>
      <c r="M490" s="14">
        <f>CHOOSE(CONTROL!$C$42, 21.9857, 21.9857) * CHOOSE(CONTROL!$C$21, $C$9, 100%, $E$9)</f>
        <v>21.985700000000001</v>
      </c>
      <c r="N490" s="14">
        <f>CHOOSE(CONTROL!$C$42, 22.0017, 22.0017) * CHOOSE(CONTROL!$C$21, $C$9, 100%, $E$9)</f>
        <v>22.0017</v>
      </c>
      <c r="O490" s="14">
        <f>CHOOSE(CONTROL!$C$42, 22.2332, 22.2332) * CHOOSE(CONTROL!$C$21, $C$9, 100%, $E$9)</f>
        <v>22.2332</v>
      </c>
      <c r="P490" s="14">
        <f>CHOOSE(CONTROL!$C$42, 22.0803, 22.0803) * CHOOSE(CONTROL!$C$21, $C$9, 100%, $E$9)</f>
        <v>22.080300000000001</v>
      </c>
      <c r="Q490" s="14">
        <f>CHOOSE(CONTROL!$C$42, 22.8279, 22.8279) * CHOOSE(CONTROL!$C$21, $C$9, 100%, $E$9)</f>
        <v>22.8279</v>
      </c>
      <c r="R490" s="14">
        <f>CHOOSE(CONTROL!$C$42, 23.472, 23.472) * CHOOSE(CONTROL!$C$21, $C$9, 100%, $E$9)</f>
        <v>23.472000000000001</v>
      </c>
      <c r="S490" s="14">
        <f>CHOOSE(CONTROL!$C$42, 21.5686, 21.5686) * CHOOSE(CONTROL!$C$21, $C$9, 100%, $E$9)</f>
        <v>21.5686</v>
      </c>
      <c r="T4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7">
        <f>(1000*CHOOSE(CONTROL!$C$42, 695, 695)*CHOOSE(CONTROL!$C$42, 0.5599, 0.5599)*CHOOSE(CONTROL!$C$42, 31, 31))/1000000</f>
        <v>12.063045499999998</v>
      </c>
      <c r="V490" s="57">
        <f>(1000*CHOOSE(CONTROL!$C$42, 500, 500)*CHOOSE(CONTROL!$C$42, 0.275, 0.275)*CHOOSE(CONTROL!$C$42, 31, 31))/1000000</f>
        <v>4.2625000000000002</v>
      </c>
      <c r="W490" s="57">
        <f>(1000*CHOOSE(CONTROL!$C$42, 0.1146, 0.1146)*CHOOSE(CONTROL!$C$42, 121.5, 121.5)*CHOOSE(CONTROL!$C$42, 31, 31))/1000000</f>
        <v>0.43164089999999994</v>
      </c>
      <c r="X490" s="57">
        <f>(31*0.1790888*245000/1000000)+(31*0.2374*100000/1000000)</f>
        <v>2.0961194359999999</v>
      </c>
      <c r="Y490" s="57"/>
      <c r="Z490" s="14"/>
      <c r="AA490" s="56"/>
      <c r="AB490" s="50">
        <f>(B490*131.881+C490*277.167+D490*79.08+E490*125.872+F490*40+G490*185+H490*0+I490*100+J490*300)/(131.881+277.167+79.08+125.872+0+40+185+100+300)</f>
        <v>22.497956612267956</v>
      </c>
      <c r="AC490" s="45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22.072437410071945</v>
      </c>
    </row>
    <row r="491" spans="1:29" ht="15.75" x14ac:dyDescent="0.25">
      <c r="A491" s="33">
        <v>55853</v>
      </c>
      <c r="B491" s="14">
        <f>CHOOSE(CONTROL!$C$42, 23.0465, 23.0465) * CHOOSE(CONTROL!$C$21, $C$9, 100%, $E$9)</f>
        <v>23.046500000000002</v>
      </c>
      <c r="C491" s="14">
        <f>CHOOSE(CONTROL!$C$42, 23.0515, 23.0515) * CHOOSE(CONTROL!$C$21, $C$9, 100%, $E$9)</f>
        <v>23.051500000000001</v>
      </c>
      <c r="D491" s="14">
        <f>CHOOSE(CONTROL!$C$42, 23.1153, 23.1153) * CHOOSE(CONTROL!$C$21, $C$9, 100%, $E$9)</f>
        <v>23.115300000000001</v>
      </c>
      <c r="E491" s="14">
        <f>CHOOSE(CONTROL!$C$42, 23.1494, 23.1494) * CHOOSE(CONTROL!$C$21, $C$9, 100%, $E$9)</f>
        <v>23.1494</v>
      </c>
      <c r="F491" s="14">
        <f>CHOOSE(CONTROL!$C$42, 23.0487, 23.0487)*CHOOSE(CONTROL!$C$21, $C$9, 100%, $E$9)</f>
        <v>23.0487</v>
      </c>
      <c r="G491" s="14">
        <f>CHOOSE(CONTROL!$C$42, 23.0654, 23.0654)*CHOOSE(CONTROL!$C$21, $C$9, 100%, $E$9)</f>
        <v>23.0654</v>
      </c>
      <c r="H491" s="14">
        <f>CHOOSE(CONTROL!$C$42, 23.1386, 23.1386) * CHOOSE(CONTROL!$C$21, $C$9, 100%, $E$9)</f>
        <v>23.1386</v>
      </c>
      <c r="I491" s="14">
        <f>CHOOSE(CONTROL!$C$42, 23.1325, 23.1325)* CHOOSE(CONTROL!$C$21, $C$9, 100%, $E$9)</f>
        <v>23.1325</v>
      </c>
      <c r="J491" s="14">
        <f>CHOOSE(CONTROL!$C$42, 23.0417, 23.0417)* CHOOSE(CONTROL!$C$21, $C$9, 100%, $E$9)</f>
        <v>23.041699999999999</v>
      </c>
      <c r="K491" s="53">
        <f>CHOOSE(CONTROL!$C$42, 23.1286, 23.1286) * CHOOSE(CONTROL!$C$21, $C$9, 100%, $E$9)</f>
        <v>23.128599999999999</v>
      </c>
      <c r="L491" s="14">
        <f>CHOOSE(CONTROL!$C$42, 23.7256, 23.7256) * CHOOSE(CONTROL!$C$21, $C$9, 100%, $E$9)</f>
        <v>23.7256</v>
      </c>
      <c r="M491" s="14">
        <f>CHOOSE(CONTROL!$C$42, 22.5773, 22.5773) * CHOOSE(CONTROL!$C$21, $C$9, 100%, $E$9)</f>
        <v>22.577300000000001</v>
      </c>
      <c r="N491" s="14">
        <f>CHOOSE(CONTROL!$C$42, 22.5936, 22.5936) * CHOOSE(CONTROL!$C$21, $C$9, 100%, $E$9)</f>
        <v>22.593599999999999</v>
      </c>
      <c r="O491" s="14">
        <f>CHOOSE(CONTROL!$C$42, 22.6722, 22.6722) * CHOOSE(CONTROL!$C$21, $C$9, 100%, $E$9)</f>
        <v>22.6722</v>
      </c>
      <c r="P491" s="14">
        <f>CHOOSE(CONTROL!$C$42, 22.6649, 22.6649) * CHOOSE(CONTROL!$C$21, $C$9, 100%, $E$9)</f>
        <v>22.664899999999999</v>
      </c>
      <c r="Q491" s="14">
        <f>CHOOSE(CONTROL!$C$42, 23.2669, 23.2669) * CHOOSE(CONTROL!$C$21, $C$9, 100%, $E$9)</f>
        <v>23.2669</v>
      </c>
      <c r="R491" s="14">
        <f>CHOOSE(CONTROL!$C$42, 23.9121, 23.9121) * CHOOSE(CONTROL!$C$21, $C$9, 100%, $E$9)</f>
        <v>23.912099999999999</v>
      </c>
      <c r="S491" s="14">
        <f>CHOOSE(CONTROL!$C$42, 22.1368, 22.1368) * CHOOSE(CONTROL!$C$21, $C$9, 100%, $E$9)</f>
        <v>22.136800000000001</v>
      </c>
      <c r="T4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7">
        <f>(1000*CHOOSE(CONTROL!$C$42, 695, 695)*CHOOSE(CONTROL!$C$42, 0.5599, 0.5599)*CHOOSE(CONTROL!$C$42, 30, 30))/1000000</f>
        <v>11.673914999999997</v>
      </c>
      <c r="V491" s="57">
        <f>(1000*CHOOSE(CONTROL!$C$42, 500, 500)*CHOOSE(CONTROL!$C$42, 0.275, 0.275)*CHOOSE(CONTROL!$C$42, 30, 30))/1000000</f>
        <v>4.125</v>
      </c>
      <c r="W491" s="57">
        <f>(1000*CHOOSE(CONTROL!$C$42, 0.1146, 0.1146)*CHOOSE(CONTROL!$C$42, 121.5, 121.5)*CHOOSE(CONTROL!$C$42, 30, 30))/1000000</f>
        <v>0.417717</v>
      </c>
      <c r="X491" s="57">
        <f>(30*0.1790888*100000/1000000)+(30*0.2374*100000/1000000)</f>
        <v>1.2494664</v>
      </c>
      <c r="Y491" s="57"/>
      <c r="Z491" s="14"/>
      <c r="AA491" s="56"/>
      <c r="AB491" s="50">
        <f>(B491*122.58+C491*297.941+D491*89.177+E491*40.302+F491*40+G491*160+H491*0+I491*100+J491*300)/(122.58+297.941+89.177+40.302+0+40+160+100+300)</f>
        <v>23.065668833391303</v>
      </c>
      <c r="AC491" s="45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22.633854676258995</v>
      </c>
    </row>
    <row r="492" spans="1:29" ht="15.75" x14ac:dyDescent="0.25">
      <c r="A492" s="33">
        <v>55884</v>
      </c>
      <c r="B492" s="14">
        <f>CHOOSE(CONTROL!$C$42, 24.6171, 24.6171) * CHOOSE(CONTROL!$C$21, $C$9, 100%, $E$9)</f>
        <v>24.617100000000001</v>
      </c>
      <c r="C492" s="14">
        <f>CHOOSE(CONTROL!$C$42, 24.6221, 24.6221) * CHOOSE(CONTROL!$C$21, $C$9, 100%, $E$9)</f>
        <v>24.6221</v>
      </c>
      <c r="D492" s="14">
        <f>CHOOSE(CONTROL!$C$42, 24.686, 24.686) * CHOOSE(CONTROL!$C$21, $C$9, 100%, $E$9)</f>
        <v>24.686</v>
      </c>
      <c r="E492" s="14">
        <f>CHOOSE(CONTROL!$C$42, 24.7201, 24.7201) * CHOOSE(CONTROL!$C$21, $C$9, 100%, $E$9)</f>
        <v>24.720099999999999</v>
      </c>
      <c r="F492" s="14">
        <f>CHOOSE(CONTROL!$C$42, 24.6214, 24.6214)*CHOOSE(CONTROL!$C$21, $C$9, 100%, $E$9)</f>
        <v>24.621400000000001</v>
      </c>
      <c r="G492" s="14">
        <f>CHOOSE(CONTROL!$C$42, 24.6386, 24.6386)*CHOOSE(CONTROL!$C$21, $C$9, 100%, $E$9)</f>
        <v>24.6386</v>
      </c>
      <c r="H492" s="14">
        <f>CHOOSE(CONTROL!$C$42, 24.7093, 24.7093) * CHOOSE(CONTROL!$C$21, $C$9, 100%, $E$9)</f>
        <v>24.709299999999999</v>
      </c>
      <c r="I492" s="14">
        <f>CHOOSE(CONTROL!$C$42, 24.7081, 24.7081)* CHOOSE(CONTROL!$C$21, $C$9, 100%, $E$9)</f>
        <v>24.708100000000002</v>
      </c>
      <c r="J492" s="14">
        <f>CHOOSE(CONTROL!$C$42, 24.6144, 24.6144)* CHOOSE(CONTROL!$C$21, $C$9, 100%, $E$9)</f>
        <v>24.6144</v>
      </c>
      <c r="K492" s="53">
        <f>CHOOSE(CONTROL!$C$42, 24.7042, 24.7042) * CHOOSE(CONTROL!$C$21, $C$9, 100%, $E$9)</f>
        <v>24.7042</v>
      </c>
      <c r="L492" s="14">
        <f>CHOOSE(CONTROL!$C$42, 25.2963, 25.2963) * CHOOSE(CONTROL!$C$21, $C$9, 100%, $E$9)</f>
        <v>25.296299999999999</v>
      </c>
      <c r="M492" s="14">
        <f>CHOOSE(CONTROL!$C$42, 24.1178, 24.1178) * CHOOSE(CONTROL!$C$21, $C$9, 100%, $E$9)</f>
        <v>24.117799999999999</v>
      </c>
      <c r="N492" s="14">
        <f>CHOOSE(CONTROL!$C$42, 24.1346, 24.1346) * CHOOSE(CONTROL!$C$21, $C$9, 100%, $E$9)</f>
        <v>24.134599999999999</v>
      </c>
      <c r="O492" s="14">
        <f>CHOOSE(CONTROL!$C$42, 24.2107, 24.2107) * CHOOSE(CONTROL!$C$21, $C$9, 100%, $E$9)</f>
        <v>24.210699999999999</v>
      </c>
      <c r="P492" s="14">
        <f>CHOOSE(CONTROL!$C$42, 24.208, 24.208) * CHOOSE(CONTROL!$C$21, $C$9, 100%, $E$9)</f>
        <v>24.207999999999998</v>
      </c>
      <c r="Q492" s="14">
        <f>CHOOSE(CONTROL!$C$42, 24.8054, 24.8054) * CHOOSE(CONTROL!$C$21, $C$9, 100%, $E$9)</f>
        <v>24.805399999999999</v>
      </c>
      <c r="R492" s="14">
        <f>CHOOSE(CONTROL!$C$42, 25.4544, 25.4544) * CHOOSE(CONTROL!$C$21, $C$9, 100%, $E$9)</f>
        <v>25.4544</v>
      </c>
      <c r="S492" s="14">
        <f>CHOOSE(CONTROL!$C$42, 23.646, 23.646) * CHOOSE(CONTROL!$C$21, $C$9, 100%, $E$9)</f>
        <v>23.646000000000001</v>
      </c>
      <c r="T4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7">
        <f>(1000*CHOOSE(CONTROL!$C$42, 695, 695)*CHOOSE(CONTROL!$C$42, 0.5599, 0.5599)*CHOOSE(CONTROL!$C$42, 31, 31))/1000000</f>
        <v>12.063045499999998</v>
      </c>
      <c r="V492" s="57">
        <f>(1000*CHOOSE(CONTROL!$C$42, 500, 500)*CHOOSE(CONTROL!$C$42, 0.275, 0.275)*CHOOSE(CONTROL!$C$42, 31, 31))/1000000</f>
        <v>4.2625000000000002</v>
      </c>
      <c r="W492" s="57">
        <f>(1000*CHOOSE(CONTROL!$C$42, 0.1146, 0.1146)*CHOOSE(CONTROL!$C$42, 121.5, 121.5)*CHOOSE(CONTROL!$C$42, 31, 31))/1000000</f>
        <v>0.43164089999999994</v>
      </c>
      <c r="X492" s="57">
        <f>(31*0.1790888*100000/1000000)+(31*0.2374*100000/1000000)</f>
        <v>1.2911152800000001</v>
      </c>
      <c r="Y492" s="57"/>
      <c r="Z492" s="14"/>
      <c r="AA492" s="56"/>
      <c r="AB492" s="50">
        <f>(B492*122.58+C492*297.941+D492*89.177+E492*40.302+F492*40+G492*160+H492*0+I492*100+J492*300)/(122.58+297.941+89.177+40.302+0+40+160+100+300)</f>
        <v>24.637697483739132</v>
      </c>
      <c r="AC492" s="45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24.173851079136689</v>
      </c>
    </row>
    <row r="493" spans="1:29" ht="15.75" x14ac:dyDescent="0.25">
      <c r="A493" s="33">
        <v>55915</v>
      </c>
      <c r="B493" s="14">
        <f>CHOOSE(CONTROL!$C$42, 26.6328, 26.6328) * CHOOSE(CONTROL!$C$21, $C$9, 100%, $E$9)</f>
        <v>26.6328</v>
      </c>
      <c r="C493" s="14">
        <f>CHOOSE(CONTROL!$C$42, 26.6378, 26.6378) * CHOOSE(CONTROL!$C$21, $C$9, 100%, $E$9)</f>
        <v>26.637799999999999</v>
      </c>
      <c r="D493" s="14">
        <f>CHOOSE(CONTROL!$C$42, 26.6965, 26.6965) * CHOOSE(CONTROL!$C$21, $C$9, 100%, $E$9)</f>
        <v>26.6965</v>
      </c>
      <c r="E493" s="14">
        <f>CHOOSE(CONTROL!$C$42, 26.7306, 26.7306) * CHOOSE(CONTROL!$C$21, $C$9, 100%, $E$9)</f>
        <v>26.730599999999999</v>
      </c>
      <c r="F493" s="14">
        <f>CHOOSE(CONTROL!$C$42, 26.6319, 26.6319)*CHOOSE(CONTROL!$C$21, $C$9, 100%, $E$9)</f>
        <v>26.631900000000002</v>
      </c>
      <c r="G493" s="14">
        <f>CHOOSE(CONTROL!$C$42, 26.6483, 26.6483)*CHOOSE(CONTROL!$C$21, $C$9, 100%, $E$9)</f>
        <v>26.648299999999999</v>
      </c>
      <c r="H493" s="14">
        <f>CHOOSE(CONTROL!$C$42, 26.7198, 26.7198) * CHOOSE(CONTROL!$C$21, $C$9, 100%, $E$9)</f>
        <v>26.719799999999999</v>
      </c>
      <c r="I493" s="14">
        <f>CHOOSE(CONTROL!$C$42, 26.7264, 26.7264)* CHOOSE(CONTROL!$C$21, $C$9, 100%, $E$9)</f>
        <v>26.726400000000002</v>
      </c>
      <c r="J493" s="14">
        <f>CHOOSE(CONTROL!$C$42, 26.6249, 26.6249)* CHOOSE(CONTROL!$C$21, $C$9, 100%, $E$9)</f>
        <v>26.6249</v>
      </c>
      <c r="K493" s="53">
        <f>CHOOSE(CONTROL!$C$42, 26.7225, 26.7225) * CHOOSE(CONTROL!$C$21, $C$9, 100%, $E$9)</f>
        <v>26.7225</v>
      </c>
      <c r="L493" s="14">
        <f>CHOOSE(CONTROL!$C$42, 27.3068, 27.3068) * CHOOSE(CONTROL!$C$21, $C$9, 100%, $E$9)</f>
        <v>27.306799999999999</v>
      </c>
      <c r="M493" s="14">
        <f>CHOOSE(CONTROL!$C$42, 26.0871, 26.0871) * CHOOSE(CONTROL!$C$21, $C$9, 100%, $E$9)</f>
        <v>26.0871</v>
      </c>
      <c r="N493" s="14">
        <f>CHOOSE(CONTROL!$C$42, 26.1031, 26.1031) * CHOOSE(CONTROL!$C$21, $C$9, 100%, $E$9)</f>
        <v>26.103100000000001</v>
      </c>
      <c r="O493" s="14">
        <f>CHOOSE(CONTROL!$C$42, 26.18, 26.18) * CHOOSE(CONTROL!$C$21, $C$9, 100%, $E$9)</f>
        <v>26.18</v>
      </c>
      <c r="P493" s="14">
        <f>CHOOSE(CONTROL!$C$42, 26.1849, 26.1849) * CHOOSE(CONTROL!$C$21, $C$9, 100%, $E$9)</f>
        <v>26.184899999999999</v>
      </c>
      <c r="Q493" s="14">
        <f>CHOOSE(CONTROL!$C$42, 26.7747, 26.7747) * CHOOSE(CONTROL!$C$21, $C$9, 100%, $E$9)</f>
        <v>26.774699999999999</v>
      </c>
      <c r="R493" s="14">
        <f>CHOOSE(CONTROL!$C$42, 27.4286, 27.4286) * CHOOSE(CONTROL!$C$21, $C$9, 100%, $E$9)</f>
        <v>27.428599999999999</v>
      </c>
      <c r="S493" s="14">
        <f>CHOOSE(CONTROL!$C$42, 25.5829, 25.5829) * CHOOSE(CONTROL!$C$21, $C$9, 100%, $E$9)</f>
        <v>25.582899999999999</v>
      </c>
      <c r="T4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7">
        <f>(1000*CHOOSE(CONTROL!$C$42, 695, 695)*CHOOSE(CONTROL!$C$42, 0.5599, 0.5599)*CHOOSE(CONTROL!$C$42, 31, 31))/1000000</f>
        <v>12.063045499999998</v>
      </c>
      <c r="V493" s="57">
        <f>(1000*CHOOSE(CONTROL!$C$42, 500, 500)*CHOOSE(CONTROL!$C$42, 0.275, 0.275)*CHOOSE(CONTROL!$C$42, 31, 31))/1000000</f>
        <v>4.2625000000000002</v>
      </c>
      <c r="W493" s="57">
        <f>(1000*CHOOSE(CONTROL!$C$42, 0.1146, 0.1146)*CHOOSE(CONTROL!$C$42, 121.5, 121.5)*CHOOSE(CONTROL!$C$42, 31, 31))/1000000</f>
        <v>0.43164089999999994</v>
      </c>
      <c r="X493" s="57">
        <f>(31*0.1790888*100000/1000000)+(31*0.2374*100000/1000000)</f>
        <v>1.2911152800000001</v>
      </c>
      <c r="Y493" s="57"/>
      <c r="Z493" s="14"/>
      <c r="AA493" s="56"/>
      <c r="AB493" s="50">
        <f>(B493*122.58+C493*297.941+D493*89.177+E493*40.302+F493*40+G493*160+H493*0+I493*100+J493*300)/(122.58+297.941+89.177+40.302+0+40+160+100+300)</f>
        <v>26.650665926521739</v>
      </c>
      <c r="AC493" s="45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26.144198561151079</v>
      </c>
    </row>
    <row r="494" spans="1:29" ht="15.75" x14ac:dyDescent="0.25">
      <c r="A494" s="33">
        <v>55943</v>
      </c>
      <c r="B494" s="14">
        <f>CHOOSE(CONTROL!$C$42, 27.1067, 27.1067) * CHOOSE(CONTROL!$C$21, $C$9, 100%, $E$9)</f>
        <v>27.1067</v>
      </c>
      <c r="C494" s="14">
        <f>CHOOSE(CONTROL!$C$42, 27.1118, 27.1118) * CHOOSE(CONTROL!$C$21, $C$9, 100%, $E$9)</f>
        <v>27.111799999999999</v>
      </c>
      <c r="D494" s="14">
        <f>CHOOSE(CONTROL!$C$42, 27.1704, 27.1704) * CHOOSE(CONTROL!$C$21, $C$9, 100%, $E$9)</f>
        <v>27.170400000000001</v>
      </c>
      <c r="E494" s="14">
        <f>CHOOSE(CONTROL!$C$42, 27.2045, 27.2045) * CHOOSE(CONTROL!$C$21, $C$9, 100%, $E$9)</f>
        <v>27.204499999999999</v>
      </c>
      <c r="F494" s="14">
        <f>CHOOSE(CONTROL!$C$42, 27.1058, 27.1058)*CHOOSE(CONTROL!$C$21, $C$9, 100%, $E$9)</f>
        <v>27.105799999999999</v>
      </c>
      <c r="G494" s="14">
        <f>CHOOSE(CONTROL!$C$42, 27.1222, 27.1222)*CHOOSE(CONTROL!$C$21, $C$9, 100%, $E$9)</f>
        <v>27.122199999999999</v>
      </c>
      <c r="H494" s="14">
        <f>CHOOSE(CONTROL!$C$42, 27.1937, 27.1937) * CHOOSE(CONTROL!$C$21, $C$9, 100%, $E$9)</f>
        <v>27.1937</v>
      </c>
      <c r="I494" s="14">
        <f>CHOOSE(CONTROL!$C$42, 27.2018, 27.2018)* CHOOSE(CONTROL!$C$21, $C$9, 100%, $E$9)</f>
        <v>27.201799999999999</v>
      </c>
      <c r="J494" s="14">
        <f>CHOOSE(CONTROL!$C$42, 27.0988, 27.0988)* CHOOSE(CONTROL!$C$21, $C$9, 100%, $E$9)</f>
        <v>27.098800000000001</v>
      </c>
      <c r="K494" s="53">
        <f>CHOOSE(CONTROL!$C$42, 27.1979, 27.1979) * CHOOSE(CONTROL!$C$21, $C$9, 100%, $E$9)</f>
        <v>27.197900000000001</v>
      </c>
      <c r="L494" s="14">
        <f>CHOOSE(CONTROL!$C$42, 27.7807, 27.7807) * CHOOSE(CONTROL!$C$21, $C$9, 100%, $E$9)</f>
        <v>27.7807</v>
      </c>
      <c r="M494" s="14">
        <f>CHOOSE(CONTROL!$C$42, 26.5512, 26.5512) * CHOOSE(CONTROL!$C$21, $C$9, 100%, $E$9)</f>
        <v>26.551200000000001</v>
      </c>
      <c r="N494" s="14">
        <f>CHOOSE(CONTROL!$C$42, 26.5673, 26.5673) * CHOOSE(CONTROL!$C$21, $C$9, 100%, $E$9)</f>
        <v>26.567299999999999</v>
      </c>
      <c r="O494" s="14">
        <f>CHOOSE(CONTROL!$C$42, 26.6442, 26.6442) * CHOOSE(CONTROL!$C$21, $C$9, 100%, $E$9)</f>
        <v>26.644200000000001</v>
      </c>
      <c r="P494" s="14">
        <f>CHOOSE(CONTROL!$C$42, 26.6505, 26.6505) * CHOOSE(CONTROL!$C$21, $C$9, 100%, $E$9)</f>
        <v>26.650500000000001</v>
      </c>
      <c r="Q494" s="14">
        <f>CHOOSE(CONTROL!$C$42, 27.2389, 27.2389) * CHOOSE(CONTROL!$C$21, $C$9, 100%, $E$9)</f>
        <v>27.238900000000001</v>
      </c>
      <c r="R494" s="14">
        <f>CHOOSE(CONTROL!$C$42, 27.894, 27.894) * CHOOSE(CONTROL!$C$21, $C$9, 100%, $E$9)</f>
        <v>27.893999999999998</v>
      </c>
      <c r="S494" s="14">
        <f>CHOOSE(CONTROL!$C$42, 26.0383, 26.0383) * CHOOSE(CONTROL!$C$21, $C$9, 100%, $E$9)</f>
        <v>26.0383</v>
      </c>
      <c r="T4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7">
        <f>(1000*CHOOSE(CONTROL!$C$42, 695, 695)*CHOOSE(CONTROL!$C$42, 0.5599, 0.5599)*CHOOSE(CONTROL!$C$42, 28, 28))/1000000</f>
        <v>10.895653999999999</v>
      </c>
      <c r="V494" s="57">
        <f>(1000*CHOOSE(CONTROL!$C$42, 500, 500)*CHOOSE(CONTROL!$C$42, 0.275, 0.275)*CHOOSE(CONTROL!$C$42, 28, 28))/1000000</f>
        <v>3.85</v>
      </c>
      <c r="W494" s="57">
        <f>(1000*CHOOSE(CONTROL!$C$42, 0.1146, 0.1146)*CHOOSE(CONTROL!$C$42, 121.5, 121.5)*CHOOSE(CONTROL!$C$42, 28, 28))/1000000</f>
        <v>0.38986920000000003</v>
      </c>
      <c r="X494" s="57">
        <f>(28*0.1790888*100000/1000000)+(28*0.2374*100000/1000000)</f>
        <v>1.16616864</v>
      </c>
      <c r="Y494" s="57"/>
      <c r="Z494" s="14"/>
      <c r="AA494" s="56"/>
      <c r="AB494" s="50">
        <f>(B494*122.58+C494*297.941+D494*89.177+E494*40.302+F494*40+G494*160+H494*0+I494*100+J494*300)/(122.58+297.941+89.177+40.302+0+40+160+100+300)</f>
        <v>27.12472226921739</v>
      </c>
      <c r="AC494" s="45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26.608565467625901</v>
      </c>
    </row>
    <row r="495" spans="1:29" ht="15.75" x14ac:dyDescent="0.25">
      <c r="A495" s="33">
        <v>55974</v>
      </c>
      <c r="B495" s="14">
        <f>CHOOSE(CONTROL!$C$42, 26.3374, 26.3374) * CHOOSE(CONTROL!$C$21, $C$9, 100%, $E$9)</f>
        <v>26.337399999999999</v>
      </c>
      <c r="C495" s="14">
        <f>CHOOSE(CONTROL!$C$42, 26.3425, 26.3425) * CHOOSE(CONTROL!$C$21, $C$9, 100%, $E$9)</f>
        <v>26.342500000000001</v>
      </c>
      <c r="D495" s="14">
        <f>CHOOSE(CONTROL!$C$42, 26.4011, 26.4011) * CHOOSE(CONTROL!$C$21, $C$9, 100%, $E$9)</f>
        <v>26.4011</v>
      </c>
      <c r="E495" s="14">
        <f>CHOOSE(CONTROL!$C$42, 26.4352, 26.4352) * CHOOSE(CONTROL!$C$21, $C$9, 100%, $E$9)</f>
        <v>26.435199999999998</v>
      </c>
      <c r="F495" s="14">
        <f>CHOOSE(CONTROL!$C$42, 26.336, 26.336)*CHOOSE(CONTROL!$C$21, $C$9, 100%, $E$9)</f>
        <v>26.335999999999999</v>
      </c>
      <c r="G495" s="14">
        <f>CHOOSE(CONTROL!$C$42, 26.3522, 26.3522)*CHOOSE(CONTROL!$C$21, $C$9, 100%, $E$9)</f>
        <v>26.3522</v>
      </c>
      <c r="H495" s="14">
        <f>CHOOSE(CONTROL!$C$42, 26.4244, 26.4244) * CHOOSE(CONTROL!$C$21, $C$9, 100%, $E$9)</f>
        <v>26.424399999999999</v>
      </c>
      <c r="I495" s="14">
        <f>CHOOSE(CONTROL!$C$42, 26.4301, 26.4301)* CHOOSE(CONTROL!$C$21, $C$9, 100%, $E$9)</f>
        <v>26.430099999999999</v>
      </c>
      <c r="J495" s="14">
        <f>CHOOSE(CONTROL!$C$42, 26.329, 26.329)* CHOOSE(CONTROL!$C$21, $C$9, 100%, $E$9)</f>
        <v>26.329000000000001</v>
      </c>
      <c r="K495" s="53">
        <f>CHOOSE(CONTROL!$C$42, 26.4262, 26.4262) * CHOOSE(CONTROL!$C$21, $C$9, 100%, $E$9)</f>
        <v>26.426200000000001</v>
      </c>
      <c r="L495" s="14">
        <f>CHOOSE(CONTROL!$C$42, 27.0114, 27.0114) * CHOOSE(CONTROL!$C$21, $C$9, 100%, $E$9)</f>
        <v>27.011399999999998</v>
      </c>
      <c r="M495" s="14">
        <f>CHOOSE(CONTROL!$C$42, 25.7972, 25.7972) * CHOOSE(CONTROL!$C$21, $C$9, 100%, $E$9)</f>
        <v>25.7972</v>
      </c>
      <c r="N495" s="14">
        <f>CHOOSE(CONTROL!$C$42, 25.8131, 25.8131) * CHOOSE(CONTROL!$C$21, $C$9, 100%, $E$9)</f>
        <v>25.813099999999999</v>
      </c>
      <c r="O495" s="14">
        <f>CHOOSE(CONTROL!$C$42, 25.8907, 25.8907) * CHOOSE(CONTROL!$C$21, $C$9, 100%, $E$9)</f>
        <v>25.890699999999999</v>
      </c>
      <c r="P495" s="14">
        <f>CHOOSE(CONTROL!$C$42, 25.8947, 25.8947) * CHOOSE(CONTROL!$C$21, $C$9, 100%, $E$9)</f>
        <v>25.8947</v>
      </c>
      <c r="Q495" s="14">
        <f>CHOOSE(CONTROL!$C$42, 26.4854, 26.4854) * CHOOSE(CONTROL!$C$21, $C$9, 100%, $E$9)</f>
        <v>26.485399999999998</v>
      </c>
      <c r="R495" s="14">
        <f>CHOOSE(CONTROL!$C$42, 27.1386, 27.1386) * CHOOSE(CONTROL!$C$21, $C$9, 100%, $E$9)</f>
        <v>27.1386</v>
      </c>
      <c r="S495" s="14">
        <f>CHOOSE(CONTROL!$C$42, 25.2991, 25.2991) * CHOOSE(CONTROL!$C$21, $C$9, 100%, $E$9)</f>
        <v>25.299099999999999</v>
      </c>
      <c r="T4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7">
        <f>(1000*CHOOSE(CONTROL!$C$42, 695, 695)*CHOOSE(CONTROL!$C$42, 0.5599, 0.5599)*CHOOSE(CONTROL!$C$42, 31, 31))/1000000</f>
        <v>12.063045499999998</v>
      </c>
      <c r="V495" s="57">
        <f>(1000*CHOOSE(CONTROL!$C$42, 500, 500)*CHOOSE(CONTROL!$C$42, 0.275, 0.275)*CHOOSE(CONTROL!$C$42, 31, 31))/1000000</f>
        <v>4.2625000000000002</v>
      </c>
      <c r="W495" s="57">
        <f>(1000*CHOOSE(CONTROL!$C$42, 0.1146, 0.1146)*CHOOSE(CONTROL!$C$42, 121.5, 121.5)*CHOOSE(CONTROL!$C$42, 31, 31))/1000000</f>
        <v>0.43164089999999994</v>
      </c>
      <c r="X495" s="57">
        <f>(31*0.1790888*100000/1000000)+(31*0.2374*100000/1000000)</f>
        <v>1.2911152800000001</v>
      </c>
      <c r="Y495" s="57"/>
      <c r="Z495" s="14"/>
      <c r="AA495" s="56"/>
      <c r="AB495" s="50">
        <f>(B495*122.58+C495*297.941+D495*89.177+E495*40.302+F495*40+G495*160+H495*0+I495*100+J495*300)/(122.58+297.941+89.177+40.302+0+40+160+100+300)</f>
        <v>26.354968356173913</v>
      </c>
      <c r="AC495" s="45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25.854521582733817</v>
      </c>
    </row>
    <row r="496" spans="1:29" ht="15.75" x14ac:dyDescent="0.25">
      <c r="A496" s="33">
        <v>56004</v>
      </c>
      <c r="B496" s="14">
        <f>CHOOSE(CONTROL!$C$42, 26.2598, 26.2598) * CHOOSE(CONTROL!$C$21, $C$9, 100%, $E$9)</f>
        <v>26.259799999999998</v>
      </c>
      <c r="C496" s="14">
        <f>CHOOSE(CONTROL!$C$42, 26.2642, 26.2642) * CHOOSE(CONTROL!$C$21, $C$9, 100%, $E$9)</f>
        <v>26.264199999999999</v>
      </c>
      <c r="D496" s="14">
        <f>CHOOSE(CONTROL!$C$42, 26.4724, 26.4724) * CHOOSE(CONTROL!$C$21, $C$9, 100%, $E$9)</f>
        <v>26.4724</v>
      </c>
      <c r="E496" s="14">
        <f>CHOOSE(CONTROL!$C$42, 26.5045, 26.5045) * CHOOSE(CONTROL!$C$21, $C$9, 100%, $E$9)</f>
        <v>26.5045</v>
      </c>
      <c r="F496" s="14">
        <f>CHOOSE(CONTROL!$C$42, 26.2471, 26.2471)*CHOOSE(CONTROL!$C$21, $C$9, 100%, $E$9)</f>
        <v>26.2471</v>
      </c>
      <c r="G496" s="14">
        <f>CHOOSE(CONTROL!$C$42, 26.263, 26.263)*CHOOSE(CONTROL!$C$21, $C$9, 100%, $E$9)</f>
        <v>26.263000000000002</v>
      </c>
      <c r="H496" s="14">
        <f>CHOOSE(CONTROL!$C$42, 26.4942, 26.4942) * CHOOSE(CONTROL!$C$21, $C$9, 100%, $E$9)</f>
        <v>26.494199999999999</v>
      </c>
      <c r="I496" s="14">
        <f>CHOOSE(CONTROL!$C$42, 26.3514, 26.3514)* CHOOSE(CONTROL!$C$21, $C$9, 100%, $E$9)</f>
        <v>26.351400000000002</v>
      </c>
      <c r="J496" s="14">
        <f>CHOOSE(CONTROL!$C$42, 26.2401, 26.2401)* CHOOSE(CONTROL!$C$21, $C$9, 100%, $E$9)</f>
        <v>26.240100000000002</v>
      </c>
      <c r="K496" s="53">
        <f>CHOOSE(CONTROL!$C$42, 26.3476, 26.3476) * CHOOSE(CONTROL!$C$21, $C$9, 100%, $E$9)</f>
        <v>26.3476</v>
      </c>
      <c r="L496" s="14">
        <f>CHOOSE(CONTROL!$C$42, 27.0812, 27.0812) * CHOOSE(CONTROL!$C$21, $C$9, 100%, $E$9)</f>
        <v>27.081199999999999</v>
      </c>
      <c r="M496" s="14">
        <f>CHOOSE(CONTROL!$C$42, 25.7101, 25.7101) * CHOOSE(CONTROL!$C$21, $C$9, 100%, $E$9)</f>
        <v>25.710100000000001</v>
      </c>
      <c r="N496" s="14">
        <f>CHOOSE(CONTROL!$C$42, 25.7258, 25.7258) * CHOOSE(CONTROL!$C$21, $C$9, 100%, $E$9)</f>
        <v>25.7258</v>
      </c>
      <c r="O496" s="14">
        <f>CHOOSE(CONTROL!$C$42, 25.9591, 25.9591) * CHOOSE(CONTROL!$C$21, $C$9, 100%, $E$9)</f>
        <v>25.959099999999999</v>
      </c>
      <c r="P496" s="14">
        <f>CHOOSE(CONTROL!$C$42, 25.8176, 25.8176) * CHOOSE(CONTROL!$C$21, $C$9, 100%, $E$9)</f>
        <v>25.817599999999999</v>
      </c>
      <c r="Q496" s="14">
        <f>CHOOSE(CONTROL!$C$42, 26.5538, 26.5538) * CHOOSE(CONTROL!$C$21, $C$9, 100%, $E$9)</f>
        <v>26.553799999999999</v>
      </c>
      <c r="R496" s="14">
        <f>CHOOSE(CONTROL!$C$42, 27.2072, 27.2072) * CHOOSE(CONTROL!$C$21, $C$9, 100%, $E$9)</f>
        <v>27.2072</v>
      </c>
      <c r="S496" s="14">
        <f>CHOOSE(CONTROL!$C$42, 25.2237, 25.2237) * CHOOSE(CONTROL!$C$21, $C$9, 100%, $E$9)</f>
        <v>25.223700000000001</v>
      </c>
      <c r="T4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7">
        <f>(1000*CHOOSE(CONTROL!$C$42, 695, 695)*CHOOSE(CONTROL!$C$42, 0.5599, 0.5599)*CHOOSE(CONTROL!$C$42, 30, 30))/1000000</f>
        <v>11.673914999999997</v>
      </c>
      <c r="V496" s="57">
        <f>(1000*CHOOSE(CONTROL!$C$42, 500, 500)*CHOOSE(CONTROL!$C$42, 0.275, 0.275)*CHOOSE(CONTROL!$C$42, 30, 30))/1000000</f>
        <v>4.125</v>
      </c>
      <c r="W496" s="57">
        <f>(1000*CHOOSE(CONTROL!$C$42, 0.1146, 0.1146)*CHOOSE(CONTROL!$C$42, 121.5, 121.5)*CHOOSE(CONTROL!$C$42, 30, 30))/1000000</f>
        <v>0.417717</v>
      </c>
      <c r="X496" s="57">
        <f>(30*0.1790888*245000/1000000)+(30*0.2374*100000/1000000)</f>
        <v>2.0285026799999999</v>
      </c>
      <c r="Y496" s="57"/>
      <c r="Z496" s="14"/>
      <c r="AA496" s="56"/>
      <c r="AB496" s="50">
        <f>(B496*141.293+C496*267.993+D496*115.016+E496*89.698+F496*40+G496*185+H496*0+I496*100+J496*300)/(141.293+267.993+115.016+89.698+0+40+185+100+300)</f>
        <v>26.300893358676348</v>
      </c>
      <c r="AC496" s="45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25.799045323741005</v>
      </c>
    </row>
    <row r="497" spans="1:29" ht="15.75" x14ac:dyDescent="0.25">
      <c r="A497" s="33">
        <v>56035</v>
      </c>
      <c r="B497" s="14">
        <f>CHOOSE(CONTROL!$C$42, 26.4928, 26.4928) * CHOOSE(CONTROL!$C$21, $C$9, 100%, $E$9)</f>
        <v>26.492799999999999</v>
      </c>
      <c r="C497" s="14">
        <f>CHOOSE(CONTROL!$C$42, 26.5008, 26.5008) * CHOOSE(CONTROL!$C$21, $C$9, 100%, $E$9)</f>
        <v>26.500800000000002</v>
      </c>
      <c r="D497" s="14">
        <f>CHOOSE(CONTROL!$C$42, 26.7058, 26.7058) * CHOOSE(CONTROL!$C$21, $C$9, 100%, $E$9)</f>
        <v>26.7058</v>
      </c>
      <c r="E497" s="14">
        <f>CHOOSE(CONTROL!$C$42, 26.7373, 26.7373) * CHOOSE(CONTROL!$C$21, $C$9, 100%, $E$9)</f>
        <v>26.737300000000001</v>
      </c>
      <c r="F497" s="14">
        <f>CHOOSE(CONTROL!$C$42, 26.479, 26.479)*CHOOSE(CONTROL!$C$21, $C$9, 100%, $E$9)</f>
        <v>26.478999999999999</v>
      </c>
      <c r="G497" s="14">
        <f>CHOOSE(CONTROL!$C$42, 26.4954, 26.4954)*CHOOSE(CONTROL!$C$21, $C$9, 100%, $E$9)</f>
        <v>26.4954</v>
      </c>
      <c r="H497" s="14">
        <f>CHOOSE(CONTROL!$C$42, 26.7259, 26.7259) * CHOOSE(CONTROL!$C$21, $C$9, 100%, $E$9)</f>
        <v>26.725899999999999</v>
      </c>
      <c r="I497" s="14">
        <f>CHOOSE(CONTROL!$C$42, 26.5838, 26.5838)* CHOOSE(CONTROL!$C$21, $C$9, 100%, $E$9)</f>
        <v>26.5838</v>
      </c>
      <c r="J497" s="14">
        <f>CHOOSE(CONTROL!$C$42, 26.472, 26.472)* CHOOSE(CONTROL!$C$21, $C$9, 100%, $E$9)</f>
        <v>26.472000000000001</v>
      </c>
      <c r="K497" s="53">
        <f>CHOOSE(CONTROL!$C$42, 26.58, 26.58) * CHOOSE(CONTROL!$C$21, $C$9, 100%, $E$9)</f>
        <v>26.58</v>
      </c>
      <c r="L497" s="14">
        <f>CHOOSE(CONTROL!$C$42, 27.3129, 27.3129) * CHOOSE(CONTROL!$C$21, $C$9, 100%, $E$9)</f>
        <v>27.312899999999999</v>
      </c>
      <c r="M497" s="14">
        <f>CHOOSE(CONTROL!$C$42, 25.9373, 25.9373) * CHOOSE(CONTROL!$C$21, $C$9, 100%, $E$9)</f>
        <v>25.9373</v>
      </c>
      <c r="N497" s="14">
        <f>CHOOSE(CONTROL!$C$42, 25.9534, 25.9534) * CHOOSE(CONTROL!$C$21, $C$9, 100%, $E$9)</f>
        <v>25.953399999999998</v>
      </c>
      <c r="O497" s="14">
        <f>CHOOSE(CONTROL!$C$42, 26.186, 26.186) * CHOOSE(CONTROL!$C$21, $C$9, 100%, $E$9)</f>
        <v>26.186</v>
      </c>
      <c r="P497" s="14">
        <f>CHOOSE(CONTROL!$C$42, 26.0453, 26.0453) * CHOOSE(CONTROL!$C$21, $C$9, 100%, $E$9)</f>
        <v>26.045300000000001</v>
      </c>
      <c r="Q497" s="14">
        <f>CHOOSE(CONTROL!$C$42, 26.7807, 26.7807) * CHOOSE(CONTROL!$C$21, $C$9, 100%, $E$9)</f>
        <v>26.7807</v>
      </c>
      <c r="R497" s="14">
        <f>CHOOSE(CONTROL!$C$42, 27.4347, 27.4347) * CHOOSE(CONTROL!$C$21, $C$9, 100%, $E$9)</f>
        <v>27.434699999999999</v>
      </c>
      <c r="S497" s="14">
        <f>CHOOSE(CONTROL!$C$42, 25.4463, 25.4463) * CHOOSE(CONTROL!$C$21, $C$9, 100%, $E$9)</f>
        <v>25.446300000000001</v>
      </c>
      <c r="T4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7">
        <f>(1000*CHOOSE(CONTROL!$C$42, 695, 695)*CHOOSE(CONTROL!$C$42, 0.5599, 0.5599)*CHOOSE(CONTROL!$C$42, 31, 31))/1000000</f>
        <v>12.063045499999998</v>
      </c>
      <c r="V497" s="57">
        <f>(1000*CHOOSE(CONTROL!$C$42, 500, 500)*CHOOSE(CONTROL!$C$42, 0.275, 0.275)*CHOOSE(CONTROL!$C$42, 31, 31))/1000000</f>
        <v>4.2625000000000002</v>
      </c>
      <c r="W497" s="57">
        <f>(1000*CHOOSE(CONTROL!$C$42, 0.1146, 0.1146)*CHOOSE(CONTROL!$C$42, 121.5, 121.5)*CHOOSE(CONTROL!$C$42, 31, 31))/1000000</f>
        <v>0.43164089999999994</v>
      </c>
      <c r="X497" s="57">
        <f>(31*0.1790888*245000/1000000)+(31*0.2374*100000/1000000)</f>
        <v>2.0961194359999999</v>
      </c>
      <c r="Y497" s="57"/>
      <c r="Z497" s="14"/>
      <c r="AA497" s="56"/>
      <c r="AB497" s="50">
        <f>(B497*194.205+C497*267.466+D497*133.845+E497*53.484+F497*40+G497*185+H497*0+I497*100+J497*300)/(194.205+267.466+133.845+53.484+0+40+185+100+300)</f>
        <v>26.529310636577712</v>
      </c>
      <c r="AC497" s="45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26.026325179856112</v>
      </c>
    </row>
    <row r="498" spans="1:29" ht="15.75" x14ac:dyDescent="0.25">
      <c r="A498" s="33">
        <v>56065</v>
      </c>
      <c r="B498" s="14">
        <f>CHOOSE(CONTROL!$C$42, 27.244, 27.244) * CHOOSE(CONTROL!$C$21, $C$9, 100%, $E$9)</f>
        <v>27.244</v>
      </c>
      <c r="C498" s="14">
        <f>CHOOSE(CONTROL!$C$42, 27.252, 27.252) * CHOOSE(CONTROL!$C$21, $C$9, 100%, $E$9)</f>
        <v>27.251999999999999</v>
      </c>
      <c r="D498" s="14">
        <f>CHOOSE(CONTROL!$C$42, 27.457, 27.457) * CHOOSE(CONTROL!$C$21, $C$9, 100%, $E$9)</f>
        <v>27.457000000000001</v>
      </c>
      <c r="E498" s="14">
        <f>CHOOSE(CONTROL!$C$42, 27.4884, 27.4884) * CHOOSE(CONTROL!$C$21, $C$9, 100%, $E$9)</f>
        <v>27.488399999999999</v>
      </c>
      <c r="F498" s="14">
        <f>CHOOSE(CONTROL!$C$42, 27.2305, 27.2305)*CHOOSE(CONTROL!$C$21, $C$9, 100%, $E$9)</f>
        <v>27.230499999999999</v>
      </c>
      <c r="G498" s="14">
        <f>CHOOSE(CONTROL!$C$42, 27.2471, 27.2471)*CHOOSE(CONTROL!$C$21, $C$9, 100%, $E$9)</f>
        <v>27.2471</v>
      </c>
      <c r="H498" s="14">
        <f>CHOOSE(CONTROL!$C$42, 27.4771, 27.4771) * CHOOSE(CONTROL!$C$21, $C$9, 100%, $E$9)</f>
        <v>27.4771</v>
      </c>
      <c r="I498" s="14">
        <f>CHOOSE(CONTROL!$C$42, 27.3374, 27.3374)* CHOOSE(CONTROL!$C$21, $C$9, 100%, $E$9)</f>
        <v>27.337399999999999</v>
      </c>
      <c r="J498" s="14">
        <f>CHOOSE(CONTROL!$C$42, 27.2235, 27.2235)* CHOOSE(CONTROL!$C$21, $C$9, 100%, $E$9)</f>
        <v>27.223500000000001</v>
      </c>
      <c r="K498" s="53">
        <f>CHOOSE(CONTROL!$C$42, 27.3335, 27.3335) * CHOOSE(CONTROL!$C$21, $C$9, 100%, $E$9)</f>
        <v>27.333500000000001</v>
      </c>
      <c r="L498" s="14">
        <f>CHOOSE(CONTROL!$C$42, 28.0641, 28.0641) * CHOOSE(CONTROL!$C$21, $C$9, 100%, $E$9)</f>
        <v>28.0641</v>
      </c>
      <c r="M498" s="14">
        <f>CHOOSE(CONTROL!$C$42, 26.6734, 26.6734) * CHOOSE(CONTROL!$C$21, $C$9, 100%, $E$9)</f>
        <v>26.673400000000001</v>
      </c>
      <c r="N498" s="14">
        <f>CHOOSE(CONTROL!$C$42, 26.6896, 26.6896) * CHOOSE(CONTROL!$C$21, $C$9, 100%, $E$9)</f>
        <v>26.689599999999999</v>
      </c>
      <c r="O498" s="14">
        <f>CHOOSE(CONTROL!$C$42, 26.9218, 26.9218) * CHOOSE(CONTROL!$C$21, $C$9, 100%, $E$9)</f>
        <v>26.921800000000001</v>
      </c>
      <c r="P498" s="14">
        <f>CHOOSE(CONTROL!$C$42, 26.7833, 26.7833) * CHOOSE(CONTROL!$C$21, $C$9, 100%, $E$9)</f>
        <v>26.783300000000001</v>
      </c>
      <c r="Q498" s="14">
        <f>CHOOSE(CONTROL!$C$42, 27.5165, 27.5165) * CHOOSE(CONTROL!$C$21, $C$9, 100%, $E$9)</f>
        <v>27.516500000000001</v>
      </c>
      <c r="R498" s="14">
        <f>CHOOSE(CONTROL!$C$42, 28.1723, 28.1723) * CHOOSE(CONTROL!$C$21, $C$9, 100%, $E$9)</f>
        <v>28.1723</v>
      </c>
      <c r="S498" s="14">
        <f>CHOOSE(CONTROL!$C$42, 26.1681, 26.1681) * CHOOSE(CONTROL!$C$21, $C$9, 100%, $E$9)</f>
        <v>26.168099999999999</v>
      </c>
      <c r="T4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7">
        <f>(1000*CHOOSE(CONTROL!$C$42, 695, 695)*CHOOSE(CONTROL!$C$42, 0.5599, 0.5599)*CHOOSE(CONTROL!$C$42, 30, 30))/1000000</f>
        <v>11.673914999999997</v>
      </c>
      <c r="V498" s="57">
        <f>(1000*CHOOSE(CONTROL!$C$42, 500, 500)*CHOOSE(CONTROL!$C$42, 0.275, 0.275)*CHOOSE(CONTROL!$C$42, 30, 30))/1000000</f>
        <v>4.125</v>
      </c>
      <c r="W498" s="57">
        <f>(1000*CHOOSE(CONTROL!$C$42, 0.1146, 0.1146)*CHOOSE(CONTROL!$C$42, 121.5, 121.5)*CHOOSE(CONTROL!$C$42, 30, 30))/1000000</f>
        <v>0.417717</v>
      </c>
      <c r="X498" s="57">
        <f>(30*0.1790888*245000/1000000)+(30*0.2374*100000/1000000)</f>
        <v>2.0285026799999999</v>
      </c>
      <c r="Y498" s="57"/>
      <c r="Z498" s="14"/>
      <c r="AA498" s="56"/>
      <c r="AB498" s="50">
        <f>(B498*194.205+C498*267.466+D498*133.845+E498*53.484+F498*40+G498*185+H498*0+I498*100+J498*300)/(194.205+267.466+133.845+53.484+0+40+185+100+300)</f>
        <v>27.280847490266876</v>
      </c>
      <c r="AC498" s="45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26.762637410071942</v>
      </c>
    </row>
    <row r="499" spans="1:29" ht="15.75" x14ac:dyDescent="0.25">
      <c r="A499" s="33">
        <v>56096</v>
      </c>
      <c r="B499" s="14">
        <f>CHOOSE(CONTROL!$C$42, 26.7215, 26.7215) * CHOOSE(CONTROL!$C$21, $C$9, 100%, $E$9)</f>
        <v>26.721499999999999</v>
      </c>
      <c r="C499" s="14">
        <f>CHOOSE(CONTROL!$C$42, 26.7296, 26.7296) * CHOOSE(CONTROL!$C$21, $C$9, 100%, $E$9)</f>
        <v>26.729600000000001</v>
      </c>
      <c r="D499" s="14">
        <f>CHOOSE(CONTROL!$C$42, 26.9345, 26.9345) * CHOOSE(CONTROL!$C$21, $C$9, 100%, $E$9)</f>
        <v>26.9345</v>
      </c>
      <c r="E499" s="14">
        <f>CHOOSE(CONTROL!$C$42, 26.966, 26.966) * CHOOSE(CONTROL!$C$21, $C$9, 100%, $E$9)</f>
        <v>26.966000000000001</v>
      </c>
      <c r="F499" s="14">
        <f>CHOOSE(CONTROL!$C$42, 26.7085, 26.7085)*CHOOSE(CONTROL!$C$21, $C$9, 100%, $E$9)</f>
        <v>26.708500000000001</v>
      </c>
      <c r="G499" s="14">
        <f>CHOOSE(CONTROL!$C$42, 26.7251, 26.7251)*CHOOSE(CONTROL!$C$21, $C$9, 100%, $E$9)</f>
        <v>26.725100000000001</v>
      </c>
      <c r="H499" s="14">
        <f>CHOOSE(CONTROL!$C$42, 26.9546, 26.9546) * CHOOSE(CONTROL!$C$21, $C$9, 100%, $E$9)</f>
        <v>26.954599999999999</v>
      </c>
      <c r="I499" s="14">
        <f>CHOOSE(CONTROL!$C$42, 26.8133, 26.8133)* CHOOSE(CONTROL!$C$21, $C$9, 100%, $E$9)</f>
        <v>26.813300000000002</v>
      </c>
      <c r="J499" s="14">
        <f>CHOOSE(CONTROL!$C$42, 26.7015, 26.7015)* CHOOSE(CONTROL!$C$21, $C$9, 100%, $E$9)</f>
        <v>26.701499999999999</v>
      </c>
      <c r="K499" s="53">
        <f>CHOOSE(CONTROL!$C$42, 26.8094, 26.8094) * CHOOSE(CONTROL!$C$21, $C$9, 100%, $E$9)</f>
        <v>26.8094</v>
      </c>
      <c r="L499" s="14">
        <f>CHOOSE(CONTROL!$C$42, 27.5416, 27.5416) * CHOOSE(CONTROL!$C$21, $C$9, 100%, $E$9)</f>
        <v>27.541599999999999</v>
      </c>
      <c r="M499" s="14">
        <f>CHOOSE(CONTROL!$C$42, 26.1621, 26.1621) * CHOOSE(CONTROL!$C$21, $C$9, 100%, $E$9)</f>
        <v>26.162099999999999</v>
      </c>
      <c r="N499" s="14">
        <f>CHOOSE(CONTROL!$C$42, 26.1784, 26.1784) * CHOOSE(CONTROL!$C$21, $C$9, 100%, $E$9)</f>
        <v>26.1784</v>
      </c>
      <c r="O499" s="14">
        <f>CHOOSE(CONTROL!$C$42, 26.4101, 26.4101) * CHOOSE(CONTROL!$C$21, $C$9, 100%, $E$9)</f>
        <v>26.4101</v>
      </c>
      <c r="P499" s="14">
        <f>CHOOSE(CONTROL!$C$42, 26.27, 26.27) * CHOOSE(CONTROL!$C$21, $C$9, 100%, $E$9)</f>
        <v>26.27</v>
      </c>
      <c r="Q499" s="14">
        <f>CHOOSE(CONTROL!$C$42, 27.0048, 27.0048) * CHOOSE(CONTROL!$C$21, $C$9, 100%, $E$9)</f>
        <v>27.004799999999999</v>
      </c>
      <c r="R499" s="14">
        <f>CHOOSE(CONTROL!$C$42, 27.6593, 27.6593) * CHOOSE(CONTROL!$C$21, $C$9, 100%, $E$9)</f>
        <v>27.659300000000002</v>
      </c>
      <c r="S499" s="14">
        <f>CHOOSE(CONTROL!$C$42, 25.6661, 25.6661) * CHOOSE(CONTROL!$C$21, $C$9, 100%, $E$9)</f>
        <v>25.6661</v>
      </c>
      <c r="T4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7">
        <f>(1000*CHOOSE(CONTROL!$C$42, 695, 695)*CHOOSE(CONTROL!$C$42, 0.5599, 0.5599)*CHOOSE(CONTROL!$C$42, 31, 31))/1000000</f>
        <v>12.063045499999998</v>
      </c>
      <c r="V499" s="57">
        <f>(1000*CHOOSE(CONTROL!$C$42, 500, 500)*CHOOSE(CONTROL!$C$42, 0.275, 0.275)*CHOOSE(CONTROL!$C$42, 31, 31))/1000000</f>
        <v>4.2625000000000002</v>
      </c>
      <c r="W499" s="57">
        <f>(1000*CHOOSE(CONTROL!$C$42, 0.1146, 0.1146)*CHOOSE(CONTROL!$C$42, 121.5, 121.5)*CHOOSE(CONTROL!$C$42, 31, 31))/1000000</f>
        <v>0.43164089999999994</v>
      </c>
      <c r="X499" s="57">
        <f>(31*0.1790888*245000/1000000)+(31*0.2374*100000/1000000)</f>
        <v>2.0961194359999999</v>
      </c>
      <c r="Y499" s="57"/>
      <c r="Z499" s="14"/>
      <c r="AA499" s="56"/>
      <c r="AB499" s="50">
        <f>(B499*194.205+C499*267.466+D499*133.845+E499*53.484+F499*40+G499*185+H499*0+I499*100+J499*300)/(194.205+267.466+133.845+53.484+0+40+185+100+300)</f>
        <v>26.758453137833591</v>
      </c>
      <c r="AC499" s="45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26.250960431654676</v>
      </c>
    </row>
    <row r="500" spans="1:29" ht="15.75" x14ac:dyDescent="0.25">
      <c r="A500" s="33">
        <v>56127</v>
      </c>
      <c r="B500" s="14">
        <f>CHOOSE(CONTROL!$C$42, 25.4022, 25.4022) * CHOOSE(CONTROL!$C$21, $C$9, 100%, $E$9)</f>
        <v>25.402200000000001</v>
      </c>
      <c r="C500" s="14">
        <f>CHOOSE(CONTROL!$C$42, 25.4103, 25.4103) * CHOOSE(CONTROL!$C$21, $C$9, 100%, $E$9)</f>
        <v>25.410299999999999</v>
      </c>
      <c r="D500" s="14">
        <f>CHOOSE(CONTROL!$C$42, 25.6152, 25.6152) * CHOOSE(CONTROL!$C$21, $C$9, 100%, $E$9)</f>
        <v>25.615200000000002</v>
      </c>
      <c r="E500" s="14">
        <f>CHOOSE(CONTROL!$C$42, 25.6467, 25.6467) * CHOOSE(CONTROL!$C$21, $C$9, 100%, $E$9)</f>
        <v>25.646699999999999</v>
      </c>
      <c r="F500" s="14">
        <f>CHOOSE(CONTROL!$C$42, 25.3894, 25.3894)*CHOOSE(CONTROL!$C$21, $C$9, 100%, $E$9)</f>
        <v>25.389399999999998</v>
      </c>
      <c r="G500" s="14">
        <f>CHOOSE(CONTROL!$C$42, 25.4061, 25.4061)*CHOOSE(CONTROL!$C$21, $C$9, 100%, $E$9)</f>
        <v>25.406099999999999</v>
      </c>
      <c r="H500" s="14">
        <f>CHOOSE(CONTROL!$C$42, 25.6353, 25.6353) * CHOOSE(CONTROL!$C$21, $C$9, 100%, $E$9)</f>
        <v>25.635300000000001</v>
      </c>
      <c r="I500" s="14">
        <f>CHOOSE(CONTROL!$C$42, 25.4898, 25.4898)* CHOOSE(CONTROL!$C$21, $C$9, 100%, $E$9)</f>
        <v>25.489799999999999</v>
      </c>
      <c r="J500" s="14">
        <f>CHOOSE(CONTROL!$C$42, 25.3824, 25.3824)* CHOOSE(CONTROL!$C$21, $C$9, 100%, $E$9)</f>
        <v>25.382400000000001</v>
      </c>
      <c r="K500" s="53">
        <f>CHOOSE(CONTROL!$C$42, 25.4859, 25.4859) * CHOOSE(CONTROL!$C$21, $C$9, 100%, $E$9)</f>
        <v>25.485900000000001</v>
      </c>
      <c r="L500" s="14">
        <f>CHOOSE(CONTROL!$C$42, 26.2223, 26.2223) * CHOOSE(CONTROL!$C$21, $C$9, 100%, $E$9)</f>
        <v>26.222300000000001</v>
      </c>
      <c r="M500" s="14">
        <f>CHOOSE(CONTROL!$C$42, 24.87, 24.87) * CHOOSE(CONTROL!$C$21, $C$9, 100%, $E$9)</f>
        <v>24.87</v>
      </c>
      <c r="N500" s="14">
        <f>CHOOSE(CONTROL!$C$42, 24.8864, 24.8864) * CHOOSE(CONTROL!$C$21, $C$9, 100%, $E$9)</f>
        <v>24.886399999999998</v>
      </c>
      <c r="O500" s="14">
        <f>CHOOSE(CONTROL!$C$42, 25.1178, 25.1178) * CHOOSE(CONTROL!$C$21, $C$9, 100%, $E$9)</f>
        <v>25.117799999999999</v>
      </c>
      <c r="P500" s="14">
        <f>CHOOSE(CONTROL!$C$42, 24.9737, 24.9737) * CHOOSE(CONTROL!$C$21, $C$9, 100%, $E$9)</f>
        <v>24.973700000000001</v>
      </c>
      <c r="Q500" s="14">
        <f>CHOOSE(CONTROL!$C$42, 25.7125, 25.7125) * CHOOSE(CONTROL!$C$21, $C$9, 100%, $E$9)</f>
        <v>25.712499999999999</v>
      </c>
      <c r="R500" s="14">
        <f>CHOOSE(CONTROL!$C$42, 26.3638, 26.3638) * CHOOSE(CONTROL!$C$21, $C$9, 100%, $E$9)</f>
        <v>26.363800000000001</v>
      </c>
      <c r="S500" s="14">
        <f>CHOOSE(CONTROL!$C$42, 24.3984, 24.3984) * CHOOSE(CONTROL!$C$21, $C$9, 100%, $E$9)</f>
        <v>24.398399999999999</v>
      </c>
      <c r="T5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7">
        <f>(1000*CHOOSE(CONTROL!$C$42, 695, 695)*CHOOSE(CONTROL!$C$42, 0.5599, 0.5599)*CHOOSE(CONTROL!$C$42, 31, 31))/1000000</f>
        <v>12.063045499999998</v>
      </c>
      <c r="V500" s="57">
        <f>(1000*CHOOSE(CONTROL!$C$42, 500, 500)*CHOOSE(CONTROL!$C$42, 0.275, 0.275)*CHOOSE(CONTROL!$C$42, 31, 31))/1000000</f>
        <v>4.2625000000000002</v>
      </c>
      <c r="W500" s="57">
        <f>(1000*CHOOSE(CONTROL!$C$42, 0.1146, 0.1146)*CHOOSE(CONTROL!$C$42, 121.5, 121.5)*CHOOSE(CONTROL!$C$42, 31, 31))/1000000</f>
        <v>0.43164089999999994</v>
      </c>
      <c r="X500" s="57">
        <f>(31*0.1790888*245000/1000000)+(31*0.2374*100000/1000000)</f>
        <v>2.0961194359999999</v>
      </c>
      <c r="Y500" s="57"/>
      <c r="Z500" s="14"/>
      <c r="AA500" s="56"/>
      <c r="AB500" s="50">
        <f>(B500*194.205+C500*267.466+D500*133.845+E500*53.484+F500*40+G500*185+H500*0+I500*100+J500*300)/(194.205+267.466+133.845+53.484+0+40+185+100+300)</f>
        <v>25.438920406279436</v>
      </c>
      <c r="AC500" s="45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24.958223021582732</v>
      </c>
    </row>
    <row r="501" spans="1:29" ht="15.75" x14ac:dyDescent="0.25">
      <c r="A501" s="33">
        <v>56157</v>
      </c>
      <c r="B501" s="14">
        <f>CHOOSE(CONTROL!$C$42, 23.7899, 23.7899) * CHOOSE(CONTROL!$C$21, $C$9, 100%, $E$9)</f>
        <v>23.789899999999999</v>
      </c>
      <c r="C501" s="14">
        <f>CHOOSE(CONTROL!$C$42, 23.7979, 23.7979) * CHOOSE(CONTROL!$C$21, $C$9, 100%, $E$9)</f>
        <v>23.797899999999998</v>
      </c>
      <c r="D501" s="14">
        <f>CHOOSE(CONTROL!$C$42, 24.0029, 24.0029) * CHOOSE(CONTROL!$C$21, $C$9, 100%, $E$9)</f>
        <v>24.0029</v>
      </c>
      <c r="E501" s="14">
        <f>CHOOSE(CONTROL!$C$42, 24.0343, 24.0343) * CHOOSE(CONTROL!$C$21, $C$9, 100%, $E$9)</f>
        <v>24.034300000000002</v>
      </c>
      <c r="F501" s="14">
        <f>CHOOSE(CONTROL!$C$42, 23.777, 23.777)*CHOOSE(CONTROL!$C$21, $C$9, 100%, $E$9)</f>
        <v>23.777000000000001</v>
      </c>
      <c r="G501" s="14">
        <f>CHOOSE(CONTROL!$C$42, 23.7937, 23.7937)*CHOOSE(CONTROL!$C$21, $C$9, 100%, $E$9)</f>
        <v>23.793700000000001</v>
      </c>
      <c r="H501" s="14">
        <f>CHOOSE(CONTROL!$C$42, 24.023, 24.023) * CHOOSE(CONTROL!$C$21, $C$9, 100%, $E$9)</f>
        <v>24.023</v>
      </c>
      <c r="I501" s="14">
        <f>CHOOSE(CONTROL!$C$42, 23.8724, 23.8724)* CHOOSE(CONTROL!$C$21, $C$9, 100%, $E$9)</f>
        <v>23.872399999999999</v>
      </c>
      <c r="J501" s="14">
        <f>CHOOSE(CONTROL!$C$42, 23.77, 23.77)* CHOOSE(CONTROL!$C$21, $C$9, 100%, $E$9)</f>
        <v>23.77</v>
      </c>
      <c r="K501" s="53">
        <f>CHOOSE(CONTROL!$C$42, 23.8685, 23.8685) * CHOOSE(CONTROL!$C$21, $C$9, 100%, $E$9)</f>
        <v>23.868500000000001</v>
      </c>
      <c r="L501" s="14">
        <f>CHOOSE(CONTROL!$C$42, 24.61, 24.61) * CHOOSE(CONTROL!$C$21, $C$9, 100%, $E$9)</f>
        <v>24.61</v>
      </c>
      <c r="M501" s="14">
        <f>CHOOSE(CONTROL!$C$42, 23.2907, 23.2907) * CHOOSE(CONTROL!$C$21, $C$9, 100%, $E$9)</f>
        <v>23.290700000000001</v>
      </c>
      <c r="N501" s="14">
        <f>CHOOSE(CONTROL!$C$42, 23.307, 23.307) * CHOOSE(CONTROL!$C$21, $C$9, 100%, $E$9)</f>
        <v>23.306999999999999</v>
      </c>
      <c r="O501" s="14">
        <f>CHOOSE(CONTROL!$C$42, 23.5385, 23.5385) * CHOOSE(CONTROL!$C$21, $C$9, 100%, $E$9)</f>
        <v>23.538499999999999</v>
      </c>
      <c r="P501" s="14">
        <f>CHOOSE(CONTROL!$C$42, 23.3896, 23.3896) * CHOOSE(CONTROL!$C$21, $C$9, 100%, $E$9)</f>
        <v>23.389600000000002</v>
      </c>
      <c r="Q501" s="14">
        <f>CHOOSE(CONTROL!$C$42, 24.1332, 24.1332) * CHOOSE(CONTROL!$C$21, $C$9, 100%, $E$9)</f>
        <v>24.133199999999999</v>
      </c>
      <c r="R501" s="14">
        <f>CHOOSE(CONTROL!$C$42, 24.7805, 24.7805) * CHOOSE(CONTROL!$C$21, $C$9, 100%, $E$9)</f>
        <v>24.7805</v>
      </c>
      <c r="S501" s="14">
        <f>CHOOSE(CONTROL!$C$42, 22.8491, 22.8491) * CHOOSE(CONTROL!$C$21, $C$9, 100%, $E$9)</f>
        <v>22.8491</v>
      </c>
      <c r="T5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7">
        <f>(1000*CHOOSE(CONTROL!$C$42, 695, 695)*CHOOSE(CONTROL!$C$42, 0.5599, 0.5599)*CHOOSE(CONTROL!$C$42, 30, 30))/1000000</f>
        <v>11.673914999999997</v>
      </c>
      <c r="V501" s="57">
        <f>(1000*CHOOSE(CONTROL!$C$42, 500, 500)*CHOOSE(CONTROL!$C$42, 0.275, 0.275)*CHOOSE(CONTROL!$C$42, 30, 30))/1000000</f>
        <v>4.125</v>
      </c>
      <c r="W501" s="57">
        <f>(1000*CHOOSE(CONTROL!$C$42, 0.1146, 0.1146)*CHOOSE(CONTROL!$C$42, 121.5, 121.5)*CHOOSE(CONTROL!$C$42, 30, 30))/1000000</f>
        <v>0.417717</v>
      </c>
      <c r="X501" s="57">
        <f>(30*0.1790888*245000/1000000)+(30*0.2374*100000/1000000)</f>
        <v>2.0285026799999999</v>
      </c>
      <c r="Y501" s="57"/>
      <c r="Z501" s="14"/>
      <c r="AA501" s="56"/>
      <c r="AB501" s="50">
        <f>(B501*194.205+C501*267.466+D501*133.845+E501*53.484+F501*40+G501*185+H501*0+I501*100+J501*300)/(194.205+267.466+133.845+53.484+0+40+185+100+300)</f>
        <v>23.826153691208791</v>
      </c>
      <c r="AC501" s="45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23.378209352517981</v>
      </c>
    </row>
    <row r="502" spans="1:29" ht="15.75" x14ac:dyDescent="0.25">
      <c r="A502" s="33">
        <v>56188</v>
      </c>
      <c r="B502" s="14">
        <f>CHOOSE(CONTROL!$C$42, 23.3053, 23.3053) * CHOOSE(CONTROL!$C$21, $C$9, 100%, $E$9)</f>
        <v>23.305299999999999</v>
      </c>
      <c r="C502" s="14">
        <f>CHOOSE(CONTROL!$C$42, 23.3107, 23.3107) * CHOOSE(CONTROL!$C$21, $C$9, 100%, $E$9)</f>
        <v>23.310700000000001</v>
      </c>
      <c r="D502" s="14">
        <f>CHOOSE(CONTROL!$C$42, 23.5206, 23.5206) * CHOOSE(CONTROL!$C$21, $C$9, 100%, $E$9)</f>
        <v>23.520600000000002</v>
      </c>
      <c r="E502" s="14">
        <f>CHOOSE(CONTROL!$C$42, 23.5497, 23.5497) * CHOOSE(CONTROL!$C$21, $C$9, 100%, $E$9)</f>
        <v>23.549700000000001</v>
      </c>
      <c r="F502" s="14">
        <f>CHOOSE(CONTROL!$C$42, 23.2945, 23.2945)*CHOOSE(CONTROL!$C$21, $C$9, 100%, $E$9)</f>
        <v>23.294499999999999</v>
      </c>
      <c r="G502" s="14">
        <f>CHOOSE(CONTROL!$C$42, 23.3109, 23.3109)*CHOOSE(CONTROL!$C$21, $C$9, 100%, $E$9)</f>
        <v>23.3109</v>
      </c>
      <c r="H502" s="14">
        <f>CHOOSE(CONTROL!$C$42, 23.5402, 23.5402) * CHOOSE(CONTROL!$C$21, $C$9, 100%, $E$9)</f>
        <v>23.540199999999999</v>
      </c>
      <c r="I502" s="14">
        <f>CHOOSE(CONTROL!$C$42, 23.3881, 23.3881)* CHOOSE(CONTROL!$C$21, $C$9, 100%, $E$9)</f>
        <v>23.388100000000001</v>
      </c>
      <c r="J502" s="14">
        <f>CHOOSE(CONTROL!$C$42, 23.2875, 23.2875)* CHOOSE(CONTROL!$C$21, $C$9, 100%, $E$9)</f>
        <v>23.287500000000001</v>
      </c>
      <c r="K502" s="53">
        <f>CHOOSE(CONTROL!$C$42, 23.3842, 23.3842) * CHOOSE(CONTROL!$C$21, $C$9, 100%, $E$9)</f>
        <v>23.3842</v>
      </c>
      <c r="L502" s="14">
        <f>CHOOSE(CONTROL!$C$42, 24.1272, 24.1272) * CHOOSE(CONTROL!$C$21, $C$9, 100%, $E$9)</f>
        <v>24.127199999999998</v>
      </c>
      <c r="M502" s="14">
        <f>CHOOSE(CONTROL!$C$42, 22.8181, 22.8181) * CHOOSE(CONTROL!$C$21, $C$9, 100%, $E$9)</f>
        <v>22.818100000000001</v>
      </c>
      <c r="N502" s="14">
        <f>CHOOSE(CONTROL!$C$42, 22.8341, 22.8341) * CHOOSE(CONTROL!$C$21, $C$9, 100%, $E$9)</f>
        <v>22.834099999999999</v>
      </c>
      <c r="O502" s="14">
        <f>CHOOSE(CONTROL!$C$42, 23.0656, 23.0656) * CHOOSE(CONTROL!$C$21, $C$9, 100%, $E$9)</f>
        <v>23.0656</v>
      </c>
      <c r="P502" s="14">
        <f>CHOOSE(CONTROL!$C$42, 22.9152, 22.9152) * CHOOSE(CONTROL!$C$21, $C$9, 100%, $E$9)</f>
        <v>22.915199999999999</v>
      </c>
      <c r="Q502" s="14">
        <f>CHOOSE(CONTROL!$C$42, 23.6603, 23.6603) * CHOOSE(CONTROL!$C$21, $C$9, 100%, $E$9)</f>
        <v>23.660299999999999</v>
      </c>
      <c r="R502" s="14">
        <f>CHOOSE(CONTROL!$C$42, 24.3064, 24.3064) * CHOOSE(CONTROL!$C$21, $C$9, 100%, $E$9)</f>
        <v>24.3064</v>
      </c>
      <c r="S502" s="14">
        <f>CHOOSE(CONTROL!$C$42, 22.3852, 22.3852) * CHOOSE(CONTROL!$C$21, $C$9, 100%, $E$9)</f>
        <v>22.385200000000001</v>
      </c>
      <c r="T5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7">
        <f>(1000*CHOOSE(CONTROL!$C$42, 695, 695)*CHOOSE(CONTROL!$C$42, 0.5599, 0.5599)*CHOOSE(CONTROL!$C$42, 31, 31))/1000000</f>
        <v>12.063045499999998</v>
      </c>
      <c r="V502" s="57">
        <f>(1000*CHOOSE(CONTROL!$C$42, 500, 500)*CHOOSE(CONTROL!$C$42, 0.275, 0.275)*CHOOSE(CONTROL!$C$42, 31, 31))/1000000</f>
        <v>4.2625000000000002</v>
      </c>
      <c r="W502" s="57">
        <f>(1000*CHOOSE(CONTROL!$C$42, 0.1146, 0.1146)*CHOOSE(CONTROL!$C$42, 121.5, 121.5)*CHOOSE(CONTROL!$C$42, 31, 31))/1000000</f>
        <v>0.43164089999999994</v>
      </c>
      <c r="X502" s="57">
        <f>(31*0.1790888*245000/1000000)+(31*0.2374*100000/1000000)</f>
        <v>2.0961194359999999</v>
      </c>
      <c r="Y502" s="57"/>
      <c r="Z502" s="14"/>
      <c r="AA502" s="56"/>
      <c r="AB502" s="50">
        <f>(B502*131.881+C502*277.167+D502*79.08+E502*125.872+F502*40+G502*185+H502*0+I502*100+J502*300)/(131.881+277.167+79.08+125.872+0+40+185+100+300)</f>
        <v>23.347939017433415</v>
      </c>
      <c r="AC502" s="45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22.905197122302159</v>
      </c>
    </row>
    <row r="503" spans="1:29" ht="15.75" x14ac:dyDescent="0.25">
      <c r="A503" s="33">
        <v>56218</v>
      </c>
      <c r="B503" s="14">
        <f>CHOOSE(CONTROL!$C$42, 23.9186, 23.9186) * CHOOSE(CONTROL!$C$21, $C$9, 100%, $E$9)</f>
        <v>23.918600000000001</v>
      </c>
      <c r="C503" s="14">
        <f>CHOOSE(CONTROL!$C$42, 23.9237, 23.9237) * CHOOSE(CONTROL!$C$21, $C$9, 100%, $E$9)</f>
        <v>23.9237</v>
      </c>
      <c r="D503" s="14">
        <f>CHOOSE(CONTROL!$C$42, 23.9875, 23.9875) * CHOOSE(CONTROL!$C$21, $C$9, 100%, $E$9)</f>
        <v>23.987500000000001</v>
      </c>
      <c r="E503" s="14">
        <f>CHOOSE(CONTROL!$C$42, 24.0216, 24.0216) * CHOOSE(CONTROL!$C$21, $C$9, 100%, $E$9)</f>
        <v>24.021599999999999</v>
      </c>
      <c r="F503" s="14">
        <f>CHOOSE(CONTROL!$C$42, 23.9209, 23.9209)*CHOOSE(CONTROL!$C$21, $C$9, 100%, $E$9)</f>
        <v>23.9209</v>
      </c>
      <c r="G503" s="14">
        <f>CHOOSE(CONTROL!$C$42, 23.9375, 23.9375)*CHOOSE(CONTROL!$C$21, $C$9, 100%, $E$9)</f>
        <v>23.9375</v>
      </c>
      <c r="H503" s="14">
        <f>CHOOSE(CONTROL!$C$42, 24.0108, 24.0108) * CHOOSE(CONTROL!$C$21, $C$9, 100%, $E$9)</f>
        <v>24.0108</v>
      </c>
      <c r="I503" s="14">
        <f>CHOOSE(CONTROL!$C$42, 24.0074, 24.0074)* CHOOSE(CONTROL!$C$21, $C$9, 100%, $E$9)</f>
        <v>24.007400000000001</v>
      </c>
      <c r="J503" s="14">
        <f>CHOOSE(CONTROL!$C$42, 23.9139, 23.9139)* CHOOSE(CONTROL!$C$21, $C$9, 100%, $E$9)</f>
        <v>23.913900000000002</v>
      </c>
      <c r="K503" s="53">
        <f>CHOOSE(CONTROL!$C$42, 24.0035, 24.0035) * CHOOSE(CONTROL!$C$21, $C$9, 100%, $E$9)</f>
        <v>24.003499999999999</v>
      </c>
      <c r="L503" s="14">
        <f>CHOOSE(CONTROL!$C$42, 24.5978, 24.5978) * CHOOSE(CONTROL!$C$21, $C$9, 100%, $E$9)</f>
        <v>24.597799999999999</v>
      </c>
      <c r="M503" s="14">
        <f>CHOOSE(CONTROL!$C$42, 23.4316, 23.4316) * CHOOSE(CONTROL!$C$21, $C$9, 100%, $E$9)</f>
        <v>23.4316</v>
      </c>
      <c r="N503" s="14">
        <f>CHOOSE(CONTROL!$C$42, 23.4479, 23.4479) * CHOOSE(CONTROL!$C$21, $C$9, 100%, $E$9)</f>
        <v>23.447900000000001</v>
      </c>
      <c r="O503" s="14">
        <f>CHOOSE(CONTROL!$C$42, 23.5265, 23.5265) * CHOOSE(CONTROL!$C$21, $C$9, 100%, $E$9)</f>
        <v>23.526499999999999</v>
      </c>
      <c r="P503" s="14">
        <f>CHOOSE(CONTROL!$C$42, 23.5218, 23.5218) * CHOOSE(CONTROL!$C$21, $C$9, 100%, $E$9)</f>
        <v>23.521799999999999</v>
      </c>
      <c r="Q503" s="14">
        <f>CHOOSE(CONTROL!$C$42, 24.1212, 24.1212) * CHOOSE(CONTROL!$C$21, $C$9, 100%, $E$9)</f>
        <v>24.121200000000002</v>
      </c>
      <c r="R503" s="14">
        <f>CHOOSE(CONTROL!$C$42, 24.7685, 24.7685) * CHOOSE(CONTROL!$C$21, $C$9, 100%, $E$9)</f>
        <v>24.7685</v>
      </c>
      <c r="S503" s="14">
        <f>CHOOSE(CONTROL!$C$42, 22.9749, 22.9749) * CHOOSE(CONTROL!$C$21, $C$9, 100%, $E$9)</f>
        <v>22.974900000000002</v>
      </c>
      <c r="T5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7">
        <f>(1000*CHOOSE(CONTROL!$C$42, 695, 695)*CHOOSE(CONTROL!$C$42, 0.5599, 0.5599)*CHOOSE(CONTROL!$C$42, 30, 30))/1000000</f>
        <v>11.673914999999997</v>
      </c>
      <c r="V503" s="57">
        <f>(1000*CHOOSE(CONTROL!$C$42, 500, 500)*CHOOSE(CONTROL!$C$42, 0.275, 0.275)*CHOOSE(CONTROL!$C$42, 30, 30))/1000000</f>
        <v>4.125</v>
      </c>
      <c r="W503" s="57">
        <f>(1000*CHOOSE(CONTROL!$C$42, 0.1146, 0.1146)*CHOOSE(CONTROL!$C$42, 121.5, 121.5)*CHOOSE(CONTROL!$C$42, 30, 30))/1000000</f>
        <v>0.417717</v>
      </c>
      <c r="X503" s="57">
        <f>(30*0.1790888*100000/1000000)+(30*0.2374*100000/1000000)</f>
        <v>1.2494664</v>
      </c>
      <c r="Y503" s="57"/>
      <c r="Z503" s="14"/>
      <c r="AA503" s="56"/>
      <c r="AB503" s="50">
        <f>(B503*122.58+C503*297.941+D503*89.177+E503*40.302+F503*40+G503*160+H503*0+I503*100+J503*300)/(122.58+297.941+89.177+40.302+0+40+160+100+300)</f>
        <v>23.93807904382609</v>
      </c>
      <c r="AC503" s="45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23.488528776978416</v>
      </c>
    </row>
    <row r="504" spans="1:29" ht="15.75" x14ac:dyDescent="0.25">
      <c r="A504" s="33">
        <v>56249</v>
      </c>
      <c r="B504" s="14">
        <f>CHOOSE(CONTROL!$C$42, 25.5487, 25.5487) * CHOOSE(CONTROL!$C$21, $C$9, 100%, $E$9)</f>
        <v>25.5487</v>
      </c>
      <c r="C504" s="14">
        <f>CHOOSE(CONTROL!$C$42, 25.5538, 25.5538) * CHOOSE(CONTROL!$C$21, $C$9, 100%, $E$9)</f>
        <v>25.553799999999999</v>
      </c>
      <c r="D504" s="14">
        <f>CHOOSE(CONTROL!$C$42, 25.6176, 25.6176) * CHOOSE(CONTROL!$C$21, $C$9, 100%, $E$9)</f>
        <v>25.617599999999999</v>
      </c>
      <c r="E504" s="14">
        <f>CHOOSE(CONTROL!$C$42, 25.6517, 25.6517) * CHOOSE(CONTROL!$C$21, $C$9, 100%, $E$9)</f>
        <v>25.651700000000002</v>
      </c>
      <c r="F504" s="14">
        <f>CHOOSE(CONTROL!$C$42, 25.553, 25.553)*CHOOSE(CONTROL!$C$21, $C$9, 100%, $E$9)</f>
        <v>25.553000000000001</v>
      </c>
      <c r="G504" s="14">
        <f>CHOOSE(CONTROL!$C$42, 25.5702, 25.5702)*CHOOSE(CONTROL!$C$21, $C$9, 100%, $E$9)</f>
        <v>25.5702</v>
      </c>
      <c r="H504" s="14">
        <f>CHOOSE(CONTROL!$C$42, 25.6409, 25.6409) * CHOOSE(CONTROL!$C$21, $C$9, 100%, $E$9)</f>
        <v>25.640899999999998</v>
      </c>
      <c r="I504" s="14">
        <f>CHOOSE(CONTROL!$C$42, 25.6426, 25.6426)* CHOOSE(CONTROL!$C$21, $C$9, 100%, $E$9)</f>
        <v>25.642600000000002</v>
      </c>
      <c r="J504" s="14">
        <f>CHOOSE(CONTROL!$C$42, 25.546, 25.546)* CHOOSE(CONTROL!$C$21, $C$9, 100%, $E$9)</f>
        <v>25.545999999999999</v>
      </c>
      <c r="K504" s="53">
        <f>CHOOSE(CONTROL!$C$42, 25.6387, 25.6387) * CHOOSE(CONTROL!$C$21, $C$9, 100%, $E$9)</f>
        <v>25.6387</v>
      </c>
      <c r="L504" s="14">
        <f>CHOOSE(CONTROL!$C$42, 26.2279, 26.2279) * CHOOSE(CONTROL!$C$21, $C$9, 100%, $E$9)</f>
        <v>26.227900000000002</v>
      </c>
      <c r="M504" s="14">
        <f>CHOOSE(CONTROL!$C$42, 25.0303, 25.0303) * CHOOSE(CONTROL!$C$21, $C$9, 100%, $E$9)</f>
        <v>25.0303</v>
      </c>
      <c r="N504" s="14">
        <f>CHOOSE(CONTROL!$C$42, 25.0472, 25.0472) * CHOOSE(CONTROL!$C$21, $C$9, 100%, $E$9)</f>
        <v>25.0472</v>
      </c>
      <c r="O504" s="14">
        <f>CHOOSE(CONTROL!$C$42, 25.1232, 25.1232) * CHOOSE(CONTROL!$C$21, $C$9, 100%, $E$9)</f>
        <v>25.123200000000001</v>
      </c>
      <c r="P504" s="14">
        <f>CHOOSE(CONTROL!$C$42, 25.1234, 25.1234) * CHOOSE(CONTROL!$C$21, $C$9, 100%, $E$9)</f>
        <v>25.1234</v>
      </c>
      <c r="Q504" s="14">
        <f>CHOOSE(CONTROL!$C$42, 25.7179, 25.7179) * CHOOSE(CONTROL!$C$21, $C$9, 100%, $E$9)</f>
        <v>25.7179</v>
      </c>
      <c r="R504" s="14">
        <f>CHOOSE(CONTROL!$C$42, 26.3692, 26.3692) * CHOOSE(CONTROL!$C$21, $C$9, 100%, $E$9)</f>
        <v>26.369199999999999</v>
      </c>
      <c r="S504" s="14">
        <f>CHOOSE(CONTROL!$C$42, 24.5412, 24.5412) * CHOOSE(CONTROL!$C$21, $C$9, 100%, $E$9)</f>
        <v>24.5412</v>
      </c>
      <c r="T5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7">
        <f>(1000*CHOOSE(CONTROL!$C$42, 695, 695)*CHOOSE(CONTROL!$C$42, 0.5599, 0.5599)*CHOOSE(CONTROL!$C$42, 31, 31))/1000000</f>
        <v>12.063045499999998</v>
      </c>
      <c r="V504" s="57">
        <f>(1000*CHOOSE(CONTROL!$C$42, 500, 500)*CHOOSE(CONTROL!$C$42, 0.275, 0.275)*CHOOSE(CONTROL!$C$42, 31, 31))/1000000</f>
        <v>4.2625000000000002</v>
      </c>
      <c r="W504" s="57">
        <f>(1000*CHOOSE(CONTROL!$C$42, 0.1146, 0.1146)*CHOOSE(CONTROL!$C$42, 121.5, 121.5)*CHOOSE(CONTROL!$C$42, 31, 31))/1000000</f>
        <v>0.43164089999999994</v>
      </c>
      <c r="X504" s="57">
        <f>(31*0.1790888*100000/1000000)+(31*0.2374*100000/1000000)</f>
        <v>1.2911152800000001</v>
      </c>
      <c r="Y504" s="57"/>
      <c r="Z504" s="14"/>
      <c r="AA504" s="56"/>
      <c r="AB504" s="50">
        <f>(B504*122.58+C504*297.941+D504*89.177+E504*40.302+F504*40+G504*160+H504*0+I504*100+J504*300)/(122.58+297.941+89.177+40.302+0+40+160+100+300)</f>
        <v>25.569575565565216</v>
      </c>
      <c r="AC504" s="45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25.086774100719424</v>
      </c>
    </row>
    <row r="505" spans="1:29" ht="15.75" x14ac:dyDescent="0.25">
      <c r="A505" s="33">
        <v>56280</v>
      </c>
      <c r="B505" s="14">
        <f>CHOOSE(CONTROL!$C$42, 27.6407, 27.6407) * CHOOSE(CONTROL!$C$21, $C$9, 100%, $E$9)</f>
        <v>27.640699999999999</v>
      </c>
      <c r="C505" s="14">
        <f>CHOOSE(CONTROL!$C$42, 27.6458, 27.6458) * CHOOSE(CONTROL!$C$21, $C$9, 100%, $E$9)</f>
        <v>27.645800000000001</v>
      </c>
      <c r="D505" s="14">
        <f>CHOOSE(CONTROL!$C$42, 27.7044, 27.7044) * CHOOSE(CONTROL!$C$21, $C$9, 100%, $E$9)</f>
        <v>27.7044</v>
      </c>
      <c r="E505" s="14">
        <f>CHOOSE(CONTROL!$C$42, 27.7385, 27.7385) * CHOOSE(CONTROL!$C$21, $C$9, 100%, $E$9)</f>
        <v>27.738499999999998</v>
      </c>
      <c r="F505" s="14">
        <f>CHOOSE(CONTROL!$C$42, 27.6398, 27.6398)*CHOOSE(CONTROL!$C$21, $C$9, 100%, $E$9)</f>
        <v>27.639800000000001</v>
      </c>
      <c r="G505" s="14">
        <f>CHOOSE(CONTROL!$C$42, 27.6562, 27.6562)*CHOOSE(CONTROL!$C$21, $C$9, 100%, $E$9)</f>
        <v>27.656199999999998</v>
      </c>
      <c r="H505" s="14">
        <f>CHOOSE(CONTROL!$C$42, 27.7277, 27.7277) * CHOOSE(CONTROL!$C$21, $C$9, 100%, $E$9)</f>
        <v>27.727699999999999</v>
      </c>
      <c r="I505" s="14">
        <f>CHOOSE(CONTROL!$C$42, 27.7375, 27.7375)* CHOOSE(CONTROL!$C$21, $C$9, 100%, $E$9)</f>
        <v>27.737500000000001</v>
      </c>
      <c r="J505" s="14">
        <f>CHOOSE(CONTROL!$C$42, 27.6328, 27.6328)* CHOOSE(CONTROL!$C$21, $C$9, 100%, $E$9)</f>
        <v>27.6328</v>
      </c>
      <c r="K505" s="53">
        <f>CHOOSE(CONTROL!$C$42, 27.7336, 27.7336) * CHOOSE(CONTROL!$C$21, $C$9, 100%, $E$9)</f>
        <v>27.733599999999999</v>
      </c>
      <c r="L505" s="14">
        <f>CHOOSE(CONTROL!$C$42, 28.3147, 28.3147) * CHOOSE(CONTROL!$C$21, $C$9, 100%, $E$9)</f>
        <v>28.314699999999998</v>
      </c>
      <c r="M505" s="14">
        <f>CHOOSE(CONTROL!$C$42, 27.0743, 27.0743) * CHOOSE(CONTROL!$C$21, $C$9, 100%, $E$9)</f>
        <v>27.074300000000001</v>
      </c>
      <c r="N505" s="14">
        <f>CHOOSE(CONTROL!$C$42, 27.0904, 27.0904) * CHOOSE(CONTROL!$C$21, $C$9, 100%, $E$9)</f>
        <v>27.090399999999999</v>
      </c>
      <c r="O505" s="14">
        <f>CHOOSE(CONTROL!$C$42, 27.1673, 27.1673) * CHOOSE(CONTROL!$C$21, $C$9, 100%, $E$9)</f>
        <v>27.167300000000001</v>
      </c>
      <c r="P505" s="14">
        <f>CHOOSE(CONTROL!$C$42, 27.1752, 27.1752) * CHOOSE(CONTROL!$C$21, $C$9, 100%, $E$9)</f>
        <v>27.1752</v>
      </c>
      <c r="Q505" s="14">
        <f>CHOOSE(CONTROL!$C$42, 27.762, 27.762) * CHOOSE(CONTROL!$C$21, $C$9, 100%, $E$9)</f>
        <v>27.762</v>
      </c>
      <c r="R505" s="14">
        <f>CHOOSE(CONTROL!$C$42, 28.4184, 28.4184) * CHOOSE(CONTROL!$C$21, $C$9, 100%, $E$9)</f>
        <v>28.418399999999998</v>
      </c>
      <c r="S505" s="14">
        <f>CHOOSE(CONTROL!$C$42, 26.5514, 26.5514) * CHOOSE(CONTROL!$C$21, $C$9, 100%, $E$9)</f>
        <v>26.551400000000001</v>
      </c>
      <c r="T5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7">
        <f>(1000*CHOOSE(CONTROL!$C$42, 695, 695)*CHOOSE(CONTROL!$C$42, 0.5599, 0.5599)*CHOOSE(CONTROL!$C$42, 31, 31))/1000000</f>
        <v>12.063045499999998</v>
      </c>
      <c r="V505" s="57">
        <f>(1000*CHOOSE(CONTROL!$C$42, 500, 500)*CHOOSE(CONTROL!$C$42, 0.275, 0.275)*CHOOSE(CONTROL!$C$42, 31, 31))/1000000</f>
        <v>4.2625000000000002</v>
      </c>
      <c r="W505" s="57">
        <f>(1000*CHOOSE(CONTROL!$C$42, 0.1146, 0.1146)*CHOOSE(CONTROL!$C$42, 121.5, 121.5)*CHOOSE(CONTROL!$C$42, 31, 31))/1000000</f>
        <v>0.43164089999999994</v>
      </c>
      <c r="X505" s="57">
        <f>(31*0.1790888*100000/1000000)+(31*0.2374*100000/1000000)</f>
        <v>1.2911152800000001</v>
      </c>
      <c r="Y505" s="57"/>
      <c r="Z505" s="14"/>
      <c r="AA505" s="56"/>
      <c r="AB505" s="50">
        <f>(B505*122.58+C505*297.941+D505*89.177+E505*40.302+F505*40+G505*160+H505*0+I505*100+J505*300)/(122.58+297.941+89.177+40.302+0+40+160+100+300)</f>
        <v>27.658870095304348</v>
      </c>
      <c r="AC505" s="45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27.131895683453237</v>
      </c>
    </row>
    <row r="506" spans="1:29" ht="15.75" x14ac:dyDescent="0.25">
      <c r="A506" s="33">
        <v>56308</v>
      </c>
      <c r="B506" s="14">
        <f>CHOOSE(CONTROL!$C$42, 28.1326, 28.1326) * CHOOSE(CONTROL!$C$21, $C$9, 100%, $E$9)</f>
        <v>28.1326</v>
      </c>
      <c r="C506" s="14">
        <f>CHOOSE(CONTROL!$C$42, 28.1377, 28.1377) * CHOOSE(CONTROL!$C$21, $C$9, 100%, $E$9)</f>
        <v>28.137699999999999</v>
      </c>
      <c r="D506" s="14">
        <f>CHOOSE(CONTROL!$C$42, 28.1963, 28.1963) * CHOOSE(CONTROL!$C$21, $C$9, 100%, $E$9)</f>
        <v>28.196300000000001</v>
      </c>
      <c r="E506" s="14">
        <f>CHOOSE(CONTROL!$C$42, 28.2304, 28.2304) * CHOOSE(CONTROL!$C$21, $C$9, 100%, $E$9)</f>
        <v>28.230399999999999</v>
      </c>
      <c r="F506" s="14">
        <f>CHOOSE(CONTROL!$C$42, 28.1317, 28.1317)*CHOOSE(CONTROL!$C$21, $C$9, 100%, $E$9)</f>
        <v>28.131699999999999</v>
      </c>
      <c r="G506" s="14">
        <f>CHOOSE(CONTROL!$C$42, 28.1481, 28.1481)*CHOOSE(CONTROL!$C$21, $C$9, 100%, $E$9)</f>
        <v>28.148099999999999</v>
      </c>
      <c r="H506" s="14">
        <f>CHOOSE(CONTROL!$C$42, 28.2196, 28.2196) * CHOOSE(CONTROL!$C$21, $C$9, 100%, $E$9)</f>
        <v>28.2196</v>
      </c>
      <c r="I506" s="14">
        <f>CHOOSE(CONTROL!$C$42, 28.2309, 28.2309)* CHOOSE(CONTROL!$C$21, $C$9, 100%, $E$9)</f>
        <v>28.230899999999998</v>
      </c>
      <c r="J506" s="14">
        <f>CHOOSE(CONTROL!$C$42, 28.1247, 28.1247)* CHOOSE(CONTROL!$C$21, $C$9, 100%, $E$9)</f>
        <v>28.124700000000001</v>
      </c>
      <c r="K506" s="53">
        <f>CHOOSE(CONTROL!$C$42, 28.227, 28.227) * CHOOSE(CONTROL!$C$21, $C$9, 100%, $E$9)</f>
        <v>28.227</v>
      </c>
      <c r="L506" s="14">
        <f>CHOOSE(CONTROL!$C$42, 28.8066, 28.8066) * CHOOSE(CONTROL!$C$21, $C$9, 100%, $E$9)</f>
        <v>28.8066</v>
      </c>
      <c r="M506" s="14">
        <f>CHOOSE(CONTROL!$C$42, 27.5561, 27.5561) * CHOOSE(CONTROL!$C$21, $C$9, 100%, $E$9)</f>
        <v>27.556100000000001</v>
      </c>
      <c r="N506" s="14">
        <f>CHOOSE(CONTROL!$C$42, 27.5722, 27.5722) * CHOOSE(CONTROL!$C$21, $C$9, 100%, $E$9)</f>
        <v>27.572199999999999</v>
      </c>
      <c r="O506" s="14">
        <f>CHOOSE(CONTROL!$C$42, 27.6491, 27.6491) * CHOOSE(CONTROL!$C$21, $C$9, 100%, $E$9)</f>
        <v>27.649100000000001</v>
      </c>
      <c r="P506" s="14">
        <f>CHOOSE(CONTROL!$C$42, 27.6585, 27.6585) * CHOOSE(CONTROL!$C$21, $C$9, 100%, $E$9)</f>
        <v>27.6585</v>
      </c>
      <c r="Q506" s="14">
        <f>CHOOSE(CONTROL!$C$42, 28.2438, 28.2438) * CHOOSE(CONTROL!$C$21, $C$9, 100%, $E$9)</f>
        <v>28.2438</v>
      </c>
      <c r="R506" s="14">
        <f>CHOOSE(CONTROL!$C$42, 28.9014, 28.9014) * CHOOSE(CONTROL!$C$21, $C$9, 100%, $E$9)</f>
        <v>28.901399999999999</v>
      </c>
      <c r="S506" s="14">
        <f>CHOOSE(CONTROL!$C$42, 27.0241, 27.0241) * CHOOSE(CONTROL!$C$21, $C$9, 100%, $E$9)</f>
        <v>27.024100000000001</v>
      </c>
      <c r="T5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7">
        <f>(1000*CHOOSE(CONTROL!$C$42, 695, 695)*CHOOSE(CONTROL!$C$42, 0.5599, 0.5599)*CHOOSE(CONTROL!$C$42, 28, 28))/1000000</f>
        <v>10.895653999999999</v>
      </c>
      <c r="V506" s="57">
        <f>(1000*CHOOSE(CONTROL!$C$42, 500, 500)*CHOOSE(CONTROL!$C$42, 0.275, 0.275)*CHOOSE(CONTROL!$C$42, 28, 28))/1000000</f>
        <v>3.85</v>
      </c>
      <c r="W506" s="57">
        <f>(1000*CHOOSE(CONTROL!$C$42, 0.1146, 0.1146)*CHOOSE(CONTROL!$C$42, 121.5, 121.5)*CHOOSE(CONTROL!$C$42, 28, 28))/1000000</f>
        <v>0.38986920000000003</v>
      </c>
      <c r="X506" s="57">
        <f>(28*0.1790888*100000/1000000)+(28*0.2374*100000/1000000)</f>
        <v>1.16616864</v>
      </c>
      <c r="Y506" s="57"/>
      <c r="Z506" s="14"/>
      <c r="AA506" s="56"/>
      <c r="AB506" s="50">
        <f>(B506*122.58+C506*297.941+D506*89.177+E506*40.302+F506*40+G506*160+H506*0+I506*100+J506*300)/(122.58+297.941+89.177+40.302+0+40+160+100+300)</f>
        <v>28.150900530086957</v>
      </c>
      <c r="AC506" s="45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27.613911510791368</v>
      </c>
    </row>
    <row r="507" spans="1:29" ht="15.75" x14ac:dyDescent="0.25">
      <c r="A507" s="33">
        <v>56339</v>
      </c>
      <c r="B507" s="14">
        <f>CHOOSE(CONTROL!$C$42, 27.3342, 27.3342) * CHOOSE(CONTROL!$C$21, $C$9, 100%, $E$9)</f>
        <v>27.334199999999999</v>
      </c>
      <c r="C507" s="14">
        <f>CHOOSE(CONTROL!$C$42, 27.3392, 27.3392) * CHOOSE(CONTROL!$C$21, $C$9, 100%, $E$9)</f>
        <v>27.339200000000002</v>
      </c>
      <c r="D507" s="14">
        <f>CHOOSE(CONTROL!$C$42, 27.3978, 27.3978) * CHOOSE(CONTROL!$C$21, $C$9, 100%, $E$9)</f>
        <v>27.3978</v>
      </c>
      <c r="E507" s="14">
        <f>CHOOSE(CONTROL!$C$42, 27.4319, 27.4319) * CHOOSE(CONTROL!$C$21, $C$9, 100%, $E$9)</f>
        <v>27.431899999999999</v>
      </c>
      <c r="F507" s="14">
        <f>CHOOSE(CONTROL!$C$42, 27.3327, 27.3327)*CHOOSE(CONTROL!$C$21, $C$9, 100%, $E$9)</f>
        <v>27.332699999999999</v>
      </c>
      <c r="G507" s="14">
        <f>CHOOSE(CONTROL!$C$42, 27.349, 27.349)*CHOOSE(CONTROL!$C$21, $C$9, 100%, $E$9)</f>
        <v>27.349</v>
      </c>
      <c r="H507" s="14">
        <f>CHOOSE(CONTROL!$C$42, 27.4211, 27.4211) * CHOOSE(CONTROL!$C$21, $C$9, 100%, $E$9)</f>
        <v>27.421099999999999</v>
      </c>
      <c r="I507" s="14">
        <f>CHOOSE(CONTROL!$C$42, 27.43, 27.43)* CHOOSE(CONTROL!$C$21, $C$9, 100%, $E$9)</f>
        <v>27.43</v>
      </c>
      <c r="J507" s="14">
        <f>CHOOSE(CONTROL!$C$42, 27.3257, 27.3257)* CHOOSE(CONTROL!$C$21, $C$9, 100%, $E$9)</f>
        <v>27.325700000000001</v>
      </c>
      <c r="K507" s="53">
        <f>CHOOSE(CONTROL!$C$42, 27.4261, 27.4261) * CHOOSE(CONTROL!$C$21, $C$9, 100%, $E$9)</f>
        <v>27.426100000000002</v>
      </c>
      <c r="L507" s="14">
        <f>CHOOSE(CONTROL!$C$42, 28.0081, 28.0081) * CHOOSE(CONTROL!$C$21, $C$9, 100%, $E$9)</f>
        <v>28.008099999999999</v>
      </c>
      <c r="M507" s="14">
        <f>CHOOSE(CONTROL!$C$42, 26.7735, 26.7735) * CHOOSE(CONTROL!$C$21, $C$9, 100%, $E$9)</f>
        <v>26.773499999999999</v>
      </c>
      <c r="N507" s="14">
        <f>CHOOSE(CONTROL!$C$42, 26.7895, 26.7895) * CHOOSE(CONTROL!$C$21, $C$9, 100%, $E$9)</f>
        <v>26.7895</v>
      </c>
      <c r="O507" s="14">
        <f>CHOOSE(CONTROL!$C$42, 26.867, 26.867) * CHOOSE(CONTROL!$C$21, $C$9, 100%, $E$9)</f>
        <v>26.867000000000001</v>
      </c>
      <c r="P507" s="14">
        <f>CHOOSE(CONTROL!$C$42, 26.874, 26.874) * CHOOSE(CONTROL!$C$21, $C$9, 100%, $E$9)</f>
        <v>26.873999999999999</v>
      </c>
      <c r="Q507" s="14">
        <f>CHOOSE(CONTROL!$C$42, 27.4617, 27.4617) * CHOOSE(CONTROL!$C$21, $C$9, 100%, $E$9)</f>
        <v>27.4617</v>
      </c>
      <c r="R507" s="14">
        <f>CHOOSE(CONTROL!$C$42, 28.1174, 28.1174) * CHOOSE(CONTROL!$C$21, $C$9, 100%, $E$9)</f>
        <v>28.1174</v>
      </c>
      <c r="S507" s="14">
        <f>CHOOSE(CONTROL!$C$42, 26.2569, 26.2569) * CHOOSE(CONTROL!$C$21, $C$9, 100%, $E$9)</f>
        <v>26.256900000000002</v>
      </c>
      <c r="T5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7">
        <f>(1000*CHOOSE(CONTROL!$C$42, 695, 695)*CHOOSE(CONTROL!$C$42, 0.5599, 0.5599)*CHOOSE(CONTROL!$C$42, 31, 31))/1000000</f>
        <v>12.063045499999998</v>
      </c>
      <c r="V507" s="57">
        <f>(1000*CHOOSE(CONTROL!$C$42, 500, 500)*CHOOSE(CONTROL!$C$42, 0.275, 0.275)*CHOOSE(CONTROL!$C$42, 31, 31))/1000000</f>
        <v>4.2625000000000002</v>
      </c>
      <c r="W507" s="57">
        <f>(1000*CHOOSE(CONTROL!$C$42, 0.1146, 0.1146)*CHOOSE(CONTROL!$C$42, 121.5, 121.5)*CHOOSE(CONTROL!$C$42, 31, 31))/1000000</f>
        <v>0.43164089999999994</v>
      </c>
      <c r="X507" s="57">
        <f>(31*0.1790888*100000/1000000)+(31*0.2374*100000/1000000)</f>
        <v>1.2911152800000001</v>
      </c>
      <c r="Y507" s="57"/>
      <c r="Z507" s="14"/>
      <c r="AA507" s="56"/>
      <c r="AB507" s="50">
        <f>(B507*122.58+C507*297.941+D507*89.177+E507*40.302+F507*40+G507*160+H507*0+I507*100+J507*300)/(122.58+297.941+89.177+40.302+0+40+160+100+300)</f>
        <v>27.351971189217394</v>
      </c>
      <c r="AC507" s="45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26.831258992805754</v>
      </c>
    </row>
    <row r="508" spans="1:29" ht="15.75" x14ac:dyDescent="0.25">
      <c r="A508" s="33">
        <v>56369</v>
      </c>
      <c r="B508" s="14">
        <f>CHOOSE(CONTROL!$C$42, 27.2535, 27.2535) * CHOOSE(CONTROL!$C$21, $C$9, 100%, $E$9)</f>
        <v>27.253499999999999</v>
      </c>
      <c r="C508" s="14">
        <f>CHOOSE(CONTROL!$C$42, 27.258, 27.258) * CHOOSE(CONTROL!$C$21, $C$9, 100%, $E$9)</f>
        <v>27.257999999999999</v>
      </c>
      <c r="D508" s="14">
        <f>CHOOSE(CONTROL!$C$42, 27.4661, 27.4661) * CHOOSE(CONTROL!$C$21, $C$9, 100%, $E$9)</f>
        <v>27.466100000000001</v>
      </c>
      <c r="E508" s="14">
        <f>CHOOSE(CONTROL!$C$42, 27.4982, 27.4982) * CHOOSE(CONTROL!$C$21, $C$9, 100%, $E$9)</f>
        <v>27.498200000000001</v>
      </c>
      <c r="F508" s="14">
        <f>CHOOSE(CONTROL!$C$42, 27.2409, 27.2409)*CHOOSE(CONTROL!$C$21, $C$9, 100%, $E$9)</f>
        <v>27.2409</v>
      </c>
      <c r="G508" s="14">
        <f>CHOOSE(CONTROL!$C$42, 27.2568, 27.2568)*CHOOSE(CONTROL!$C$21, $C$9, 100%, $E$9)</f>
        <v>27.256799999999998</v>
      </c>
      <c r="H508" s="14">
        <f>CHOOSE(CONTROL!$C$42, 27.488, 27.488) * CHOOSE(CONTROL!$C$21, $C$9, 100%, $E$9)</f>
        <v>27.488</v>
      </c>
      <c r="I508" s="14">
        <f>CHOOSE(CONTROL!$C$42, 27.3483, 27.3483)* CHOOSE(CONTROL!$C$21, $C$9, 100%, $E$9)</f>
        <v>27.348299999999998</v>
      </c>
      <c r="J508" s="14">
        <f>CHOOSE(CONTROL!$C$42, 27.2339, 27.2339)* CHOOSE(CONTROL!$C$21, $C$9, 100%, $E$9)</f>
        <v>27.233899999999998</v>
      </c>
      <c r="K508" s="53">
        <f>CHOOSE(CONTROL!$C$42, 27.3444, 27.3444) * CHOOSE(CONTROL!$C$21, $C$9, 100%, $E$9)</f>
        <v>27.3444</v>
      </c>
      <c r="L508" s="14">
        <f>CHOOSE(CONTROL!$C$42, 28.075, 28.075) * CHOOSE(CONTROL!$C$21, $C$9, 100%, $E$9)</f>
        <v>28.074999999999999</v>
      </c>
      <c r="M508" s="14">
        <f>CHOOSE(CONTROL!$C$42, 26.6836, 26.6836) * CHOOSE(CONTROL!$C$21, $C$9, 100%, $E$9)</f>
        <v>26.683599999999998</v>
      </c>
      <c r="N508" s="14">
        <f>CHOOSE(CONTROL!$C$42, 26.6992, 26.6992) * CHOOSE(CONTROL!$C$21, $C$9, 100%, $E$9)</f>
        <v>26.699200000000001</v>
      </c>
      <c r="O508" s="14">
        <f>CHOOSE(CONTROL!$C$42, 26.9325, 26.9325) * CHOOSE(CONTROL!$C$21, $C$9, 100%, $E$9)</f>
        <v>26.932500000000001</v>
      </c>
      <c r="P508" s="14">
        <f>CHOOSE(CONTROL!$C$42, 26.794, 26.794) * CHOOSE(CONTROL!$C$21, $C$9, 100%, $E$9)</f>
        <v>26.794</v>
      </c>
      <c r="Q508" s="14">
        <f>CHOOSE(CONTROL!$C$42, 27.5272, 27.5272) * CHOOSE(CONTROL!$C$21, $C$9, 100%, $E$9)</f>
        <v>27.527200000000001</v>
      </c>
      <c r="R508" s="14">
        <f>CHOOSE(CONTROL!$C$42, 28.183, 28.183) * CHOOSE(CONTROL!$C$21, $C$9, 100%, $E$9)</f>
        <v>28.183</v>
      </c>
      <c r="S508" s="14">
        <f>CHOOSE(CONTROL!$C$42, 26.1786, 26.1786) * CHOOSE(CONTROL!$C$21, $C$9, 100%, $E$9)</f>
        <v>26.178599999999999</v>
      </c>
      <c r="T5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7">
        <f>(1000*CHOOSE(CONTROL!$C$42, 695, 695)*CHOOSE(CONTROL!$C$42, 0.5599, 0.5599)*CHOOSE(CONTROL!$C$42, 30, 30))/1000000</f>
        <v>11.673914999999997</v>
      </c>
      <c r="V508" s="57">
        <f>(1000*CHOOSE(CONTROL!$C$42, 500, 500)*CHOOSE(CONTROL!$C$42, 0.275, 0.275)*CHOOSE(CONTROL!$C$42, 30, 30))/1000000</f>
        <v>4.125</v>
      </c>
      <c r="W508" s="57">
        <f>(1000*CHOOSE(CONTROL!$C$42, 0.1146, 0.1146)*CHOOSE(CONTROL!$C$42, 121.5, 121.5)*CHOOSE(CONTROL!$C$42, 30, 30))/1000000</f>
        <v>0.417717</v>
      </c>
      <c r="X508" s="57">
        <f>(30*0.1790888*245000/1000000)+(30*0.2374*100000/1000000)</f>
        <v>2.0285026799999999</v>
      </c>
      <c r="Y508" s="57"/>
      <c r="Z508" s="14"/>
      <c r="AA508" s="56"/>
      <c r="AB508" s="50">
        <f>(B508*141.293+C508*267.993+D508*115.016+E508*89.698+F508*40+G508*185+H508*0+I508*100+J508*300)/(141.293+267.993+115.016+89.698+0+40+185+100+300)</f>
        <v>27.294915634140434</v>
      </c>
      <c r="AC508" s="45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26.772911510791367</v>
      </c>
    </row>
    <row r="509" spans="1:29" ht="15.75" x14ac:dyDescent="0.25">
      <c r="A509" s="33">
        <v>56400</v>
      </c>
      <c r="B509" s="14">
        <f>CHOOSE(CONTROL!$C$42, 27.4954, 27.4954) * CHOOSE(CONTROL!$C$21, $C$9, 100%, $E$9)</f>
        <v>27.4954</v>
      </c>
      <c r="C509" s="14">
        <f>CHOOSE(CONTROL!$C$42, 27.5034, 27.5034) * CHOOSE(CONTROL!$C$21, $C$9, 100%, $E$9)</f>
        <v>27.503399999999999</v>
      </c>
      <c r="D509" s="14">
        <f>CHOOSE(CONTROL!$C$42, 27.7084, 27.7084) * CHOOSE(CONTROL!$C$21, $C$9, 100%, $E$9)</f>
        <v>27.708400000000001</v>
      </c>
      <c r="E509" s="14">
        <f>CHOOSE(CONTROL!$C$42, 27.7398, 27.7398) * CHOOSE(CONTROL!$C$21, $C$9, 100%, $E$9)</f>
        <v>27.739799999999999</v>
      </c>
      <c r="F509" s="14">
        <f>CHOOSE(CONTROL!$C$42, 27.4816, 27.4816)*CHOOSE(CONTROL!$C$21, $C$9, 100%, $E$9)</f>
        <v>27.4816</v>
      </c>
      <c r="G509" s="14">
        <f>CHOOSE(CONTROL!$C$42, 27.498, 27.498)*CHOOSE(CONTROL!$C$21, $C$9, 100%, $E$9)</f>
        <v>27.498000000000001</v>
      </c>
      <c r="H509" s="14">
        <f>CHOOSE(CONTROL!$C$42, 27.7285, 27.7285) * CHOOSE(CONTROL!$C$21, $C$9, 100%, $E$9)</f>
        <v>27.7285</v>
      </c>
      <c r="I509" s="14">
        <f>CHOOSE(CONTROL!$C$42, 27.5895, 27.5895)* CHOOSE(CONTROL!$C$21, $C$9, 100%, $E$9)</f>
        <v>27.589500000000001</v>
      </c>
      <c r="J509" s="14">
        <f>CHOOSE(CONTROL!$C$42, 27.4746, 27.4746)* CHOOSE(CONTROL!$C$21, $C$9, 100%, $E$9)</f>
        <v>27.474599999999999</v>
      </c>
      <c r="K509" s="53">
        <f>CHOOSE(CONTROL!$C$42, 27.5856, 27.5856) * CHOOSE(CONTROL!$C$21, $C$9, 100%, $E$9)</f>
        <v>27.585599999999999</v>
      </c>
      <c r="L509" s="14">
        <f>CHOOSE(CONTROL!$C$42, 28.3155, 28.3155) * CHOOSE(CONTROL!$C$21, $C$9, 100%, $E$9)</f>
        <v>28.3155</v>
      </c>
      <c r="M509" s="14">
        <f>CHOOSE(CONTROL!$C$42, 26.9193, 26.9193) * CHOOSE(CONTROL!$C$21, $C$9, 100%, $E$9)</f>
        <v>26.9193</v>
      </c>
      <c r="N509" s="14">
        <f>CHOOSE(CONTROL!$C$42, 26.9354, 26.9354) * CHOOSE(CONTROL!$C$21, $C$9, 100%, $E$9)</f>
        <v>26.935400000000001</v>
      </c>
      <c r="O509" s="14">
        <f>CHOOSE(CONTROL!$C$42, 27.168, 27.168) * CHOOSE(CONTROL!$C$21, $C$9, 100%, $E$9)</f>
        <v>27.167999999999999</v>
      </c>
      <c r="P509" s="14">
        <f>CHOOSE(CONTROL!$C$42, 27.0303, 27.0303) * CHOOSE(CONTROL!$C$21, $C$9, 100%, $E$9)</f>
        <v>27.0303</v>
      </c>
      <c r="Q509" s="14">
        <f>CHOOSE(CONTROL!$C$42, 27.7627, 27.7627) * CHOOSE(CONTROL!$C$21, $C$9, 100%, $E$9)</f>
        <v>27.762699999999999</v>
      </c>
      <c r="R509" s="14">
        <f>CHOOSE(CONTROL!$C$42, 28.4191, 28.4191) * CHOOSE(CONTROL!$C$21, $C$9, 100%, $E$9)</f>
        <v>28.4191</v>
      </c>
      <c r="S509" s="14">
        <f>CHOOSE(CONTROL!$C$42, 26.4097, 26.4097) * CHOOSE(CONTROL!$C$21, $C$9, 100%, $E$9)</f>
        <v>26.409700000000001</v>
      </c>
      <c r="T5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7">
        <f>(1000*CHOOSE(CONTROL!$C$42, 695, 695)*CHOOSE(CONTROL!$C$42, 0.5599, 0.5599)*CHOOSE(CONTROL!$C$42, 31, 31))/1000000</f>
        <v>12.063045499999998</v>
      </c>
      <c r="V509" s="57">
        <f>(1000*CHOOSE(CONTROL!$C$42, 500, 500)*CHOOSE(CONTROL!$C$42, 0.275, 0.275)*CHOOSE(CONTROL!$C$42, 31, 31))/1000000</f>
        <v>4.2625000000000002</v>
      </c>
      <c r="W509" s="57">
        <f>(1000*CHOOSE(CONTROL!$C$42, 0.1146, 0.1146)*CHOOSE(CONTROL!$C$42, 121.5, 121.5)*CHOOSE(CONTROL!$C$42, 31, 31))/1000000</f>
        <v>0.43164089999999994</v>
      </c>
      <c r="X509" s="57">
        <f>(31*0.1790888*245000/1000000)+(31*0.2374*100000/1000000)</f>
        <v>2.0961194359999999</v>
      </c>
      <c r="Y509" s="57"/>
      <c r="Z509" s="14"/>
      <c r="AA509" s="56"/>
      <c r="AB509" s="50">
        <f>(B509*194.205+C509*267.466+D509*133.845+E509*53.484+F509*40+G509*185+H509*0+I509*100+J509*300)/(194.205+267.466+133.845+53.484+0+40+185+100+300)</f>
        <v>27.532149766562014</v>
      </c>
      <c r="AC509" s="45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27.008756834532374</v>
      </c>
    </row>
    <row r="510" spans="1:29" ht="15.75" x14ac:dyDescent="0.25">
      <c r="A510" s="33">
        <v>56430</v>
      </c>
      <c r="B510" s="14">
        <f>CHOOSE(CONTROL!$C$42, 28.275, 28.275) * CHOOSE(CONTROL!$C$21, $C$9, 100%, $E$9)</f>
        <v>28.274999999999999</v>
      </c>
      <c r="C510" s="14">
        <f>CHOOSE(CONTROL!$C$42, 28.283, 28.283) * CHOOSE(CONTROL!$C$21, $C$9, 100%, $E$9)</f>
        <v>28.283000000000001</v>
      </c>
      <c r="D510" s="14">
        <f>CHOOSE(CONTROL!$C$42, 28.488, 28.488) * CHOOSE(CONTROL!$C$21, $C$9, 100%, $E$9)</f>
        <v>28.488</v>
      </c>
      <c r="E510" s="14">
        <f>CHOOSE(CONTROL!$C$42, 28.5194, 28.5194) * CHOOSE(CONTROL!$C$21, $C$9, 100%, $E$9)</f>
        <v>28.519400000000001</v>
      </c>
      <c r="F510" s="14">
        <f>CHOOSE(CONTROL!$C$42, 28.2615, 28.2615)*CHOOSE(CONTROL!$C$21, $C$9, 100%, $E$9)</f>
        <v>28.261500000000002</v>
      </c>
      <c r="G510" s="14">
        <f>CHOOSE(CONTROL!$C$42, 28.278, 28.278)*CHOOSE(CONTROL!$C$21, $C$9, 100%, $E$9)</f>
        <v>28.277999999999999</v>
      </c>
      <c r="H510" s="14">
        <f>CHOOSE(CONTROL!$C$42, 28.5081, 28.5081) * CHOOSE(CONTROL!$C$21, $C$9, 100%, $E$9)</f>
        <v>28.508099999999999</v>
      </c>
      <c r="I510" s="14">
        <f>CHOOSE(CONTROL!$C$42, 28.3716, 28.3716)* CHOOSE(CONTROL!$C$21, $C$9, 100%, $E$9)</f>
        <v>28.371600000000001</v>
      </c>
      <c r="J510" s="14">
        <f>CHOOSE(CONTROL!$C$42, 28.2545, 28.2545)* CHOOSE(CONTROL!$C$21, $C$9, 100%, $E$9)</f>
        <v>28.2545</v>
      </c>
      <c r="K510" s="53">
        <f>CHOOSE(CONTROL!$C$42, 28.3677, 28.3677) * CHOOSE(CONTROL!$C$21, $C$9, 100%, $E$9)</f>
        <v>28.367699999999999</v>
      </c>
      <c r="L510" s="14">
        <f>CHOOSE(CONTROL!$C$42, 29.0951, 29.0951) * CHOOSE(CONTROL!$C$21, $C$9, 100%, $E$9)</f>
        <v>29.095099999999999</v>
      </c>
      <c r="M510" s="14">
        <f>CHOOSE(CONTROL!$C$42, 27.6833, 27.6833) * CHOOSE(CONTROL!$C$21, $C$9, 100%, $E$9)</f>
        <v>27.683299999999999</v>
      </c>
      <c r="N510" s="14">
        <f>CHOOSE(CONTROL!$C$42, 27.6995, 27.6995) * CHOOSE(CONTROL!$C$21, $C$9, 100%, $E$9)</f>
        <v>27.6995</v>
      </c>
      <c r="O510" s="14">
        <f>CHOOSE(CONTROL!$C$42, 27.9317, 27.9317) * CHOOSE(CONTROL!$C$21, $C$9, 100%, $E$9)</f>
        <v>27.931699999999999</v>
      </c>
      <c r="P510" s="14">
        <f>CHOOSE(CONTROL!$C$42, 27.7963, 27.7963) * CHOOSE(CONTROL!$C$21, $C$9, 100%, $E$9)</f>
        <v>27.796299999999999</v>
      </c>
      <c r="Q510" s="14">
        <f>CHOOSE(CONTROL!$C$42, 28.5264, 28.5264) * CHOOSE(CONTROL!$C$21, $C$9, 100%, $E$9)</f>
        <v>28.526399999999999</v>
      </c>
      <c r="R510" s="14">
        <f>CHOOSE(CONTROL!$C$42, 29.1847, 29.1847) * CHOOSE(CONTROL!$C$21, $C$9, 100%, $E$9)</f>
        <v>29.184699999999999</v>
      </c>
      <c r="S510" s="14">
        <f>CHOOSE(CONTROL!$C$42, 27.1588, 27.1588) * CHOOSE(CONTROL!$C$21, $C$9, 100%, $E$9)</f>
        <v>27.158799999999999</v>
      </c>
      <c r="T5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7">
        <f>(1000*CHOOSE(CONTROL!$C$42, 695, 695)*CHOOSE(CONTROL!$C$42, 0.5599, 0.5599)*CHOOSE(CONTROL!$C$42, 30, 30))/1000000</f>
        <v>11.673914999999997</v>
      </c>
      <c r="V510" s="57">
        <f>(1000*CHOOSE(CONTROL!$C$42, 500, 500)*CHOOSE(CONTROL!$C$42, 0.275, 0.275)*CHOOSE(CONTROL!$C$42, 30, 30))/1000000</f>
        <v>4.125</v>
      </c>
      <c r="W510" s="57">
        <f>(1000*CHOOSE(CONTROL!$C$42, 0.1146, 0.1146)*CHOOSE(CONTROL!$C$42, 121.5, 121.5)*CHOOSE(CONTROL!$C$42, 30, 30))/1000000</f>
        <v>0.417717</v>
      </c>
      <c r="X510" s="57">
        <f>(30*0.1790888*245000/1000000)+(30*0.2374*100000/1000000)</f>
        <v>2.0285026799999999</v>
      </c>
      <c r="Y510" s="57"/>
      <c r="Z510" s="14"/>
      <c r="AA510" s="56"/>
      <c r="AB510" s="50">
        <f>(B510*194.205+C510*267.466+D510*133.845+E510*53.484+F510*40+G510*185+H510*0+I510*100+J510*300)/(194.205+267.466+133.845+53.484+0+40+185+100+300)</f>
        <v>28.312084146467818</v>
      </c>
      <c r="AC510" s="45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27.772983453237408</v>
      </c>
    </row>
    <row r="511" spans="1:29" ht="15.75" x14ac:dyDescent="0.25">
      <c r="A511" s="33">
        <v>56461</v>
      </c>
      <c r="B511" s="14">
        <f>CHOOSE(CONTROL!$C$42, 27.7328, 27.7328) * CHOOSE(CONTROL!$C$21, $C$9, 100%, $E$9)</f>
        <v>27.732800000000001</v>
      </c>
      <c r="C511" s="14">
        <f>CHOOSE(CONTROL!$C$42, 27.7408, 27.7408) * CHOOSE(CONTROL!$C$21, $C$9, 100%, $E$9)</f>
        <v>27.7408</v>
      </c>
      <c r="D511" s="14">
        <f>CHOOSE(CONTROL!$C$42, 27.9458, 27.9458) * CHOOSE(CONTROL!$C$21, $C$9, 100%, $E$9)</f>
        <v>27.945799999999998</v>
      </c>
      <c r="E511" s="14">
        <f>CHOOSE(CONTROL!$C$42, 27.9772, 27.9772) * CHOOSE(CONTROL!$C$21, $C$9, 100%, $E$9)</f>
        <v>27.9772</v>
      </c>
      <c r="F511" s="14">
        <f>CHOOSE(CONTROL!$C$42, 27.7197, 27.7197)*CHOOSE(CONTROL!$C$21, $C$9, 100%, $E$9)</f>
        <v>27.7197</v>
      </c>
      <c r="G511" s="14">
        <f>CHOOSE(CONTROL!$C$42, 27.7364, 27.7364)*CHOOSE(CONTROL!$C$21, $C$9, 100%, $E$9)</f>
        <v>27.7364</v>
      </c>
      <c r="H511" s="14">
        <f>CHOOSE(CONTROL!$C$42, 27.9659, 27.9659) * CHOOSE(CONTROL!$C$21, $C$9, 100%, $E$9)</f>
        <v>27.965900000000001</v>
      </c>
      <c r="I511" s="14">
        <f>CHOOSE(CONTROL!$C$42, 27.8277, 27.8277)* CHOOSE(CONTROL!$C$21, $C$9, 100%, $E$9)</f>
        <v>27.8277</v>
      </c>
      <c r="J511" s="14">
        <f>CHOOSE(CONTROL!$C$42, 27.7127, 27.7127)* CHOOSE(CONTROL!$C$21, $C$9, 100%, $E$9)</f>
        <v>27.712700000000002</v>
      </c>
      <c r="K511" s="53">
        <f>CHOOSE(CONTROL!$C$42, 27.8238, 27.8238) * CHOOSE(CONTROL!$C$21, $C$9, 100%, $E$9)</f>
        <v>27.823799999999999</v>
      </c>
      <c r="L511" s="14">
        <f>CHOOSE(CONTROL!$C$42, 28.5529, 28.5529) * CHOOSE(CONTROL!$C$21, $C$9, 100%, $E$9)</f>
        <v>28.552900000000001</v>
      </c>
      <c r="M511" s="14">
        <f>CHOOSE(CONTROL!$C$42, 27.1526, 27.1526) * CHOOSE(CONTROL!$C$21, $C$9, 100%, $E$9)</f>
        <v>27.1526</v>
      </c>
      <c r="N511" s="14">
        <f>CHOOSE(CONTROL!$C$42, 27.1689, 27.1689) * CHOOSE(CONTROL!$C$21, $C$9, 100%, $E$9)</f>
        <v>27.168900000000001</v>
      </c>
      <c r="O511" s="14">
        <f>CHOOSE(CONTROL!$C$42, 27.4005, 27.4005) * CHOOSE(CONTROL!$C$21, $C$9, 100%, $E$9)</f>
        <v>27.400500000000001</v>
      </c>
      <c r="P511" s="14">
        <f>CHOOSE(CONTROL!$C$42, 27.2635, 27.2635) * CHOOSE(CONTROL!$C$21, $C$9, 100%, $E$9)</f>
        <v>27.263500000000001</v>
      </c>
      <c r="Q511" s="14">
        <f>CHOOSE(CONTROL!$C$42, 27.9952, 27.9952) * CHOOSE(CONTROL!$C$21, $C$9, 100%, $E$9)</f>
        <v>27.995200000000001</v>
      </c>
      <c r="R511" s="14">
        <f>CHOOSE(CONTROL!$C$42, 28.6522, 28.6522) * CHOOSE(CONTROL!$C$21, $C$9, 100%, $E$9)</f>
        <v>28.652200000000001</v>
      </c>
      <c r="S511" s="14">
        <f>CHOOSE(CONTROL!$C$42, 26.6378, 26.6378) * CHOOSE(CONTROL!$C$21, $C$9, 100%, $E$9)</f>
        <v>26.637799999999999</v>
      </c>
      <c r="T5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7">
        <f>(1000*CHOOSE(CONTROL!$C$42, 695, 695)*CHOOSE(CONTROL!$C$42, 0.5599, 0.5599)*CHOOSE(CONTROL!$C$42, 31, 31))/1000000</f>
        <v>12.063045499999998</v>
      </c>
      <c r="V511" s="57">
        <f>(1000*CHOOSE(CONTROL!$C$42, 500, 500)*CHOOSE(CONTROL!$C$42, 0.275, 0.275)*CHOOSE(CONTROL!$C$42, 31, 31))/1000000</f>
        <v>4.2625000000000002</v>
      </c>
      <c r="W511" s="57">
        <f>(1000*CHOOSE(CONTROL!$C$42, 0.1146, 0.1146)*CHOOSE(CONTROL!$C$42, 121.5, 121.5)*CHOOSE(CONTROL!$C$42, 31, 31))/1000000</f>
        <v>0.43164089999999994</v>
      </c>
      <c r="X511" s="57">
        <f>(31*0.1790888*245000/1000000)+(31*0.2374*100000/1000000)</f>
        <v>2.0961194359999999</v>
      </c>
      <c r="Y511" s="57"/>
      <c r="Z511" s="14"/>
      <c r="AA511" s="56"/>
      <c r="AB511" s="50">
        <f>(B511*194.205+C511*267.466+D511*133.845+E511*53.484+F511*40+G511*185+H511*0+I511*100+J511*300)/(194.205+267.466+133.845+53.484+0+40+185+100+300)</f>
        <v>27.769944586028259</v>
      </c>
      <c r="AC511" s="45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27.241864028776977</v>
      </c>
    </row>
    <row r="512" spans="1:29" ht="15.75" x14ac:dyDescent="0.25">
      <c r="A512" s="33">
        <v>56492</v>
      </c>
      <c r="B512" s="14">
        <f>CHOOSE(CONTROL!$C$42, 26.3635, 26.3635) * CHOOSE(CONTROL!$C$21, $C$9, 100%, $E$9)</f>
        <v>26.363499999999998</v>
      </c>
      <c r="C512" s="14">
        <f>CHOOSE(CONTROL!$C$42, 26.3715, 26.3715) * CHOOSE(CONTROL!$C$21, $C$9, 100%, $E$9)</f>
        <v>26.371500000000001</v>
      </c>
      <c r="D512" s="14">
        <f>CHOOSE(CONTROL!$C$42, 26.5765, 26.5765) * CHOOSE(CONTROL!$C$21, $C$9, 100%, $E$9)</f>
        <v>26.576499999999999</v>
      </c>
      <c r="E512" s="14">
        <f>CHOOSE(CONTROL!$C$42, 26.608, 26.608) * CHOOSE(CONTROL!$C$21, $C$9, 100%, $E$9)</f>
        <v>26.608000000000001</v>
      </c>
      <c r="F512" s="14">
        <f>CHOOSE(CONTROL!$C$42, 26.3507, 26.3507)*CHOOSE(CONTROL!$C$21, $C$9, 100%, $E$9)</f>
        <v>26.3507</v>
      </c>
      <c r="G512" s="14">
        <f>CHOOSE(CONTROL!$C$42, 26.3674, 26.3674)*CHOOSE(CONTROL!$C$21, $C$9, 100%, $E$9)</f>
        <v>26.3674</v>
      </c>
      <c r="H512" s="14">
        <f>CHOOSE(CONTROL!$C$42, 26.5966, 26.5966) * CHOOSE(CONTROL!$C$21, $C$9, 100%, $E$9)</f>
        <v>26.596599999999999</v>
      </c>
      <c r="I512" s="14">
        <f>CHOOSE(CONTROL!$C$42, 26.4541, 26.4541)* CHOOSE(CONTROL!$C$21, $C$9, 100%, $E$9)</f>
        <v>26.4541</v>
      </c>
      <c r="J512" s="14">
        <f>CHOOSE(CONTROL!$C$42, 26.3437, 26.3437)* CHOOSE(CONTROL!$C$21, $C$9, 100%, $E$9)</f>
        <v>26.343699999999998</v>
      </c>
      <c r="K512" s="53">
        <f>CHOOSE(CONTROL!$C$42, 26.4502, 26.4502) * CHOOSE(CONTROL!$C$21, $C$9, 100%, $E$9)</f>
        <v>26.450199999999999</v>
      </c>
      <c r="L512" s="14">
        <f>CHOOSE(CONTROL!$C$42, 27.1836, 27.1836) * CHOOSE(CONTROL!$C$21, $C$9, 100%, $E$9)</f>
        <v>27.183599999999998</v>
      </c>
      <c r="M512" s="14">
        <f>CHOOSE(CONTROL!$C$42, 25.8116, 25.8116) * CHOOSE(CONTROL!$C$21, $C$9, 100%, $E$9)</f>
        <v>25.811599999999999</v>
      </c>
      <c r="N512" s="14">
        <f>CHOOSE(CONTROL!$C$42, 25.8279, 25.8279) * CHOOSE(CONTROL!$C$21, $C$9, 100%, $E$9)</f>
        <v>25.8279</v>
      </c>
      <c r="O512" s="14">
        <f>CHOOSE(CONTROL!$C$42, 26.0593, 26.0593) * CHOOSE(CONTROL!$C$21, $C$9, 100%, $E$9)</f>
        <v>26.0593</v>
      </c>
      <c r="P512" s="14">
        <f>CHOOSE(CONTROL!$C$42, 25.9182, 25.9182) * CHOOSE(CONTROL!$C$21, $C$9, 100%, $E$9)</f>
        <v>25.918199999999999</v>
      </c>
      <c r="Q512" s="14">
        <f>CHOOSE(CONTROL!$C$42, 26.654, 26.654) * CHOOSE(CONTROL!$C$21, $C$9, 100%, $E$9)</f>
        <v>26.654</v>
      </c>
      <c r="R512" s="14">
        <f>CHOOSE(CONTROL!$C$42, 27.3077, 27.3077) * CHOOSE(CONTROL!$C$21, $C$9, 100%, $E$9)</f>
        <v>27.307700000000001</v>
      </c>
      <c r="S512" s="14">
        <f>CHOOSE(CONTROL!$C$42, 25.322, 25.322) * CHOOSE(CONTROL!$C$21, $C$9, 100%, $E$9)</f>
        <v>25.321999999999999</v>
      </c>
      <c r="T5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7">
        <f>(1000*CHOOSE(CONTROL!$C$42, 695, 695)*CHOOSE(CONTROL!$C$42, 0.5599, 0.5599)*CHOOSE(CONTROL!$C$42, 31, 31))/1000000</f>
        <v>12.063045499999998</v>
      </c>
      <c r="V512" s="57">
        <f>(1000*CHOOSE(CONTROL!$C$42, 500, 500)*CHOOSE(CONTROL!$C$42, 0.275, 0.275)*CHOOSE(CONTROL!$C$42, 31, 31))/1000000</f>
        <v>4.2625000000000002</v>
      </c>
      <c r="W512" s="57">
        <f>(1000*CHOOSE(CONTROL!$C$42, 0.1146, 0.1146)*CHOOSE(CONTROL!$C$42, 121.5, 121.5)*CHOOSE(CONTROL!$C$42, 31, 31))/1000000</f>
        <v>0.43164089999999994</v>
      </c>
      <c r="X512" s="57">
        <f>(31*0.1790888*245000/1000000)+(31*0.2374*100000/1000000)</f>
        <v>2.0961194359999999</v>
      </c>
      <c r="Y512" s="57"/>
      <c r="Z512" s="14"/>
      <c r="AA512" s="56"/>
      <c r="AB512" s="50">
        <f>(B512*194.205+C512*267.466+D512*133.845+E512*53.484+F512*40+G512*185+H512*0+I512*100+J512*300)/(194.205+267.466+133.845+53.484+0+40+185+100+300)</f>
        <v>26.400434890894818</v>
      </c>
      <c r="AC512" s="45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25.900189208633094</v>
      </c>
    </row>
    <row r="513" spans="1:29" ht="15.75" x14ac:dyDescent="0.25">
      <c r="A513" s="33">
        <v>56522</v>
      </c>
      <c r="B513" s="14">
        <f>CHOOSE(CONTROL!$C$42, 24.6901, 24.6901) * CHOOSE(CONTROL!$C$21, $C$9, 100%, $E$9)</f>
        <v>24.690100000000001</v>
      </c>
      <c r="C513" s="14">
        <f>CHOOSE(CONTROL!$C$42, 24.6981, 24.6981) * CHOOSE(CONTROL!$C$21, $C$9, 100%, $E$9)</f>
        <v>24.6981</v>
      </c>
      <c r="D513" s="14">
        <f>CHOOSE(CONTROL!$C$42, 24.9031, 24.9031) * CHOOSE(CONTROL!$C$21, $C$9, 100%, $E$9)</f>
        <v>24.903099999999998</v>
      </c>
      <c r="E513" s="14">
        <f>CHOOSE(CONTROL!$C$42, 24.9346, 24.9346) * CHOOSE(CONTROL!$C$21, $C$9, 100%, $E$9)</f>
        <v>24.9346</v>
      </c>
      <c r="F513" s="14">
        <f>CHOOSE(CONTROL!$C$42, 24.6773, 24.6773)*CHOOSE(CONTROL!$C$21, $C$9, 100%, $E$9)</f>
        <v>24.677299999999999</v>
      </c>
      <c r="G513" s="14">
        <f>CHOOSE(CONTROL!$C$42, 24.6939, 24.6939)*CHOOSE(CONTROL!$C$21, $C$9, 100%, $E$9)</f>
        <v>24.693899999999999</v>
      </c>
      <c r="H513" s="14">
        <f>CHOOSE(CONTROL!$C$42, 24.9232, 24.9232) * CHOOSE(CONTROL!$C$21, $C$9, 100%, $E$9)</f>
        <v>24.923200000000001</v>
      </c>
      <c r="I513" s="14">
        <f>CHOOSE(CONTROL!$C$42, 24.7755, 24.7755)* CHOOSE(CONTROL!$C$21, $C$9, 100%, $E$9)</f>
        <v>24.775500000000001</v>
      </c>
      <c r="J513" s="14">
        <f>CHOOSE(CONTROL!$C$42, 24.6703, 24.6703)* CHOOSE(CONTROL!$C$21, $C$9, 100%, $E$9)</f>
        <v>24.670300000000001</v>
      </c>
      <c r="K513" s="53">
        <f>CHOOSE(CONTROL!$C$42, 24.7716, 24.7716) * CHOOSE(CONTROL!$C$21, $C$9, 100%, $E$9)</f>
        <v>24.771599999999999</v>
      </c>
      <c r="L513" s="14">
        <f>CHOOSE(CONTROL!$C$42, 25.5102, 25.5102) * CHOOSE(CONTROL!$C$21, $C$9, 100%, $E$9)</f>
        <v>25.510200000000001</v>
      </c>
      <c r="M513" s="14">
        <f>CHOOSE(CONTROL!$C$42, 24.1725, 24.1725) * CHOOSE(CONTROL!$C$21, $C$9, 100%, $E$9)</f>
        <v>24.172499999999999</v>
      </c>
      <c r="N513" s="14">
        <f>CHOOSE(CONTROL!$C$42, 24.1888, 24.1888) * CHOOSE(CONTROL!$C$21, $C$9, 100%, $E$9)</f>
        <v>24.188800000000001</v>
      </c>
      <c r="O513" s="14">
        <f>CHOOSE(CONTROL!$C$42, 24.4202, 24.4202) * CHOOSE(CONTROL!$C$21, $C$9, 100%, $E$9)</f>
        <v>24.420200000000001</v>
      </c>
      <c r="P513" s="14">
        <f>CHOOSE(CONTROL!$C$42, 24.2741, 24.2741) * CHOOSE(CONTROL!$C$21, $C$9, 100%, $E$9)</f>
        <v>24.274100000000001</v>
      </c>
      <c r="Q513" s="14">
        <f>CHOOSE(CONTROL!$C$42, 25.0149, 25.0149) * CHOOSE(CONTROL!$C$21, $C$9, 100%, $E$9)</f>
        <v>25.014900000000001</v>
      </c>
      <c r="R513" s="14">
        <f>CHOOSE(CONTROL!$C$42, 25.6645, 25.6645) * CHOOSE(CONTROL!$C$21, $C$9, 100%, $E$9)</f>
        <v>25.6645</v>
      </c>
      <c r="S513" s="14">
        <f>CHOOSE(CONTROL!$C$42, 23.7141, 23.7141) * CHOOSE(CONTROL!$C$21, $C$9, 100%, $E$9)</f>
        <v>23.714099999999998</v>
      </c>
      <c r="T5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7">
        <f>(1000*CHOOSE(CONTROL!$C$42, 695, 695)*CHOOSE(CONTROL!$C$42, 0.5599, 0.5599)*CHOOSE(CONTROL!$C$42, 30, 30))/1000000</f>
        <v>11.673914999999997</v>
      </c>
      <c r="V513" s="57">
        <f>(1000*CHOOSE(CONTROL!$C$42, 500, 500)*CHOOSE(CONTROL!$C$42, 0.275, 0.275)*CHOOSE(CONTROL!$C$42, 30, 30))/1000000</f>
        <v>4.125</v>
      </c>
      <c r="W513" s="57">
        <f>(1000*CHOOSE(CONTROL!$C$42, 0.1146, 0.1146)*CHOOSE(CONTROL!$C$42, 121.5, 121.5)*CHOOSE(CONTROL!$C$42, 30, 30))/1000000</f>
        <v>0.417717</v>
      </c>
      <c r="X513" s="57">
        <f>(30*0.1790888*245000/1000000)+(30*0.2374*100000/1000000)</f>
        <v>2.0285026799999999</v>
      </c>
      <c r="Y513" s="57"/>
      <c r="Z513" s="14"/>
      <c r="AA513" s="56"/>
      <c r="AB513" s="50">
        <f>(B513*194.205+C513*267.466+D513*133.845+E513*53.484+F513*40+G513*185+H513*0+I513*100+J513*300)/(194.205+267.466+133.845+53.484+0+40+185+100+300)</f>
        <v>24.726612206436425</v>
      </c>
      <c r="AC513" s="45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24.260369784172664</v>
      </c>
    </row>
    <row r="514" spans="1:29" ht="15.75" x14ac:dyDescent="0.25">
      <c r="A514" s="33">
        <v>56553</v>
      </c>
      <c r="B514" s="14">
        <f>CHOOSE(CONTROL!$C$42, 24.1873, 24.1873) * CHOOSE(CONTROL!$C$21, $C$9, 100%, $E$9)</f>
        <v>24.1873</v>
      </c>
      <c r="C514" s="14">
        <f>CHOOSE(CONTROL!$C$42, 24.1926, 24.1926) * CHOOSE(CONTROL!$C$21, $C$9, 100%, $E$9)</f>
        <v>24.192599999999999</v>
      </c>
      <c r="D514" s="14">
        <f>CHOOSE(CONTROL!$C$42, 24.4026, 24.4026) * CHOOSE(CONTROL!$C$21, $C$9, 100%, $E$9)</f>
        <v>24.4026</v>
      </c>
      <c r="E514" s="14">
        <f>CHOOSE(CONTROL!$C$42, 24.4317, 24.4317) * CHOOSE(CONTROL!$C$21, $C$9, 100%, $E$9)</f>
        <v>24.431699999999999</v>
      </c>
      <c r="F514" s="14">
        <f>CHOOSE(CONTROL!$C$42, 24.1765, 24.1765)*CHOOSE(CONTROL!$C$21, $C$9, 100%, $E$9)</f>
        <v>24.176500000000001</v>
      </c>
      <c r="G514" s="14">
        <f>CHOOSE(CONTROL!$C$42, 24.1929, 24.1929)*CHOOSE(CONTROL!$C$21, $C$9, 100%, $E$9)</f>
        <v>24.192900000000002</v>
      </c>
      <c r="H514" s="14">
        <f>CHOOSE(CONTROL!$C$42, 24.4221, 24.4221) * CHOOSE(CONTROL!$C$21, $C$9, 100%, $E$9)</f>
        <v>24.4221</v>
      </c>
      <c r="I514" s="14">
        <f>CHOOSE(CONTROL!$C$42, 24.2729, 24.2729)* CHOOSE(CONTROL!$C$21, $C$9, 100%, $E$9)</f>
        <v>24.2729</v>
      </c>
      <c r="J514" s="14">
        <f>CHOOSE(CONTROL!$C$42, 24.1695, 24.1695)* CHOOSE(CONTROL!$C$21, $C$9, 100%, $E$9)</f>
        <v>24.169499999999999</v>
      </c>
      <c r="K514" s="53">
        <f>CHOOSE(CONTROL!$C$42, 24.269, 24.269) * CHOOSE(CONTROL!$C$21, $C$9, 100%, $E$9)</f>
        <v>24.268999999999998</v>
      </c>
      <c r="L514" s="14">
        <f>CHOOSE(CONTROL!$C$42, 25.0091, 25.0091) * CHOOSE(CONTROL!$C$21, $C$9, 100%, $E$9)</f>
        <v>25.0091</v>
      </c>
      <c r="M514" s="14">
        <f>CHOOSE(CONTROL!$C$42, 23.682, 23.682) * CHOOSE(CONTROL!$C$21, $C$9, 100%, $E$9)</f>
        <v>23.681999999999999</v>
      </c>
      <c r="N514" s="14">
        <f>CHOOSE(CONTROL!$C$42, 23.698, 23.698) * CHOOSE(CONTROL!$C$21, $C$9, 100%, $E$9)</f>
        <v>23.698</v>
      </c>
      <c r="O514" s="14">
        <f>CHOOSE(CONTROL!$C$42, 23.9294, 23.9294) * CHOOSE(CONTROL!$C$21, $C$9, 100%, $E$9)</f>
        <v>23.929400000000001</v>
      </c>
      <c r="P514" s="14">
        <f>CHOOSE(CONTROL!$C$42, 23.7818, 23.7818) * CHOOSE(CONTROL!$C$21, $C$9, 100%, $E$9)</f>
        <v>23.7818</v>
      </c>
      <c r="Q514" s="14">
        <f>CHOOSE(CONTROL!$C$42, 24.5241, 24.5241) * CHOOSE(CONTROL!$C$21, $C$9, 100%, $E$9)</f>
        <v>24.524100000000001</v>
      </c>
      <c r="R514" s="14">
        <f>CHOOSE(CONTROL!$C$42, 25.1725, 25.1725) * CHOOSE(CONTROL!$C$21, $C$9, 100%, $E$9)</f>
        <v>25.172499999999999</v>
      </c>
      <c r="S514" s="14">
        <f>CHOOSE(CONTROL!$C$42, 23.2326, 23.2326) * CHOOSE(CONTROL!$C$21, $C$9, 100%, $E$9)</f>
        <v>23.232600000000001</v>
      </c>
      <c r="T5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7">
        <f>(1000*CHOOSE(CONTROL!$C$42, 695, 695)*CHOOSE(CONTROL!$C$42, 0.5599, 0.5599)*CHOOSE(CONTROL!$C$42, 31, 31))/1000000</f>
        <v>12.063045499999998</v>
      </c>
      <c r="V514" s="57">
        <f>(1000*CHOOSE(CONTROL!$C$42, 500, 500)*CHOOSE(CONTROL!$C$42, 0.275, 0.275)*CHOOSE(CONTROL!$C$42, 31, 31))/1000000</f>
        <v>4.2625000000000002</v>
      </c>
      <c r="W514" s="57">
        <f>(1000*CHOOSE(CONTROL!$C$42, 0.1146, 0.1146)*CHOOSE(CONTROL!$C$42, 121.5, 121.5)*CHOOSE(CONTROL!$C$42, 31, 31))/1000000</f>
        <v>0.43164089999999994</v>
      </c>
      <c r="X514" s="57">
        <f>(31*0.1790888*245000/1000000)+(31*0.2374*100000/1000000)</f>
        <v>2.0961194359999999</v>
      </c>
      <c r="Y514" s="57"/>
      <c r="Z514" s="14"/>
      <c r="AA514" s="56"/>
      <c r="AB514" s="50">
        <f>(B514*131.881+C514*277.167+D514*79.08+E514*125.872+F514*40+G514*185+H514*0+I514*100+J514*300)/(131.881+277.167+79.08+125.872+0+40+185+100+300)</f>
        <v>24.23014263591606</v>
      </c>
      <c r="AC514" s="45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23.769457553956837</v>
      </c>
    </row>
    <row r="515" spans="1:29" ht="15.75" x14ac:dyDescent="0.25">
      <c r="A515" s="33">
        <v>56583</v>
      </c>
      <c r="B515" s="14">
        <f>CHOOSE(CONTROL!$C$42, 24.8238, 24.8238) * CHOOSE(CONTROL!$C$21, $C$9, 100%, $E$9)</f>
        <v>24.823799999999999</v>
      </c>
      <c r="C515" s="14">
        <f>CHOOSE(CONTROL!$C$42, 24.8289, 24.8289) * CHOOSE(CONTROL!$C$21, $C$9, 100%, $E$9)</f>
        <v>24.828900000000001</v>
      </c>
      <c r="D515" s="14">
        <f>CHOOSE(CONTROL!$C$42, 24.8927, 24.8927) * CHOOSE(CONTROL!$C$21, $C$9, 100%, $E$9)</f>
        <v>24.892700000000001</v>
      </c>
      <c r="E515" s="14">
        <f>CHOOSE(CONTROL!$C$42, 24.9268, 24.9268) * CHOOSE(CONTROL!$C$21, $C$9, 100%, $E$9)</f>
        <v>24.9268</v>
      </c>
      <c r="F515" s="14">
        <f>CHOOSE(CONTROL!$C$42, 24.8261, 24.8261)*CHOOSE(CONTROL!$C$21, $C$9, 100%, $E$9)</f>
        <v>24.8261</v>
      </c>
      <c r="G515" s="14">
        <f>CHOOSE(CONTROL!$C$42, 24.8427, 24.8427)*CHOOSE(CONTROL!$C$21, $C$9, 100%, $E$9)</f>
        <v>24.842700000000001</v>
      </c>
      <c r="H515" s="14">
        <f>CHOOSE(CONTROL!$C$42, 24.916, 24.916) * CHOOSE(CONTROL!$C$21, $C$9, 100%, $E$9)</f>
        <v>24.916</v>
      </c>
      <c r="I515" s="14">
        <f>CHOOSE(CONTROL!$C$42, 24.9154, 24.9154)* CHOOSE(CONTROL!$C$21, $C$9, 100%, $E$9)</f>
        <v>24.915400000000002</v>
      </c>
      <c r="J515" s="14">
        <f>CHOOSE(CONTROL!$C$42, 24.8191, 24.8191)* CHOOSE(CONTROL!$C$21, $C$9, 100%, $E$9)</f>
        <v>24.819099999999999</v>
      </c>
      <c r="K515" s="53">
        <f>CHOOSE(CONTROL!$C$42, 24.9116, 24.9116) * CHOOSE(CONTROL!$C$21, $C$9, 100%, $E$9)</f>
        <v>24.9116</v>
      </c>
      <c r="L515" s="14">
        <f>CHOOSE(CONTROL!$C$42, 25.503, 25.503) * CHOOSE(CONTROL!$C$21, $C$9, 100%, $E$9)</f>
        <v>25.503</v>
      </c>
      <c r="M515" s="14">
        <f>CHOOSE(CONTROL!$C$42, 24.3182, 24.3182) * CHOOSE(CONTROL!$C$21, $C$9, 100%, $E$9)</f>
        <v>24.318200000000001</v>
      </c>
      <c r="N515" s="14">
        <f>CHOOSE(CONTROL!$C$42, 24.3345, 24.3345) * CHOOSE(CONTROL!$C$21, $C$9, 100%, $E$9)</f>
        <v>24.334499999999998</v>
      </c>
      <c r="O515" s="14">
        <f>CHOOSE(CONTROL!$C$42, 24.4132, 24.4132) * CHOOSE(CONTROL!$C$21, $C$9, 100%, $E$9)</f>
        <v>24.4132</v>
      </c>
      <c r="P515" s="14">
        <f>CHOOSE(CONTROL!$C$42, 24.4111, 24.4111) * CHOOSE(CONTROL!$C$21, $C$9, 100%, $E$9)</f>
        <v>24.411100000000001</v>
      </c>
      <c r="Q515" s="14">
        <f>CHOOSE(CONTROL!$C$42, 25.0079, 25.0079) * CHOOSE(CONTROL!$C$21, $C$9, 100%, $E$9)</f>
        <v>25.007899999999999</v>
      </c>
      <c r="R515" s="14">
        <f>CHOOSE(CONTROL!$C$42, 25.6574, 25.6574) * CHOOSE(CONTROL!$C$21, $C$9, 100%, $E$9)</f>
        <v>25.657399999999999</v>
      </c>
      <c r="S515" s="14">
        <f>CHOOSE(CONTROL!$C$42, 23.8447, 23.8447) * CHOOSE(CONTROL!$C$21, $C$9, 100%, $E$9)</f>
        <v>23.8447</v>
      </c>
      <c r="T5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7">
        <f>(1000*CHOOSE(CONTROL!$C$42, 695, 695)*CHOOSE(CONTROL!$C$42, 0.5599, 0.5599)*CHOOSE(CONTROL!$C$42, 30, 30))/1000000</f>
        <v>11.673914999999997</v>
      </c>
      <c r="V515" s="57">
        <f>(1000*CHOOSE(CONTROL!$C$42, 500, 500)*CHOOSE(CONTROL!$C$42, 0.275, 0.275)*CHOOSE(CONTROL!$C$42, 30, 30))/1000000</f>
        <v>4.125</v>
      </c>
      <c r="W515" s="57">
        <f>(1000*CHOOSE(CONTROL!$C$42, 0.1146, 0.1146)*CHOOSE(CONTROL!$C$42, 121.5, 121.5)*CHOOSE(CONTROL!$C$42, 30, 30))/1000000</f>
        <v>0.417717</v>
      </c>
      <c r="X515" s="57">
        <f>(30*0.1790888*100000/1000000)+(30*0.2374*100000/1000000)</f>
        <v>1.2494664</v>
      </c>
      <c r="Y515" s="57"/>
      <c r="Z515" s="14"/>
      <c r="AA515" s="56"/>
      <c r="AB515" s="50">
        <f>(B515*122.58+C515*297.941+D515*89.177+E515*40.302+F515*40+G515*160+H515*0+I515*100+J515*300)/(122.58+297.941+89.177+40.302+0+40+160+100+300)</f>
        <v>24.843522522086957</v>
      </c>
      <c r="AC515" s="45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24.375562589928055</v>
      </c>
    </row>
    <row r="516" spans="1:29" ht="15.75" x14ac:dyDescent="0.25">
      <c r="A516" s="33">
        <v>56614</v>
      </c>
      <c r="B516" s="14">
        <f>CHOOSE(CONTROL!$C$42, 26.5156, 26.5156) * CHOOSE(CONTROL!$C$21, $C$9, 100%, $E$9)</f>
        <v>26.515599999999999</v>
      </c>
      <c r="C516" s="14">
        <f>CHOOSE(CONTROL!$C$42, 26.5207, 26.5207) * CHOOSE(CONTROL!$C$21, $C$9, 100%, $E$9)</f>
        <v>26.520700000000001</v>
      </c>
      <c r="D516" s="14">
        <f>CHOOSE(CONTROL!$C$42, 26.5845, 26.5845) * CHOOSE(CONTROL!$C$21, $C$9, 100%, $E$9)</f>
        <v>26.584499999999998</v>
      </c>
      <c r="E516" s="14">
        <f>CHOOSE(CONTROL!$C$42, 26.6186, 26.6186) * CHOOSE(CONTROL!$C$21, $C$9, 100%, $E$9)</f>
        <v>26.618600000000001</v>
      </c>
      <c r="F516" s="14">
        <f>CHOOSE(CONTROL!$C$42, 26.5199, 26.5199)*CHOOSE(CONTROL!$C$21, $C$9, 100%, $E$9)</f>
        <v>26.5199</v>
      </c>
      <c r="G516" s="14">
        <f>CHOOSE(CONTROL!$C$42, 26.5371, 26.5371)*CHOOSE(CONTROL!$C$21, $C$9, 100%, $E$9)</f>
        <v>26.537099999999999</v>
      </c>
      <c r="H516" s="14">
        <f>CHOOSE(CONTROL!$C$42, 26.6078, 26.6078) * CHOOSE(CONTROL!$C$21, $C$9, 100%, $E$9)</f>
        <v>26.607800000000001</v>
      </c>
      <c r="I516" s="14">
        <f>CHOOSE(CONTROL!$C$42, 26.6126, 26.6126)* CHOOSE(CONTROL!$C$21, $C$9, 100%, $E$9)</f>
        <v>26.6126</v>
      </c>
      <c r="J516" s="14">
        <f>CHOOSE(CONTROL!$C$42, 26.5129, 26.5129)* CHOOSE(CONTROL!$C$21, $C$9, 100%, $E$9)</f>
        <v>26.512899999999998</v>
      </c>
      <c r="K516" s="53">
        <f>CHOOSE(CONTROL!$C$42, 26.6087, 26.6087) * CHOOSE(CONTROL!$C$21, $C$9, 100%, $E$9)</f>
        <v>26.608699999999999</v>
      </c>
      <c r="L516" s="14">
        <f>CHOOSE(CONTROL!$C$42, 27.1948, 27.1948) * CHOOSE(CONTROL!$C$21, $C$9, 100%, $E$9)</f>
        <v>27.194800000000001</v>
      </c>
      <c r="M516" s="14">
        <f>CHOOSE(CONTROL!$C$42, 25.9774, 25.9774) * CHOOSE(CONTROL!$C$21, $C$9, 100%, $E$9)</f>
        <v>25.977399999999999</v>
      </c>
      <c r="N516" s="14">
        <f>CHOOSE(CONTROL!$C$42, 25.9942, 25.9942) * CHOOSE(CONTROL!$C$21, $C$9, 100%, $E$9)</f>
        <v>25.994199999999999</v>
      </c>
      <c r="O516" s="14">
        <f>CHOOSE(CONTROL!$C$42, 26.0703, 26.0703) * CHOOSE(CONTROL!$C$21, $C$9, 100%, $E$9)</f>
        <v>26.0703</v>
      </c>
      <c r="P516" s="14">
        <f>CHOOSE(CONTROL!$C$42, 26.0734, 26.0734) * CHOOSE(CONTROL!$C$21, $C$9, 100%, $E$9)</f>
        <v>26.073399999999999</v>
      </c>
      <c r="Q516" s="14">
        <f>CHOOSE(CONTROL!$C$42, 26.665, 26.665) * CHOOSE(CONTROL!$C$21, $C$9, 100%, $E$9)</f>
        <v>26.664999999999999</v>
      </c>
      <c r="R516" s="14">
        <f>CHOOSE(CONTROL!$C$42, 27.3187, 27.3187) * CHOOSE(CONTROL!$C$21, $C$9, 100%, $E$9)</f>
        <v>27.3187</v>
      </c>
      <c r="S516" s="14">
        <f>CHOOSE(CONTROL!$C$42, 25.4703, 25.4703) * CHOOSE(CONTROL!$C$21, $C$9, 100%, $E$9)</f>
        <v>25.470300000000002</v>
      </c>
      <c r="T5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7">
        <f>(1000*CHOOSE(CONTROL!$C$42, 695, 695)*CHOOSE(CONTROL!$C$42, 0.5599, 0.5599)*CHOOSE(CONTROL!$C$42, 31, 31))/1000000</f>
        <v>12.063045499999998</v>
      </c>
      <c r="V516" s="57">
        <f>(1000*CHOOSE(CONTROL!$C$42, 500, 500)*CHOOSE(CONTROL!$C$42, 0.275, 0.275)*CHOOSE(CONTROL!$C$42, 31, 31))/1000000</f>
        <v>4.2625000000000002</v>
      </c>
      <c r="W516" s="57">
        <f>(1000*CHOOSE(CONTROL!$C$42, 0.1146, 0.1146)*CHOOSE(CONTROL!$C$42, 121.5, 121.5)*CHOOSE(CONTROL!$C$42, 31, 31))/1000000</f>
        <v>0.43164089999999994</v>
      </c>
      <c r="X516" s="57">
        <f>(31*0.1790888*100000/1000000)+(31*0.2374*100000/1000000)</f>
        <v>1.2911152800000001</v>
      </c>
      <c r="Y516" s="57"/>
      <c r="Z516" s="14"/>
      <c r="AA516" s="56"/>
      <c r="AB516" s="50">
        <f>(B516*122.58+C516*297.941+D516*89.177+E516*40.302+F516*40+G516*160+H516*0+I516*100+J516*300)/(122.58+297.941+89.177+40.302+0+40+160+100+300)</f>
        <v>26.536745130782609</v>
      </c>
      <c r="AC516" s="45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26.034285611510789</v>
      </c>
    </row>
    <row r="517" spans="1:29" ht="15.75" x14ac:dyDescent="0.25">
      <c r="A517" s="32">
        <v>56645</v>
      </c>
      <c r="B517" s="14">
        <f>CHOOSE(CONTROL!$C$42, 28.6868, 28.6868) * CHOOSE(CONTROL!$C$21, $C$9, 100%, $E$9)</f>
        <v>28.686800000000002</v>
      </c>
      <c r="C517" s="14">
        <f>CHOOSE(CONTROL!$C$42, 28.6919, 28.6919) * CHOOSE(CONTROL!$C$21, $C$9, 100%, $E$9)</f>
        <v>28.6919</v>
      </c>
      <c r="D517" s="14">
        <f>CHOOSE(CONTROL!$C$42, 28.7505, 28.7505) * CHOOSE(CONTROL!$C$21, $C$9, 100%, $E$9)</f>
        <v>28.750499999999999</v>
      </c>
      <c r="E517" s="14">
        <f>CHOOSE(CONTROL!$C$42, 28.7846, 28.7846) * CHOOSE(CONTROL!$C$21, $C$9, 100%, $E$9)</f>
        <v>28.784600000000001</v>
      </c>
      <c r="F517" s="14">
        <f>CHOOSE(CONTROL!$C$42, 28.6859, 28.6859)*CHOOSE(CONTROL!$C$21, $C$9, 100%, $E$9)</f>
        <v>28.6859</v>
      </c>
      <c r="G517" s="14">
        <f>CHOOSE(CONTROL!$C$42, 28.7023, 28.7023)*CHOOSE(CONTROL!$C$21, $C$9, 100%, $E$9)</f>
        <v>28.702300000000001</v>
      </c>
      <c r="H517" s="14">
        <f>CHOOSE(CONTROL!$C$42, 28.7738, 28.7738) * CHOOSE(CONTROL!$C$21, $C$9, 100%, $E$9)</f>
        <v>28.773800000000001</v>
      </c>
      <c r="I517" s="14">
        <f>CHOOSE(CONTROL!$C$42, 28.7869, 28.7869)* CHOOSE(CONTROL!$C$21, $C$9, 100%, $E$9)</f>
        <v>28.786899999999999</v>
      </c>
      <c r="J517" s="14">
        <f>CHOOSE(CONTROL!$C$42, 28.6789, 28.6789)* CHOOSE(CONTROL!$C$21, $C$9, 100%, $E$9)</f>
        <v>28.678899999999999</v>
      </c>
      <c r="K517" s="53">
        <f>CHOOSE(CONTROL!$C$42, 28.783, 28.783) * CHOOSE(CONTROL!$C$21, $C$9, 100%, $E$9)</f>
        <v>28.783000000000001</v>
      </c>
      <c r="L517" s="14">
        <f>CHOOSE(CONTROL!$C$42, 29.3608, 29.3608) * CHOOSE(CONTROL!$C$21, $C$9, 100%, $E$9)</f>
        <v>29.360800000000001</v>
      </c>
      <c r="M517" s="14">
        <f>CHOOSE(CONTROL!$C$42, 28.099, 28.099) * CHOOSE(CONTROL!$C$21, $C$9, 100%, $E$9)</f>
        <v>28.099</v>
      </c>
      <c r="N517" s="14">
        <f>CHOOSE(CONTROL!$C$42, 28.1151, 28.1151) * CHOOSE(CONTROL!$C$21, $C$9, 100%, $E$9)</f>
        <v>28.115100000000002</v>
      </c>
      <c r="O517" s="14">
        <f>CHOOSE(CONTROL!$C$42, 28.1919, 28.1919) * CHOOSE(CONTROL!$C$21, $C$9, 100%, $E$9)</f>
        <v>28.1919</v>
      </c>
      <c r="P517" s="14">
        <f>CHOOSE(CONTROL!$C$42, 28.2031, 28.2031) * CHOOSE(CONTROL!$C$21, $C$9, 100%, $E$9)</f>
        <v>28.203099999999999</v>
      </c>
      <c r="Q517" s="14">
        <f>CHOOSE(CONTROL!$C$42, 28.7866, 28.7866) * CHOOSE(CONTROL!$C$21, $C$9, 100%, $E$9)</f>
        <v>28.7866</v>
      </c>
      <c r="R517" s="14">
        <f>CHOOSE(CONTROL!$C$42, 29.4456, 29.4456) * CHOOSE(CONTROL!$C$21, $C$9, 100%, $E$9)</f>
        <v>29.445599999999999</v>
      </c>
      <c r="S517" s="14">
        <f>CHOOSE(CONTROL!$C$42, 27.5566, 27.5566) * CHOOSE(CONTROL!$C$21, $C$9, 100%, $E$9)</f>
        <v>27.5566</v>
      </c>
      <c r="T5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7">
        <f>(1000*CHOOSE(CONTROL!$C$42, 695, 695)*CHOOSE(CONTROL!$C$42, 0.5599, 0.5599)*CHOOSE(CONTROL!$C$42, 31, 31))/1000000</f>
        <v>12.063045499999998</v>
      </c>
      <c r="V517" s="57">
        <f>(1000*CHOOSE(CONTROL!$C$42, 500, 500)*CHOOSE(CONTROL!$C$42, 0.275, 0.275)*CHOOSE(CONTROL!$C$42, 31, 31))/1000000</f>
        <v>4.2625000000000002</v>
      </c>
      <c r="W517" s="57">
        <f>(1000*CHOOSE(CONTROL!$C$42, 0.1146, 0.1146)*CHOOSE(CONTROL!$C$42, 121.5, 121.5)*CHOOSE(CONTROL!$C$42, 31, 31))/1000000</f>
        <v>0.43164089999999994</v>
      </c>
      <c r="X517" s="57">
        <f>(31*0.1790888*100000/1000000)+(31*0.2374*100000/1000000)</f>
        <v>1.2911152800000001</v>
      </c>
      <c r="Y517" s="57"/>
      <c r="Z517" s="14"/>
      <c r="AA517" s="56"/>
      <c r="AB517" s="50">
        <f>(B517*122.58+C517*297.941+D517*89.177+E517*40.302+F517*40+G517*160+H517*0+I517*100+J517*300)/(122.58+297.941+89.177+40.302+0+40+160+100+300)</f>
        <v>28.705257051826091</v>
      </c>
      <c r="AC517" s="45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28.157010791366908</v>
      </c>
    </row>
    <row r="518" spans="1:29" ht="15.75" x14ac:dyDescent="0.25">
      <c r="A518" s="32">
        <v>56673</v>
      </c>
      <c r="B518" s="14">
        <f>CHOOSE(CONTROL!$C$42, 29.1973, 29.1973) * CHOOSE(CONTROL!$C$21, $C$9, 100%, $E$9)</f>
        <v>29.197299999999998</v>
      </c>
      <c r="C518" s="14">
        <f>CHOOSE(CONTROL!$C$42, 29.2024, 29.2024) * CHOOSE(CONTROL!$C$21, $C$9, 100%, $E$9)</f>
        <v>29.202400000000001</v>
      </c>
      <c r="D518" s="14">
        <f>CHOOSE(CONTROL!$C$42, 29.261, 29.261) * CHOOSE(CONTROL!$C$21, $C$9, 100%, $E$9)</f>
        <v>29.260999999999999</v>
      </c>
      <c r="E518" s="14">
        <f>CHOOSE(CONTROL!$C$42, 29.2951, 29.2951) * CHOOSE(CONTROL!$C$21, $C$9, 100%, $E$9)</f>
        <v>29.295100000000001</v>
      </c>
      <c r="F518" s="14">
        <f>CHOOSE(CONTROL!$C$42, 29.1964, 29.1964)*CHOOSE(CONTROL!$C$21, $C$9, 100%, $E$9)</f>
        <v>29.196400000000001</v>
      </c>
      <c r="G518" s="14">
        <f>CHOOSE(CONTROL!$C$42, 29.2128, 29.2128)*CHOOSE(CONTROL!$C$21, $C$9, 100%, $E$9)</f>
        <v>29.212800000000001</v>
      </c>
      <c r="H518" s="14">
        <f>CHOOSE(CONTROL!$C$42, 29.2843, 29.2843) * CHOOSE(CONTROL!$C$21, $C$9, 100%, $E$9)</f>
        <v>29.284300000000002</v>
      </c>
      <c r="I518" s="14">
        <f>CHOOSE(CONTROL!$C$42, 29.299, 29.299)* CHOOSE(CONTROL!$C$21, $C$9, 100%, $E$9)</f>
        <v>29.298999999999999</v>
      </c>
      <c r="J518" s="14">
        <f>CHOOSE(CONTROL!$C$42, 29.1894, 29.1894)* CHOOSE(CONTROL!$C$21, $C$9, 100%, $E$9)</f>
        <v>29.189399999999999</v>
      </c>
      <c r="K518" s="53">
        <f>CHOOSE(CONTROL!$C$42, 29.2951, 29.2951) * CHOOSE(CONTROL!$C$21, $C$9, 100%, $E$9)</f>
        <v>29.295100000000001</v>
      </c>
      <c r="L518" s="14">
        <f>CHOOSE(CONTROL!$C$42, 29.8713, 29.8713) * CHOOSE(CONTROL!$C$21, $C$9, 100%, $E$9)</f>
        <v>29.871300000000002</v>
      </c>
      <c r="M518" s="14">
        <f>CHOOSE(CONTROL!$C$42, 28.599, 28.599) * CHOOSE(CONTROL!$C$21, $C$9, 100%, $E$9)</f>
        <v>28.599</v>
      </c>
      <c r="N518" s="14">
        <f>CHOOSE(CONTROL!$C$42, 28.6151, 28.6151) * CHOOSE(CONTROL!$C$21, $C$9, 100%, $E$9)</f>
        <v>28.615100000000002</v>
      </c>
      <c r="O518" s="14">
        <f>CHOOSE(CONTROL!$C$42, 28.692, 28.692) * CHOOSE(CONTROL!$C$21, $C$9, 100%, $E$9)</f>
        <v>28.692</v>
      </c>
      <c r="P518" s="14">
        <f>CHOOSE(CONTROL!$C$42, 28.7046, 28.7046) * CHOOSE(CONTROL!$C$21, $C$9, 100%, $E$9)</f>
        <v>28.704599999999999</v>
      </c>
      <c r="Q518" s="14">
        <f>CHOOSE(CONTROL!$C$42, 29.2867, 29.2867) * CHOOSE(CONTROL!$C$21, $C$9, 100%, $E$9)</f>
        <v>29.2867</v>
      </c>
      <c r="R518" s="14">
        <f>CHOOSE(CONTROL!$C$42, 29.9469, 29.9469) * CHOOSE(CONTROL!$C$21, $C$9, 100%, $E$9)</f>
        <v>29.946899999999999</v>
      </c>
      <c r="S518" s="14">
        <f>CHOOSE(CONTROL!$C$42, 28.0472, 28.0472) * CHOOSE(CONTROL!$C$21, $C$9, 100%, $E$9)</f>
        <v>28.0472</v>
      </c>
      <c r="T5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7">
        <f>(1000*CHOOSE(CONTROL!$C$42, 695, 695)*CHOOSE(CONTROL!$C$42, 0.5599, 0.5599)*CHOOSE(CONTROL!$C$42, 28, 28))/1000000</f>
        <v>10.895653999999999</v>
      </c>
      <c r="V518" s="57">
        <f>(1000*CHOOSE(CONTROL!$C$42, 500, 500)*CHOOSE(CONTROL!$C$42, 0.275, 0.275)*CHOOSE(CONTROL!$C$42, 28, 28))/1000000</f>
        <v>3.85</v>
      </c>
      <c r="W518" s="57">
        <f>(1000*CHOOSE(CONTROL!$C$42, 0.1146, 0.1146)*CHOOSE(CONTROL!$C$42, 121.5, 121.5)*CHOOSE(CONTROL!$C$42, 28, 28))/1000000</f>
        <v>0.38986920000000003</v>
      </c>
      <c r="X518" s="57">
        <f>(28*0.1790888*100000/1000000)+(28*0.2374*100000/1000000)</f>
        <v>1.16616864</v>
      </c>
      <c r="Y518" s="57"/>
      <c r="Z518" s="14"/>
      <c r="AA518" s="56"/>
      <c r="AB518" s="50">
        <f>(B518*122.58+C518*297.941+D518*89.177+E518*40.302+F518*40+G518*160+H518*0+I518*100+J518*300)/(122.58+297.941+89.177+40.302+0+40+160+100+300)</f>
        <v>29.215896182260874</v>
      </c>
      <c r="AC518" s="45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28.657271942446044</v>
      </c>
    </row>
    <row r="519" spans="1:29" ht="15.75" x14ac:dyDescent="0.25">
      <c r="A519" s="32">
        <v>56704</v>
      </c>
      <c r="B519" s="14">
        <f>CHOOSE(CONTROL!$C$42, 28.3687, 28.3687) * CHOOSE(CONTROL!$C$21, $C$9, 100%, $E$9)</f>
        <v>28.3687</v>
      </c>
      <c r="C519" s="14">
        <f>CHOOSE(CONTROL!$C$42, 28.3737, 28.3737) * CHOOSE(CONTROL!$C$21, $C$9, 100%, $E$9)</f>
        <v>28.373699999999999</v>
      </c>
      <c r="D519" s="14">
        <f>CHOOSE(CONTROL!$C$42, 28.4323, 28.4323) * CHOOSE(CONTROL!$C$21, $C$9, 100%, $E$9)</f>
        <v>28.432300000000001</v>
      </c>
      <c r="E519" s="14">
        <f>CHOOSE(CONTROL!$C$42, 28.4665, 28.4665) * CHOOSE(CONTROL!$C$21, $C$9, 100%, $E$9)</f>
        <v>28.4665</v>
      </c>
      <c r="F519" s="14">
        <f>CHOOSE(CONTROL!$C$42, 28.3672, 28.3672)*CHOOSE(CONTROL!$C$21, $C$9, 100%, $E$9)</f>
        <v>28.3672</v>
      </c>
      <c r="G519" s="14">
        <f>CHOOSE(CONTROL!$C$42, 28.3835, 28.3835)*CHOOSE(CONTROL!$C$21, $C$9, 100%, $E$9)</f>
        <v>28.383500000000002</v>
      </c>
      <c r="H519" s="14">
        <f>CHOOSE(CONTROL!$C$42, 28.4556, 28.4556) * CHOOSE(CONTROL!$C$21, $C$9, 100%, $E$9)</f>
        <v>28.4556</v>
      </c>
      <c r="I519" s="14">
        <f>CHOOSE(CONTROL!$C$42, 28.4678, 28.4678)* CHOOSE(CONTROL!$C$21, $C$9, 100%, $E$9)</f>
        <v>28.4678</v>
      </c>
      <c r="J519" s="14">
        <f>CHOOSE(CONTROL!$C$42, 28.3602, 28.3602)* CHOOSE(CONTROL!$C$21, $C$9, 100%, $E$9)</f>
        <v>28.360199999999999</v>
      </c>
      <c r="K519" s="53">
        <f>CHOOSE(CONTROL!$C$42, 28.4639, 28.4639) * CHOOSE(CONTROL!$C$21, $C$9, 100%, $E$9)</f>
        <v>28.463899999999999</v>
      </c>
      <c r="L519" s="14">
        <f>CHOOSE(CONTROL!$C$42, 29.0426, 29.0426) * CHOOSE(CONTROL!$C$21, $C$9, 100%, $E$9)</f>
        <v>29.0426</v>
      </c>
      <c r="M519" s="14">
        <f>CHOOSE(CONTROL!$C$42, 27.7869, 27.7869) * CHOOSE(CONTROL!$C$21, $C$9, 100%, $E$9)</f>
        <v>27.786899999999999</v>
      </c>
      <c r="N519" s="14">
        <f>CHOOSE(CONTROL!$C$42, 27.8028, 27.8028) * CHOOSE(CONTROL!$C$21, $C$9, 100%, $E$9)</f>
        <v>27.802800000000001</v>
      </c>
      <c r="O519" s="14">
        <f>CHOOSE(CONTROL!$C$42, 27.8803, 27.8803) * CHOOSE(CONTROL!$C$21, $C$9, 100%, $E$9)</f>
        <v>27.880299999999998</v>
      </c>
      <c r="P519" s="14">
        <f>CHOOSE(CONTROL!$C$42, 27.8905, 27.8905) * CHOOSE(CONTROL!$C$21, $C$9, 100%, $E$9)</f>
        <v>27.890499999999999</v>
      </c>
      <c r="Q519" s="14">
        <f>CHOOSE(CONTROL!$C$42, 28.475, 28.475) * CHOOSE(CONTROL!$C$21, $C$9, 100%, $E$9)</f>
        <v>28.475000000000001</v>
      </c>
      <c r="R519" s="14">
        <f>CHOOSE(CONTROL!$C$42, 29.1332, 29.1332) * CHOOSE(CONTROL!$C$21, $C$9, 100%, $E$9)</f>
        <v>29.133199999999999</v>
      </c>
      <c r="S519" s="14">
        <f>CHOOSE(CONTROL!$C$42, 27.2509, 27.2509) * CHOOSE(CONTROL!$C$21, $C$9, 100%, $E$9)</f>
        <v>27.250900000000001</v>
      </c>
      <c r="T5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7">
        <f>(1000*CHOOSE(CONTROL!$C$42, 695, 695)*CHOOSE(CONTROL!$C$42, 0.5599, 0.5599)*CHOOSE(CONTROL!$C$42, 31, 31))/1000000</f>
        <v>12.063045499999998</v>
      </c>
      <c r="V519" s="57">
        <f>(1000*CHOOSE(CONTROL!$C$42, 500, 500)*CHOOSE(CONTROL!$C$42, 0.275, 0.275)*CHOOSE(CONTROL!$C$42, 31, 31))/1000000</f>
        <v>4.2625000000000002</v>
      </c>
      <c r="W519" s="57">
        <f>(1000*CHOOSE(CONTROL!$C$42, 0.1146, 0.1146)*CHOOSE(CONTROL!$C$42, 121.5, 121.5)*CHOOSE(CONTROL!$C$42, 31, 31))/1000000</f>
        <v>0.43164089999999994</v>
      </c>
      <c r="X519" s="57">
        <f>(31*0.1790888*100000/1000000)+(31*0.2374*100000/1000000)</f>
        <v>1.2911152800000001</v>
      </c>
      <c r="Y519" s="57"/>
      <c r="Z519" s="14"/>
      <c r="AA519" s="56"/>
      <c r="AB519" s="50">
        <f>(B519*122.58+C519*297.941+D519*89.177+E519*40.302+F519*40+G519*160+H519*0+I519*100+J519*300)/(122.58+297.941+89.177+40.302+0+40+160+100+300)</f>
        <v>28.386761650260869</v>
      </c>
      <c r="AC519" s="45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27.845053956834533</v>
      </c>
    </row>
    <row r="520" spans="1:29" ht="15.75" x14ac:dyDescent="0.25">
      <c r="A520" s="32">
        <v>56734</v>
      </c>
      <c r="B520" s="14">
        <f>CHOOSE(CONTROL!$C$42, 28.2849, 28.2849) * CHOOSE(CONTROL!$C$21, $C$9, 100%, $E$9)</f>
        <v>28.2849</v>
      </c>
      <c r="C520" s="14">
        <f>CHOOSE(CONTROL!$C$42, 28.2894, 28.2894) * CHOOSE(CONTROL!$C$21, $C$9, 100%, $E$9)</f>
        <v>28.289400000000001</v>
      </c>
      <c r="D520" s="14">
        <f>CHOOSE(CONTROL!$C$42, 28.4975, 28.4975) * CHOOSE(CONTROL!$C$21, $C$9, 100%, $E$9)</f>
        <v>28.497499999999999</v>
      </c>
      <c r="E520" s="14">
        <f>CHOOSE(CONTROL!$C$42, 28.5296, 28.5296) * CHOOSE(CONTROL!$C$21, $C$9, 100%, $E$9)</f>
        <v>28.529599999999999</v>
      </c>
      <c r="F520" s="14">
        <f>CHOOSE(CONTROL!$C$42, 28.2723, 28.2723)*CHOOSE(CONTROL!$C$21, $C$9, 100%, $E$9)</f>
        <v>28.272300000000001</v>
      </c>
      <c r="G520" s="14">
        <f>CHOOSE(CONTROL!$C$42, 28.2882, 28.2882)*CHOOSE(CONTROL!$C$21, $C$9, 100%, $E$9)</f>
        <v>28.2882</v>
      </c>
      <c r="H520" s="14">
        <f>CHOOSE(CONTROL!$C$42, 28.5194, 28.5194) * CHOOSE(CONTROL!$C$21, $C$9, 100%, $E$9)</f>
        <v>28.519400000000001</v>
      </c>
      <c r="I520" s="14">
        <f>CHOOSE(CONTROL!$C$42, 28.383, 28.383)* CHOOSE(CONTROL!$C$21, $C$9, 100%, $E$9)</f>
        <v>28.382999999999999</v>
      </c>
      <c r="J520" s="14">
        <f>CHOOSE(CONTROL!$C$42, 28.2653, 28.2653)* CHOOSE(CONTROL!$C$21, $C$9, 100%, $E$9)</f>
        <v>28.2653</v>
      </c>
      <c r="K520" s="53">
        <f>CHOOSE(CONTROL!$C$42, 28.3791, 28.3791) * CHOOSE(CONTROL!$C$21, $C$9, 100%, $E$9)</f>
        <v>28.379100000000001</v>
      </c>
      <c r="L520" s="14">
        <f>CHOOSE(CONTROL!$C$42, 29.1064, 29.1064) * CHOOSE(CONTROL!$C$21, $C$9, 100%, $E$9)</f>
        <v>29.106400000000001</v>
      </c>
      <c r="M520" s="14">
        <f>CHOOSE(CONTROL!$C$42, 27.6938, 27.6938) * CHOOSE(CONTROL!$C$21, $C$9, 100%, $E$9)</f>
        <v>27.6938</v>
      </c>
      <c r="N520" s="14">
        <f>CHOOSE(CONTROL!$C$42, 27.7095, 27.7095) * CHOOSE(CONTROL!$C$21, $C$9, 100%, $E$9)</f>
        <v>27.709499999999998</v>
      </c>
      <c r="O520" s="14">
        <f>CHOOSE(CONTROL!$C$42, 27.9428, 27.9428) * CHOOSE(CONTROL!$C$21, $C$9, 100%, $E$9)</f>
        <v>27.942799999999998</v>
      </c>
      <c r="P520" s="14">
        <f>CHOOSE(CONTROL!$C$42, 27.8074, 27.8074) * CHOOSE(CONTROL!$C$21, $C$9, 100%, $E$9)</f>
        <v>27.807400000000001</v>
      </c>
      <c r="Q520" s="14">
        <f>CHOOSE(CONTROL!$C$42, 28.5375, 28.5375) * CHOOSE(CONTROL!$C$21, $C$9, 100%, $E$9)</f>
        <v>28.537500000000001</v>
      </c>
      <c r="R520" s="14">
        <f>CHOOSE(CONTROL!$C$42, 29.1958, 29.1958) * CHOOSE(CONTROL!$C$21, $C$9, 100%, $E$9)</f>
        <v>29.195799999999998</v>
      </c>
      <c r="S520" s="14">
        <f>CHOOSE(CONTROL!$C$42, 27.1697, 27.1697) * CHOOSE(CONTROL!$C$21, $C$9, 100%, $E$9)</f>
        <v>27.169699999999999</v>
      </c>
      <c r="T5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7">
        <f>(1000*CHOOSE(CONTROL!$C$42, 695, 695)*CHOOSE(CONTROL!$C$42, 0.5599, 0.5599)*CHOOSE(CONTROL!$C$42, 30, 30))/1000000</f>
        <v>11.673914999999997</v>
      </c>
      <c r="V520" s="57">
        <f>(1000*CHOOSE(CONTROL!$C$42, 500, 500)*CHOOSE(CONTROL!$C$42, 0.275, 0.275)*CHOOSE(CONTROL!$C$42, 30, 30))/1000000</f>
        <v>4.125</v>
      </c>
      <c r="W520" s="57">
        <f>(1000*CHOOSE(CONTROL!$C$42, 0.1146, 0.1146)*CHOOSE(CONTROL!$C$42, 121.5, 121.5)*CHOOSE(CONTROL!$C$42, 30, 30))/1000000</f>
        <v>0.417717</v>
      </c>
      <c r="X520" s="57">
        <f>(30*0.1790888*245000/1000000)+(30*0.2374*100000/1000000)</f>
        <v>2.0285026799999999</v>
      </c>
      <c r="Y520" s="57"/>
      <c r="Z520" s="14"/>
      <c r="AA520" s="56"/>
      <c r="AB520" s="50">
        <f>(B520*141.293+C520*267.993+D520*115.016+E520*89.698+F520*40+G520*185+H520*0+I520*100+J520*300)/(141.293+267.993+115.016+89.698+0+40+185+100+300)</f>
        <v>28.326581977966097</v>
      </c>
      <c r="AC520" s="45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27.783623021582731</v>
      </c>
    </row>
    <row r="521" spans="1:29" ht="15.75" x14ac:dyDescent="0.25">
      <c r="A521" s="32">
        <v>56765</v>
      </c>
      <c r="B521" s="14">
        <f>CHOOSE(CONTROL!$C$42, 28.5359, 28.5359) * CHOOSE(CONTROL!$C$21, $C$9, 100%, $E$9)</f>
        <v>28.535900000000002</v>
      </c>
      <c r="C521" s="14">
        <f>CHOOSE(CONTROL!$C$42, 28.5439, 28.5439) * CHOOSE(CONTROL!$C$21, $C$9, 100%, $E$9)</f>
        <v>28.543900000000001</v>
      </c>
      <c r="D521" s="14">
        <f>CHOOSE(CONTROL!$C$42, 28.7489, 28.7489) * CHOOSE(CONTROL!$C$21, $C$9, 100%, $E$9)</f>
        <v>28.748899999999999</v>
      </c>
      <c r="E521" s="14">
        <f>CHOOSE(CONTROL!$C$42, 28.7803, 28.7803) * CHOOSE(CONTROL!$C$21, $C$9, 100%, $E$9)</f>
        <v>28.7803</v>
      </c>
      <c r="F521" s="14">
        <f>CHOOSE(CONTROL!$C$42, 28.5221, 28.5221)*CHOOSE(CONTROL!$C$21, $C$9, 100%, $E$9)</f>
        <v>28.522099999999998</v>
      </c>
      <c r="G521" s="14">
        <f>CHOOSE(CONTROL!$C$42, 28.5385, 28.5385)*CHOOSE(CONTROL!$C$21, $C$9, 100%, $E$9)</f>
        <v>28.538499999999999</v>
      </c>
      <c r="H521" s="14">
        <f>CHOOSE(CONTROL!$C$42, 28.769, 28.769) * CHOOSE(CONTROL!$C$21, $C$9, 100%, $E$9)</f>
        <v>28.768999999999998</v>
      </c>
      <c r="I521" s="14">
        <f>CHOOSE(CONTROL!$C$42, 28.6333, 28.6333)* CHOOSE(CONTROL!$C$21, $C$9, 100%, $E$9)</f>
        <v>28.633299999999998</v>
      </c>
      <c r="J521" s="14">
        <f>CHOOSE(CONTROL!$C$42, 28.5151, 28.5151)* CHOOSE(CONTROL!$C$21, $C$9, 100%, $E$9)</f>
        <v>28.5151</v>
      </c>
      <c r="K521" s="53">
        <f>CHOOSE(CONTROL!$C$42, 28.6294, 28.6294) * CHOOSE(CONTROL!$C$21, $C$9, 100%, $E$9)</f>
        <v>28.6294</v>
      </c>
      <c r="L521" s="14">
        <f>CHOOSE(CONTROL!$C$42, 29.356, 29.356) * CHOOSE(CONTROL!$C$21, $C$9, 100%, $E$9)</f>
        <v>29.356000000000002</v>
      </c>
      <c r="M521" s="14">
        <f>CHOOSE(CONTROL!$C$42, 27.9385, 27.9385) * CHOOSE(CONTROL!$C$21, $C$9, 100%, $E$9)</f>
        <v>27.938500000000001</v>
      </c>
      <c r="N521" s="14">
        <f>CHOOSE(CONTROL!$C$42, 27.9546, 27.9546) * CHOOSE(CONTROL!$C$21, $C$9, 100%, $E$9)</f>
        <v>27.954599999999999</v>
      </c>
      <c r="O521" s="14">
        <f>CHOOSE(CONTROL!$C$42, 28.1872, 28.1872) * CHOOSE(CONTROL!$C$21, $C$9, 100%, $E$9)</f>
        <v>28.187200000000001</v>
      </c>
      <c r="P521" s="14">
        <f>CHOOSE(CONTROL!$C$42, 28.0526, 28.0526) * CHOOSE(CONTROL!$C$21, $C$9, 100%, $E$9)</f>
        <v>28.052600000000002</v>
      </c>
      <c r="Q521" s="14">
        <f>CHOOSE(CONTROL!$C$42, 28.7819, 28.7819) * CHOOSE(CONTROL!$C$21, $C$9, 100%, $E$9)</f>
        <v>28.7819</v>
      </c>
      <c r="R521" s="14">
        <f>CHOOSE(CONTROL!$C$42, 29.4409, 29.4409) * CHOOSE(CONTROL!$C$21, $C$9, 100%, $E$9)</f>
        <v>29.440899999999999</v>
      </c>
      <c r="S521" s="14">
        <f>CHOOSE(CONTROL!$C$42, 27.4095, 27.4095) * CHOOSE(CONTROL!$C$21, $C$9, 100%, $E$9)</f>
        <v>27.409500000000001</v>
      </c>
      <c r="T5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7">
        <f>(1000*CHOOSE(CONTROL!$C$42, 695, 695)*CHOOSE(CONTROL!$C$42, 0.5599, 0.5599)*CHOOSE(CONTROL!$C$42, 31, 31))/1000000</f>
        <v>12.063045499999998</v>
      </c>
      <c r="V521" s="57">
        <f>(1000*CHOOSE(CONTROL!$C$42, 500, 500)*CHOOSE(CONTROL!$C$42, 0.275, 0.275)*CHOOSE(CONTROL!$C$42, 31, 31))/1000000</f>
        <v>4.2625000000000002</v>
      </c>
      <c r="W521" s="57">
        <f>(1000*CHOOSE(CONTROL!$C$42, 0.1146, 0.1146)*CHOOSE(CONTROL!$C$42, 121.5, 121.5)*CHOOSE(CONTROL!$C$42, 31, 31))/1000000</f>
        <v>0.43164089999999994</v>
      </c>
      <c r="X521" s="57">
        <f>(31*0.1790888*245000/1000000)+(31*0.2374*100000/1000000)</f>
        <v>2.0961194359999999</v>
      </c>
      <c r="Y521" s="57"/>
      <c r="Z521" s="14"/>
      <c r="AA521" s="56"/>
      <c r="AB521" s="50">
        <f>(B521*194.205+C521*267.466+D521*133.845+E521*53.484+F521*40+G521*185+H521*0+I521*100+J521*300)/(194.205+267.466+133.845+53.484+0+40+185+100+300)</f>
        <v>28.572908793249603</v>
      </c>
      <c r="AC521" s="45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28.02840287769784</v>
      </c>
    </row>
    <row r="522" spans="1:29" ht="15.75" x14ac:dyDescent="0.25">
      <c r="A522" s="32">
        <v>56795</v>
      </c>
      <c r="B522" s="14">
        <f>CHOOSE(CONTROL!$C$42, 29.345, 29.345) * CHOOSE(CONTROL!$C$21, $C$9, 100%, $E$9)</f>
        <v>29.344999999999999</v>
      </c>
      <c r="C522" s="14">
        <f>CHOOSE(CONTROL!$C$42, 29.353, 29.353) * CHOOSE(CONTROL!$C$21, $C$9, 100%, $E$9)</f>
        <v>29.353000000000002</v>
      </c>
      <c r="D522" s="14">
        <f>CHOOSE(CONTROL!$C$42, 29.558, 29.558) * CHOOSE(CONTROL!$C$21, $C$9, 100%, $E$9)</f>
        <v>29.558</v>
      </c>
      <c r="E522" s="14">
        <f>CHOOSE(CONTROL!$C$42, 29.5895, 29.5895) * CHOOSE(CONTROL!$C$21, $C$9, 100%, $E$9)</f>
        <v>29.589500000000001</v>
      </c>
      <c r="F522" s="14">
        <f>CHOOSE(CONTROL!$C$42, 29.3316, 29.3316)*CHOOSE(CONTROL!$C$21, $C$9, 100%, $E$9)</f>
        <v>29.331600000000002</v>
      </c>
      <c r="G522" s="14">
        <f>CHOOSE(CONTROL!$C$42, 29.3481, 29.3481)*CHOOSE(CONTROL!$C$21, $C$9, 100%, $E$9)</f>
        <v>29.348099999999999</v>
      </c>
      <c r="H522" s="14">
        <f>CHOOSE(CONTROL!$C$42, 29.5781, 29.5781) * CHOOSE(CONTROL!$C$21, $C$9, 100%, $E$9)</f>
        <v>29.578099999999999</v>
      </c>
      <c r="I522" s="14">
        <f>CHOOSE(CONTROL!$C$42, 29.445, 29.445)* CHOOSE(CONTROL!$C$21, $C$9, 100%, $E$9)</f>
        <v>29.445</v>
      </c>
      <c r="J522" s="14">
        <f>CHOOSE(CONTROL!$C$42, 29.3246, 29.3246)* CHOOSE(CONTROL!$C$21, $C$9, 100%, $E$9)</f>
        <v>29.3246</v>
      </c>
      <c r="K522" s="53">
        <f>CHOOSE(CONTROL!$C$42, 29.4411, 29.4411) * CHOOSE(CONTROL!$C$21, $C$9, 100%, $E$9)</f>
        <v>29.441099999999999</v>
      </c>
      <c r="L522" s="14">
        <f>CHOOSE(CONTROL!$C$42, 30.1651, 30.1651) * CHOOSE(CONTROL!$C$21, $C$9, 100%, $E$9)</f>
        <v>30.165099999999999</v>
      </c>
      <c r="M522" s="14">
        <f>CHOOSE(CONTROL!$C$42, 28.7314, 28.7314) * CHOOSE(CONTROL!$C$21, $C$9, 100%, $E$9)</f>
        <v>28.731400000000001</v>
      </c>
      <c r="N522" s="14">
        <f>CHOOSE(CONTROL!$C$42, 28.7476, 28.7476) * CHOOSE(CONTROL!$C$21, $C$9, 100%, $E$9)</f>
        <v>28.747599999999998</v>
      </c>
      <c r="O522" s="14">
        <f>CHOOSE(CONTROL!$C$42, 28.9798, 28.9798) * CHOOSE(CONTROL!$C$21, $C$9, 100%, $E$9)</f>
        <v>28.979800000000001</v>
      </c>
      <c r="P522" s="14">
        <f>CHOOSE(CONTROL!$C$42, 28.8476, 28.8476) * CHOOSE(CONTROL!$C$21, $C$9, 100%, $E$9)</f>
        <v>28.8476</v>
      </c>
      <c r="Q522" s="14">
        <f>CHOOSE(CONTROL!$C$42, 29.5745, 29.5745) * CHOOSE(CONTROL!$C$21, $C$9, 100%, $E$9)</f>
        <v>29.5745</v>
      </c>
      <c r="R522" s="14">
        <f>CHOOSE(CONTROL!$C$42, 30.2354, 30.2354) * CHOOSE(CONTROL!$C$21, $C$9, 100%, $E$9)</f>
        <v>30.235399999999998</v>
      </c>
      <c r="S522" s="14">
        <f>CHOOSE(CONTROL!$C$42, 28.187, 28.187) * CHOOSE(CONTROL!$C$21, $C$9, 100%, $E$9)</f>
        <v>28.187000000000001</v>
      </c>
      <c r="T5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7">
        <f>(1000*CHOOSE(CONTROL!$C$42, 695, 695)*CHOOSE(CONTROL!$C$42, 0.5599, 0.5599)*CHOOSE(CONTROL!$C$42, 30, 30))/1000000</f>
        <v>11.673914999999997</v>
      </c>
      <c r="V522" s="57">
        <f>(1000*CHOOSE(CONTROL!$C$42, 500, 500)*CHOOSE(CONTROL!$C$42, 0.275, 0.275)*CHOOSE(CONTROL!$C$42, 30, 30))/1000000</f>
        <v>4.125</v>
      </c>
      <c r="W522" s="57">
        <f>(1000*CHOOSE(CONTROL!$C$42, 0.1146, 0.1146)*CHOOSE(CONTROL!$C$42, 121.5, 121.5)*CHOOSE(CONTROL!$C$42, 30, 30))/1000000</f>
        <v>0.417717</v>
      </c>
      <c r="X522" s="57">
        <f>(30*0.1790888*245000/1000000)+(30*0.2374*100000/1000000)</f>
        <v>2.0285026799999999</v>
      </c>
      <c r="Y522" s="57"/>
      <c r="Z522" s="14"/>
      <c r="AA522" s="56"/>
      <c r="AB522" s="50">
        <f>(B522*194.205+C522*267.466+D522*133.845+E522*53.484+F522*40+G522*185+H522*0+I522*100+J522*300)/(194.205+267.466+133.845+53.484+0+40+185+100+300)</f>
        <v>29.382396429356355</v>
      </c>
      <c r="AC522" s="45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28.821543884892083</v>
      </c>
    </row>
    <row r="523" spans="1:29" ht="15.75" x14ac:dyDescent="0.25">
      <c r="A523" s="32">
        <v>56826</v>
      </c>
      <c r="B523" s="14">
        <f>CHOOSE(CONTROL!$C$42, 28.7823, 28.7823) * CHOOSE(CONTROL!$C$21, $C$9, 100%, $E$9)</f>
        <v>28.782299999999999</v>
      </c>
      <c r="C523" s="14">
        <f>CHOOSE(CONTROL!$C$42, 28.7903, 28.7903) * CHOOSE(CONTROL!$C$21, $C$9, 100%, $E$9)</f>
        <v>28.790299999999998</v>
      </c>
      <c r="D523" s="14">
        <f>CHOOSE(CONTROL!$C$42, 28.9953, 28.9953) * CHOOSE(CONTROL!$C$21, $C$9, 100%, $E$9)</f>
        <v>28.9953</v>
      </c>
      <c r="E523" s="14">
        <f>CHOOSE(CONTROL!$C$42, 29.0267, 29.0267) * CHOOSE(CONTROL!$C$21, $C$9, 100%, $E$9)</f>
        <v>29.026700000000002</v>
      </c>
      <c r="F523" s="14">
        <f>CHOOSE(CONTROL!$C$42, 28.7692, 28.7692)*CHOOSE(CONTROL!$C$21, $C$9, 100%, $E$9)</f>
        <v>28.769200000000001</v>
      </c>
      <c r="G523" s="14">
        <f>CHOOSE(CONTROL!$C$42, 28.7859, 28.7859)*CHOOSE(CONTROL!$C$21, $C$9, 100%, $E$9)</f>
        <v>28.785900000000002</v>
      </c>
      <c r="H523" s="14">
        <f>CHOOSE(CONTROL!$C$42, 29.0154, 29.0154) * CHOOSE(CONTROL!$C$21, $C$9, 100%, $E$9)</f>
        <v>29.0154</v>
      </c>
      <c r="I523" s="14">
        <f>CHOOSE(CONTROL!$C$42, 28.8804, 28.8804)* CHOOSE(CONTROL!$C$21, $C$9, 100%, $E$9)</f>
        <v>28.880400000000002</v>
      </c>
      <c r="J523" s="14">
        <f>CHOOSE(CONTROL!$C$42, 28.7622, 28.7622)* CHOOSE(CONTROL!$C$21, $C$9, 100%, $E$9)</f>
        <v>28.7622</v>
      </c>
      <c r="K523" s="53">
        <f>CHOOSE(CONTROL!$C$42, 28.8766, 28.8766) * CHOOSE(CONTROL!$C$21, $C$9, 100%, $E$9)</f>
        <v>28.8766</v>
      </c>
      <c r="L523" s="14">
        <f>CHOOSE(CONTROL!$C$42, 29.6024, 29.6024) * CHOOSE(CONTROL!$C$21, $C$9, 100%, $E$9)</f>
        <v>29.602399999999999</v>
      </c>
      <c r="M523" s="14">
        <f>CHOOSE(CONTROL!$C$42, 28.1806, 28.1806) * CHOOSE(CONTROL!$C$21, $C$9, 100%, $E$9)</f>
        <v>28.180599999999998</v>
      </c>
      <c r="N523" s="14">
        <f>CHOOSE(CONTROL!$C$42, 28.1969, 28.1969) * CHOOSE(CONTROL!$C$21, $C$9, 100%, $E$9)</f>
        <v>28.196899999999999</v>
      </c>
      <c r="O523" s="14">
        <f>CHOOSE(CONTROL!$C$42, 28.4285, 28.4285) * CHOOSE(CONTROL!$C$21, $C$9, 100%, $E$9)</f>
        <v>28.4285</v>
      </c>
      <c r="P523" s="14">
        <f>CHOOSE(CONTROL!$C$42, 28.2947, 28.2947) * CHOOSE(CONTROL!$C$21, $C$9, 100%, $E$9)</f>
        <v>28.294699999999999</v>
      </c>
      <c r="Q523" s="14">
        <f>CHOOSE(CONTROL!$C$42, 29.0232, 29.0232) * CHOOSE(CONTROL!$C$21, $C$9, 100%, $E$9)</f>
        <v>29.023199999999999</v>
      </c>
      <c r="R523" s="14">
        <f>CHOOSE(CONTROL!$C$42, 29.6828, 29.6828) * CHOOSE(CONTROL!$C$21, $C$9, 100%, $E$9)</f>
        <v>29.6828</v>
      </c>
      <c r="S523" s="14">
        <f>CHOOSE(CONTROL!$C$42, 27.6462, 27.6462) * CHOOSE(CONTROL!$C$21, $C$9, 100%, $E$9)</f>
        <v>27.6462</v>
      </c>
      <c r="T5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7">
        <f>(1000*CHOOSE(CONTROL!$C$42, 695, 695)*CHOOSE(CONTROL!$C$42, 0.5599, 0.5599)*CHOOSE(CONTROL!$C$42, 31, 31))/1000000</f>
        <v>12.063045499999998</v>
      </c>
      <c r="V523" s="57">
        <f>(1000*CHOOSE(CONTROL!$C$42, 500, 500)*CHOOSE(CONTROL!$C$42, 0.275, 0.275)*CHOOSE(CONTROL!$C$42, 31, 31))/1000000</f>
        <v>4.2625000000000002</v>
      </c>
      <c r="W523" s="57">
        <f>(1000*CHOOSE(CONTROL!$C$42, 0.1146, 0.1146)*CHOOSE(CONTROL!$C$42, 121.5, 121.5)*CHOOSE(CONTROL!$C$42, 31, 31))/1000000</f>
        <v>0.43164089999999994</v>
      </c>
      <c r="X523" s="57">
        <f>(31*0.1790888*245000/1000000)+(31*0.2374*100000/1000000)</f>
        <v>2.0961194359999999</v>
      </c>
      <c r="Y523" s="57"/>
      <c r="Z523" s="14"/>
      <c r="AA523" s="56"/>
      <c r="AB523" s="50">
        <f>(B523*194.205+C523*267.466+D523*133.845+E523*53.484+F523*40+G523*185+H523*0+I523*100+J523*300)/(194.205+267.466+133.845+53.484+0+40+185+100+300)</f>
        <v>28.819695763422295</v>
      </c>
      <c r="AC523" s="45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28.270324460431652</v>
      </c>
    </row>
    <row r="524" spans="1:29" ht="15.75" x14ac:dyDescent="0.25">
      <c r="A524" s="32">
        <v>56857</v>
      </c>
      <c r="B524" s="14">
        <f>CHOOSE(CONTROL!$C$42, 27.3612, 27.3612) * CHOOSE(CONTROL!$C$21, $C$9, 100%, $E$9)</f>
        <v>27.3612</v>
      </c>
      <c r="C524" s="14">
        <f>CHOOSE(CONTROL!$C$42, 27.3692, 27.3692) * CHOOSE(CONTROL!$C$21, $C$9, 100%, $E$9)</f>
        <v>27.369199999999999</v>
      </c>
      <c r="D524" s="14">
        <f>CHOOSE(CONTROL!$C$42, 27.5742, 27.5742) * CHOOSE(CONTROL!$C$21, $C$9, 100%, $E$9)</f>
        <v>27.574200000000001</v>
      </c>
      <c r="E524" s="14">
        <f>CHOOSE(CONTROL!$C$42, 27.6056, 27.6056) * CHOOSE(CONTROL!$C$21, $C$9, 100%, $E$9)</f>
        <v>27.605599999999999</v>
      </c>
      <c r="F524" s="14">
        <f>CHOOSE(CONTROL!$C$42, 27.3483, 27.3483)*CHOOSE(CONTROL!$C$21, $C$9, 100%, $E$9)</f>
        <v>27.348299999999998</v>
      </c>
      <c r="G524" s="14">
        <f>CHOOSE(CONTROL!$C$42, 27.365, 27.365)*CHOOSE(CONTROL!$C$21, $C$9, 100%, $E$9)</f>
        <v>27.364999999999998</v>
      </c>
      <c r="H524" s="14">
        <f>CHOOSE(CONTROL!$C$42, 27.5942, 27.5942) * CHOOSE(CONTROL!$C$21, $C$9, 100%, $E$9)</f>
        <v>27.594200000000001</v>
      </c>
      <c r="I524" s="14">
        <f>CHOOSE(CONTROL!$C$42, 27.4549, 27.4549)* CHOOSE(CONTROL!$C$21, $C$9, 100%, $E$9)</f>
        <v>27.454899999999999</v>
      </c>
      <c r="J524" s="14">
        <f>CHOOSE(CONTROL!$C$42, 27.3413, 27.3413)* CHOOSE(CONTROL!$C$21, $C$9, 100%, $E$9)</f>
        <v>27.3413</v>
      </c>
      <c r="K524" s="53">
        <f>CHOOSE(CONTROL!$C$42, 27.451, 27.451) * CHOOSE(CONTROL!$C$21, $C$9, 100%, $E$9)</f>
        <v>27.451000000000001</v>
      </c>
      <c r="L524" s="14">
        <f>CHOOSE(CONTROL!$C$42, 28.1812, 28.1812) * CHOOSE(CONTROL!$C$21, $C$9, 100%, $E$9)</f>
        <v>28.1812</v>
      </c>
      <c r="M524" s="14">
        <f>CHOOSE(CONTROL!$C$42, 26.7888, 26.7888) * CHOOSE(CONTROL!$C$21, $C$9, 100%, $E$9)</f>
        <v>26.788799999999998</v>
      </c>
      <c r="N524" s="14">
        <f>CHOOSE(CONTROL!$C$42, 26.8052, 26.8052) * CHOOSE(CONTROL!$C$21, $C$9, 100%, $E$9)</f>
        <v>26.805199999999999</v>
      </c>
      <c r="O524" s="14">
        <f>CHOOSE(CONTROL!$C$42, 27.0366, 27.0366) * CHOOSE(CONTROL!$C$21, $C$9, 100%, $E$9)</f>
        <v>27.0366</v>
      </c>
      <c r="P524" s="14">
        <f>CHOOSE(CONTROL!$C$42, 26.8984, 26.8984) * CHOOSE(CONTROL!$C$21, $C$9, 100%, $E$9)</f>
        <v>26.898399999999999</v>
      </c>
      <c r="Q524" s="14">
        <f>CHOOSE(CONTROL!$C$42, 27.6313, 27.6313) * CHOOSE(CONTROL!$C$21, $C$9, 100%, $E$9)</f>
        <v>27.6313</v>
      </c>
      <c r="R524" s="14">
        <f>CHOOSE(CONTROL!$C$42, 28.2873, 28.2873) * CHOOSE(CONTROL!$C$21, $C$9, 100%, $E$9)</f>
        <v>28.287299999999998</v>
      </c>
      <c r="S524" s="14">
        <f>CHOOSE(CONTROL!$C$42, 26.2807, 26.2807) * CHOOSE(CONTROL!$C$21, $C$9, 100%, $E$9)</f>
        <v>26.2807</v>
      </c>
      <c r="T5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7">
        <f>(1000*CHOOSE(CONTROL!$C$42, 695, 695)*CHOOSE(CONTROL!$C$42, 0.5599, 0.5599)*CHOOSE(CONTROL!$C$42, 31, 31))/1000000</f>
        <v>12.063045499999998</v>
      </c>
      <c r="V524" s="57">
        <f>(1000*CHOOSE(CONTROL!$C$42, 500, 500)*CHOOSE(CONTROL!$C$42, 0.275, 0.275)*CHOOSE(CONTROL!$C$42, 31, 31))/1000000</f>
        <v>4.2625000000000002</v>
      </c>
      <c r="W524" s="57">
        <f>(1000*CHOOSE(CONTROL!$C$42, 0.1146, 0.1146)*CHOOSE(CONTROL!$C$42, 121.5, 121.5)*CHOOSE(CONTROL!$C$42, 31, 31))/1000000</f>
        <v>0.43164089999999994</v>
      </c>
      <c r="X524" s="57">
        <f>(31*0.1790888*245000/1000000)+(31*0.2374*100000/1000000)</f>
        <v>2.0961194359999999</v>
      </c>
      <c r="Y524" s="57"/>
      <c r="Z524" s="14"/>
      <c r="AA524" s="56"/>
      <c r="AB524" s="50">
        <f>(B524*194.205+C524*267.466+D524*133.845+E524*53.484+F524*40+G524*185+H524*0+I524*100+J524*300)/(194.205+267.466+133.845+53.484+0+40+185+100+300)</f>
        <v>27.398332812087911</v>
      </c>
      <c r="AC524" s="45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26.877871942446042</v>
      </c>
    </row>
    <row r="525" spans="1:29" ht="15.75" x14ac:dyDescent="0.25">
      <c r="A525" s="32">
        <v>56887</v>
      </c>
      <c r="B525" s="14">
        <f>CHOOSE(CONTROL!$C$42, 25.6244, 25.6244) * CHOOSE(CONTROL!$C$21, $C$9, 100%, $E$9)</f>
        <v>25.624400000000001</v>
      </c>
      <c r="C525" s="14">
        <f>CHOOSE(CONTROL!$C$42, 25.6325, 25.6325) * CHOOSE(CONTROL!$C$21, $C$9, 100%, $E$9)</f>
        <v>25.6325</v>
      </c>
      <c r="D525" s="14">
        <f>CHOOSE(CONTROL!$C$42, 25.8374, 25.8374) * CHOOSE(CONTROL!$C$21, $C$9, 100%, $E$9)</f>
        <v>25.837399999999999</v>
      </c>
      <c r="E525" s="14">
        <f>CHOOSE(CONTROL!$C$42, 25.8689, 25.8689) * CHOOSE(CONTROL!$C$21, $C$9, 100%, $E$9)</f>
        <v>25.8689</v>
      </c>
      <c r="F525" s="14">
        <f>CHOOSE(CONTROL!$C$42, 25.6116, 25.6116)*CHOOSE(CONTROL!$C$21, $C$9, 100%, $E$9)</f>
        <v>25.611599999999999</v>
      </c>
      <c r="G525" s="14">
        <f>CHOOSE(CONTROL!$C$42, 25.6283, 25.6283)*CHOOSE(CONTROL!$C$21, $C$9, 100%, $E$9)</f>
        <v>25.628299999999999</v>
      </c>
      <c r="H525" s="14">
        <f>CHOOSE(CONTROL!$C$42, 25.8575, 25.8575) * CHOOSE(CONTROL!$C$21, $C$9, 100%, $E$9)</f>
        <v>25.857500000000002</v>
      </c>
      <c r="I525" s="14">
        <f>CHOOSE(CONTROL!$C$42, 25.7127, 25.7127)* CHOOSE(CONTROL!$C$21, $C$9, 100%, $E$9)</f>
        <v>25.712700000000002</v>
      </c>
      <c r="J525" s="14">
        <f>CHOOSE(CONTROL!$C$42, 25.6046, 25.6046)* CHOOSE(CONTROL!$C$21, $C$9, 100%, $E$9)</f>
        <v>25.604600000000001</v>
      </c>
      <c r="K525" s="53">
        <f>CHOOSE(CONTROL!$C$42, 25.7088, 25.7088) * CHOOSE(CONTROL!$C$21, $C$9, 100%, $E$9)</f>
        <v>25.7088</v>
      </c>
      <c r="L525" s="14">
        <f>CHOOSE(CONTROL!$C$42, 26.4445, 26.4445) * CHOOSE(CONTROL!$C$21, $C$9, 100%, $E$9)</f>
        <v>26.444500000000001</v>
      </c>
      <c r="M525" s="14">
        <f>CHOOSE(CONTROL!$C$42, 25.0877, 25.0877) * CHOOSE(CONTROL!$C$21, $C$9, 100%, $E$9)</f>
        <v>25.087700000000002</v>
      </c>
      <c r="N525" s="14">
        <f>CHOOSE(CONTROL!$C$42, 25.104, 25.104) * CHOOSE(CONTROL!$C$21, $C$9, 100%, $E$9)</f>
        <v>25.103999999999999</v>
      </c>
      <c r="O525" s="14">
        <f>CHOOSE(CONTROL!$C$42, 25.3354, 25.3354) * CHOOSE(CONTROL!$C$21, $C$9, 100%, $E$9)</f>
        <v>25.3354</v>
      </c>
      <c r="P525" s="14">
        <f>CHOOSE(CONTROL!$C$42, 25.1921, 25.1921) * CHOOSE(CONTROL!$C$21, $C$9, 100%, $E$9)</f>
        <v>25.1921</v>
      </c>
      <c r="Q525" s="14">
        <f>CHOOSE(CONTROL!$C$42, 25.9301, 25.9301) * CHOOSE(CONTROL!$C$21, $C$9, 100%, $E$9)</f>
        <v>25.930099999999999</v>
      </c>
      <c r="R525" s="14">
        <f>CHOOSE(CONTROL!$C$42, 26.5819, 26.5819) * CHOOSE(CONTROL!$C$21, $C$9, 100%, $E$9)</f>
        <v>26.581900000000001</v>
      </c>
      <c r="S525" s="14">
        <f>CHOOSE(CONTROL!$C$42, 24.6119, 24.6119) * CHOOSE(CONTROL!$C$21, $C$9, 100%, $E$9)</f>
        <v>24.611899999999999</v>
      </c>
      <c r="T5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7">
        <f>(1000*CHOOSE(CONTROL!$C$42, 695, 695)*CHOOSE(CONTROL!$C$42, 0.5599, 0.5599)*CHOOSE(CONTROL!$C$42, 30, 30))/1000000</f>
        <v>11.673914999999997</v>
      </c>
      <c r="V525" s="57">
        <f>(1000*CHOOSE(CONTROL!$C$42, 500, 500)*CHOOSE(CONTROL!$C$42, 0.275, 0.275)*CHOOSE(CONTROL!$C$42, 30, 30))/1000000</f>
        <v>4.125</v>
      </c>
      <c r="W525" s="57">
        <f>(1000*CHOOSE(CONTROL!$C$42, 0.1146, 0.1146)*CHOOSE(CONTROL!$C$42, 121.5, 121.5)*CHOOSE(CONTROL!$C$42, 30, 30))/1000000</f>
        <v>0.417717</v>
      </c>
      <c r="X525" s="57">
        <f>(30*0.1790888*245000/1000000)+(30*0.2374*100000/1000000)</f>
        <v>2.0285026799999999</v>
      </c>
      <c r="Y525" s="57"/>
      <c r="Z525" s="14"/>
      <c r="AA525" s="56"/>
      <c r="AB525" s="50">
        <f>(B525*194.205+C525*267.466+D525*133.845+E525*53.484+F525*40+G525*185+H525*0+I525*100+J525*300)/(194.205+267.466+133.845+53.484+0+40+185+100+300)</f>
        <v>25.661175351334382</v>
      </c>
      <c r="AC525" s="45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25.175972661870503</v>
      </c>
    </row>
    <row r="526" spans="1:29" ht="15.75" x14ac:dyDescent="0.25">
      <c r="A526" s="32">
        <v>56918</v>
      </c>
      <c r="B526" s="14">
        <f>CHOOSE(CONTROL!$C$42, 25.1026, 25.1026) * CHOOSE(CONTROL!$C$21, $C$9, 100%, $E$9)</f>
        <v>25.102599999999999</v>
      </c>
      <c r="C526" s="14">
        <f>CHOOSE(CONTROL!$C$42, 25.108, 25.108) * CHOOSE(CONTROL!$C$21, $C$9, 100%, $E$9)</f>
        <v>25.108000000000001</v>
      </c>
      <c r="D526" s="14">
        <f>CHOOSE(CONTROL!$C$42, 25.3179, 25.3179) * CHOOSE(CONTROL!$C$21, $C$9, 100%, $E$9)</f>
        <v>25.317900000000002</v>
      </c>
      <c r="E526" s="14">
        <f>CHOOSE(CONTROL!$C$42, 25.347, 25.347) * CHOOSE(CONTROL!$C$21, $C$9, 100%, $E$9)</f>
        <v>25.347000000000001</v>
      </c>
      <c r="F526" s="14">
        <f>CHOOSE(CONTROL!$C$42, 25.0918, 25.0918)*CHOOSE(CONTROL!$C$21, $C$9, 100%, $E$9)</f>
        <v>25.091799999999999</v>
      </c>
      <c r="G526" s="14">
        <f>CHOOSE(CONTROL!$C$42, 25.1082, 25.1082)*CHOOSE(CONTROL!$C$21, $C$9, 100%, $E$9)</f>
        <v>25.1082</v>
      </c>
      <c r="H526" s="14">
        <f>CHOOSE(CONTROL!$C$42, 25.3375, 25.3375) * CHOOSE(CONTROL!$C$21, $C$9, 100%, $E$9)</f>
        <v>25.337499999999999</v>
      </c>
      <c r="I526" s="14">
        <f>CHOOSE(CONTROL!$C$42, 25.1911, 25.1911)* CHOOSE(CONTROL!$C$21, $C$9, 100%, $E$9)</f>
        <v>25.191099999999999</v>
      </c>
      <c r="J526" s="14">
        <f>CHOOSE(CONTROL!$C$42, 25.0848, 25.0848)* CHOOSE(CONTROL!$C$21, $C$9, 100%, $E$9)</f>
        <v>25.084800000000001</v>
      </c>
      <c r="K526" s="53">
        <f>CHOOSE(CONTROL!$C$42, 25.1872, 25.1872) * CHOOSE(CONTROL!$C$21, $C$9, 100%, $E$9)</f>
        <v>25.187200000000001</v>
      </c>
      <c r="L526" s="14">
        <f>CHOOSE(CONTROL!$C$42, 25.9245, 25.9245) * CHOOSE(CONTROL!$C$21, $C$9, 100%, $E$9)</f>
        <v>25.924499999999998</v>
      </c>
      <c r="M526" s="14">
        <f>CHOOSE(CONTROL!$C$42, 24.5786, 24.5786) * CHOOSE(CONTROL!$C$21, $C$9, 100%, $E$9)</f>
        <v>24.578600000000002</v>
      </c>
      <c r="N526" s="14">
        <f>CHOOSE(CONTROL!$C$42, 24.5946, 24.5946) * CHOOSE(CONTROL!$C$21, $C$9, 100%, $E$9)</f>
        <v>24.5946</v>
      </c>
      <c r="O526" s="14">
        <f>CHOOSE(CONTROL!$C$42, 24.826, 24.826) * CHOOSE(CONTROL!$C$21, $C$9, 100%, $E$9)</f>
        <v>24.826000000000001</v>
      </c>
      <c r="P526" s="14">
        <f>CHOOSE(CONTROL!$C$42, 24.6811, 24.6811) * CHOOSE(CONTROL!$C$21, $C$9, 100%, $E$9)</f>
        <v>24.681100000000001</v>
      </c>
      <c r="Q526" s="14">
        <f>CHOOSE(CONTROL!$C$42, 25.4207, 25.4207) * CHOOSE(CONTROL!$C$21, $C$9, 100%, $E$9)</f>
        <v>25.4207</v>
      </c>
      <c r="R526" s="14">
        <f>CHOOSE(CONTROL!$C$42, 26.0713, 26.0713) * CHOOSE(CONTROL!$C$21, $C$9, 100%, $E$9)</f>
        <v>26.071300000000001</v>
      </c>
      <c r="S526" s="14">
        <f>CHOOSE(CONTROL!$C$42, 24.1122, 24.1122) * CHOOSE(CONTROL!$C$21, $C$9, 100%, $E$9)</f>
        <v>24.112200000000001</v>
      </c>
      <c r="T5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7">
        <f>(1000*CHOOSE(CONTROL!$C$42, 695, 695)*CHOOSE(CONTROL!$C$42, 0.5599, 0.5599)*CHOOSE(CONTROL!$C$42, 31, 31))/1000000</f>
        <v>12.063045499999998</v>
      </c>
      <c r="V526" s="57">
        <f>(1000*CHOOSE(CONTROL!$C$42, 500, 500)*CHOOSE(CONTROL!$C$42, 0.275, 0.275)*CHOOSE(CONTROL!$C$42, 31, 31))/1000000</f>
        <v>4.2625000000000002</v>
      </c>
      <c r="W526" s="57">
        <f>(1000*CHOOSE(CONTROL!$C$42, 0.1146, 0.1146)*CHOOSE(CONTROL!$C$42, 121.5, 121.5)*CHOOSE(CONTROL!$C$42, 31, 31))/1000000</f>
        <v>0.43164089999999994</v>
      </c>
      <c r="X526" s="57">
        <f>(31*0.1790888*245000/1000000)+(31*0.2374*100000/1000000)</f>
        <v>2.0961194359999999</v>
      </c>
      <c r="Y526" s="57"/>
      <c r="Z526" s="14"/>
      <c r="AA526" s="56"/>
      <c r="AB526" s="50">
        <f>(B526*131.881+C526*277.167+D526*79.08+E526*125.872+F526*40+G526*185+H526*0+I526*100+J526*300)/(131.881+277.167+79.08+125.872+0+40+185+100+300)</f>
        <v>25.145699065859567</v>
      </c>
      <c r="AC526" s="45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24.666446043165468</v>
      </c>
    </row>
    <row r="527" spans="1:29" ht="15.75" x14ac:dyDescent="0.25">
      <c r="A527" s="32">
        <v>56948</v>
      </c>
      <c r="B527" s="14">
        <f>CHOOSE(CONTROL!$C$42, 25.7633, 25.7633) * CHOOSE(CONTROL!$C$21, $C$9, 100%, $E$9)</f>
        <v>25.763300000000001</v>
      </c>
      <c r="C527" s="14">
        <f>CHOOSE(CONTROL!$C$42, 25.7683, 25.7683) * CHOOSE(CONTROL!$C$21, $C$9, 100%, $E$9)</f>
        <v>25.7683</v>
      </c>
      <c r="D527" s="14">
        <f>CHOOSE(CONTROL!$C$42, 25.8322, 25.8322) * CHOOSE(CONTROL!$C$21, $C$9, 100%, $E$9)</f>
        <v>25.8322</v>
      </c>
      <c r="E527" s="14">
        <f>CHOOSE(CONTROL!$C$42, 25.8663, 25.8663) * CHOOSE(CONTROL!$C$21, $C$9, 100%, $E$9)</f>
        <v>25.866299999999999</v>
      </c>
      <c r="F527" s="14">
        <f>CHOOSE(CONTROL!$C$42, 25.7655, 25.7655)*CHOOSE(CONTROL!$C$21, $C$9, 100%, $E$9)</f>
        <v>25.765499999999999</v>
      </c>
      <c r="G527" s="14">
        <f>CHOOSE(CONTROL!$C$42, 25.7822, 25.7822)*CHOOSE(CONTROL!$C$21, $C$9, 100%, $E$9)</f>
        <v>25.7822</v>
      </c>
      <c r="H527" s="14">
        <f>CHOOSE(CONTROL!$C$42, 25.8555, 25.8555) * CHOOSE(CONTROL!$C$21, $C$9, 100%, $E$9)</f>
        <v>25.855499999999999</v>
      </c>
      <c r="I527" s="14">
        <f>CHOOSE(CONTROL!$C$42, 25.8578, 25.8578)* CHOOSE(CONTROL!$C$21, $C$9, 100%, $E$9)</f>
        <v>25.857800000000001</v>
      </c>
      <c r="J527" s="14">
        <f>CHOOSE(CONTROL!$C$42, 25.7585, 25.7585)* CHOOSE(CONTROL!$C$21, $C$9, 100%, $E$9)</f>
        <v>25.758500000000002</v>
      </c>
      <c r="K527" s="53">
        <f>CHOOSE(CONTROL!$C$42, 25.854, 25.854) * CHOOSE(CONTROL!$C$21, $C$9, 100%, $E$9)</f>
        <v>25.853999999999999</v>
      </c>
      <c r="L527" s="14">
        <f>CHOOSE(CONTROL!$C$42, 26.4425, 26.4425) * CHOOSE(CONTROL!$C$21, $C$9, 100%, $E$9)</f>
        <v>26.442499999999999</v>
      </c>
      <c r="M527" s="14">
        <f>CHOOSE(CONTROL!$C$42, 25.2384, 25.2384) * CHOOSE(CONTROL!$C$21, $C$9, 100%, $E$9)</f>
        <v>25.238399999999999</v>
      </c>
      <c r="N527" s="14">
        <f>CHOOSE(CONTROL!$C$42, 25.2548, 25.2548) * CHOOSE(CONTROL!$C$21, $C$9, 100%, $E$9)</f>
        <v>25.254799999999999</v>
      </c>
      <c r="O527" s="14">
        <f>CHOOSE(CONTROL!$C$42, 25.3334, 25.3334) * CHOOSE(CONTROL!$C$21, $C$9, 100%, $E$9)</f>
        <v>25.333400000000001</v>
      </c>
      <c r="P527" s="14">
        <f>CHOOSE(CONTROL!$C$42, 25.3342, 25.3342) * CHOOSE(CONTROL!$C$21, $C$9, 100%, $E$9)</f>
        <v>25.334199999999999</v>
      </c>
      <c r="Q527" s="14">
        <f>CHOOSE(CONTROL!$C$42, 25.9281, 25.9281) * CHOOSE(CONTROL!$C$21, $C$9, 100%, $E$9)</f>
        <v>25.928100000000001</v>
      </c>
      <c r="R527" s="14">
        <f>CHOOSE(CONTROL!$C$42, 26.5799, 26.5799) * CHOOSE(CONTROL!$C$21, $C$9, 100%, $E$9)</f>
        <v>26.579899999999999</v>
      </c>
      <c r="S527" s="14">
        <f>CHOOSE(CONTROL!$C$42, 24.7474, 24.7474) * CHOOSE(CONTROL!$C$21, $C$9, 100%, $E$9)</f>
        <v>24.747399999999999</v>
      </c>
      <c r="T5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7">
        <f>(1000*CHOOSE(CONTROL!$C$42, 695, 695)*CHOOSE(CONTROL!$C$42, 0.5599, 0.5599)*CHOOSE(CONTROL!$C$42, 30, 30))/1000000</f>
        <v>11.673914999999997</v>
      </c>
      <c r="V527" s="57">
        <f>(1000*CHOOSE(CONTROL!$C$42, 500, 500)*CHOOSE(CONTROL!$C$42, 0.275, 0.275)*CHOOSE(CONTROL!$C$42, 30, 30))/1000000</f>
        <v>4.125</v>
      </c>
      <c r="W527" s="57">
        <f>(1000*CHOOSE(CONTROL!$C$42, 0.1146, 0.1146)*CHOOSE(CONTROL!$C$42, 121.5, 121.5)*CHOOSE(CONTROL!$C$42, 30, 30))/1000000</f>
        <v>0.417717</v>
      </c>
      <c r="X527" s="57">
        <f>(30*0.1790888*100000/1000000)+(30*0.2374*100000/1000000)</f>
        <v>1.2494664</v>
      </c>
      <c r="Y527" s="57"/>
      <c r="Z527" s="14"/>
      <c r="AA527" s="56"/>
      <c r="AB527" s="50">
        <f>(B527*122.58+C527*297.941+D527*89.177+E527*40.302+F527*40+G527*160+H527*0+I527*100+J527*300)/(122.58+297.941+89.177+40.302+0+40+160+100+300)</f>
        <v>25.783219222869562</v>
      </c>
      <c r="AC527" s="45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25.296185611510793</v>
      </c>
    </row>
    <row r="528" spans="1:29" ht="15.75" x14ac:dyDescent="0.25">
      <c r="A528" s="32">
        <v>56979</v>
      </c>
      <c r="B528" s="14">
        <f>CHOOSE(CONTROL!$C$42, 27.5191, 27.5191) * CHOOSE(CONTROL!$C$21, $C$9, 100%, $E$9)</f>
        <v>27.519100000000002</v>
      </c>
      <c r="C528" s="14">
        <f>CHOOSE(CONTROL!$C$42, 27.5242, 27.5242) * CHOOSE(CONTROL!$C$21, $C$9, 100%, $E$9)</f>
        <v>27.5242</v>
      </c>
      <c r="D528" s="14">
        <f>CHOOSE(CONTROL!$C$42, 27.588, 27.588) * CHOOSE(CONTROL!$C$21, $C$9, 100%, $E$9)</f>
        <v>27.588000000000001</v>
      </c>
      <c r="E528" s="14">
        <f>CHOOSE(CONTROL!$C$42, 27.6221, 27.6221) * CHOOSE(CONTROL!$C$21, $C$9, 100%, $E$9)</f>
        <v>27.6221</v>
      </c>
      <c r="F528" s="14">
        <f>CHOOSE(CONTROL!$C$42, 27.5234, 27.5234)*CHOOSE(CONTROL!$C$21, $C$9, 100%, $E$9)</f>
        <v>27.523399999999999</v>
      </c>
      <c r="G528" s="14">
        <f>CHOOSE(CONTROL!$C$42, 27.5407, 27.5407)*CHOOSE(CONTROL!$C$21, $C$9, 100%, $E$9)</f>
        <v>27.540700000000001</v>
      </c>
      <c r="H528" s="14">
        <f>CHOOSE(CONTROL!$C$42, 27.6113, 27.6113) * CHOOSE(CONTROL!$C$21, $C$9, 100%, $E$9)</f>
        <v>27.6113</v>
      </c>
      <c r="I528" s="14">
        <f>CHOOSE(CONTROL!$C$42, 27.6192, 27.6192)* CHOOSE(CONTROL!$C$21, $C$9, 100%, $E$9)</f>
        <v>27.619199999999999</v>
      </c>
      <c r="J528" s="14">
        <f>CHOOSE(CONTROL!$C$42, 27.5164, 27.5164)* CHOOSE(CONTROL!$C$21, $C$9, 100%, $E$9)</f>
        <v>27.516400000000001</v>
      </c>
      <c r="K528" s="53">
        <f>CHOOSE(CONTROL!$C$42, 27.6153, 27.6153) * CHOOSE(CONTROL!$C$21, $C$9, 100%, $E$9)</f>
        <v>27.615300000000001</v>
      </c>
      <c r="L528" s="14">
        <f>CHOOSE(CONTROL!$C$42, 28.1983, 28.1983) * CHOOSE(CONTROL!$C$21, $C$9, 100%, $E$9)</f>
        <v>28.1983</v>
      </c>
      <c r="M528" s="14">
        <f>CHOOSE(CONTROL!$C$42, 26.9603, 26.9603) * CHOOSE(CONTROL!$C$21, $C$9, 100%, $E$9)</f>
        <v>26.9603</v>
      </c>
      <c r="N528" s="14">
        <f>CHOOSE(CONTROL!$C$42, 26.9772, 26.9772) * CHOOSE(CONTROL!$C$21, $C$9, 100%, $E$9)</f>
        <v>26.9772</v>
      </c>
      <c r="O528" s="14">
        <f>CHOOSE(CONTROL!$C$42, 27.0533, 27.0533) * CHOOSE(CONTROL!$C$21, $C$9, 100%, $E$9)</f>
        <v>27.0533</v>
      </c>
      <c r="P528" s="14">
        <f>CHOOSE(CONTROL!$C$42, 27.0594, 27.0594) * CHOOSE(CONTROL!$C$21, $C$9, 100%, $E$9)</f>
        <v>27.0594</v>
      </c>
      <c r="Q528" s="14">
        <f>CHOOSE(CONTROL!$C$42, 27.648, 27.648) * CHOOSE(CONTROL!$C$21, $C$9, 100%, $E$9)</f>
        <v>27.648</v>
      </c>
      <c r="R528" s="14">
        <f>CHOOSE(CONTROL!$C$42, 28.3041, 28.3041) * CHOOSE(CONTROL!$C$21, $C$9, 100%, $E$9)</f>
        <v>28.304099999999998</v>
      </c>
      <c r="S528" s="14">
        <f>CHOOSE(CONTROL!$C$42, 26.4346, 26.4346) * CHOOSE(CONTROL!$C$21, $C$9, 100%, $E$9)</f>
        <v>26.4346</v>
      </c>
      <c r="T5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7">
        <f>(1000*CHOOSE(CONTROL!$C$42, 695, 695)*CHOOSE(CONTROL!$C$42, 0.5599, 0.5599)*CHOOSE(CONTROL!$C$42, 31, 31))/1000000</f>
        <v>12.063045499999998</v>
      </c>
      <c r="V528" s="57">
        <f>(1000*CHOOSE(CONTROL!$C$42, 500, 500)*CHOOSE(CONTROL!$C$42, 0.275, 0.275)*CHOOSE(CONTROL!$C$42, 31, 31))/1000000</f>
        <v>4.2625000000000002</v>
      </c>
      <c r="W528" s="57">
        <f>(1000*CHOOSE(CONTROL!$C$42, 0.1146, 0.1146)*CHOOSE(CONTROL!$C$42, 121.5, 121.5)*CHOOSE(CONTROL!$C$42, 31, 31))/1000000</f>
        <v>0.43164089999999994</v>
      </c>
      <c r="X528" s="57">
        <f>(31*0.1790888*100000/1000000)+(31*0.2374*100000/1000000)</f>
        <v>1.2911152800000001</v>
      </c>
      <c r="Y528" s="57"/>
      <c r="Z528" s="14"/>
      <c r="AA528" s="56"/>
      <c r="AB528" s="50">
        <f>(B528*122.58+C528*297.941+D528*89.177+E528*40.302+F528*40+G528*160+H528*0+I528*100+J528*300)/(122.58+297.941+89.177+40.302+0+40+160+100+300)</f>
        <v>27.540528609043477</v>
      </c>
      <c r="AC528" s="45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27.017682733812947</v>
      </c>
    </row>
    <row r="529" spans="1:29" ht="15.75" x14ac:dyDescent="0.25">
      <c r="A529" s="32">
        <v>57010</v>
      </c>
      <c r="B529" s="14">
        <f>CHOOSE(CONTROL!$C$42, 29.7726, 29.7726) * CHOOSE(CONTROL!$C$21, $C$9, 100%, $E$9)</f>
        <v>29.772600000000001</v>
      </c>
      <c r="C529" s="14">
        <f>CHOOSE(CONTROL!$C$42, 29.7776, 29.7776) * CHOOSE(CONTROL!$C$21, $C$9, 100%, $E$9)</f>
        <v>29.7776</v>
      </c>
      <c r="D529" s="14">
        <f>CHOOSE(CONTROL!$C$42, 29.8362, 29.8362) * CHOOSE(CONTROL!$C$21, $C$9, 100%, $E$9)</f>
        <v>29.836200000000002</v>
      </c>
      <c r="E529" s="14">
        <f>CHOOSE(CONTROL!$C$42, 29.8703, 29.8703) * CHOOSE(CONTROL!$C$21, $C$9, 100%, $E$9)</f>
        <v>29.8703</v>
      </c>
      <c r="F529" s="14">
        <f>CHOOSE(CONTROL!$C$42, 29.7717, 29.7717)*CHOOSE(CONTROL!$C$21, $C$9, 100%, $E$9)</f>
        <v>29.771699999999999</v>
      </c>
      <c r="G529" s="14">
        <f>CHOOSE(CONTROL!$C$42, 29.788, 29.788)*CHOOSE(CONTROL!$C$21, $C$9, 100%, $E$9)</f>
        <v>29.788</v>
      </c>
      <c r="H529" s="14">
        <f>CHOOSE(CONTROL!$C$42, 29.8595, 29.8595) * CHOOSE(CONTROL!$C$21, $C$9, 100%, $E$9)</f>
        <v>29.859500000000001</v>
      </c>
      <c r="I529" s="14">
        <f>CHOOSE(CONTROL!$C$42, 29.876, 29.876)* CHOOSE(CONTROL!$C$21, $C$9, 100%, $E$9)</f>
        <v>29.876000000000001</v>
      </c>
      <c r="J529" s="14">
        <f>CHOOSE(CONTROL!$C$42, 29.7647, 29.7647)* CHOOSE(CONTROL!$C$21, $C$9, 100%, $E$9)</f>
        <v>29.764700000000001</v>
      </c>
      <c r="K529" s="53">
        <f>CHOOSE(CONTROL!$C$42, 29.8721, 29.8721) * CHOOSE(CONTROL!$C$21, $C$9, 100%, $E$9)</f>
        <v>29.8721</v>
      </c>
      <c r="L529" s="14">
        <f>CHOOSE(CONTROL!$C$42, 30.4465, 30.4465) * CHOOSE(CONTROL!$C$21, $C$9, 100%, $E$9)</f>
        <v>30.4465</v>
      </c>
      <c r="M529" s="14">
        <f>CHOOSE(CONTROL!$C$42, 29.1625, 29.1625) * CHOOSE(CONTROL!$C$21, $C$9, 100%, $E$9)</f>
        <v>29.162500000000001</v>
      </c>
      <c r="N529" s="14">
        <f>CHOOSE(CONTROL!$C$42, 29.1785, 29.1785) * CHOOSE(CONTROL!$C$21, $C$9, 100%, $E$9)</f>
        <v>29.1785</v>
      </c>
      <c r="O529" s="14">
        <f>CHOOSE(CONTROL!$C$42, 29.2554, 29.2554) * CHOOSE(CONTROL!$C$21, $C$9, 100%, $E$9)</f>
        <v>29.255400000000002</v>
      </c>
      <c r="P529" s="14">
        <f>CHOOSE(CONTROL!$C$42, 29.2698, 29.2698) * CHOOSE(CONTROL!$C$21, $C$9, 100%, $E$9)</f>
        <v>29.2698</v>
      </c>
      <c r="Q529" s="14">
        <f>CHOOSE(CONTROL!$C$42, 29.8501, 29.8501) * CHOOSE(CONTROL!$C$21, $C$9, 100%, $E$9)</f>
        <v>29.850100000000001</v>
      </c>
      <c r="R529" s="14">
        <f>CHOOSE(CONTROL!$C$42, 30.5117, 30.5117) * CHOOSE(CONTROL!$C$21, $C$9, 100%, $E$9)</f>
        <v>30.511700000000001</v>
      </c>
      <c r="S529" s="14">
        <f>CHOOSE(CONTROL!$C$42, 28.5999, 28.5999) * CHOOSE(CONTROL!$C$21, $C$9, 100%, $E$9)</f>
        <v>28.599900000000002</v>
      </c>
      <c r="T5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7">
        <f>(1000*CHOOSE(CONTROL!$C$42, 695, 695)*CHOOSE(CONTROL!$C$42, 0.5599, 0.5599)*CHOOSE(CONTROL!$C$42, 31, 31))/1000000</f>
        <v>12.063045499999998</v>
      </c>
      <c r="V529" s="57">
        <f>(1000*CHOOSE(CONTROL!$C$42, 500, 500)*CHOOSE(CONTROL!$C$42, 0.275, 0.275)*CHOOSE(CONTROL!$C$42, 31, 31))/1000000</f>
        <v>4.2625000000000002</v>
      </c>
      <c r="W529" s="57">
        <f>(1000*CHOOSE(CONTROL!$C$42, 0.1146, 0.1146)*CHOOSE(CONTROL!$C$42, 121.5, 121.5)*CHOOSE(CONTROL!$C$42, 31, 31))/1000000</f>
        <v>0.43164089999999994</v>
      </c>
      <c r="X529" s="57">
        <f>(31*0.1790888*100000/1000000)+(31*0.2374*100000/1000000)</f>
        <v>1.2911152800000001</v>
      </c>
      <c r="Y529" s="57"/>
      <c r="Z529" s="14"/>
      <c r="AA529" s="56"/>
      <c r="AB529" s="50">
        <f>(B529*122.58+C529*297.941+D529*89.177+E529*40.302+F529*40+G529*160+H529*0+I529*100+J529*300)/(122.58+297.941+89.177+40.302+0+40+160+100+300)</f>
        <v>29.791292928347819</v>
      </c>
      <c r="AC529" s="45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29.220965467625899</v>
      </c>
    </row>
    <row r="530" spans="1:29" ht="15.75" x14ac:dyDescent="0.25">
      <c r="A530" s="32">
        <v>57038</v>
      </c>
      <c r="B530" s="14">
        <f>CHOOSE(CONTROL!$C$42, 30.3024, 30.3024) * CHOOSE(CONTROL!$C$21, $C$9, 100%, $E$9)</f>
        <v>30.302399999999999</v>
      </c>
      <c r="C530" s="14">
        <f>CHOOSE(CONTROL!$C$42, 30.3074, 30.3074) * CHOOSE(CONTROL!$C$21, $C$9, 100%, $E$9)</f>
        <v>30.307400000000001</v>
      </c>
      <c r="D530" s="14">
        <f>CHOOSE(CONTROL!$C$42, 30.366, 30.366) * CHOOSE(CONTROL!$C$21, $C$9, 100%, $E$9)</f>
        <v>30.366</v>
      </c>
      <c r="E530" s="14">
        <f>CHOOSE(CONTROL!$C$42, 30.4002, 30.4002) * CHOOSE(CONTROL!$C$21, $C$9, 100%, $E$9)</f>
        <v>30.400200000000002</v>
      </c>
      <c r="F530" s="14">
        <f>CHOOSE(CONTROL!$C$42, 30.3015, 30.3015)*CHOOSE(CONTROL!$C$21, $C$9, 100%, $E$9)</f>
        <v>30.301500000000001</v>
      </c>
      <c r="G530" s="14">
        <f>CHOOSE(CONTROL!$C$42, 30.3178, 30.3178)*CHOOSE(CONTROL!$C$21, $C$9, 100%, $E$9)</f>
        <v>30.317799999999998</v>
      </c>
      <c r="H530" s="14">
        <f>CHOOSE(CONTROL!$C$42, 30.3894, 30.3894) * CHOOSE(CONTROL!$C$21, $C$9, 100%, $E$9)</f>
        <v>30.389399999999998</v>
      </c>
      <c r="I530" s="14">
        <f>CHOOSE(CONTROL!$C$42, 30.4075, 30.4075)* CHOOSE(CONTROL!$C$21, $C$9, 100%, $E$9)</f>
        <v>30.407499999999999</v>
      </c>
      <c r="J530" s="14">
        <f>CHOOSE(CONTROL!$C$42, 30.2945, 30.2945)* CHOOSE(CONTROL!$C$21, $C$9, 100%, $E$9)</f>
        <v>30.294499999999999</v>
      </c>
      <c r="K530" s="53">
        <f>CHOOSE(CONTROL!$C$42, 30.4036, 30.4036) * CHOOSE(CONTROL!$C$21, $C$9, 100%, $E$9)</f>
        <v>30.403600000000001</v>
      </c>
      <c r="L530" s="14">
        <f>CHOOSE(CONTROL!$C$42, 30.9764, 30.9764) * CHOOSE(CONTROL!$C$21, $C$9, 100%, $E$9)</f>
        <v>30.976400000000002</v>
      </c>
      <c r="M530" s="14">
        <f>CHOOSE(CONTROL!$C$42, 29.6814, 29.6814) * CHOOSE(CONTROL!$C$21, $C$9, 100%, $E$9)</f>
        <v>29.6814</v>
      </c>
      <c r="N530" s="14">
        <f>CHOOSE(CONTROL!$C$42, 29.6975, 29.6975) * CHOOSE(CONTROL!$C$21, $C$9, 100%, $E$9)</f>
        <v>29.697500000000002</v>
      </c>
      <c r="O530" s="14">
        <f>CHOOSE(CONTROL!$C$42, 29.7744, 29.7744) * CHOOSE(CONTROL!$C$21, $C$9, 100%, $E$9)</f>
        <v>29.7744</v>
      </c>
      <c r="P530" s="14">
        <f>CHOOSE(CONTROL!$C$42, 29.7903, 29.7903) * CHOOSE(CONTROL!$C$21, $C$9, 100%, $E$9)</f>
        <v>29.790299999999998</v>
      </c>
      <c r="Q530" s="14">
        <f>CHOOSE(CONTROL!$C$42, 30.3691, 30.3691) * CHOOSE(CONTROL!$C$21, $C$9, 100%, $E$9)</f>
        <v>30.3691</v>
      </c>
      <c r="R530" s="14">
        <f>CHOOSE(CONTROL!$C$42, 31.032, 31.032) * CHOOSE(CONTROL!$C$21, $C$9, 100%, $E$9)</f>
        <v>31.032</v>
      </c>
      <c r="S530" s="14">
        <f>CHOOSE(CONTROL!$C$42, 29.109, 29.109) * CHOOSE(CONTROL!$C$21, $C$9, 100%, $E$9)</f>
        <v>29.109000000000002</v>
      </c>
      <c r="T53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7">
        <f>(1000*CHOOSE(CONTROL!$C$42, 695, 695)*CHOOSE(CONTROL!$C$42, 0.5599, 0.5599)*CHOOSE(CONTROL!$C$42, 29, 29))/1000000</f>
        <v>11.284784499999999</v>
      </c>
      <c r="V530" s="57">
        <f>(1000*CHOOSE(CONTROL!$C$42, 500, 500)*CHOOSE(CONTROL!$C$42, 0.275, 0.275)*CHOOSE(CONTROL!$C$42, 29, 29))/1000000</f>
        <v>3.9874999999999998</v>
      </c>
      <c r="W530" s="57">
        <f>(1000*CHOOSE(CONTROL!$C$42, 0.1146, 0.1146)*CHOOSE(CONTROL!$C$42, 121.5, 121.5)*CHOOSE(CONTROL!$C$42, 29, 29))/1000000</f>
        <v>0.40379309999999996</v>
      </c>
      <c r="X530" s="57">
        <f>(29*0.1790888*100000/1000000)+(29*0.2374*100000/1000000)</f>
        <v>1.2078175199999999</v>
      </c>
      <c r="Y530" s="57"/>
      <c r="Z530" s="14"/>
      <c r="AA530" s="56"/>
      <c r="AB530" s="50">
        <f>(B530*122.58+C530*297.941+D530*89.177+E530*40.302+F530*40+G530*160+H530*0+I530*100+J530*300)/(122.58+297.941+89.177+40.302+0+40+160+100+300)</f>
        <v>30.321244258956526</v>
      </c>
      <c r="AC530" s="45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29.740146762589927</v>
      </c>
    </row>
    <row r="531" spans="1:29" ht="15.75" x14ac:dyDescent="0.25">
      <c r="A531" s="32">
        <v>57070</v>
      </c>
      <c r="B531" s="14">
        <f>CHOOSE(CONTROL!$C$42, 29.4423, 29.4423) * CHOOSE(CONTROL!$C$21, $C$9, 100%, $E$9)</f>
        <v>29.442299999999999</v>
      </c>
      <c r="C531" s="14">
        <f>CHOOSE(CONTROL!$C$42, 29.4474, 29.4474) * CHOOSE(CONTROL!$C$21, $C$9, 100%, $E$9)</f>
        <v>29.447399999999998</v>
      </c>
      <c r="D531" s="14">
        <f>CHOOSE(CONTROL!$C$42, 29.506, 29.506) * CHOOSE(CONTROL!$C$21, $C$9, 100%, $E$9)</f>
        <v>29.506</v>
      </c>
      <c r="E531" s="14">
        <f>CHOOSE(CONTROL!$C$42, 29.5401, 29.5401) * CHOOSE(CONTROL!$C$21, $C$9, 100%, $E$9)</f>
        <v>29.540099999999999</v>
      </c>
      <c r="F531" s="14">
        <f>CHOOSE(CONTROL!$C$42, 29.4409, 29.4409)*CHOOSE(CONTROL!$C$21, $C$9, 100%, $E$9)</f>
        <v>29.440899999999999</v>
      </c>
      <c r="G531" s="14">
        <f>CHOOSE(CONTROL!$C$42, 29.4572, 29.4572)*CHOOSE(CONTROL!$C$21, $C$9, 100%, $E$9)</f>
        <v>29.4572</v>
      </c>
      <c r="H531" s="14">
        <f>CHOOSE(CONTROL!$C$42, 29.5293, 29.5293) * CHOOSE(CONTROL!$C$21, $C$9, 100%, $E$9)</f>
        <v>29.529299999999999</v>
      </c>
      <c r="I531" s="14">
        <f>CHOOSE(CONTROL!$C$42, 29.5448, 29.5448)* CHOOSE(CONTROL!$C$21, $C$9, 100%, $E$9)</f>
        <v>29.544799999999999</v>
      </c>
      <c r="J531" s="14">
        <f>CHOOSE(CONTROL!$C$42, 29.4339, 29.4339)* CHOOSE(CONTROL!$C$21, $C$9, 100%, $E$9)</f>
        <v>29.433900000000001</v>
      </c>
      <c r="K531" s="53">
        <f>CHOOSE(CONTROL!$C$42, 29.5409, 29.5409) * CHOOSE(CONTROL!$C$21, $C$9, 100%, $E$9)</f>
        <v>29.540900000000001</v>
      </c>
      <c r="L531" s="14">
        <f>CHOOSE(CONTROL!$C$42, 30.1163, 30.1163) * CHOOSE(CONTROL!$C$21, $C$9, 100%, $E$9)</f>
        <v>30.116299999999999</v>
      </c>
      <c r="M531" s="14">
        <f>CHOOSE(CONTROL!$C$42, 28.8385, 28.8385) * CHOOSE(CONTROL!$C$21, $C$9, 100%, $E$9)</f>
        <v>28.8385</v>
      </c>
      <c r="N531" s="14">
        <f>CHOOSE(CONTROL!$C$42, 28.8544, 28.8544) * CHOOSE(CONTROL!$C$21, $C$9, 100%, $E$9)</f>
        <v>28.854399999999998</v>
      </c>
      <c r="O531" s="14">
        <f>CHOOSE(CONTROL!$C$42, 28.932, 28.932) * CHOOSE(CONTROL!$C$21, $C$9, 100%, $E$9)</f>
        <v>28.931999999999999</v>
      </c>
      <c r="P531" s="14">
        <f>CHOOSE(CONTROL!$C$42, 28.9453, 28.9453) * CHOOSE(CONTROL!$C$21, $C$9, 100%, $E$9)</f>
        <v>28.9453</v>
      </c>
      <c r="Q531" s="14">
        <f>CHOOSE(CONTROL!$C$42, 29.5267, 29.5267) * CHOOSE(CONTROL!$C$21, $C$9, 100%, $E$9)</f>
        <v>29.526700000000002</v>
      </c>
      <c r="R531" s="14">
        <f>CHOOSE(CONTROL!$C$42, 30.1875, 30.1875) * CHOOSE(CONTROL!$C$21, $C$9, 100%, $E$9)</f>
        <v>30.1875</v>
      </c>
      <c r="S531" s="14">
        <f>CHOOSE(CONTROL!$C$42, 28.2826, 28.2826) * CHOOSE(CONTROL!$C$21, $C$9, 100%, $E$9)</f>
        <v>28.282599999999999</v>
      </c>
      <c r="T5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7">
        <f>(1000*CHOOSE(CONTROL!$C$42, 695, 695)*CHOOSE(CONTROL!$C$42, 0.5599, 0.5599)*CHOOSE(CONTROL!$C$42, 31, 31))/1000000</f>
        <v>12.063045499999998</v>
      </c>
      <c r="V531" s="57">
        <f>(1000*CHOOSE(CONTROL!$C$42, 500, 500)*CHOOSE(CONTROL!$C$42, 0.275, 0.275)*CHOOSE(CONTROL!$C$42, 31, 31))/1000000</f>
        <v>4.2625000000000002</v>
      </c>
      <c r="W531" s="57">
        <f>(1000*CHOOSE(CONTROL!$C$42, 0.1146, 0.1146)*CHOOSE(CONTROL!$C$42, 121.5, 121.5)*CHOOSE(CONTROL!$C$42, 31, 31))/1000000</f>
        <v>0.43164089999999994</v>
      </c>
      <c r="X531" s="57">
        <f>(31*0.1790888*100000/1000000)+(31*0.2374*100000/1000000)</f>
        <v>1.2911152800000001</v>
      </c>
      <c r="Y531" s="57"/>
      <c r="Z531" s="14"/>
      <c r="AA531" s="56"/>
      <c r="AB531" s="50">
        <f>(B531*122.58+C531*297.941+D531*89.177+E531*40.302+F531*40+G531*160+H531*0+I531*100+J531*300)/(122.58+297.941+89.177+40.302+0+40+160+100+300)</f>
        <v>29.460734443130431</v>
      </c>
      <c r="AC531" s="45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28.897159712230213</v>
      </c>
    </row>
    <row r="532" spans="1:29" ht="15.75" x14ac:dyDescent="0.25">
      <c r="A532" s="32">
        <v>57100</v>
      </c>
      <c r="B532" s="14">
        <f>CHOOSE(CONTROL!$C$42, 29.3554, 29.3554) * CHOOSE(CONTROL!$C$21, $C$9, 100%, $E$9)</f>
        <v>29.355399999999999</v>
      </c>
      <c r="C532" s="14">
        <f>CHOOSE(CONTROL!$C$42, 29.3599, 29.3599) * CHOOSE(CONTROL!$C$21, $C$9, 100%, $E$9)</f>
        <v>29.3599</v>
      </c>
      <c r="D532" s="14">
        <f>CHOOSE(CONTROL!$C$42, 29.568, 29.568) * CHOOSE(CONTROL!$C$21, $C$9, 100%, $E$9)</f>
        <v>29.568000000000001</v>
      </c>
      <c r="E532" s="14">
        <f>CHOOSE(CONTROL!$C$42, 29.6001, 29.6001) * CHOOSE(CONTROL!$C$21, $C$9, 100%, $E$9)</f>
        <v>29.600100000000001</v>
      </c>
      <c r="F532" s="14">
        <f>CHOOSE(CONTROL!$C$42, 29.3427, 29.3427)*CHOOSE(CONTROL!$C$21, $C$9, 100%, $E$9)</f>
        <v>29.342700000000001</v>
      </c>
      <c r="G532" s="14">
        <f>CHOOSE(CONTROL!$C$42, 29.3587, 29.3587)*CHOOSE(CONTROL!$C$21, $C$9, 100%, $E$9)</f>
        <v>29.358699999999999</v>
      </c>
      <c r="H532" s="14">
        <f>CHOOSE(CONTROL!$C$42, 29.5899, 29.5899) * CHOOSE(CONTROL!$C$21, $C$9, 100%, $E$9)</f>
        <v>29.5899</v>
      </c>
      <c r="I532" s="14">
        <f>CHOOSE(CONTROL!$C$42, 29.4568, 29.4568)* CHOOSE(CONTROL!$C$21, $C$9, 100%, $E$9)</f>
        <v>29.456800000000001</v>
      </c>
      <c r="J532" s="14">
        <f>CHOOSE(CONTROL!$C$42, 29.3357, 29.3357)* CHOOSE(CONTROL!$C$21, $C$9, 100%, $E$9)</f>
        <v>29.335699999999999</v>
      </c>
      <c r="K532" s="53">
        <f>CHOOSE(CONTROL!$C$42, 29.4529, 29.4529) * CHOOSE(CONTROL!$C$21, $C$9, 100%, $E$9)</f>
        <v>29.4529</v>
      </c>
      <c r="L532" s="14">
        <f>CHOOSE(CONTROL!$C$42, 30.1769, 30.1769) * CHOOSE(CONTROL!$C$21, $C$9, 100%, $E$9)</f>
        <v>30.1769</v>
      </c>
      <c r="M532" s="14">
        <f>CHOOSE(CONTROL!$C$42, 28.7424, 28.7424) * CHOOSE(CONTROL!$C$21, $C$9, 100%, $E$9)</f>
        <v>28.7424</v>
      </c>
      <c r="N532" s="14">
        <f>CHOOSE(CONTROL!$C$42, 28.758, 28.758) * CHOOSE(CONTROL!$C$21, $C$9, 100%, $E$9)</f>
        <v>28.757999999999999</v>
      </c>
      <c r="O532" s="14">
        <f>CHOOSE(CONTROL!$C$42, 28.9913, 28.9913) * CHOOSE(CONTROL!$C$21, $C$9, 100%, $E$9)</f>
        <v>28.991299999999999</v>
      </c>
      <c r="P532" s="14">
        <f>CHOOSE(CONTROL!$C$42, 28.8592, 28.8592) * CHOOSE(CONTROL!$C$21, $C$9, 100%, $E$9)</f>
        <v>28.859200000000001</v>
      </c>
      <c r="Q532" s="14">
        <f>CHOOSE(CONTROL!$C$42, 29.586, 29.586) * CHOOSE(CONTROL!$C$21, $C$9, 100%, $E$9)</f>
        <v>29.585999999999999</v>
      </c>
      <c r="R532" s="14">
        <f>CHOOSE(CONTROL!$C$42, 30.247, 30.247) * CHOOSE(CONTROL!$C$21, $C$9, 100%, $E$9)</f>
        <v>30.247</v>
      </c>
      <c r="S532" s="14">
        <f>CHOOSE(CONTROL!$C$42, 28.1983, 28.1983) * CHOOSE(CONTROL!$C$21, $C$9, 100%, $E$9)</f>
        <v>28.1983</v>
      </c>
      <c r="T5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7">
        <f>(1000*CHOOSE(CONTROL!$C$42, 695, 695)*CHOOSE(CONTROL!$C$42, 0.5599, 0.5599)*CHOOSE(CONTROL!$C$42, 30, 30))/1000000</f>
        <v>11.673914999999997</v>
      </c>
      <c r="V532" s="57">
        <f>(1000*CHOOSE(CONTROL!$C$42, 500, 500)*CHOOSE(CONTROL!$C$42, 0.275, 0.275)*CHOOSE(CONTROL!$C$42, 30, 30))/1000000</f>
        <v>4.125</v>
      </c>
      <c r="W532" s="57">
        <f>(1000*CHOOSE(CONTROL!$C$42, 0.1146, 0.1146)*CHOOSE(CONTROL!$C$42, 121.5, 121.5)*CHOOSE(CONTROL!$C$42, 30, 30))/1000000</f>
        <v>0.417717</v>
      </c>
      <c r="X532" s="57">
        <f>(30*0.1790888*245000/1000000)+(30*0.2374*100000/1000000)</f>
        <v>2.0285026799999999</v>
      </c>
      <c r="Y532" s="57"/>
      <c r="Z532" s="14"/>
      <c r="AA532" s="56"/>
      <c r="AB532" s="50">
        <f>(B532*141.293+C532*267.993+D532*115.016+E532*89.698+F532*40+G532*185+H532*0+I532*100+J532*300)/(141.293+267.993+115.016+89.698+0+40+185+100+300)</f>
        <v>29.397320880306694</v>
      </c>
      <c r="AC532" s="45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28.832632374100719</v>
      </c>
    </row>
    <row r="533" spans="1:29" ht="15.75" x14ac:dyDescent="0.25">
      <c r="A533" s="32">
        <v>57131</v>
      </c>
      <c r="B533" s="14">
        <f>CHOOSE(CONTROL!$C$42, 29.6158, 29.6158) * CHOOSE(CONTROL!$C$21, $C$9, 100%, $E$9)</f>
        <v>29.6158</v>
      </c>
      <c r="C533" s="14">
        <f>CHOOSE(CONTROL!$C$42, 29.6238, 29.6238) * CHOOSE(CONTROL!$C$21, $C$9, 100%, $E$9)</f>
        <v>29.623799999999999</v>
      </c>
      <c r="D533" s="14">
        <f>CHOOSE(CONTROL!$C$42, 29.8288, 29.8288) * CHOOSE(CONTROL!$C$21, $C$9, 100%, $E$9)</f>
        <v>29.828800000000001</v>
      </c>
      <c r="E533" s="14">
        <f>CHOOSE(CONTROL!$C$42, 29.8603, 29.8603) * CHOOSE(CONTROL!$C$21, $C$9, 100%, $E$9)</f>
        <v>29.860299999999999</v>
      </c>
      <c r="F533" s="14">
        <f>CHOOSE(CONTROL!$C$42, 29.602, 29.602)*CHOOSE(CONTROL!$C$21, $C$9, 100%, $E$9)</f>
        <v>29.602</v>
      </c>
      <c r="G533" s="14">
        <f>CHOOSE(CONTROL!$C$42, 29.6184, 29.6184)*CHOOSE(CONTROL!$C$21, $C$9, 100%, $E$9)</f>
        <v>29.618400000000001</v>
      </c>
      <c r="H533" s="14">
        <f>CHOOSE(CONTROL!$C$42, 29.8489, 29.8489) * CHOOSE(CONTROL!$C$21, $C$9, 100%, $E$9)</f>
        <v>29.8489</v>
      </c>
      <c r="I533" s="14">
        <f>CHOOSE(CONTROL!$C$42, 29.7166, 29.7166)* CHOOSE(CONTROL!$C$21, $C$9, 100%, $E$9)</f>
        <v>29.7166</v>
      </c>
      <c r="J533" s="14">
        <f>CHOOSE(CONTROL!$C$42, 29.595, 29.595)* CHOOSE(CONTROL!$C$21, $C$9, 100%, $E$9)</f>
        <v>29.594999999999999</v>
      </c>
      <c r="K533" s="53">
        <f>CHOOSE(CONTROL!$C$42, 29.7127, 29.7127) * CHOOSE(CONTROL!$C$21, $C$9, 100%, $E$9)</f>
        <v>29.712700000000002</v>
      </c>
      <c r="L533" s="14">
        <f>CHOOSE(CONTROL!$C$42, 30.4359, 30.4359) * CHOOSE(CONTROL!$C$21, $C$9, 100%, $E$9)</f>
        <v>30.4359</v>
      </c>
      <c r="M533" s="14">
        <f>CHOOSE(CONTROL!$C$42, 28.9963, 28.9963) * CHOOSE(CONTROL!$C$21, $C$9, 100%, $E$9)</f>
        <v>28.996300000000002</v>
      </c>
      <c r="N533" s="14">
        <f>CHOOSE(CONTROL!$C$42, 29.0124, 29.0124) * CHOOSE(CONTROL!$C$21, $C$9, 100%, $E$9)</f>
        <v>29.0124</v>
      </c>
      <c r="O533" s="14">
        <f>CHOOSE(CONTROL!$C$42, 29.245, 29.245) * CHOOSE(CONTROL!$C$21, $C$9, 100%, $E$9)</f>
        <v>29.245000000000001</v>
      </c>
      <c r="P533" s="14">
        <f>CHOOSE(CONTROL!$C$42, 29.1136, 29.1136) * CHOOSE(CONTROL!$C$21, $C$9, 100%, $E$9)</f>
        <v>29.113600000000002</v>
      </c>
      <c r="Q533" s="14">
        <f>CHOOSE(CONTROL!$C$42, 29.8397, 29.8397) * CHOOSE(CONTROL!$C$21, $C$9, 100%, $E$9)</f>
        <v>29.839700000000001</v>
      </c>
      <c r="R533" s="14">
        <f>CHOOSE(CONTROL!$C$42, 30.5013, 30.5013) * CHOOSE(CONTROL!$C$21, $C$9, 100%, $E$9)</f>
        <v>30.501300000000001</v>
      </c>
      <c r="S533" s="14">
        <f>CHOOSE(CONTROL!$C$42, 28.4472, 28.4472) * CHOOSE(CONTROL!$C$21, $C$9, 100%, $E$9)</f>
        <v>28.447199999999999</v>
      </c>
      <c r="T5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7">
        <f>(1000*CHOOSE(CONTROL!$C$42, 695, 695)*CHOOSE(CONTROL!$C$42, 0.5599, 0.5599)*CHOOSE(CONTROL!$C$42, 31, 31))/1000000</f>
        <v>12.063045499999998</v>
      </c>
      <c r="V533" s="57">
        <f>(1000*CHOOSE(CONTROL!$C$42, 500, 500)*CHOOSE(CONTROL!$C$42, 0.275, 0.275)*CHOOSE(CONTROL!$C$42, 31, 31))/1000000</f>
        <v>4.2625000000000002</v>
      </c>
      <c r="W533" s="57">
        <f>(1000*CHOOSE(CONTROL!$C$42, 0.1146, 0.1146)*CHOOSE(CONTROL!$C$42, 121.5, 121.5)*CHOOSE(CONTROL!$C$42, 31, 31))/1000000</f>
        <v>0.43164089999999994</v>
      </c>
      <c r="X533" s="57">
        <f>(31*0.1790888*245000/1000000)+(31*0.2374*100000/1000000)</f>
        <v>2.0961194359999999</v>
      </c>
      <c r="Y533" s="57"/>
      <c r="Z533" s="14"/>
      <c r="AA533" s="56"/>
      <c r="AB533" s="50">
        <f>(B533*194.205+C533*267.466+D533*133.845+E533*53.484+F533*40+G533*185+H533*0+I533*100+J533*300)/(194.205+267.466+133.845+53.484+0+40+185+100+300)</f>
        <v>29.653079867346939</v>
      </c>
      <c r="AC533" s="45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29.086663309352524</v>
      </c>
    </row>
    <row r="534" spans="1:29" ht="15.75" x14ac:dyDescent="0.25">
      <c r="A534" s="32">
        <v>57161</v>
      </c>
      <c r="B534" s="14">
        <f>CHOOSE(CONTROL!$C$42, 30.4555, 30.4555) * CHOOSE(CONTROL!$C$21, $C$9, 100%, $E$9)</f>
        <v>30.455500000000001</v>
      </c>
      <c r="C534" s="14">
        <f>CHOOSE(CONTROL!$C$42, 30.4636, 30.4636) * CHOOSE(CONTROL!$C$21, $C$9, 100%, $E$9)</f>
        <v>30.4636</v>
      </c>
      <c r="D534" s="14">
        <f>CHOOSE(CONTROL!$C$42, 30.6685, 30.6685) * CHOOSE(CONTROL!$C$21, $C$9, 100%, $E$9)</f>
        <v>30.668500000000002</v>
      </c>
      <c r="E534" s="14">
        <f>CHOOSE(CONTROL!$C$42, 30.7, 30.7) * CHOOSE(CONTROL!$C$21, $C$9, 100%, $E$9)</f>
        <v>30.7</v>
      </c>
      <c r="F534" s="14">
        <f>CHOOSE(CONTROL!$C$42, 30.4421, 30.4421)*CHOOSE(CONTROL!$C$21, $C$9, 100%, $E$9)</f>
        <v>30.4421</v>
      </c>
      <c r="G534" s="14">
        <f>CHOOSE(CONTROL!$C$42, 30.4586, 30.4586)*CHOOSE(CONTROL!$C$21, $C$9, 100%, $E$9)</f>
        <v>30.458600000000001</v>
      </c>
      <c r="H534" s="14">
        <f>CHOOSE(CONTROL!$C$42, 30.6886, 30.6886) * CHOOSE(CONTROL!$C$21, $C$9, 100%, $E$9)</f>
        <v>30.688600000000001</v>
      </c>
      <c r="I534" s="14">
        <f>CHOOSE(CONTROL!$C$42, 30.559, 30.559)* CHOOSE(CONTROL!$C$21, $C$9, 100%, $E$9)</f>
        <v>30.559000000000001</v>
      </c>
      <c r="J534" s="14">
        <f>CHOOSE(CONTROL!$C$42, 30.4351, 30.4351)* CHOOSE(CONTROL!$C$21, $C$9, 100%, $E$9)</f>
        <v>30.435099999999998</v>
      </c>
      <c r="K534" s="53">
        <f>CHOOSE(CONTROL!$C$42, 30.5551, 30.5551) * CHOOSE(CONTROL!$C$21, $C$9, 100%, $E$9)</f>
        <v>30.555099999999999</v>
      </c>
      <c r="L534" s="14">
        <f>CHOOSE(CONTROL!$C$42, 31.2756, 31.2756) * CHOOSE(CONTROL!$C$21, $C$9, 100%, $E$9)</f>
        <v>31.275600000000001</v>
      </c>
      <c r="M534" s="14">
        <f>CHOOSE(CONTROL!$C$42, 29.8192, 29.8192) * CHOOSE(CONTROL!$C$21, $C$9, 100%, $E$9)</f>
        <v>29.819199999999999</v>
      </c>
      <c r="N534" s="14">
        <f>CHOOSE(CONTROL!$C$42, 29.8354, 29.8354) * CHOOSE(CONTROL!$C$21, $C$9, 100%, $E$9)</f>
        <v>29.8354</v>
      </c>
      <c r="O534" s="14">
        <f>CHOOSE(CONTROL!$C$42, 30.0675, 30.0675) * CHOOSE(CONTROL!$C$21, $C$9, 100%, $E$9)</f>
        <v>30.067499999999999</v>
      </c>
      <c r="P534" s="14">
        <f>CHOOSE(CONTROL!$C$42, 29.9387, 29.9387) * CHOOSE(CONTROL!$C$21, $C$9, 100%, $E$9)</f>
        <v>29.938700000000001</v>
      </c>
      <c r="Q534" s="14">
        <f>CHOOSE(CONTROL!$C$42, 30.6622, 30.6622) * CHOOSE(CONTROL!$C$21, $C$9, 100%, $E$9)</f>
        <v>30.662199999999999</v>
      </c>
      <c r="R534" s="14">
        <f>CHOOSE(CONTROL!$C$42, 31.3259, 31.3259) * CHOOSE(CONTROL!$C$21, $C$9, 100%, $E$9)</f>
        <v>31.325900000000001</v>
      </c>
      <c r="S534" s="14">
        <f>CHOOSE(CONTROL!$C$42, 29.2541, 29.2541) * CHOOSE(CONTROL!$C$21, $C$9, 100%, $E$9)</f>
        <v>29.254100000000001</v>
      </c>
      <c r="T5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7">
        <f>(1000*CHOOSE(CONTROL!$C$42, 695, 695)*CHOOSE(CONTROL!$C$42, 0.5599, 0.5599)*CHOOSE(CONTROL!$C$42, 30, 30))/1000000</f>
        <v>11.673914999999997</v>
      </c>
      <c r="V534" s="57">
        <f>(1000*CHOOSE(CONTROL!$C$42, 500, 500)*CHOOSE(CONTROL!$C$42, 0.275, 0.275)*CHOOSE(CONTROL!$C$42, 30, 30))/1000000</f>
        <v>4.125</v>
      </c>
      <c r="W534" s="57">
        <f>(1000*CHOOSE(CONTROL!$C$42, 0.1146, 0.1146)*CHOOSE(CONTROL!$C$42, 121.5, 121.5)*CHOOSE(CONTROL!$C$42, 30, 30))/1000000</f>
        <v>0.417717</v>
      </c>
      <c r="X534" s="57">
        <f>(30*0.1790888*245000/1000000)+(30*0.2374*100000/1000000)</f>
        <v>2.0285026799999999</v>
      </c>
      <c r="Y534" s="57"/>
      <c r="Z534" s="14"/>
      <c r="AA534" s="56"/>
      <c r="AB534" s="50">
        <f>(B534*194.205+C534*267.466+D534*133.845+E534*53.484+F534*40+G534*185+H534*0+I534*100+J534*300)/(194.205+267.466+133.845+53.484+0+40+185+100+300)</f>
        <v>30.493192148822612</v>
      </c>
      <c r="AC534" s="45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29.909790647482012</v>
      </c>
    </row>
    <row r="535" spans="1:29" ht="15.75" x14ac:dyDescent="0.25">
      <c r="A535" s="32">
        <v>57192</v>
      </c>
      <c r="B535" s="14">
        <f>CHOOSE(CONTROL!$C$42, 29.8715, 29.8715) * CHOOSE(CONTROL!$C$21, $C$9, 100%, $E$9)</f>
        <v>29.871500000000001</v>
      </c>
      <c r="C535" s="14">
        <f>CHOOSE(CONTROL!$C$42, 29.8795, 29.8795) * CHOOSE(CONTROL!$C$21, $C$9, 100%, $E$9)</f>
        <v>29.8795</v>
      </c>
      <c r="D535" s="14">
        <f>CHOOSE(CONTROL!$C$42, 30.0845, 30.0845) * CHOOSE(CONTROL!$C$21, $C$9, 100%, $E$9)</f>
        <v>30.084499999999998</v>
      </c>
      <c r="E535" s="14">
        <f>CHOOSE(CONTROL!$C$42, 30.116, 30.116) * CHOOSE(CONTROL!$C$21, $C$9, 100%, $E$9)</f>
        <v>30.116</v>
      </c>
      <c r="F535" s="14">
        <f>CHOOSE(CONTROL!$C$42, 29.8585, 29.8585)*CHOOSE(CONTROL!$C$21, $C$9, 100%, $E$9)</f>
        <v>29.858499999999999</v>
      </c>
      <c r="G535" s="14">
        <f>CHOOSE(CONTROL!$C$42, 29.8751, 29.8751)*CHOOSE(CONTROL!$C$21, $C$9, 100%, $E$9)</f>
        <v>29.8751</v>
      </c>
      <c r="H535" s="14">
        <f>CHOOSE(CONTROL!$C$42, 30.1046, 30.1046) * CHOOSE(CONTROL!$C$21, $C$9, 100%, $E$9)</f>
        <v>30.104600000000001</v>
      </c>
      <c r="I535" s="14">
        <f>CHOOSE(CONTROL!$C$42, 29.9731, 29.9731)* CHOOSE(CONTROL!$C$21, $C$9, 100%, $E$9)</f>
        <v>29.973099999999999</v>
      </c>
      <c r="J535" s="14">
        <f>CHOOSE(CONTROL!$C$42, 29.8515, 29.8515)* CHOOSE(CONTROL!$C$21, $C$9, 100%, $E$9)</f>
        <v>29.851500000000001</v>
      </c>
      <c r="K535" s="53">
        <f>CHOOSE(CONTROL!$C$42, 29.9692, 29.9692) * CHOOSE(CONTROL!$C$21, $C$9, 100%, $E$9)</f>
        <v>29.969200000000001</v>
      </c>
      <c r="L535" s="14">
        <f>CHOOSE(CONTROL!$C$42, 30.6916, 30.6916) * CHOOSE(CONTROL!$C$21, $C$9, 100%, $E$9)</f>
        <v>30.691600000000001</v>
      </c>
      <c r="M535" s="14">
        <f>CHOOSE(CONTROL!$C$42, 29.2475, 29.2475) * CHOOSE(CONTROL!$C$21, $C$9, 100%, $E$9)</f>
        <v>29.247499999999999</v>
      </c>
      <c r="N535" s="14">
        <f>CHOOSE(CONTROL!$C$42, 29.2638, 29.2638) * CHOOSE(CONTROL!$C$21, $C$9, 100%, $E$9)</f>
        <v>29.2638</v>
      </c>
      <c r="O535" s="14">
        <f>CHOOSE(CONTROL!$C$42, 29.4955, 29.4955) * CHOOSE(CONTROL!$C$21, $C$9, 100%, $E$9)</f>
        <v>29.4955</v>
      </c>
      <c r="P535" s="14">
        <f>CHOOSE(CONTROL!$C$42, 29.3648, 29.3648) * CHOOSE(CONTROL!$C$21, $C$9, 100%, $E$9)</f>
        <v>29.364799999999999</v>
      </c>
      <c r="Q535" s="14">
        <f>CHOOSE(CONTROL!$C$42, 30.0902, 30.0902) * CHOOSE(CONTROL!$C$21, $C$9, 100%, $E$9)</f>
        <v>30.090199999999999</v>
      </c>
      <c r="R535" s="14">
        <f>CHOOSE(CONTROL!$C$42, 30.7524, 30.7524) * CHOOSE(CONTROL!$C$21, $C$9, 100%, $E$9)</f>
        <v>30.752400000000002</v>
      </c>
      <c r="S535" s="14">
        <f>CHOOSE(CONTROL!$C$42, 28.6929, 28.6929) * CHOOSE(CONTROL!$C$21, $C$9, 100%, $E$9)</f>
        <v>28.692900000000002</v>
      </c>
      <c r="T5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7">
        <f>(1000*CHOOSE(CONTROL!$C$42, 695, 695)*CHOOSE(CONTROL!$C$42, 0.5599, 0.5599)*CHOOSE(CONTROL!$C$42, 31, 31))/1000000</f>
        <v>12.063045499999998</v>
      </c>
      <c r="V535" s="57">
        <f>(1000*CHOOSE(CONTROL!$C$42, 500, 500)*CHOOSE(CONTROL!$C$42, 0.275, 0.275)*CHOOSE(CONTROL!$C$42, 31, 31))/1000000</f>
        <v>4.2625000000000002</v>
      </c>
      <c r="W535" s="57">
        <f>(1000*CHOOSE(CONTROL!$C$42, 0.1146, 0.1146)*CHOOSE(CONTROL!$C$42, 121.5, 121.5)*CHOOSE(CONTROL!$C$42, 31, 31))/1000000</f>
        <v>0.43164089999999994</v>
      </c>
      <c r="X535" s="57">
        <f>(31*0.1790888*245000/1000000)+(31*0.2374*100000/1000000)</f>
        <v>2.0961194359999999</v>
      </c>
      <c r="Y535" s="57"/>
      <c r="Z535" s="14"/>
      <c r="AA535" s="56"/>
      <c r="AB535" s="50">
        <f>(B535*194.205+C535*267.466+D535*133.845+E535*53.484+F535*40+G535*185+H535*0+I535*100+J535*300)/(194.205+267.466+133.845+53.484+0+40+185+100+300)</f>
        <v>29.909201374411307</v>
      </c>
      <c r="AC535" s="45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29.337712949640288</v>
      </c>
    </row>
    <row r="536" spans="1:29" ht="15.75" x14ac:dyDescent="0.25">
      <c r="A536" s="32">
        <v>57223</v>
      </c>
      <c r="B536" s="14">
        <f>CHOOSE(CONTROL!$C$42, 28.3966, 28.3966) * CHOOSE(CONTROL!$C$21, $C$9, 100%, $E$9)</f>
        <v>28.396599999999999</v>
      </c>
      <c r="C536" s="14">
        <f>CHOOSE(CONTROL!$C$42, 28.4046, 28.4046) * CHOOSE(CONTROL!$C$21, $C$9, 100%, $E$9)</f>
        <v>28.404599999999999</v>
      </c>
      <c r="D536" s="14">
        <f>CHOOSE(CONTROL!$C$42, 28.6096, 28.6096) * CHOOSE(CONTROL!$C$21, $C$9, 100%, $E$9)</f>
        <v>28.6096</v>
      </c>
      <c r="E536" s="14">
        <f>CHOOSE(CONTROL!$C$42, 28.641, 28.641) * CHOOSE(CONTROL!$C$21, $C$9, 100%, $E$9)</f>
        <v>28.640999999999998</v>
      </c>
      <c r="F536" s="14">
        <f>CHOOSE(CONTROL!$C$42, 28.3838, 28.3838)*CHOOSE(CONTROL!$C$21, $C$9, 100%, $E$9)</f>
        <v>28.383800000000001</v>
      </c>
      <c r="G536" s="14">
        <f>CHOOSE(CONTROL!$C$42, 28.4004, 28.4004)*CHOOSE(CONTROL!$C$21, $C$9, 100%, $E$9)</f>
        <v>28.400400000000001</v>
      </c>
      <c r="H536" s="14">
        <f>CHOOSE(CONTROL!$C$42, 28.6297, 28.6297) * CHOOSE(CONTROL!$C$21, $C$9, 100%, $E$9)</f>
        <v>28.6297</v>
      </c>
      <c r="I536" s="14">
        <f>CHOOSE(CONTROL!$C$42, 28.4936, 28.4936)* CHOOSE(CONTROL!$C$21, $C$9, 100%, $E$9)</f>
        <v>28.493600000000001</v>
      </c>
      <c r="J536" s="14">
        <f>CHOOSE(CONTROL!$C$42, 28.3768, 28.3768)* CHOOSE(CONTROL!$C$21, $C$9, 100%, $E$9)</f>
        <v>28.376799999999999</v>
      </c>
      <c r="K536" s="53">
        <f>CHOOSE(CONTROL!$C$42, 28.4897, 28.4897) * CHOOSE(CONTROL!$C$21, $C$9, 100%, $E$9)</f>
        <v>28.489699999999999</v>
      </c>
      <c r="L536" s="14">
        <f>CHOOSE(CONTROL!$C$42, 29.2167, 29.2167) * CHOOSE(CONTROL!$C$21, $C$9, 100%, $E$9)</f>
        <v>29.216699999999999</v>
      </c>
      <c r="M536" s="14">
        <f>CHOOSE(CONTROL!$C$42, 27.803, 27.803) * CHOOSE(CONTROL!$C$21, $C$9, 100%, $E$9)</f>
        <v>27.803000000000001</v>
      </c>
      <c r="N536" s="14">
        <f>CHOOSE(CONTROL!$C$42, 27.8194, 27.8194) * CHOOSE(CONTROL!$C$21, $C$9, 100%, $E$9)</f>
        <v>27.819400000000002</v>
      </c>
      <c r="O536" s="14">
        <f>CHOOSE(CONTROL!$C$42, 28.0508, 28.0508) * CHOOSE(CONTROL!$C$21, $C$9, 100%, $E$9)</f>
        <v>28.050799999999999</v>
      </c>
      <c r="P536" s="14">
        <f>CHOOSE(CONTROL!$C$42, 27.9157, 27.9157) * CHOOSE(CONTROL!$C$21, $C$9, 100%, $E$9)</f>
        <v>27.915700000000001</v>
      </c>
      <c r="Q536" s="14">
        <f>CHOOSE(CONTROL!$C$42, 28.6455, 28.6455) * CHOOSE(CONTROL!$C$21, $C$9, 100%, $E$9)</f>
        <v>28.645499999999998</v>
      </c>
      <c r="R536" s="14">
        <f>CHOOSE(CONTROL!$C$42, 29.3041, 29.3041) * CHOOSE(CONTROL!$C$21, $C$9, 100%, $E$9)</f>
        <v>29.304099999999998</v>
      </c>
      <c r="S536" s="14">
        <f>CHOOSE(CONTROL!$C$42, 27.2756, 27.2756) * CHOOSE(CONTROL!$C$21, $C$9, 100%, $E$9)</f>
        <v>27.275600000000001</v>
      </c>
      <c r="T5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7">
        <f>(1000*CHOOSE(CONTROL!$C$42, 695, 695)*CHOOSE(CONTROL!$C$42, 0.5599, 0.5599)*CHOOSE(CONTROL!$C$42, 31, 31))/1000000</f>
        <v>12.063045499999998</v>
      </c>
      <c r="V536" s="57">
        <f>(1000*CHOOSE(CONTROL!$C$42, 500, 500)*CHOOSE(CONTROL!$C$42, 0.275, 0.275)*CHOOSE(CONTROL!$C$42, 31, 31))/1000000</f>
        <v>4.2625000000000002</v>
      </c>
      <c r="W536" s="57">
        <f>(1000*CHOOSE(CONTROL!$C$42, 0.1146, 0.1146)*CHOOSE(CONTROL!$C$42, 121.5, 121.5)*CHOOSE(CONTROL!$C$42, 31, 31))/1000000</f>
        <v>0.43164089999999994</v>
      </c>
      <c r="X536" s="57">
        <f>(31*0.1790888*245000/1000000)+(31*0.2374*100000/1000000)</f>
        <v>2.0961194359999999</v>
      </c>
      <c r="Y536" s="57"/>
      <c r="Z536" s="14"/>
      <c r="AA536" s="56"/>
      <c r="AB536" s="50">
        <f>(B536*194.205+C536*267.466+D536*133.845+E536*53.484+F536*40+G536*185+H536*0+I536*100+J536*300)/(194.205+267.466+133.845+53.484+0+40+185+100+300)</f>
        <v>28.434018526373627</v>
      </c>
      <c r="AC536" s="45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27.892517985611509</v>
      </c>
    </row>
    <row r="537" spans="1:29" ht="15.75" x14ac:dyDescent="0.25">
      <c r="A537" s="32">
        <v>57253</v>
      </c>
      <c r="B537" s="14">
        <f>CHOOSE(CONTROL!$C$42, 26.5941, 26.5941) * CHOOSE(CONTROL!$C$21, $C$9, 100%, $E$9)</f>
        <v>26.594100000000001</v>
      </c>
      <c r="C537" s="14">
        <f>CHOOSE(CONTROL!$C$42, 26.6021, 26.6021) * CHOOSE(CONTROL!$C$21, $C$9, 100%, $E$9)</f>
        <v>26.6021</v>
      </c>
      <c r="D537" s="14">
        <f>CHOOSE(CONTROL!$C$42, 26.8071, 26.8071) * CHOOSE(CONTROL!$C$21, $C$9, 100%, $E$9)</f>
        <v>26.807099999999998</v>
      </c>
      <c r="E537" s="14">
        <f>CHOOSE(CONTROL!$C$42, 26.8386, 26.8386) * CHOOSE(CONTROL!$C$21, $C$9, 100%, $E$9)</f>
        <v>26.8386</v>
      </c>
      <c r="F537" s="14">
        <f>CHOOSE(CONTROL!$C$42, 26.5813, 26.5813)*CHOOSE(CONTROL!$C$21, $C$9, 100%, $E$9)</f>
        <v>26.581299999999999</v>
      </c>
      <c r="G537" s="14">
        <f>CHOOSE(CONTROL!$C$42, 26.598, 26.598)*CHOOSE(CONTROL!$C$21, $C$9, 100%, $E$9)</f>
        <v>26.597999999999999</v>
      </c>
      <c r="H537" s="14">
        <f>CHOOSE(CONTROL!$C$42, 26.8272, 26.8272) * CHOOSE(CONTROL!$C$21, $C$9, 100%, $E$9)</f>
        <v>26.827200000000001</v>
      </c>
      <c r="I537" s="14">
        <f>CHOOSE(CONTROL!$C$42, 26.6855, 26.6855)* CHOOSE(CONTROL!$C$21, $C$9, 100%, $E$9)</f>
        <v>26.685500000000001</v>
      </c>
      <c r="J537" s="14">
        <f>CHOOSE(CONTROL!$C$42, 26.5743, 26.5743)* CHOOSE(CONTROL!$C$21, $C$9, 100%, $E$9)</f>
        <v>26.574300000000001</v>
      </c>
      <c r="K537" s="53">
        <f>CHOOSE(CONTROL!$C$42, 26.6816, 26.6816) * CHOOSE(CONTROL!$C$21, $C$9, 100%, $E$9)</f>
        <v>26.6816</v>
      </c>
      <c r="L537" s="14">
        <f>CHOOSE(CONTROL!$C$42, 27.4142, 27.4142) * CHOOSE(CONTROL!$C$21, $C$9, 100%, $E$9)</f>
        <v>27.414200000000001</v>
      </c>
      <c r="M537" s="14">
        <f>CHOOSE(CONTROL!$C$42, 26.0375, 26.0375) * CHOOSE(CONTROL!$C$21, $C$9, 100%, $E$9)</f>
        <v>26.037500000000001</v>
      </c>
      <c r="N537" s="14">
        <f>CHOOSE(CONTROL!$C$42, 26.0538, 26.0538) * CHOOSE(CONTROL!$C$21, $C$9, 100%, $E$9)</f>
        <v>26.053799999999999</v>
      </c>
      <c r="O537" s="14">
        <f>CHOOSE(CONTROL!$C$42, 26.2852, 26.2852) * CHOOSE(CONTROL!$C$21, $C$9, 100%, $E$9)</f>
        <v>26.2852</v>
      </c>
      <c r="P537" s="14">
        <f>CHOOSE(CONTROL!$C$42, 26.1448, 26.1448) * CHOOSE(CONTROL!$C$21, $C$9, 100%, $E$9)</f>
        <v>26.1448</v>
      </c>
      <c r="Q537" s="14">
        <f>CHOOSE(CONTROL!$C$42, 26.8799, 26.8799) * CHOOSE(CONTROL!$C$21, $C$9, 100%, $E$9)</f>
        <v>26.879899999999999</v>
      </c>
      <c r="R537" s="14">
        <f>CHOOSE(CONTROL!$C$42, 27.5341, 27.5341) * CHOOSE(CONTROL!$C$21, $C$9, 100%, $E$9)</f>
        <v>27.534099999999999</v>
      </c>
      <c r="S537" s="14">
        <f>CHOOSE(CONTROL!$C$42, 25.5437, 25.5437) * CHOOSE(CONTROL!$C$21, $C$9, 100%, $E$9)</f>
        <v>25.543700000000001</v>
      </c>
      <c r="T5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7">
        <f>(1000*CHOOSE(CONTROL!$C$42, 695, 695)*CHOOSE(CONTROL!$C$42, 0.5599, 0.5599)*CHOOSE(CONTROL!$C$42, 30, 30))/1000000</f>
        <v>11.673914999999997</v>
      </c>
      <c r="V537" s="57">
        <f>(1000*CHOOSE(CONTROL!$C$42, 500, 500)*CHOOSE(CONTROL!$C$42, 0.275, 0.275)*CHOOSE(CONTROL!$C$42, 30, 30))/1000000</f>
        <v>4.125</v>
      </c>
      <c r="W537" s="57">
        <f>(1000*CHOOSE(CONTROL!$C$42, 0.1146, 0.1146)*CHOOSE(CONTROL!$C$42, 121.5, 121.5)*CHOOSE(CONTROL!$C$42, 30, 30))/1000000</f>
        <v>0.417717</v>
      </c>
      <c r="X537" s="57">
        <f>(30*0.1790888*245000/1000000)+(30*0.2374*100000/1000000)</f>
        <v>2.0285026799999999</v>
      </c>
      <c r="Y537" s="57"/>
      <c r="Z537" s="14"/>
      <c r="AA537" s="56"/>
      <c r="AB537" s="50">
        <f>(B537*194.205+C537*267.466+D537*133.845+E537*53.484+F537*40+G537*185+H537*0+I537*100+J537*300)/(194.205+267.466+133.845+53.484+0+40+185+100+300)</f>
        <v>26.631097685243326</v>
      </c>
      <c r="AC537" s="45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26.126189928057556</v>
      </c>
    </row>
    <row r="538" spans="1:29" ht="15.75" x14ac:dyDescent="0.25">
      <c r="A538" s="32">
        <v>57284</v>
      </c>
      <c r="B538" s="14">
        <f>CHOOSE(CONTROL!$C$42, 26.0526, 26.0526) * CHOOSE(CONTROL!$C$21, $C$9, 100%, $E$9)</f>
        <v>26.052600000000002</v>
      </c>
      <c r="C538" s="14">
        <f>CHOOSE(CONTROL!$C$42, 26.058, 26.058) * CHOOSE(CONTROL!$C$21, $C$9, 100%, $E$9)</f>
        <v>26.058</v>
      </c>
      <c r="D538" s="14">
        <f>CHOOSE(CONTROL!$C$42, 26.2679, 26.2679) * CHOOSE(CONTROL!$C$21, $C$9, 100%, $E$9)</f>
        <v>26.267900000000001</v>
      </c>
      <c r="E538" s="14">
        <f>CHOOSE(CONTROL!$C$42, 26.297, 26.297) * CHOOSE(CONTROL!$C$21, $C$9, 100%, $E$9)</f>
        <v>26.297000000000001</v>
      </c>
      <c r="F538" s="14">
        <f>CHOOSE(CONTROL!$C$42, 26.0419, 26.0419)*CHOOSE(CONTROL!$C$21, $C$9, 100%, $E$9)</f>
        <v>26.041899999999998</v>
      </c>
      <c r="G538" s="14">
        <f>CHOOSE(CONTROL!$C$42, 26.0582, 26.0582)*CHOOSE(CONTROL!$C$21, $C$9, 100%, $E$9)</f>
        <v>26.058199999999999</v>
      </c>
      <c r="H538" s="14">
        <f>CHOOSE(CONTROL!$C$42, 26.2875, 26.2875) * CHOOSE(CONTROL!$C$21, $C$9, 100%, $E$9)</f>
        <v>26.287500000000001</v>
      </c>
      <c r="I538" s="14">
        <f>CHOOSE(CONTROL!$C$42, 26.144, 26.144)* CHOOSE(CONTROL!$C$21, $C$9, 100%, $E$9)</f>
        <v>26.143999999999998</v>
      </c>
      <c r="J538" s="14">
        <f>CHOOSE(CONTROL!$C$42, 26.0349, 26.0349)* CHOOSE(CONTROL!$C$21, $C$9, 100%, $E$9)</f>
        <v>26.0349</v>
      </c>
      <c r="K538" s="53">
        <f>CHOOSE(CONTROL!$C$42, 26.1402, 26.1402) * CHOOSE(CONTROL!$C$21, $C$9, 100%, $E$9)</f>
        <v>26.1402</v>
      </c>
      <c r="L538" s="14">
        <f>CHOOSE(CONTROL!$C$42, 26.8745, 26.8745) * CHOOSE(CONTROL!$C$21, $C$9, 100%, $E$9)</f>
        <v>26.874500000000001</v>
      </c>
      <c r="M538" s="14">
        <f>CHOOSE(CONTROL!$C$42, 25.5091, 25.5091) * CHOOSE(CONTROL!$C$21, $C$9, 100%, $E$9)</f>
        <v>25.5091</v>
      </c>
      <c r="N538" s="14">
        <f>CHOOSE(CONTROL!$C$42, 25.5251, 25.5251) * CHOOSE(CONTROL!$C$21, $C$9, 100%, $E$9)</f>
        <v>25.525099999999998</v>
      </c>
      <c r="O538" s="14">
        <f>CHOOSE(CONTROL!$C$42, 25.7566, 25.7566) * CHOOSE(CONTROL!$C$21, $C$9, 100%, $E$9)</f>
        <v>25.756599999999999</v>
      </c>
      <c r="P538" s="14">
        <f>CHOOSE(CONTROL!$C$42, 25.6145, 25.6145) * CHOOSE(CONTROL!$C$21, $C$9, 100%, $E$9)</f>
        <v>25.6145</v>
      </c>
      <c r="Q538" s="14">
        <f>CHOOSE(CONTROL!$C$42, 26.3513, 26.3513) * CHOOSE(CONTROL!$C$21, $C$9, 100%, $E$9)</f>
        <v>26.351299999999998</v>
      </c>
      <c r="R538" s="14">
        <f>CHOOSE(CONTROL!$C$42, 27.0041, 27.0041) * CHOOSE(CONTROL!$C$21, $C$9, 100%, $E$9)</f>
        <v>27.004100000000001</v>
      </c>
      <c r="S538" s="14">
        <f>CHOOSE(CONTROL!$C$42, 25.025, 25.025) * CHOOSE(CONTROL!$C$21, $C$9, 100%, $E$9)</f>
        <v>25.024999999999999</v>
      </c>
      <c r="T5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7">
        <f>(1000*CHOOSE(CONTROL!$C$42, 695, 695)*CHOOSE(CONTROL!$C$42, 0.5599, 0.5599)*CHOOSE(CONTROL!$C$42, 31, 31))/1000000</f>
        <v>12.063045499999998</v>
      </c>
      <c r="V538" s="57">
        <f>(1000*CHOOSE(CONTROL!$C$42, 500, 500)*CHOOSE(CONTROL!$C$42, 0.275, 0.275)*CHOOSE(CONTROL!$C$42, 31, 31))/1000000</f>
        <v>4.2625000000000002</v>
      </c>
      <c r="W538" s="57">
        <f>(1000*CHOOSE(CONTROL!$C$42, 0.1146, 0.1146)*CHOOSE(CONTROL!$C$42, 121.5, 121.5)*CHOOSE(CONTROL!$C$42, 31, 31))/1000000</f>
        <v>0.43164089999999994</v>
      </c>
      <c r="X538" s="57">
        <f>(31*0.1790888*245000/1000000)+(31*0.2374*100000/1000000)</f>
        <v>2.0961194359999999</v>
      </c>
      <c r="Y538" s="57"/>
      <c r="Z538" s="14"/>
      <c r="AA538" s="56"/>
      <c r="AB538" s="50">
        <f>(B538*131.881+C538*277.167+D538*79.08+E538*125.872+F538*40+G538*185+H538*0+I538*100+J538*300)/(131.881+277.167+79.08+125.872+0+40+185+100+300)</f>
        <v>26.095960567070218</v>
      </c>
      <c r="AC538" s="45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25.597391366906479</v>
      </c>
    </row>
    <row r="539" spans="1:29" ht="15.75" x14ac:dyDescent="0.25">
      <c r="A539" s="32">
        <v>57314</v>
      </c>
      <c r="B539" s="14">
        <f>CHOOSE(CONTROL!$C$42, 26.7383, 26.7383) * CHOOSE(CONTROL!$C$21, $C$9, 100%, $E$9)</f>
        <v>26.738299999999999</v>
      </c>
      <c r="C539" s="14">
        <f>CHOOSE(CONTROL!$C$42, 26.7434, 26.7434) * CHOOSE(CONTROL!$C$21, $C$9, 100%, $E$9)</f>
        <v>26.743400000000001</v>
      </c>
      <c r="D539" s="14">
        <f>CHOOSE(CONTROL!$C$42, 26.8072, 26.8072) * CHOOSE(CONTROL!$C$21, $C$9, 100%, $E$9)</f>
        <v>26.807200000000002</v>
      </c>
      <c r="E539" s="14">
        <f>CHOOSE(CONTROL!$C$42, 26.8413, 26.8413) * CHOOSE(CONTROL!$C$21, $C$9, 100%, $E$9)</f>
        <v>26.8413</v>
      </c>
      <c r="F539" s="14">
        <f>CHOOSE(CONTROL!$C$42, 26.7405, 26.7405)*CHOOSE(CONTROL!$C$21, $C$9, 100%, $E$9)</f>
        <v>26.740500000000001</v>
      </c>
      <c r="G539" s="14">
        <f>CHOOSE(CONTROL!$C$42, 26.7572, 26.7572)*CHOOSE(CONTROL!$C$21, $C$9, 100%, $E$9)</f>
        <v>26.757200000000001</v>
      </c>
      <c r="H539" s="14">
        <f>CHOOSE(CONTROL!$C$42, 26.8305, 26.8305) * CHOOSE(CONTROL!$C$21, $C$9, 100%, $E$9)</f>
        <v>26.830500000000001</v>
      </c>
      <c r="I539" s="14">
        <f>CHOOSE(CONTROL!$C$42, 26.8359, 26.8359)* CHOOSE(CONTROL!$C$21, $C$9, 100%, $E$9)</f>
        <v>26.835899999999999</v>
      </c>
      <c r="J539" s="14">
        <f>CHOOSE(CONTROL!$C$42, 26.7335, 26.7335)* CHOOSE(CONTROL!$C$21, $C$9, 100%, $E$9)</f>
        <v>26.733499999999999</v>
      </c>
      <c r="K539" s="53">
        <f>CHOOSE(CONTROL!$C$42, 26.832, 26.832) * CHOOSE(CONTROL!$C$21, $C$9, 100%, $E$9)</f>
        <v>26.832000000000001</v>
      </c>
      <c r="L539" s="14">
        <f>CHOOSE(CONTROL!$C$42, 27.4175, 27.4175) * CHOOSE(CONTROL!$C$21, $C$9, 100%, $E$9)</f>
        <v>27.4175</v>
      </c>
      <c r="M539" s="14">
        <f>CHOOSE(CONTROL!$C$42, 26.1935, 26.1935) * CHOOSE(CONTROL!$C$21, $C$9, 100%, $E$9)</f>
        <v>26.1935</v>
      </c>
      <c r="N539" s="14">
        <f>CHOOSE(CONTROL!$C$42, 26.2098, 26.2098) * CHOOSE(CONTROL!$C$21, $C$9, 100%, $E$9)</f>
        <v>26.209800000000001</v>
      </c>
      <c r="O539" s="14">
        <f>CHOOSE(CONTROL!$C$42, 26.2884, 26.2884) * CHOOSE(CONTROL!$C$21, $C$9, 100%, $E$9)</f>
        <v>26.288399999999999</v>
      </c>
      <c r="P539" s="14">
        <f>CHOOSE(CONTROL!$C$42, 26.2922, 26.2922) * CHOOSE(CONTROL!$C$21, $C$9, 100%, $E$9)</f>
        <v>26.292200000000001</v>
      </c>
      <c r="Q539" s="14">
        <f>CHOOSE(CONTROL!$C$42, 26.8831, 26.8831) * CHOOSE(CONTROL!$C$21, $C$9, 100%, $E$9)</f>
        <v>26.883099999999999</v>
      </c>
      <c r="R539" s="14">
        <f>CHOOSE(CONTROL!$C$42, 27.5373, 27.5373) * CHOOSE(CONTROL!$C$21, $C$9, 100%, $E$9)</f>
        <v>27.537299999999998</v>
      </c>
      <c r="S539" s="14">
        <f>CHOOSE(CONTROL!$C$42, 25.6843, 25.6843) * CHOOSE(CONTROL!$C$21, $C$9, 100%, $E$9)</f>
        <v>25.6843</v>
      </c>
      <c r="T5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7">
        <f>(1000*CHOOSE(CONTROL!$C$42, 695, 695)*CHOOSE(CONTROL!$C$42, 0.5599, 0.5599)*CHOOSE(CONTROL!$C$42, 30, 30))/1000000</f>
        <v>11.673914999999997</v>
      </c>
      <c r="V539" s="57">
        <f>(1000*CHOOSE(CONTROL!$C$42, 500, 500)*CHOOSE(CONTROL!$C$42, 0.275, 0.275)*CHOOSE(CONTROL!$C$42, 30, 30))/1000000</f>
        <v>4.125</v>
      </c>
      <c r="W539" s="57">
        <f>(1000*CHOOSE(CONTROL!$C$42, 0.1146, 0.1146)*CHOOSE(CONTROL!$C$42, 121.5, 121.5)*CHOOSE(CONTROL!$C$42, 30, 30))/1000000</f>
        <v>0.417717</v>
      </c>
      <c r="X539" s="57">
        <f>(30*0.1790888*100000/1000000)+(30*0.2374*100000/1000000)</f>
        <v>1.2494664</v>
      </c>
      <c r="Y539" s="57"/>
      <c r="Z539" s="14"/>
      <c r="AA539" s="56"/>
      <c r="AB539" s="50">
        <f>(B539*122.58+C539*297.941+D539*89.177+E539*40.302+F539*40+G539*160+H539*0+I539*100+J539*300)/(122.58+297.941+89.177+40.302+0+40+160+100+300)</f>
        <v>26.758514695999999</v>
      </c>
      <c r="AC539" s="45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26.251651798561152</v>
      </c>
    </row>
    <row r="540" spans="1:29" ht="15.75" x14ac:dyDescent="0.25">
      <c r="A540" s="32">
        <v>57345</v>
      </c>
      <c r="B540" s="14">
        <f>CHOOSE(CONTROL!$C$42, 28.5606, 28.5606) * CHOOSE(CONTROL!$C$21, $C$9, 100%, $E$9)</f>
        <v>28.560600000000001</v>
      </c>
      <c r="C540" s="14">
        <f>CHOOSE(CONTROL!$C$42, 28.5657, 28.5657) * CHOOSE(CONTROL!$C$21, $C$9, 100%, $E$9)</f>
        <v>28.5657</v>
      </c>
      <c r="D540" s="14">
        <f>CHOOSE(CONTROL!$C$42, 28.6295, 28.6295) * CHOOSE(CONTROL!$C$21, $C$9, 100%, $E$9)</f>
        <v>28.6295</v>
      </c>
      <c r="E540" s="14">
        <f>CHOOSE(CONTROL!$C$42, 28.6636, 28.6636) * CHOOSE(CONTROL!$C$21, $C$9, 100%, $E$9)</f>
        <v>28.663599999999999</v>
      </c>
      <c r="F540" s="14">
        <f>CHOOSE(CONTROL!$C$42, 28.565, 28.565)*CHOOSE(CONTROL!$C$21, $C$9, 100%, $E$9)</f>
        <v>28.565000000000001</v>
      </c>
      <c r="G540" s="14">
        <f>CHOOSE(CONTROL!$C$42, 28.5822, 28.5822)*CHOOSE(CONTROL!$C$21, $C$9, 100%, $E$9)</f>
        <v>28.5822</v>
      </c>
      <c r="H540" s="14">
        <f>CHOOSE(CONTROL!$C$42, 28.6528, 28.6528) * CHOOSE(CONTROL!$C$21, $C$9, 100%, $E$9)</f>
        <v>28.652799999999999</v>
      </c>
      <c r="I540" s="14">
        <f>CHOOSE(CONTROL!$C$42, 28.664, 28.664)* CHOOSE(CONTROL!$C$21, $C$9, 100%, $E$9)</f>
        <v>28.664000000000001</v>
      </c>
      <c r="J540" s="14">
        <f>CHOOSE(CONTROL!$C$42, 28.558, 28.558)* CHOOSE(CONTROL!$C$21, $C$9, 100%, $E$9)</f>
        <v>28.558</v>
      </c>
      <c r="K540" s="53">
        <f>CHOOSE(CONTROL!$C$42, 28.6601, 28.6601) * CHOOSE(CONTROL!$C$21, $C$9, 100%, $E$9)</f>
        <v>28.6601</v>
      </c>
      <c r="L540" s="14">
        <f>CHOOSE(CONTROL!$C$42, 29.2398, 29.2398) * CHOOSE(CONTROL!$C$21, $C$9, 100%, $E$9)</f>
        <v>29.239799999999999</v>
      </c>
      <c r="M540" s="14">
        <f>CHOOSE(CONTROL!$C$42, 27.9805, 27.9805) * CHOOSE(CONTROL!$C$21, $C$9, 100%, $E$9)</f>
        <v>27.980499999999999</v>
      </c>
      <c r="N540" s="14">
        <f>CHOOSE(CONTROL!$C$42, 27.9974, 27.9974) * CHOOSE(CONTROL!$C$21, $C$9, 100%, $E$9)</f>
        <v>27.997399999999999</v>
      </c>
      <c r="O540" s="14">
        <f>CHOOSE(CONTROL!$C$42, 28.0734, 28.0734) * CHOOSE(CONTROL!$C$21, $C$9, 100%, $E$9)</f>
        <v>28.073399999999999</v>
      </c>
      <c r="P540" s="14">
        <f>CHOOSE(CONTROL!$C$42, 28.0826, 28.0826) * CHOOSE(CONTROL!$C$21, $C$9, 100%, $E$9)</f>
        <v>28.082599999999999</v>
      </c>
      <c r="Q540" s="14">
        <f>CHOOSE(CONTROL!$C$42, 28.6681, 28.6681) * CHOOSE(CONTROL!$C$21, $C$9, 100%, $E$9)</f>
        <v>28.668099999999999</v>
      </c>
      <c r="R540" s="14">
        <f>CHOOSE(CONTROL!$C$42, 29.3268, 29.3268) * CHOOSE(CONTROL!$C$21, $C$9, 100%, $E$9)</f>
        <v>29.326799999999999</v>
      </c>
      <c r="S540" s="14">
        <f>CHOOSE(CONTROL!$C$42, 27.4354, 27.4354) * CHOOSE(CONTROL!$C$21, $C$9, 100%, $E$9)</f>
        <v>27.435400000000001</v>
      </c>
      <c r="T5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7">
        <f>(1000*CHOOSE(CONTROL!$C$42, 695, 695)*CHOOSE(CONTROL!$C$42, 0.5599, 0.5599)*CHOOSE(CONTROL!$C$42, 31, 31))/1000000</f>
        <v>12.063045499999998</v>
      </c>
      <c r="V540" s="57">
        <f>(1000*CHOOSE(CONTROL!$C$42, 500, 500)*CHOOSE(CONTROL!$C$42, 0.275, 0.275)*CHOOSE(CONTROL!$C$42, 31, 31))/1000000</f>
        <v>4.2625000000000002</v>
      </c>
      <c r="W540" s="57">
        <f>(1000*CHOOSE(CONTROL!$C$42, 0.1146, 0.1146)*CHOOSE(CONTROL!$C$42, 121.5, 121.5)*CHOOSE(CONTROL!$C$42, 31, 31))/1000000</f>
        <v>0.43164089999999994</v>
      </c>
      <c r="X540" s="57">
        <f>(31*0.1790888*100000/1000000)+(31*0.2374*100000/1000000)</f>
        <v>1.2911152800000001</v>
      </c>
      <c r="Y540" s="57"/>
      <c r="Z540" s="14"/>
      <c r="AA540" s="56"/>
      <c r="AB540" s="50">
        <f>(B540*122.58+C540*297.941+D540*89.177+E540*40.302+F540*40+G540*160+H540*0+I540*100+J540*300)/(122.58+297.941+89.177+40.302+0+40+160+100+300)</f>
        <v>28.582345130782606</v>
      </c>
      <c r="AC540" s="45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28.038269064748199</v>
      </c>
    </row>
    <row r="541" spans="1:29" ht="15.75" x14ac:dyDescent="0.25">
      <c r="A541" s="32">
        <v>57376</v>
      </c>
      <c r="B541" s="14">
        <f>CHOOSE(CONTROL!$C$42, 30.8994, 30.8994) * CHOOSE(CONTROL!$C$21, $C$9, 100%, $E$9)</f>
        <v>30.8994</v>
      </c>
      <c r="C541" s="14">
        <f>CHOOSE(CONTROL!$C$42, 30.9044, 30.9044) * CHOOSE(CONTROL!$C$21, $C$9, 100%, $E$9)</f>
        <v>30.904399999999999</v>
      </c>
      <c r="D541" s="14">
        <f>CHOOSE(CONTROL!$C$42, 30.963, 30.963) * CHOOSE(CONTROL!$C$21, $C$9, 100%, $E$9)</f>
        <v>30.963000000000001</v>
      </c>
      <c r="E541" s="14">
        <f>CHOOSE(CONTROL!$C$42, 30.9972, 30.9972) * CHOOSE(CONTROL!$C$21, $C$9, 100%, $E$9)</f>
        <v>30.997199999999999</v>
      </c>
      <c r="F541" s="14">
        <f>CHOOSE(CONTROL!$C$42, 30.8985, 30.8985)*CHOOSE(CONTROL!$C$21, $C$9, 100%, $E$9)</f>
        <v>30.898499999999999</v>
      </c>
      <c r="G541" s="14">
        <f>CHOOSE(CONTROL!$C$42, 30.9149, 30.9149)*CHOOSE(CONTROL!$C$21, $C$9, 100%, $E$9)</f>
        <v>30.914899999999999</v>
      </c>
      <c r="H541" s="14">
        <f>CHOOSE(CONTROL!$C$42, 30.9863, 30.9863) * CHOOSE(CONTROL!$C$21, $C$9, 100%, $E$9)</f>
        <v>30.9863</v>
      </c>
      <c r="I541" s="14">
        <f>CHOOSE(CONTROL!$C$42, 31.0064, 31.0064)* CHOOSE(CONTROL!$C$21, $C$9, 100%, $E$9)</f>
        <v>31.006399999999999</v>
      </c>
      <c r="J541" s="14">
        <f>CHOOSE(CONTROL!$C$42, 30.8915, 30.8915)* CHOOSE(CONTROL!$C$21, $C$9, 100%, $E$9)</f>
        <v>30.891500000000001</v>
      </c>
      <c r="K541" s="53">
        <f>CHOOSE(CONTROL!$C$42, 31.0025, 31.0025) * CHOOSE(CONTROL!$C$21, $C$9, 100%, $E$9)</f>
        <v>31.002500000000001</v>
      </c>
      <c r="L541" s="14">
        <f>CHOOSE(CONTROL!$C$42, 31.5733, 31.5733) * CHOOSE(CONTROL!$C$21, $C$9, 100%, $E$9)</f>
        <v>31.5733</v>
      </c>
      <c r="M541" s="14">
        <f>CHOOSE(CONTROL!$C$42, 30.2662, 30.2662) * CHOOSE(CONTROL!$C$21, $C$9, 100%, $E$9)</f>
        <v>30.266200000000001</v>
      </c>
      <c r="N541" s="14">
        <f>CHOOSE(CONTROL!$C$42, 30.2823, 30.2823) * CHOOSE(CONTROL!$C$21, $C$9, 100%, $E$9)</f>
        <v>30.282299999999999</v>
      </c>
      <c r="O541" s="14">
        <f>CHOOSE(CONTROL!$C$42, 30.3592, 30.3592) * CHOOSE(CONTROL!$C$21, $C$9, 100%, $E$9)</f>
        <v>30.359200000000001</v>
      </c>
      <c r="P541" s="14">
        <f>CHOOSE(CONTROL!$C$42, 30.3769, 30.3769) * CHOOSE(CONTROL!$C$21, $C$9, 100%, $E$9)</f>
        <v>30.376899999999999</v>
      </c>
      <c r="Q541" s="14">
        <f>CHOOSE(CONTROL!$C$42, 30.9539, 30.9539) * CHOOSE(CONTROL!$C$21, $C$9, 100%, $E$9)</f>
        <v>30.953900000000001</v>
      </c>
      <c r="R541" s="14">
        <f>CHOOSE(CONTROL!$C$42, 31.6182, 31.6182) * CHOOSE(CONTROL!$C$21, $C$9, 100%, $E$9)</f>
        <v>31.618200000000002</v>
      </c>
      <c r="S541" s="14">
        <f>CHOOSE(CONTROL!$C$42, 29.6827, 29.6827) * CHOOSE(CONTROL!$C$21, $C$9, 100%, $E$9)</f>
        <v>29.682700000000001</v>
      </c>
      <c r="T5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7">
        <f>(1000*CHOOSE(CONTROL!$C$42, 695, 695)*CHOOSE(CONTROL!$C$42, 0.5599, 0.5599)*CHOOSE(CONTROL!$C$42, 31, 31))/1000000</f>
        <v>12.063045499999998</v>
      </c>
      <c r="V541" s="57">
        <f>(1000*CHOOSE(CONTROL!$C$42, 500, 500)*CHOOSE(CONTROL!$C$42, 0.275, 0.275)*CHOOSE(CONTROL!$C$42, 31, 31))/1000000</f>
        <v>4.2625000000000002</v>
      </c>
      <c r="W541" s="57">
        <f>(1000*CHOOSE(CONTROL!$C$42, 0.1146, 0.1146)*CHOOSE(CONTROL!$C$42, 121.5, 121.5)*CHOOSE(CONTROL!$C$42, 31, 31))/1000000</f>
        <v>0.43164089999999994</v>
      </c>
      <c r="X541" s="57">
        <f>(31*0.1790888*100000/1000000)+(31*0.2374*100000/1000000)</f>
        <v>1.2911152800000001</v>
      </c>
      <c r="Y541" s="57"/>
      <c r="Z541" s="14"/>
      <c r="AA541" s="56"/>
      <c r="AB541" s="50">
        <f>(B541*122.58+C541*297.941+D541*89.177+E541*40.302+F541*40+G541*160+H541*0+I541*100+J541*300)/(122.58+297.941+89.177+40.302+0+40+160+100+300)</f>
        <v>30.918423389391304</v>
      </c>
      <c r="AC541" s="45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30.325205755395682</v>
      </c>
    </row>
    <row r="542" spans="1:29" ht="15.75" x14ac:dyDescent="0.25">
      <c r="A542" s="32">
        <v>57404</v>
      </c>
      <c r="B542" s="14">
        <f>CHOOSE(CONTROL!$C$42, 31.4493, 31.4493) * CHOOSE(CONTROL!$C$21, $C$9, 100%, $E$9)</f>
        <v>31.449300000000001</v>
      </c>
      <c r="C542" s="14">
        <f>CHOOSE(CONTROL!$C$42, 31.4543, 31.4543) * CHOOSE(CONTROL!$C$21, $C$9, 100%, $E$9)</f>
        <v>31.4543</v>
      </c>
      <c r="D542" s="14">
        <f>CHOOSE(CONTROL!$C$42, 31.5129, 31.5129) * CHOOSE(CONTROL!$C$21, $C$9, 100%, $E$9)</f>
        <v>31.512899999999998</v>
      </c>
      <c r="E542" s="14">
        <f>CHOOSE(CONTROL!$C$42, 31.547, 31.547) * CHOOSE(CONTROL!$C$21, $C$9, 100%, $E$9)</f>
        <v>31.547000000000001</v>
      </c>
      <c r="F542" s="14">
        <f>CHOOSE(CONTROL!$C$42, 31.4483, 31.4483)*CHOOSE(CONTROL!$C$21, $C$9, 100%, $E$9)</f>
        <v>31.4483</v>
      </c>
      <c r="G542" s="14">
        <f>CHOOSE(CONTROL!$C$42, 31.4647, 31.4647)*CHOOSE(CONTROL!$C$21, $C$9, 100%, $E$9)</f>
        <v>31.464700000000001</v>
      </c>
      <c r="H542" s="14">
        <f>CHOOSE(CONTROL!$C$42, 31.5362, 31.5362) * CHOOSE(CONTROL!$C$21, $C$9, 100%, $E$9)</f>
        <v>31.536200000000001</v>
      </c>
      <c r="I542" s="14">
        <f>CHOOSE(CONTROL!$C$42, 31.558, 31.558)* CHOOSE(CONTROL!$C$21, $C$9, 100%, $E$9)</f>
        <v>31.558</v>
      </c>
      <c r="J542" s="14">
        <f>CHOOSE(CONTROL!$C$42, 31.4413, 31.4413)* CHOOSE(CONTROL!$C$21, $C$9, 100%, $E$9)</f>
        <v>31.441299999999998</v>
      </c>
      <c r="K542" s="53">
        <f>CHOOSE(CONTROL!$C$42, 31.5541, 31.5541) * CHOOSE(CONTROL!$C$21, $C$9, 100%, $E$9)</f>
        <v>31.554099999999998</v>
      </c>
      <c r="L542" s="14">
        <f>CHOOSE(CONTROL!$C$42, 32.1232, 32.1232) * CHOOSE(CONTROL!$C$21, $C$9, 100%, $E$9)</f>
        <v>32.123199999999997</v>
      </c>
      <c r="M542" s="14">
        <f>CHOOSE(CONTROL!$C$42, 30.8048, 30.8048) * CHOOSE(CONTROL!$C$21, $C$9, 100%, $E$9)</f>
        <v>30.8048</v>
      </c>
      <c r="N542" s="14">
        <f>CHOOSE(CONTROL!$C$42, 30.8209, 30.8209) * CHOOSE(CONTROL!$C$21, $C$9, 100%, $E$9)</f>
        <v>30.820900000000002</v>
      </c>
      <c r="O542" s="14">
        <f>CHOOSE(CONTROL!$C$42, 30.8978, 30.8978) * CHOOSE(CONTROL!$C$21, $C$9, 100%, $E$9)</f>
        <v>30.8978</v>
      </c>
      <c r="P542" s="14">
        <f>CHOOSE(CONTROL!$C$42, 30.9172, 30.9172) * CHOOSE(CONTROL!$C$21, $C$9, 100%, $E$9)</f>
        <v>30.917200000000001</v>
      </c>
      <c r="Q542" s="14">
        <f>CHOOSE(CONTROL!$C$42, 31.4925, 31.4925) * CHOOSE(CONTROL!$C$21, $C$9, 100%, $E$9)</f>
        <v>31.4925</v>
      </c>
      <c r="R542" s="14">
        <f>CHOOSE(CONTROL!$C$42, 32.1582, 32.1582) * CHOOSE(CONTROL!$C$21, $C$9, 100%, $E$9)</f>
        <v>32.158200000000001</v>
      </c>
      <c r="S542" s="14">
        <f>CHOOSE(CONTROL!$C$42, 30.211, 30.211) * CHOOSE(CONTROL!$C$21, $C$9, 100%, $E$9)</f>
        <v>30.210999999999999</v>
      </c>
      <c r="T5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7">
        <f>(1000*CHOOSE(CONTROL!$C$42, 695, 695)*CHOOSE(CONTROL!$C$42, 0.5599, 0.5599)*CHOOSE(CONTROL!$C$42, 28, 28))/1000000</f>
        <v>10.895653999999999</v>
      </c>
      <c r="V542" s="57">
        <f>(1000*CHOOSE(CONTROL!$C$42, 500, 500)*CHOOSE(CONTROL!$C$42, 0.275, 0.275)*CHOOSE(CONTROL!$C$42, 28, 28))/1000000</f>
        <v>3.85</v>
      </c>
      <c r="W542" s="57">
        <f>(1000*CHOOSE(CONTROL!$C$42, 0.1146, 0.1146)*CHOOSE(CONTROL!$C$42, 121.5, 121.5)*CHOOSE(CONTROL!$C$42, 28, 28))/1000000</f>
        <v>0.38986920000000003</v>
      </c>
      <c r="X542" s="57">
        <f>(28*0.1790888*100000/1000000)+(28*0.2374*100000/1000000)</f>
        <v>1.16616864</v>
      </c>
      <c r="Y542" s="57"/>
      <c r="Z542" s="14"/>
      <c r="AA542" s="56"/>
      <c r="AB542" s="50">
        <f>(B542*122.58+C542*297.941+D542*89.177+E542*40.302+F542*40+G542*160+H542*0+I542*100+J542*300)/(122.58+297.941+89.177+40.302+0+40+160+100+300)</f>
        <v>31.46842423269565</v>
      </c>
      <c r="AC542" s="45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30.86405035971223</v>
      </c>
    </row>
    <row r="543" spans="1:29" ht="15.75" x14ac:dyDescent="0.25">
      <c r="A543" s="32">
        <v>57435</v>
      </c>
      <c r="B543" s="14">
        <f>CHOOSE(CONTROL!$C$42, 30.5567, 30.5567) * CHOOSE(CONTROL!$C$21, $C$9, 100%, $E$9)</f>
        <v>30.556699999999999</v>
      </c>
      <c r="C543" s="14">
        <f>CHOOSE(CONTROL!$C$42, 30.5617, 30.5617) * CHOOSE(CONTROL!$C$21, $C$9, 100%, $E$9)</f>
        <v>30.561699999999998</v>
      </c>
      <c r="D543" s="14">
        <f>CHOOSE(CONTROL!$C$42, 30.6203, 30.6203) * CHOOSE(CONTROL!$C$21, $C$9, 100%, $E$9)</f>
        <v>30.6203</v>
      </c>
      <c r="E543" s="14">
        <f>CHOOSE(CONTROL!$C$42, 30.6544, 30.6544) * CHOOSE(CONTROL!$C$21, $C$9, 100%, $E$9)</f>
        <v>30.654399999999999</v>
      </c>
      <c r="F543" s="14">
        <f>CHOOSE(CONTROL!$C$42, 30.5552, 30.5552)*CHOOSE(CONTROL!$C$21, $C$9, 100%, $E$9)</f>
        <v>30.555199999999999</v>
      </c>
      <c r="G543" s="14">
        <f>CHOOSE(CONTROL!$C$42, 30.5715, 30.5715)*CHOOSE(CONTROL!$C$21, $C$9, 100%, $E$9)</f>
        <v>30.5715</v>
      </c>
      <c r="H543" s="14">
        <f>CHOOSE(CONTROL!$C$42, 30.6436, 30.6436) * CHOOSE(CONTROL!$C$21, $C$9, 100%, $E$9)</f>
        <v>30.643599999999999</v>
      </c>
      <c r="I543" s="14">
        <f>CHOOSE(CONTROL!$C$42, 30.6626, 30.6626)* CHOOSE(CONTROL!$C$21, $C$9, 100%, $E$9)</f>
        <v>30.662600000000001</v>
      </c>
      <c r="J543" s="14">
        <f>CHOOSE(CONTROL!$C$42, 30.5482, 30.5482)* CHOOSE(CONTROL!$C$21, $C$9, 100%, $E$9)</f>
        <v>30.548200000000001</v>
      </c>
      <c r="K543" s="53">
        <f>CHOOSE(CONTROL!$C$42, 30.6587, 30.6587) * CHOOSE(CONTROL!$C$21, $C$9, 100%, $E$9)</f>
        <v>30.6587</v>
      </c>
      <c r="L543" s="14">
        <f>CHOOSE(CONTROL!$C$42, 31.2306, 31.2306) * CHOOSE(CONTROL!$C$21, $C$9, 100%, $E$9)</f>
        <v>31.230599999999999</v>
      </c>
      <c r="M543" s="14">
        <f>CHOOSE(CONTROL!$C$42, 29.93, 29.93) * CHOOSE(CONTROL!$C$21, $C$9, 100%, $E$9)</f>
        <v>29.93</v>
      </c>
      <c r="N543" s="14">
        <f>CHOOSE(CONTROL!$C$42, 29.9459, 29.9459) * CHOOSE(CONTROL!$C$21, $C$9, 100%, $E$9)</f>
        <v>29.945900000000002</v>
      </c>
      <c r="O543" s="14">
        <f>CHOOSE(CONTROL!$C$42, 30.0235, 30.0235) * CHOOSE(CONTROL!$C$21, $C$9, 100%, $E$9)</f>
        <v>30.023499999999999</v>
      </c>
      <c r="P543" s="14">
        <f>CHOOSE(CONTROL!$C$42, 30.0402, 30.0402) * CHOOSE(CONTROL!$C$21, $C$9, 100%, $E$9)</f>
        <v>30.040199999999999</v>
      </c>
      <c r="Q543" s="14">
        <f>CHOOSE(CONTROL!$C$42, 30.6182, 30.6182) * CHOOSE(CONTROL!$C$21, $C$9, 100%, $E$9)</f>
        <v>30.618200000000002</v>
      </c>
      <c r="R543" s="14">
        <f>CHOOSE(CONTROL!$C$42, 31.2817, 31.2817) * CHOOSE(CONTROL!$C$21, $C$9, 100%, $E$9)</f>
        <v>31.281700000000001</v>
      </c>
      <c r="S543" s="14">
        <f>CHOOSE(CONTROL!$C$42, 29.3534, 29.3534) * CHOOSE(CONTROL!$C$21, $C$9, 100%, $E$9)</f>
        <v>29.353400000000001</v>
      </c>
      <c r="T5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7">
        <f>(1000*CHOOSE(CONTROL!$C$42, 695, 695)*CHOOSE(CONTROL!$C$42, 0.5599, 0.5599)*CHOOSE(CONTROL!$C$42, 31, 31))/1000000</f>
        <v>12.063045499999998</v>
      </c>
      <c r="V543" s="57">
        <f>(1000*CHOOSE(CONTROL!$C$42, 500, 500)*CHOOSE(CONTROL!$C$42, 0.275, 0.275)*CHOOSE(CONTROL!$C$42, 31, 31))/1000000</f>
        <v>4.2625000000000002</v>
      </c>
      <c r="W543" s="57">
        <f>(1000*CHOOSE(CONTROL!$C$42, 0.1146, 0.1146)*CHOOSE(CONTROL!$C$42, 121.5, 121.5)*CHOOSE(CONTROL!$C$42, 31, 31))/1000000</f>
        <v>0.43164089999999994</v>
      </c>
      <c r="X543" s="57">
        <f>(31*0.1790888*100000/1000000)+(31*0.2374*100000/1000000)</f>
        <v>1.2911152800000001</v>
      </c>
      <c r="Y543" s="57"/>
      <c r="Z543" s="14"/>
      <c r="AA543" s="56"/>
      <c r="AB543" s="50">
        <f>(B543*122.58+C543*297.941+D543*89.177+E543*40.302+F543*40+G543*160+H543*0+I543*100+J543*300)/(122.58+297.941+89.177+40.302+0+40+160+100+300)</f>
        <v>30.575349450086954</v>
      </c>
      <c r="AC543" s="45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29.989148920863311</v>
      </c>
    </row>
    <row r="544" spans="1:29" ht="15.75" x14ac:dyDescent="0.25">
      <c r="A544" s="32">
        <v>57465</v>
      </c>
      <c r="B544" s="14">
        <f>CHOOSE(CONTROL!$C$42, 30.4664, 30.4664) * CHOOSE(CONTROL!$C$21, $C$9, 100%, $E$9)</f>
        <v>30.4664</v>
      </c>
      <c r="C544" s="14">
        <f>CHOOSE(CONTROL!$C$42, 30.4709, 30.4709) * CHOOSE(CONTROL!$C$21, $C$9, 100%, $E$9)</f>
        <v>30.4709</v>
      </c>
      <c r="D544" s="14">
        <f>CHOOSE(CONTROL!$C$42, 30.679, 30.679) * CHOOSE(CONTROL!$C$21, $C$9, 100%, $E$9)</f>
        <v>30.678999999999998</v>
      </c>
      <c r="E544" s="14">
        <f>CHOOSE(CONTROL!$C$42, 30.7111, 30.7111) * CHOOSE(CONTROL!$C$21, $C$9, 100%, $E$9)</f>
        <v>30.711099999999998</v>
      </c>
      <c r="F544" s="14">
        <f>CHOOSE(CONTROL!$C$42, 30.4537, 30.4537)*CHOOSE(CONTROL!$C$21, $C$9, 100%, $E$9)</f>
        <v>30.453700000000001</v>
      </c>
      <c r="G544" s="14">
        <f>CHOOSE(CONTROL!$C$42, 30.4697, 30.4697)*CHOOSE(CONTROL!$C$21, $C$9, 100%, $E$9)</f>
        <v>30.4697</v>
      </c>
      <c r="H544" s="14">
        <f>CHOOSE(CONTROL!$C$42, 30.7009, 30.7009) * CHOOSE(CONTROL!$C$21, $C$9, 100%, $E$9)</f>
        <v>30.700900000000001</v>
      </c>
      <c r="I544" s="14">
        <f>CHOOSE(CONTROL!$C$42, 30.5712, 30.5712)* CHOOSE(CONTROL!$C$21, $C$9, 100%, $E$9)</f>
        <v>30.571200000000001</v>
      </c>
      <c r="J544" s="14">
        <f>CHOOSE(CONTROL!$C$42, 30.4467, 30.4467)* CHOOSE(CONTROL!$C$21, $C$9, 100%, $E$9)</f>
        <v>30.4467</v>
      </c>
      <c r="K544" s="53">
        <f>CHOOSE(CONTROL!$C$42, 30.5674, 30.5674) * CHOOSE(CONTROL!$C$21, $C$9, 100%, $E$9)</f>
        <v>30.567399999999999</v>
      </c>
      <c r="L544" s="14">
        <f>CHOOSE(CONTROL!$C$42, 31.2879, 31.2879) * CHOOSE(CONTROL!$C$21, $C$9, 100%, $E$9)</f>
        <v>31.2879</v>
      </c>
      <c r="M544" s="14">
        <f>CHOOSE(CONTROL!$C$42, 29.8306, 29.8306) * CHOOSE(CONTROL!$C$21, $C$9, 100%, $E$9)</f>
        <v>29.8306</v>
      </c>
      <c r="N544" s="14">
        <f>CHOOSE(CONTROL!$C$42, 29.8462, 29.8462) * CHOOSE(CONTROL!$C$21, $C$9, 100%, $E$9)</f>
        <v>29.8462</v>
      </c>
      <c r="O544" s="14">
        <f>CHOOSE(CONTROL!$C$42, 30.0795, 30.0795) * CHOOSE(CONTROL!$C$21, $C$9, 100%, $E$9)</f>
        <v>30.079499999999999</v>
      </c>
      <c r="P544" s="14">
        <f>CHOOSE(CONTROL!$C$42, 29.9507, 29.9507) * CHOOSE(CONTROL!$C$21, $C$9, 100%, $E$9)</f>
        <v>29.950700000000001</v>
      </c>
      <c r="Q544" s="14">
        <f>CHOOSE(CONTROL!$C$42, 30.6742, 30.6742) * CHOOSE(CONTROL!$C$21, $C$9, 100%, $E$9)</f>
        <v>30.674199999999999</v>
      </c>
      <c r="R544" s="14">
        <f>CHOOSE(CONTROL!$C$42, 31.3379, 31.3379) * CHOOSE(CONTROL!$C$21, $C$9, 100%, $E$9)</f>
        <v>31.337900000000001</v>
      </c>
      <c r="S544" s="14">
        <f>CHOOSE(CONTROL!$C$42, 29.2658, 29.2658) * CHOOSE(CONTROL!$C$21, $C$9, 100%, $E$9)</f>
        <v>29.265799999999999</v>
      </c>
      <c r="T5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7">
        <f>(1000*CHOOSE(CONTROL!$C$42, 695, 695)*CHOOSE(CONTROL!$C$42, 0.5599, 0.5599)*CHOOSE(CONTROL!$C$42, 30, 30))/1000000</f>
        <v>11.673914999999997</v>
      </c>
      <c r="V544" s="57">
        <f>(1000*CHOOSE(CONTROL!$C$42, 500, 500)*CHOOSE(CONTROL!$C$42, 0.275, 0.275)*CHOOSE(CONTROL!$C$42, 30, 30))/1000000</f>
        <v>4.125</v>
      </c>
      <c r="W544" s="57">
        <f>(1000*CHOOSE(CONTROL!$C$42, 0.1146, 0.1146)*CHOOSE(CONTROL!$C$42, 121.5, 121.5)*CHOOSE(CONTROL!$C$42, 30, 30))/1000000</f>
        <v>0.417717</v>
      </c>
      <c r="X544" s="57">
        <f>(30*0.1790888*245000/1000000)+(30*0.2374*100000/1000000)</f>
        <v>2.0285026799999999</v>
      </c>
      <c r="Y544" s="57"/>
      <c r="Z544" s="14"/>
      <c r="AA544" s="56"/>
      <c r="AB544" s="50">
        <f>(B544*141.293+C544*267.993+D544*115.016+E544*89.698+F544*40+G544*185+H544*0+I544*100+J544*300)/(141.293+267.993+115.016+89.698+0+40+185+100+300)</f>
        <v>30.508595295157384</v>
      </c>
      <c r="AC544" s="45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29.921307194244601</v>
      </c>
    </row>
    <row r="545" spans="1:29" ht="15.75" x14ac:dyDescent="0.25">
      <c r="A545" s="32">
        <v>57496</v>
      </c>
      <c r="B545" s="14">
        <f>CHOOSE(CONTROL!$C$42, 30.7366, 30.7366) * CHOOSE(CONTROL!$C$21, $C$9, 100%, $E$9)</f>
        <v>30.736599999999999</v>
      </c>
      <c r="C545" s="14">
        <f>CHOOSE(CONTROL!$C$42, 30.7446, 30.7446) * CHOOSE(CONTROL!$C$21, $C$9, 100%, $E$9)</f>
        <v>30.744599999999998</v>
      </c>
      <c r="D545" s="14">
        <f>CHOOSE(CONTROL!$C$42, 30.9496, 30.9496) * CHOOSE(CONTROL!$C$21, $C$9, 100%, $E$9)</f>
        <v>30.9496</v>
      </c>
      <c r="E545" s="14">
        <f>CHOOSE(CONTROL!$C$42, 30.981, 30.981) * CHOOSE(CONTROL!$C$21, $C$9, 100%, $E$9)</f>
        <v>30.981000000000002</v>
      </c>
      <c r="F545" s="14">
        <f>CHOOSE(CONTROL!$C$42, 30.7228, 30.7228)*CHOOSE(CONTROL!$C$21, $C$9, 100%, $E$9)</f>
        <v>30.722799999999999</v>
      </c>
      <c r="G545" s="14">
        <f>CHOOSE(CONTROL!$C$42, 30.7392, 30.7392)*CHOOSE(CONTROL!$C$21, $C$9, 100%, $E$9)</f>
        <v>30.7392</v>
      </c>
      <c r="H545" s="14">
        <f>CHOOSE(CONTROL!$C$42, 30.9697, 30.9697) * CHOOSE(CONTROL!$C$21, $C$9, 100%, $E$9)</f>
        <v>30.9697</v>
      </c>
      <c r="I545" s="14">
        <f>CHOOSE(CONTROL!$C$42, 30.8409, 30.8409)* CHOOSE(CONTROL!$C$21, $C$9, 100%, $E$9)</f>
        <v>30.840900000000001</v>
      </c>
      <c r="J545" s="14">
        <f>CHOOSE(CONTROL!$C$42, 30.7158, 30.7158)* CHOOSE(CONTROL!$C$21, $C$9, 100%, $E$9)</f>
        <v>30.715800000000002</v>
      </c>
      <c r="K545" s="53">
        <f>CHOOSE(CONTROL!$C$42, 30.837, 30.837) * CHOOSE(CONTROL!$C$21, $C$9, 100%, $E$9)</f>
        <v>30.837</v>
      </c>
      <c r="L545" s="14">
        <f>CHOOSE(CONTROL!$C$42, 31.5567, 31.5567) * CHOOSE(CONTROL!$C$21, $C$9, 100%, $E$9)</f>
        <v>31.556699999999999</v>
      </c>
      <c r="M545" s="14">
        <f>CHOOSE(CONTROL!$C$42, 30.0941, 30.0941) * CHOOSE(CONTROL!$C$21, $C$9, 100%, $E$9)</f>
        <v>30.094100000000001</v>
      </c>
      <c r="N545" s="14">
        <f>CHOOSE(CONTROL!$C$42, 30.1102, 30.1102) * CHOOSE(CONTROL!$C$21, $C$9, 100%, $E$9)</f>
        <v>30.110199999999999</v>
      </c>
      <c r="O545" s="14">
        <f>CHOOSE(CONTROL!$C$42, 30.3428, 30.3428) * CHOOSE(CONTROL!$C$21, $C$9, 100%, $E$9)</f>
        <v>30.3428</v>
      </c>
      <c r="P545" s="14">
        <f>CHOOSE(CONTROL!$C$42, 30.2148, 30.2148) * CHOOSE(CONTROL!$C$21, $C$9, 100%, $E$9)</f>
        <v>30.2148</v>
      </c>
      <c r="Q545" s="14">
        <f>CHOOSE(CONTROL!$C$42, 30.9375, 30.9375) * CHOOSE(CONTROL!$C$21, $C$9, 100%, $E$9)</f>
        <v>30.9375</v>
      </c>
      <c r="R545" s="14">
        <f>CHOOSE(CONTROL!$C$42, 31.6019, 31.6019) * CHOOSE(CONTROL!$C$21, $C$9, 100%, $E$9)</f>
        <v>31.601900000000001</v>
      </c>
      <c r="S545" s="14">
        <f>CHOOSE(CONTROL!$C$42, 29.5241, 29.5241) * CHOOSE(CONTROL!$C$21, $C$9, 100%, $E$9)</f>
        <v>29.524100000000001</v>
      </c>
      <c r="T5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7">
        <f>(1000*CHOOSE(CONTROL!$C$42, 695, 695)*CHOOSE(CONTROL!$C$42, 0.5599, 0.5599)*CHOOSE(CONTROL!$C$42, 31, 31))/1000000</f>
        <v>12.063045499999998</v>
      </c>
      <c r="V545" s="57">
        <f>(1000*CHOOSE(CONTROL!$C$42, 500, 500)*CHOOSE(CONTROL!$C$42, 0.275, 0.275)*CHOOSE(CONTROL!$C$42, 31, 31))/1000000</f>
        <v>4.2625000000000002</v>
      </c>
      <c r="W545" s="57">
        <f>(1000*CHOOSE(CONTROL!$C$42, 0.1146, 0.1146)*CHOOSE(CONTROL!$C$42, 121.5, 121.5)*CHOOSE(CONTROL!$C$42, 31, 31))/1000000</f>
        <v>0.43164089999999994</v>
      </c>
      <c r="X545" s="57">
        <f>(31*0.1790888*245000/1000000)+(31*0.2374*100000/1000000)</f>
        <v>2.0961194359999999</v>
      </c>
      <c r="Y545" s="57"/>
      <c r="Z545" s="14"/>
      <c r="AA545" s="56"/>
      <c r="AB545" s="50">
        <f>(B545*194.205+C545*267.466+D545*133.845+E545*53.484+F545*40+G545*185+H545*0+I545*100+J545*300)/(194.205+267.466+133.845+53.484+0+40+185+100+300)</f>
        <v>30.774150394505494</v>
      </c>
      <c r="AC545" s="45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30.184952517985614</v>
      </c>
    </row>
    <row r="546" spans="1:29" ht="15.75" x14ac:dyDescent="0.25">
      <c r="A546" s="32">
        <v>57526</v>
      </c>
      <c r="B546" s="14">
        <f>CHOOSE(CONTROL!$C$42, 31.6081, 31.6081) * CHOOSE(CONTROL!$C$21, $C$9, 100%, $E$9)</f>
        <v>31.6081</v>
      </c>
      <c r="C546" s="14">
        <f>CHOOSE(CONTROL!$C$42, 31.6161, 31.6161) * CHOOSE(CONTROL!$C$21, $C$9, 100%, $E$9)</f>
        <v>31.616099999999999</v>
      </c>
      <c r="D546" s="14">
        <f>CHOOSE(CONTROL!$C$42, 31.8211, 31.8211) * CHOOSE(CONTROL!$C$21, $C$9, 100%, $E$9)</f>
        <v>31.821100000000001</v>
      </c>
      <c r="E546" s="14">
        <f>CHOOSE(CONTROL!$C$42, 31.8526, 31.8526) * CHOOSE(CONTROL!$C$21, $C$9, 100%, $E$9)</f>
        <v>31.852599999999999</v>
      </c>
      <c r="F546" s="14">
        <f>CHOOSE(CONTROL!$C$42, 31.5947, 31.5947)*CHOOSE(CONTROL!$C$21, $C$9, 100%, $E$9)</f>
        <v>31.5947</v>
      </c>
      <c r="G546" s="14">
        <f>CHOOSE(CONTROL!$C$42, 31.6112, 31.6112)*CHOOSE(CONTROL!$C$21, $C$9, 100%, $E$9)</f>
        <v>31.6112</v>
      </c>
      <c r="H546" s="14">
        <f>CHOOSE(CONTROL!$C$42, 31.8412, 31.8412) * CHOOSE(CONTROL!$C$21, $C$9, 100%, $E$9)</f>
        <v>31.841200000000001</v>
      </c>
      <c r="I546" s="14">
        <f>CHOOSE(CONTROL!$C$42, 31.7152, 31.7152)* CHOOSE(CONTROL!$C$21, $C$9, 100%, $E$9)</f>
        <v>31.715199999999999</v>
      </c>
      <c r="J546" s="14">
        <f>CHOOSE(CONTROL!$C$42, 31.5877, 31.5877)* CHOOSE(CONTROL!$C$21, $C$9, 100%, $E$9)</f>
        <v>31.587700000000002</v>
      </c>
      <c r="K546" s="53">
        <f>CHOOSE(CONTROL!$C$42, 31.7113, 31.7113) * CHOOSE(CONTROL!$C$21, $C$9, 100%, $E$9)</f>
        <v>31.711300000000001</v>
      </c>
      <c r="L546" s="14">
        <f>CHOOSE(CONTROL!$C$42, 32.4282, 32.4282) * CHOOSE(CONTROL!$C$21, $C$9, 100%, $E$9)</f>
        <v>32.428199999999997</v>
      </c>
      <c r="M546" s="14">
        <f>CHOOSE(CONTROL!$C$42, 30.9482, 30.9482) * CHOOSE(CONTROL!$C$21, $C$9, 100%, $E$9)</f>
        <v>30.9482</v>
      </c>
      <c r="N546" s="14">
        <f>CHOOSE(CONTROL!$C$42, 30.9643, 30.9643) * CHOOSE(CONTROL!$C$21, $C$9, 100%, $E$9)</f>
        <v>30.964300000000001</v>
      </c>
      <c r="O546" s="14">
        <f>CHOOSE(CONTROL!$C$42, 31.1965, 31.1965) * CHOOSE(CONTROL!$C$21, $C$9, 100%, $E$9)</f>
        <v>31.1965</v>
      </c>
      <c r="P546" s="14">
        <f>CHOOSE(CONTROL!$C$42, 31.0711, 31.0711) * CHOOSE(CONTROL!$C$21, $C$9, 100%, $E$9)</f>
        <v>31.071100000000001</v>
      </c>
      <c r="Q546" s="14">
        <f>CHOOSE(CONTROL!$C$42, 31.7912, 31.7912) * CHOOSE(CONTROL!$C$21, $C$9, 100%, $E$9)</f>
        <v>31.7912</v>
      </c>
      <c r="R546" s="14">
        <f>CHOOSE(CONTROL!$C$42, 32.4577, 32.4577) * CHOOSE(CONTROL!$C$21, $C$9, 100%, $E$9)</f>
        <v>32.457700000000003</v>
      </c>
      <c r="S546" s="14">
        <f>CHOOSE(CONTROL!$C$42, 30.3616, 30.3616) * CHOOSE(CONTROL!$C$21, $C$9, 100%, $E$9)</f>
        <v>30.361599999999999</v>
      </c>
      <c r="T5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7">
        <f>(1000*CHOOSE(CONTROL!$C$42, 695, 695)*CHOOSE(CONTROL!$C$42, 0.5599, 0.5599)*CHOOSE(CONTROL!$C$42, 30, 30))/1000000</f>
        <v>11.673914999999997</v>
      </c>
      <c r="V546" s="57">
        <f>(1000*CHOOSE(CONTROL!$C$42, 500, 500)*CHOOSE(CONTROL!$C$42, 0.275, 0.275)*CHOOSE(CONTROL!$C$42, 30, 30))/1000000</f>
        <v>4.125</v>
      </c>
      <c r="W546" s="57">
        <f>(1000*CHOOSE(CONTROL!$C$42, 0.1146, 0.1146)*CHOOSE(CONTROL!$C$42, 121.5, 121.5)*CHOOSE(CONTROL!$C$42, 30, 30))/1000000</f>
        <v>0.417717</v>
      </c>
      <c r="X546" s="57">
        <f>(30*0.1790888*245000/1000000)+(30*0.2374*100000/1000000)</f>
        <v>2.0285026799999999</v>
      </c>
      <c r="Y546" s="57"/>
      <c r="Z546" s="14"/>
      <c r="AA546" s="56"/>
      <c r="AB546" s="50">
        <f>(B546*194.205+C546*267.466+D546*133.845+E546*53.484+F546*40+G546*185+H546*0+I546*100+J546*300)/(194.205+267.466+133.845+53.484+0+40+185+100+300)</f>
        <v>31.646053729199373</v>
      </c>
      <c r="AC546" s="45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31.039256834532377</v>
      </c>
    </row>
    <row r="547" spans="1:29" ht="15.75" x14ac:dyDescent="0.25">
      <c r="A547" s="32">
        <v>57557</v>
      </c>
      <c r="B547" s="14">
        <f>CHOOSE(CONTROL!$C$42, 31.002, 31.002) * CHOOSE(CONTROL!$C$21, $C$9, 100%, $E$9)</f>
        <v>31.001999999999999</v>
      </c>
      <c r="C547" s="14">
        <f>CHOOSE(CONTROL!$C$42, 31.01, 31.01) * CHOOSE(CONTROL!$C$21, $C$9, 100%, $E$9)</f>
        <v>31.01</v>
      </c>
      <c r="D547" s="14">
        <f>CHOOSE(CONTROL!$C$42, 31.215, 31.215) * CHOOSE(CONTROL!$C$21, $C$9, 100%, $E$9)</f>
        <v>31.215</v>
      </c>
      <c r="E547" s="14">
        <f>CHOOSE(CONTROL!$C$42, 31.2464, 31.2464) * CHOOSE(CONTROL!$C$21, $C$9, 100%, $E$9)</f>
        <v>31.246400000000001</v>
      </c>
      <c r="F547" s="14">
        <f>CHOOSE(CONTROL!$C$42, 30.9889, 30.9889)*CHOOSE(CONTROL!$C$21, $C$9, 100%, $E$9)</f>
        <v>30.988900000000001</v>
      </c>
      <c r="G547" s="14">
        <f>CHOOSE(CONTROL!$C$42, 31.0056, 31.0056)*CHOOSE(CONTROL!$C$21, $C$9, 100%, $E$9)</f>
        <v>31.005600000000001</v>
      </c>
      <c r="H547" s="14">
        <f>CHOOSE(CONTROL!$C$42, 31.2351, 31.2351) * CHOOSE(CONTROL!$C$21, $C$9, 100%, $E$9)</f>
        <v>31.235099999999999</v>
      </c>
      <c r="I547" s="14">
        <f>CHOOSE(CONTROL!$C$42, 31.1071, 31.1071)* CHOOSE(CONTROL!$C$21, $C$9, 100%, $E$9)</f>
        <v>31.107099999999999</v>
      </c>
      <c r="J547" s="14">
        <f>CHOOSE(CONTROL!$C$42, 30.9819, 30.9819)* CHOOSE(CONTROL!$C$21, $C$9, 100%, $E$9)</f>
        <v>30.9819</v>
      </c>
      <c r="K547" s="53">
        <f>CHOOSE(CONTROL!$C$42, 31.1032, 31.1032) * CHOOSE(CONTROL!$C$21, $C$9, 100%, $E$9)</f>
        <v>31.103200000000001</v>
      </c>
      <c r="L547" s="14">
        <f>CHOOSE(CONTROL!$C$42, 31.8221, 31.8221) * CHOOSE(CONTROL!$C$21, $C$9, 100%, $E$9)</f>
        <v>31.822099999999999</v>
      </c>
      <c r="M547" s="14">
        <f>CHOOSE(CONTROL!$C$42, 30.3548, 30.3548) * CHOOSE(CONTROL!$C$21, $C$9, 100%, $E$9)</f>
        <v>30.354800000000001</v>
      </c>
      <c r="N547" s="14">
        <f>CHOOSE(CONTROL!$C$42, 30.3711, 30.3711) * CHOOSE(CONTROL!$C$21, $C$9, 100%, $E$9)</f>
        <v>30.371099999999998</v>
      </c>
      <c r="O547" s="14">
        <f>CHOOSE(CONTROL!$C$42, 30.6028, 30.6028) * CHOOSE(CONTROL!$C$21, $C$9, 100%, $E$9)</f>
        <v>30.602799999999998</v>
      </c>
      <c r="P547" s="14">
        <f>CHOOSE(CONTROL!$C$42, 30.4756, 30.4756) * CHOOSE(CONTROL!$C$21, $C$9, 100%, $E$9)</f>
        <v>30.4756</v>
      </c>
      <c r="Q547" s="14">
        <f>CHOOSE(CONTROL!$C$42, 31.1975, 31.1975) * CHOOSE(CONTROL!$C$21, $C$9, 100%, $E$9)</f>
        <v>31.197500000000002</v>
      </c>
      <c r="R547" s="14">
        <f>CHOOSE(CONTROL!$C$42, 31.8625, 31.8625) * CHOOSE(CONTROL!$C$21, $C$9, 100%, $E$9)</f>
        <v>31.862500000000001</v>
      </c>
      <c r="S547" s="14">
        <f>CHOOSE(CONTROL!$C$42, 29.7791, 29.7791) * CHOOSE(CONTROL!$C$21, $C$9, 100%, $E$9)</f>
        <v>29.7791</v>
      </c>
      <c r="T5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7">
        <f>(1000*CHOOSE(CONTROL!$C$42, 695, 695)*CHOOSE(CONTROL!$C$42, 0.5599, 0.5599)*CHOOSE(CONTROL!$C$42, 31, 31))/1000000</f>
        <v>12.063045499999998</v>
      </c>
      <c r="V547" s="57">
        <f>(1000*CHOOSE(CONTROL!$C$42, 500, 500)*CHOOSE(CONTROL!$C$42, 0.275, 0.275)*CHOOSE(CONTROL!$C$42, 31, 31))/1000000</f>
        <v>4.2625000000000002</v>
      </c>
      <c r="W547" s="57">
        <f>(1000*CHOOSE(CONTROL!$C$42, 0.1146, 0.1146)*CHOOSE(CONTROL!$C$42, 121.5, 121.5)*CHOOSE(CONTROL!$C$42, 31, 31))/1000000</f>
        <v>0.43164089999999994</v>
      </c>
      <c r="X547" s="57">
        <f>(31*0.1790888*245000/1000000)+(31*0.2374*100000/1000000)</f>
        <v>2.0961194359999999</v>
      </c>
      <c r="Y547" s="57"/>
      <c r="Z547" s="14"/>
      <c r="AA547" s="56"/>
      <c r="AB547" s="50">
        <f>(B547*194.205+C547*267.466+D547*133.845+E547*53.484+F547*40+G547*185+H547*0+I547*100+J547*300)/(194.205+267.466+133.845+53.484+0+40+185+100+300)</f>
        <v>31.039945213971741</v>
      </c>
      <c r="AC547" s="45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30.445516546762594</v>
      </c>
    </row>
    <row r="548" spans="1:29" ht="15.75" x14ac:dyDescent="0.25">
      <c r="A548" s="32">
        <v>57588</v>
      </c>
      <c r="B548" s="14">
        <f>CHOOSE(CONTROL!$C$42, 29.4712, 29.4712) * CHOOSE(CONTROL!$C$21, $C$9, 100%, $E$9)</f>
        <v>29.4712</v>
      </c>
      <c r="C548" s="14">
        <f>CHOOSE(CONTROL!$C$42, 29.4792, 29.4792) * CHOOSE(CONTROL!$C$21, $C$9, 100%, $E$9)</f>
        <v>29.479199999999999</v>
      </c>
      <c r="D548" s="14">
        <f>CHOOSE(CONTROL!$C$42, 29.6842, 29.6842) * CHOOSE(CONTROL!$C$21, $C$9, 100%, $E$9)</f>
        <v>29.684200000000001</v>
      </c>
      <c r="E548" s="14">
        <f>CHOOSE(CONTROL!$C$42, 29.7157, 29.7157) * CHOOSE(CONTROL!$C$21, $C$9, 100%, $E$9)</f>
        <v>29.715699999999998</v>
      </c>
      <c r="F548" s="14">
        <f>CHOOSE(CONTROL!$C$42, 29.4584, 29.4584)*CHOOSE(CONTROL!$C$21, $C$9, 100%, $E$9)</f>
        <v>29.458400000000001</v>
      </c>
      <c r="G548" s="14">
        <f>CHOOSE(CONTROL!$C$42, 29.4751, 29.4751)*CHOOSE(CONTROL!$C$21, $C$9, 100%, $E$9)</f>
        <v>29.475100000000001</v>
      </c>
      <c r="H548" s="14">
        <f>CHOOSE(CONTROL!$C$42, 29.7043, 29.7043) * CHOOSE(CONTROL!$C$21, $C$9, 100%, $E$9)</f>
        <v>29.7043</v>
      </c>
      <c r="I548" s="14">
        <f>CHOOSE(CONTROL!$C$42, 29.5716, 29.5716)* CHOOSE(CONTROL!$C$21, $C$9, 100%, $E$9)</f>
        <v>29.5716</v>
      </c>
      <c r="J548" s="14">
        <f>CHOOSE(CONTROL!$C$42, 29.4514, 29.4514)* CHOOSE(CONTROL!$C$21, $C$9, 100%, $E$9)</f>
        <v>29.4514</v>
      </c>
      <c r="K548" s="53">
        <f>CHOOSE(CONTROL!$C$42, 29.5677, 29.5677) * CHOOSE(CONTROL!$C$21, $C$9, 100%, $E$9)</f>
        <v>29.567699999999999</v>
      </c>
      <c r="L548" s="14">
        <f>CHOOSE(CONTROL!$C$42, 30.2913, 30.2913) * CHOOSE(CONTROL!$C$21, $C$9, 100%, $E$9)</f>
        <v>30.2913</v>
      </c>
      <c r="M548" s="14">
        <f>CHOOSE(CONTROL!$C$42, 28.8556, 28.8556) * CHOOSE(CONTROL!$C$21, $C$9, 100%, $E$9)</f>
        <v>28.855599999999999</v>
      </c>
      <c r="N548" s="14">
        <f>CHOOSE(CONTROL!$C$42, 28.872, 28.872) * CHOOSE(CONTROL!$C$21, $C$9, 100%, $E$9)</f>
        <v>28.872</v>
      </c>
      <c r="O548" s="14">
        <f>CHOOSE(CONTROL!$C$42, 29.1034, 29.1034) * CHOOSE(CONTROL!$C$21, $C$9, 100%, $E$9)</f>
        <v>29.103400000000001</v>
      </c>
      <c r="P548" s="14">
        <f>CHOOSE(CONTROL!$C$42, 28.9716, 28.9716) * CHOOSE(CONTROL!$C$21, $C$9, 100%, $E$9)</f>
        <v>28.971599999999999</v>
      </c>
      <c r="Q548" s="14">
        <f>CHOOSE(CONTROL!$C$42, 29.6981, 29.6981) * CHOOSE(CONTROL!$C$21, $C$9, 100%, $E$9)</f>
        <v>29.6981</v>
      </c>
      <c r="R548" s="14">
        <f>CHOOSE(CONTROL!$C$42, 30.3593, 30.3593) * CHOOSE(CONTROL!$C$21, $C$9, 100%, $E$9)</f>
        <v>30.359300000000001</v>
      </c>
      <c r="S548" s="14">
        <f>CHOOSE(CONTROL!$C$42, 28.3083, 28.3083) * CHOOSE(CONTROL!$C$21, $C$9, 100%, $E$9)</f>
        <v>28.308299999999999</v>
      </c>
      <c r="T5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7">
        <f>(1000*CHOOSE(CONTROL!$C$42, 695, 695)*CHOOSE(CONTROL!$C$42, 0.5599, 0.5599)*CHOOSE(CONTROL!$C$42, 31, 31))/1000000</f>
        <v>12.063045499999998</v>
      </c>
      <c r="V548" s="57">
        <f>(1000*CHOOSE(CONTROL!$C$42, 500, 500)*CHOOSE(CONTROL!$C$42, 0.275, 0.275)*CHOOSE(CONTROL!$C$42, 31, 31))/1000000</f>
        <v>4.2625000000000002</v>
      </c>
      <c r="W548" s="57">
        <f>(1000*CHOOSE(CONTROL!$C$42, 0.1146, 0.1146)*CHOOSE(CONTROL!$C$42, 121.5, 121.5)*CHOOSE(CONTROL!$C$42, 31, 31))/1000000</f>
        <v>0.43164089999999994</v>
      </c>
      <c r="X548" s="57">
        <f>(31*0.1790888*245000/1000000)+(31*0.2374*100000/1000000)</f>
        <v>2.0961194359999999</v>
      </c>
      <c r="Y548" s="57"/>
      <c r="Z548" s="14"/>
      <c r="AA548" s="56"/>
      <c r="AB548" s="50">
        <f>(B548*194.205+C548*267.466+D548*133.845+E548*53.484+F548*40+G548*185+H548*0+I548*100+J548*300)/(194.205+267.466+133.845+53.484+0+40+185+100+300)</f>
        <v>29.508904121664049</v>
      </c>
      <c r="AC548" s="45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28.9455928057554</v>
      </c>
    </row>
    <row r="549" spans="1:29" ht="15.75" x14ac:dyDescent="0.25">
      <c r="A549" s="32">
        <v>57618</v>
      </c>
      <c r="B549" s="14">
        <f>CHOOSE(CONTROL!$C$42, 27.6005, 27.6005) * CHOOSE(CONTROL!$C$21, $C$9, 100%, $E$9)</f>
        <v>27.6005</v>
      </c>
      <c r="C549" s="14">
        <f>CHOOSE(CONTROL!$C$42, 27.6086, 27.6086) * CHOOSE(CONTROL!$C$21, $C$9, 100%, $E$9)</f>
        <v>27.608599999999999</v>
      </c>
      <c r="D549" s="14">
        <f>CHOOSE(CONTROL!$C$42, 27.8135, 27.8135) * CHOOSE(CONTROL!$C$21, $C$9, 100%, $E$9)</f>
        <v>27.813500000000001</v>
      </c>
      <c r="E549" s="14">
        <f>CHOOSE(CONTROL!$C$42, 27.845, 27.845) * CHOOSE(CONTROL!$C$21, $C$9, 100%, $E$9)</f>
        <v>27.844999999999999</v>
      </c>
      <c r="F549" s="14">
        <f>CHOOSE(CONTROL!$C$42, 27.5877, 27.5877)*CHOOSE(CONTROL!$C$21, $C$9, 100%, $E$9)</f>
        <v>27.587700000000002</v>
      </c>
      <c r="G549" s="14">
        <f>CHOOSE(CONTROL!$C$42, 27.6044, 27.6044)*CHOOSE(CONTROL!$C$21, $C$9, 100%, $E$9)</f>
        <v>27.604399999999998</v>
      </c>
      <c r="H549" s="14">
        <f>CHOOSE(CONTROL!$C$42, 27.8336, 27.8336) * CHOOSE(CONTROL!$C$21, $C$9, 100%, $E$9)</f>
        <v>27.833600000000001</v>
      </c>
      <c r="I549" s="14">
        <f>CHOOSE(CONTROL!$C$42, 27.695, 27.695)* CHOOSE(CONTROL!$C$21, $C$9, 100%, $E$9)</f>
        <v>27.695</v>
      </c>
      <c r="J549" s="14">
        <f>CHOOSE(CONTROL!$C$42, 27.5807, 27.5807)* CHOOSE(CONTROL!$C$21, $C$9, 100%, $E$9)</f>
        <v>27.5807</v>
      </c>
      <c r="K549" s="53">
        <f>CHOOSE(CONTROL!$C$42, 27.6911, 27.6911) * CHOOSE(CONTROL!$C$21, $C$9, 100%, $E$9)</f>
        <v>27.691099999999999</v>
      </c>
      <c r="L549" s="14">
        <f>CHOOSE(CONTROL!$C$42, 28.4206, 28.4206) * CHOOSE(CONTROL!$C$21, $C$9, 100%, $E$9)</f>
        <v>28.4206</v>
      </c>
      <c r="M549" s="14">
        <f>CHOOSE(CONTROL!$C$42, 27.0233, 27.0233) * CHOOSE(CONTROL!$C$21, $C$9, 100%, $E$9)</f>
        <v>27.023299999999999</v>
      </c>
      <c r="N549" s="14">
        <f>CHOOSE(CONTROL!$C$42, 27.0396, 27.0396) * CHOOSE(CONTROL!$C$21, $C$9, 100%, $E$9)</f>
        <v>27.0396</v>
      </c>
      <c r="O549" s="14">
        <f>CHOOSE(CONTROL!$C$42, 27.271, 27.271) * CHOOSE(CONTROL!$C$21, $C$9, 100%, $E$9)</f>
        <v>27.271000000000001</v>
      </c>
      <c r="P549" s="14">
        <f>CHOOSE(CONTROL!$C$42, 27.1336, 27.1336) * CHOOSE(CONTROL!$C$21, $C$9, 100%, $E$9)</f>
        <v>27.133600000000001</v>
      </c>
      <c r="Q549" s="14">
        <f>CHOOSE(CONTROL!$C$42, 27.8657, 27.8657) * CHOOSE(CONTROL!$C$21, $C$9, 100%, $E$9)</f>
        <v>27.8657</v>
      </c>
      <c r="R549" s="14">
        <f>CHOOSE(CONTROL!$C$42, 28.5224, 28.5224) * CHOOSE(CONTROL!$C$21, $C$9, 100%, $E$9)</f>
        <v>28.522400000000001</v>
      </c>
      <c r="S549" s="14">
        <f>CHOOSE(CONTROL!$C$42, 26.5107, 26.5107) * CHOOSE(CONTROL!$C$21, $C$9, 100%, $E$9)</f>
        <v>26.5107</v>
      </c>
      <c r="T5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7">
        <f>(1000*CHOOSE(CONTROL!$C$42, 695, 695)*CHOOSE(CONTROL!$C$42, 0.5599, 0.5599)*CHOOSE(CONTROL!$C$42, 30, 30))/1000000</f>
        <v>11.673914999999997</v>
      </c>
      <c r="V549" s="57">
        <f>(1000*CHOOSE(CONTROL!$C$42, 500, 500)*CHOOSE(CONTROL!$C$42, 0.275, 0.275)*CHOOSE(CONTROL!$C$42, 30, 30))/1000000</f>
        <v>4.125</v>
      </c>
      <c r="W549" s="57">
        <f>(1000*CHOOSE(CONTROL!$C$42, 0.1146, 0.1146)*CHOOSE(CONTROL!$C$42, 121.5, 121.5)*CHOOSE(CONTROL!$C$42, 30, 30))/1000000</f>
        <v>0.417717</v>
      </c>
      <c r="X549" s="57">
        <f>(30*0.1790888*245000/1000000)+(30*0.2374*100000/1000000)</f>
        <v>2.0285026799999999</v>
      </c>
      <c r="Y549" s="57"/>
      <c r="Z549" s="14"/>
      <c r="AA549" s="56"/>
      <c r="AB549" s="50">
        <f>(B549*194.205+C549*267.466+D549*133.845+E549*53.484+F549*40+G549*185+H549*0+I549*100+J549*300)/(194.205+267.466+133.845+53.484+0+40+185+100+300)</f>
        <v>27.637762007535322</v>
      </c>
      <c r="AC549" s="45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27.112421582733816</v>
      </c>
    </row>
    <row r="550" spans="1:29" ht="15.75" x14ac:dyDescent="0.25">
      <c r="A550" s="32">
        <v>57649</v>
      </c>
      <c r="B550" s="14">
        <f>CHOOSE(CONTROL!$C$42, 27.0386, 27.0386) * CHOOSE(CONTROL!$C$21, $C$9, 100%, $E$9)</f>
        <v>27.038599999999999</v>
      </c>
      <c r="C550" s="14">
        <f>CHOOSE(CONTROL!$C$42, 27.0439, 27.0439) * CHOOSE(CONTROL!$C$21, $C$9, 100%, $E$9)</f>
        <v>27.043900000000001</v>
      </c>
      <c r="D550" s="14">
        <f>CHOOSE(CONTROL!$C$42, 27.2539, 27.2539) * CHOOSE(CONTROL!$C$21, $C$9, 100%, $E$9)</f>
        <v>27.253900000000002</v>
      </c>
      <c r="E550" s="14">
        <f>CHOOSE(CONTROL!$C$42, 27.283, 27.283) * CHOOSE(CONTROL!$C$21, $C$9, 100%, $E$9)</f>
        <v>27.283000000000001</v>
      </c>
      <c r="F550" s="14">
        <f>CHOOSE(CONTROL!$C$42, 27.0278, 27.0278)*CHOOSE(CONTROL!$C$21, $C$9, 100%, $E$9)</f>
        <v>27.027799999999999</v>
      </c>
      <c r="G550" s="14">
        <f>CHOOSE(CONTROL!$C$42, 27.0442, 27.0442)*CHOOSE(CONTROL!$C$21, $C$9, 100%, $E$9)</f>
        <v>27.0442</v>
      </c>
      <c r="H550" s="14">
        <f>CHOOSE(CONTROL!$C$42, 27.2735, 27.2735) * CHOOSE(CONTROL!$C$21, $C$9, 100%, $E$9)</f>
        <v>27.273499999999999</v>
      </c>
      <c r="I550" s="14">
        <f>CHOOSE(CONTROL!$C$42, 27.1331, 27.1331)* CHOOSE(CONTROL!$C$21, $C$9, 100%, $E$9)</f>
        <v>27.133099999999999</v>
      </c>
      <c r="J550" s="14">
        <f>CHOOSE(CONTROL!$C$42, 27.0208, 27.0208)* CHOOSE(CONTROL!$C$21, $C$9, 100%, $E$9)</f>
        <v>27.020800000000001</v>
      </c>
      <c r="K550" s="53">
        <f>CHOOSE(CONTROL!$C$42, 27.1292, 27.1292) * CHOOSE(CONTROL!$C$21, $C$9, 100%, $E$9)</f>
        <v>27.129200000000001</v>
      </c>
      <c r="L550" s="14">
        <f>CHOOSE(CONTROL!$C$42, 27.8605, 27.8605) * CHOOSE(CONTROL!$C$21, $C$9, 100%, $E$9)</f>
        <v>27.860499999999998</v>
      </c>
      <c r="M550" s="14">
        <f>CHOOSE(CONTROL!$C$42, 26.4749, 26.4749) * CHOOSE(CONTROL!$C$21, $C$9, 100%, $E$9)</f>
        <v>26.474900000000002</v>
      </c>
      <c r="N550" s="14">
        <f>CHOOSE(CONTROL!$C$42, 26.4909, 26.4909) * CHOOSE(CONTROL!$C$21, $C$9, 100%, $E$9)</f>
        <v>26.4909</v>
      </c>
      <c r="O550" s="14">
        <f>CHOOSE(CONTROL!$C$42, 26.7223, 26.7223) * CHOOSE(CONTROL!$C$21, $C$9, 100%, $E$9)</f>
        <v>26.722300000000001</v>
      </c>
      <c r="P550" s="14">
        <f>CHOOSE(CONTROL!$C$42, 26.5832, 26.5832) * CHOOSE(CONTROL!$C$21, $C$9, 100%, $E$9)</f>
        <v>26.583200000000001</v>
      </c>
      <c r="Q550" s="14">
        <f>CHOOSE(CONTROL!$C$42, 27.317, 27.317) * CHOOSE(CONTROL!$C$21, $C$9, 100%, $E$9)</f>
        <v>27.317</v>
      </c>
      <c r="R550" s="14">
        <f>CHOOSE(CONTROL!$C$42, 27.9723, 27.9723) * CHOOSE(CONTROL!$C$21, $C$9, 100%, $E$9)</f>
        <v>27.972300000000001</v>
      </c>
      <c r="S550" s="14">
        <f>CHOOSE(CONTROL!$C$42, 25.9725, 25.9725) * CHOOSE(CONTROL!$C$21, $C$9, 100%, $E$9)</f>
        <v>25.9725</v>
      </c>
      <c r="T5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7">
        <f>(1000*CHOOSE(CONTROL!$C$42, 695, 695)*CHOOSE(CONTROL!$C$42, 0.5599, 0.5599)*CHOOSE(CONTROL!$C$42, 31, 31))/1000000</f>
        <v>12.063045499999998</v>
      </c>
      <c r="V550" s="57">
        <f>(1000*CHOOSE(CONTROL!$C$42, 500, 500)*CHOOSE(CONTROL!$C$42, 0.275, 0.275)*CHOOSE(CONTROL!$C$42, 31, 31))/1000000</f>
        <v>4.2625000000000002</v>
      </c>
      <c r="W550" s="57">
        <f>(1000*CHOOSE(CONTROL!$C$42, 0.1146, 0.1146)*CHOOSE(CONTROL!$C$42, 121.5, 121.5)*CHOOSE(CONTROL!$C$42, 31, 31))/1000000</f>
        <v>0.43164089999999994</v>
      </c>
      <c r="X550" s="57">
        <f>(31*0.1790888*245000/1000000)+(31*0.2374*100000/1000000)</f>
        <v>2.0961194359999999</v>
      </c>
      <c r="Y550" s="57"/>
      <c r="Z550" s="14"/>
      <c r="AA550" s="56"/>
      <c r="AB550" s="50">
        <f>(B550*131.881+C550*277.167+D550*79.08+E550*125.872+F550*40+G550*185+H550*0+I550*100+J550*300)/(131.881+277.167+79.08+125.872+0+40+185+100+300)</f>
        <v>27.082160957142861</v>
      </c>
      <c r="AC550" s="45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26.563580575539568</v>
      </c>
    </row>
    <row r="551" spans="1:29" ht="15.75" x14ac:dyDescent="0.25">
      <c r="A551" s="32">
        <v>57679</v>
      </c>
      <c r="B551" s="14">
        <f>CHOOSE(CONTROL!$C$42, 27.7502, 27.7502) * CHOOSE(CONTROL!$C$21, $C$9, 100%, $E$9)</f>
        <v>27.7502</v>
      </c>
      <c r="C551" s="14">
        <f>CHOOSE(CONTROL!$C$42, 27.7553, 27.7553) * CHOOSE(CONTROL!$C$21, $C$9, 100%, $E$9)</f>
        <v>27.755299999999998</v>
      </c>
      <c r="D551" s="14">
        <f>CHOOSE(CONTROL!$C$42, 27.8191, 27.8191) * CHOOSE(CONTROL!$C$21, $C$9, 100%, $E$9)</f>
        <v>27.819099999999999</v>
      </c>
      <c r="E551" s="14">
        <f>CHOOSE(CONTROL!$C$42, 27.8532, 27.8532) * CHOOSE(CONTROL!$C$21, $C$9, 100%, $E$9)</f>
        <v>27.853200000000001</v>
      </c>
      <c r="F551" s="14">
        <f>CHOOSE(CONTROL!$C$42, 27.7525, 27.7525)*CHOOSE(CONTROL!$C$21, $C$9, 100%, $E$9)</f>
        <v>27.752500000000001</v>
      </c>
      <c r="G551" s="14">
        <f>CHOOSE(CONTROL!$C$42, 27.7692, 27.7692)*CHOOSE(CONTROL!$C$21, $C$9, 100%, $E$9)</f>
        <v>27.769200000000001</v>
      </c>
      <c r="H551" s="14">
        <f>CHOOSE(CONTROL!$C$42, 27.8424, 27.8424) * CHOOSE(CONTROL!$C$21, $C$9, 100%, $E$9)</f>
        <v>27.842400000000001</v>
      </c>
      <c r="I551" s="14">
        <f>CHOOSE(CONTROL!$C$42, 27.851, 27.851)* CHOOSE(CONTROL!$C$21, $C$9, 100%, $E$9)</f>
        <v>27.850999999999999</v>
      </c>
      <c r="J551" s="14">
        <f>CHOOSE(CONTROL!$C$42, 27.7455, 27.7455)* CHOOSE(CONTROL!$C$21, $C$9, 100%, $E$9)</f>
        <v>27.7455</v>
      </c>
      <c r="K551" s="53">
        <f>CHOOSE(CONTROL!$C$42, 27.8472, 27.8472) * CHOOSE(CONTROL!$C$21, $C$9, 100%, $E$9)</f>
        <v>27.847200000000001</v>
      </c>
      <c r="L551" s="14">
        <f>CHOOSE(CONTROL!$C$42, 28.4294, 28.4294) * CHOOSE(CONTROL!$C$21, $C$9, 100%, $E$9)</f>
        <v>28.429400000000001</v>
      </c>
      <c r="M551" s="14">
        <f>CHOOSE(CONTROL!$C$42, 27.1847, 27.1847) * CHOOSE(CONTROL!$C$21, $C$9, 100%, $E$9)</f>
        <v>27.184699999999999</v>
      </c>
      <c r="N551" s="14">
        <f>CHOOSE(CONTROL!$C$42, 27.201, 27.201) * CHOOSE(CONTROL!$C$21, $C$9, 100%, $E$9)</f>
        <v>27.201000000000001</v>
      </c>
      <c r="O551" s="14">
        <f>CHOOSE(CONTROL!$C$42, 27.2796, 27.2796) * CHOOSE(CONTROL!$C$21, $C$9, 100%, $E$9)</f>
        <v>27.279599999999999</v>
      </c>
      <c r="P551" s="14">
        <f>CHOOSE(CONTROL!$C$42, 27.2864, 27.2864) * CHOOSE(CONTROL!$C$21, $C$9, 100%, $E$9)</f>
        <v>27.2864</v>
      </c>
      <c r="Q551" s="14">
        <f>CHOOSE(CONTROL!$C$42, 27.8743, 27.8743) * CHOOSE(CONTROL!$C$21, $C$9, 100%, $E$9)</f>
        <v>27.874300000000002</v>
      </c>
      <c r="R551" s="14">
        <f>CHOOSE(CONTROL!$C$42, 28.531, 28.531) * CHOOSE(CONTROL!$C$21, $C$9, 100%, $E$9)</f>
        <v>28.530999999999999</v>
      </c>
      <c r="S551" s="14">
        <f>CHOOSE(CONTROL!$C$42, 26.6567, 26.6567) * CHOOSE(CONTROL!$C$21, $C$9, 100%, $E$9)</f>
        <v>26.656700000000001</v>
      </c>
      <c r="T5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7">
        <f>(1000*CHOOSE(CONTROL!$C$42, 695, 695)*CHOOSE(CONTROL!$C$42, 0.5599, 0.5599)*CHOOSE(CONTROL!$C$42, 30, 30))/1000000</f>
        <v>11.673914999999997</v>
      </c>
      <c r="V551" s="57">
        <f>(1000*CHOOSE(CONTROL!$C$42, 500, 500)*CHOOSE(CONTROL!$C$42, 0.275, 0.275)*CHOOSE(CONTROL!$C$42, 30, 30))/1000000</f>
        <v>4.125</v>
      </c>
      <c r="W551" s="57">
        <f>(1000*CHOOSE(CONTROL!$C$42, 0.1146, 0.1146)*CHOOSE(CONTROL!$C$42, 121.5, 121.5)*CHOOSE(CONTROL!$C$42, 30, 30))/1000000</f>
        <v>0.417717</v>
      </c>
      <c r="X551" s="57">
        <f>(30*0.1790888*100000/1000000)+(30*0.2374*100000/1000000)</f>
        <v>1.2494664</v>
      </c>
      <c r="Y551" s="57"/>
      <c r="Z551" s="14"/>
      <c r="AA551" s="56"/>
      <c r="AB551" s="50">
        <f>(B551*122.58+C551*297.941+D551*89.177+E551*40.302+F551*40+G551*160+H551*0+I551*100+J551*300)/(122.58+297.941+89.177+40.302+0+40+160+100+300)</f>
        <v>27.770736435130434</v>
      </c>
      <c r="AC551" s="45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27.243283453237407</v>
      </c>
    </row>
    <row r="552" spans="1:29" ht="15.75" x14ac:dyDescent="0.25">
      <c r="A552" s="32">
        <v>57710</v>
      </c>
      <c r="B552" s="14">
        <f>CHOOSE(CONTROL!$C$42, 29.6416, 29.6416) * CHOOSE(CONTROL!$C$21, $C$9, 100%, $E$9)</f>
        <v>29.6416</v>
      </c>
      <c r="C552" s="14">
        <f>CHOOSE(CONTROL!$C$42, 29.6467, 29.6467) * CHOOSE(CONTROL!$C$21, $C$9, 100%, $E$9)</f>
        <v>29.646699999999999</v>
      </c>
      <c r="D552" s="14">
        <f>CHOOSE(CONTROL!$C$42, 29.7105, 29.7105) * CHOOSE(CONTROL!$C$21, $C$9, 100%, $E$9)</f>
        <v>29.7105</v>
      </c>
      <c r="E552" s="14">
        <f>CHOOSE(CONTROL!$C$42, 29.7446, 29.7446) * CHOOSE(CONTROL!$C$21, $C$9, 100%, $E$9)</f>
        <v>29.744599999999998</v>
      </c>
      <c r="F552" s="14">
        <f>CHOOSE(CONTROL!$C$42, 29.6459, 29.6459)*CHOOSE(CONTROL!$C$21, $C$9, 100%, $E$9)</f>
        <v>29.645900000000001</v>
      </c>
      <c r="G552" s="14">
        <f>CHOOSE(CONTROL!$C$42, 29.6631, 29.6631)*CHOOSE(CONTROL!$C$21, $C$9, 100%, $E$9)</f>
        <v>29.6631</v>
      </c>
      <c r="H552" s="14">
        <f>CHOOSE(CONTROL!$C$42, 29.7338, 29.7338) * CHOOSE(CONTROL!$C$21, $C$9, 100%, $E$9)</f>
        <v>29.733799999999999</v>
      </c>
      <c r="I552" s="14">
        <f>CHOOSE(CONTROL!$C$42, 29.7483, 29.7483)* CHOOSE(CONTROL!$C$21, $C$9, 100%, $E$9)</f>
        <v>29.7483</v>
      </c>
      <c r="J552" s="14">
        <f>CHOOSE(CONTROL!$C$42, 29.6389, 29.6389)* CHOOSE(CONTROL!$C$21, $C$9, 100%, $E$9)</f>
        <v>29.6389</v>
      </c>
      <c r="K552" s="53">
        <f>CHOOSE(CONTROL!$C$42, 29.7444, 29.7444) * CHOOSE(CONTROL!$C$21, $C$9, 100%, $E$9)</f>
        <v>29.744399999999999</v>
      </c>
      <c r="L552" s="14">
        <f>CHOOSE(CONTROL!$C$42, 30.3208, 30.3208) * CHOOSE(CONTROL!$C$21, $C$9, 100%, $E$9)</f>
        <v>30.320799999999998</v>
      </c>
      <c r="M552" s="14">
        <f>CHOOSE(CONTROL!$C$42, 29.0393, 29.0393) * CHOOSE(CONTROL!$C$21, $C$9, 100%, $E$9)</f>
        <v>29.039300000000001</v>
      </c>
      <c r="N552" s="14">
        <f>CHOOSE(CONTROL!$C$42, 29.0562, 29.0562) * CHOOSE(CONTROL!$C$21, $C$9, 100%, $E$9)</f>
        <v>29.0562</v>
      </c>
      <c r="O552" s="14">
        <f>CHOOSE(CONTROL!$C$42, 29.1322, 29.1322) * CHOOSE(CONTROL!$C$21, $C$9, 100%, $E$9)</f>
        <v>29.132200000000001</v>
      </c>
      <c r="P552" s="14">
        <f>CHOOSE(CONTROL!$C$42, 29.1447, 29.1447) * CHOOSE(CONTROL!$C$21, $C$9, 100%, $E$9)</f>
        <v>29.1447</v>
      </c>
      <c r="Q552" s="14">
        <f>CHOOSE(CONTROL!$C$42, 29.7269, 29.7269) * CHOOSE(CONTROL!$C$21, $C$9, 100%, $E$9)</f>
        <v>29.726900000000001</v>
      </c>
      <c r="R552" s="14">
        <f>CHOOSE(CONTROL!$C$42, 30.3883, 30.3883) * CHOOSE(CONTROL!$C$21, $C$9, 100%, $E$9)</f>
        <v>30.388300000000001</v>
      </c>
      <c r="S552" s="14">
        <f>CHOOSE(CONTROL!$C$42, 28.4741, 28.4741) * CHOOSE(CONTROL!$C$21, $C$9, 100%, $E$9)</f>
        <v>28.4741</v>
      </c>
      <c r="T5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7">
        <f>(1000*CHOOSE(CONTROL!$C$42, 695, 695)*CHOOSE(CONTROL!$C$42, 0.5599, 0.5599)*CHOOSE(CONTROL!$C$42, 31, 31))/1000000</f>
        <v>12.063045499999998</v>
      </c>
      <c r="V552" s="57">
        <f>(1000*CHOOSE(CONTROL!$C$42, 500, 500)*CHOOSE(CONTROL!$C$42, 0.275, 0.275)*CHOOSE(CONTROL!$C$42, 31, 31))/1000000</f>
        <v>4.2625000000000002</v>
      </c>
      <c r="W552" s="57">
        <f>(1000*CHOOSE(CONTROL!$C$42, 0.1146, 0.1146)*CHOOSE(CONTROL!$C$42, 121.5, 121.5)*CHOOSE(CONTROL!$C$42, 31, 31))/1000000</f>
        <v>0.43164089999999994</v>
      </c>
      <c r="X552" s="57">
        <f>(31*0.1790888*100000/1000000)+(31*0.2374*100000/1000000)</f>
        <v>1.2911152800000001</v>
      </c>
      <c r="Y552" s="57"/>
      <c r="Z552" s="14"/>
      <c r="AA552" s="56"/>
      <c r="AB552" s="50">
        <f>(B552*122.58+C552*297.941+D552*89.177+E552*40.302+F552*40+G552*160+H552*0+I552*100+J552*300)/(122.58+297.941+89.177+40.302+0+40+160+100+300)</f>
        <v>29.663588609043476</v>
      </c>
      <c r="AC552" s="45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29.09754388489209</v>
      </c>
    </row>
    <row r="553" spans="1:29" ht="15.75" x14ac:dyDescent="0.25">
      <c r="A553" s="32">
        <v>57741</v>
      </c>
      <c r="B553" s="14">
        <f>CHOOSE(CONTROL!$C$42, 32.0689, 32.0689) * CHOOSE(CONTROL!$C$21, $C$9, 100%, $E$9)</f>
        <v>32.068899999999999</v>
      </c>
      <c r="C553" s="14">
        <f>CHOOSE(CONTROL!$C$42, 32.0739, 32.0739) * CHOOSE(CONTROL!$C$21, $C$9, 100%, $E$9)</f>
        <v>32.073900000000002</v>
      </c>
      <c r="D553" s="14">
        <f>CHOOSE(CONTROL!$C$42, 32.1325, 32.1325) * CHOOSE(CONTROL!$C$21, $C$9, 100%, $E$9)</f>
        <v>32.1325</v>
      </c>
      <c r="E553" s="14">
        <f>CHOOSE(CONTROL!$C$42, 32.1666, 32.1666) * CHOOSE(CONTROL!$C$21, $C$9, 100%, $E$9)</f>
        <v>32.166600000000003</v>
      </c>
      <c r="F553" s="14">
        <f>CHOOSE(CONTROL!$C$42, 32.068, 32.068)*CHOOSE(CONTROL!$C$21, $C$9, 100%, $E$9)</f>
        <v>32.067999999999998</v>
      </c>
      <c r="G553" s="14">
        <f>CHOOSE(CONTROL!$C$42, 32.0843, 32.0843)*CHOOSE(CONTROL!$C$21, $C$9, 100%, $E$9)</f>
        <v>32.084299999999999</v>
      </c>
      <c r="H553" s="14">
        <f>CHOOSE(CONTROL!$C$42, 32.1558, 32.1558) * CHOOSE(CONTROL!$C$21, $C$9, 100%, $E$9)</f>
        <v>32.155799999999999</v>
      </c>
      <c r="I553" s="14">
        <f>CHOOSE(CONTROL!$C$42, 32.1795, 32.1795)* CHOOSE(CONTROL!$C$21, $C$9, 100%, $E$9)</f>
        <v>32.179499999999997</v>
      </c>
      <c r="J553" s="14">
        <f>CHOOSE(CONTROL!$C$42, 32.061, 32.061)* CHOOSE(CONTROL!$C$21, $C$9, 100%, $E$9)</f>
        <v>32.061</v>
      </c>
      <c r="K553" s="53">
        <f>CHOOSE(CONTROL!$C$42, 32.1756, 32.1756) * CHOOSE(CONTROL!$C$21, $C$9, 100%, $E$9)</f>
        <v>32.175600000000003</v>
      </c>
      <c r="L553" s="14">
        <f>CHOOSE(CONTROL!$C$42, 32.7428, 32.7428) * CHOOSE(CONTROL!$C$21, $C$9, 100%, $E$9)</f>
        <v>32.742800000000003</v>
      </c>
      <c r="M553" s="14">
        <f>CHOOSE(CONTROL!$C$42, 31.4117, 31.4117) * CHOOSE(CONTROL!$C$21, $C$9, 100%, $E$9)</f>
        <v>31.4117</v>
      </c>
      <c r="N553" s="14">
        <f>CHOOSE(CONTROL!$C$42, 31.4278, 31.4278) * CHOOSE(CONTROL!$C$21, $C$9, 100%, $E$9)</f>
        <v>31.427800000000001</v>
      </c>
      <c r="O553" s="14">
        <f>CHOOSE(CONTROL!$C$42, 31.5047, 31.5047) * CHOOSE(CONTROL!$C$21, $C$9, 100%, $E$9)</f>
        <v>31.5047</v>
      </c>
      <c r="P553" s="14">
        <f>CHOOSE(CONTROL!$C$42, 31.5259, 31.5259) * CHOOSE(CONTROL!$C$21, $C$9, 100%, $E$9)</f>
        <v>31.5259</v>
      </c>
      <c r="Q553" s="14">
        <f>CHOOSE(CONTROL!$C$42, 32.0994, 32.0994) * CHOOSE(CONTROL!$C$21, $C$9, 100%, $E$9)</f>
        <v>32.099400000000003</v>
      </c>
      <c r="R553" s="14">
        <f>CHOOSE(CONTROL!$C$42, 32.7666, 32.7666) * CHOOSE(CONTROL!$C$21, $C$9, 100%, $E$9)</f>
        <v>32.766599999999997</v>
      </c>
      <c r="S553" s="14">
        <f>CHOOSE(CONTROL!$C$42, 30.8064, 30.8064) * CHOOSE(CONTROL!$C$21, $C$9, 100%, $E$9)</f>
        <v>30.8064</v>
      </c>
      <c r="T5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7">
        <f>(1000*CHOOSE(CONTROL!$C$42, 695, 695)*CHOOSE(CONTROL!$C$42, 0.5599, 0.5599)*CHOOSE(CONTROL!$C$42, 31, 31))/1000000</f>
        <v>12.063045499999998</v>
      </c>
      <c r="V553" s="57">
        <f>(1000*CHOOSE(CONTROL!$C$42, 500, 500)*CHOOSE(CONTROL!$C$42, 0.275, 0.275)*CHOOSE(CONTROL!$C$42, 31, 31))/1000000</f>
        <v>4.2625000000000002</v>
      </c>
      <c r="W553" s="57">
        <f>(1000*CHOOSE(CONTROL!$C$42, 0.1146, 0.1146)*CHOOSE(CONTROL!$C$42, 121.5, 121.5)*CHOOSE(CONTROL!$C$42, 31, 31))/1000000</f>
        <v>0.43164089999999994</v>
      </c>
      <c r="X553" s="57">
        <f>(31*0.1790888*100000/1000000)+(31*0.2374*100000/1000000)</f>
        <v>1.2911152800000001</v>
      </c>
      <c r="Y553" s="57"/>
      <c r="Z553" s="14"/>
      <c r="AA553" s="56"/>
      <c r="AB553" s="50">
        <f>(B553*122.58+C553*297.941+D553*89.177+E553*40.302+F553*40+G553*160+H553*0+I553*100+J553*300)/(122.58+297.941+89.177+40.302+0+40+160+100+300)</f>
        <v>32.088219015304347</v>
      </c>
      <c r="AC553" s="45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31.471209352517985</v>
      </c>
    </row>
    <row r="554" spans="1:29" ht="15.75" x14ac:dyDescent="0.25">
      <c r="A554" s="32">
        <v>57769</v>
      </c>
      <c r="B554" s="14">
        <f>CHOOSE(CONTROL!$C$42, 32.6396, 32.6396) * CHOOSE(CONTROL!$C$21, $C$9, 100%, $E$9)</f>
        <v>32.639600000000002</v>
      </c>
      <c r="C554" s="14">
        <f>CHOOSE(CONTROL!$C$42, 32.6446, 32.6446) * CHOOSE(CONTROL!$C$21, $C$9, 100%, $E$9)</f>
        <v>32.644599999999997</v>
      </c>
      <c r="D554" s="14">
        <f>CHOOSE(CONTROL!$C$42, 32.7032, 32.7032) * CHOOSE(CONTROL!$C$21, $C$9, 100%, $E$9)</f>
        <v>32.703200000000002</v>
      </c>
      <c r="E554" s="14">
        <f>CHOOSE(CONTROL!$C$42, 32.7373, 32.7373) * CHOOSE(CONTROL!$C$21, $C$9, 100%, $E$9)</f>
        <v>32.737299999999998</v>
      </c>
      <c r="F554" s="14">
        <f>CHOOSE(CONTROL!$C$42, 32.6386, 32.6386)*CHOOSE(CONTROL!$C$21, $C$9, 100%, $E$9)</f>
        <v>32.638599999999997</v>
      </c>
      <c r="G554" s="14">
        <f>CHOOSE(CONTROL!$C$42, 32.655, 32.655)*CHOOSE(CONTROL!$C$21, $C$9, 100%, $E$9)</f>
        <v>32.655000000000001</v>
      </c>
      <c r="H554" s="14">
        <f>CHOOSE(CONTROL!$C$42, 32.7265, 32.7265) * CHOOSE(CONTROL!$C$21, $C$9, 100%, $E$9)</f>
        <v>32.726500000000001</v>
      </c>
      <c r="I554" s="14">
        <f>CHOOSE(CONTROL!$C$42, 32.752, 32.752)* CHOOSE(CONTROL!$C$21, $C$9, 100%, $E$9)</f>
        <v>32.752000000000002</v>
      </c>
      <c r="J554" s="14">
        <f>CHOOSE(CONTROL!$C$42, 32.6316, 32.6316)* CHOOSE(CONTROL!$C$21, $C$9, 100%, $E$9)</f>
        <v>32.631599999999999</v>
      </c>
      <c r="K554" s="53">
        <f>CHOOSE(CONTROL!$C$42, 32.7481, 32.7481) * CHOOSE(CONTROL!$C$21, $C$9, 100%, $E$9)</f>
        <v>32.748100000000001</v>
      </c>
      <c r="L554" s="14">
        <f>CHOOSE(CONTROL!$C$42, 33.3135, 33.3135) * CHOOSE(CONTROL!$C$21, $C$9, 100%, $E$9)</f>
        <v>33.313499999999998</v>
      </c>
      <c r="M554" s="14">
        <f>CHOOSE(CONTROL!$C$42, 31.9707, 31.9707) * CHOOSE(CONTROL!$C$21, $C$9, 100%, $E$9)</f>
        <v>31.970700000000001</v>
      </c>
      <c r="N554" s="14">
        <f>CHOOSE(CONTROL!$C$42, 31.9868, 31.9868) * CHOOSE(CONTROL!$C$21, $C$9, 100%, $E$9)</f>
        <v>31.986799999999999</v>
      </c>
      <c r="O554" s="14">
        <f>CHOOSE(CONTROL!$C$42, 32.0637, 32.0637) * CHOOSE(CONTROL!$C$21, $C$9, 100%, $E$9)</f>
        <v>32.063699999999997</v>
      </c>
      <c r="P554" s="14">
        <f>CHOOSE(CONTROL!$C$42, 32.0867, 32.0867) * CHOOSE(CONTROL!$C$21, $C$9, 100%, $E$9)</f>
        <v>32.0867</v>
      </c>
      <c r="Q554" s="14">
        <f>CHOOSE(CONTROL!$C$42, 32.6584, 32.6584) * CHOOSE(CONTROL!$C$21, $C$9, 100%, $E$9)</f>
        <v>32.6584</v>
      </c>
      <c r="R554" s="14">
        <f>CHOOSE(CONTROL!$C$42, 33.327, 33.327) * CHOOSE(CONTROL!$C$21, $C$9, 100%, $E$9)</f>
        <v>33.326999999999998</v>
      </c>
      <c r="S554" s="14">
        <f>CHOOSE(CONTROL!$C$42, 31.3548, 31.3548) * CHOOSE(CONTROL!$C$21, $C$9, 100%, $E$9)</f>
        <v>31.354800000000001</v>
      </c>
      <c r="T5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7">
        <f>(1000*CHOOSE(CONTROL!$C$42, 695, 695)*CHOOSE(CONTROL!$C$42, 0.5599, 0.5599)*CHOOSE(CONTROL!$C$42, 28, 28))/1000000</f>
        <v>10.895653999999999</v>
      </c>
      <c r="V554" s="57">
        <f>(1000*CHOOSE(CONTROL!$C$42, 500, 500)*CHOOSE(CONTROL!$C$42, 0.275, 0.275)*CHOOSE(CONTROL!$C$42, 28, 28))/1000000</f>
        <v>3.85</v>
      </c>
      <c r="W554" s="57">
        <f>(1000*CHOOSE(CONTROL!$C$42, 0.1146, 0.1146)*CHOOSE(CONTROL!$C$42, 121.5, 121.5)*CHOOSE(CONTROL!$C$42, 28, 28))/1000000</f>
        <v>0.38986920000000003</v>
      </c>
      <c r="X554" s="57">
        <f>(28*0.1790888*100000/1000000)+(28*0.2374*100000/1000000)</f>
        <v>1.16616864</v>
      </c>
      <c r="Y554" s="57"/>
      <c r="Z554" s="14"/>
      <c r="AA554" s="56"/>
      <c r="AB554" s="50">
        <f>(B554*122.58+C554*297.941+D554*89.177+E554*40.302+F554*40+G554*160+H554*0+I554*100+J554*300)/(122.58+297.941+89.177+40.302+0+40+160+100+300)</f>
        <v>32.659045971826089</v>
      </c>
      <c r="AC554" s="45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32.03046834532374</v>
      </c>
    </row>
    <row r="555" spans="1:29" ht="15.75" x14ac:dyDescent="0.25">
      <c r="A555" s="32">
        <v>57800</v>
      </c>
      <c r="B555" s="14">
        <f>CHOOSE(CONTROL!$C$42, 31.7132, 31.7132) * CHOOSE(CONTROL!$C$21, $C$9, 100%, $E$9)</f>
        <v>31.713200000000001</v>
      </c>
      <c r="C555" s="14">
        <f>CHOOSE(CONTROL!$C$42, 31.7182, 31.7182) * CHOOSE(CONTROL!$C$21, $C$9, 100%, $E$9)</f>
        <v>31.7182</v>
      </c>
      <c r="D555" s="14">
        <f>CHOOSE(CONTROL!$C$42, 31.7768, 31.7768) * CHOOSE(CONTROL!$C$21, $C$9, 100%, $E$9)</f>
        <v>31.776800000000001</v>
      </c>
      <c r="E555" s="14">
        <f>CHOOSE(CONTROL!$C$42, 31.811, 31.811) * CHOOSE(CONTROL!$C$21, $C$9, 100%, $E$9)</f>
        <v>31.811</v>
      </c>
      <c r="F555" s="14">
        <f>CHOOSE(CONTROL!$C$42, 31.7117, 31.7117)*CHOOSE(CONTROL!$C$21, $C$9, 100%, $E$9)</f>
        <v>31.7117</v>
      </c>
      <c r="G555" s="14">
        <f>CHOOSE(CONTROL!$C$42, 31.728, 31.728)*CHOOSE(CONTROL!$C$21, $C$9, 100%, $E$9)</f>
        <v>31.728000000000002</v>
      </c>
      <c r="H555" s="14">
        <f>CHOOSE(CONTROL!$C$42, 31.8001, 31.8001) * CHOOSE(CONTROL!$C$21, $C$9, 100%, $E$9)</f>
        <v>31.8001</v>
      </c>
      <c r="I555" s="14">
        <f>CHOOSE(CONTROL!$C$42, 31.8227, 31.8227)* CHOOSE(CONTROL!$C$21, $C$9, 100%, $E$9)</f>
        <v>31.822700000000001</v>
      </c>
      <c r="J555" s="14">
        <f>CHOOSE(CONTROL!$C$42, 31.7047, 31.7047)* CHOOSE(CONTROL!$C$21, $C$9, 100%, $E$9)</f>
        <v>31.704699999999999</v>
      </c>
      <c r="K555" s="53">
        <f>CHOOSE(CONTROL!$C$42, 31.8188, 31.8188) * CHOOSE(CONTROL!$C$21, $C$9, 100%, $E$9)</f>
        <v>31.8188</v>
      </c>
      <c r="L555" s="14">
        <f>CHOOSE(CONTROL!$C$42, 32.3871, 32.3871) * CHOOSE(CONTROL!$C$21, $C$9, 100%, $E$9)</f>
        <v>32.387099999999997</v>
      </c>
      <c r="M555" s="14">
        <f>CHOOSE(CONTROL!$C$42, 31.0628, 31.0628) * CHOOSE(CONTROL!$C$21, $C$9, 100%, $E$9)</f>
        <v>31.062799999999999</v>
      </c>
      <c r="N555" s="14">
        <f>CHOOSE(CONTROL!$C$42, 31.0787, 31.0787) * CHOOSE(CONTROL!$C$21, $C$9, 100%, $E$9)</f>
        <v>31.078700000000001</v>
      </c>
      <c r="O555" s="14">
        <f>CHOOSE(CONTROL!$C$42, 31.1563, 31.1563) * CHOOSE(CONTROL!$C$21, $C$9, 100%, $E$9)</f>
        <v>31.156300000000002</v>
      </c>
      <c r="P555" s="14">
        <f>CHOOSE(CONTROL!$C$42, 31.1765, 31.1765) * CHOOSE(CONTROL!$C$21, $C$9, 100%, $E$9)</f>
        <v>31.176500000000001</v>
      </c>
      <c r="Q555" s="14">
        <f>CHOOSE(CONTROL!$C$42, 31.751, 31.751) * CHOOSE(CONTROL!$C$21, $C$9, 100%, $E$9)</f>
        <v>31.751000000000001</v>
      </c>
      <c r="R555" s="14">
        <f>CHOOSE(CONTROL!$C$42, 32.4174, 32.4174) * CHOOSE(CONTROL!$C$21, $C$9, 100%, $E$9)</f>
        <v>32.417400000000001</v>
      </c>
      <c r="S555" s="14">
        <f>CHOOSE(CONTROL!$C$42, 30.4646, 30.4646) * CHOOSE(CONTROL!$C$21, $C$9, 100%, $E$9)</f>
        <v>30.464600000000001</v>
      </c>
      <c r="T5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7">
        <f>(1000*CHOOSE(CONTROL!$C$42, 695, 695)*CHOOSE(CONTROL!$C$42, 0.5599, 0.5599)*CHOOSE(CONTROL!$C$42, 31, 31))/1000000</f>
        <v>12.063045499999998</v>
      </c>
      <c r="V555" s="57">
        <f>(1000*CHOOSE(CONTROL!$C$42, 500, 500)*CHOOSE(CONTROL!$C$42, 0.275, 0.275)*CHOOSE(CONTROL!$C$42, 31, 31))/1000000</f>
        <v>4.2625000000000002</v>
      </c>
      <c r="W555" s="57">
        <f>(1000*CHOOSE(CONTROL!$C$42, 0.1146, 0.1146)*CHOOSE(CONTROL!$C$42, 121.5, 121.5)*CHOOSE(CONTROL!$C$42, 31, 31))/1000000</f>
        <v>0.43164089999999994</v>
      </c>
      <c r="X555" s="57">
        <f>(31*0.1790888*100000/1000000)+(31*0.2374*100000/1000000)</f>
        <v>1.2911152800000001</v>
      </c>
      <c r="Y555" s="57"/>
      <c r="Z555" s="14"/>
      <c r="AA555" s="56"/>
      <c r="AB555" s="50">
        <f>(B555*122.58+C555*297.941+D555*89.177+E555*40.302+F555*40+G555*160+H555*0+I555*100+J555*300)/(122.58+297.941+89.177+40.302+0+40+160+100+300)</f>
        <v>31.732165998086959</v>
      </c>
      <c r="AC555" s="45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31.122452517985614</v>
      </c>
    </row>
    <row r="556" spans="1:29" ht="15.75" x14ac:dyDescent="0.25">
      <c r="A556" s="32">
        <v>57830</v>
      </c>
      <c r="B556" s="14">
        <f>CHOOSE(CONTROL!$C$42, 31.6194, 31.6194) * CHOOSE(CONTROL!$C$21, $C$9, 100%, $E$9)</f>
        <v>31.619399999999999</v>
      </c>
      <c r="C556" s="14">
        <f>CHOOSE(CONTROL!$C$42, 31.6239, 31.6239) * CHOOSE(CONTROL!$C$21, $C$9, 100%, $E$9)</f>
        <v>31.623899999999999</v>
      </c>
      <c r="D556" s="14">
        <f>CHOOSE(CONTROL!$C$42, 31.832, 31.832) * CHOOSE(CONTROL!$C$21, $C$9, 100%, $E$9)</f>
        <v>31.832000000000001</v>
      </c>
      <c r="E556" s="14">
        <f>CHOOSE(CONTROL!$C$42, 31.8641, 31.8641) * CHOOSE(CONTROL!$C$21, $C$9, 100%, $E$9)</f>
        <v>31.864100000000001</v>
      </c>
      <c r="F556" s="14">
        <f>CHOOSE(CONTROL!$C$42, 31.6068, 31.6068)*CHOOSE(CONTROL!$C$21, $C$9, 100%, $E$9)</f>
        <v>31.6068</v>
      </c>
      <c r="G556" s="14">
        <f>CHOOSE(CONTROL!$C$42, 31.6227, 31.6227)*CHOOSE(CONTROL!$C$21, $C$9, 100%, $E$9)</f>
        <v>31.622699999999998</v>
      </c>
      <c r="H556" s="14">
        <f>CHOOSE(CONTROL!$C$42, 31.8539, 31.8539) * CHOOSE(CONTROL!$C$21, $C$9, 100%, $E$9)</f>
        <v>31.853899999999999</v>
      </c>
      <c r="I556" s="14">
        <f>CHOOSE(CONTROL!$C$42, 31.7279, 31.7279)* CHOOSE(CONTROL!$C$21, $C$9, 100%, $E$9)</f>
        <v>31.727900000000002</v>
      </c>
      <c r="J556" s="14">
        <f>CHOOSE(CONTROL!$C$42, 31.5998, 31.5998)* CHOOSE(CONTROL!$C$21, $C$9, 100%, $E$9)</f>
        <v>31.599799999999998</v>
      </c>
      <c r="K556" s="53">
        <f>CHOOSE(CONTROL!$C$42, 31.724, 31.724) * CHOOSE(CONTROL!$C$21, $C$9, 100%, $E$9)</f>
        <v>31.724</v>
      </c>
      <c r="L556" s="14">
        <f>CHOOSE(CONTROL!$C$42, 32.4409, 32.4409) * CHOOSE(CONTROL!$C$21, $C$9, 100%, $E$9)</f>
        <v>32.440899999999999</v>
      </c>
      <c r="M556" s="14">
        <f>CHOOSE(CONTROL!$C$42, 30.96, 30.96) * CHOOSE(CONTROL!$C$21, $C$9, 100%, $E$9)</f>
        <v>30.96</v>
      </c>
      <c r="N556" s="14">
        <f>CHOOSE(CONTROL!$C$42, 30.9756, 30.9756) * CHOOSE(CONTROL!$C$21, $C$9, 100%, $E$9)</f>
        <v>30.9756</v>
      </c>
      <c r="O556" s="14">
        <f>CHOOSE(CONTROL!$C$42, 31.2089, 31.2089) * CHOOSE(CONTROL!$C$21, $C$9, 100%, $E$9)</f>
        <v>31.2089</v>
      </c>
      <c r="P556" s="14">
        <f>CHOOSE(CONTROL!$C$42, 31.0836, 31.0836) * CHOOSE(CONTROL!$C$21, $C$9, 100%, $E$9)</f>
        <v>31.083600000000001</v>
      </c>
      <c r="Q556" s="14">
        <f>CHOOSE(CONTROL!$C$42, 31.8036, 31.8036) * CHOOSE(CONTROL!$C$21, $C$9, 100%, $E$9)</f>
        <v>31.803599999999999</v>
      </c>
      <c r="R556" s="14">
        <f>CHOOSE(CONTROL!$C$42, 32.4701, 32.4701) * CHOOSE(CONTROL!$C$21, $C$9, 100%, $E$9)</f>
        <v>32.470100000000002</v>
      </c>
      <c r="S556" s="14">
        <f>CHOOSE(CONTROL!$C$42, 30.3738, 30.3738) * CHOOSE(CONTROL!$C$21, $C$9, 100%, $E$9)</f>
        <v>30.373799999999999</v>
      </c>
      <c r="T5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7">
        <f>(1000*CHOOSE(CONTROL!$C$42, 695, 695)*CHOOSE(CONTROL!$C$42, 0.5599, 0.5599)*CHOOSE(CONTROL!$C$42, 30, 30))/1000000</f>
        <v>11.673914999999997</v>
      </c>
      <c r="V556" s="57">
        <f>(1000*CHOOSE(CONTROL!$C$42, 500, 500)*CHOOSE(CONTROL!$C$42, 0.275, 0.275)*CHOOSE(CONTROL!$C$42, 30, 30))/1000000</f>
        <v>4.125</v>
      </c>
      <c r="W556" s="57">
        <f>(1000*CHOOSE(CONTROL!$C$42, 0.1146, 0.1146)*CHOOSE(CONTROL!$C$42, 121.5, 121.5)*CHOOSE(CONTROL!$C$42, 30, 30))/1000000</f>
        <v>0.417717</v>
      </c>
      <c r="X556" s="57">
        <f>(30*0.1790888*245000/1000000)+(30*0.2374*100000/1000000)</f>
        <v>2.0285026799999999</v>
      </c>
      <c r="Y556" s="57"/>
      <c r="Z556" s="14"/>
      <c r="AA556" s="56"/>
      <c r="AB556" s="50">
        <f>(B556*141.293+C556*267.993+D556*115.016+E556*89.698+F556*40+G556*185+H556*0+I556*100+J556*300)/(141.293+267.993+115.016+89.698+0+40+185+100+300)</f>
        <v>31.661921364568204</v>
      </c>
      <c r="AC556" s="45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31.051210791366906</v>
      </c>
    </row>
    <row r="557" spans="1:29" ht="15.75" x14ac:dyDescent="0.25">
      <c r="A557" s="32">
        <v>57861</v>
      </c>
      <c r="B557" s="14">
        <f>CHOOSE(CONTROL!$C$42, 31.8998, 31.8998) * CHOOSE(CONTROL!$C$21, $C$9, 100%, $E$9)</f>
        <v>31.899799999999999</v>
      </c>
      <c r="C557" s="14">
        <f>CHOOSE(CONTROL!$C$42, 31.9078, 31.9078) * CHOOSE(CONTROL!$C$21, $C$9, 100%, $E$9)</f>
        <v>31.907800000000002</v>
      </c>
      <c r="D557" s="14">
        <f>CHOOSE(CONTROL!$C$42, 32.1128, 32.1128) * CHOOSE(CONTROL!$C$21, $C$9, 100%, $E$9)</f>
        <v>32.1128</v>
      </c>
      <c r="E557" s="14">
        <f>CHOOSE(CONTROL!$C$42, 32.1443, 32.1443) * CHOOSE(CONTROL!$C$21, $C$9, 100%, $E$9)</f>
        <v>32.144300000000001</v>
      </c>
      <c r="F557" s="14">
        <f>CHOOSE(CONTROL!$C$42, 31.886, 31.886)*CHOOSE(CONTROL!$C$21, $C$9, 100%, $E$9)</f>
        <v>31.885999999999999</v>
      </c>
      <c r="G557" s="14">
        <f>CHOOSE(CONTROL!$C$42, 31.9024, 31.9024)*CHOOSE(CONTROL!$C$21, $C$9, 100%, $E$9)</f>
        <v>31.9024</v>
      </c>
      <c r="H557" s="14">
        <f>CHOOSE(CONTROL!$C$42, 32.1329, 32.1329) * CHOOSE(CONTROL!$C$21, $C$9, 100%, $E$9)</f>
        <v>32.132899999999999</v>
      </c>
      <c r="I557" s="14">
        <f>CHOOSE(CONTROL!$C$42, 32.0078, 32.0078)* CHOOSE(CONTROL!$C$21, $C$9, 100%, $E$9)</f>
        <v>32.007800000000003</v>
      </c>
      <c r="J557" s="14">
        <f>CHOOSE(CONTROL!$C$42, 31.879, 31.879)* CHOOSE(CONTROL!$C$21, $C$9, 100%, $E$9)</f>
        <v>31.879000000000001</v>
      </c>
      <c r="K557" s="53">
        <f>CHOOSE(CONTROL!$C$42, 32.0039, 32.0039) * CHOOSE(CONTROL!$C$21, $C$9, 100%, $E$9)</f>
        <v>32.003900000000002</v>
      </c>
      <c r="L557" s="14">
        <f>CHOOSE(CONTROL!$C$42, 32.7199, 32.7199) * CHOOSE(CONTROL!$C$21, $C$9, 100%, $E$9)</f>
        <v>32.719900000000003</v>
      </c>
      <c r="M557" s="14">
        <f>CHOOSE(CONTROL!$C$42, 31.2335, 31.2335) * CHOOSE(CONTROL!$C$21, $C$9, 100%, $E$9)</f>
        <v>31.233499999999999</v>
      </c>
      <c r="N557" s="14">
        <f>CHOOSE(CONTROL!$C$42, 31.2496, 31.2496) * CHOOSE(CONTROL!$C$21, $C$9, 100%, $E$9)</f>
        <v>31.249600000000001</v>
      </c>
      <c r="O557" s="14">
        <f>CHOOSE(CONTROL!$C$42, 31.4822, 31.4822) * CHOOSE(CONTROL!$C$21, $C$9, 100%, $E$9)</f>
        <v>31.482199999999999</v>
      </c>
      <c r="P557" s="14">
        <f>CHOOSE(CONTROL!$C$42, 31.3577, 31.3577) * CHOOSE(CONTROL!$C$21, $C$9, 100%, $E$9)</f>
        <v>31.357700000000001</v>
      </c>
      <c r="Q557" s="14">
        <f>CHOOSE(CONTROL!$C$42, 32.0769, 32.0769) * CHOOSE(CONTROL!$C$21, $C$9, 100%, $E$9)</f>
        <v>32.076900000000002</v>
      </c>
      <c r="R557" s="14">
        <f>CHOOSE(CONTROL!$C$42, 32.7441, 32.7441) * CHOOSE(CONTROL!$C$21, $C$9, 100%, $E$9)</f>
        <v>32.744100000000003</v>
      </c>
      <c r="S557" s="14">
        <f>CHOOSE(CONTROL!$C$42, 30.6419, 30.6419) * CHOOSE(CONTROL!$C$21, $C$9, 100%, $E$9)</f>
        <v>30.6419</v>
      </c>
      <c r="T5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7">
        <f>(1000*CHOOSE(CONTROL!$C$42, 695, 695)*CHOOSE(CONTROL!$C$42, 0.5599, 0.5599)*CHOOSE(CONTROL!$C$42, 31, 31))/1000000</f>
        <v>12.063045499999998</v>
      </c>
      <c r="V557" s="57">
        <f>(1000*CHOOSE(CONTROL!$C$42, 500, 500)*CHOOSE(CONTROL!$C$42, 0.275, 0.275)*CHOOSE(CONTROL!$C$42, 31, 31))/1000000</f>
        <v>4.2625000000000002</v>
      </c>
      <c r="W557" s="57">
        <f>(1000*CHOOSE(CONTROL!$C$42, 0.1146, 0.1146)*CHOOSE(CONTROL!$C$42, 121.5, 121.5)*CHOOSE(CONTROL!$C$42, 31, 31))/1000000</f>
        <v>0.43164089999999994</v>
      </c>
      <c r="X557" s="57">
        <f>(31*0.1790888*245000/1000000)+(31*0.2374*100000/1000000)</f>
        <v>2.0961194359999999</v>
      </c>
      <c r="Y557" s="57"/>
      <c r="Z557" s="14"/>
      <c r="AA557" s="56"/>
      <c r="AB557" s="50">
        <f>(B557*194.205+C557*267.466+D557*133.845+E557*53.484+F557*40+G557*185+H557*0+I557*100+J557*300)/(194.205+267.466+133.845+53.484+0+40+185+100+300)</f>
        <v>31.937645016483518</v>
      </c>
      <c r="AC557" s="45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31.324856115107909</v>
      </c>
    </row>
    <row r="558" spans="1:29" ht="15.75" x14ac:dyDescent="0.25">
      <c r="A558" s="32">
        <v>57891</v>
      </c>
      <c r="B558" s="14">
        <f>CHOOSE(CONTROL!$C$42, 32.8043, 32.8043) * CHOOSE(CONTROL!$C$21, $C$9, 100%, $E$9)</f>
        <v>32.804299999999998</v>
      </c>
      <c r="C558" s="14">
        <f>CHOOSE(CONTROL!$C$42, 32.8124, 32.8124) * CHOOSE(CONTROL!$C$21, $C$9, 100%, $E$9)</f>
        <v>32.812399999999997</v>
      </c>
      <c r="D558" s="14">
        <f>CHOOSE(CONTROL!$C$42, 33.0173, 33.0173) * CHOOSE(CONTROL!$C$21, $C$9, 100%, $E$9)</f>
        <v>33.017299999999999</v>
      </c>
      <c r="E558" s="14">
        <f>CHOOSE(CONTROL!$C$42, 33.0488, 33.0488) * CHOOSE(CONTROL!$C$21, $C$9, 100%, $E$9)</f>
        <v>33.0488</v>
      </c>
      <c r="F558" s="14">
        <f>CHOOSE(CONTROL!$C$42, 32.7909, 32.7909)*CHOOSE(CONTROL!$C$21, $C$9, 100%, $E$9)</f>
        <v>32.790900000000001</v>
      </c>
      <c r="G558" s="14">
        <f>CHOOSE(CONTROL!$C$42, 32.8074, 32.8074)*CHOOSE(CONTROL!$C$21, $C$9, 100%, $E$9)</f>
        <v>32.807400000000001</v>
      </c>
      <c r="H558" s="14">
        <f>CHOOSE(CONTROL!$C$42, 33.0374, 33.0374) * CHOOSE(CONTROL!$C$21, $C$9, 100%, $E$9)</f>
        <v>33.037399999999998</v>
      </c>
      <c r="I558" s="14">
        <f>CHOOSE(CONTROL!$C$42, 32.9151, 32.9151)* CHOOSE(CONTROL!$C$21, $C$9, 100%, $E$9)</f>
        <v>32.915100000000002</v>
      </c>
      <c r="J558" s="14">
        <f>CHOOSE(CONTROL!$C$42, 32.7839, 32.7839)* CHOOSE(CONTROL!$C$21, $C$9, 100%, $E$9)</f>
        <v>32.783900000000003</v>
      </c>
      <c r="K558" s="53">
        <f>CHOOSE(CONTROL!$C$42, 32.9112, 32.9112) * CHOOSE(CONTROL!$C$21, $C$9, 100%, $E$9)</f>
        <v>32.911200000000001</v>
      </c>
      <c r="L558" s="14">
        <f>CHOOSE(CONTROL!$C$42, 33.6244, 33.6244) * CHOOSE(CONTROL!$C$21, $C$9, 100%, $E$9)</f>
        <v>33.624400000000001</v>
      </c>
      <c r="M558" s="14">
        <f>CHOOSE(CONTROL!$C$42, 32.1199, 32.1199) * CHOOSE(CONTROL!$C$21, $C$9, 100%, $E$9)</f>
        <v>32.119900000000001</v>
      </c>
      <c r="N558" s="14">
        <f>CHOOSE(CONTROL!$C$42, 32.136, 32.136) * CHOOSE(CONTROL!$C$21, $C$9, 100%, $E$9)</f>
        <v>32.136000000000003</v>
      </c>
      <c r="O558" s="14">
        <f>CHOOSE(CONTROL!$C$42, 32.3682, 32.3682) * CHOOSE(CONTROL!$C$21, $C$9, 100%, $E$9)</f>
        <v>32.368200000000002</v>
      </c>
      <c r="P558" s="14">
        <f>CHOOSE(CONTROL!$C$42, 32.2464, 32.2464) * CHOOSE(CONTROL!$C$21, $C$9, 100%, $E$9)</f>
        <v>32.246400000000001</v>
      </c>
      <c r="Q558" s="14">
        <f>CHOOSE(CONTROL!$C$42, 32.9629, 32.9629) * CHOOSE(CONTROL!$C$21, $C$9, 100%, $E$9)</f>
        <v>32.962899999999998</v>
      </c>
      <c r="R558" s="14">
        <f>CHOOSE(CONTROL!$C$42, 33.6323, 33.6323) * CHOOSE(CONTROL!$C$21, $C$9, 100%, $E$9)</f>
        <v>33.632300000000001</v>
      </c>
      <c r="S558" s="14">
        <f>CHOOSE(CONTROL!$C$42, 31.5111, 31.5111) * CHOOSE(CONTROL!$C$21, $C$9, 100%, $E$9)</f>
        <v>31.511099999999999</v>
      </c>
      <c r="T5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7">
        <f>(1000*CHOOSE(CONTROL!$C$42, 695, 695)*CHOOSE(CONTROL!$C$42, 0.5599, 0.5599)*CHOOSE(CONTROL!$C$42, 30, 30))/1000000</f>
        <v>11.673914999999997</v>
      </c>
      <c r="V558" s="57">
        <f>(1000*CHOOSE(CONTROL!$C$42, 500, 500)*CHOOSE(CONTROL!$C$42, 0.275, 0.275)*CHOOSE(CONTROL!$C$42, 30, 30))/1000000</f>
        <v>4.125</v>
      </c>
      <c r="W558" s="57">
        <f>(1000*CHOOSE(CONTROL!$C$42, 0.1146, 0.1146)*CHOOSE(CONTROL!$C$42, 121.5, 121.5)*CHOOSE(CONTROL!$C$42, 30, 30))/1000000</f>
        <v>0.417717</v>
      </c>
      <c r="X558" s="57">
        <f>(30*0.1790888*245000/1000000)+(30*0.2374*100000/1000000)</f>
        <v>2.0285026799999999</v>
      </c>
      <c r="Y558" s="57"/>
      <c r="Z558" s="14"/>
      <c r="AA558" s="56"/>
      <c r="AB558" s="50">
        <f>(B558*194.205+C558*267.466+D558*133.845+E558*53.484+F558*40+G558*185+H558*0+I558*100+J558*300)/(194.205+267.466+133.845+53.484+0+40+185+100+300)</f>
        <v>32.842565147252742</v>
      </c>
      <c r="AC558" s="45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32.211474820143884</v>
      </c>
    </row>
    <row r="559" spans="1:29" ht="15.75" x14ac:dyDescent="0.25">
      <c r="A559" s="32">
        <v>57922</v>
      </c>
      <c r="B559" s="14">
        <f>CHOOSE(CONTROL!$C$42, 32.1752, 32.1752) * CHOOSE(CONTROL!$C$21, $C$9, 100%, $E$9)</f>
        <v>32.175199999999997</v>
      </c>
      <c r="C559" s="14">
        <f>CHOOSE(CONTROL!$C$42, 32.1833, 32.1833) * CHOOSE(CONTROL!$C$21, $C$9, 100%, $E$9)</f>
        <v>32.183300000000003</v>
      </c>
      <c r="D559" s="14">
        <f>CHOOSE(CONTROL!$C$42, 32.3882, 32.3882) * CHOOSE(CONTROL!$C$21, $C$9, 100%, $E$9)</f>
        <v>32.388199999999998</v>
      </c>
      <c r="E559" s="14">
        <f>CHOOSE(CONTROL!$C$42, 32.4197, 32.4197) * CHOOSE(CONTROL!$C$21, $C$9, 100%, $E$9)</f>
        <v>32.419699999999999</v>
      </c>
      <c r="F559" s="14">
        <f>CHOOSE(CONTROL!$C$42, 32.1622, 32.1622)*CHOOSE(CONTROL!$C$21, $C$9, 100%, $E$9)</f>
        <v>32.162199999999999</v>
      </c>
      <c r="G559" s="14">
        <f>CHOOSE(CONTROL!$C$42, 32.1788, 32.1788)*CHOOSE(CONTROL!$C$21, $C$9, 100%, $E$9)</f>
        <v>32.178800000000003</v>
      </c>
      <c r="H559" s="14">
        <f>CHOOSE(CONTROL!$C$42, 32.4083, 32.4083) * CHOOSE(CONTROL!$C$21, $C$9, 100%, $E$9)</f>
        <v>32.408299999999997</v>
      </c>
      <c r="I559" s="14">
        <f>CHOOSE(CONTROL!$C$42, 32.284, 32.284)* CHOOSE(CONTROL!$C$21, $C$9, 100%, $E$9)</f>
        <v>32.283999999999999</v>
      </c>
      <c r="J559" s="14">
        <f>CHOOSE(CONTROL!$C$42, 32.1552, 32.1552)* CHOOSE(CONTROL!$C$21, $C$9, 100%, $E$9)</f>
        <v>32.155200000000001</v>
      </c>
      <c r="K559" s="53">
        <f>CHOOSE(CONTROL!$C$42, 32.2802, 32.2802) * CHOOSE(CONTROL!$C$21, $C$9, 100%, $E$9)</f>
        <v>32.280200000000001</v>
      </c>
      <c r="L559" s="14">
        <f>CHOOSE(CONTROL!$C$42, 32.9953, 32.9953) * CHOOSE(CONTROL!$C$21, $C$9, 100%, $E$9)</f>
        <v>32.9953</v>
      </c>
      <c r="M559" s="14">
        <f>CHOOSE(CONTROL!$C$42, 31.5041, 31.5041) * CHOOSE(CONTROL!$C$21, $C$9, 100%, $E$9)</f>
        <v>31.504100000000001</v>
      </c>
      <c r="N559" s="14">
        <f>CHOOSE(CONTROL!$C$42, 31.5203, 31.5203) * CHOOSE(CONTROL!$C$21, $C$9, 100%, $E$9)</f>
        <v>31.520299999999999</v>
      </c>
      <c r="O559" s="14">
        <f>CHOOSE(CONTROL!$C$42, 31.752, 31.752) * CHOOSE(CONTROL!$C$21, $C$9, 100%, $E$9)</f>
        <v>31.751999999999999</v>
      </c>
      <c r="P559" s="14">
        <f>CHOOSE(CONTROL!$C$42, 31.6283, 31.6283) * CHOOSE(CONTROL!$C$21, $C$9, 100%, $E$9)</f>
        <v>31.628299999999999</v>
      </c>
      <c r="Q559" s="14">
        <f>CHOOSE(CONTROL!$C$42, 32.3467, 32.3467) * CHOOSE(CONTROL!$C$21, $C$9, 100%, $E$9)</f>
        <v>32.346699999999998</v>
      </c>
      <c r="R559" s="14">
        <f>CHOOSE(CONTROL!$C$42, 33.0146, 33.0146) * CHOOSE(CONTROL!$C$21, $C$9, 100%, $E$9)</f>
        <v>33.014600000000002</v>
      </c>
      <c r="S559" s="14">
        <f>CHOOSE(CONTROL!$C$42, 30.9065, 30.9065) * CHOOSE(CONTROL!$C$21, $C$9, 100%, $E$9)</f>
        <v>30.906500000000001</v>
      </c>
      <c r="T5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7">
        <f>(1000*CHOOSE(CONTROL!$C$42, 695, 695)*CHOOSE(CONTROL!$C$42, 0.5599, 0.5599)*CHOOSE(CONTROL!$C$42, 31, 31))/1000000</f>
        <v>12.063045499999998</v>
      </c>
      <c r="V559" s="57">
        <f>(1000*CHOOSE(CONTROL!$C$42, 500, 500)*CHOOSE(CONTROL!$C$42, 0.275, 0.275)*CHOOSE(CONTROL!$C$42, 31, 31))/1000000</f>
        <v>4.2625000000000002</v>
      </c>
      <c r="W559" s="57">
        <f>(1000*CHOOSE(CONTROL!$C$42, 0.1146, 0.1146)*CHOOSE(CONTROL!$C$42, 121.5, 121.5)*CHOOSE(CONTROL!$C$42, 31, 31))/1000000</f>
        <v>0.43164089999999994</v>
      </c>
      <c r="X559" s="57">
        <f>(31*0.1790888*245000/1000000)+(31*0.2374*100000/1000000)</f>
        <v>2.0961194359999999</v>
      </c>
      <c r="Y559" s="57"/>
      <c r="Z559" s="14"/>
      <c r="AA559" s="56"/>
      <c r="AB559" s="50">
        <f>(B559*194.205+C559*267.466+D559*133.845+E559*53.484+F559*40+G559*185+H559*0+I559*100+J559*300)/(194.205+267.466+133.845+53.484+0+40+185+100+300)</f>
        <v>32.213487517739402</v>
      </c>
      <c r="AC559" s="45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31.595254676258989</v>
      </c>
    </row>
    <row r="560" spans="1:29" ht="15.75" x14ac:dyDescent="0.25">
      <c r="A560" s="32">
        <v>57953</v>
      </c>
      <c r="B560" s="14">
        <f>CHOOSE(CONTROL!$C$42, 30.5865, 30.5865) * CHOOSE(CONTROL!$C$21, $C$9, 100%, $E$9)</f>
        <v>30.586500000000001</v>
      </c>
      <c r="C560" s="14">
        <f>CHOOSE(CONTROL!$C$42, 30.5945, 30.5945) * CHOOSE(CONTROL!$C$21, $C$9, 100%, $E$9)</f>
        <v>30.5945</v>
      </c>
      <c r="D560" s="14">
        <f>CHOOSE(CONTROL!$C$42, 30.7995, 30.7995) * CHOOSE(CONTROL!$C$21, $C$9, 100%, $E$9)</f>
        <v>30.799499999999998</v>
      </c>
      <c r="E560" s="14">
        <f>CHOOSE(CONTROL!$C$42, 30.831, 30.831) * CHOOSE(CONTROL!$C$21, $C$9, 100%, $E$9)</f>
        <v>30.831</v>
      </c>
      <c r="F560" s="14">
        <f>CHOOSE(CONTROL!$C$42, 30.5737, 30.5737)*CHOOSE(CONTROL!$C$21, $C$9, 100%, $E$9)</f>
        <v>30.573699999999999</v>
      </c>
      <c r="G560" s="14">
        <f>CHOOSE(CONTROL!$C$42, 30.5904, 30.5904)*CHOOSE(CONTROL!$C$21, $C$9, 100%, $E$9)</f>
        <v>30.590399999999999</v>
      </c>
      <c r="H560" s="14">
        <f>CHOOSE(CONTROL!$C$42, 30.8196, 30.8196) * CHOOSE(CONTROL!$C$21, $C$9, 100%, $E$9)</f>
        <v>30.819600000000001</v>
      </c>
      <c r="I560" s="14">
        <f>CHOOSE(CONTROL!$C$42, 30.6904, 30.6904)* CHOOSE(CONTROL!$C$21, $C$9, 100%, $E$9)</f>
        <v>30.6904</v>
      </c>
      <c r="J560" s="14">
        <f>CHOOSE(CONTROL!$C$42, 30.5667, 30.5667)* CHOOSE(CONTROL!$C$21, $C$9, 100%, $E$9)</f>
        <v>30.566700000000001</v>
      </c>
      <c r="K560" s="53">
        <f>CHOOSE(CONTROL!$C$42, 30.6865, 30.6865) * CHOOSE(CONTROL!$C$21, $C$9, 100%, $E$9)</f>
        <v>30.686499999999999</v>
      </c>
      <c r="L560" s="14">
        <f>CHOOSE(CONTROL!$C$42, 31.4066, 31.4066) * CHOOSE(CONTROL!$C$21, $C$9, 100%, $E$9)</f>
        <v>31.406600000000001</v>
      </c>
      <c r="M560" s="14">
        <f>CHOOSE(CONTROL!$C$42, 29.9481, 29.9481) * CHOOSE(CONTROL!$C$21, $C$9, 100%, $E$9)</f>
        <v>29.9481</v>
      </c>
      <c r="N560" s="14">
        <f>CHOOSE(CONTROL!$C$42, 29.9644, 29.9644) * CHOOSE(CONTROL!$C$21, $C$9, 100%, $E$9)</f>
        <v>29.964400000000001</v>
      </c>
      <c r="O560" s="14">
        <f>CHOOSE(CONTROL!$C$42, 30.1958, 30.1958) * CHOOSE(CONTROL!$C$21, $C$9, 100%, $E$9)</f>
        <v>30.195799999999998</v>
      </c>
      <c r="P560" s="14">
        <f>CHOOSE(CONTROL!$C$42, 30.0674, 30.0674) * CHOOSE(CONTROL!$C$21, $C$9, 100%, $E$9)</f>
        <v>30.067399999999999</v>
      </c>
      <c r="Q560" s="14">
        <f>CHOOSE(CONTROL!$C$42, 30.7905, 30.7905) * CHOOSE(CONTROL!$C$21, $C$9, 100%, $E$9)</f>
        <v>30.790500000000002</v>
      </c>
      <c r="R560" s="14">
        <f>CHOOSE(CONTROL!$C$42, 31.4545, 31.4545) * CHOOSE(CONTROL!$C$21, $C$9, 100%, $E$9)</f>
        <v>31.454499999999999</v>
      </c>
      <c r="S560" s="14">
        <f>CHOOSE(CONTROL!$C$42, 29.38, 29.38) * CHOOSE(CONTROL!$C$21, $C$9, 100%, $E$9)</f>
        <v>29.38</v>
      </c>
      <c r="T5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7">
        <f>(1000*CHOOSE(CONTROL!$C$42, 695, 695)*CHOOSE(CONTROL!$C$42, 0.5599, 0.5599)*CHOOSE(CONTROL!$C$42, 31, 31))/1000000</f>
        <v>12.063045499999998</v>
      </c>
      <c r="V560" s="57">
        <f>(1000*CHOOSE(CONTROL!$C$42, 500, 500)*CHOOSE(CONTROL!$C$42, 0.275, 0.275)*CHOOSE(CONTROL!$C$42, 31, 31))/1000000</f>
        <v>4.2625000000000002</v>
      </c>
      <c r="W560" s="57">
        <f>(1000*CHOOSE(CONTROL!$C$42, 0.1146, 0.1146)*CHOOSE(CONTROL!$C$42, 121.5, 121.5)*CHOOSE(CONTROL!$C$42, 31, 31))/1000000</f>
        <v>0.43164089999999994</v>
      </c>
      <c r="X560" s="57">
        <f>(31*0.1790888*245000/1000000)+(31*0.2374*100000/1000000)</f>
        <v>2.0961194359999999</v>
      </c>
      <c r="Y560" s="57"/>
      <c r="Z560" s="14"/>
      <c r="AA560" s="56"/>
      <c r="AB560" s="50">
        <f>(B560*194.205+C560*267.466+D560*133.845+E560*53.484+F560*40+G560*185+H560*0+I560*100+J560*300)/(194.205+267.466+133.845+53.484+0+40+185+100+300)</f>
        <v>30.624478846938779</v>
      </c>
      <c r="AC560" s="45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30.03851654676259</v>
      </c>
    </row>
    <row r="561" spans="1:29" ht="15.75" x14ac:dyDescent="0.25">
      <c r="A561" s="32">
        <v>57983</v>
      </c>
      <c r="B561" s="14">
        <f>CHOOSE(CONTROL!$C$42, 28.645, 28.645) * CHOOSE(CONTROL!$C$21, $C$9, 100%, $E$9)</f>
        <v>28.645</v>
      </c>
      <c r="C561" s="14">
        <f>CHOOSE(CONTROL!$C$42, 28.6531, 28.6531) * CHOOSE(CONTROL!$C$21, $C$9, 100%, $E$9)</f>
        <v>28.653099999999998</v>
      </c>
      <c r="D561" s="14">
        <f>CHOOSE(CONTROL!$C$42, 28.858, 28.858) * CHOOSE(CONTROL!$C$21, $C$9, 100%, $E$9)</f>
        <v>28.858000000000001</v>
      </c>
      <c r="E561" s="14">
        <f>CHOOSE(CONTROL!$C$42, 28.8895, 28.8895) * CHOOSE(CONTROL!$C$21, $C$9, 100%, $E$9)</f>
        <v>28.889500000000002</v>
      </c>
      <c r="F561" s="14">
        <f>CHOOSE(CONTROL!$C$42, 28.6322, 28.6322)*CHOOSE(CONTROL!$C$21, $C$9, 100%, $E$9)</f>
        <v>28.632200000000001</v>
      </c>
      <c r="G561" s="14">
        <f>CHOOSE(CONTROL!$C$42, 28.6489, 28.6489)*CHOOSE(CONTROL!$C$21, $C$9, 100%, $E$9)</f>
        <v>28.648900000000001</v>
      </c>
      <c r="H561" s="14">
        <f>CHOOSE(CONTROL!$C$42, 28.8781, 28.8781) * CHOOSE(CONTROL!$C$21, $C$9, 100%, $E$9)</f>
        <v>28.8781</v>
      </c>
      <c r="I561" s="14">
        <f>CHOOSE(CONTROL!$C$42, 28.7428, 28.7428)* CHOOSE(CONTROL!$C$21, $C$9, 100%, $E$9)</f>
        <v>28.742799999999999</v>
      </c>
      <c r="J561" s="14">
        <f>CHOOSE(CONTROL!$C$42, 28.6252, 28.6252)* CHOOSE(CONTROL!$C$21, $C$9, 100%, $E$9)</f>
        <v>28.6252</v>
      </c>
      <c r="K561" s="53">
        <f>CHOOSE(CONTROL!$C$42, 28.7389, 28.7389) * CHOOSE(CONTROL!$C$21, $C$9, 100%, $E$9)</f>
        <v>28.738900000000001</v>
      </c>
      <c r="L561" s="14">
        <f>CHOOSE(CONTROL!$C$42, 29.4651, 29.4651) * CHOOSE(CONTROL!$C$21, $C$9, 100%, $E$9)</f>
        <v>29.4651</v>
      </c>
      <c r="M561" s="14">
        <f>CHOOSE(CONTROL!$C$42, 28.0464, 28.0464) * CHOOSE(CONTROL!$C$21, $C$9, 100%, $E$9)</f>
        <v>28.046399999999998</v>
      </c>
      <c r="N561" s="14">
        <f>CHOOSE(CONTROL!$C$42, 28.0627, 28.0627) * CHOOSE(CONTROL!$C$21, $C$9, 100%, $E$9)</f>
        <v>28.0627</v>
      </c>
      <c r="O561" s="14">
        <f>CHOOSE(CONTROL!$C$42, 28.2941, 28.2941) * CHOOSE(CONTROL!$C$21, $C$9, 100%, $E$9)</f>
        <v>28.2941</v>
      </c>
      <c r="P561" s="14">
        <f>CHOOSE(CONTROL!$C$42, 28.1598, 28.1598) * CHOOSE(CONTROL!$C$21, $C$9, 100%, $E$9)</f>
        <v>28.159800000000001</v>
      </c>
      <c r="Q561" s="14">
        <f>CHOOSE(CONTROL!$C$42, 28.8888, 28.8888) * CHOOSE(CONTROL!$C$21, $C$9, 100%, $E$9)</f>
        <v>28.8888</v>
      </c>
      <c r="R561" s="14">
        <f>CHOOSE(CONTROL!$C$42, 29.548, 29.548) * CHOOSE(CONTROL!$C$21, $C$9, 100%, $E$9)</f>
        <v>29.547999999999998</v>
      </c>
      <c r="S561" s="14">
        <f>CHOOSE(CONTROL!$C$42, 27.5144, 27.5144) * CHOOSE(CONTROL!$C$21, $C$9, 100%, $E$9)</f>
        <v>27.514399999999998</v>
      </c>
      <c r="T5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7">
        <f>(1000*CHOOSE(CONTROL!$C$42, 695, 695)*CHOOSE(CONTROL!$C$42, 0.5599, 0.5599)*CHOOSE(CONTROL!$C$42, 30, 30))/1000000</f>
        <v>11.673914999999997</v>
      </c>
      <c r="V561" s="57">
        <f>(1000*CHOOSE(CONTROL!$C$42, 500, 500)*CHOOSE(CONTROL!$C$42, 0.275, 0.275)*CHOOSE(CONTROL!$C$42, 30, 30))/1000000</f>
        <v>4.125</v>
      </c>
      <c r="W561" s="57">
        <f>(1000*CHOOSE(CONTROL!$C$42, 0.1146, 0.1146)*CHOOSE(CONTROL!$C$42, 121.5, 121.5)*CHOOSE(CONTROL!$C$42, 30, 30))/1000000</f>
        <v>0.417717</v>
      </c>
      <c r="X561" s="57">
        <f>(30*0.1790888*245000/1000000)+(30*0.2374*100000/1000000)</f>
        <v>2.0285026799999999</v>
      </c>
      <c r="Y561" s="57"/>
      <c r="Z561" s="14"/>
      <c r="AA561" s="56"/>
      <c r="AB561" s="50">
        <f>(B561*194.205+C561*267.466+D561*133.845+E561*53.484+F561*40+G561*185+H561*0+I561*100+J561*300)/(194.205+267.466+133.845+53.484+0+40+185+100+300)</f>
        <v>28.682521034222919</v>
      </c>
      <c r="AC561" s="45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28.135967625899283</v>
      </c>
    </row>
    <row r="562" spans="1:29" ht="15.75" x14ac:dyDescent="0.25">
      <c r="A562" s="32">
        <v>58014</v>
      </c>
      <c r="B562" s="14">
        <f>CHOOSE(CONTROL!$C$42, 28.0619, 28.0619) * CHOOSE(CONTROL!$C$21, $C$9, 100%, $E$9)</f>
        <v>28.061900000000001</v>
      </c>
      <c r="C562" s="14">
        <f>CHOOSE(CONTROL!$C$42, 28.0672, 28.0672) * CHOOSE(CONTROL!$C$21, $C$9, 100%, $E$9)</f>
        <v>28.0672</v>
      </c>
      <c r="D562" s="14">
        <f>CHOOSE(CONTROL!$C$42, 28.2772, 28.2772) * CHOOSE(CONTROL!$C$21, $C$9, 100%, $E$9)</f>
        <v>28.277200000000001</v>
      </c>
      <c r="E562" s="14">
        <f>CHOOSE(CONTROL!$C$42, 28.3063, 28.3063) * CHOOSE(CONTROL!$C$21, $C$9, 100%, $E$9)</f>
        <v>28.3063</v>
      </c>
      <c r="F562" s="14">
        <f>CHOOSE(CONTROL!$C$42, 28.0511, 28.0511)*CHOOSE(CONTROL!$C$21, $C$9, 100%, $E$9)</f>
        <v>28.051100000000002</v>
      </c>
      <c r="G562" s="14">
        <f>CHOOSE(CONTROL!$C$42, 28.0675, 28.0675)*CHOOSE(CONTROL!$C$21, $C$9, 100%, $E$9)</f>
        <v>28.067499999999999</v>
      </c>
      <c r="H562" s="14">
        <f>CHOOSE(CONTROL!$C$42, 28.2968, 28.2968) * CHOOSE(CONTROL!$C$21, $C$9, 100%, $E$9)</f>
        <v>28.296800000000001</v>
      </c>
      <c r="I562" s="14">
        <f>CHOOSE(CONTROL!$C$42, 28.1596, 28.1596)* CHOOSE(CONTROL!$C$21, $C$9, 100%, $E$9)</f>
        <v>28.159600000000001</v>
      </c>
      <c r="J562" s="14">
        <f>CHOOSE(CONTROL!$C$42, 28.0441, 28.0441)* CHOOSE(CONTROL!$C$21, $C$9, 100%, $E$9)</f>
        <v>28.0441</v>
      </c>
      <c r="K562" s="53">
        <f>CHOOSE(CONTROL!$C$42, 28.1557, 28.1557) * CHOOSE(CONTROL!$C$21, $C$9, 100%, $E$9)</f>
        <v>28.1557</v>
      </c>
      <c r="L562" s="14">
        <f>CHOOSE(CONTROL!$C$42, 28.8838, 28.8838) * CHOOSE(CONTROL!$C$21, $C$9, 100%, $E$9)</f>
        <v>28.883800000000001</v>
      </c>
      <c r="M562" s="14">
        <f>CHOOSE(CONTROL!$C$42, 27.4772, 27.4772) * CHOOSE(CONTROL!$C$21, $C$9, 100%, $E$9)</f>
        <v>27.4772</v>
      </c>
      <c r="N562" s="14">
        <f>CHOOSE(CONTROL!$C$42, 27.4932, 27.4932) * CHOOSE(CONTROL!$C$21, $C$9, 100%, $E$9)</f>
        <v>27.493200000000002</v>
      </c>
      <c r="O562" s="14">
        <f>CHOOSE(CONTROL!$C$42, 27.7247, 27.7247) * CHOOSE(CONTROL!$C$21, $C$9, 100%, $E$9)</f>
        <v>27.724699999999999</v>
      </c>
      <c r="P562" s="14">
        <f>CHOOSE(CONTROL!$C$42, 27.5886, 27.5886) * CHOOSE(CONTROL!$C$21, $C$9, 100%, $E$9)</f>
        <v>27.5886</v>
      </c>
      <c r="Q562" s="14">
        <f>CHOOSE(CONTROL!$C$42, 28.3194, 28.3194) * CHOOSE(CONTROL!$C$21, $C$9, 100%, $E$9)</f>
        <v>28.319400000000002</v>
      </c>
      <c r="R562" s="14">
        <f>CHOOSE(CONTROL!$C$42, 28.9772, 28.9772) * CHOOSE(CONTROL!$C$21, $C$9, 100%, $E$9)</f>
        <v>28.9772</v>
      </c>
      <c r="S562" s="14">
        <f>CHOOSE(CONTROL!$C$42, 26.9557, 26.9557) * CHOOSE(CONTROL!$C$21, $C$9, 100%, $E$9)</f>
        <v>26.9557</v>
      </c>
      <c r="T5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7">
        <f>(1000*CHOOSE(CONTROL!$C$42, 695, 695)*CHOOSE(CONTROL!$C$42, 0.5599, 0.5599)*CHOOSE(CONTROL!$C$42, 31, 31))/1000000</f>
        <v>12.063045499999998</v>
      </c>
      <c r="V562" s="57">
        <f>(1000*CHOOSE(CONTROL!$C$42, 500, 500)*CHOOSE(CONTROL!$C$42, 0.275, 0.275)*CHOOSE(CONTROL!$C$42, 31, 31))/1000000</f>
        <v>4.2625000000000002</v>
      </c>
      <c r="W562" s="57">
        <f>(1000*CHOOSE(CONTROL!$C$42, 0.1146, 0.1146)*CHOOSE(CONTROL!$C$42, 121.5, 121.5)*CHOOSE(CONTROL!$C$42, 31, 31))/1000000</f>
        <v>0.43164089999999994</v>
      </c>
      <c r="X562" s="57">
        <f>(31*0.1790888*245000/1000000)+(31*0.2374*100000/1000000)</f>
        <v>2.0961194359999999</v>
      </c>
      <c r="Y562" s="57"/>
      <c r="Z562" s="14"/>
      <c r="AA562" s="56"/>
      <c r="AB562" s="50">
        <f>(B562*131.881+C562*277.167+D562*79.08+E562*125.872+F562*40+G562*185+H562*0+I562*100+J562*300)/(131.881+277.167+79.08+125.872+0+40+185+100+300)</f>
        <v>28.105719229943507</v>
      </c>
      <c r="AC562" s="45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27.566354676258992</v>
      </c>
    </row>
    <row r="563" spans="1:29" ht="15.75" x14ac:dyDescent="0.25">
      <c r="A563" s="32">
        <v>58044</v>
      </c>
      <c r="B563" s="14">
        <f>CHOOSE(CONTROL!$C$42, 28.8005, 28.8005) * CHOOSE(CONTROL!$C$21, $C$9, 100%, $E$9)</f>
        <v>28.8005</v>
      </c>
      <c r="C563" s="14">
        <f>CHOOSE(CONTROL!$C$42, 28.8056, 28.8056) * CHOOSE(CONTROL!$C$21, $C$9, 100%, $E$9)</f>
        <v>28.805599999999998</v>
      </c>
      <c r="D563" s="14">
        <f>CHOOSE(CONTROL!$C$42, 28.8694, 28.8694) * CHOOSE(CONTROL!$C$21, $C$9, 100%, $E$9)</f>
        <v>28.869399999999999</v>
      </c>
      <c r="E563" s="14">
        <f>CHOOSE(CONTROL!$C$42, 28.9035, 28.9035) * CHOOSE(CONTROL!$C$21, $C$9, 100%, $E$9)</f>
        <v>28.903500000000001</v>
      </c>
      <c r="F563" s="14">
        <f>CHOOSE(CONTROL!$C$42, 28.8027, 28.8027)*CHOOSE(CONTROL!$C$21, $C$9, 100%, $E$9)</f>
        <v>28.802700000000002</v>
      </c>
      <c r="G563" s="14">
        <f>CHOOSE(CONTROL!$C$42, 28.8194, 28.8194)*CHOOSE(CONTROL!$C$21, $C$9, 100%, $E$9)</f>
        <v>28.819400000000002</v>
      </c>
      <c r="H563" s="14">
        <f>CHOOSE(CONTROL!$C$42, 28.8927, 28.8927) * CHOOSE(CONTROL!$C$21, $C$9, 100%, $E$9)</f>
        <v>28.892700000000001</v>
      </c>
      <c r="I563" s="14">
        <f>CHOOSE(CONTROL!$C$42, 28.9046, 28.9046)* CHOOSE(CONTROL!$C$21, $C$9, 100%, $E$9)</f>
        <v>28.904599999999999</v>
      </c>
      <c r="J563" s="14">
        <f>CHOOSE(CONTROL!$C$42, 28.7957, 28.7957)* CHOOSE(CONTROL!$C$21, $C$9, 100%, $E$9)</f>
        <v>28.7957</v>
      </c>
      <c r="K563" s="53">
        <f>CHOOSE(CONTROL!$C$42, 28.9007, 28.9007) * CHOOSE(CONTROL!$C$21, $C$9, 100%, $E$9)</f>
        <v>28.900700000000001</v>
      </c>
      <c r="L563" s="14">
        <f>CHOOSE(CONTROL!$C$42, 29.4797, 29.4797) * CHOOSE(CONTROL!$C$21, $C$9, 100%, $E$9)</f>
        <v>29.479700000000001</v>
      </c>
      <c r="M563" s="14">
        <f>CHOOSE(CONTROL!$C$42, 28.2134, 28.2134) * CHOOSE(CONTROL!$C$21, $C$9, 100%, $E$9)</f>
        <v>28.2134</v>
      </c>
      <c r="N563" s="14">
        <f>CHOOSE(CONTROL!$C$42, 28.2298, 28.2298) * CHOOSE(CONTROL!$C$21, $C$9, 100%, $E$9)</f>
        <v>28.229800000000001</v>
      </c>
      <c r="O563" s="14">
        <f>CHOOSE(CONTROL!$C$42, 28.3084, 28.3084) * CHOOSE(CONTROL!$C$21, $C$9, 100%, $E$9)</f>
        <v>28.308399999999999</v>
      </c>
      <c r="P563" s="14">
        <f>CHOOSE(CONTROL!$C$42, 28.3183, 28.3183) * CHOOSE(CONTROL!$C$21, $C$9, 100%, $E$9)</f>
        <v>28.318300000000001</v>
      </c>
      <c r="Q563" s="14">
        <f>CHOOSE(CONTROL!$C$42, 28.9031, 28.9031) * CHOOSE(CONTROL!$C$21, $C$9, 100%, $E$9)</f>
        <v>28.903099999999998</v>
      </c>
      <c r="R563" s="14">
        <f>CHOOSE(CONTROL!$C$42, 29.5623, 29.5623) * CHOOSE(CONTROL!$C$21, $C$9, 100%, $E$9)</f>
        <v>29.5623</v>
      </c>
      <c r="S563" s="14">
        <f>CHOOSE(CONTROL!$C$42, 27.6659, 27.6659) * CHOOSE(CONTROL!$C$21, $C$9, 100%, $E$9)</f>
        <v>27.665900000000001</v>
      </c>
      <c r="T5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7">
        <f>(1000*CHOOSE(CONTROL!$C$42, 695, 695)*CHOOSE(CONTROL!$C$42, 0.5599, 0.5599)*CHOOSE(CONTROL!$C$42, 30, 30))/1000000</f>
        <v>11.673914999999997</v>
      </c>
      <c r="V563" s="57">
        <f>(1000*CHOOSE(CONTROL!$C$42, 500, 500)*CHOOSE(CONTROL!$C$42, 0.275, 0.275)*CHOOSE(CONTROL!$C$42, 30, 30))/1000000</f>
        <v>4.125</v>
      </c>
      <c r="W563" s="57">
        <f>(1000*CHOOSE(CONTROL!$C$42, 0.1146, 0.1146)*CHOOSE(CONTROL!$C$42, 121.5, 121.5)*CHOOSE(CONTROL!$C$42, 30, 30))/1000000</f>
        <v>0.417717</v>
      </c>
      <c r="X563" s="57">
        <f>(30*0.1790888*100000/1000000)+(30*0.2374*100000/1000000)</f>
        <v>1.2494664</v>
      </c>
      <c r="Y563" s="57"/>
      <c r="Z563" s="14"/>
      <c r="AA563" s="56"/>
      <c r="AB563" s="50">
        <f>(B563*122.58+C563*297.941+D563*89.177+E563*40.302+F563*40+G563*160+H563*0+I563*100+J563*300)/(122.58+297.941+89.177+40.302+0+40+160+100+300)</f>
        <v>28.821279913391297</v>
      </c>
      <c r="AC563" s="45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28.272494964028773</v>
      </c>
    </row>
    <row r="564" spans="1:29" ht="15.75" x14ac:dyDescent="0.25">
      <c r="A564" s="32">
        <v>58075</v>
      </c>
      <c r="B564" s="14">
        <f>CHOOSE(CONTROL!$C$42, 30.7634, 30.7634) * CHOOSE(CONTROL!$C$21, $C$9, 100%, $E$9)</f>
        <v>30.763400000000001</v>
      </c>
      <c r="C564" s="14">
        <f>CHOOSE(CONTROL!$C$42, 30.7685, 30.7685) * CHOOSE(CONTROL!$C$21, $C$9, 100%, $E$9)</f>
        <v>30.7685</v>
      </c>
      <c r="D564" s="14">
        <f>CHOOSE(CONTROL!$C$42, 30.8323, 30.8323) * CHOOSE(CONTROL!$C$21, $C$9, 100%, $E$9)</f>
        <v>30.8323</v>
      </c>
      <c r="E564" s="14">
        <f>CHOOSE(CONTROL!$C$42, 30.8664, 30.8664) * CHOOSE(CONTROL!$C$21, $C$9, 100%, $E$9)</f>
        <v>30.866399999999999</v>
      </c>
      <c r="F564" s="14">
        <f>CHOOSE(CONTROL!$C$42, 30.7678, 30.7678)*CHOOSE(CONTROL!$C$21, $C$9, 100%, $E$9)</f>
        <v>30.767800000000001</v>
      </c>
      <c r="G564" s="14">
        <f>CHOOSE(CONTROL!$C$42, 30.785, 30.785)*CHOOSE(CONTROL!$C$21, $C$9, 100%, $E$9)</f>
        <v>30.785</v>
      </c>
      <c r="H564" s="14">
        <f>CHOOSE(CONTROL!$C$42, 30.8556, 30.8556) * CHOOSE(CONTROL!$C$21, $C$9, 100%, $E$9)</f>
        <v>30.855599999999999</v>
      </c>
      <c r="I564" s="14">
        <f>CHOOSE(CONTROL!$C$42, 30.8737, 30.8737)* CHOOSE(CONTROL!$C$21, $C$9, 100%, $E$9)</f>
        <v>30.873699999999999</v>
      </c>
      <c r="J564" s="14">
        <f>CHOOSE(CONTROL!$C$42, 30.7608, 30.7608)* CHOOSE(CONTROL!$C$21, $C$9, 100%, $E$9)</f>
        <v>30.7608</v>
      </c>
      <c r="K564" s="53">
        <f>CHOOSE(CONTROL!$C$42, 30.8698, 30.8698) * CHOOSE(CONTROL!$C$21, $C$9, 100%, $E$9)</f>
        <v>30.869800000000001</v>
      </c>
      <c r="L564" s="14">
        <f>CHOOSE(CONTROL!$C$42, 31.4426, 31.4426) * CHOOSE(CONTROL!$C$21, $C$9, 100%, $E$9)</f>
        <v>31.442599999999999</v>
      </c>
      <c r="M564" s="14">
        <f>CHOOSE(CONTROL!$C$42, 30.1382, 30.1382) * CHOOSE(CONTROL!$C$21, $C$9, 100%, $E$9)</f>
        <v>30.138200000000001</v>
      </c>
      <c r="N564" s="14">
        <f>CHOOSE(CONTROL!$C$42, 30.155, 30.155) * CHOOSE(CONTROL!$C$21, $C$9, 100%, $E$9)</f>
        <v>30.155000000000001</v>
      </c>
      <c r="O564" s="14">
        <f>CHOOSE(CONTROL!$C$42, 30.2311, 30.2311) * CHOOSE(CONTROL!$C$21, $C$9, 100%, $E$9)</f>
        <v>30.231100000000001</v>
      </c>
      <c r="P564" s="14">
        <f>CHOOSE(CONTROL!$C$42, 30.2469, 30.2469) * CHOOSE(CONTROL!$C$21, $C$9, 100%, $E$9)</f>
        <v>30.2469</v>
      </c>
      <c r="Q564" s="14">
        <f>CHOOSE(CONTROL!$C$42, 30.8258, 30.8258) * CHOOSE(CONTROL!$C$21, $C$9, 100%, $E$9)</f>
        <v>30.825800000000001</v>
      </c>
      <c r="R564" s="14">
        <f>CHOOSE(CONTROL!$C$42, 31.4899, 31.4899) * CHOOSE(CONTROL!$C$21, $C$9, 100%, $E$9)</f>
        <v>31.489899999999999</v>
      </c>
      <c r="S564" s="14">
        <f>CHOOSE(CONTROL!$C$42, 29.5521, 29.5521) * CHOOSE(CONTROL!$C$21, $C$9, 100%, $E$9)</f>
        <v>29.552099999999999</v>
      </c>
      <c r="T5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7">
        <f>(1000*CHOOSE(CONTROL!$C$42, 695, 695)*CHOOSE(CONTROL!$C$42, 0.5599, 0.5599)*CHOOSE(CONTROL!$C$42, 31, 31))/1000000</f>
        <v>12.063045499999998</v>
      </c>
      <c r="V564" s="57">
        <f>(1000*CHOOSE(CONTROL!$C$42, 500, 500)*CHOOSE(CONTROL!$C$42, 0.275, 0.275)*CHOOSE(CONTROL!$C$42, 31, 31))/1000000</f>
        <v>4.2625000000000002</v>
      </c>
      <c r="W564" s="57">
        <f>(1000*CHOOSE(CONTROL!$C$42, 0.1146, 0.1146)*CHOOSE(CONTROL!$C$42, 121.5, 121.5)*CHOOSE(CONTROL!$C$42, 31, 31))/1000000</f>
        <v>0.43164089999999994</v>
      </c>
      <c r="X564" s="57">
        <f>(31*0.1790888*100000/1000000)+(31*0.2374*100000/1000000)</f>
        <v>1.2911152800000001</v>
      </c>
      <c r="Y564" s="57"/>
      <c r="Z564" s="14"/>
      <c r="AA564" s="56"/>
      <c r="AB564" s="50">
        <f>(B564*122.58+C564*297.941+D564*89.177+E564*40.302+F564*40+G564*160+H564*0+I564*100+J564*300)/(122.58+297.941+89.177+40.302+0+40+160+100+300)</f>
        <v>30.785745130782612</v>
      </c>
      <c r="AC564" s="45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30.196912949640286</v>
      </c>
    </row>
    <row r="565" spans="1:29" ht="15.75" x14ac:dyDescent="0.25">
      <c r="A565" s="32">
        <v>58106</v>
      </c>
      <c r="B565" s="14">
        <f>CHOOSE(CONTROL!$C$42, 33.2826, 33.2826) * CHOOSE(CONTROL!$C$21, $C$9, 100%, $E$9)</f>
        <v>33.282600000000002</v>
      </c>
      <c r="C565" s="14">
        <f>CHOOSE(CONTROL!$C$42, 33.2877, 33.2877) * CHOOSE(CONTROL!$C$21, $C$9, 100%, $E$9)</f>
        <v>33.287700000000001</v>
      </c>
      <c r="D565" s="14">
        <f>CHOOSE(CONTROL!$C$42, 33.3463, 33.3463) * CHOOSE(CONTROL!$C$21, $C$9, 100%, $E$9)</f>
        <v>33.346299999999999</v>
      </c>
      <c r="E565" s="14">
        <f>CHOOSE(CONTROL!$C$42, 33.3804, 33.3804) * CHOOSE(CONTROL!$C$21, $C$9, 100%, $E$9)</f>
        <v>33.380400000000002</v>
      </c>
      <c r="F565" s="14">
        <f>CHOOSE(CONTROL!$C$42, 33.2817, 33.2817)*CHOOSE(CONTROL!$C$21, $C$9, 100%, $E$9)</f>
        <v>33.281700000000001</v>
      </c>
      <c r="G565" s="14">
        <f>CHOOSE(CONTROL!$C$42, 33.2981, 33.2981)*CHOOSE(CONTROL!$C$21, $C$9, 100%, $E$9)</f>
        <v>33.298099999999998</v>
      </c>
      <c r="H565" s="14">
        <f>CHOOSE(CONTROL!$C$42, 33.3696, 33.3696) * CHOOSE(CONTROL!$C$21, $C$9, 100%, $E$9)</f>
        <v>33.369599999999998</v>
      </c>
      <c r="I565" s="14">
        <f>CHOOSE(CONTROL!$C$42, 33.3971, 33.3971)* CHOOSE(CONTROL!$C$21, $C$9, 100%, $E$9)</f>
        <v>33.397100000000002</v>
      </c>
      <c r="J565" s="14">
        <f>CHOOSE(CONTROL!$C$42, 33.2747, 33.2747)* CHOOSE(CONTROL!$C$21, $C$9, 100%, $E$9)</f>
        <v>33.274700000000003</v>
      </c>
      <c r="K565" s="53">
        <f>CHOOSE(CONTROL!$C$42, 33.3932, 33.3932) * CHOOSE(CONTROL!$C$21, $C$9, 100%, $E$9)</f>
        <v>33.3932</v>
      </c>
      <c r="L565" s="14">
        <f>CHOOSE(CONTROL!$C$42, 33.9566, 33.9566) * CHOOSE(CONTROL!$C$21, $C$9, 100%, $E$9)</f>
        <v>33.956600000000002</v>
      </c>
      <c r="M565" s="14">
        <f>CHOOSE(CONTROL!$C$42, 32.6006, 32.6006) * CHOOSE(CONTROL!$C$21, $C$9, 100%, $E$9)</f>
        <v>32.6006</v>
      </c>
      <c r="N565" s="14">
        <f>CHOOSE(CONTROL!$C$42, 32.6167, 32.6167) * CHOOSE(CONTROL!$C$21, $C$9, 100%, $E$9)</f>
        <v>32.616700000000002</v>
      </c>
      <c r="O565" s="14">
        <f>CHOOSE(CONTROL!$C$42, 32.6936, 32.6936) * CHOOSE(CONTROL!$C$21, $C$9, 100%, $E$9)</f>
        <v>32.693600000000004</v>
      </c>
      <c r="P565" s="14">
        <f>CHOOSE(CONTROL!$C$42, 32.7185, 32.7185) * CHOOSE(CONTROL!$C$21, $C$9, 100%, $E$9)</f>
        <v>32.718499999999999</v>
      </c>
      <c r="Q565" s="14">
        <f>CHOOSE(CONTROL!$C$42, 33.2883, 33.2883) * CHOOSE(CONTROL!$C$21, $C$9, 100%, $E$9)</f>
        <v>33.2883</v>
      </c>
      <c r="R565" s="14">
        <f>CHOOSE(CONTROL!$C$42, 33.9585, 33.9585) * CHOOSE(CONTROL!$C$21, $C$9, 100%, $E$9)</f>
        <v>33.958500000000001</v>
      </c>
      <c r="S565" s="14">
        <f>CHOOSE(CONTROL!$C$42, 31.9727, 31.9727) * CHOOSE(CONTROL!$C$21, $C$9, 100%, $E$9)</f>
        <v>31.9727</v>
      </c>
      <c r="T5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7">
        <f>(1000*CHOOSE(CONTROL!$C$42, 695, 695)*CHOOSE(CONTROL!$C$42, 0.5599, 0.5599)*CHOOSE(CONTROL!$C$42, 31, 31))/1000000</f>
        <v>12.063045499999998</v>
      </c>
      <c r="V565" s="57">
        <f>(1000*CHOOSE(CONTROL!$C$42, 500, 500)*CHOOSE(CONTROL!$C$42, 0.275, 0.275)*CHOOSE(CONTROL!$C$42, 31, 31))/1000000</f>
        <v>4.2625000000000002</v>
      </c>
      <c r="W565" s="57">
        <f>(1000*CHOOSE(CONTROL!$C$42, 0.1146, 0.1146)*CHOOSE(CONTROL!$C$42, 121.5, 121.5)*CHOOSE(CONTROL!$C$42, 31, 31))/1000000</f>
        <v>0.43164089999999994</v>
      </c>
      <c r="X565" s="57">
        <f>(31*0.1790888*100000/1000000)+(31*0.2374*100000/1000000)</f>
        <v>1.2911152800000001</v>
      </c>
      <c r="Y565" s="57"/>
      <c r="Z565" s="14"/>
      <c r="AA565" s="56"/>
      <c r="AB565" s="50">
        <f>(B565*122.58+C565*297.941+D565*89.177+E565*40.302+F565*40+G565*160+H565*0+I565*100+J565*300)/(122.58+297.941+89.177+40.302+0+40+160+100+300)</f>
        <v>33.30230922573913</v>
      </c>
      <c r="AC565" s="45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32.660641726618707</v>
      </c>
    </row>
    <row r="566" spans="1:29" ht="15.75" x14ac:dyDescent="0.25">
      <c r="A566" s="32">
        <v>58134</v>
      </c>
      <c r="B566" s="14">
        <f>CHOOSE(CONTROL!$C$42, 33.8749, 33.8749) * CHOOSE(CONTROL!$C$21, $C$9, 100%, $E$9)</f>
        <v>33.874899999999997</v>
      </c>
      <c r="C566" s="14">
        <f>CHOOSE(CONTROL!$C$42, 33.88, 33.88) * CHOOSE(CONTROL!$C$21, $C$9, 100%, $E$9)</f>
        <v>33.880000000000003</v>
      </c>
      <c r="D566" s="14">
        <f>CHOOSE(CONTROL!$C$42, 33.9386, 33.9386) * CHOOSE(CONTROL!$C$21, $C$9, 100%, $E$9)</f>
        <v>33.938600000000001</v>
      </c>
      <c r="E566" s="14">
        <f>CHOOSE(CONTROL!$C$42, 33.9727, 33.9727) * CHOOSE(CONTROL!$C$21, $C$9, 100%, $E$9)</f>
        <v>33.972700000000003</v>
      </c>
      <c r="F566" s="14">
        <f>CHOOSE(CONTROL!$C$42, 33.874, 33.874)*CHOOSE(CONTROL!$C$21, $C$9, 100%, $E$9)</f>
        <v>33.874000000000002</v>
      </c>
      <c r="G566" s="14">
        <f>CHOOSE(CONTROL!$C$42, 33.8904, 33.8904)*CHOOSE(CONTROL!$C$21, $C$9, 100%, $E$9)</f>
        <v>33.8904</v>
      </c>
      <c r="H566" s="14">
        <f>CHOOSE(CONTROL!$C$42, 33.9619, 33.9619) * CHOOSE(CONTROL!$C$21, $C$9, 100%, $E$9)</f>
        <v>33.9619</v>
      </c>
      <c r="I566" s="14">
        <f>CHOOSE(CONTROL!$C$42, 33.9912, 33.9912)* CHOOSE(CONTROL!$C$21, $C$9, 100%, $E$9)</f>
        <v>33.991199999999999</v>
      </c>
      <c r="J566" s="14">
        <f>CHOOSE(CONTROL!$C$42, 33.867, 33.867)* CHOOSE(CONTROL!$C$21, $C$9, 100%, $E$9)</f>
        <v>33.866999999999997</v>
      </c>
      <c r="K566" s="53">
        <f>CHOOSE(CONTROL!$C$42, 33.9874, 33.9874) * CHOOSE(CONTROL!$C$21, $C$9, 100%, $E$9)</f>
        <v>33.987400000000001</v>
      </c>
      <c r="L566" s="14">
        <f>CHOOSE(CONTROL!$C$42, 34.5489, 34.5489) * CHOOSE(CONTROL!$C$21, $C$9, 100%, $E$9)</f>
        <v>34.548900000000003</v>
      </c>
      <c r="M566" s="14">
        <f>CHOOSE(CONTROL!$C$42, 33.1808, 33.1808) * CHOOSE(CONTROL!$C$21, $C$9, 100%, $E$9)</f>
        <v>33.180799999999998</v>
      </c>
      <c r="N566" s="14">
        <f>CHOOSE(CONTROL!$C$42, 33.1968, 33.1968) * CHOOSE(CONTROL!$C$21, $C$9, 100%, $E$9)</f>
        <v>33.196800000000003</v>
      </c>
      <c r="O566" s="14">
        <f>CHOOSE(CONTROL!$C$42, 33.2737, 33.2737) * CHOOSE(CONTROL!$C$21, $C$9, 100%, $E$9)</f>
        <v>33.273699999999998</v>
      </c>
      <c r="P566" s="14">
        <f>CHOOSE(CONTROL!$C$42, 33.3004, 33.3004) * CHOOSE(CONTROL!$C$21, $C$9, 100%, $E$9)</f>
        <v>33.300400000000003</v>
      </c>
      <c r="Q566" s="14">
        <f>CHOOSE(CONTROL!$C$42, 33.8684, 33.8684) * CHOOSE(CONTROL!$C$21, $C$9, 100%, $E$9)</f>
        <v>33.868400000000001</v>
      </c>
      <c r="R566" s="14">
        <f>CHOOSE(CONTROL!$C$42, 34.5401, 34.5401) * CHOOSE(CONTROL!$C$21, $C$9, 100%, $E$9)</f>
        <v>34.540100000000002</v>
      </c>
      <c r="S566" s="14">
        <f>CHOOSE(CONTROL!$C$42, 32.5419, 32.5419) * CHOOSE(CONTROL!$C$21, $C$9, 100%, $E$9)</f>
        <v>32.541899999999998</v>
      </c>
      <c r="T5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7">
        <f>(1000*CHOOSE(CONTROL!$C$42, 695, 695)*CHOOSE(CONTROL!$C$42, 0.5599, 0.5599)*CHOOSE(CONTROL!$C$42, 28, 28))/1000000</f>
        <v>10.895653999999999</v>
      </c>
      <c r="V566" s="57">
        <f>(1000*CHOOSE(CONTROL!$C$42, 500, 500)*CHOOSE(CONTROL!$C$42, 0.275, 0.275)*CHOOSE(CONTROL!$C$42, 28, 28))/1000000</f>
        <v>3.85</v>
      </c>
      <c r="W566" s="57">
        <f>(1000*CHOOSE(CONTROL!$C$42, 0.1146, 0.1146)*CHOOSE(CONTROL!$C$42, 121.5, 121.5)*CHOOSE(CONTROL!$C$42, 28, 28))/1000000</f>
        <v>0.38986920000000003</v>
      </c>
      <c r="X566" s="57">
        <f>(28*0.1790888*100000/1000000)+(28*0.2374*100000/1000000)</f>
        <v>1.16616864</v>
      </c>
      <c r="Y566" s="57"/>
      <c r="Z566" s="14"/>
      <c r="AA566" s="56"/>
      <c r="AB566" s="50">
        <f>(B566*122.58+C566*297.941+D566*89.177+E566*40.302+F566*40+G566*160+H566*0+I566*100+J566*300)/(122.58+297.941+89.177+40.302+0+40+160+100+300)</f>
        <v>33.89476574747826</v>
      </c>
      <c r="AC566" s="45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33.241035251798564</v>
      </c>
    </row>
    <row r="567" spans="1:29" ht="15.75" x14ac:dyDescent="0.25">
      <c r="A567" s="32">
        <v>58165</v>
      </c>
      <c r="B567" s="14">
        <f>CHOOSE(CONTROL!$C$42, 32.9135, 32.9135) * CHOOSE(CONTROL!$C$21, $C$9, 100%, $E$9)</f>
        <v>32.913499999999999</v>
      </c>
      <c r="C567" s="14">
        <f>CHOOSE(CONTROL!$C$42, 32.9185, 32.9185) * CHOOSE(CONTROL!$C$21, $C$9, 100%, $E$9)</f>
        <v>32.918500000000002</v>
      </c>
      <c r="D567" s="14">
        <f>CHOOSE(CONTROL!$C$42, 32.9771, 32.9771) * CHOOSE(CONTROL!$C$21, $C$9, 100%, $E$9)</f>
        <v>32.9771</v>
      </c>
      <c r="E567" s="14">
        <f>CHOOSE(CONTROL!$C$42, 33.0112, 33.0112) * CHOOSE(CONTROL!$C$21, $C$9, 100%, $E$9)</f>
        <v>33.011200000000002</v>
      </c>
      <c r="F567" s="14">
        <f>CHOOSE(CONTROL!$C$42, 32.912, 32.912)*CHOOSE(CONTROL!$C$21, $C$9, 100%, $E$9)</f>
        <v>32.911999999999999</v>
      </c>
      <c r="G567" s="14">
        <f>CHOOSE(CONTROL!$C$42, 32.9283, 32.9283)*CHOOSE(CONTROL!$C$21, $C$9, 100%, $E$9)</f>
        <v>32.9283</v>
      </c>
      <c r="H567" s="14">
        <f>CHOOSE(CONTROL!$C$42, 33.0004, 33.0004) * CHOOSE(CONTROL!$C$21, $C$9, 100%, $E$9)</f>
        <v>33.000399999999999</v>
      </c>
      <c r="I567" s="14">
        <f>CHOOSE(CONTROL!$C$42, 33.0268, 33.0268)* CHOOSE(CONTROL!$C$21, $C$9, 100%, $E$9)</f>
        <v>33.026800000000001</v>
      </c>
      <c r="J567" s="14">
        <f>CHOOSE(CONTROL!$C$42, 32.905, 32.905)* CHOOSE(CONTROL!$C$21, $C$9, 100%, $E$9)</f>
        <v>32.905000000000001</v>
      </c>
      <c r="K567" s="53">
        <f>CHOOSE(CONTROL!$C$42, 33.0229, 33.0229) * CHOOSE(CONTROL!$C$21, $C$9, 100%, $E$9)</f>
        <v>33.0229</v>
      </c>
      <c r="L567" s="14">
        <f>CHOOSE(CONTROL!$C$42, 33.5874, 33.5874) * CHOOSE(CONTROL!$C$21, $C$9, 100%, $E$9)</f>
        <v>33.587400000000002</v>
      </c>
      <c r="M567" s="14">
        <f>CHOOSE(CONTROL!$C$42, 32.2385, 32.2385) * CHOOSE(CONTROL!$C$21, $C$9, 100%, $E$9)</f>
        <v>32.238500000000002</v>
      </c>
      <c r="N567" s="14">
        <f>CHOOSE(CONTROL!$C$42, 32.2544, 32.2544) * CHOOSE(CONTROL!$C$21, $C$9, 100%, $E$9)</f>
        <v>32.254399999999997</v>
      </c>
      <c r="O567" s="14">
        <f>CHOOSE(CONTROL!$C$42, 32.332, 32.332) * CHOOSE(CONTROL!$C$21, $C$9, 100%, $E$9)</f>
        <v>32.332000000000001</v>
      </c>
      <c r="P567" s="14">
        <f>CHOOSE(CONTROL!$C$42, 32.3558, 32.3558) * CHOOSE(CONTROL!$C$21, $C$9, 100%, $E$9)</f>
        <v>32.355800000000002</v>
      </c>
      <c r="Q567" s="14">
        <f>CHOOSE(CONTROL!$C$42, 32.9267, 32.9267) * CHOOSE(CONTROL!$C$21, $C$9, 100%, $E$9)</f>
        <v>32.926699999999997</v>
      </c>
      <c r="R567" s="14">
        <f>CHOOSE(CONTROL!$C$42, 33.596, 33.596) * CHOOSE(CONTROL!$C$21, $C$9, 100%, $E$9)</f>
        <v>33.595999999999997</v>
      </c>
      <c r="S567" s="14">
        <f>CHOOSE(CONTROL!$C$42, 31.618, 31.618) * CHOOSE(CONTROL!$C$21, $C$9, 100%, $E$9)</f>
        <v>31.617999999999999</v>
      </c>
      <c r="T5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7">
        <f>(1000*CHOOSE(CONTROL!$C$42, 695, 695)*CHOOSE(CONTROL!$C$42, 0.5599, 0.5599)*CHOOSE(CONTROL!$C$42, 31, 31))/1000000</f>
        <v>12.063045499999998</v>
      </c>
      <c r="V567" s="57">
        <f>(1000*CHOOSE(CONTROL!$C$42, 500, 500)*CHOOSE(CONTROL!$C$42, 0.275, 0.275)*CHOOSE(CONTROL!$C$42, 31, 31))/1000000</f>
        <v>4.2625000000000002</v>
      </c>
      <c r="W567" s="57">
        <f>(1000*CHOOSE(CONTROL!$C$42, 0.1146, 0.1146)*CHOOSE(CONTROL!$C$42, 121.5, 121.5)*CHOOSE(CONTROL!$C$42, 31, 31))/1000000</f>
        <v>0.43164089999999994</v>
      </c>
      <c r="X567" s="57">
        <f>(31*0.1790888*100000/1000000)+(31*0.2374*100000/1000000)</f>
        <v>1.2911152800000001</v>
      </c>
      <c r="Y567" s="57"/>
      <c r="Z567" s="14"/>
      <c r="AA567" s="56"/>
      <c r="AB567" s="50">
        <f>(B567*122.58+C567*297.941+D567*89.177+E567*40.302+F567*40+G567*160+H567*0+I567*100+J567*300)/(122.58+297.941+89.177+40.302+0+40+160+100+300)</f>
        <v>32.932792928347823</v>
      </c>
      <c r="AC567" s="45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32.298670503597123</v>
      </c>
    </row>
    <row r="568" spans="1:29" ht="15.75" x14ac:dyDescent="0.25">
      <c r="A568" s="32">
        <v>58195</v>
      </c>
      <c r="B568" s="14">
        <f>CHOOSE(CONTROL!$C$42, 32.8161, 32.8161) * CHOOSE(CONTROL!$C$21, $C$9, 100%, $E$9)</f>
        <v>32.816099999999999</v>
      </c>
      <c r="C568" s="14">
        <f>CHOOSE(CONTROL!$C$42, 32.8206, 32.8206) * CHOOSE(CONTROL!$C$21, $C$9, 100%, $E$9)</f>
        <v>32.820599999999999</v>
      </c>
      <c r="D568" s="14">
        <f>CHOOSE(CONTROL!$C$42, 33.0287, 33.0287) * CHOOSE(CONTROL!$C$21, $C$9, 100%, $E$9)</f>
        <v>33.028700000000001</v>
      </c>
      <c r="E568" s="14">
        <f>CHOOSE(CONTROL!$C$42, 33.0608, 33.0608) * CHOOSE(CONTROL!$C$21, $C$9, 100%, $E$9)</f>
        <v>33.0608</v>
      </c>
      <c r="F568" s="14">
        <f>CHOOSE(CONTROL!$C$42, 32.8035, 32.8035)*CHOOSE(CONTROL!$C$21, $C$9, 100%, $E$9)</f>
        <v>32.8035</v>
      </c>
      <c r="G568" s="14">
        <f>CHOOSE(CONTROL!$C$42, 32.8194, 32.8194)*CHOOSE(CONTROL!$C$21, $C$9, 100%, $E$9)</f>
        <v>32.819400000000002</v>
      </c>
      <c r="H568" s="14">
        <f>CHOOSE(CONTROL!$C$42, 33.0506, 33.0506) * CHOOSE(CONTROL!$C$21, $C$9, 100%, $E$9)</f>
        <v>33.050600000000003</v>
      </c>
      <c r="I568" s="14">
        <f>CHOOSE(CONTROL!$C$42, 32.9283, 32.9283)* CHOOSE(CONTROL!$C$21, $C$9, 100%, $E$9)</f>
        <v>32.9283</v>
      </c>
      <c r="J568" s="14">
        <f>CHOOSE(CONTROL!$C$42, 32.7965, 32.7965)* CHOOSE(CONTROL!$C$21, $C$9, 100%, $E$9)</f>
        <v>32.796500000000002</v>
      </c>
      <c r="K568" s="53">
        <f>CHOOSE(CONTROL!$C$42, 32.9245, 32.9245) * CHOOSE(CONTROL!$C$21, $C$9, 100%, $E$9)</f>
        <v>32.924500000000002</v>
      </c>
      <c r="L568" s="14">
        <f>CHOOSE(CONTROL!$C$42, 33.6376, 33.6376) * CHOOSE(CONTROL!$C$21, $C$9, 100%, $E$9)</f>
        <v>33.637599999999999</v>
      </c>
      <c r="M568" s="14">
        <f>CHOOSE(CONTROL!$C$42, 32.1322, 32.1322) * CHOOSE(CONTROL!$C$21, $C$9, 100%, $E$9)</f>
        <v>32.132199999999997</v>
      </c>
      <c r="N568" s="14">
        <f>CHOOSE(CONTROL!$C$42, 32.1478, 32.1478) * CHOOSE(CONTROL!$C$21, $C$9, 100%, $E$9)</f>
        <v>32.147799999999997</v>
      </c>
      <c r="O568" s="14">
        <f>CHOOSE(CONTROL!$C$42, 32.3811, 32.3811) * CHOOSE(CONTROL!$C$21, $C$9, 100%, $E$9)</f>
        <v>32.381100000000004</v>
      </c>
      <c r="P568" s="14">
        <f>CHOOSE(CONTROL!$C$42, 32.2594, 32.2594) * CHOOSE(CONTROL!$C$21, $C$9, 100%, $E$9)</f>
        <v>32.259399999999999</v>
      </c>
      <c r="Q568" s="14">
        <f>CHOOSE(CONTROL!$C$42, 32.9758, 32.9758) * CHOOSE(CONTROL!$C$21, $C$9, 100%, $E$9)</f>
        <v>32.9758</v>
      </c>
      <c r="R568" s="14">
        <f>CHOOSE(CONTROL!$C$42, 33.6453, 33.6453) * CHOOSE(CONTROL!$C$21, $C$9, 100%, $E$9)</f>
        <v>33.645299999999999</v>
      </c>
      <c r="S568" s="14">
        <f>CHOOSE(CONTROL!$C$42, 31.5237, 31.5237) * CHOOSE(CONTROL!$C$21, $C$9, 100%, $E$9)</f>
        <v>31.523700000000002</v>
      </c>
      <c r="T5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7">
        <f>(1000*CHOOSE(CONTROL!$C$42, 695, 695)*CHOOSE(CONTROL!$C$42, 0.5599, 0.5599)*CHOOSE(CONTROL!$C$42, 30, 30))/1000000</f>
        <v>11.673914999999997</v>
      </c>
      <c r="V568" s="57">
        <f>(1000*CHOOSE(CONTROL!$C$42, 500, 500)*CHOOSE(CONTROL!$C$42, 0.275, 0.275)*CHOOSE(CONTROL!$C$42, 30, 30))/1000000</f>
        <v>4.125</v>
      </c>
      <c r="W568" s="57">
        <f>(1000*CHOOSE(CONTROL!$C$42, 0.1146, 0.1146)*CHOOSE(CONTROL!$C$42, 121.5, 121.5)*CHOOSE(CONTROL!$C$42, 30, 30))/1000000</f>
        <v>0.417717</v>
      </c>
      <c r="X568" s="57">
        <f>(30*0.1790888*245000/1000000)+(30*0.2374*100000/1000000)</f>
        <v>2.0285026799999999</v>
      </c>
      <c r="Y568" s="57"/>
      <c r="Z568" s="14"/>
      <c r="AA568" s="56"/>
      <c r="AB568" s="50">
        <f>(B568*141.293+C568*267.993+D568*115.016+E568*89.698+F568*40+G568*185+H568*0+I568*100+J568*300)/(141.293+267.993+115.016+89.698+0+40+185+100+300)</f>
        <v>32.858919992493945</v>
      </c>
      <c r="AC568" s="45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32.223928776978411</v>
      </c>
    </row>
    <row r="569" spans="1:29" ht="15.75" x14ac:dyDescent="0.25">
      <c r="A569" s="32">
        <v>58226</v>
      </c>
      <c r="B569" s="14">
        <f>CHOOSE(CONTROL!$C$42, 33.1071, 33.1071) * CHOOSE(CONTROL!$C$21, $C$9, 100%, $E$9)</f>
        <v>33.107100000000003</v>
      </c>
      <c r="C569" s="14">
        <f>CHOOSE(CONTROL!$C$42, 33.1151, 33.1151) * CHOOSE(CONTROL!$C$21, $C$9, 100%, $E$9)</f>
        <v>33.115099999999998</v>
      </c>
      <c r="D569" s="14">
        <f>CHOOSE(CONTROL!$C$42, 33.3201, 33.3201) * CHOOSE(CONTROL!$C$21, $C$9, 100%, $E$9)</f>
        <v>33.320099999999996</v>
      </c>
      <c r="E569" s="14">
        <f>CHOOSE(CONTROL!$C$42, 33.3515, 33.3515) * CHOOSE(CONTROL!$C$21, $C$9, 100%, $E$9)</f>
        <v>33.351500000000001</v>
      </c>
      <c r="F569" s="14">
        <f>CHOOSE(CONTROL!$C$42, 33.0932, 33.0932)*CHOOSE(CONTROL!$C$21, $C$9, 100%, $E$9)</f>
        <v>33.093200000000003</v>
      </c>
      <c r="G569" s="14">
        <f>CHOOSE(CONTROL!$C$42, 33.1097, 33.1097)*CHOOSE(CONTROL!$C$21, $C$9, 100%, $E$9)</f>
        <v>33.109699999999997</v>
      </c>
      <c r="H569" s="14">
        <f>CHOOSE(CONTROL!$C$42, 33.3402, 33.3402) * CHOOSE(CONTROL!$C$21, $C$9, 100%, $E$9)</f>
        <v>33.340200000000003</v>
      </c>
      <c r="I569" s="14">
        <f>CHOOSE(CONTROL!$C$42, 33.2188, 33.2188)* CHOOSE(CONTROL!$C$21, $C$9, 100%, $E$9)</f>
        <v>33.218800000000002</v>
      </c>
      <c r="J569" s="14">
        <f>CHOOSE(CONTROL!$C$42, 33.0862, 33.0862)* CHOOSE(CONTROL!$C$21, $C$9, 100%, $E$9)</f>
        <v>33.086199999999998</v>
      </c>
      <c r="K569" s="53">
        <f>CHOOSE(CONTROL!$C$42, 33.2149, 33.2149) * CHOOSE(CONTROL!$C$21, $C$9, 100%, $E$9)</f>
        <v>33.2149</v>
      </c>
      <c r="L569" s="14">
        <f>CHOOSE(CONTROL!$C$42, 33.9272, 33.9272) * CHOOSE(CONTROL!$C$21, $C$9, 100%, $E$9)</f>
        <v>33.927199999999999</v>
      </c>
      <c r="M569" s="14">
        <f>CHOOSE(CONTROL!$C$42, 32.416, 32.416) * CHOOSE(CONTROL!$C$21, $C$9, 100%, $E$9)</f>
        <v>32.415999999999997</v>
      </c>
      <c r="N569" s="14">
        <f>CHOOSE(CONTROL!$C$42, 32.4321, 32.4321) * CHOOSE(CONTROL!$C$21, $C$9, 100%, $E$9)</f>
        <v>32.432099999999998</v>
      </c>
      <c r="O569" s="14">
        <f>CHOOSE(CONTROL!$C$42, 32.6647, 32.6647) * CHOOSE(CONTROL!$C$21, $C$9, 100%, $E$9)</f>
        <v>32.664700000000003</v>
      </c>
      <c r="P569" s="14">
        <f>CHOOSE(CONTROL!$C$42, 32.5438, 32.5438) * CHOOSE(CONTROL!$C$21, $C$9, 100%, $E$9)</f>
        <v>32.543799999999997</v>
      </c>
      <c r="Q569" s="14">
        <f>CHOOSE(CONTROL!$C$42, 33.2594, 33.2594) * CHOOSE(CONTROL!$C$21, $C$9, 100%, $E$9)</f>
        <v>33.259399999999999</v>
      </c>
      <c r="R569" s="14">
        <f>CHOOSE(CONTROL!$C$42, 33.9296, 33.9296) * CHOOSE(CONTROL!$C$21, $C$9, 100%, $E$9)</f>
        <v>33.929600000000001</v>
      </c>
      <c r="S569" s="14">
        <f>CHOOSE(CONTROL!$C$42, 31.8019, 31.8019) * CHOOSE(CONTROL!$C$21, $C$9, 100%, $E$9)</f>
        <v>31.8019</v>
      </c>
      <c r="T5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7">
        <f>(1000*CHOOSE(CONTROL!$C$42, 695, 695)*CHOOSE(CONTROL!$C$42, 0.5599, 0.5599)*CHOOSE(CONTROL!$C$42, 31, 31))/1000000</f>
        <v>12.063045499999998</v>
      </c>
      <c r="V569" s="57">
        <f>(1000*CHOOSE(CONTROL!$C$42, 500, 500)*CHOOSE(CONTROL!$C$42, 0.275, 0.275)*CHOOSE(CONTROL!$C$42, 31, 31))/1000000</f>
        <v>4.2625000000000002</v>
      </c>
      <c r="W569" s="57">
        <f>(1000*CHOOSE(CONTROL!$C$42, 0.1146, 0.1146)*CHOOSE(CONTROL!$C$42, 121.5, 121.5)*CHOOSE(CONTROL!$C$42, 31, 31))/1000000</f>
        <v>0.43164089999999994</v>
      </c>
      <c r="X569" s="57">
        <f>(31*0.1790888*245000/1000000)+(31*0.2374*100000/1000000)</f>
        <v>2.0961194359999999</v>
      </c>
      <c r="Y569" s="57"/>
      <c r="Z569" s="14"/>
      <c r="AA569" s="56"/>
      <c r="AB569" s="50">
        <f>(B569*194.205+C569*267.466+D569*133.845+E569*53.484+F569*40+G569*185+H569*0+I569*100+J569*300)/(194.205+267.466+133.845+53.484+0+40+185+100+300)</f>
        <v>33.145204554631086</v>
      </c>
      <c r="AC569" s="45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32.507874100719427</v>
      </c>
    </row>
    <row r="570" spans="1:29" ht="15.75" x14ac:dyDescent="0.25">
      <c r="A570" s="32">
        <v>58256</v>
      </c>
      <c r="B570" s="14">
        <f>CHOOSE(CONTROL!$C$42, 34.0458, 34.0458) * CHOOSE(CONTROL!$C$21, $C$9, 100%, $E$9)</f>
        <v>34.0458</v>
      </c>
      <c r="C570" s="14">
        <f>CHOOSE(CONTROL!$C$42, 34.0539, 34.0539) * CHOOSE(CONTROL!$C$21, $C$9, 100%, $E$9)</f>
        <v>34.053899999999999</v>
      </c>
      <c r="D570" s="14">
        <f>CHOOSE(CONTROL!$C$42, 34.2588, 34.2588) * CHOOSE(CONTROL!$C$21, $C$9, 100%, $E$9)</f>
        <v>34.258800000000001</v>
      </c>
      <c r="E570" s="14">
        <f>CHOOSE(CONTROL!$C$42, 34.2903, 34.2903) * CHOOSE(CONTROL!$C$21, $C$9, 100%, $E$9)</f>
        <v>34.290300000000002</v>
      </c>
      <c r="F570" s="14">
        <f>CHOOSE(CONTROL!$C$42, 34.0324, 34.0324)*CHOOSE(CONTROL!$C$21, $C$9, 100%, $E$9)</f>
        <v>34.032400000000003</v>
      </c>
      <c r="G570" s="14">
        <f>CHOOSE(CONTROL!$C$42, 34.0489, 34.0489)*CHOOSE(CONTROL!$C$21, $C$9, 100%, $E$9)</f>
        <v>34.048900000000003</v>
      </c>
      <c r="H570" s="14">
        <f>CHOOSE(CONTROL!$C$42, 34.2789, 34.2789) * CHOOSE(CONTROL!$C$21, $C$9, 100%, $E$9)</f>
        <v>34.2789</v>
      </c>
      <c r="I570" s="14">
        <f>CHOOSE(CONTROL!$C$42, 34.1605, 34.1605)* CHOOSE(CONTROL!$C$21, $C$9, 100%, $E$9)</f>
        <v>34.160499999999999</v>
      </c>
      <c r="J570" s="14">
        <f>CHOOSE(CONTROL!$C$42, 34.0254, 34.0254)* CHOOSE(CONTROL!$C$21, $C$9, 100%, $E$9)</f>
        <v>34.025399999999998</v>
      </c>
      <c r="K570" s="53">
        <f>CHOOSE(CONTROL!$C$42, 34.1566, 34.1566) * CHOOSE(CONTROL!$C$21, $C$9, 100%, $E$9)</f>
        <v>34.156599999999997</v>
      </c>
      <c r="L570" s="14">
        <f>CHOOSE(CONTROL!$C$42, 34.8659, 34.8659) * CHOOSE(CONTROL!$C$21, $C$9, 100%, $E$9)</f>
        <v>34.865900000000003</v>
      </c>
      <c r="M570" s="14">
        <f>CHOOSE(CONTROL!$C$42, 33.3359, 33.3359) * CHOOSE(CONTROL!$C$21, $C$9, 100%, $E$9)</f>
        <v>33.335900000000002</v>
      </c>
      <c r="N570" s="14">
        <f>CHOOSE(CONTROL!$C$42, 33.3521, 33.3521) * CHOOSE(CONTROL!$C$21, $C$9, 100%, $E$9)</f>
        <v>33.3521</v>
      </c>
      <c r="O570" s="14">
        <f>CHOOSE(CONTROL!$C$42, 33.5843, 33.5843) * CHOOSE(CONTROL!$C$21, $C$9, 100%, $E$9)</f>
        <v>33.584299999999999</v>
      </c>
      <c r="P570" s="14">
        <f>CHOOSE(CONTROL!$C$42, 33.4662, 33.4662) * CHOOSE(CONTROL!$C$21, $C$9, 100%, $E$9)</f>
        <v>33.466200000000001</v>
      </c>
      <c r="Q570" s="14">
        <f>CHOOSE(CONTROL!$C$42, 34.179, 34.179) * CHOOSE(CONTROL!$C$21, $C$9, 100%, $E$9)</f>
        <v>34.179000000000002</v>
      </c>
      <c r="R570" s="14">
        <f>CHOOSE(CONTROL!$C$42, 34.8514, 34.8514) * CHOOSE(CONTROL!$C$21, $C$9, 100%, $E$9)</f>
        <v>34.851399999999998</v>
      </c>
      <c r="S570" s="14">
        <f>CHOOSE(CONTROL!$C$42, 32.704, 32.704) * CHOOSE(CONTROL!$C$21, $C$9, 100%, $E$9)</f>
        <v>32.704000000000001</v>
      </c>
      <c r="T5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7">
        <f>(1000*CHOOSE(CONTROL!$C$42, 695, 695)*CHOOSE(CONTROL!$C$42, 0.5599, 0.5599)*CHOOSE(CONTROL!$C$42, 30, 30))/1000000</f>
        <v>11.673914999999997</v>
      </c>
      <c r="V570" s="57">
        <f>(1000*CHOOSE(CONTROL!$C$42, 500, 500)*CHOOSE(CONTROL!$C$42, 0.275, 0.275)*CHOOSE(CONTROL!$C$42, 30, 30))/1000000</f>
        <v>4.125</v>
      </c>
      <c r="W570" s="57">
        <f>(1000*CHOOSE(CONTROL!$C$42, 0.1146, 0.1146)*CHOOSE(CONTROL!$C$42, 121.5, 121.5)*CHOOSE(CONTROL!$C$42, 30, 30))/1000000</f>
        <v>0.417717</v>
      </c>
      <c r="X570" s="57">
        <f>(30*0.1790888*245000/1000000)+(30*0.2374*100000/1000000)</f>
        <v>2.0285026799999999</v>
      </c>
      <c r="Y570" s="57"/>
      <c r="Z570" s="14"/>
      <c r="AA570" s="56"/>
      <c r="AB570" s="50">
        <f>(B570*194.205+C570*267.466+D570*133.845+E570*53.484+F570*40+G570*185+H570*0+I570*100+J570*300)/(194.205+267.466+133.845+53.484+0+40+185+100+300)</f>
        <v>34.084371269701727</v>
      </c>
      <c r="AC570" s="45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33.428072661870502</v>
      </c>
    </row>
    <row r="571" spans="1:29" ht="15.75" x14ac:dyDescent="0.25">
      <c r="A571" s="32">
        <v>58287</v>
      </c>
      <c r="B571" s="14">
        <f>CHOOSE(CONTROL!$C$42, 33.3929, 33.3929) * CHOOSE(CONTROL!$C$21, $C$9, 100%, $E$9)</f>
        <v>33.392899999999997</v>
      </c>
      <c r="C571" s="14">
        <f>CHOOSE(CONTROL!$C$42, 33.4009, 33.4009) * CHOOSE(CONTROL!$C$21, $C$9, 100%, $E$9)</f>
        <v>33.4009</v>
      </c>
      <c r="D571" s="14">
        <f>CHOOSE(CONTROL!$C$42, 33.6059, 33.6059) * CHOOSE(CONTROL!$C$21, $C$9, 100%, $E$9)</f>
        <v>33.605899999999998</v>
      </c>
      <c r="E571" s="14">
        <f>CHOOSE(CONTROL!$C$42, 33.6374, 33.6374) * CHOOSE(CONTROL!$C$21, $C$9, 100%, $E$9)</f>
        <v>33.6374</v>
      </c>
      <c r="F571" s="14">
        <f>CHOOSE(CONTROL!$C$42, 33.3799, 33.3799)*CHOOSE(CONTROL!$C$21, $C$9, 100%, $E$9)</f>
        <v>33.379899999999999</v>
      </c>
      <c r="G571" s="14">
        <f>CHOOSE(CONTROL!$C$42, 33.3965, 33.3965)*CHOOSE(CONTROL!$C$21, $C$9, 100%, $E$9)</f>
        <v>33.396500000000003</v>
      </c>
      <c r="H571" s="14">
        <f>CHOOSE(CONTROL!$C$42, 33.626, 33.626) * CHOOSE(CONTROL!$C$21, $C$9, 100%, $E$9)</f>
        <v>33.625999999999998</v>
      </c>
      <c r="I571" s="14">
        <f>CHOOSE(CONTROL!$C$42, 33.5055, 33.5055)* CHOOSE(CONTROL!$C$21, $C$9, 100%, $E$9)</f>
        <v>33.505499999999998</v>
      </c>
      <c r="J571" s="14">
        <f>CHOOSE(CONTROL!$C$42, 33.3729, 33.3729)* CHOOSE(CONTROL!$C$21, $C$9, 100%, $E$9)</f>
        <v>33.372900000000001</v>
      </c>
      <c r="K571" s="53">
        <f>CHOOSE(CONTROL!$C$42, 33.5017, 33.5017) * CHOOSE(CONTROL!$C$21, $C$9, 100%, $E$9)</f>
        <v>33.5017</v>
      </c>
      <c r="L571" s="14">
        <f>CHOOSE(CONTROL!$C$42, 34.213, 34.213) * CHOOSE(CONTROL!$C$21, $C$9, 100%, $E$9)</f>
        <v>34.213000000000001</v>
      </c>
      <c r="M571" s="14">
        <f>CHOOSE(CONTROL!$C$42, 32.6968, 32.6968) * CHOOSE(CONTROL!$C$21, $C$9, 100%, $E$9)</f>
        <v>32.696800000000003</v>
      </c>
      <c r="N571" s="14">
        <f>CHOOSE(CONTROL!$C$42, 32.7131, 32.7131) * CHOOSE(CONTROL!$C$21, $C$9, 100%, $E$9)</f>
        <v>32.713099999999997</v>
      </c>
      <c r="O571" s="14">
        <f>CHOOSE(CONTROL!$C$42, 32.9447, 32.9447) * CHOOSE(CONTROL!$C$21, $C$9, 100%, $E$9)</f>
        <v>32.944699999999997</v>
      </c>
      <c r="P571" s="14">
        <f>CHOOSE(CONTROL!$C$42, 32.8247, 32.8247) * CHOOSE(CONTROL!$C$21, $C$9, 100%, $E$9)</f>
        <v>32.8247</v>
      </c>
      <c r="Q571" s="14">
        <f>CHOOSE(CONTROL!$C$42, 33.5394, 33.5394) * CHOOSE(CONTROL!$C$21, $C$9, 100%, $E$9)</f>
        <v>33.539400000000001</v>
      </c>
      <c r="R571" s="14">
        <f>CHOOSE(CONTROL!$C$42, 34.2103, 34.2103) * CHOOSE(CONTROL!$C$21, $C$9, 100%, $E$9)</f>
        <v>34.210299999999997</v>
      </c>
      <c r="S571" s="14">
        <f>CHOOSE(CONTROL!$C$42, 32.0766, 32.0766) * CHOOSE(CONTROL!$C$21, $C$9, 100%, $E$9)</f>
        <v>32.076599999999999</v>
      </c>
      <c r="T5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7">
        <f>(1000*CHOOSE(CONTROL!$C$42, 695, 695)*CHOOSE(CONTROL!$C$42, 0.5599, 0.5599)*CHOOSE(CONTROL!$C$42, 31, 31))/1000000</f>
        <v>12.063045499999998</v>
      </c>
      <c r="V571" s="57">
        <f>(1000*CHOOSE(CONTROL!$C$42, 500, 500)*CHOOSE(CONTROL!$C$42, 0.275, 0.275)*CHOOSE(CONTROL!$C$42, 31, 31))/1000000</f>
        <v>4.2625000000000002</v>
      </c>
      <c r="W571" s="57">
        <f>(1000*CHOOSE(CONTROL!$C$42, 0.1146, 0.1146)*CHOOSE(CONTROL!$C$42, 121.5, 121.5)*CHOOSE(CONTROL!$C$42, 31, 31))/1000000</f>
        <v>0.43164089999999994</v>
      </c>
      <c r="X571" s="57">
        <f>(31*0.1790888*245000/1000000)+(31*0.2374*100000/1000000)</f>
        <v>2.0961194359999999</v>
      </c>
      <c r="Y571" s="57"/>
      <c r="Z571" s="14"/>
      <c r="AA571" s="56"/>
      <c r="AB571" s="50">
        <f>(B571*194.205+C571*267.466+D571*133.845+E571*53.484+F571*40+G571*185+H571*0+I571*100+J571*300)/(194.205+267.466+133.845+53.484+0+40+185+100+300)</f>
        <v>33.431464796703295</v>
      </c>
      <c r="AC571" s="45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32.788510071942447</v>
      </c>
    </row>
    <row r="572" spans="1:29" ht="15.75" x14ac:dyDescent="0.25">
      <c r="A572" s="32">
        <v>58318</v>
      </c>
      <c r="B572" s="14">
        <f>CHOOSE(CONTROL!$C$42, 31.7441, 31.7441) * CHOOSE(CONTROL!$C$21, $C$9, 100%, $E$9)</f>
        <v>31.7441</v>
      </c>
      <c r="C572" s="14">
        <f>CHOOSE(CONTROL!$C$42, 31.7521, 31.7521) * CHOOSE(CONTROL!$C$21, $C$9, 100%, $E$9)</f>
        <v>31.752099999999999</v>
      </c>
      <c r="D572" s="14">
        <f>CHOOSE(CONTROL!$C$42, 31.9571, 31.9571) * CHOOSE(CONTROL!$C$21, $C$9, 100%, $E$9)</f>
        <v>31.957100000000001</v>
      </c>
      <c r="E572" s="14">
        <f>CHOOSE(CONTROL!$C$42, 31.9885, 31.9885) * CHOOSE(CONTROL!$C$21, $C$9, 100%, $E$9)</f>
        <v>31.988499999999998</v>
      </c>
      <c r="F572" s="14">
        <f>CHOOSE(CONTROL!$C$42, 31.7313, 31.7313)*CHOOSE(CONTROL!$C$21, $C$9, 100%, $E$9)</f>
        <v>31.731300000000001</v>
      </c>
      <c r="G572" s="14">
        <f>CHOOSE(CONTROL!$C$42, 31.7479, 31.7479)*CHOOSE(CONTROL!$C$21, $C$9, 100%, $E$9)</f>
        <v>31.747900000000001</v>
      </c>
      <c r="H572" s="14">
        <f>CHOOSE(CONTROL!$C$42, 31.9772, 31.9772) * CHOOSE(CONTROL!$C$21, $C$9, 100%, $E$9)</f>
        <v>31.9772</v>
      </c>
      <c r="I572" s="14">
        <f>CHOOSE(CONTROL!$C$42, 31.8515, 31.8515)* CHOOSE(CONTROL!$C$21, $C$9, 100%, $E$9)</f>
        <v>31.851500000000001</v>
      </c>
      <c r="J572" s="14">
        <f>CHOOSE(CONTROL!$C$42, 31.7243, 31.7243)* CHOOSE(CONTROL!$C$21, $C$9, 100%, $E$9)</f>
        <v>31.724299999999999</v>
      </c>
      <c r="K572" s="53">
        <f>CHOOSE(CONTROL!$C$42, 31.8476, 31.8476) * CHOOSE(CONTROL!$C$21, $C$9, 100%, $E$9)</f>
        <v>31.8476</v>
      </c>
      <c r="L572" s="14">
        <f>CHOOSE(CONTROL!$C$42, 32.5642, 32.5642) * CHOOSE(CONTROL!$C$21, $C$9, 100%, $E$9)</f>
        <v>32.5642</v>
      </c>
      <c r="M572" s="14">
        <f>CHOOSE(CONTROL!$C$42, 31.0819, 31.0819) * CHOOSE(CONTROL!$C$21, $C$9, 100%, $E$9)</f>
        <v>31.081900000000001</v>
      </c>
      <c r="N572" s="14">
        <f>CHOOSE(CONTROL!$C$42, 31.0983, 31.0983) * CHOOSE(CONTROL!$C$21, $C$9, 100%, $E$9)</f>
        <v>31.098299999999998</v>
      </c>
      <c r="O572" s="14">
        <f>CHOOSE(CONTROL!$C$42, 31.3297, 31.3297) * CHOOSE(CONTROL!$C$21, $C$9, 100%, $E$9)</f>
        <v>31.329699999999999</v>
      </c>
      <c r="P572" s="14">
        <f>CHOOSE(CONTROL!$C$42, 31.2047, 31.2047) * CHOOSE(CONTROL!$C$21, $C$9, 100%, $E$9)</f>
        <v>31.204699999999999</v>
      </c>
      <c r="Q572" s="14">
        <f>CHOOSE(CONTROL!$C$42, 31.9244, 31.9244) * CHOOSE(CONTROL!$C$21, $C$9, 100%, $E$9)</f>
        <v>31.924399999999999</v>
      </c>
      <c r="R572" s="14">
        <f>CHOOSE(CONTROL!$C$42, 32.5912, 32.5912) * CHOOSE(CONTROL!$C$21, $C$9, 100%, $E$9)</f>
        <v>32.591200000000001</v>
      </c>
      <c r="S572" s="14">
        <f>CHOOSE(CONTROL!$C$42, 30.4922, 30.4922) * CHOOSE(CONTROL!$C$21, $C$9, 100%, $E$9)</f>
        <v>30.4922</v>
      </c>
      <c r="T5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7">
        <f>(1000*CHOOSE(CONTROL!$C$42, 695, 695)*CHOOSE(CONTROL!$C$42, 0.5599, 0.5599)*CHOOSE(CONTROL!$C$42, 31, 31))/1000000</f>
        <v>12.063045499999998</v>
      </c>
      <c r="V572" s="57">
        <f>(1000*CHOOSE(CONTROL!$C$42, 500, 500)*CHOOSE(CONTROL!$C$42, 0.275, 0.275)*CHOOSE(CONTROL!$C$42, 31, 31))/1000000</f>
        <v>4.2625000000000002</v>
      </c>
      <c r="W572" s="57">
        <f>(1000*CHOOSE(CONTROL!$C$42, 0.1146, 0.1146)*CHOOSE(CONTROL!$C$42, 121.5, 121.5)*CHOOSE(CONTROL!$C$42, 31, 31))/1000000</f>
        <v>0.43164089999999994</v>
      </c>
      <c r="X572" s="57">
        <f>(31*0.1790888*245000/1000000)+(31*0.2374*100000/1000000)</f>
        <v>2.0961194359999999</v>
      </c>
      <c r="Y572" s="57"/>
      <c r="Z572" s="14"/>
      <c r="AA572" s="56"/>
      <c r="AB572" s="50">
        <f>(B572*194.205+C572*267.466+D572*133.845+E572*53.484+F572*40+G572*185+H572*0+I572*100+J572*300)/(194.205+267.466+133.845+53.484+0+40+185+100+300)</f>
        <v>31.782334852904238</v>
      </c>
      <c r="AC572" s="45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31.172871223021581</v>
      </c>
    </row>
    <row r="573" spans="1:29" ht="15.75" x14ac:dyDescent="0.25">
      <c r="A573" s="32">
        <v>58348</v>
      </c>
      <c r="B573" s="14">
        <f>CHOOSE(CONTROL!$C$42, 29.7291, 29.7291) * CHOOSE(CONTROL!$C$21, $C$9, 100%, $E$9)</f>
        <v>29.729099999999999</v>
      </c>
      <c r="C573" s="14">
        <f>CHOOSE(CONTROL!$C$42, 29.7371, 29.7371) * CHOOSE(CONTROL!$C$21, $C$9, 100%, $E$9)</f>
        <v>29.737100000000002</v>
      </c>
      <c r="D573" s="14">
        <f>CHOOSE(CONTROL!$C$42, 29.9421, 29.9421) * CHOOSE(CONTROL!$C$21, $C$9, 100%, $E$9)</f>
        <v>29.9421</v>
      </c>
      <c r="E573" s="14">
        <f>CHOOSE(CONTROL!$C$42, 29.9735, 29.9735) * CHOOSE(CONTROL!$C$21, $C$9, 100%, $E$9)</f>
        <v>29.973500000000001</v>
      </c>
      <c r="F573" s="14">
        <f>CHOOSE(CONTROL!$C$42, 29.7162, 29.7162)*CHOOSE(CONTROL!$C$21, $C$9, 100%, $E$9)</f>
        <v>29.716200000000001</v>
      </c>
      <c r="G573" s="14">
        <f>CHOOSE(CONTROL!$C$42, 29.7329, 29.7329)*CHOOSE(CONTROL!$C$21, $C$9, 100%, $E$9)</f>
        <v>29.732900000000001</v>
      </c>
      <c r="H573" s="14">
        <f>CHOOSE(CONTROL!$C$42, 29.9622, 29.9622) * CHOOSE(CONTROL!$C$21, $C$9, 100%, $E$9)</f>
        <v>29.962199999999999</v>
      </c>
      <c r="I573" s="14">
        <f>CHOOSE(CONTROL!$C$42, 29.8302, 29.8302)* CHOOSE(CONTROL!$C$21, $C$9, 100%, $E$9)</f>
        <v>29.830200000000001</v>
      </c>
      <c r="J573" s="14">
        <f>CHOOSE(CONTROL!$C$42, 29.7092, 29.7092)* CHOOSE(CONTROL!$C$21, $C$9, 100%, $E$9)</f>
        <v>29.709199999999999</v>
      </c>
      <c r="K573" s="53">
        <f>CHOOSE(CONTROL!$C$42, 29.8263, 29.8263) * CHOOSE(CONTROL!$C$21, $C$9, 100%, $E$9)</f>
        <v>29.8263</v>
      </c>
      <c r="L573" s="14">
        <f>CHOOSE(CONTROL!$C$42, 30.5492, 30.5492) * CHOOSE(CONTROL!$C$21, $C$9, 100%, $E$9)</f>
        <v>30.549199999999999</v>
      </c>
      <c r="M573" s="14">
        <f>CHOOSE(CONTROL!$C$42, 29.1082, 29.1082) * CHOOSE(CONTROL!$C$21, $C$9, 100%, $E$9)</f>
        <v>29.1082</v>
      </c>
      <c r="N573" s="14">
        <f>CHOOSE(CONTROL!$C$42, 29.1245, 29.1245) * CHOOSE(CONTROL!$C$21, $C$9, 100%, $E$9)</f>
        <v>29.124500000000001</v>
      </c>
      <c r="O573" s="14">
        <f>CHOOSE(CONTROL!$C$42, 29.356, 29.356) * CHOOSE(CONTROL!$C$21, $C$9, 100%, $E$9)</f>
        <v>29.356000000000002</v>
      </c>
      <c r="P573" s="14">
        <f>CHOOSE(CONTROL!$C$42, 29.2249, 29.2249) * CHOOSE(CONTROL!$C$21, $C$9, 100%, $E$9)</f>
        <v>29.224900000000002</v>
      </c>
      <c r="Q573" s="14">
        <f>CHOOSE(CONTROL!$C$42, 29.9507, 29.9507) * CHOOSE(CONTROL!$C$21, $C$9, 100%, $E$9)</f>
        <v>29.950700000000001</v>
      </c>
      <c r="R573" s="14">
        <f>CHOOSE(CONTROL!$C$42, 30.6125, 30.6125) * CHOOSE(CONTROL!$C$21, $C$9, 100%, $E$9)</f>
        <v>30.612500000000001</v>
      </c>
      <c r="S573" s="14">
        <f>CHOOSE(CONTROL!$C$42, 28.556, 28.556) * CHOOSE(CONTROL!$C$21, $C$9, 100%, $E$9)</f>
        <v>28.556000000000001</v>
      </c>
      <c r="T5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7">
        <f>(1000*CHOOSE(CONTROL!$C$42, 695, 695)*CHOOSE(CONTROL!$C$42, 0.5599, 0.5599)*CHOOSE(CONTROL!$C$42, 30, 30))/1000000</f>
        <v>11.673914999999997</v>
      </c>
      <c r="V573" s="57">
        <f>(1000*CHOOSE(CONTROL!$C$42, 500, 500)*CHOOSE(CONTROL!$C$42, 0.275, 0.275)*CHOOSE(CONTROL!$C$42, 30, 30))/1000000</f>
        <v>4.125</v>
      </c>
      <c r="W573" s="57">
        <f>(1000*CHOOSE(CONTROL!$C$42, 0.1146, 0.1146)*CHOOSE(CONTROL!$C$42, 121.5, 121.5)*CHOOSE(CONTROL!$C$42, 30, 30))/1000000</f>
        <v>0.417717</v>
      </c>
      <c r="X573" s="57">
        <f>(30*0.1790888*245000/1000000)+(30*0.2374*100000/1000000)</f>
        <v>2.0285026799999999</v>
      </c>
      <c r="Y573" s="57"/>
      <c r="Z573" s="14"/>
      <c r="AA573" s="56"/>
      <c r="AB573" s="50">
        <f>(B573*194.205+C573*267.466+D573*133.845+E573*53.484+F573*40+G573*185+H573*0+I573*100+J573*300)/(194.205+267.466+133.845+53.484+0+40+185+100+300)</f>
        <v>29.766813659811618</v>
      </c>
      <c r="AC573" s="45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29.198270503597122</v>
      </c>
    </row>
    <row r="574" spans="1:29" ht="15.75" x14ac:dyDescent="0.25">
      <c r="A574" s="32">
        <v>58379</v>
      </c>
      <c r="B574" s="14">
        <f>CHOOSE(CONTROL!$C$42, 29.1239, 29.1239) * CHOOSE(CONTROL!$C$21, $C$9, 100%, $E$9)</f>
        <v>29.123899999999999</v>
      </c>
      <c r="C574" s="14">
        <f>CHOOSE(CONTROL!$C$42, 29.1293, 29.1293) * CHOOSE(CONTROL!$C$21, $C$9, 100%, $E$9)</f>
        <v>29.129300000000001</v>
      </c>
      <c r="D574" s="14">
        <f>CHOOSE(CONTROL!$C$42, 29.3392, 29.3392) * CHOOSE(CONTROL!$C$21, $C$9, 100%, $E$9)</f>
        <v>29.339200000000002</v>
      </c>
      <c r="E574" s="14">
        <f>CHOOSE(CONTROL!$C$42, 29.3683, 29.3683) * CHOOSE(CONTROL!$C$21, $C$9, 100%, $E$9)</f>
        <v>29.368300000000001</v>
      </c>
      <c r="F574" s="14">
        <f>CHOOSE(CONTROL!$C$42, 29.1132, 29.1132)*CHOOSE(CONTROL!$C$21, $C$9, 100%, $E$9)</f>
        <v>29.113199999999999</v>
      </c>
      <c r="G574" s="14">
        <f>CHOOSE(CONTROL!$C$42, 29.1295, 29.1295)*CHOOSE(CONTROL!$C$21, $C$9, 100%, $E$9)</f>
        <v>29.1295</v>
      </c>
      <c r="H574" s="14">
        <f>CHOOSE(CONTROL!$C$42, 29.3588, 29.3588) * CHOOSE(CONTROL!$C$21, $C$9, 100%, $E$9)</f>
        <v>29.358799999999999</v>
      </c>
      <c r="I574" s="14">
        <f>CHOOSE(CONTROL!$C$42, 29.225, 29.225)* CHOOSE(CONTROL!$C$21, $C$9, 100%, $E$9)</f>
        <v>29.225000000000001</v>
      </c>
      <c r="J574" s="14">
        <f>CHOOSE(CONTROL!$C$42, 29.1062, 29.1062)* CHOOSE(CONTROL!$C$21, $C$9, 100%, $E$9)</f>
        <v>29.106200000000001</v>
      </c>
      <c r="K574" s="53">
        <f>CHOOSE(CONTROL!$C$42, 29.2211, 29.2211) * CHOOSE(CONTROL!$C$21, $C$9, 100%, $E$9)</f>
        <v>29.2211</v>
      </c>
      <c r="L574" s="14">
        <f>CHOOSE(CONTROL!$C$42, 29.9458, 29.9458) * CHOOSE(CONTROL!$C$21, $C$9, 100%, $E$9)</f>
        <v>29.945799999999998</v>
      </c>
      <c r="M574" s="14">
        <f>CHOOSE(CONTROL!$C$42, 28.5175, 28.5175) * CHOOSE(CONTROL!$C$21, $C$9, 100%, $E$9)</f>
        <v>28.517499999999998</v>
      </c>
      <c r="N574" s="14">
        <f>CHOOSE(CONTROL!$C$42, 28.5335, 28.5335) * CHOOSE(CONTROL!$C$21, $C$9, 100%, $E$9)</f>
        <v>28.5335</v>
      </c>
      <c r="O574" s="14">
        <f>CHOOSE(CONTROL!$C$42, 28.7649, 28.7649) * CHOOSE(CONTROL!$C$21, $C$9, 100%, $E$9)</f>
        <v>28.764900000000001</v>
      </c>
      <c r="P574" s="14">
        <f>CHOOSE(CONTROL!$C$42, 28.6321, 28.6321) * CHOOSE(CONTROL!$C$21, $C$9, 100%, $E$9)</f>
        <v>28.632100000000001</v>
      </c>
      <c r="Q574" s="14">
        <f>CHOOSE(CONTROL!$C$42, 29.3596, 29.3596) * CHOOSE(CONTROL!$C$21, $C$9, 100%, $E$9)</f>
        <v>29.3596</v>
      </c>
      <c r="R574" s="14">
        <f>CHOOSE(CONTROL!$C$42, 30.02, 30.02) * CHOOSE(CONTROL!$C$21, $C$9, 100%, $E$9)</f>
        <v>30.02</v>
      </c>
      <c r="S574" s="14">
        <f>CHOOSE(CONTROL!$C$42, 27.9763, 27.9763) * CHOOSE(CONTROL!$C$21, $C$9, 100%, $E$9)</f>
        <v>27.976299999999998</v>
      </c>
      <c r="T5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7">
        <f>(1000*CHOOSE(CONTROL!$C$42, 695, 695)*CHOOSE(CONTROL!$C$42, 0.5599, 0.5599)*CHOOSE(CONTROL!$C$42, 31, 31))/1000000</f>
        <v>12.063045499999998</v>
      </c>
      <c r="V574" s="57">
        <f>(1000*CHOOSE(CONTROL!$C$42, 500, 500)*CHOOSE(CONTROL!$C$42, 0.275, 0.275)*CHOOSE(CONTROL!$C$42, 31, 31))/1000000</f>
        <v>4.2625000000000002</v>
      </c>
      <c r="W574" s="57">
        <f>(1000*CHOOSE(CONTROL!$C$42, 0.1146, 0.1146)*CHOOSE(CONTROL!$C$42, 121.5, 121.5)*CHOOSE(CONTROL!$C$42, 31, 31))/1000000</f>
        <v>0.43164089999999994</v>
      </c>
      <c r="X574" s="57">
        <f>(31*0.1790888*245000/1000000)+(31*0.2374*100000/1000000)</f>
        <v>2.0961194359999999</v>
      </c>
      <c r="Y574" s="57"/>
      <c r="Z574" s="14"/>
      <c r="AA574" s="56"/>
      <c r="AB574" s="50">
        <f>(B574*131.881+C574*277.167+D574*79.08+E574*125.872+F574*40+G574*185+H574*0+I574*100+J574*300)/(131.881+277.167+79.08+125.872+0+40+185+100+300)</f>
        <v>29.168043456497177</v>
      </c>
      <c r="AC574" s="45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28.607087050359709</v>
      </c>
    </row>
    <row r="575" spans="1:29" ht="15.75" x14ac:dyDescent="0.25">
      <c r="A575" s="32">
        <v>58409</v>
      </c>
      <c r="B575" s="14">
        <f>CHOOSE(CONTROL!$C$42, 29.8905, 29.8905) * CHOOSE(CONTROL!$C$21, $C$9, 100%, $E$9)</f>
        <v>29.890499999999999</v>
      </c>
      <c r="C575" s="14">
        <f>CHOOSE(CONTROL!$C$42, 29.8956, 29.8956) * CHOOSE(CONTROL!$C$21, $C$9, 100%, $E$9)</f>
        <v>29.895600000000002</v>
      </c>
      <c r="D575" s="14">
        <f>CHOOSE(CONTROL!$C$42, 29.9594, 29.9594) * CHOOSE(CONTROL!$C$21, $C$9, 100%, $E$9)</f>
        <v>29.959399999999999</v>
      </c>
      <c r="E575" s="14">
        <f>CHOOSE(CONTROL!$C$42, 29.9935, 29.9935) * CHOOSE(CONTROL!$C$21, $C$9, 100%, $E$9)</f>
        <v>29.993500000000001</v>
      </c>
      <c r="F575" s="14">
        <f>CHOOSE(CONTROL!$C$42, 29.8928, 29.8928)*CHOOSE(CONTROL!$C$21, $C$9, 100%, $E$9)</f>
        <v>29.892800000000001</v>
      </c>
      <c r="G575" s="14">
        <f>CHOOSE(CONTROL!$C$42, 29.9094, 29.9094)*CHOOSE(CONTROL!$C$21, $C$9, 100%, $E$9)</f>
        <v>29.909400000000002</v>
      </c>
      <c r="H575" s="14">
        <f>CHOOSE(CONTROL!$C$42, 29.9827, 29.9827) * CHOOSE(CONTROL!$C$21, $C$9, 100%, $E$9)</f>
        <v>29.982700000000001</v>
      </c>
      <c r="I575" s="14">
        <f>CHOOSE(CONTROL!$C$42, 29.998, 29.998)* CHOOSE(CONTROL!$C$21, $C$9, 100%, $E$9)</f>
        <v>29.998000000000001</v>
      </c>
      <c r="J575" s="14">
        <f>CHOOSE(CONTROL!$C$42, 29.8858, 29.8858)* CHOOSE(CONTROL!$C$21, $C$9, 100%, $E$9)</f>
        <v>29.8858</v>
      </c>
      <c r="K575" s="53">
        <f>CHOOSE(CONTROL!$C$42, 29.9941, 29.9941) * CHOOSE(CONTROL!$C$21, $C$9, 100%, $E$9)</f>
        <v>29.9941</v>
      </c>
      <c r="L575" s="14">
        <f>CHOOSE(CONTROL!$C$42, 30.5697, 30.5697) * CHOOSE(CONTROL!$C$21, $C$9, 100%, $E$9)</f>
        <v>30.569700000000001</v>
      </c>
      <c r="M575" s="14">
        <f>CHOOSE(CONTROL!$C$42, 29.2811, 29.2811) * CHOOSE(CONTROL!$C$21, $C$9, 100%, $E$9)</f>
        <v>29.281099999999999</v>
      </c>
      <c r="N575" s="14">
        <f>CHOOSE(CONTROL!$C$42, 29.2974, 29.2974) * CHOOSE(CONTROL!$C$21, $C$9, 100%, $E$9)</f>
        <v>29.2974</v>
      </c>
      <c r="O575" s="14">
        <f>CHOOSE(CONTROL!$C$42, 29.3761, 29.3761) * CHOOSE(CONTROL!$C$21, $C$9, 100%, $E$9)</f>
        <v>29.376100000000001</v>
      </c>
      <c r="P575" s="14">
        <f>CHOOSE(CONTROL!$C$42, 29.3893, 29.3893) * CHOOSE(CONTROL!$C$21, $C$9, 100%, $E$9)</f>
        <v>29.389299999999999</v>
      </c>
      <c r="Q575" s="14">
        <f>CHOOSE(CONTROL!$C$42, 29.9708, 29.9708) * CHOOSE(CONTROL!$C$21, $C$9, 100%, $E$9)</f>
        <v>29.970800000000001</v>
      </c>
      <c r="R575" s="14">
        <f>CHOOSE(CONTROL!$C$42, 30.6327, 30.6327) * CHOOSE(CONTROL!$C$21, $C$9, 100%, $E$9)</f>
        <v>30.6327</v>
      </c>
      <c r="S575" s="14">
        <f>CHOOSE(CONTROL!$C$42, 28.7133, 28.7133) * CHOOSE(CONTROL!$C$21, $C$9, 100%, $E$9)</f>
        <v>28.7133</v>
      </c>
      <c r="T5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7">
        <f>(1000*CHOOSE(CONTROL!$C$42, 695, 695)*CHOOSE(CONTROL!$C$42, 0.5599, 0.5599)*CHOOSE(CONTROL!$C$42, 30, 30))/1000000</f>
        <v>11.673914999999997</v>
      </c>
      <c r="V575" s="57">
        <f>(1000*CHOOSE(CONTROL!$C$42, 500, 500)*CHOOSE(CONTROL!$C$42, 0.275, 0.275)*CHOOSE(CONTROL!$C$42, 30, 30))/1000000</f>
        <v>4.125</v>
      </c>
      <c r="W575" s="57">
        <f>(1000*CHOOSE(CONTROL!$C$42, 0.1146, 0.1146)*CHOOSE(CONTROL!$C$42, 121.5, 121.5)*CHOOSE(CONTROL!$C$42, 30, 30))/1000000</f>
        <v>0.417717</v>
      </c>
      <c r="X575" s="57">
        <f>(30*0.1790888*100000/1000000)+(30*0.2374*100000/1000000)</f>
        <v>1.2494664</v>
      </c>
      <c r="Y575" s="57"/>
      <c r="Z575" s="14"/>
      <c r="AA575" s="56"/>
      <c r="AB575" s="50">
        <f>(B575*122.58+C575*297.941+D575*89.177+E575*40.302+F575*40+G575*160+H575*0+I575*100+J575*300)/(122.58+297.941+89.177+40.302+0+40+160+100+300)</f>
        <v>29.911605130782604</v>
      </c>
      <c r="AC575" s="45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29.340664028776978</v>
      </c>
    </row>
    <row r="576" spans="1:29" ht="15.75" x14ac:dyDescent="0.25">
      <c r="A576" s="32">
        <v>58440</v>
      </c>
      <c r="B576" s="14">
        <f>CHOOSE(CONTROL!$C$42, 31.9278, 31.9278) * CHOOSE(CONTROL!$C$21, $C$9, 100%, $E$9)</f>
        <v>31.927800000000001</v>
      </c>
      <c r="C576" s="14">
        <f>CHOOSE(CONTROL!$C$42, 31.9328, 31.9328) * CHOOSE(CONTROL!$C$21, $C$9, 100%, $E$9)</f>
        <v>31.9328</v>
      </c>
      <c r="D576" s="14">
        <f>CHOOSE(CONTROL!$C$42, 31.9967, 31.9967) * CHOOSE(CONTROL!$C$21, $C$9, 100%, $E$9)</f>
        <v>31.996700000000001</v>
      </c>
      <c r="E576" s="14">
        <f>CHOOSE(CONTROL!$C$42, 32.0308, 32.0308) * CHOOSE(CONTROL!$C$21, $C$9, 100%, $E$9)</f>
        <v>32.030799999999999</v>
      </c>
      <c r="F576" s="14">
        <f>CHOOSE(CONTROL!$C$42, 31.9321, 31.9321)*CHOOSE(CONTROL!$C$21, $C$9, 100%, $E$9)</f>
        <v>31.932099999999998</v>
      </c>
      <c r="G576" s="14">
        <f>CHOOSE(CONTROL!$C$42, 31.9493, 31.9493)*CHOOSE(CONTROL!$C$21, $C$9, 100%, $E$9)</f>
        <v>31.949300000000001</v>
      </c>
      <c r="H576" s="14">
        <f>CHOOSE(CONTROL!$C$42, 32.02, 32.02) * CHOOSE(CONTROL!$C$21, $C$9, 100%, $E$9)</f>
        <v>32.020000000000003</v>
      </c>
      <c r="I576" s="14">
        <f>CHOOSE(CONTROL!$C$42, 32.0417, 32.0417)* CHOOSE(CONTROL!$C$21, $C$9, 100%, $E$9)</f>
        <v>32.041699999999999</v>
      </c>
      <c r="J576" s="14">
        <f>CHOOSE(CONTROL!$C$42, 31.9251, 31.9251)* CHOOSE(CONTROL!$C$21, $C$9, 100%, $E$9)</f>
        <v>31.9251</v>
      </c>
      <c r="K576" s="53">
        <f>CHOOSE(CONTROL!$C$42, 32.0378, 32.0378) * CHOOSE(CONTROL!$C$21, $C$9, 100%, $E$9)</f>
        <v>32.037799999999997</v>
      </c>
      <c r="L576" s="14">
        <f>CHOOSE(CONTROL!$C$42, 32.607, 32.607) * CHOOSE(CONTROL!$C$21, $C$9, 100%, $E$9)</f>
        <v>32.606999999999999</v>
      </c>
      <c r="M576" s="14">
        <f>CHOOSE(CONTROL!$C$42, 31.2787, 31.2787) * CHOOSE(CONTROL!$C$21, $C$9, 100%, $E$9)</f>
        <v>31.278700000000001</v>
      </c>
      <c r="N576" s="14">
        <f>CHOOSE(CONTROL!$C$42, 31.2955, 31.2955) * CHOOSE(CONTROL!$C$21, $C$9, 100%, $E$9)</f>
        <v>31.295500000000001</v>
      </c>
      <c r="O576" s="14">
        <f>CHOOSE(CONTROL!$C$42, 31.3716, 31.3716) * CHOOSE(CONTROL!$C$21, $C$9, 100%, $E$9)</f>
        <v>31.371600000000001</v>
      </c>
      <c r="P576" s="14">
        <f>CHOOSE(CONTROL!$C$42, 31.3909, 31.3909) * CHOOSE(CONTROL!$C$21, $C$9, 100%, $E$9)</f>
        <v>31.390899999999998</v>
      </c>
      <c r="Q576" s="14">
        <f>CHOOSE(CONTROL!$C$42, 31.9663, 31.9663) * CHOOSE(CONTROL!$C$21, $C$9, 100%, $E$9)</f>
        <v>31.9663</v>
      </c>
      <c r="R576" s="14">
        <f>CHOOSE(CONTROL!$C$42, 32.6332, 32.6332) * CHOOSE(CONTROL!$C$21, $C$9, 100%, $E$9)</f>
        <v>32.633200000000002</v>
      </c>
      <c r="S576" s="14">
        <f>CHOOSE(CONTROL!$C$42, 30.6709, 30.6709) * CHOOSE(CONTROL!$C$21, $C$9, 100%, $E$9)</f>
        <v>30.6709</v>
      </c>
      <c r="T5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7">
        <f>(1000*CHOOSE(CONTROL!$C$42, 695, 695)*CHOOSE(CONTROL!$C$42, 0.5599, 0.5599)*CHOOSE(CONTROL!$C$42, 31, 31))/1000000</f>
        <v>12.063045499999998</v>
      </c>
      <c r="V576" s="57">
        <f>(1000*CHOOSE(CONTROL!$C$42, 500, 500)*CHOOSE(CONTROL!$C$42, 0.275, 0.275)*CHOOSE(CONTROL!$C$42, 31, 31))/1000000</f>
        <v>4.2625000000000002</v>
      </c>
      <c r="W576" s="57">
        <f>(1000*CHOOSE(CONTROL!$C$42, 0.1146, 0.1146)*CHOOSE(CONTROL!$C$42, 121.5, 121.5)*CHOOSE(CONTROL!$C$42, 31, 31))/1000000</f>
        <v>0.43164089999999994</v>
      </c>
      <c r="X576" s="57">
        <f>(31*0.1790888*100000/1000000)+(31*0.2374*100000/1000000)</f>
        <v>1.2911152800000001</v>
      </c>
      <c r="Y576" s="57"/>
      <c r="Z576" s="14"/>
      <c r="AA576" s="56"/>
      <c r="AB576" s="50">
        <f>(B576*122.58+C576*297.941+D576*89.177+E576*40.302+F576*40+G576*160+H576*0+I576*100+J576*300)/(122.58+297.941+89.177+40.302+0+40+160+100+300)</f>
        <v>31.950388788086951</v>
      </c>
      <c r="AC576" s="45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31.337916546762592</v>
      </c>
    </row>
    <row r="577" spans="1:29" ht="15.75" x14ac:dyDescent="0.25">
      <c r="A577" s="32">
        <v>58471</v>
      </c>
      <c r="B577" s="14">
        <f>CHOOSE(CONTROL!$C$42, 34.5423, 34.5423) * CHOOSE(CONTROL!$C$21, $C$9, 100%, $E$9)</f>
        <v>34.542299999999997</v>
      </c>
      <c r="C577" s="14">
        <f>CHOOSE(CONTROL!$C$42, 34.5474, 34.5474) * CHOOSE(CONTROL!$C$21, $C$9, 100%, $E$9)</f>
        <v>34.547400000000003</v>
      </c>
      <c r="D577" s="14">
        <f>CHOOSE(CONTROL!$C$42, 34.606, 34.606) * CHOOSE(CONTROL!$C$21, $C$9, 100%, $E$9)</f>
        <v>34.606000000000002</v>
      </c>
      <c r="E577" s="14">
        <f>CHOOSE(CONTROL!$C$42, 34.6401, 34.6401) * CHOOSE(CONTROL!$C$21, $C$9, 100%, $E$9)</f>
        <v>34.640099999999997</v>
      </c>
      <c r="F577" s="14">
        <f>CHOOSE(CONTROL!$C$42, 34.5414, 34.5414)*CHOOSE(CONTROL!$C$21, $C$9, 100%, $E$9)</f>
        <v>34.541400000000003</v>
      </c>
      <c r="G577" s="14">
        <f>CHOOSE(CONTROL!$C$42, 34.5578, 34.5578)*CHOOSE(CONTROL!$C$21, $C$9, 100%, $E$9)</f>
        <v>34.5578</v>
      </c>
      <c r="H577" s="14">
        <f>CHOOSE(CONTROL!$C$42, 34.6293, 34.6293) * CHOOSE(CONTROL!$C$21, $C$9, 100%, $E$9)</f>
        <v>34.629300000000001</v>
      </c>
      <c r="I577" s="14">
        <f>CHOOSE(CONTROL!$C$42, 34.6607, 34.6607)* CHOOSE(CONTROL!$C$21, $C$9, 100%, $E$9)</f>
        <v>34.660699999999999</v>
      </c>
      <c r="J577" s="14">
        <f>CHOOSE(CONTROL!$C$42, 34.5344, 34.5344)* CHOOSE(CONTROL!$C$21, $C$9, 100%, $E$9)</f>
        <v>34.534399999999998</v>
      </c>
      <c r="K577" s="53">
        <f>CHOOSE(CONTROL!$C$42, 34.6569, 34.6569) * CHOOSE(CONTROL!$C$21, $C$9, 100%, $E$9)</f>
        <v>34.6569</v>
      </c>
      <c r="L577" s="14">
        <f>CHOOSE(CONTROL!$C$42, 35.2163, 35.2163) * CHOOSE(CONTROL!$C$21, $C$9, 100%, $E$9)</f>
        <v>35.216299999999997</v>
      </c>
      <c r="M577" s="14">
        <f>CHOOSE(CONTROL!$C$42, 33.8345, 33.8345) * CHOOSE(CONTROL!$C$21, $C$9, 100%, $E$9)</f>
        <v>33.834499999999998</v>
      </c>
      <c r="N577" s="14">
        <f>CHOOSE(CONTROL!$C$42, 33.8506, 33.8506) * CHOOSE(CONTROL!$C$21, $C$9, 100%, $E$9)</f>
        <v>33.8506</v>
      </c>
      <c r="O577" s="14">
        <f>CHOOSE(CONTROL!$C$42, 33.9275, 33.9275) * CHOOSE(CONTROL!$C$21, $C$9, 100%, $E$9)</f>
        <v>33.927500000000002</v>
      </c>
      <c r="P577" s="14">
        <f>CHOOSE(CONTROL!$C$42, 33.9562, 33.9562) * CHOOSE(CONTROL!$C$21, $C$9, 100%, $E$9)</f>
        <v>33.956200000000003</v>
      </c>
      <c r="Q577" s="14">
        <f>CHOOSE(CONTROL!$C$42, 34.5222, 34.5222) * CHOOSE(CONTROL!$C$21, $C$9, 100%, $E$9)</f>
        <v>34.522199999999998</v>
      </c>
      <c r="R577" s="14">
        <f>CHOOSE(CONTROL!$C$42, 35.1955, 35.1955) * CHOOSE(CONTROL!$C$21, $C$9, 100%, $E$9)</f>
        <v>35.195500000000003</v>
      </c>
      <c r="S577" s="14">
        <f>CHOOSE(CONTROL!$C$42, 33.1832, 33.1832) * CHOOSE(CONTROL!$C$21, $C$9, 100%, $E$9)</f>
        <v>33.183199999999999</v>
      </c>
      <c r="T5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7">
        <f>(1000*CHOOSE(CONTROL!$C$42, 695, 695)*CHOOSE(CONTROL!$C$42, 0.5599, 0.5599)*CHOOSE(CONTROL!$C$42, 31, 31))/1000000</f>
        <v>12.063045499999998</v>
      </c>
      <c r="V577" s="57">
        <f>(1000*CHOOSE(CONTROL!$C$42, 500, 500)*CHOOSE(CONTROL!$C$42, 0.275, 0.275)*CHOOSE(CONTROL!$C$42, 31, 31))/1000000</f>
        <v>4.2625000000000002</v>
      </c>
      <c r="W577" s="57">
        <f>(1000*CHOOSE(CONTROL!$C$42, 0.1146, 0.1146)*CHOOSE(CONTROL!$C$42, 121.5, 121.5)*CHOOSE(CONTROL!$C$42, 31, 31))/1000000</f>
        <v>0.43164089999999994</v>
      </c>
      <c r="X577" s="57">
        <f>(31*0.1790888*100000/1000000)+(31*0.2374*100000/1000000)</f>
        <v>1.2911152800000001</v>
      </c>
      <c r="Y577" s="57"/>
      <c r="Z577" s="14"/>
      <c r="AA577" s="56"/>
      <c r="AB577" s="50">
        <f>(B577*122.58+C577*297.941+D577*89.177+E577*40.302+F577*40+G577*160+H577*0+I577*100+J577*300)/(122.58+297.941+89.177+40.302+0+40+160+100+300)</f>
        <v>34.562348356173914</v>
      </c>
      <c r="AC577" s="45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33.895088489208632</v>
      </c>
    </row>
    <row r="578" spans="1:29" ht="15.75" x14ac:dyDescent="0.25">
      <c r="A578" s="32">
        <v>58499</v>
      </c>
      <c r="B578" s="14">
        <f>CHOOSE(CONTROL!$C$42, 35.1571, 35.1571) * CHOOSE(CONTROL!$C$21, $C$9, 100%, $E$9)</f>
        <v>35.1571</v>
      </c>
      <c r="C578" s="14">
        <f>CHOOSE(CONTROL!$C$42, 35.1621, 35.1621) * CHOOSE(CONTROL!$C$21, $C$9, 100%, $E$9)</f>
        <v>35.162100000000002</v>
      </c>
      <c r="D578" s="14">
        <f>CHOOSE(CONTROL!$C$42, 35.2207, 35.2207) * CHOOSE(CONTROL!$C$21, $C$9, 100%, $E$9)</f>
        <v>35.220700000000001</v>
      </c>
      <c r="E578" s="14">
        <f>CHOOSE(CONTROL!$C$42, 35.2548, 35.2548) * CHOOSE(CONTROL!$C$21, $C$9, 100%, $E$9)</f>
        <v>35.254800000000003</v>
      </c>
      <c r="F578" s="14">
        <f>CHOOSE(CONTROL!$C$42, 35.1561, 35.1561)*CHOOSE(CONTROL!$C$21, $C$9, 100%, $E$9)</f>
        <v>35.156100000000002</v>
      </c>
      <c r="G578" s="14">
        <f>CHOOSE(CONTROL!$C$42, 35.1725, 35.1725)*CHOOSE(CONTROL!$C$21, $C$9, 100%, $E$9)</f>
        <v>35.172499999999999</v>
      </c>
      <c r="H578" s="14">
        <f>CHOOSE(CONTROL!$C$42, 35.244, 35.244) * CHOOSE(CONTROL!$C$21, $C$9, 100%, $E$9)</f>
        <v>35.244</v>
      </c>
      <c r="I578" s="14">
        <f>CHOOSE(CONTROL!$C$42, 35.2774, 35.2774)* CHOOSE(CONTROL!$C$21, $C$9, 100%, $E$9)</f>
        <v>35.2774</v>
      </c>
      <c r="J578" s="14">
        <f>CHOOSE(CONTROL!$C$42, 35.1491, 35.1491)* CHOOSE(CONTROL!$C$21, $C$9, 100%, $E$9)</f>
        <v>35.149099999999997</v>
      </c>
      <c r="K578" s="53">
        <f>CHOOSE(CONTROL!$C$42, 35.2735, 35.2735) * CHOOSE(CONTROL!$C$21, $C$9, 100%, $E$9)</f>
        <v>35.273499999999999</v>
      </c>
      <c r="L578" s="14">
        <f>CHOOSE(CONTROL!$C$42, 35.831, 35.831) * CHOOSE(CONTROL!$C$21, $C$9, 100%, $E$9)</f>
        <v>35.831000000000003</v>
      </c>
      <c r="M578" s="14">
        <f>CHOOSE(CONTROL!$C$42, 34.4366, 34.4366) * CHOOSE(CONTROL!$C$21, $C$9, 100%, $E$9)</f>
        <v>34.436599999999999</v>
      </c>
      <c r="N578" s="14">
        <f>CHOOSE(CONTROL!$C$42, 34.4527, 34.4527) * CHOOSE(CONTROL!$C$21, $C$9, 100%, $E$9)</f>
        <v>34.4527</v>
      </c>
      <c r="O578" s="14">
        <f>CHOOSE(CONTROL!$C$42, 34.5296, 34.5296) * CHOOSE(CONTROL!$C$21, $C$9, 100%, $E$9)</f>
        <v>34.529600000000002</v>
      </c>
      <c r="P578" s="14">
        <f>CHOOSE(CONTROL!$C$42, 34.5601, 34.5601) * CHOOSE(CONTROL!$C$21, $C$9, 100%, $E$9)</f>
        <v>34.560099999999998</v>
      </c>
      <c r="Q578" s="14">
        <f>CHOOSE(CONTROL!$C$42, 35.1243, 35.1243) * CHOOSE(CONTROL!$C$21, $C$9, 100%, $E$9)</f>
        <v>35.124299999999998</v>
      </c>
      <c r="R578" s="14">
        <f>CHOOSE(CONTROL!$C$42, 35.7991, 35.7991) * CHOOSE(CONTROL!$C$21, $C$9, 100%, $E$9)</f>
        <v>35.799100000000003</v>
      </c>
      <c r="S578" s="14">
        <f>CHOOSE(CONTROL!$C$42, 33.7739, 33.7739) * CHOOSE(CONTROL!$C$21, $C$9, 100%, $E$9)</f>
        <v>33.773899999999998</v>
      </c>
      <c r="T57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7">
        <f>(1000*CHOOSE(CONTROL!$C$42, 695, 695)*CHOOSE(CONTROL!$C$42, 0.5599, 0.5599)*CHOOSE(CONTROL!$C$42, 29, 29))/1000000</f>
        <v>11.284784499999999</v>
      </c>
      <c r="V578" s="57">
        <f>(1000*CHOOSE(CONTROL!$C$42, 500, 500)*CHOOSE(CONTROL!$C$42, 0.275, 0.275)*CHOOSE(CONTROL!$C$42, 29, 29))/1000000</f>
        <v>3.9874999999999998</v>
      </c>
      <c r="W578" s="57">
        <f>(1000*CHOOSE(CONTROL!$C$42, 0.1146, 0.1146)*CHOOSE(CONTROL!$C$42, 121.5, 121.5)*CHOOSE(CONTROL!$C$42, 29, 29))/1000000</f>
        <v>0.40379309999999996</v>
      </c>
      <c r="X578" s="57">
        <f>(29*0.1790888*100000/1000000)+(29*0.2374*100000/1000000)</f>
        <v>1.2078175199999999</v>
      </c>
      <c r="Y578" s="57"/>
      <c r="Z578" s="14"/>
      <c r="AA578" s="56"/>
      <c r="AB578" s="50">
        <f>(B578*122.58+C578*297.941+D578*89.177+E578*40.302+F578*40+G578*160+H578*0+I578*100+J578*300)/(122.58+297.941+89.177+40.302+0+40+160+100+300)</f>
        <v>35.17723292834782</v>
      </c>
      <c r="AC578" s="45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34.497447482014387</v>
      </c>
    </row>
    <row r="579" spans="1:29" ht="15.75" x14ac:dyDescent="0.25">
      <c r="A579" s="32">
        <v>58531</v>
      </c>
      <c r="B579" s="14">
        <f>CHOOSE(CONTROL!$C$42, 34.1592, 34.1592) * CHOOSE(CONTROL!$C$21, $C$9, 100%, $E$9)</f>
        <v>34.159199999999998</v>
      </c>
      <c r="C579" s="14">
        <f>CHOOSE(CONTROL!$C$42, 34.1643, 34.1643) * CHOOSE(CONTROL!$C$21, $C$9, 100%, $E$9)</f>
        <v>34.164299999999997</v>
      </c>
      <c r="D579" s="14">
        <f>CHOOSE(CONTROL!$C$42, 34.2229, 34.2229) * CHOOSE(CONTROL!$C$21, $C$9, 100%, $E$9)</f>
        <v>34.222900000000003</v>
      </c>
      <c r="E579" s="14">
        <f>CHOOSE(CONTROL!$C$42, 34.257, 34.257) * CHOOSE(CONTROL!$C$21, $C$9, 100%, $E$9)</f>
        <v>34.256999999999998</v>
      </c>
      <c r="F579" s="14">
        <f>CHOOSE(CONTROL!$C$42, 34.1578, 34.1578)*CHOOSE(CONTROL!$C$21, $C$9, 100%, $E$9)</f>
        <v>34.157800000000002</v>
      </c>
      <c r="G579" s="14">
        <f>CHOOSE(CONTROL!$C$42, 34.174, 34.174)*CHOOSE(CONTROL!$C$21, $C$9, 100%, $E$9)</f>
        <v>34.173999999999999</v>
      </c>
      <c r="H579" s="14">
        <f>CHOOSE(CONTROL!$C$42, 34.2462, 34.2462) * CHOOSE(CONTROL!$C$21, $C$9, 100%, $E$9)</f>
        <v>34.246200000000002</v>
      </c>
      <c r="I579" s="14">
        <f>CHOOSE(CONTROL!$C$42, 34.2764, 34.2764)* CHOOSE(CONTROL!$C$21, $C$9, 100%, $E$9)</f>
        <v>34.276400000000002</v>
      </c>
      <c r="J579" s="14">
        <f>CHOOSE(CONTROL!$C$42, 34.1508, 34.1508)* CHOOSE(CONTROL!$C$21, $C$9, 100%, $E$9)</f>
        <v>34.150799999999997</v>
      </c>
      <c r="K579" s="53">
        <f>CHOOSE(CONTROL!$C$42, 34.2725, 34.2725) * CHOOSE(CONTROL!$C$21, $C$9, 100%, $E$9)</f>
        <v>34.272500000000001</v>
      </c>
      <c r="L579" s="14">
        <f>CHOOSE(CONTROL!$C$42, 34.8332, 34.8332) * CHOOSE(CONTROL!$C$21, $C$9, 100%, $E$9)</f>
        <v>34.833199999999998</v>
      </c>
      <c r="M579" s="14">
        <f>CHOOSE(CONTROL!$C$42, 33.4587, 33.4587) * CHOOSE(CONTROL!$C$21, $C$9, 100%, $E$9)</f>
        <v>33.4587</v>
      </c>
      <c r="N579" s="14">
        <f>CHOOSE(CONTROL!$C$42, 33.4746, 33.4746) * CHOOSE(CONTROL!$C$21, $C$9, 100%, $E$9)</f>
        <v>33.474600000000002</v>
      </c>
      <c r="O579" s="14">
        <f>CHOOSE(CONTROL!$C$42, 33.5522, 33.5522) * CHOOSE(CONTROL!$C$21, $C$9, 100%, $E$9)</f>
        <v>33.552199999999999</v>
      </c>
      <c r="P579" s="14">
        <f>CHOOSE(CONTROL!$C$42, 33.5797, 33.5797) * CHOOSE(CONTROL!$C$21, $C$9, 100%, $E$9)</f>
        <v>33.579700000000003</v>
      </c>
      <c r="Q579" s="14">
        <f>CHOOSE(CONTROL!$C$42, 34.1469, 34.1469) * CHOOSE(CONTROL!$C$21, $C$9, 100%, $E$9)</f>
        <v>34.146900000000002</v>
      </c>
      <c r="R579" s="14">
        <f>CHOOSE(CONTROL!$C$42, 34.8193, 34.8193) * CHOOSE(CONTROL!$C$21, $C$9, 100%, $E$9)</f>
        <v>34.819299999999998</v>
      </c>
      <c r="S579" s="14">
        <f>CHOOSE(CONTROL!$C$42, 32.815, 32.815) * CHOOSE(CONTROL!$C$21, $C$9, 100%, $E$9)</f>
        <v>32.814999999999998</v>
      </c>
      <c r="T5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7">
        <f>(1000*CHOOSE(CONTROL!$C$42, 695, 695)*CHOOSE(CONTROL!$C$42, 0.5599, 0.5599)*CHOOSE(CONTROL!$C$42, 31, 31))/1000000</f>
        <v>12.063045499999998</v>
      </c>
      <c r="V579" s="57">
        <f>(1000*CHOOSE(CONTROL!$C$42, 500, 500)*CHOOSE(CONTROL!$C$42, 0.275, 0.275)*CHOOSE(CONTROL!$C$42, 31, 31))/1000000</f>
        <v>4.2625000000000002</v>
      </c>
      <c r="W579" s="57">
        <f>(1000*CHOOSE(CONTROL!$C$42, 0.1146, 0.1146)*CHOOSE(CONTROL!$C$42, 121.5, 121.5)*CHOOSE(CONTROL!$C$42, 31, 31))/1000000</f>
        <v>0.43164089999999994</v>
      </c>
      <c r="X579" s="57">
        <f>(31*0.1790888*100000/1000000)+(31*0.2374*100000/1000000)</f>
        <v>1.2911152800000001</v>
      </c>
      <c r="Y579" s="57"/>
      <c r="Z579" s="14"/>
      <c r="AA579" s="56"/>
      <c r="AB579" s="50">
        <f>(B579*122.58+C579*297.941+D579*89.177+E579*40.302+F579*40+G579*160+H579*0+I579*100+J579*300)/(122.58+297.941+89.177+40.302+0+40+160+100+300)</f>
        <v>34.178898790956524</v>
      </c>
      <c r="AC579" s="45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33.519402877697843</v>
      </c>
    </row>
    <row r="580" spans="1:29" ht="15.75" x14ac:dyDescent="0.25">
      <c r="A580" s="32">
        <v>58561</v>
      </c>
      <c r="B580" s="14">
        <f>CHOOSE(CONTROL!$C$42, 34.0581, 34.0581) * CHOOSE(CONTROL!$C$21, $C$9, 100%, $E$9)</f>
        <v>34.058100000000003</v>
      </c>
      <c r="C580" s="14">
        <f>CHOOSE(CONTROL!$C$42, 34.0626, 34.0626) * CHOOSE(CONTROL!$C$21, $C$9, 100%, $E$9)</f>
        <v>34.062600000000003</v>
      </c>
      <c r="D580" s="14">
        <f>CHOOSE(CONTROL!$C$42, 34.2707, 34.2707) * CHOOSE(CONTROL!$C$21, $C$9, 100%, $E$9)</f>
        <v>34.270699999999998</v>
      </c>
      <c r="E580" s="14">
        <f>CHOOSE(CONTROL!$C$42, 34.3028, 34.3028) * CHOOSE(CONTROL!$C$21, $C$9, 100%, $E$9)</f>
        <v>34.302799999999998</v>
      </c>
      <c r="F580" s="14">
        <f>CHOOSE(CONTROL!$C$42, 34.0455, 34.0455)*CHOOSE(CONTROL!$C$21, $C$9, 100%, $E$9)</f>
        <v>34.045499999999997</v>
      </c>
      <c r="G580" s="14">
        <f>CHOOSE(CONTROL!$C$42, 34.0614, 34.0614)*CHOOSE(CONTROL!$C$21, $C$9, 100%, $E$9)</f>
        <v>34.061399999999999</v>
      </c>
      <c r="H580" s="14">
        <f>CHOOSE(CONTROL!$C$42, 34.2926, 34.2926) * CHOOSE(CONTROL!$C$21, $C$9, 100%, $E$9)</f>
        <v>34.2926</v>
      </c>
      <c r="I580" s="14">
        <f>CHOOSE(CONTROL!$C$42, 34.1742, 34.1742)* CHOOSE(CONTROL!$C$21, $C$9, 100%, $E$9)</f>
        <v>34.174199999999999</v>
      </c>
      <c r="J580" s="14">
        <f>CHOOSE(CONTROL!$C$42, 34.0385, 34.0385)* CHOOSE(CONTROL!$C$21, $C$9, 100%, $E$9)</f>
        <v>34.038499999999999</v>
      </c>
      <c r="K580" s="53">
        <f>CHOOSE(CONTROL!$C$42, 34.1703, 34.1703) * CHOOSE(CONTROL!$C$21, $C$9, 100%, $E$9)</f>
        <v>34.170299999999997</v>
      </c>
      <c r="L580" s="14">
        <f>CHOOSE(CONTROL!$C$42, 34.8796, 34.8796) * CHOOSE(CONTROL!$C$21, $C$9, 100%, $E$9)</f>
        <v>34.879600000000003</v>
      </c>
      <c r="M580" s="14">
        <f>CHOOSE(CONTROL!$C$42, 33.3487, 33.3487) * CHOOSE(CONTROL!$C$21, $C$9, 100%, $E$9)</f>
        <v>33.348700000000001</v>
      </c>
      <c r="N580" s="14">
        <f>CHOOSE(CONTROL!$C$42, 33.3644, 33.3644) * CHOOSE(CONTROL!$C$21, $C$9, 100%, $E$9)</f>
        <v>33.364400000000003</v>
      </c>
      <c r="O580" s="14">
        <f>CHOOSE(CONTROL!$C$42, 33.5977, 33.5977) * CHOOSE(CONTROL!$C$21, $C$9, 100%, $E$9)</f>
        <v>33.597700000000003</v>
      </c>
      <c r="P580" s="14">
        <f>CHOOSE(CONTROL!$C$42, 33.4797, 33.4797) * CHOOSE(CONTROL!$C$21, $C$9, 100%, $E$9)</f>
        <v>33.479700000000001</v>
      </c>
      <c r="Q580" s="14">
        <f>CHOOSE(CONTROL!$C$42, 34.1924, 34.1924) * CHOOSE(CONTROL!$C$21, $C$9, 100%, $E$9)</f>
        <v>34.192399999999999</v>
      </c>
      <c r="R580" s="14">
        <f>CHOOSE(CONTROL!$C$42, 34.8649, 34.8649) * CHOOSE(CONTROL!$C$21, $C$9, 100%, $E$9)</f>
        <v>34.864899999999999</v>
      </c>
      <c r="S580" s="14">
        <f>CHOOSE(CONTROL!$C$42, 32.7172, 32.7172) * CHOOSE(CONTROL!$C$21, $C$9, 100%, $E$9)</f>
        <v>32.717199999999998</v>
      </c>
      <c r="T5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7">
        <f>(1000*CHOOSE(CONTROL!$C$42, 695, 695)*CHOOSE(CONTROL!$C$42, 0.5599, 0.5599)*CHOOSE(CONTROL!$C$42, 30, 30))/1000000</f>
        <v>11.673914999999997</v>
      </c>
      <c r="V580" s="57">
        <f>(1000*CHOOSE(CONTROL!$C$42, 500, 500)*CHOOSE(CONTROL!$C$42, 0.275, 0.275)*CHOOSE(CONTROL!$C$42, 30, 30))/1000000</f>
        <v>4.125</v>
      </c>
      <c r="W580" s="57">
        <f>(1000*CHOOSE(CONTROL!$C$42, 0.1146, 0.1146)*CHOOSE(CONTROL!$C$42, 121.5, 121.5)*CHOOSE(CONTROL!$C$42, 30, 30))/1000000</f>
        <v>0.417717</v>
      </c>
      <c r="X580" s="57">
        <f>(30*0.1790888*245000/1000000)+(30*0.2374*100000/1000000)</f>
        <v>2.0285026799999999</v>
      </c>
      <c r="Y580" s="57"/>
      <c r="Z580" s="14"/>
      <c r="AA580" s="56"/>
      <c r="AB580" s="50">
        <f>(B580*141.293+C580*267.993+D580*115.016+E580*89.698+F580*40+G580*185+H580*0+I580*100+J580*300)/(141.293+267.993+115.016+89.698+0+40+185+100+300)</f>
        <v>34.10123476246973</v>
      </c>
      <c r="AC580" s="45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33.441026618705038</v>
      </c>
    </row>
    <row r="581" spans="1:29" ht="15.75" x14ac:dyDescent="0.25">
      <c r="A581" s="32">
        <v>58592</v>
      </c>
      <c r="B581" s="14">
        <f>CHOOSE(CONTROL!$C$42, 34.36, 34.36) * CHOOSE(CONTROL!$C$21, $C$9, 100%, $E$9)</f>
        <v>34.36</v>
      </c>
      <c r="C581" s="14">
        <f>CHOOSE(CONTROL!$C$42, 34.3681, 34.3681) * CHOOSE(CONTROL!$C$21, $C$9, 100%, $E$9)</f>
        <v>34.368099999999998</v>
      </c>
      <c r="D581" s="14">
        <f>CHOOSE(CONTROL!$C$42, 34.573, 34.573) * CHOOSE(CONTROL!$C$21, $C$9, 100%, $E$9)</f>
        <v>34.573</v>
      </c>
      <c r="E581" s="14">
        <f>CHOOSE(CONTROL!$C$42, 34.6045, 34.6045) * CHOOSE(CONTROL!$C$21, $C$9, 100%, $E$9)</f>
        <v>34.604500000000002</v>
      </c>
      <c r="F581" s="14">
        <f>CHOOSE(CONTROL!$C$42, 34.3462, 34.3462)*CHOOSE(CONTROL!$C$21, $C$9, 100%, $E$9)</f>
        <v>34.346200000000003</v>
      </c>
      <c r="G581" s="14">
        <f>CHOOSE(CONTROL!$C$42, 34.3626, 34.3626)*CHOOSE(CONTROL!$C$21, $C$9, 100%, $E$9)</f>
        <v>34.3626</v>
      </c>
      <c r="H581" s="14">
        <f>CHOOSE(CONTROL!$C$42, 34.5931, 34.5931) * CHOOSE(CONTROL!$C$21, $C$9, 100%, $E$9)</f>
        <v>34.5931</v>
      </c>
      <c r="I581" s="14">
        <f>CHOOSE(CONTROL!$C$42, 34.4757, 34.4757)* CHOOSE(CONTROL!$C$21, $C$9, 100%, $E$9)</f>
        <v>34.475700000000003</v>
      </c>
      <c r="J581" s="14">
        <f>CHOOSE(CONTROL!$C$42, 34.3392, 34.3392)* CHOOSE(CONTROL!$C$21, $C$9, 100%, $E$9)</f>
        <v>34.339199999999998</v>
      </c>
      <c r="K581" s="53">
        <f>CHOOSE(CONTROL!$C$42, 34.4718, 34.4718) * CHOOSE(CONTROL!$C$21, $C$9, 100%, $E$9)</f>
        <v>34.471800000000002</v>
      </c>
      <c r="L581" s="14">
        <f>CHOOSE(CONTROL!$C$42, 35.1801, 35.1801) * CHOOSE(CONTROL!$C$21, $C$9, 100%, $E$9)</f>
        <v>35.180100000000003</v>
      </c>
      <c r="M581" s="14">
        <f>CHOOSE(CONTROL!$C$42, 33.6433, 33.6433) * CHOOSE(CONTROL!$C$21, $C$9, 100%, $E$9)</f>
        <v>33.643300000000004</v>
      </c>
      <c r="N581" s="14">
        <f>CHOOSE(CONTROL!$C$42, 33.6594, 33.6594) * CHOOSE(CONTROL!$C$21, $C$9, 100%, $E$9)</f>
        <v>33.659399999999998</v>
      </c>
      <c r="O581" s="14">
        <f>CHOOSE(CONTROL!$C$42, 33.892, 33.892) * CHOOSE(CONTROL!$C$21, $C$9, 100%, $E$9)</f>
        <v>33.892000000000003</v>
      </c>
      <c r="P581" s="14">
        <f>CHOOSE(CONTROL!$C$42, 33.7749, 33.7749) * CHOOSE(CONTROL!$C$21, $C$9, 100%, $E$9)</f>
        <v>33.774900000000002</v>
      </c>
      <c r="Q581" s="14">
        <f>CHOOSE(CONTROL!$C$42, 34.4867, 34.4867) * CHOOSE(CONTROL!$C$21, $C$9, 100%, $E$9)</f>
        <v>34.486699999999999</v>
      </c>
      <c r="R581" s="14">
        <f>CHOOSE(CONTROL!$C$42, 35.1599, 35.1599) * CHOOSE(CONTROL!$C$21, $C$9, 100%, $E$9)</f>
        <v>35.1599</v>
      </c>
      <c r="S581" s="14">
        <f>CHOOSE(CONTROL!$C$42, 33.0059, 33.0059) * CHOOSE(CONTROL!$C$21, $C$9, 100%, $E$9)</f>
        <v>33.005899999999997</v>
      </c>
      <c r="T5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7">
        <f>(1000*CHOOSE(CONTROL!$C$42, 695, 695)*CHOOSE(CONTROL!$C$42, 0.5599, 0.5599)*CHOOSE(CONTROL!$C$42, 31, 31))/1000000</f>
        <v>12.063045499999998</v>
      </c>
      <c r="V581" s="57">
        <f>(1000*CHOOSE(CONTROL!$C$42, 500, 500)*CHOOSE(CONTROL!$C$42, 0.275, 0.275)*CHOOSE(CONTROL!$C$42, 31, 31))/1000000</f>
        <v>4.2625000000000002</v>
      </c>
      <c r="W581" s="57">
        <f>(1000*CHOOSE(CONTROL!$C$42, 0.1146, 0.1146)*CHOOSE(CONTROL!$C$42, 121.5, 121.5)*CHOOSE(CONTROL!$C$42, 31, 31))/1000000</f>
        <v>0.43164089999999994</v>
      </c>
      <c r="X581" s="57">
        <f>(31*0.1790888*245000/1000000)+(31*0.2374*100000/1000000)</f>
        <v>2.0961194359999999</v>
      </c>
      <c r="Y581" s="57"/>
      <c r="Z581" s="14"/>
      <c r="AA581" s="56"/>
      <c r="AB581" s="50">
        <f>(B581*194.205+C581*267.466+D581*133.845+E581*53.484+F581*40+G581*185+H581*0+I581*100+J581*300)/(194.205+267.466+133.845+53.484+0+40+185+100+300)</f>
        <v>34.398470406279436</v>
      </c>
      <c r="AC581" s="45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33.735720863309361</v>
      </c>
    </row>
    <row r="582" spans="1:29" ht="15.75" x14ac:dyDescent="0.25">
      <c r="A582" s="32">
        <v>58622</v>
      </c>
      <c r="B582" s="14">
        <f>CHOOSE(CONTROL!$C$42, 35.3344, 35.3344) * CHOOSE(CONTROL!$C$21, $C$9, 100%, $E$9)</f>
        <v>35.334400000000002</v>
      </c>
      <c r="C582" s="14">
        <f>CHOOSE(CONTROL!$C$42, 35.3424, 35.3424) * CHOOSE(CONTROL!$C$21, $C$9, 100%, $E$9)</f>
        <v>35.342399999999998</v>
      </c>
      <c r="D582" s="14">
        <f>CHOOSE(CONTROL!$C$42, 35.5474, 35.5474) * CHOOSE(CONTROL!$C$21, $C$9, 100%, $E$9)</f>
        <v>35.547400000000003</v>
      </c>
      <c r="E582" s="14">
        <f>CHOOSE(CONTROL!$C$42, 35.5788, 35.5788) * CHOOSE(CONTROL!$C$21, $C$9, 100%, $E$9)</f>
        <v>35.578800000000001</v>
      </c>
      <c r="F582" s="14">
        <f>CHOOSE(CONTROL!$C$42, 35.3209, 35.3209)*CHOOSE(CONTROL!$C$21, $C$9, 100%, $E$9)</f>
        <v>35.320900000000002</v>
      </c>
      <c r="G582" s="14">
        <f>CHOOSE(CONTROL!$C$42, 35.3374, 35.3374)*CHOOSE(CONTROL!$C$21, $C$9, 100%, $E$9)</f>
        <v>35.337400000000002</v>
      </c>
      <c r="H582" s="14">
        <f>CHOOSE(CONTROL!$C$42, 35.5674, 35.5674) * CHOOSE(CONTROL!$C$21, $C$9, 100%, $E$9)</f>
        <v>35.567399999999999</v>
      </c>
      <c r="I582" s="14">
        <f>CHOOSE(CONTROL!$C$42, 35.4531, 35.4531)* CHOOSE(CONTROL!$C$21, $C$9, 100%, $E$9)</f>
        <v>35.453099999999999</v>
      </c>
      <c r="J582" s="14">
        <f>CHOOSE(CONTROL!$C$42, 35.3139, 35.3139)* CHOOSE(CONTROL!$C$21, $C$9, 100%, $E$9)</f>
        <v>35.313899999999997</v>
      </c>
      <c r="K582" s="53">
        <f>CHOOSE(CONTROL!$C$42, 35.4492, 35.4492) * CHOOSE(CONTROL!$C$21, $C$9, 100%, $E$9)</f>
        <v>35.449199999999998</v>
      </c>
      <c r="L582" s="14">
        <f>CHOOSE(CONTROL!$C$42, 36.1544, 36.1544) * CHOOSE(CONTROL!$C$21, $C$9, 100%, $E$9)</f>
        <v>36.154400000000003</v>
      </c>
      <c r="M582" s="14">
        <f>CHOOSE(CONTROL!$C$42, 34.598, 34.598) * CHOOSE(CONTROL!$C$21, $C$9, 100%, $E$9)</f>
        <v>34.597999999999999</v>
      </c>
      <c r="N582" s="14">
        <f>CHOOSE(CONTROL!$C$42, 34.6142, 34.6142) * CHOOSE(CONTROL!$C$21, $C$9, 100%, $E$9)</f>
        <v>34.614199999999997</v>
      </c>
      <c r="O582" s="14">
        <f>CHOOSE(CONTROL!$C$42, 34.8464, 34.8464) * CHOOSE(CONTROL!$C$21, $C$9, 100%, $E$9)</f>
        <v>34.846400000000003</v>
      </c>
      <c r="P582" s="14">
        <f>CHOOSE(CONTROL!$C$42, 34.7322, 34.7322) * CHOOSE(CONTROL!$C$21, $C$9, 100%, $E$9)</f>
        <v>34.732199999999999</v>
      </c>
      <c r="Q582" s="14">
        <f>CHOOSE(CONTROL!$C$42, 35.4411, 35.4411) * CHOOSE(CONTROL!$C$21, $C$9, 100%, $E$9)</f>
        <v>35.441099999999999</v>
      </c>
      <c r="R582" s="14">
        <f>CHOOSE(CONTROL!$C$42, 36.1167, 36.1167) * CHOOSE(CONTROL!$C$21, $C$9, 100%, $E$9)</f>
        <v>36.116700000000002</v>
      </c>
      <c r="S582" s="14">
        <f>CHOOSE(CONTROL!$C$42, 33.9421, 33.9421) * CHOOSE(CONTROL!$C$21, $C$9, 100%, $E$9)</f>
        <v>33.942100000000003</v>
      </c>
      <c r="T5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7">
        <f>(1000*CHOOSE(CONTROL!$C$42, 695, 695)*CHOOSE(CONTROL!$C$42, 0.5599, 0.5599)*CHOOSE(CONTROL!$C$42, 30, 30))/1000000</f>
        <v>11.673914999999997</v>
      </c>
      <c r="V582" s="57">
        <f>(1000*CHOOSE(CONTROL!$C$42, 500, 500)*CHOOSE(CONTROL!$C$42, 0.275, 0.275)*CHOOSE(CONTROL!$C$42, 30, 30))/1000000</f>
        <v>4.125</v>
      </c>
      <c r="W582" s="57">
        <f>(1000*CHOOSE(CONTROL!$C$42, 0.1146, 0.1146)*CHOOSE(CONTROL!$C$42, 121.5, 121.5)*CHOOSE(CONTROL!$C$42, 30, 30))/1000000</f>
        <v>0.417717</v>
      </c>
      <c r="X582" s="57">
        <f>(30*0.1790888*245000/1000000)+(30*0.2374*100000/1000000)</f>
        <v>2.0285026799999999</v>
      </c>
      <c r="Y582" s="57"/>
      <c r="Z582" s="14"/>
      <c r="AA582" s="56"/>
      <c r="AB582" s="50">
        <f>(B582*194.205+C582*267.466+D582*133.845+E582*53.484+F582*40+G582*185+H582*0+I582*100+J582*300)/(194.205+267.466+133.845+53.484+0+40+185+100+300)</f>
        <v>35.373218840345366</v>
      </c>
      <c r="AC582" s="45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34.690733812949645</v>
      </c>
    </row>
    <row r="583" spans="1:29" ht="15.75" x14ac:dyDescent="0.25">
      <c r="A583" s="32">
        <v>58653</v>
      </c>
      <c r="B583" s="14">
        <f>CHOOSE(CONTROL!$C$42, 34.6567, 34.6567) * CHOOSE(CONTROL!$C$21, $C$9, 100%, $E$9)</f>
        <v>34.656700000000001</v>
      </c>
      <c r="C583" s="14">
        <f>CHOOSE(CONTROL!$C$42, 34.6647, 34.6647) * CHOOSE(CONTROL!$C$21, $C$9, 100%, $E$9)</f>
        <v>34.664700000000003</v>
      </c>
      <c r="D583" s="14">
        <f>CHOOSE(CONTROL!$C$42, 34.8697, 34.8697) * CHOOSE(CONTROL!$C$21, $C$9, 100%, $E$9)</f>
        <v>34.869700000000002</v>
      </c>
      <c r="E583" s="14">
        <f>CHOOSE(CONTROL!$C$42, 34.9012, 34.9012) * CHOOSE(CONTROL!$C$21, $C$9, 100%, $E$9)</f>
        <v>34.901200000000003</v>
      </c>
      <c r="F583" s="14">
        <f>CHOOSE(CONTROL!$C$42, 34.6437, 34.6437)*CHOOSE(CONTROL!$C$21, $C$9, 100%, $E$9)</f>
        <v>34.643700000000003</v>
      </c>
      <c r="G583" s="14">
        <f>CHOOSE(CONTROL!$C$42, 34.6603, 34.6603)*CHOOSE(CONTROL!$C$21, $C$9, 100%, $E$9)</f>
        <v>34.660299999999999</v>
      </c>
      <c r="H583" s="14">
        <f>CHOOSE(CONTROL!$C$42, 34.8898, 34.8898) * CHOOSE(CONTROL!$C$21, $C$9, 100%, $E$9)</f>
        <v>34.889800000000001</v>
      </c>
      <c r="I583" s="14">
        <f>CHOOSE(CONTROL!$C$42, 34.7733, 34.7733)* CHOOSE(CONTROL!$C$21, $C$9, 100%, $E$9)</f>
        <v>34.773299999999999</v>
      </c>
      <c r="J583" s="14">
        <f>CHOOSE(CONTROL!$C$42, 34.6367, 34.6367)* CHOOSE(CONTROL!$C$21, $C$9, 100%, $E$9)</f>
        <v>34.636699999999998</v>
      </c>
      <c r="K583" s="53">
        <f>CHOOSE(CONTROL!$C$42, 34.7694, 34.7694) * CHOOSE(CONTROL!$C$21, $C$9, 100%, $E$9)</f>
        <v>34.769399999999997</v>
      </c>
      <c r="L583" s="14">
        <f>CHOOSE(CONTROL!$C$42, 35.4768, 35.4768) * CHOOSE(CONTROL!$C$21, $C$9, 100%, $E$9)</f>
        <v>35.476799999999997</v>
      </c>
      <c r="M583" s="14">
        <f>CHOOSE(CONTROL!$C$42, 33.9347, 33.9347) * CHOOSE(CONTROL!$C$21, $C$9, 100%, $E$9)</f>
        <v>33.934699999999999</v>
      </c>
      <c r="N583" s="14">
        <f>CHOOSE(CONTROL!$C$42, 33.951, 33.951) * CHOOSE(CONTROL!$C$21, $C$9, 100%, $E$9)</f>
        <v>33.951000000000001</v>
      </c>
      <c r="O583" s="14">
        <f>CHOOSE(CONTROL!$C$42, 34.1826, 34.1826) * CHOOSE(CONTROL!$C$21, $C$9, 100%, $E$9)</f>
        <v>34.182600000000001</v>
      </c>
      <c r="P583" s="14">
        <f>CHOOSE(CONTROL!$C$42, 34.0664, 34.0664) * CHOOSE(CONTROL!$C$21, $C$9, 100%, $E$9)</f>
        <v>34.066400000000002</v>
      </c>
      <c r="Q583" s="14">
        <f>CHOOSE(CONTROL!$C$42, 34.7773, 34.7773) * CHOOSE(CONTROL!$C$21, $C$9, 100%, $E$9)</f>
        <v>34.777299999999997</v>
      </c>
      <c r="R583" s="14">
        <f>CHOOSE(CONTROL!$C$42, 35.4513, 35.4513) * CHOOSE(CONTROL!$C$21, $C$9, 100%, $E$9)</f>
        <v>35.451300000000003</v>
      </c>
      <c r="S583" s="14">
        <f>CHOOSE(CONTROL!$C$42, 33.291, 33.291) * CHOOSE(CONTROL!$C$21, $C$9, 100%, $E$9)</f>
        <v>33.290999999999997</v>
      </c>
      <c r="T5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7">
        <f>(1000*CHOOSE(CONTROL!$C$42, 695, 695)*CHOOSE(CONTROL!$C$42, 0.5599, 0.5599)*CHOOSE(CONTROL!$C$42, 31, 31))/1000000</f>
        <v>12.063045499999998</v>
      </c>
      <c r="V583" s="57">
        <f>(1000*CHOOSE(CONTROL!$C$42, 500, 500)*CHOOSE(CONTROL!$C$42, 0.275, 0.275)*CHOOSE(CONTROL!$C$42, 31, 31))/1000000</f>
        <v>4.2625000000000002</v>
      </c>
      <c r="W583" s="57">
        <f>(1000*CHOOSE(CONTROL!$C$42, 0.1146, 0.1146)*CHOOSE(CONTROL!$C$42, 121.5, 121.5)*CHOOSE(CONTROL!$C$42, 31, 31))/1000000</f>
        <v>0.43164089999999994</v>
      </c>
      <c r="X583" s="57">
        <f>(31*0.1790888*245000/1000000)+(31*0.2374*100000/1000000)</f>
        <v>2.0961194359999999</v>
      </c>
      <c r="Y583" s="57"/>
      <c r="Z583" s="14"/>
      <c r="AA583" s="56"/>
      <c r="AB583" s="50">
        <f>(B583*194.205+C583*267.466+D583*133.845+E583*53.484+F583*40+G583*185+H583*0+I583*100+J583*300)/(194.205+267.466+133.845+53.484+0+40+185+100+300)</f>
        <v>34.695578768445834</v>
      </c>
      <c r="AC583" s="45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34.026956834532378</v>
      </c>
    </row>
    <row r="584" spans="1:29" ht="15.75" x14ac:dyDescent="0.25">
      <c r="A584" s="32">
        <v>58684</v>
      </c>
      <c r="B584" s="14">
        <f>CHOOSE(CONTROL!$C$42, 32.9454, 32.9454) * CHOOSE(CONTROL!$C$21, $C$9, 100%, $E$9)</f>
        <v>32.945399999999999</v>
      </c>
      <c r="C584" s="14">
        <f>CHOOSE(CONTROL!$C$42, 32.9535, 32.9535) * CHOOSE(CONTROL!$C$21, $C$9, 100%, $E$9)</f>
        <v>32.953499999999998</v>
      </c>
      <c r="D584" s="14">
        <f>CHOOSE(CONTROL!$C$42, 33.1584, 33.1584) * CHOOSE(CONTROL!$C$21, $C$9, 100%, $E$9)</f>
        <v>33.1584</v>
      </c>
      <c r="E584" s="14">
        <f>CHOOSE(CONTROL!$C$42, 33.1899, 33.1899) * CHOOSE(CONTROL!$C$21, $C$9, 100%, $E$9)</f>
        <v>33.189900000000002</v>
      </c>
      <c r="F584" s="14">
        <f>CHOOSE(CONTROL!$C$42, 32.9326, 32.9326)*CHOOSE(CONTROL!$C$21, $C$9, 100%, $E$9)</f>
        <v>32.932600000000001</v>
      </c>
      <c r="G584" s="14">
        <f>CHOOSE(CONTROL!$C$42, 32.9493, 32.9493)*CHOOSE(CONTROL!$C$21, $C$9, 100%, $E$9)</f>
        <v>32.949300000000001</v>
      </c>
      <c r="H584" s="14">
        <f>CHOOSE(CONTROL!$C$42, 33.1785, 33.1785) * CHOOSE(CONTROL!$C$21, $C$9, 100%, $E$9)</f>
        <v>33.1785</v>
      </c>
      <c r="I584" s="14">
        <f>CHOOSE(CONTROL!$C$42, 33.0567, 33.0567)* CHOOSE(CONTROL!$C$21, $C$9, 100%, $E$9)</f>
        <v>33.056699999999999</v>
      </c>
      <c r="J584" s="14">
        <f>CHOOSE(CONTROL!$C$42, 32.9256, 32.9256)* CHOOSE(CONTROL!$C$21, $C$9, 100%, $E$9)</f>
        <v>32.925600000000003</v>
      </c>
      <c r="K584" s="53">
        <f>CHOOSE(CONTROL!$C$42, 33.0528, 33.0528) * CHOOSE(CONTROL!$C$21, $C$9, 100%, $E$9)</f>
        <v>33.052799999999998</v>
      </c>
      <c r="L584" s="14">
        <f>CHOOSE(CONTROL!$C$42, 33.7655, 33.7655) * CHOOSE(CONTROL!$C$21, $C$9, 100%, $E$9)</f>
        <v>33.765500000000003</v>
      </c>
      <c r="M584" s="14">
        <f>CHOOSE(CONTROL!$C$42, 32.2587, 32.2587) * CHOOSE(CONTROL!$C$21, $C$9, 100%, $E$9)</f>
        <v>32.258699999999997</v>
      </c>
      <c r="N584" s="14">
        <f>CHOOSE(CONTROL!$C$42, 32.275, 32.275) * CHOOSE(CONTROL!$C$21, $C$9, 100%, $E$9)</f>
        <v>32.274999999999999</v>
      </c>
      <c r="O584" s="14">
        <f>CHOOSE(CONTROL!$C$42, 32.5064, 32.5064) * CHOOSE(CONTROL!$C$21, $C$9, 100%, $E$9)</f>
        <v>32.506399999999999</v>
      </c>
      <c r="P584" s="14">
        <f>CHOOSE(CONTROL!$C$42, 32.385, 32.385) * CHOOSE(CONTROL!$C$21, $C$9, 100%, $E$9)</f>
        <v>32.384999999999998</v>
      </c>
      <c r="Q584" s="14">
        <f>CHOOSE(CONTROL!$C$42, 33.1011, 33.1011) * CHOOSE(CONTROL!$C$21, $C$9, 100%, $E$9)</f>
        <v>33.101100000000002</v>
      </c>
      <c r="R584" s="14">
        <f>CHOOSE(CONTROL!$C$42, 33.7709, 33.7709) * CHOOSE(CONTROL!$C$21, $C$9, 100%, $E$9)</f>
        <v>33.770899999999997</v>
      </c>
      <c r="S584" s="14">
        <f>CHOOSE(CONTROL!$C$42, 31.6466, 31.6466) * CHOOSE(CONTROL!$C$21, $C$9, 100%, $E$9)</f>
        <v>31.646599999999999</v>
      </c>
      <c r="T5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7">
        <f>(1000*CHOOSE(CONTROL!$C$42, 695, 695)*CHOOSE(CONTROL!$C$42, 0.5599, 0.5599)*CHOOSE(CONTROL!$C$42, 31, 31))/1000000</f>
        <v>12.063045499999998</v>
      </c>
      <c r="V584" s="57">
        <f>(1000*CHOOSE(CONTROL!$C$42, 500, 500)*CHOOSE(CONTROL!$C$42, 0.275, 0.275)*CHOOSE(CONTROL!$C$42, 31, 31))/1000000</f>
        <v>4.2625000000000002</v>
      </c>
      <c r="W584" s="57">
        <f>(1000*CHOOSE(CONTROL!$C$42, 0.1146, 0.1146)*CHOOSE(CONTROL!$C$42, 121.5, 121.5)*CHOOSE(CONTROL!$C$42, 31, 31))/1000000</f>
        <v>0.43164089999999994</v>
      </c>
      <c r="X584" s="57">
        <f>(31*0.1790888*245000/1000000)+(31*0.2374*100000/1000000)</f>
        <v>2.0961194359999999</v>
      </c>
      <c r="Y584" s="57"/>
      <c r="Z584" s="14"/>
      <c r="AA584" s="56"/>
      <c r="AB584" s="50">
        <f>(B584*194.205+C584*267.466+D584*133.845+E584*53.484+F584*40+G584*185+H584*0+I584*100+J584*300)/(194.205+267.466+133.845+53.484+0+40+185+100+300)</f>
        <v>32.983980688854004</v>
      </c>
      <c r="AC584" s="45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32.350123741007195</v>
      </c>
    </row>
    <row r="585" spans="1:29" ht="15.75" x14ac:dyDescent="0.25">
      <c r="A585" s="32">
        <v>58714</v>
      </c>
      <c r="B585" s="14">
        <f>CHOOSE(CONTROL!$C$42, 30.8542, 30.8542) * CHOOSE(CONTROL!$C$21, $C$9, 100%, $E$9)</f>
        <v>30.854199999999999</v>
      </c>
      <c r="C585" s="14">
        <f>CHOOSE(CONTROL!$C$42, 30.8622, 30.8622) * CHOOSE(CONTROL!$C$21, $C$9, 100%, $E$9)</f>
        <v>30.862200000000001</v>
      </c>
      <c r="D585" s="14">
        <f>CHOOSE(CONTROL!$C$42, 31.0672, 31.0672) * CHOOSE(CONTROL!$C$21, $C$9, 100%, $E$9)</f>
        <v>31.0672</v>
      </c>
      <c r="E585" s="14">
        <f>CHOOSE(CONTROL!$C$42, 31.0986, 31.0986) * CHOOSE(CONTROL!$C$21, $C$9, 100%, $E$9)</f>
        <v>31.098600000000001</v>
      </c>
      <c r="F585" s="14">
        <f>CHOOSE(CONTROL!$C$42, 30.8413, 30.8413)*CHOOSE(CONTROL!$C$21, $C$9, 100%, $E$9)</f>
        <v>30.8413</v>
      </c>
      <c r="G585" s="14">
        <f>CHOOSE(CONTROL!$C$42, 30.858, 30.858)*CHOOSE(CONTROL!$C$21, $C$9, 100%, $E$9)</f>
        <v>30.858000000000001</v>
      </c>
      <c r="H585" s="14">
        <f>CHOOSE(CONTROL!$C$42, 31.0873, 31.0873) * CHOOSE(CONTROL!$C$21, $C$9, 100%, $E$9)</f>
        <v>31.087299999999999</v>
      </c>
      <c r="I585" s="14">
        <f>CHOOSE(CONTROL!$C$42, 30.9589, 30.9589)* CHOOSE(CONTROL!$C$21, $C$9, 100%, $E$9)</f>
        <v>30.9589</v>
      </c>
      <c r="J585" s="14">
        <f>CHOOSE(CONTROL!$C$42, 30.8343, 30.8343)* CHOOSE(CONTROL!$C$21, $C$9, 100%, $E$9)</f>
        <v>30.834299999999999</v>
      </c>
      <c r="K585" s="53">
        <f>CHOOSE(CONTROL!$C$42, 30.955, 30.955) * CHOOSE(CONTROL!$C$21, $C$9, 100%, $E$9)</f>
        <v>30.954999999999998</v>
      </c>
      <c r="L585" s="14">
        <f>CHOOSE(CONTROL!$C$42, 31.6743, 31.6743) * CHOOSE(CONTROL!$C$21, $C$9, 100%, $E$9)</f>
        <v>31.674299999999999</v>
      </c>
      <c r="M585" s="14">
        <f>CHOOSE(CONTROL!$C$42, 30.2103, 30.2103) * CHOOSE(CONTROL!$C$21, $C$9, 100%, $E$9)</f>
        <v>30.2103</v>
      </c>
      <c r="N585" s="14">
        <f>CHOOSE(CONTROL!$C$42, 30.2266, 30.2266) * CHOOSE(CONTROL!$C$21, $C$9, 100%, $E$9)</f>
        <v>30.226600000000001</v>
      </c>
      <c r="O585" s="14">
        <f>CHOOSE(CONTROL!$C$42, 30.458, 30.458) * CHOOSE(CONTROL!$C$21, $C$9, 100%, $E$9)</f>
        <v>30.457999999999998</v>
      </c>
      <c r="P585" s="14">
        <f>CHOOSE(CONTROL!$C$42, 30.3304, 30.3304) * CHOOSE(CONTROL!$C$21, $C$9, 100%, $E$9)</f>
        <v>30.330400000000001</v>
      </c>
      <c r="Q585" s="14">
        <f>CHOOSE(CONTROL!$C$42, 31.0527, 31.0527) * CHOOSE(CONTROL!$C$21, $C$9, 100%, $E$9)</f>
        <v>31.052700000000002</v>
      </c>
      <c r="R585" s="14">
        <f>CHOOSE(CONTROL!$C$42, 31.7173, 31.7173) * CHOOSE(CONTROL!$C$21, $C$9, 100%, $E$9)</f>
        <v>31.717300000000002</v>
      </c>
      <c r="S585" s="14">
        <f>CHOOSE(CONTROL!$C$42, 29.6371, 29.6371) * CHOOSE(CONTROL!$C$21, $C$9, 100%, $E$9)</f>
        <v>29.6371</v>
      </c>
      <c r="T5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7">
        <f>(1000*CHOOSE(CONTROL!$C$42, 695, 695)*CHOOSE(CONTROL!$C$42, 0.5599, 0.5599)*CHOOSE(CONTROL!$C$42, 30, 30))/1000000</f>
        <v>11.673914999999997</v>
      </c>
      <c r="V585" s="57">
        <f>(1000*CHOOSE(CONTROL!$C$42, 500, 500)*CHOOSE(CONTROL!$C$42, 0.275, 0.275)*CHOOSE(CONTROL!$C$42, 30, 30))/1000000</f>
        <v>4.125</v>
      </c>
      <c r="W585" s="57">
        <f>(1000*CHOOSE(CONTROL!$C$42, 0.1146, 0.1146)*CHOOSE(CONTROL!$C$42, 121.5, 121.5)*CHOOSE(CONTROL!$C$42, 30, 30))/1000000</f>
        <v>0.417717</v>
      </c>
      <c r="X585" s="57">
        <f>(30*0.1790888*245000/1000000)+(30*0.2374*100000/1000000)</f>
        <v>2.0285026799999999</v>
      </c>
      <c r="Y585" s="57"/>
      <c r="Z585" s="14"/>
      <c r="AA585" s="56"/>
      <c r="AB585" s="50">
        <f>(B585*194.205+C585*267.466+D585*133.845+E585*53.484+F585*40+G585*185+H585*0+I585*100+J585*300)/(194.205+267.466+133.845+53.484+0+40+185+100+300)</f>
        <v>30.892196234379902</v>
      </c>
      <c r="AC585" s="45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30.300831654676262</v>
      </c>
    </row>
    <row r="586" spans="1:29" ht="15.75" x14ac:dyDescent="0.25">
      <c r="A586" s="32">
        <v>58745</v>
      </c>
      <c r="B586" s="14">
        <f>CHOOSE(CONTROL!$C$42, 30.2262, 30.2262) * CHOOSE(CONTROL!$C$21, $C$9, 100%, $E$9)</f>
        <v>30.226199999999999</v>
      </c>
      <c r="C586" s="14">
        <f>CHOOSE(CONTROL!$C$42, 30.2315, 30.2315) * CHOOSE(CONTROL!$C$21, $C$9, 100%, $E$9)</f>
        <v>30.2315</v>
      </c>
      <c r="D586" s="14">
        <f>CHOOSE(CONTROL!$C$42, 30.4415, 30.4415) * CHOOSE(CONTROL!$C$21, $C$9, 100%, $E$9)</f>
        <v>30.441500000000001</v>
      </c>
      <c r="E586" s="14">
        <f>CHOOSE(CONTROL!$C$42, 30.4706, 30.4706) * CHOOSE(CONTROL!$C$21, $C$9, 100%, $E$9)</f>
        <v>30.470600000000001</v>
      </c>
      <c r="F586" s="14">
        <f>CHOOSE(CONTROL!$C$42, 30.2154, 30.2154)*CHOOSE(CONTROL!$C$21, $C$9, 100%, $E$9)</f>
        <v>30.215399999999999</v>
      </c>
      <c r="G586" s="14">
        <f>CHOOSE(CONTROL!$C$42, 30.2318, 30.2318)*CHOOSE(CONTROL!$C$21, $C$9, 100%, $E$9)</f>
        <v>30.2318</v>
      </c>
      <c r="H586" s="14">
        <f>CHOOSE(CONTROL!$C$42, 30.461, 30.461) * CHOOSE(CONTROL!$C$21, $C$9, 100%, $E$9)</f>
        <v>30.460999999999999</v>
      </c>
      <c r="I586" s="14">
        <f>CHOOSE(CONTROL!$C$42, 30.3307, 30.3307)* CHOOSE(CONTROL!$C$21, $C$9, 100%, $E$9)</f>
        <v>30.3307</v>
      </c>
      <c r="J586" s="14">
        <f>CHOOSE(CONTROL!$C$42, 30.2084, 30.2084)* CHOOSE(CONTROL!$C$21, $C$9, 100%, $E$9)</f>
        <v>30.208400000000001</v>
      </c>
      <c r="K586" s="53">
        <f>CHOOSE(CONTROL!$C$42, 30.3268, 30.3268) * CHOOSE(CONTROL!$C$21, $C$9, 100%, $E$9)</f>
        <v>30.326799999999999</v>
      </c>
      <c r="L586" s="14">
        <f>CHOOSE(CONTROL!$C$42, 31.048, 31.048) * CHOOSE(CONTROL!$C$21, $C$9, 100%, $E$9)</f>
        <v>31.047999999999998</v>
      </c>
      <c r="M586" s="14">
        <f>CHOOSE(CONTROL!$C$42, 29.5971, 29.5971) * CHOOSE(CONTROL!$C$21, $C$9, 100%, $E$9)</f>
        <v>29.597100000000001</v>
      </c>
      <c r="N586" s="14">
        <f>CHOOSE(CONTROL!$C$42, 29.6132, 29.6132) * CHOOSE(CONTROL!$C$21, $C$9, 100%, $E$9)</f>
        <v>29.613199999999999</v>
      </c>
      <c r="O586" s="14">
        <f>CHOOSE(CONTROL!$C$42, 29.8446, 29.8446) * CHOOSE(CONTROL!$C$21, $C$9, 100%, $E$9)</f>
        <v>29.8446</v>
      </c>
      <c r="P586" s="14">
        <f>CHOOSE(CONTROL!$C$42, 29.7151, 29.7151) * CHOOSE(CONTROL!$C$21, $C$9, 100%, $E$9)</f>
        <v>29.7151</v>
      </c>
      <c r="Q586" s="14">
        <f>CHOOSE(CONTROL!$C$42, 30.4393, 30.4393) * CHOOSE(CONTROL!$C$21, $C$9, 100%, $E$9)</f>
        <v>30.439299999999999</v>
      </c>
      <c r="R586" s="14">
        <f>CHOOSE(CONTROL!$C$42, 31.1024, 31.1024) * CHOOSE(CONTROL!$C$21, $C$9, 100%, $E$9)</f>
        <v>31.102399999999999</v>
      </c>
      <c r="S586" s="14">
        <f>CHOOSE(CONTROL!$C$42, 29.0354, 29.0354) * CHOOSE(CONTROL!$C$21, $C$9, 100%, $E$9)</f>
        <v>29.035399999999999</v>
      </c>
      <c r="T5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7">
        <f>(1000*CHOOSE(CONTROL!$C$42, 695, 695)*CHOOSE(CONTROL!$C$42, 0.5599, 0.5599)*CHOOSE(CONTROL!$C$42, 31, 31))/1000000</f>
        <v>12.063045499999998</v>
      </c>
      <c r="V586" s="57">
        <f>(1000*CHOOSE(CONTROL!$C$42, 500, 500)*CHOOSE(CONTROL!$C$42, 0.275, 0.275)*CHOOSE(CONTROL!$C$42, 31, 31))/1000000</f>
        <v>4.2625000000000002</v>
      </c>
      <c r="W586" s="57">
        <f>(1000*CHOOSE(CONTROL!$C$42, 0.1146, 0.1146)*CHOOSE(CONTROL!$C$42, 121.5, 121.5)*CHOOSE(CONTROL!$C$42, 31, 31))/1000000</f>
        <v>0.43164089999999994</v>
      </c>
      <c r="X586" s="57">
        <f>(31*0.1790888*245000/1000000)+(31*0.2374*100000/1000000)</f>
        <v>2.0961194359999999</v>
      </c>
      <c r="Y586" s="57"/>
      <c r="Z586" s="14"/>
      <c r="AA586" s="56"/>
      <c r="AB586" s="50">
        <f>(B586*131.881+C586*277.167+D586*79.08+E586*125.872+F586*40+G586*185+H586*0+I586*100+J586*300)/(131.881+277.167+79.08+125.872+0+40+185+100+300)</f>
        <v>30.270568059644869</v>
      </c>
      <c r="AC586" s="45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29.687227338129496</v>
      </c>
    </row>
    <row r="587" spans="1:29" ht="15.75" x14ac:dyDescent="0.25">
      <c r="A587" s="32">
        <v>58775</v>
      </c>
      <c r="B587" s="14">
        <f>CHOOSE(CONTROL!$C$42, 31.0218, 31.0218) * CHOOSE(CONTROL!$C$21, $C$9, 100%, $E$9)</f>
        <v>31.021799999999999</v>
      </c>
      <c r="C587" s="14">
        <f>CHOOSE(CONTROL!$C$42, 31.0269, 31.0269) * CHOOSE(CONTROL!$C$21, $C$9, 100%, $E$9)</f>
        <v>31.026900000000001</v>
      </c>
      <c r="D587" s="14">
        <f>CHOOSE(CONTROL!$C$42, 31.0907, 31.0907) * CHOOSE(CONTROL!$C$21, $C$9, 100%, $E$9)</f>
        <v>31.090699999999998</v>
      </c>
      <c r="E587" s="14">
        <f>CHOOSE(CONTROL!$C$42, 31.1248, 31.1248) * CHOOSE(CONTROL!$C$21, $C$9, 100%, $E$9)</f>
        <v>31.1248</v>
      </c>
      <c r="F587" s="14">
        <f>CHOOSE(CONTROL!$C$42, 31.0241, 31.0241)*CHOOSE(CONTROL!$C$21, $C$9, 100%, $E$9)</f>
        <v>31.024100000000001</v>
      </c>
      <c r="G587" s="14">
        <f>CHOOSE(CONTROL!$C$42, 31.0407, 31.0407)*CHOOSE(CONTROL!$C$21, $C$9, 100%, $E$9)</f>
        <v>31.040700000000001</v>
      </c>
      <c r="H587" s="14">
        <f>CHOOSE(CONTROL!$C$42, 31.114, 31.114) * CHOOSE(CONTROL!$C$21, $C$9, 100%, $E$9)</f>
        <v>31.114000000000001</v>
      </c>
      <c r="I587" s="14">
        <f>CHOOSE(CONTROL!$C$42, 31.1329, 31.1329)* CHOOSE(CONTROL!$C$21, $C$9, 100%, $E$9)</f>
        <v>31.132899999999999</v>
      </c>
      <c r="J587" s="14">
        <f>CHOOSE(CONTROL!$C$42, 31.0171, 31.0171)* CHOOSE(CONTROL!$C$21, $C$9, 100%, $E$9)</f>
        <v>31.017099999999999</v>
      </c>
      <c r="K587" s="53">
        <f>CHOOSE(CONTROL!$C$42, 31.129, 31.129) * CHOOSE(CONTROL!$C$21, $C$9, 100%, $E$9)</f>
        <v>31.129000000000001</v>
      </c>
      <c r="L587" s="14">
        <f>CHOOSE(CONTROL!$C$42, 31.701, 31.701) * CHOOSE(CONTROL!$C$21, $C$9, 100%, $E$9)</f>
        <v>31.701000000000001</v>
      </c>
      <c r="M587" s="14">
        <f>CHOOSE(CONTROL!$C$42, 30.3892, 30.3892) * CHOOSE(CONTROL!$C$21, $C$9, 100%, $E$9)</f>
        <v>30.389199999999999</v>
      </c>
      <c r="N587" s="14">
        <f>CHOOSE(CONTROL!$C$42, 30.4055, 30.4055) * CHOOSE(CONTROL!$C$21, $C$9, 100%, $E$9)</f>
        <v>30.4055</v>
      </c>
      <c r="O587" s="14">
        <f>CHOOSE(CONTROL!$C$42, 30.4842, 30.4842) * CHOOSE(CONTROL!$C$21, $C$9, 100%, $E$9)</f>
        <v>30.484200000000001</v>
      </c>
      <c r="P587" s="14">
        <f>CHOOSE(CONTROL!$C$42, 30.5008, 30.5008) * CHOOSE(CONTROL!$C$21, $C$9, 100%, $E$9)</f>
        <v>30.500800000000002</v>
      </c>
      <c r="Q587" s="14">
        <f>CHOOSE(CONTROL!$C$42, 31.0789, 31.0789) * CHOOSE(CONTROL!$C$21, $C$9, 100%, $E$9)</f>
        <v>31.078900000000001</v>
      </c>
      <c r="R587" s="14">
        <f>CHOOSE(CONTROL!$C$42, 31.7436, 31.7436) * CHOOSE(CONTROL!$C$21, $C$9, 100%, $E$9)</f>
        <v>31.743600000000001</v>
      </c>
      <c r="S587" s="14">
        <f>CHOOSE(CONTROL!$C$42, 29.8003, 29.8003) * CHOOSE(CONTROL!$C$21, $C$9, 100%, $E$9)</f>
        <v>29.8003</v>
      </c>
      <c r="T5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7">
        <f>(1000*CHOOSE(CONTROL!$C$42, 695, 695)*CHOOSE(CONTROL!$C$42, 0.5599, 0.5599)*CHOOSE(CONTROL!$C$42, 30, 30))/1000000</f>
        <v>11.673914999999997</v>
      </c>
      <c r="V587" s="57">
        <f>(1000*CHOOSE(CONTROL!$C$42, 500, 500)*CHOOSE(CONTROL!$C$42, 0.275, 0.275)*CHOOSE(CONTROL!$C$42, 30, 30))/1000000</f>
        <v>4.125</v>
      </c>
      <c r="W587" s="57">
        <f>(1000*CHOOSE(CONTROL!$C$42, 0.1146, 0.1146)*CHOOSE(CONTROL!$C$42, 121.5, 121.5)*CHOOSE(CONTROL!$C$42, 30, 30))/1000000</f>
        <v>0.417717</v>
      </c>
      <c r="X587" s="57">
        <f>(30*0.1790888*100000/1000000)+(30*0.2374*100000/1000000)</f>
        <v>1.2494664</v>
      </c>
      <c r="Y587" s="57"/>
      <c r="Z587" s="14"/>
      <c r="AA587" s="56"/>
      <c r="AB587" s="50">
        <f>(B587*122.58+C587*297.941+D587*89.177+E587*40.302+F587*40+G587*160+H587*0+I587*100+J587*300)/(122.58+297.941+89.177+40.302+0+40+160+100+300)</f>
        <v>31.043218174260868</v>
      </c>
      <c r="AC587" s="45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30.449253237410073</v>
      </c>
    </row>
    <row r="588" spans="1:29" ht="15.75" x14ac:dyDescent="0.25">
      <c r="A588" s="32">
        <v>58806</v>
      </c>
      <c r="B588" s="14">
        <f>CHOOSE(CONTROL!$C$42, 33.1362, 33.1362) * CHOOSE(CONTROL!$C$21, $C$9, 100%, $E$9)</f>
        <v>33.136200000000002</v>
      </c>
      <c r="C588" s="14">
        <f>CHOOSE(CONTROL!$C$42, 33.1413, 33.1413) * CHOOSE(CONTROL!$C$21, $C$9, 100%, $E$9)</f>
        <v>33.141300000000001</v>
      </c>
      <c r="D588" s="14">
        <f>CHOOSE(CONTROL!$C$42, 33.2051, 33.2051) * CHOOSE(CONTROL!$C$21, $C$9, 100%, $E$9)</f>
        <v>33.205100000000002</v>
      </c>
      <c r="E588" s="14">
        <f>CHOOSE(CONTROL!$C$42, 33.2392, 33.2392) * CHOOSE(CONTROL!$C$21, $C$9, 100%, $E$9)</f>
        <v>33.239199999999997</v>
      </c>
      <c r="F588" s="14">
        <f>CHOOSE(CONTROL!$C$42, 33.1405, 33.1405)*CHOOSE(CONTROL!$C$21, $C$9, 100%, $E$9)</f>
        <v>33.140500000000003</v>
      </c>
      <c r="G588" s="14">
        <f>CHOOSE(CONTROL!$C$42, 33.1577, 33.1577)*CHOOSE(CONTROL!$C$21, $C$9, 100%, $E$9)</f>
        <v>33.157699999999998</v>
      </c>
      <c r="H588" s="14">
        <f>CHOOSE(CONTROL!$C$42, 33.2284, 33.2284) * CHOOSE(CONTROL!$C$21, $C$9, 100%, $E$9)</f>
        <v>33.228400000000001</v>
      </c>
      <c r="I588" s="14">
        <f>CHOOSE(CONTROL!$C$42, 33.2539, 33.2539)* CHOOSE(CONTROL!$C$21, $C$9, 100%, $E$9)</f>
        <v>33.253900000000002</v>
      </c>
      <c r="J588" s="14">
        <f>CHOOSE(CONTROL!$C$42, 33.1335, 33.1335)* CHOOSE(CONTROL!$C$21, $C$9, 100%, $E$9)</f>
        <v>33.133499999999998</v>
      </c>
      <c r="K588" s="53">
        <f>CHOOSE(CONTROL!$C$42, 33.25, 33.25) * CHOOSE(CONTROL!$C$21, $C$9, 100%, $E$9)</f>
        <v>33.25</v>
      </c>
      <c r="L588" s="14">
        <f>CHOOSE(CONTROL!$C$42, 33.8154, 33.8154) * CHOOSE(CONTROL!$C$21, $C$9, 100%, $E$9)</f>
        <v>33.815399999999997</v>
      </c>
      <c r="M588" s="14">
        <f>CHOOSE(CONTROL!$C$42, 32.4623, 32.4623) * CHOOSE(CONTROL!$C$21, $C$9, 100%, $E$9)</f>
        <v>32.462299999999999</v>
      </c>
      <c r="N588" s="14">
        <f>CHOOSE(CONTROL!$C$42, 32.4792, 32.4792) * CHOOSE(CONTROL!$C$21, $C$9, 100%, $E$9)</f>
        <v>32.479199999999999</v>
      </c>
      <c r="O588" s="14">
        <f>CHOOSE(CONTROL!$C$42, 32.5552, 32.5552) * CHOOSE(CONTROL!$C$21, $C$9, 100%, $E$9)</f>
        <v>32.555199999999999</v>
      </c>
      <c r="P588" s="14">
        <f>CHOOSE(CONTROL!$C$42, 32.5782, 32.5782) * CHOOSE(CONTROL!$C$21, $C$9, 100%, $E$9)</f>
        <v>32.578200000000002</v>
      </c>
      <c r="Q588" s="14">
        <f>CHOOSE(CONTROL!$C$42, 33.1499, 33.1499) * CHOOSE(CONTROL!$C$21, $C$9, 100%, $E$9)</f>
        <v>33.149900000000002</v>
      </c>
      <c r="R588" s="14">
        <f>CHOOSE(CONTROL!$C$42, 33.8198, 33.8198) * CHOOSE(CONTROL!$C$21, $C$9, 100%, $E$9)</f>
        <v>33.819800000000001</v>
      </c>
      <c r="S588" s="14">
        <f>CHOOSE(CONTROL!$C$42, 31.832, 31.832) * CHOOSE(CONTROL!$C$21, $C$9, 100%, $E$9)</f>
        <v>31.832000000000001</v>
      </c>
      <c r="T5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7">
        <f>(1000*CHOOSE(CONTROL!$C$42, 695, 695)*CHOOSE(CONTROL!$C$42, 0.5599, 0.5599)*CHOOSE(CONTROL!$C$42, 31, 31))/1000000</f>
        <v>12.063045499999998</v>
      </c>
      <c r="V588" s="57">
        <f>(1000*CHOOSE(CONTROL!$C$42, 500, 500)*CHOOSE(CONTROL!$C$42, 0.275, 0.275)*CHOOSE(CONTROL!$C$42, 31, 31))/1000000</f>
        <v>4.2625000000000002</v>
      </c>
      <c r="W588" s="57">
        <f>(1000*CHOOSE(CONTROL!$C$42, 0.1146, 0.1146)*CHOOSE(CONTROL!$C$42, 121.5, 121.5)*CHOOSE(CONTROL!$C$42, 31, 31))/1000000</f>
        <v>0.43164089999999994</v>
      </c>
      <c r="X588" s="57">
        <f>(31*0.1790888*100000/1000000)+(31*0.2374*100000/1000000)</f>
        <v>1.2911152800000001</v>
      </c>
      <c r="Y588" s="57"/>
      <c r="Z588" s="14"/>
      <c r="AA588" s="56"/>
      <c r="AB588" s="50">
        <f>(B588*122.58+C588*297.941+D588*89.177+E588*40.302+F588*40+G588*160+H588*0+I588*100+J588*300)/(122.58+297.941+89.177+40.302+0+40+160+100+300)</f>
        <v>33.159145130782605</v>
      </c>
      <c r="AC588" s="45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32.522054676258989</v>
      </c>
    </row>
    <row r="589" spans="1:29" ht="15.75" x14ac:dyDescent="0.25">
      <c r="A589" s="32">
        <v>58837</v>
      </c>
      <c r="B589" s="14">
        <f>CHOOSE(CONTROL!$C$42, 35.8497, 35.8497) * CHOOSE(CONTROL!$C$21, $C$9, 100%, $E$9)</f>
        <v>35.849699999999999</v>
      </c>
      <c r="C589" s="14">
        <f>CHOOSE(CONTROL!$C$42, 35.8548, 35.8548) * CHOOSE(CONTROL!$C$21, $C$9, 100%, $E$9)</f>
        <v>35.854799999999997</v>
      </c>
      <c r="D589" s="14">
        <f>CHOOSE(CONTROL!$C$42, 35.9134, 35.9134) * CHOOSE(CONTROL!$C$21, $C$9, 100%, $E$9)</f>
        <v>35.913400000000003</v>
      </c>
      <c r="E589" s="14">
        <f>CHOOSE(CONTROL!$C$42, 35.9475, 35.9475) * CHOOSE(CONTROL!$C$21, $C$9, 100%, $E$9)</f>
        <v>35.947499999999998</v>
      </c>
      <c r="F589" s="14">
        <f>CHOOSE(CONTROL!$C$42, 35.8488, 35.8488)*CHOOSE(CONTROL!$C$21, $C$9, 100%, $E$9)</f>
        <v>35.848799999999997</v>
      </c>
      <c r="G589" s="14">
        <f>CHOOSE(CONTROL!$C$42, 35.8652, 35.8652)*CHOOSE(CONTROL!$C$21, $C$9, 100%, $E$9)</f>
        <v>35.865200000000002</v>
      </c>
      <c r="H589" s="14">
        <f>CHOOSE(CONTROL!$C$42, 35.9367, 35.9367) * CHOOSE(CONTROL!$C$21, $C$9, 100%, $E$9)</f>
        <v>35.936700000000002</v>
      </c>
      <c r="I589" s="14">
        <f>CHOOSE(CONTROL!$C$42, 35.9722, 35.9722)* CHOOSE(CONTROL!$C$21, $C$9, 100%, $E$9)</f>
        <v>35.972200000000001</v>
      </c>
      <c r="J589" s="14">
        <f>CHOOSE(CONTROL!$C$42, 35.8418, 35.8418)* CHOOSE(CONTROL!$C$21, $C$9, 100%, $E$9)</f>
        <v>35.841799999999999</v>
      </c>
      <c r="K589" s="53">
        <f>CHOOSE(CONTROL!$C$42, 35.9684, 35.9684) * CHOOSE(CONTROL!$C$21, $C$9, 100%, $E$9)</f>
        <v>35.968400000000003</v>
      </c>
      <c r="L589" s="14">
        <f>CHOOSE(CONTROL!$C$42, 36.5237, 36.5237) * CHOOSE(CONTROL!$C$21, $C$9, 100%, $E$9)</f>
        <v>36.523699999999998</v>
      </c>
      <c r="M589" s="14">
        <f>CHOOSE(CONTROL!$C$42, 35.1152, 35.1152) * CHOOSE(CONTROL!$C$21, $C$9, 100%, $E$9)</f>
        <v>35.115200000000002</v>
      </c>
      <c r="N589" s="14">
        <f>CHOOSE(CONTROL!$C$42, 35.1312, 35.1312) * CHOOSE(CONTROL!$C$21, $C$9, 100%, $E$9)</f>
        <v>35.1312</v>
      </c>
      <c r="O589" s="14">
        <f>CHOOSE(CONTROL!$C$42, 35.2081, 35.2081) * CHOOSE(CONTROL!$C$21, $C$9, 100%, $E$9)</f>
        <v>35.208100000000002</v>
      </c>
      <c r="P589" s="14">
        <f>CHOOSE(CONTROL!$C$42, 35.2407, 35.2407) * CHOOSE(CONTROL!$C$21, $C$9, 100%, $E$9)</f>
        <v>35.240699999999997</v>
      </c>
      <c r="Q589" s="14">
        <f>CHOOSE(CONTROL!$C$42, 35.8028, 35.8028) * CHOOSE(CONTROL!$C$21, $C$9, 100%, $E$9)</f>
        <v>35.802799999999998</v>
      </c>
      <c r="R589" s="14">
        <f>CHOOSE(CONTROL!$C$42, 36.4793, 36.4793) * CHOOSE(CONTROL!$C$21, $C$9, 100%, $E$9)</f>
        <v>36.479300000000002</v>
      </c>
      <c r="S589" s="14">
        <f>CHOOSE(CONTROL!$C$42, 34.4395, 34.4395) * CHOOSE(CONTROL!$C$21, $C$9, 100%, $E$9)</f>
        <v>34.439500000000002</v>
      </c>
      <c r="T5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7">
        <f>(1000*CHOOSE(CONTROL!$C$42, 695, 695)*CHOOSE(CONTROL!$C$42, 0.5599, 0.5599)*CHOOSE(CONTROL!$C$42, 31, 31))/1000000</f>
        <v>12.063045499999998</v>
      </c>
      <c r="V589" s="57">
        <f>(1000*CHOOSE(CONTROL!$C$42, 500, 500)*CHOOSE(CONTROL!$C$42, 0.275, 0.275)*CHOOSE(CONTROL!$C$42, 31, 31))/1000000</f>
        <v>4.2625000000000002</v>
      </c>
      <c r="W589" s="57">
        <f>(1000*CHOOSE(CONTROL!$C$42, 0.1146, 0.1146)*CHOOSE(CONTROL!$C$42, 121.5, 121.5)*CHOOSE(CONTROL!$C$42, 31, 31))/1000000</f>
        <v>0.43164089999999994</v>
      </c>
      <c r="X589" s="57">
        <f>(31*0.1790888*100000/1000000)+(31*0.2374*100000/1000000)</f>
        <v>1.2911152800000001</v>
      </c>
      <c r="Y589" s="57"/>
      <c r="Z589" s="14"/>
      <c r="AA589" s="56"/>
      <c r="AB589" s="50">
        <f>(B589*122.58+C589*297.941+D589*89.177+E589*40.302+F589*40+G589*160+H589*0+I589*100+J589*300)/(122.58+297.941+89.177+40.302+0+40+160+100+300)</f>
        <v>35.870104877913043</v>
      </c>
      <c r="AC589" s="45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35.176284172661873</v>
      </c>
    </row>
    <row r="590" spans="1:29" ht="15.75" x14ac:dyDescent="0.25">
      <c r="A590" s="32">
        <v>58865</v>
      </c>
      <c r="B590" s="14">
        <f>CHOOSE(CONTROL!$C$42, 36.4877, 36.4877) * CHOOSE(CONTROL!$C$21, $C$9, 100%, $E$9)</f>
        <v>36.487699999999997</v>
      </c>
      <c r="C590" s="14">
        <f>CHOOSE(CONTROL!$C$42, 36.4928, 36.4928) * CHOOSE(CONTROL!$C$21, $C$9, 100%, $E$9)</f>
        <v>36.492800000000003</v>
      </c>
      <c r="D590" s="14">
        <f>CHOOSE(CONTROL!$C$42, 36.5514, 36.5514) * CHOOSE(CONTROL!$C$21, $C$9, 100%, $E$9)</f>
        <v>36.551400000000001</v>
      </c>
      <c r="E590" s="14">
        <f>CHOOSE(CONTROL!$C$42, 36.5855, 36.5855) * CHOOSE(CONTROL!$C$21, $C$9, 100%, $E$9)</f>
        <v>36.585500000000003</v>
      </c>
      <c r="F590" s="14">
        <f>CHOOSE(CONTROL!$C$42, 36.4868, 36.4868)*CHOOSE(CONTROL!$C$21, $C$9, 100%, $E$9)</f>
        <v>36.486800000000002</v>
      </c>
      <c r="G590" s="14">
        <f>CHOOSE(CONTROL!$C$42, 36.5032, 36.5032)*CHOOSE(CONTROL!$C$21, $C$9, 100%, $E$9)</f>
        <v>36.5032</v>
      </c>
      <c r="H590" s="14">
        <f>CHOOSE(CONTROL!$C$42, 36.5747, 36.5747) * CHOOSE(CONTROL!$C$21, $C$9, 100%, $E$9)</f>
        <v>36.5747</v>
      </c>
      <c r="I590" s="14">
        <f>CHOOSE(CONTROL!$C$42, 36.6122, 36.6122)* CHOOSE(CONTROL!$C$21, $C$9, 100%, $E$9)</f>
        <v>36.612200000000001</v>
      </c>
      <c r="J590" s="14">
        <f>CHOOSE(CONTROL!$C$42, 36.4798, 36.4798)* CHOOSE(CONTROL!$C$21, $C$9, 100%, $E$9)</f>
        <v>36.479799999999997</v>
      </c>
      <c r="K590" s="53">
        <f>CHOOSE(CONTROL!$C$42, 36.6084, 36.6084) * CHOOSE(CONTROL!$C$21, $C$9, 100%, $E$9)</f>
        <v>36.608400000000003</v>
      </c>
      <c r="L590" s="14">
        <f>CHOOSE(CONTROL!$C$42, 37.1617, 37.1617) * CHOOSE(CONTROL!$C$21, $C$9, 100%, $E$9)</f>
        <v>37.161700000000003</v>
      </c>
      <c r="M590" s="14">
        <f>CHOOSE(CONTROL!$C$42, 35.7401, 35.7401) * CHOOSE(CONTROL!$C$21, $C$9, 100%, $E$9)</f>
        <v>35.740099999999998</v>
      </c>
      <c r="N590" s="14">
        <f>CHOOSE(CONTROL!$C$42, 35.7561, 35.7561) * CHOOSE(CONTROL!$C$21, $C$9, 100%, $E$9)</f>
        <v>35.756100000000004</v>
      </c>
      <c r="O590" s="14">
        <f>CHOOSE(CONTROL!$C$42, 35.833, 35.833) * CHOOSE(CONTROL!$C$21, $C$9, 100%, $E$9)</f>
        <v>35.832999999999998</v>
      </c>
      <c r="P590" s="14">
        <f>CHOOSE(CONTROL!$C$42, 35.8676, 35.8676) * CHOOSE(CONTROL!$C$21, $C$9, 100%, $E$9)</f>
        <v>35.867600000000003</v>
      </c>
      <c r="Q590" s="14">
        <f>CHOOSE(CONTROL!$C$42, 36.4277, 36.4277) * CHOOSE(CONTROL!$C$21, $C$9, 100%, $E$9)</f>
        <v>36.427700000000002</v>
      </c>
      <c r="R590" s="14">
        <f>CHOOSE(CONTROL!$C$42, 37.1058, 37.1058) * CHOOSE(CONTROL!$C$21, $C$9, 100%, $E$9)</f>
        <v>37.105800000000002</v>
      </c>
      <c r="S590" s="14">
        <f>CHOOSE(CONTROL!$C$42, 35.0525, 35.0525) * CHOOSE(CONTROL!$C$21, $C$9, 100%, $E$9)</f>
        <v>35.052500000000002</v>
      </c>
      <c r="T5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7">
        <f>(1000*CHOOSE(CONTROL!$C$42, 695, 695)*CHOOSE(CONTROL!$C$42, 0.5599, 0.5599)*CHOOSE(CONTROL!$C$42, 28, 28))/1000000</f>
        <v>10.895653999999999</v>
      </c>
      <c r="V590" s="57">
        <f>(1000*CHOOSE(CONTROL!$C$42, 500, 500)*CHOOSE(CONTROL!$C$42, 0.275, 0.275)*CHOOSE(CONTROL!$C$42, 28, 28))/1000000</f>
        <v>3.85</v>
      </c>
      <c r="W590" s="57">
        <f>(1000*CHOOSE(CONTROL!$C$42, 0.1146, 0.1146)*CHOOSE(CONTROL!$C$42, 121.5, 121.5)*CHOOSE(CONTROL!$C$42, 28, 28))/1000000</f>
        <v>0.38986920000000003</v>
      </c>
      <c r="X590" s="57">
        <f>(28*0.1790888*100000/1000000)+(28*0.2374*100000/1000000)</f>
        <v>1.16616864</v>
      </c>
      <c r="Y590" s="57"/>
      <c r="Z590" s="14"/>
      <c r="AA590" s="56"/>
      <c r="AB590" s="50">
        <f>(B590*122.58+C590*297.941+D590*89.177+E590*40.302+F590*40+G590*160+H590*0+I590*100+J590*300)/(122.58+297.941+89.177+40.302+0+40+160+100+300)</f>
        <v>36.508278790956524</v>
      </c>
      <c r="AC590" s="45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35.801471942446042</v>
      </c>
    </row>
    <row r="591" spans="1:29" ht="15.75" x14ac:dyDescent="0.25">
      <c r="A591" s="32">
        <v>58893</v>
      </c>
      <c r="B591" s="14">
        <f>CHOOSE(CONTROL!$C$42, 35.4521, 35.4521) * CHOOSE(CONTROL!$C$21, $C$9, 100%, $E$9)</f>
        <v>35.452100000000002</v>
      </c>
      <c r="C591" s="14">
        <f>CHOOSE(CONTROL!$C$42, 35.4572, 35.4572) * CHOOSE(CONTROL!$C$21, $C$9, 100%, $E$9)</f>
        <v>35.4572</v>
      </c>
      <c r="D591" s="14">
        <f>CHOOSE(CONTROL!$C$42, 35.5158, 35.5158) * CHOOSE(CONTROL!$C$21, $C$9, 100%, $E$9)</f>
        <v>35.515799999999999</v>
      </c>
      <c r="E591" s="14">
        <f>CHOOSE(CONTROL!$C$42, 35.5499, 35.5499) * CHOOSE(CONTROL!$C$21, $C$9, 100%, $E$9)</f>
        <v>35.549900000000001</v>
      </c>
      <c r="F591" s="14">
        <f>CHOOSE(CONTROL!$C$42, 35.4507, 35.4507)*CHOOSE(CONTROL!$C$21, $C$9, 100%, $E$9)</f>
        <v>35.450699999999998</v>
      </c>
      <c r="G591" s="14">
        <f>CHOOSE(CONTROL!$C$42, 35.4669, 35.4669)*CHOOSE(CONTROL!$C$21, $C$9, 100%, $E$9)</f>
        <v>35.466900000000003</v>
      </c>
      <c r="H591" s="14">
        <f>CHOOSE(CONTROL!$C$42, 35.5391, 35.5391) * CHOOSE(CONTROL!$C$21, $C$9, 100%, $E$9)</f>
        <v>35.539099999999998</v>
      </c>
      <c r="I591" s="14">
        <f>CHOOSE(CONTROL!$C$42, 35.5734, 35.5734)* CHOOSE(CONTROL!$C$21, $C$9, 100%, $E$9)</f>
        <v>35.573399999999999</v>
      </c>
      <c r="J591" s="14">
        <f>CHOOSE(CONTROL!$C$42, 35.4437, 35.4437)* CHOOSE(CONTROL!$C$21, $C$9, 100%, $E$9)</f>
        <v>35.4437</v>
      </c>
      <c r="K591" s="53">
        <f>CHOOSE(CONTROL!$C$42, 35.5695, 35.5695) * CHOOSE(CONTROL!$C$21, $C$9, 100%, $E$9)</f>
        <v>35.569499999999998</v>
      </c>
      <c r="L591" s="14">
        <f>CHOOSE(CONTROL!$C$42, 36.1261, 36.1261) * CHOOSE(CONTROL!$C$21, $C$9, 100%, $E$9)</f>
        <v>36.126100000000001</v>
      </c>
      <c r="M591" s="14">
        <f>CHOOSE(CONTROL!$C$42, 34.7251, 34.7251) * CHOOSE(CONTROL!$C$21, $C$9, 100%, $E$9)</f>
        <v>34.725099999999998</v>
      </c>
      <c r="N591" s="14">
        <f>CHOOSE(CONTROL!$C$42, 34.7411, 34.7411) * CHOOSE(CONTROL!$C$21, $C$9, 100%, $E$9)</f>
        <v>34.741100000000003</v>
      </c>
      <c r="O591" s="14">
        <f>CHOOSE(CONTROL!$C$42, 34.8186, 34.8186) * CHOOSE(CONTROL!$C$21, $C$9, 100%, $E$9)</f>
        <v>34.818600000000004</v>
      </c>
      <c r="P591" s="14">
        <f>CHOOSE(CONTROL!$C$42, 34.85, 34.85) * CHOOSE(CONTROL!$C$21, $C$9, 100%, $E$9)</f>
        <v>34.85</v>
      </c>
      <c r="Q591" s="14">
        <f>CHOOSE(CONTROL!$C$42, 35.4133, 35.4133) * CHOOSE(CONTROL!$C$21, $C$9, 100%, $E$9)</f>
        <v>35.4133</v>
      </c>
      <c r="R591" s="14">
        <f>CHOOSE(CONTROL!$C$42, 36.0888, 36.0888) * CHOOSE(CONTROL!$C$21, $C$9, 100%, $E$9)</f>
        <v>36.088799999999999</v>
      </c>
      <c r="S591" s="14">
        <f>CHOOSE(CONTROL!$C$42, 34.0574, 34.0574) * CHOOSE(CONTROL!$C$21, $C$9, 100%, $E$9)</f>
        <v>34.057400000000001</v>
      </c>
      <c r="T5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7">
        <f>(1000*CHOOSE(CONTROL!$C$42, 695, 695)*CHOOSE(CONTROL!$C$42, 0.5599, 0.5599)*CHOOSE(CONTROL!$C$42, 31, 31))/1000000</f>
        <v>12.063045499999998</v>
      </c>
      <c r="V591" s="57">
        <f>(1000*CHOOSE(CONTROL!$C$42, 500, 500)*CHOOSE(CONTROL!$C$42, 0.275, 0.275)*CHOOSE(CONTROL!$C$42, 31, 31))/1000000</f>
        <v>4.2625000000000002</v>
      </c>
      <c r="W591" s="57">
        <f>(1000*CHOOSE(CONTROL!$C$42, 0.1146, 0.1146)*CHOOSE(CONTROL!$C$42, 121.5, 121.5)*CHOOSE(CONTROL!$C$42, 31, 31))/1000000</f>
        <v>0.43164089999999994</v>
      </c>
      <c r="X591" s="57">
        <f>(31*0.1790888*100000/1000000)+(31*0.2374*100000/1000000)</f>
        <v>1.2911152800000001</v>
      </c>
      <c r="Y591" s="57"/>
      <c r="Z591" s="14"/>
      <c r="AA591" s="56"/>
      <c r="AB591" s="50">
        <f>(B591*122.58+C591*297.941+D591*89.177+E591*40.302+F591*40+G591*160+H591*0+I591*100+J591*300)/(122.58+297.941+89.177+40.302+0+40+160+100+300)</f>
        <v>35.472155312695655</v>
      </c>
      <c r="AC591" s="45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34.786369784172663</v>
      </c>
    </row>
    <row r="592" spans="1:29" ht="15.75" x14ac:dyDescent="0.25">
      <c r="A592" s="32">
        <v>58926</v>
      </c>
      <c r="B592" s="14">
        <f>CHOOSE(CONTROL!$C$42, 35.3472, 35.3472) * CHOOSE(CONTROL!$C$21, $C$9, 100%, $E$9)</f>
        <v>35.347200000000001</v>
      </c>
      <c r="C592" s="14">
        <f>CHOOSE(CONTROL!$C$42, 35.3516, 35.3516) * CHOOSE(CONTROL!$C$21, $C$9, 100%, $E$9)</f>
        <v>35.351599999999998</v>
      </c>
      <c r="D592" s="14">
        <f>CHOOSE(CONTROL!$C$42, 35.5598, 35.5598) * CHOOSE(CONTROL!$C$21, $C$9, 100%, $E$9)</f>
        <v>35.559800000000003</v>
      </c>
      <c r="E592" s="14">
        <f>CHOOSE(CONTROL!$C$42, 35.5919, 35.5919) * CHOOSE(CONTROL!$C$21, $C$9, 100%, $E$9)</f>
        <v>35.591900000000003</v>
      </c>
      <c r="F592" s="14">
        <f>CHOOSE(CONTROL!$C$42, 35.3345, 35.3345)*CHOOSE(CONTROL!$C$21, $C$9, 100%, $E$9)</f>
        <v>35.334499999999998</v>
      </c>
      <c r="G592" s="14">
        <f>CHOOSE(CONTROL!$C$42, 35.3504, 35.3504)*CHOOSE(CONTROL!$C$21, $C$9, 100%, $E$9)</f>
        <v>35.3504</v>
      </c>
      <c r="H592" s="14">
        <f>CHOOSE(CONTROL!$C$42, 35.5816, 35.5816) * CHOOSE(CONTROL!$C$21, $C$9, 100%, $E$9)</f>
        <v>35.581600000000002</v>
      </c>
      <c r="I592" s="14">
        <f>CHOOSE(CONTROL!$C$42, 35.4673, 35.4673)* CHOOSE(CONTROL!$C$21, $C$9, 100%, $E$9)</f>
        <v>35.467300000000002</v>
      </c>
      <c r="J592" s="14">
        <f>CHOOSE(CONTROL!$C$42, 35.3275, 35.3275)* CHOOSE(CONTROL!$C$21, $C$9, 100%, $E$9)</f>
        <v>35.327500000000001</v>
      </c>
      <c r="K592" s="53">
        <f>CHOOSE(CONTROL!$C$42, 35.4634, 35.4634) * CHOOSE(CONTROL!$C$21, $C$9, 100%, $E$9)</f>
        <v>35.4634</v>
      </c>
      <c r="L592" s="14">
        <f>CHOOSE(CONTROL!$C$42, 36.1686, 36.1686) * CHOOSE(CONTROL!$C$21, $C$9, 100%, $E$9)</f>
        <v>36.168599999999998</v>
      </c>
      <c r="M592" s="14">
        <f>CHOOSE(CONTROL!$C$42, 34.6113, 34.6113) * CHOOSE(CONTROL!$C$21, $C$9, 100%, $E$9)</f>
        <v>34.6113</v>
      </c>
      <c r="N592" s="14">
        <f>CHOOSE(CONTROL!$C$42, 34.627, 34.627) * CHOOSE(CONTROL!$C$21, $C$9, 100%, $E$9)</f>
        <v>34.627000000000002</v>
      </c>
      <c r="O592" s="14">
        <f>CHOOSE(CONTROL!$C$42, 34.8603, 34.8603) * CHOOSE(CONTROL!$C$21, $C$9, 100%, $E$9)</f>
        <v>34.860300000000002</v>
      </c>
      <c r="P592" s="14">
        <f>CHOOSE(CONTROL!$C$42, 34.7461, 34.7461) * CHOOSE(CONTROL!$C$21, $C$9, 100%, $E$9)</f>
        <v>34.746099999999998</v>
      </c>
      <c r="Q592" s="14">
        <f>CHOOSE(CONTROL!$C$42, 35.455, 35.455) * CHOOSE(CONTROL!$C$21, $C$9, 100%, $E$9)</f>
        <v>35.454999999999998</v>
      </c>
      <c r="R592" s="14">
        <f>CHOOSE(CONTROL!$C$42, 36.1306, 36.1306) * CHOOSE(CONTROL!$C$21, $C$9, 100%, $E$9)</f>
        <v>36.130600000000001</v>
      </c>
      <c r="S592" s="14">
        <f>CHOOSE(CONTROL!$C$42, 33.9558, 33.9558) * CHOOSE(CONTROL!$C$21, $C$9, 100%, $E$9)</f>
        <v>33.955800000000004</v>
      </c>
      <c r="T5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7">
        <f>(1000*CHOOSE(CONTROL!$C$42, 695, 695)*CHOOSE(CONTROL!$C$42, 0.5599, 0.5599)*CHOOSE(CONTROL!$C$42, 30, 30))/1000000</f>
        <v>11.673914999999997</v>
      </c>
      <c r="V592" s="57">
        <f>(1000*CHOOSE(CONTROL!$C$42, 500, 500)*CHOOSE(CONTROL!$C$42, 0.275, 0.275)*CHOOSE(CONTROL!$C$42, 30, 30))/1000000</f>
        <v>4.125</v>
      </c>
      <c r="W592" s="57">
        <f>(1000*CHOOSE(CONTROL!$C$42, 0.1146, 0.1146)*CHOOSE(CONTROL!$C$42, 121.5, 121.5)*CHOOSE(CONTROL!$C$42, 30, 30))/1000000</f>
        <v>0.417717</v>
      </c>
      <c r="X592" s="57">
        <f>(30*0.1790888*245000/1000000)+(30*0.2374*100000/1000000)</f>
        <v>2.0285026799999999</v>
      </c>
      <c r="Y592" s="57"/>
      <c r="Z592" s="14"/>
      <c r="AA592" s="56"/>
      <c r="AB592" s="50">
        <f>(B592*141.293+C592*267.993+D592*115.016+E592*89.698+F592*40+G592*185+H592*0+I592*100+J592*300)/(141.293+267.993+115.016+89.698+0+40+185+100+300)</f>
        <v>35.390593600807101</v>
      </c>
      <c r="AC592" s="45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34.704173381294964</v>
      </c>
    </row>
    <row r="593" spans="1:29" ht="15.75" x14ac:dyDescent="0.25">
      <c r="A593" s="32">
        <v>58957</v>
      </c>
      <c r="B593" s="14">
        <f>CHOOSE(CONTROL!$C$42, 35.6604, 35.6604) * CHOOSE(CONTROL!$C$21, $C$9, 100%, $E$9)</f>
        <v>35.660400000000003</v>
      </c>
      <c r="C593" s="14">
        <f>CHOOSE(CONTROL!$C$42, 35.6685, 35.6685) * CHOOSE(CONTROL!$C$21, $C$9, 100%, $E$9)</f>
        <v>35.668500000000002</v>
      </c>
      <c r="D593" s="14">
        <f>CHOOSE(CONTROL!$C$42, 35.8734, 35.8734) * CHOOSE(CONTROL!$C$21, $C$9, 100%, $E$9)</f>
        <v>35.873399999999997</v>
      </c>
      <c r="E593" s="14">
        <f>CHOOSE(CONTROL!$C$42, 35.9049, 35.9049) * CHOOSE(CONTROL!$C$21, $C$9, 100%, $E$9)</f>
        <v>35.904899999999998</v>
      </c>
      <c r="F593" s="14">
        <f>CHOOSE(CONTROL!$C$42, 35.6466, 35.6466)*CHOOSE(CONTROL!$C$21, $C$9, 100%, $E$9)</f>
        <v>35.646599999999999</v>
      </c>
      <c r="G593" s="14">
        <f>CHOOSE(CONTROL!$C$42, 35.663, 35.663)*CHOOSE(CONTROL!$C$21, $C$9, 100%, $E$9)</f>
        <v>35.662999999999997</v>
      </c>
      <c r="H593" s="14">
        <f>CHOOSE(CONTROL!$C$42, 35.8935, 35.8935) * CHOOSE(CONTROL!$C$21, $C$9, 100%, $E$9)</f>
        <v>35.893500000000003</v>
      </c>
      <c r="I593" s="14">
        <f>CHOOSE(CONTROL!$C$42, 35.7802, 35.7802)* CHOOSE(CONTROL!$C$21, $C$9, 100%, $E$9)</f>
        <v>35.780200000000001</v>
      </c>
      <c r="J593" s="14">
        <f>CHOOSE(CONTROL!$C$42, 35.6396, 35.6396)* CHOOSE(CONTROL!$C$21, $C$9, 100%, $E$9)</f>
        <v>35.639600000000002</v>
      </c>
      <c r="K593" s="53">
        <f>CHOOSE(CONTROL!$C$42, 35.7763, 35.7763) * CHOOSE(CONTROL!$C$21, $C$9, 100%, $E$9)</f>
        <v>35.776299999999999</v>
      </c>
      <c r="L593" s="14">
        <f>CHOOSE(CONTROL!$C$42, 36.4805, 36.4805) * CHOOSE(CONTROL!$C$21, $C$9, 100%, $E$9)</f>
        <v>36.480499999999999</v>
      </c>
      <c r="M593" s="14">
        <f>CHOOSE(CONTROL!$C$42, 34.9171, 34.9171) * CHOOSE(CONTROL!$C$21, $C$9, 100%, $E$9)</f>
        <v>34.917099999999998</v>
      </c>
      <c r="N593" s="14">
        <f>CHOOSE(CONTROL!$C$42, 34.9332, 34.9332) * CHOOSE(CONTROL!$C$21, $C$9, 100%, $E$9)</f>
        <v>34.933199999999999</v>
      </c>
      <c r="O593" s="14">
        <f>CHOOSE(CONTROL!$C$42, 35.1658, 35.1658) * CHOOSE(CONTROL!$C$21, $C$9, 100%, $E$9)</f>
        <v>35.165799999999997</v>
      </c>
      <c r="P593" s="14">
        <f>CHOOSE(CONTROL!$C$42, 35.0526, 35.0526) * CHOOSE(CONTROL!$C$21, $C$9, 100%, $E$9)</f>
        <v>35.052599999999998</v>
      </c>
      <c r="Q593" s="14">
        <f>CHOOSE(CONTROL!$C$42, 35.7605, 35.7605) * CHOOSE(CONTROL!$C$21, $C$9, 100%, $E$9)</f>
        <v>35.7605</v>
      </c>
      <c r="R593" s="14">
        <f>CHOOSE(CONTROL!$C$42, 36.4369, 36.4369) * CHOOSE(CONTROL!$C$21, $C$9, 100%, $E$9)</f>
        <v>36.436900000000001</v>
      </c>
      <c r="S593" s="14">
        <f>CHOOSE(CONTROL!$C$42, 34.2555, 34.2555) * CHOOSE(CONTROL!$C$21, $C$9, 100%, $E$9)</f>
        <v>34.255499999999998</v>
      </c>
      <c r="T5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7">
        <f>(1000*CHOOSE(CONTROL!$C$42, 695, 695)*CHOOSE(CONTROL!$C$42, 0.5599, 0.5599)*CHOOSE(CONTROL!$C$42, 31, 31))/1000000</f>
        <v>12.063045499999998</v>
      </c>
      <c r="V593" s="57">
        <f>(1000*CHOOSE(CONTROL!$C$42, 500, 500)*CHOOSE(CONTROL!$C$42, 0.275, 0.275)*CHOOSE(CONTROL!$C$42, 31, 31))/1000000</f>
        <v>4.2625000000000002</v>
      </c>
      <c r="W593" s="57">
        <f>(1000*CHOOSE(CONTROL!$C$42, 0.1146, 0.1146)*CHOOSE(CONTROL!$C$42, 121.5, 121.5)*CHOOSE(CONTROL!$C$42, 31, 31))/1000000</f>
        <v>0.43164089999999994</v>
      </c>
      <c r="X593" s="57">
        <f>(31*0.1790888*245000/1000000)+(31*0.2374*100000/1000000)</f>
        <v>2.0961194359999999</v>
      </c>
      <c r="Y593" s="57"/>
      <c r="Z593" s="14"/>
      <c r="AA593" s="56"/>
      <c r="AB593" s="50">
        <f>(B593*194.205+C593*267.466+D593*133.845+E593*53.484+F593*40+G593*185+H593*0+I593*100+J593*300)/(194.205+267.466+133.845+53.484+0+40+185+100+300)</f>
        <v>35.699192227315542</v>
      </c>
      <c r="AC593" s="45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35.010082014388487</v>
      </c>
    </row>
    <row r="594" spans="1:29" ht="15.75" x14ac:dyDescent="0.25">
      <c r="A594" s="32">
        <v>58987</v>
      </c>
      <c r="B594" s="14">
        <f>CHOOSE(CONTROL!$C$42, 36.6716, 36.6716) * CHOOSE(CONTROL!$C$21, $C$9, 100%, $E$9)</f>
        <v>36.671599999999998</v>
      </c>
      <c r="C594" s="14">
        <f>CHOOSE(CONTROL!$C$42, 36.6797, 36.6797) * CHOOSE(CONTROL!$C$21, $C$9, 100%, $E$9)</f>
        <v>36.679699999999997</v>
      </c>
      <c r="D594" s="14">
        <f>CHOOSE(CONTROL!$C$42, 36.8846, 36.8846) * CHOOSE(CONTROL!$C$21, $C$9, 100%, $E$9)</f>
        <v>36.884599999999999</v>
      </c>
      <c r="E594" s="14">
        <f>CHOOSE(CONTROL!$C$42, 36.9161, 36.9161) * CHOOSE(CONTROL!$C$21, $C$9, 100%, $E$9)</f>
        <v>36.9161</v>
      </c>
      <c r="F594" s="14">
        <f>CHOOSE(CONTROL!$C$42, 36.6582, 36.6582)*CHOOSE(CONTROL!$C$21, $C$9, 100%, $E$9)</f>
        <v>36.658200000000001</v>
      </c>
      <c r="G594" s="14">
        <f>CHOOSE(CONTROL!$C$42, 36.6747, 36.6747)*CHOOSE(CONTROL!$C$21, $C$9, 100%, $E$9)</f>
        <v>36.674700000000001</v>
      </c>
      <c r="H594" s="14">
        <f>CHOOSE(CONTROL!$C$42, 36.9047, 36.9047) * CHOOSE(CONTROL!$C$21, $C$9, 100%, $E$9)</f>
        <v>36.904699999999998</v>
      </c>
      <c r="I594" s="14">
        <f>CHOOSE(CONTROL!$C$42, 36.7945, 36.7945)* CHOOSE(CONTROL!$C$21, $C$9, 100%, $E$9)</f>
        <v>36.794499999999999</v>
      </c>
      <c r="J594" s="14">
        <f>CHOOSE(CONTROL!$C$42, 36.6512, 36.6512)* CHOOSE(CONTROL!$C$21, $C$9, 100%, $E$9)</f>
        <v>36.651200000000003</v>
      </c>
      <c r="K594" s="53">
        <f>CHOOSE(CONTROL!$C$42, 36.7907, 36.7907) * CHOOSE(CONTROL!$C$21, $C$9, 100%, $E$9)</f>
        <v>36.790700000000001</v>
      </c>
      <c r="L594" s="14">
        <f>CHOOSE(CONTROL!$C$42, 37.4917, 37.4917) * CHOOSE(CONTROL!$C$21, $C$9, 100%, $E$9)</f>
        <v>37.491700000000002</v>
      </c>
      <c r="M594" s="14">
        <f>CHOOSE(CONTROL!$C$42, 35.9079, 35.9079) * CHOOSE(CONTROL!$C$21, $C$9, 100%, $E$9)</f>
        <v>35.907899999999998</v>
      </c>
      <c r="N594" s="14">
        <f>CHOOSE(CONTROL!$C$42, 35.9241, 35.9241) * CHOOSE(CONTROL!$C$21, $C$9, 100%, $E$9)</f>
        <v>35.924100000000003</v>
      </c>
      <c r="O594" s="14">
        <f>CHOOSE(CONTROL!$C$42, 36.1563, 36.1563) * CHOOSE(CONTROL!$C$21, $C$9, 100%, $E$9)</f>
        <v>36.156300000000002</v>
      </c>
      <c r="P594" s="14">
        <f>CHOOSE(CONTROL!$C$42, 36.0461, 36.0461) * CHOOSE(CONTROL!$C$21, $C$9, 100%, $E$9)</f>
        <v>36.046100000000003</v>
      </c>
      <c r="Q594" s="14">
        <f>CHOOSE(CONTROL!$C$42, 36.751, 36.751) * CHOOSE(CONTROL!$C$21, $C$9, 100%, $E$9)</f>
        <v>36.750999999999998</v>
      </c>
      <c r="R594" s="14">
        <f>CHOOSE(CONTROL!$C$42, 37.4299, 37.4299) * CHOOSE(CONTROL!$C$21, $C$9, 100%, $E$9)</f>
        <v>37.429900000000004</v>
      </c>
      <c r="S594" s="14">
        <f>CHOOSE(CONTROL!$C$42, 35.2272, 35.2272) * CHOOSE(CONTROL!$C$21, $C$9, 100%, $E$9)</f>
        <v>35.227200000000003</v>
      </c>
      <c r="T5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7">
        <f>(1000*CHOOSE(CONTROL!$C$42, 695, 695)*CHOOSE(CONTROL!$C$42, 0.5599, 0.5599)*CHOOSE(CONTROL!$C$42, 30, 30))/1000000</f>
        <v>11.673914999999997</v>
      </c>
      <c r="V594" s="57">
        <f>(1000*CHOOSE(CONTROL!$C$42, 500, 500)*CHOOSE(CONTROL!$C$42, 0.275, 0.275)*CHOOSE(CONTROL!$C$42, 30, 30))/1000000</f>
        <v>4.125</v>
      </c>
      <c r="W594" s="57">
        <f>(1000*CHOOSE(CONTROL!$C$42, 0.1146, 0.1146)*CHOOSE(CONTROL!$C$42, 121.5, 121.5)*CHOOSE(CONTROL!$C$42, 30, 30))/1000000</f>
        <v>0.417717</v>
      </c>
      <c r="X594" s="57">
        <f>(30*0.1790888*245000/1000000)+(30*0.2374*100000/1000000)</f>
        <v>2.0285026799999999</v>
      </c>
      <c r="Y594" s="57"/>
      <c r="Z594" s="14"/>
      <c r="AA594" s="56"/>
      <c r="AB594" s="50">
        <f>(B594*194.205+C594*267.466+D594*133.845+E594*53.484+F594*40+G594*185+H594*0+I594*100+J594*300)/(194.205+267.466+133.845+53.484+0+40+185+100+300)</f>
        <v>36.710814911773937</v>
      </c>
      <c r="AC594" s="45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36.001209352517989</v>
      </c>
    </row>
    <row r="595" spans="1:29" ht="15.75" x14ac:dyDescent="0.25">
      <c r="A595" s="32">
        <v>59018</v>
      </c>
      <c r="B595" s="14">
        <f>CHOOSE(CONTROL!$C$42, 35.9683, 35.9683) * CHOOSE(CONTROL!$C$21, $C$9, 100%, $E$9)</f>
        <v>35.968299999999999</v>
      </c>
      <c r="C595" s="14">
        <f>CHOOSE(CONTROL!$C$42, 35.9764, 35.9764) * CHOOSE(CONTROL!$C$21, $C$9, 100%, $E$9)</f>
        <v>35.976399999999998</v>
      </c>
      <c r="D595" s="14">
        <f>CHOOSE(CONTROL!$C$42, 36.1813, 36.1813) * CHOOSE(CONTROL!$C$21, $C$9, 100%, $E$9)</f>
        <v>36.1813</v>
      </c>
      <c r="E595" s="14">
        <f>CHOOSE(CONTROL!$C$42, 36.2128, 36.2128) * CHOOSE(CONTROL!$C$21, $C$9, 100%, $E$9)</f>
        <v>36.212800000000001</v>
      </c>
      <c r="F595" s="14">
        <f>CHOOSE(CONTROL!$C$42, 35.9553, 35.9553)*CHOOSE(CONTROL!$C$21, $C$9, 100%, $E$9)</f>
        <v>35.955300000000001</v>
      </c>
      <c r="G595" s="14">
        <f>CHOOSE(CONTROL!$C$42, 35.9719, 35.9719)*CHOOSE(CONTROL!$C$21, $C$9, 100%, $E$9)</f>
        <v>35.971899999999998</v>
      </c>
      <c r="H595" s="14">
        <f>CHOOSE(CONTROL!$C$42, 36.2014, 36.2014) * CHOOSE(CONTROL!$C$21, $C$9, 100%, $E$9)</f>
        <v>36.2014</v>
      </c>
      <c r="I595" s="14">
        <f>CHOOSE(CONTROL!$C$42, 36.089, 36.089)* CHOOSE(CONTROL!$C$21, $C$9, 100%, $E$9)</f>
        <v>36.088999999999999</v>
      </c>
      <c r="J595" s="14">
        <f>CHOOSE(CONTROL!$C$42, 35.9483, 35.9483)* CHOOSE(CONTROL!$C$21, $C$9, 100%, $E$9)</f>
        <v>35.948300000000003</v>
      </c>
      <c r="K595" s="53">
        <f>CHOOSE(CONTROL!$C$42, 36.0851, 36.0851) * CHOOSE(CONTROL!$C$21, $C$9, 100%, $E$9)</f>
        <v>36.085099999999997</v>
      </c>
      <c r="L595" s="14">
        <f>CHOOSE(CONTROL!$C$42, 36.7884, 36.7884) * CHOOSE(CONTROL!$C$21, $C$9, 100%, $E$9)</f>
        <v>36.788400000000003</v>
      </c>
      <c r="M595" s="14">
        <f>CHOOSE(CONTROL!$C$42, 35.2195, 35.2195) * CHOOSE(CONTROL!$C$21, $C$9, 100%, $E$9)</f>
        <v>35.219499999999996</v>
      </c>
      <c r="N595" s="14">
        <f>CHOOSE(CONTROL!$C$42, 35.2357, 35.2357) * CHOOSE(CONTROL!$C$21, $C$9, 100%, $E$9)</f>
        <v>35.235700000000001</v>
      </c>
      <c r="O595" s="14">
        <f>CHOOSE(CONTROL!$C$42, 35.4674, 35.4674) * CHOOSE(CONTROL!$C$21, $C$9, 100%, $E$9)</f>
        <v>35.467399999999998</v>
      </c>
      <c r="P595" s="14">
        <f>CHOOSE(CONTROL!$C$42, 35.3551, 35.3551) * CHOOSE(CONTROL!$C$21, $C$9, 100%, $E$9)</f>
        <v>35.3551</v>
      </c>
      <c r="Q595" s="14">
        <f>CHOOSE(CONTROL!$C$42, 36.0621, 36.0621) * CHOOSE(CONTROL!$C$21, $C$9, 100%, $E$9)</f>
        <v>36.062100000000001</v>
      </c>
      <c r="R595" s="14">
        <f>CHOOSE(CONTROL!$C$42, 36.7392, 36.7392) * CHOOSE(CONTROL!$C$21, $C$9, 100%, $E$9)</f>
        <v>36.739199999999997</v>
      </c>
      <c r="S595" s="14">
        <f>CHOOSE(CONTROL!$C$42, 34.5513, 34.5513) * CHOOSE(CONTROL!$C$21, $C$9, 100%, $E$9)</f>
        <v>34.551299999999998</v>
      </c>
      <c r="T5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7">
        <f>(1000*CHOOSE(CONTROL!$C$42, 695, 695)*CHOOSE(CONTROL!$C$42, 0.5599, 0.5599)*CHOOSE(CONTROL!$C$42, 31, 31))/1000000</f>
        <v>12.063045499999998</v>
      </c>
      <c r="V595" s="57">
        <f>(1000*CHOOSE(CONTROL!$C$42, 500, 500)*CHOOSE(CONTROL!$C$42, 0.275, 0.275)*CHOOSE(CONTROL!$C$42, 31, 31))/1000000</f>
        <v>4.2625000000000002</v>
      </c>
      <c r="W595" s="57">
        <f>(1000*CHOOSE(CONTROL!$C$42, 0.1146, 0.1146)*CHOOSE(CONTROL!$C$42, 121.5, 121.5)*CHOOSE(CONTROL!$C$42, 31, 31))/1000000</f>
        <v>0.43164089999999994</v>
      </c>
      <c r="X595" s="57">
        <f>(31*0.1790888*245000/1000000)+(31*0.2374*100000/1000000)</f>
        <v>2.0961194359999999</v>
      </c>
      <c r="Y595" s="57"/>
      <c r="Z595" s="14"/>
      <c r="AA595" s="56"/>
      <c r="AB595" s="50">
        <f>(B595*194.205+C595*267.466+D595*133.845+E595*53.484+F595*40+G595*185+H595*0+I595*100+J595*300)/(194.205+267.466+133.845+53.484+0+40+185+100+300)</f>
        <v>36.007521583673473</v>
      </c>
      <c r="AC595" s="45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35.312294964028773</v>
      </c>
    </row>
    <row r="596" spans="1:29" ht="15.75" x14ac:dyDescent="0.25">
      <c r="A596" s="32">
        <v>59049</v>
      </c>
      <c r="B596" s="14">
        <f>CHOOSE(CONTROL!$C$42, 34.1923, 34.1923) * CHOOSE(CONTROL!$C$21, $C$9, 100%, $E$9)</f>
        <v>34.192300000000003</v>
      </c>
      <c r="C596" s="14">
        <f>CHOOSE(CONTROL!$C$42, 34.2003, 34.2003) * CHOOSE(CONTROL!$C$21, $C$9, 100%, $E$9)</f>
        <v>34.200299999999999</v>
      </c>
      <c r="D596" s="14">
        <f>CHOOSE(CONTROL!$C$42, 34.4053, 34.4053) * CHOOSE(CONTROL!$C$21, $C$9, 100%, $E$9)</f>
        <v>34.405299999999997</v>
      </c>
      <c r="E596" s="14">
        <f>CHOOSE(CONTROL!$C$42, 34.4367, 34.4367) * CHOOSE(CONTROL!$C$21, $C$9, 100%, $E$9)</f>
        <v>34.436700000000002</v>
      </c>
      <c r="F596" s="14">
        <f>CHOOSE(CONTROL!$C$42, 34.1795, 34.1795)*CHOOSE(CONTROL!$C$21, $C$9, 100%, $E$9)</f>
        <v>34.179499999999997</v>
      </c>
      <c r="G596" s="14">
        <f>CHOOSE(CONTROL!$C$42, 34.1961, 34.1961)*CHOOSE(CONTROL!$C$21, $C$9, 100%, $E$9)</f>
        <v>34.196100000000001</v>
      </c>
      <c r="H596" s="14">
        <f>CHOOSE(CONTROL!$C$42, 34.4254, 34.4254) * CHOOSE(CONTROL!$C$21, $C$9, 100%, $E$9)</f>
        <v>34.425400000000003</v>
      </c>
      <c r="I596" s="14">
        <f>CHOOSE(CONTROL!$C$42, 34.3074, 34.3074)* CHOOSE(CONTROL!$C$21, $C$9, 100%, $E$9)</f>
        <v>34.307400000000001</v>
      </c>
      <c r="J596" s="14">
        <f>CHOOSE(CONTROL!$C$42, 34.1725, 34.1725)* CHOOSE(CONTROL!$C$21, $C$9, 100%, $E$9)</f>
        <v>34.172499999999999</v>
      </c>
      <c r="K596" s="53">
        <f>CHOOSE(CONTROL!$C$42, 34.3035, 34.3035) * CHOOSE(CONTROL!$C$21, $C$9, 100%, $E$9)</f>
        <v>34.3035</v>
      </c>
      <c r="L596" s="14">
        <f>CHOOSE(CONTROL!$C$42, 35.0124, 35.0124) * CHOOSE(CONTROL!$C$21, $C$9, 100%, $E$9)</f>
        <v>35.0124</v>
      </c>
      <c r="M596" s="14">
        <f>CHOOSE(CONTROL!$C$42, 33.48, 33.48) * CHOOSE(CONTROL!$C$21, $C$9, 100%, $E$9)</f>
        <v>33.479999999999997</v>
      </c>
      <c r="N596" s="14">
        <f>CHOOSE(CONTROL!$C$42, 33.4963, 33.4963) * CHOOSE(CONTROL!$C$21, $C$9, 100%, $E$9)</f>
        <v>33.496299999999998</v>
      </c>
      <c r="O596" s="14">
        <f>CHOOSE(CONTROL!$C$42, 33.7277, 33.7277) * CHOOSE(CONTROL!$C$21, $C$9, 100%, $E$9)</f>
        <v>33.727699999999999</v>
      </c>
      <c r="P596" s="14">
        <f>CHOOSE(CONTROL!$C$42, 33.6101, 33.6101) * CHOOSE(CONTROL!$C$21, $C$9, 100%, $E$9)</f>
        <v>33.610100000000003</v>
      </c>
      <c r="Q596" s="14">
        <f>CHOOSE(CONTROL!$C$42, 34.3224, 34.3224) * CHOOSE(CONTROL!$C$21, $C$9, 100%, $E$9)</f>
        <v>34.322400000000002</v>
      </c>
      <c r="R596" s="14">
        <f>CHOOSE(CONTROL!$C$42, 34.9952, 34.9952) * CHOOSE(CONTROL!$C$21, $C$9, 100%, $E$9)</f>
        <v>34.995199999999997</v>
      </c>
      <c r="S596" s="14">
        <f>CHOOSE(CONTROL!$C$42, 32.8447, 32.8447) * CHOOSE(CONTROL!$C$21, $C$9, 100%, $E$9)</f>
        <v>32.844700000000003</v>
      </c>
      <c r="T5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7">
        <f>(1000*CHOOSE(CONTROL!$C$42, 695, 695)*CHOOSE(CONTROL!$C$42, 0.5599, 0.5599)*CHOOSE(CONTROL!$C$42, 31, 31))/1000000</f>
        <v>12.063045499999998</v>
      </c>
      <c r="V596" s="57">
        <f>(1000*CHOOSE(CONTROL!$C$42, 500, 500)*CHOOSE(CONTROL!$C$42, 0.275, 0.275)*CHOOSE(CONTROL!$C$42, 31, 31))/1000000</f>
        <v>4.2625000000000002</v>
      </c>
      <c r="W596" s="57">
        <f>(1000*CHOOSE(CONTROL!$C$42, 0.1146, 0.1146)*CHOOSE(CONTROL!$C$42, 121.5, 121.5)*CHOOSE(CONTROL!$C$42, 31, 31))/1000000</f>
        <v>0.43164089999999994</v>
      </c>
      <c r="X596" s="57">
        <f>(31*0.1790888*245000/1000000)+(31*0.2374*100000/1000000)</f>
        <v>2.0961194359999999</v>
      </c>
      <c r="Y596" s="57"/>
      <c r="Z596" s="14"/>
      <c r="AA596" s="56"/>
      <c r="AB596" s="50">
        <f>(B596*194.205+C596*267.466+D596*133.845+E596*53.484+F596*40+G596*185+H596*0+I596*100+J596*300)/(194.205+267.466+133.845+53.484+0+40+185+100+300)</f>
        <v>34.231139248508633</v>
      </c>
      <c r="AC596" s="45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33.571970503597129</v>
      </c>
    </row>
    <row r="597" spans="1:29" ht="15.75" x14ac:dyDescent="0.25">
      <c r="A597" s="32">
        <v>59079</v>
      </c>
      <c r="B597" s="14">
        <f>CHOOSE(CONTROL!$C$42, 32.0219, 32.0219) * CHOOSE(CONTROL!$C$21, $C$9, 100%, $E$9)</f>
        <v>32.021900000000002</v>
      </c>
      <c r="C597" s="14">
        <f>CHOOSE(CONTROL!$C$42, 32.0299, 32.0299) * CHOOSE(CONTROL!$C$21, $C$9, 100%, $E$9)</f>
        <v>32.029899999999998</v>
      </c>
      <c r="D597" s="14">
        <f>CHOOSE(CONTROL!$C$42, 32.2349, 32.2349) * CHOOSE(CONTROL!$C$21, $C$9, 100%, $E$9)</f>
        <v>32.234900000000003</v>
      </c>
      <c r="E597" s="14">
        <f>CHOOSE(CONTROL!$C$42, 32.2663, 32.2663) * CHOOSE(CONTROL!$C$21, $C$9, 100%, $E$9)</f>
        <v>32.266300000000001</v>
      </c>
      <c r="F597" s="14">
        <f>CHOOSE(CONTROL!$C$42, 32.009, 32.009)*CHOOSE(CONTROL!$C$21, $C$9, 100%, $E$9)</f>
        <v>32.009</v>
      </c>
      <c r="G597" s="14">
        <f>CHOOSE(CONTROL!$C$42, 32.0257, 32.0257)*CHOOSE(CONTROL!$C$21, $C$9, 100%, $E$9)</f>
        <v>32.025700000000001</v>
      </c>
      <c r="H597" s="14">
        <f>CHOOSE(CONTROL!$C$42, 32.255, 32.255) * CHOOSE(CONTROL!$C$21, $C$9, 100%, $E$9)</f>
        <v>32.255000000000003</v>
      </c>
      <c r="I597" s="14">
        <f>CHOOSE(CONTROL!$C$42, 32.1302, 32.1302)* CHOOSE(CONTROL!$C$21, $C$9, 100%, $E$9)</f>
        <v>32.130200000000002</v>
      </c>
      <c r="J597" s="14">
        <f>CHOOSE(CONTROL!$C$42, 32.002, 32.002)* CHOOSE(CONTROL!$C$21, $C$9, 100%, $E$9)</f>
        <v>32.002000000000002</v>
      </c>
      <c r="K597" s="53">
        <f>CHOOSE(CONTROL!$C$42, 32.1263, 32.1263) * CHOOSE(CONTROL!$C$21, $C$9, 100%, $E$9)</f>
        <v>32.126300000000001</v>
      </c>
      <c r="L597" s="14">
        <f>CHOOSE(CONTROL!$C$42, 32.842, 32.842) * CHOOSE(CONTROL!$C$21, $C$9, 100%, $E$9)</f>
        <v>32.841999999999999</v>
      </c>
      <c r="M597" s="14">
        <f>CHOOSE(CONTROL!$C$42, 31.354, 31.354) * CHOOSE(CONTROL!$C$21, $C$9, 100%, $E$9)</f>
        <v>31.353999999999999</v>
      </c>
      <c r="N597" s="14">
        <f>CHOOSE(CONTROL!$C$42, 31.3703, 31.3703) * CHOOSE(CONTROL!$C$21, $C$9, 100%, $E$9)</f>
        <v>31.3703</v>
      </c>
      <c r="O597" s="14">
        <f>CHOOSE(CONTROL!$C$42, 31.6018, 31.6018) * CHOOSE(CONTROL!$C$21, $C$9, 100%, $E$9)</f>
        <v>31.601800000000001</v>
      </c>
      <c r="P597" s="14">
        <f>CHOOSE(CONTROL!$C$42, 31.4776, 31.4776) * CHOOSE(CONTROL!$C$21, $C$9, 100%, $E$9)</f>
        <v>31.477599999999999</v>
      </c>
      <c r="Q597" s="14">
        <f>CHOOSE(CONTROL!$C$42, 32.1965, 32.1965) * CHOOSE(CONTROL!$C$21, $C$9, 100%, $E$9)</f>
        <v>32.1965</v>
      </c>
      <c r="R597" s="14">
        <f>CHOOSE(CONTROL!$C$42, 32.864, 32.864) * CHOOSE(CONTROL!$C$21, $C$9, 100%, $E$9)</f>
        <v>32.863999999999997</v>
      </c>
      <c r="S597" s="14">
        <f>CHOOSE(CONTROL!$C$42, 30.7592, 30.7592) * CHOOSE(CONTROL!$C$21, $C$9, 100%, $E$9)</f>
        <v>30.7592</v>
      </c>
      <c r="T5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7">
        <f>(1000*CHOOSE(CONTROL!$C$42, 695, 695)*CHOOSE(CONTROL!$C$42, 0.5599, 0.5599)*CHOOSE(CONTROL!$C$42, 30, 30))/1000000</f>
        <v>11.673914999999997</v>
      </c>
      <c r="V597" s="57">
        <f>(1000*CHOOSE(CONTROL!$C$42, 500, 500)*CHOOSE(CONTROL!$C$42, 0.275, 0.275)*CHOOSE(CONTROL!$C$42, 30, 30))/1000000</f>
        <v>4.125</v>
      </c>
      <c r="W597" s="57">
        <f>(1000*CHOOSE(CONTROL!$C$42, 0.1146, 0.1146)*CHOOSE(CONTROL!$C$42, 121.5, 121.5)*CHOOSE(CONTROL!$C$42, 30, 30))/1000000</f>
        <v>0.417717</v>
      </c>
      <c r="X597" s="57">
        <f>(30*0.1790888*245000/1000000)+(30*0.2374*100000/1000000)</f>
        <v>2.0285026799999999</v>
      </c>
      <c r="Y597" s="57"/>
      <c r="Z597" s="14"/>
      <c r="AA597" s="56"/>
      <c r="AB597" s="50">
        <f>(B597*194.205+C597*267.466+D597*133.845+E597*53.484+F597*40+G597*185+H597*0+I597*100+J597*300)/(194.205+267.466+133.845+53.484+0+40+185+100+300)</f>
        <v>32.060178808948194</v>
      </c>
      <c r="AC597" s="45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31.445063309352516</v>
      </c>
    </row>
    <row r="598" spans="1:29" ht="15.75" x14ac:dyDescent="0.25">
      <c r="A598" s="32">
        <v>59110</v>
      </c>
      <c r="B598" s="14">
        <f>CHOOSE(CONTROL!$C$42, 31.3702, 31.3702) * CHOOSE(CONTROL!$C$21, $C$9, 100%, $E$9)</f>
        <v>31.370200000000001</v>
      </c>
      <c r="C598" s="14">
        <f>CHOOSE(CONTROL!$C$42, 31.3755, 31.3755) * CHOOSE(CONTROL!$C$21, $C$9, 100%, $E$9)</f>
        <v>31.375499999999999</v>
      </c>
      <c r="D598" s="14">
        <f>CHOOSE(CONTROL!$C$42, 31.5854, 31.5854) * CHOOSE(CONTROL!$C$21, $C$9, 100%, $E$9)</f>
        <v>31.5854</v>
      </c>
      <c r="E598" s="14">
        <f>CHOOSE(CONTROL!$C$42, 31.6146, 31.6146) * CHOOSE(CONTROL!$C$21, $C$9, 100%, $E$9)</f>
        <v>31.614599999999999</v>
      </c>
      <c r="F598" s="14">
        <f>CHOOSE(CONTROL!$C$42, 31.3594, 31.3594)*CHOOSE(CONTROL!$C$21, $C$9, 100%, $E$9)</f>
        <v>31.359400000000001</v>
      </c>
      <c r="G598" s="14">
        <f>CHOOSE(CONTROL!$C$42, 31.3757, 31.3757)*CHOOSE(CONTROL!$C$21, $C$9, 100%, $E$9)</f>
        <v>31.375699999999998</v>
      </c>
      <c r="H598" s="14">
        <f>CHOOSE(CONTROL!$C$42, 31.605, 31.605) * CHOOSE(CONTROL!$C$21, $C$9, 100%, $E$9)</f>
        <v>31.605</v>
      </c>
      <c r="I598" s="14">
        <f>CHOOSE(CONTROL!$C$42, 31.4782, 31.4782)* CHOOSE(CONTROL!$C$21, $C$9, 100%, $E$9)</f>
        <v>31.478200000000001</v>
      </c>
      <c r="J598" s="14">
        <f>CHOOSE(CONTROL!$C$42, 31.3524, 31.3524)* CHOOSE(CONTROL!$C$21, $C$9, 100%, $E$9)</f>
        <v>31.352399999999999</v>
      </c>
      <c r="K598" s="53">
        <f>CHOOSE(CONTROL!$C$42, 31.4743, 31.4743) * CHOOSE(CONTROL!$C$21, $C$9, 100%, $E$9)</f>
        <v>31.474299999999999</v>
      </c>
      <c r="L598" s="14">
        <f>CHOOSE(CONTROL!$C$42, 32.192, 32.192) * CHOOSE(CONTROL!$C$21, $C$9, 100%, $E$9)</f>
        <v>32.192</v>
      </c>
      <c r="M598" s="14">
        <f>CHOOSE(CONTROL!$C$42, 30.7177, 30.7177) * CHOOSE(CONTROL!$C$21, $C$9, 100%, $E$9)</f>
        <v>30.717700000000001</v>
      </c>
      <c r="N598" s="14">
        <f>CHOOSE(CONTROL!$C$42, 30.7337, 30.7337) * CHOOSE(CONTROL!$C$21, $C$9, 100%, $E$9)</f>
        <v>30.733699999999999</v>
      </c>
      <c r="O598" s="14">
        <f>CHOOSE(CONTROL!$C$42, 30.9652, 30.9652) * CHOOSE(CONTROL!$C$21, $C$9, 100%, $E$9)</f>
        <v>30.965199999999999</v>
      </c>
      <c r="P598" s="14">
        <f>CHOOSE(CONTROL!$C$42, 30.8391, 30.8391) * CHOOSE(CONTROL!$C$21, $C$9, 100%, $E$9)</f>
        <v>30.839099999999998</v>
      </c>
      <c r="Q598" s="14">
        <f>CHOOSE(CONTROL!$C$42, 31.5599, 31.5599) * CHOOSE(CONTROL!$C$21, $C$9, 100%, $E$9)</f>
        <v>31.559899999999999</v>
      </c>
      <c r="R598" s="14">
        <f>CHOOSE(CONTROL!$C$42, 32.2258, 32.2258) * CHOOSE(CONTROL!$C$21, $C$9, 100%, $E$9)</f>
        <v>32.2258</v>
      </c>
      <c r="S598" s="14">
        <f>CHOOSE(CONTROL!$C$42, 30.1347, 30.1347) * CHOOSE(CONTROL!$C$21, $C$9, 100%, $E$9)</f>
        <v>30.134699999999999</v>
      </c>
      <c r="T5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7">
        <f>(1000*CHOOSE(CONTROL!$C$42, 695, 695)*CHOOSE(CONTROL!$C$42, 0.5599, 0.5599)*CHOOSE(CONTROL!$C$42, 31, 31))/1000000</f>
        <v>12.063045499999998</v>
      </c>
      <c r="V598" s="57">
        <f>(1000*CHOOSE(CONTROL!$C$42, 500, 500)*CHOOSE(CONTROL!$C$42, 0.275, 0.275)*CHOOSE(CONTROL!$C$42, 31, 31))/1000000</f>
        <v>4.2625000000000002</v>
      </c>
      <c r="W598" s="57">
        <f>(1000*CHOOSE(CONTROL!$C$42, 0.1146, 0.1146)*CHOOSE(CONTROL!$C$42, 121.5, 121.5)*CHOOSE(CONTROL!$C$42, 31, 31))/1000000</f>
        <v>0.43164089999999994</v>
      </c>
      <c r="X598" s="57">
        <f>(31*0.1790888*245000/1000000)+(31*0.2374*100000/1000000)</f>
        <v>2.0961194359999999</v>
      </c>
      <c r="Y598" s="57"/>
      <c r="Z598" s="14"/>
      <c r="AA598" s="56"/>
      <c r="AB598" s="50">
        <f>(B598*131.881+C598*277.167+D598*79.08+E598*125.872+F598*40+G598*185+H598*0+I598*100+J598*300)/(131.881+277.167+79.08+125.872+0+40+185+100+300)</f>
        <v>31.414829231557707</v>
      </c>
      <c r="AC598" s="45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30.808293525179856</v>
      </c>
    </row>
    <row r="599" spans="1:29" ht="15.75" x14ac:dyDescent="0.25">
      <c r="A599" s="32">
        <v>59140</v>
      </c>
      <c r="B599" s="14">
        <f>CHOOSE(CONTROL!$C$42, 32.1959, 32.1959) * CHOOSE(CONTROL!$C$21, $C$9, 100%, $E$9)</f>
        <v>32.195900000000002</v>
      </c>
      <c r="C599" s="14">
        <f>CHOOSE(CONTROL!$C$42, 32.201, 32.201) * CHOOSE(CONTROL!$C$21, $C$9, 100%, $E$9)</f>
        <v>32.201000000000001</v>
      </c>
      <c r="D599" s="14">
        <f>CHOOSE(CONTROL!$C$42, 32.2648, 32.2648) * CHOOSE(CONTROL!$C$21, $C$9, 100%, $E$9)</f>
        <v>32.264800000000001</v>
      </c>
      <c r="E599" s="14">
        <f>CHOOSE(CONTROL!$C$42, 32.2989, 32.2989) * CHOOSE(CONTROL!$C$21, $C$9, 100%, $E$9)</f>
        <v>32.298900000000003</v>
      </c>
      <c r="F599" s="14">
        <f>CHOOSE(CONTROL!$C$42, 32.1982, 32.1982)*CHOOSE(CONTROL!$C$21, $C$9, 100%, $E$9)</f>
        <v>32.1982</v>
      </c>
      <c r="G599" s="14">
        <f>CHOOSE(CONTROL!$C$42, 32.2148, 32.2148)*CHOOSE(CONTROL!$C$21, $C$9, 100%, $E$9)</f>
        <v>32.214799999999997</v>
      </c>
      <c r="H599" s="14">
        <f>CHOOSE(CONTROL!$C$42, 32.2881, 32.2881) * CHOOSE(CONTROL!$C$21, $C$9, 100%, $E$9)</f>
        <v>32.2881</v>
      </c>
      <c r="I599" s="14">
        <f>CHOOSE(CONTROL!$C$42, 32.3106, 32.3106)* CHOOSE(CONTROL!$C$21, $C$9, 100%, $E$9)</f>
        <v>32.310600000000001</v>
      </c>
      <c r="J599" s="14">
        <f>CHOOSE(CONTROL!$C$42, 32.1912, 32.1912)* CHOOSE(CONTROL!$C$21, $C$9, 100%, $E$9)</f>
        <v>32.191200000000002</v>
      </c>
      <c r="K599" s="53">
        <f>CHOOSE(CONTROL!$C$42, 32.3068, 32.3068) * CHOOSE(CONTROL!$C$21, $C$9, 100%, $E$9)</f>
        <v>32.306800000000003</v>
      </c>
      <c r="L599" s="14">
        <f>CHOOSE(CONTROL!$C$42, 32.8751, 32.8751) * CHOOSE(CONTROL!$C$21, $C$9, 100%, $E$9)</f>
        <v>32.875100000000003</v>
      </c>
      <c r="M599" s="14">
        <f>CHOOSE(CONTROL!$C$42, 31.5393, 31.5393) * CHOOSE(CONTROL!$C$21, $C$9, 100%, $E$9)</f>
        <v>31.539300000000001</v>
      </c>
      <c r="N599" s="14">
        <f>CHOOSE(CONTROL!$C$42, 31.5556, 31.5556) * CHOOSE(CONTROL!$C$21, $C$9, 100%, $E$9)</f>
        <v>31.555599999999998</v>
      </c>
      <c r="O599" s="14">
        <f>CHOOSE(CONTROL!$C$42, 31.6342, 31.6342) * CHOOSE(CONTROL!$C$21, $C$9, 100%, $E$9)</f>
        <v>31.6342</v>
      </c>
      <c r="P599" s="14">
        <f>CHOOSE(CONTROL!$C$42, 31.6544, 31.6544) * CHOOSE(CONTROL!$C$21, $C$9, 100%, $E$9)</f>
        <v>31.654399999999999</v>
      </c>
      <c r="Q599" s="14">
        <f>CHOOSE(CONTROL!$C$42, 32.2289, 32.2289) * CHOOSE(CONTROL!$C$21, $C$9, 100%, $E$9)</f>
        <v>32.228900000000003</v>
      </c>
      <c r="R599" s="14">
        <f>CHOOSE(CONTROL!$C$42, 32.8965, 32.8965) * CHOOSE(CONTROL!$C$21, $C$9, 100%, $E$9)</f>
        <v>32.896500000000003</v>
      </c>
      <c r="S599" s="14">
        <f>CHOOSE(CONTROL!$C$42, 30.9285, 30.9285) * CHOOSE(CONTROL!$C$21, $C$9, 100%, $E$9)</f>
        <v>30.9285</v>
      </c>
      <c r="T5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7">
        <f>(1000*CHOOSE(CONTROL!$C$42, 695, 695)*CHOOSE(CONTROL!$C$42, 0.5599, 0.5599)*CHOOSE(CONTROL!$C$42, 30, 30))/1000000</f>
        <v>11.673914999999997</v>
      </c>
      <c r="V599" s="57">
        <f>(1000*CHOOSE(CONTROL!$C$42, 500, 500)*CHOOSE(CONTROL!$C$42, 0.275, 0.275)*CHOOSE(CONTROL!$C$42, 30, 30))/1000000</f>
        <v>4.125</v>
      </c>
      <c r="W599" s="57">
        <f>(1000*CHOOSE(CONTROL!$C$42, 0.1146, 0.1146)*CHOOSE(CONTROL!$C$42, 121.5, 121.5)*CHOOSE(CONTROL!$C$42, 30, 30))/1000000</f>
        <v>0.417717</v>
      </c>
      <c r="X599" s="57">
        <f>(30*0.1790888*100000/1000000)+(30*0.2374*100000/1000000)</f>
        <v>1.2494664</v>
      </c>
      <c r="Y599" s="57"/>
      <c r="Z599" s="14"/>
      <c r="AA599" s="56"/>
      <c r="AB599" s="50">
        <f>(B599*122.58+C599*297.941+D599*89.177+E599*40.302+F599*40+G599*160+H599*0+I599*100+J599*300)/(122.58+297.941+89.177+40.302+0+40+160+100+300)</f>
        <v>32.217631217739125</v>
      </c>
      <c r="AC599" s="45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31.599811510791358</v>
      </c>
    </row>
    <row r="600" spans="1:29" ht="15.75" x14ac:dyDescent="0.25">
      <c r="A600" s="32">
        <v>59171</v>
      </c>
      <c r="B600" s="14">
        <f>CHOOSE(CONTROL!$C$42, 34.3904, 34.3904) * CHOOSE(CONTROL!$C$21, $C$9, 100%, $E$9)</f>
        <v>34.3904</v>
      </c>
      <c r="C600" s="14">
        <f>CHOOSE(CONTROL!$C$42, 34.3954, 34.3954) * CHOOSE(CONTROL!$C$21, $C$9, 100%, $E$9)</f>
        <v>34.395400000000002</v>
      </c>
      <c r="D600" s="14">
        <f>CHOOSE(CONTROL!$C$42, 34.4592, 34.4592) * CHOOSE(CONTROL!$C$21, $C$9, 100%, $E$9)</f>
        <v>34.459200000000003</v>
      </c>
      <c r="E600" s="14">
        <f>CHOOSE(CONTROL!$C$42, 34.4934, 34.4934) * CHOOSE(CONTROL!$C$21, $C$9, 100%, $E$9)</f>
        <v>34.493400000000001</v>
      </c>
      <c r="F600" s="14">
        <f>CHOOSE(CONTROL!$C$42, 34.3947, 34.3947)*CHOOSE(CONTROL!$C$21, $C$9, 100%, $E$9)</f>
        <v>34.3947</v>
      </c>
      <c r="G600" s="14">
        <f>CHOOSE(CONTROL!$C$42, 34.4119, 34.4119)*CHOOSE(CONTROL!$C$21, $C$9, 100%, $E$9)</f>
        <v>34.411900000000003</v>
      </c>
      <c r="H600" s="14">
        <f>CHOOSE(CONTROL!$C$42, 34.4826, 34.4826) * CHOOSE(CONTROL!$C$21, $C$9, 100%, $E$9)</f>
        <v>34.482599999999998</v>
      </c>
      <c r="I600" s="14">
        <f>CHOOSE(CONTROL!$C$42, 34.512, 34.512)* CHOOSE(CONTROL!$C$21, $C$9, 100%, $E$9)</f>
        <v>34.512</v>
      </c>
      <c r="J600" s="14">
        <f>CHOOSE(CONTROL!$C$42, 34.3877, 34.3877)* CHOOSE(CONTROL!$C$21, $C$9, 100%, $E$9)</f>
        <v>34.387700000000002</v>
      </c>
      <c r="K600" s="53">
        <f>CHOOSE(CONTROL!$C$42, 34.5081, 34.5081) * CHOOSE(CONTROL!$C$21, $C$9, 100%, $E$9)</f>
        <v>34.508099999999999</v>
      </c>
      <c r="L600" s="14">
        <f>CHOOSE(CONTROL!$C$42, 35.0696, 35.0696) * CHOOSE(CONTROL!$C$21, $C$9, 100%, $E$9)</f>
        <v>35.069600000000001</v>
      </c>
      <c r="M600" s="14">
        <f>CHOOSE(CONTROL!$C$42, 33.6908, 33.6908) * CHOOSE(CONTROL!$C$21, $C$9, 100%, $E$9)</f>
        <v>33.690800000000003</v>
      </c>
      <c r="N600" s="14">
        <f>CHOOSE(CONTROL!$C$42, 33.7076, 33.7076) * CHOOSE(CONTROL!$C$21, $C$9, 100%, $E$9)</f>
        <v>33.707599999999999</v>
      </c>
      <c r="O600" s="14">
        <f>CHOOSE(CONTROL!$C$42, 33.7837, 33.7837) * CHOOSE(CONTROL!$C$21, $C$9, 100%, $E$9)</f>
        <v>33.783700000000003</v>
      </c>
      <c r="P600" s="14">
        <f>CHOOSE(CONTROL!$C$42, 33.8104, 33.8104) * CHOOSE(CONTROL!$C$21, $C$9, 100%, $E$9)</f>
        <v>33.810400000000001</v>
      </c>
      <c r="Q600" s="14">
        <f>CHOOSE(CONTROL!$C$42, 34.3784, 34.3784) * CHOOSE(CONTROL!$C$21, $C$9, 100%, $E$9)</f>
        <v>34.378399999999999</v>
      </c>
      <c r="R600" s="14">
        <f>CHOOSE(CONTROL!$C$42, 35.0514, 35.0514) * CHOOSE(CONTROL!$C$21, $C$9, 100%, $E$9)</f>
        <v>35.051400000000001</v>
      </c>
      <c r="S600" s="14">
        <f>CHOOSE(CONTROL!$C$42, 33.0372, 33.0372) * CHOOSE(CONTROL!$C$21, $C$9, 100%, $E$9)</f>
        <v>33.037199999999999</v>
      </c>
      <c r="T6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7">
        <f>(1000*CHOOSE(CONTROL!$C$42, 695, 695)*CHOOSE(CONTROL!$C$42, 0.5599, 0.5599)*CHOOSE(CONTROL!$C$42, 31, 31))/1000000</f>
        <v>12.063045499999998</v>
      </c>
      <c r="V600" s="57">
        <f>(1000*CHOOSE(CONTROL!$C$42, 500, 500)*CHOOSE(CONTROL!$C$42, 0.275, 0.275)*CHOOSE(CONTROL!$C$42, 31, 31))/1000000</f>
        <v>4.2625000000000002</v>
      </c>
      <c r="W600" s="57">
        <f>(1000*CHOOSE(CONTROL!$C$42, 0.1146, 0.1146)*CHOOSE(CONTROL!$C$42, 121.5, 121.5)*CHOOSE(CONTROL!$C$42, 31, 31))/1000000</f>
        <v>0.43164089999999994</v>
      </c>
      <c r="X600" s="57">
        <f>(31*0.1790888*100000/1000000)+(31*0.2374*100000/1000000)</f>
        <v>1.2911152800000001</v>
      </c>
      <c r="Y600" s="57"/>
      <c r="Z600" s="14"/>
      <c r="AA600" s="56"/>
      <c r="AB600" s="50">
        <f>(B600*122.58+C600*297.941+D600*89.177+E600*40.302+F600*40+G600*160+H600*0+I600*100+J600*300)/(122.58+297.941+89.177+40.302+0+40+160+100+300)</f>
        <v>34.413650598782617</v>
      </c>
      <c r="AC600" s="45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33.751081294964038</v>
      </c>
    </row>
    <row r="601" spans="1:29" ht="15.75" x14ac:dyDescent="0.25">
      <c r="A601" s="32">
        <v>59202</v>
      </c>
      <c r="B601" s="14">
        <f>CHOOSE(CONTROL!$C$42, 37.2066, 37.2066) * CHOOSE(CONTROL!$C$21, $C$9, 100%, $E$9)</f>
        <v>37.206600000000002</v>
      </c>
      <c r="C601" s="14">
        <f>CHOOSE(CONTROL!$C$42, 37.2117, 37.2117) * CHOOSE(CONTROL!$C$21, $C$9, 100%, $E$9)</f>
        <v>37.2117</v>
      </c>
      <c r="D601" s="14">
        <f>CHOOSE(CONTROL!$C$42, 37.2703, 37.2703) * CHOOSE(CONTROL!$C$21, $C$9, 100%, $E$9)</f>
        <v>37.270299999999999</v>
      </c>
      <c r="E601" s="14">
        <f>CHOOSE(CONTROL!$C$42, 37.3044, 37.3044) * CHOOSE(CONTROL!$C$21, $C$9, 100%, $E$9)</f>
        <v>37.304400000000001</v>
      </c>
      <c r="F601" s="14">
        <f>CHOOSE(CONTROL!$C$42, 37.2057, 37.2057)*CHOOSE(CONTROL!$C$21, $C$9, 100%, $E$9)</f>
        <v>37.2057</v>
      </c>
      <c r="G601" s="14">
        <f>CHOOSE(CONTROL!$C$42, 37.2221, 37.2221)*CHOOSE(CONTROL!$C$21, $C$9, 100%, $E$9)</f>
        <v>37.222099999999998</v>
      </c>
      <c r="H601" s="14">
        <f>CHOOSE(CONTROL!$C$42, 37.2936, 37.2936) * CHOOSE(CONTROL!$C$21, $C$9, 100%, $E$9)</f>
        <v>37.293599999999998</v>
      </c>
      <c r="I601" s="14">
        <f>CHOOSE(CONTROL!$C$42, 37.3334, 37.3334)* CHOOSE(CONTROL!$C$21, $C$9, 100%, $E$9)</f>
        <v>37.333399999999997</v>
      </c>
      <c r="J601" s="14">
        <f>CHOOSE(CONTROL!$C$42, 37.1987, 37.1987)* CHOOSE(CONTROL!$C$21, $C$9, 100%, $E$9)</f>
        <v>37.198700000000002</v>
      </c>
      <c r="K601" s="53">
        <f>CHOOSE(CONTROL!$C$42, 37.3295, 37.3295) * CHOOSE(CONTROL!$C$21, $C$9, 100%, $E$9)</f>
        <v>37.329500000000003</v>
      </c>
      <c r="L601" s="14">
        <f>CHOOSE(CONTROL!$C$42, 37.8806, 37.8806) * CHOOSE(CONTROL!$C$21, $C$9, 100%, $E$9)</f>
        <v>37.880600000000001</v>
      </c>
      <c r="M601" s="14">
        <f>CHOOSE(CONTROL!$C$42, 36.4443, 36.4443) * CHOOSE(CONTROL!$C$21, $C$9, 100%, $E$9)</f>
        <v>36.444299999999998</v>
      </c>
      <c r="N601" s="14">
        <f>CHOOSE(CONTROL!$C$42, 36.4603, 36.4603) * CHOOSE(CONTROL!$C$21, $C$9, 100%, $E$9)</f>
        <v>36.460299999999997</v>
      </c>
      <c r="O601" s="14">
        <f>CHOOSE(CONTROL!$C$42, 36.5372, 36.5372) * CHOOSE(CONTROL!$C$21, $C$9, 100%, $E$9)</f>
        <v>36.537199999999999</v>
      </c>
      <c r="P601" s="14">
        <f>CHOOSE(CONTROL!$C$42, 36.5739, 36.5739) * CHOOSE(CONTROL!$C$21, $C$9, 100%, $E$9)</f>
        <v>36.573900000000002</v>
      </c>
      <c r="Q601" s="14">
        <f>CHOOSE(CONTROL!$C$42, 37.1319, 37.1319) * CHOOSE(CONTROL!$C$21, $C$9, 100%, $E$9)</f>
        <v>37.131900000000002</v>
      </c>
      <c r="R601" s="14">
        <f>CHOOSE(CONTROL!$C$42, 37.8117, 37.8117) * CHOOSE(CONTROL!$C$21, $C$9, 100%, $E$9)</f>
        <v>37.811700000000002</v>
      </c>
      <c r="S601" s="14">
        <f>CHOOSE(CONTROL!$C$42, 35.7433, 35.7433) * CHOOSE(CONTROL!$C$21, $C$9, 100%, $E$9)</f>
        <v>35.743299999999998</v>
      </c>
      <c r="T6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7">
        <f>(1000*CHOOSE(CONTROL!$C$42, 695, 695)*CHOOSE(CONTROL!$C$42, 0.5599, 0.5599)*CHOOSE(CONTROL!$C$42, 31, 31))/1000000</f>
        <v>12.063045499999998</v>
      </c>
      <c r="V601" s="57">
        <f>(1000*CHOOSE(CONTROL!$C$42, 500, 500)*CHOOSE(CONTROL!$C$42, 0.275, 0.275)*CHOOSE(CONTROL!$C$42, 31, 31))/1000000</f>
        <v>4.2625000000000002</v>
      </c>
      <c r="W601" s="57">
        <f>(1000*CHOOSE(CONTROL!$C$42, 0.1146, 0.1146)*CHOOSE(CONTROL!$C$42, 121.5, 121.5)*CHOOSE(CONTROL!$C$42, 31, 31))/1000000</f>
        <v>0.43164089999999994</v>
      </c>
      <c r="X601" s="57">
        <f>(31*0.1790888*100000/1000000)+(31*0.2374*100000/1000000)</f>
        <v>1.2911152800000001</v>
      </c>
      <c r="Y601" s="57"/>
      <c r="Z601" s="14"/>
      <c r="AA601" s="56"/>
      <c r="AB601" s="50">
        <f>(B601*122.58+C601*297.941+D601*89.177+E601*40.302+F601*40+G601*160+H601*0+I601*100+J601*300)/(122.58+297.941+89.177+40.302+0+40+160+100+300)</f>
        <v>37.227378790956521</v>
      </c>
      <c r="AC601" s="45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36.505974100719421</v>
      </c>
    </row>
    <row r="602" spans="1:29" ht="15.75" x14ac:dyDescent="0.25">
      <c r="A602" s="32">
        <v>59230</v>
      </c>
      <c r="B602" s="14">
        <f>CHOOSE(CONTROL!$C$42, 37.8688, 37.8688) * CHOOSE(CONTROL!$C$21, $C$9, 100%, $E$9)</f>
        <v>37.8688</v>
      </c>
      <c r="C602" s="14">
        <f>CHOOSE(CONTROL!$C$42, 37.8739, 37.8739) * CHOOSE(CONTROL!$C$21, $C$9, 100%, $E$9)</f>
        <v>37.873899999999999</v>
      </c>
      <c r="D602" s="14">
        <f>CHOOSE(CONTROL!$C$42, 37.9325, 37.9325) * CHOOSE(CONTROL!$C$21, $C$9, 100%, $E$9)</f>
        <v>37.932499999999997</v>
      </c>
      <c r="E602" s="14">
        <f>CHOOSE(CONTROL!$C$42, 37.9666, 37.9666) * CHOOSE(CONTROL!$C$21, $C$9, 100%, $E$9)</f>
        <v>37.9666</v>
      </c>
      <c r="F602" s="14">
        <f>CHOOSE(CONTROL!$C$42, 37.8679, 37.8679)*CHOOSE(CONTROL!$C$21, $C$9, 100%, $E$9)</f>
        <v>37.867899999999999</v>
      </c>
      <c r="G602" s="14">
        <f>CHOOSE(CONTROL!$C$42, 37.8842, 37.8842)*CHOOSE(CONTROL!$C$21, $C$9, 100%, $E$9)</f>
        <v>37.8842</v>
      </c>
      <c r="H602" s="14">
        <f>CHOOSE(CONTROL!$C$42, 37.9558, 37.9558) * CHOOSE(CONTROL!$C$21, $C$9, 100%, $E$9)</f>
        <v>37.955800000000004</v>
      </c>
      <c r="I602" s="14">
        <f>CHOOSE(CONTROL!$C$42, 37.9976, 37.9976)* CHOOSE(CONTROL!$C$21, $C$9, 100%, $E$9)</f>
        <v>37.997599999999998</v>
      </c>
      <c r="J602" s="14">
        <f>CHOOSE(CONTROL!$C$42, 37.8609, 37.8609)* CHOOSE(CONTROL!$C$21, $C$9, 100%, $E$9)</f>
        <v>37.860900000000001</v>
      </c>
      <c r="K602" s="53">
        <f>CHOOSE(CONTROL!$C$42, 37.9937, 37.9937) * CHOOSE(CONTROL!$C$21, $C$9, 100%, $E$9)</f>
        <v>37.993699999999997</v>
      </c>
      <c r="L602" s="14">
        <f>CHOOSE(CONTROL!$C$42, 38.5428, 38.5428) * CHOOSE(CONTROL!$C$21, $C$9, 100%, $E$9)</f>
        <v>38.5428</v>
      </c>
      <c r="M602" s="14">
        <f>CHOOSE(CONTROL!$C$42, 37.0928, 37.0928) * CHOOSE(CONTROL!$C$21, $C$9, 100%, $E$9)</f>
        <v>37.092799999999997</v>
      </c>
      <c r="N602" s="14">
        <f>CHOOSE(CONTROL!$C$42, 37.1089, 37.1089) * CHOOSE(CONTROL!$C$21, $C$9, 100%, $E$9)</f>
        <v>37.108899999999998</v>
      </c>
      <c r="O602" s="14">
        <f>CHOOSE(CONTROL!$C$42, 37.1858, 37.1858) * CHOOSE(CONTROL!$C$21, $C$9, 100%, $E$9)</f>
        <v>37.1858</v>
      </c>
      <c r="P602" s="14">
        <f>CHOOSE(CONTROL!$C$42, 37.2245, 37.2245) * CHOOSE(CONTROL!$C$21, $C$9, 100%, $E$9)</f>
        <v>37.224499999999999</v>
      </c>
      <c r="Q602" s="14">
        <f>CHOOSE(CONTROL!$C$42, 37.7805, 37.7805) * CHOOSE(CONTROL!$C$21, $C$9, 100%, $E$9)</f>
        <v>37.780500000000004</v>
      </c>
      <c r="R602" s="14">
        <f>CHOOSE(CONTROL!$C$42, 38.4619, 38.4619) * CHOOSE(CONTROL!$C$21, $C$9, 100%, $E$9)</f>
        <v>38.4619</v>
      </c>
      <c r="S602" s="14">
        <f>CHOOSE(CONTROL!$C$42, 36.3796, 36.3796) * CHOOSE(CONTROL!$C$21, $C$9, 100%, $E$9)</f>
        <v>36.379600000000003</v>
      </c>
      <c r="T6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7">
        <f>(1000*CHOOSE(CONTROL!$C$42, 695, 695)*CHOOSE(CONTROL!$C$42, 0.5599, 0.5599)*CHOOSE(CONTROL!$C$42, 28, 28))/1000000</f>
        <v>10.895653999999999</v>
      </c>
      <c r="V602" s="57">
        <f>(1000*CHOOSE(CONTROL!$C$42, 500, 500)*CHOOSE(CONTROL!$C$42, 0.275, 0.275)*CHOOSE(CONTROL!$C$42, 28, 28))/1000000</f>
        <v>3.85</v>
      </c>
      <c r="W602" s="57">
        <f>(1000*CHOOSE(CONTROL!$C$42, 0.1146, 0.1146)*CHOOSE(CONTROL!$C$42, 121.5, 121.5)*CHOOSE(CONTROL!$C$42, 28, 28))/1000000</f>
        <v>0.38986920000000003</v>
      </c>
      <c r="X602" s="57">
        <f>(28*0.1790888*100000/1000000)+(28*0.2374*100000/1000000)</f>
        <v>1.16616864</v>
      </c>
      <c r="Y602" s="57"/>
      <c r="Z602" s="14"/>
      <c r="AA602" s="56"/>
      <c r="AB602" s="50">
        <f>(B602*122.58+C602*297.941+D602*89.177+E602*40.302+F602*40+G602*160+H602*0+I602*100+J602*300)/(122.58+297.941+89.177+40.302+0+40+160+100+300)</f>
        <v>37.889738790956521</v>
      </c>
      <c r="AC602" s="45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37.154827338129493</v>
      </c>
    </row>
    <row r="603" spans="1:29" ht="15.75" x14ac:dyDescent="0.25">
      <c r="A603" s="32">
        <v>59261</v>
      </c>
      <c r="B603" s="14">
        <f>CHOOSE(CONTROL!$C$42, 36.7939, 36.7939) * CHOOSE(CONTROL!$C$21, $C$9, 100%, $E$9)</f>
        <v>36.793900000000001</v>
      </c>
      <c r="C603" s="14">
        <f>CHOOSE(CONTROL!$C$42, 36.799, 36.799) * CHOOSE(CONTROL!$C$21, $C$9, 100%, $E$9)</f>
        <v>36.798999999999999</v>
      </c>
      <c r="D603" s="14">
        <f>CHOOSE(CONTROL!$C$42, 36.8576, 36.8576) * CHOOSE(CONTROL!$C$21, $C$9, 100%, $E$9)</f>
        <v>36.857599999999998</v>
      </c>
      <c r="E603" s="14">
        <f>CHOOSE(CONTROL!$C$42, 36.8917, 36.8917) * CHOOSE(CONTROL!$C$21, $C$9, 100%, $E$9)</f>
        <v>36.8917</v>
      </c>
      <c r="F603" s="14">
        <f>CHOOSE(CONTROL!$C$42, 36.7925, 36.7925)*CHOOSE(CONTROL!$C$21, $C$9, 100%, $E$9)</f>
        <v>36.792499999999997</v>
      </c>
      <c r="G603" s="14">
        <f>CHOOSE(CONTROL!$C$42, 36.8088, 36.8088)*CHOOSE(CONTROL!$C$21, $C$9, 100%, $E$9)</f>
        <v>36.808799999999998</v>
      </c>
      <c r="H603" s="14">
        <f>CHOOSE(CONTROL!$C$42, 36.8809, 36.8809) * CHOOSE(CONTROL!$C$21, $C$9, 100%, $E$9)</f>
        <v>36.880899999999997</v>
      </c>
      <c r="I603" s="14">
        <f>CHOOSE(CONTROL!$C$42, 36.9194, 36.9194)* CHOOSE(CONTROL!$C$21, $C$9, 100%, $E$9)</f>
        <v>36.919400000000003</v>
      </c>
      <c r="J603" s="14">
        <f>CHOOSE(CONTROL!$C$42, 36.7855, 36.7855)* CHOOSE(CONTROL!$C$21, $C$9, 100%, $E$9)</f>
        <v>36.785499999999999</v>
      </c>
      <c r="K603" s="53">
        <f>CHOOSE(CONTROL!$C$42, 36.9155, 36.9155) * CHOOSE(CONTROL!$C$21, $C$9, 100%, $E$9)</f>
        <v>36.915500000000002</v>
      </c>
      <c r="L603" s="14">
        <f>CHOOSE(CONTROL!$C$42, 37.4679, 37.4679) * CHOOSE(CONTROL!$C$21, $C$9, 100%, $E$9)</f>
        <v>37.4679</v>
      </c>
      <c r="M603" s="14">
        <f>CHOOSE(CONTROL!$C$42, 36.0395, 36.0395) * CHOOSE(CONTROL!$C$21, $C$9, 100%, $E$9)</f>
        <v>36.039499999999997</v>
      </c>
      <c r="N603" s="14">
        <f>CHOOSE(CONTROL!$C$42, 36.0554, 36.0554) * CHOOSE(CONTROL!$C$21, $C$9, 100%, $E$9)</f>
        <v>36.055399999999999</v>
      </c>
      <c r="O603" s="14">
        <f>CHOOSE(CONTROL!$C$42, 36.133, 36.133) * CHOOSE(CONTROL!$C$21, $C$9, 100%, $E$9)</f>
        <v>36.133000000000003</v>
      </c>
      <c r="P603" s="14">
        <f>CHOOSE(CONTROL!$C$42, 36.1684, 36.1684) * CHOOSE(CONTROL!$C$21, $C$9, 100%, $E$9)</f>
        <v>36.168399999999998</v>
      </c>
      <c r="Q603" s="14">
        <f>CHOOSE(CONTROL!$C$42, 36.7277, 36.7277) * CHOOSE(CONTROL!$C$21, $C$9, 100%, $E$9)</f>
        <v>36.727699999999999</v>
      </c>
      <c r="R603" s="14">
        <f>CHOOSE(CONTROL!$C$42, 37.4065, 37.4065) * CHOOSE(CONTROL!$C$21, $C$9, 100%, $E$9)</f>
        <v>37.406500000000001</v>
      </c>
      <c r="S603" s="14">
        <f>CHOOSE(CONTROL!$C$42, 35.3468, 35.3468) * CHOOSE(CONTROL!$C$21, $C$9, 100%, $E$9)</f>
        <v>35.346800000000002</v>
      </c>
      <c r="T6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7">
        <f>(1000*CHOOSE(CONTROL!$C$42, 695, 695)*CHOOSE(CONTROL!$C$42, 0.5599, 0.5599)*CHOOSE(CONTROL!$C$42, 31, 31))/1000000</f>
        <v>12.063045499999998</v>
      </c>
      <c r="V603" s="57">
        <f>(1000*CHOOSE(CONTROL!$C$42, 500, 500)*CHOOSE(CONTROL!$C$42, 0.275, 0.275)*CHOOSE(CONTROL!$C$42, 31, 31))/1000000</f>
        <v>4.2625000000000002</v>
      </c>
      <c r="W603" s="57">
        <f>(1000*CHOOSE(CONTROL!$C$42, 0.1146, 0.1146)*CHOOSE(CONTROL!$C$42, 121.5, 121.5)*CHOOSE(CONTROL!$C$42, 31, 31))/1000000</f>
        <v>0.43164089999999994</v>
      </c>
      <c r="X603" s="57">
        <f>(31*0.1790888*100000/1000000)+(31*0.2374*100000/1000000)</f>
        <v>1.2911152800000001</v>
      </c>
      <c r="Y603" s="57"/>
      <c r="Z603" s="14"/>
      <c r="AA603" s="56"/>
      <c r="AB603" s="50">
        <f>(B603*122.58+C603*297.941+D603*89.177+E603*40.302+F603*40+G603*160+H603*0+I603*100+J603*300)/(122.58+297.941+89.177+40.302+0+40+160+100+300)</f>
        <v>36.814334443130441</v>
      </c>
      <c r="AC603" s="45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36.101339568345324</v>
      </c>
    </row>
    <row r="604" spans="1:29" ht="15.75" x14ac:dyDescent="0.25">
      <c r="A604" s="32">
        <v>59291</v>
      </c>
      <c r="B604" s="14">
        <f>CHOOSE(CONTROL!$C$42, 36.685, 36.685) * CHOOSE(CONTROL!$C$21, $C$9, 100%, $E$9)</f>
        <v>36.685000000000002</v>
      </c>
      <c r="C604" s="14">
        <f>CHOOSE(CONTROL!$C$42, 36.6895, 36.6895) * CHOOSE(CONTROL!$C$21, $C$9, 100%, $E$9)</f>
        <v>36.689500000000002</v>
      </c>
      <c r="D604" s="14">
        <f>CHOOSE(CONTROL!$C$42, 36.8976, 36.8976) * CHOOSE(CONTROL!$C$21, $C$9, 100%, $E$9)</f>
        <v>36.897599999999997</v>
      </c>
      <c r="E604" s="14">
        <f>CHOOSE(CONTROL!$C$42, 36.9297, 36.9297) * CHOOSE(CONTROL!$C$21, $C$9, 100%, $E$9)</f>
        <v>36.929699999999997</v>
      </c>
      <c r="F604" s="14">
        <f>CHOOSE(CONTROL!$C$42, 36.6723, 36.6723)*CHOOSE(CONTROL!$C$21, $C$9, 100%, $E$9)</f>
        <v>36.6723</v>
      </c>
      <c r="G604" s="14">
        <f>CHOOSE(CONTROL!$C$42, 36.6883, 36.6883)*CHOOSE(CONTROL!$C$21, $C$9, 100%, $E$9)</f>
        <v>36.688299999999998</v>
      </c>
      <c r="H604" s="14">
        <f>CHOOSE(CONTROL!$C$42, 36.9195, 36.9195) * CHOOSE(CONTROL!$C$21, $C$9, 100%, $E$9)</f>
        <v>36.919499999999999</v>
      </c>
      <c r="I604" s="14">
        <f>CHOOSE(CONTROL!$C$42, 36.8093, 36.8093)* CHOOSE(CONTROL!$C$21, $C$9, 100%, $E$9)</f>
        <v>36.8093</v>
      </c>
      <c r="J604" s="14">
        <f>CHOOSE(CONTROL!$C$42, 36.6653, 36.6653)* CHOOSE(CONTROL!$C$21, $C$9, 100%, $E$9)</f>
        <v>36.665300000000002</v>
      </c>
      <c r="K604" s="53">
        <f>CHOOSE(CONTROL!$C$42, 36.8054, 36.8054) * CHOOSE(CONTROL!$C$21, $C$9, 100%, $E$9)</f>
        <v>36.805399999999999</v>
      </c>
      <c r="L604" s="14">
        <f>CHOOSE(CONTROL!$C$42, 37.5065, 37.5065) * CHOOSE(CONTROL!$C$21, $C$9, 100%, $E$9)</f>
        <v>37.506500000000003</v>
      </c>
      <c r="M604" s="14">
        <f>CHOOSE(CONTROL!$C$42, 35.9218, 35.9218) * CHOOSE(CONTROL!$C$21, $C$9, 100%, $E$9)</f>
        <v>35.921799999999998</v>
      </c>
      <c r="N604" s="14">
        <f>CHOOSE(CONTROL!$C$42, 35.9374, 35.9374) * CHOOSE(CONTROL!$C$21, $C$9, 100%, $E$9)</f>
        <v>35.937399999999997</v>
      </c>
      <c r="O604" s="14">
        <f>CHOOSE(CONTROL!$C$42, 36.1707, 36.1707) * CHOOSE(CONTROL!$C$21, $C$9, 100%, $E$9)</f>
        <v>36.170699999999997</v>
      </c>
      <c r="P604" s="14">
        <f>CHOOSE(CONTROL!$C$42, 36.0606, 36.0606) * CHOOSE(CONTROL!$C$21, $C$9, 100%, $E$9)</f>
        <v>36.060600000000001</v>
      </c>
      <c r="Q604" s="14">
        <f>CHOOSE(CONTROL!$C$42, 36.7654, 36.7654) * CHOOSE(CONTROL!$C$21, $C$9, 100%, $E$9)</f>
        <v>36.7654</v>
      </c>
      <c r="R604" s="14">
        <f>CHOOSE(CONTROL!$C$42, 37.4443, 37.4443) * CHOOSE(CONTROL!$C$21, $C$9, 100%, $E$9)</f>
        <v>37.444299999999998</v>
      </c>
      <c r="S604" s="14">
        <f>CHOOSE(CONTROL!$C$42, 35.2413, 35.2413) * CHOOSE(CONTROL!$C$21, $C$9, 100%, $E$9)</f>
        <v>35.241300000000003</v>
      </c>
      <c r="T6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7">
        <f>(1000*CHOOSE(CONTROL!$C$42, 695, 695)*CHOOSE(CONTROL!$C$42, 0.5599, 0.5599)*CHOOSE(CONTROL!$C$42, 30, 30))/1000000</f>
        <v>11.673914999999997</v>
      </c>
      <c r="V604" s="57">
        <f>(1000*CHOOSE(CONTROL!$C$42, 500, 500)*CHOOSE(CONTROL!$C$42, 0.275, 0.275)*CHOOSE(CONTROL!$C$42, 30, 30))/1000000</f>
        <v>4.125</v>
      </c>
      <c r="W604" s="57">
        <f>(1000*CHOOSE(CONTROL!$C$42, 0.1146, 0.1146)*CHOOSE(CONTROL!$C$42, 121.5, 121.5)*CHOOSE(CONTROL!$C$42, 30, 30))/1000000</f>
        <v>0.417717</v>
      </c>
      <c r="X604" s="57">
        <f>(30*0.1790888*245000/1000000)+(30*0.2374*100000/1000000)</f>
        <v>2.0285026799999999</v>
      </c>
      <c r="Y604" s="57"/>
      <c r="Z604" s="14"/>
      <c r="AA604" s="56"/>
      <c r="AB604" s="50">
        <f>(B604*141.293+C604*267.993+D604*115.016+E604*89.698+F604*40+G604*185+H604*0+I604*100+J604*300)/(141.293+267.993+115.016+89.698+0+40+185+100+300)</f>
        <v>36.728769145036324</v>
      </c>
      <c r="AC604" s="45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36.055479856115106</v>
      </c>
    </row>
    <row r="605" spans="1:29" ht="15.75" x14ac:dyDescent="0.25">
      <c r="A605" s="32">
        <v>59322</v>
      </c>
      <c r="B605" s="14">
        <f>CHOOSE(CONTROL!$C$42, 37.0101, 37.0101) * CHOOSE(CONTROL!$C$21, $C$9, 100%, $E$9)</f>
        <v>37.010100000000001</v>
      </c>
      <c r="C605" s="14">
        <f>CHOOSE(CONTROL!$C$42, 37.0181, 37.0181) * CHOOSE(CONTROL!$C$21, $C$9, 100%, $E$9)</f>
        <v>37.018099999999997</v>
      </c>
      <c r="D605" s="14">
        <f>CHOOSE(CONTROL!$C$42, 37.2231, 37.2231) * CHOOSE(CONTROL!$C$21, $C$9, 100%, $E$9)</f>
        <v>37.223100000000002</v>
      </c>
      <c r="E605" s="14">
        <f>CHOOSE(CONTROL!$C$42, 37.2545, 37.2545) * CHOOSE(CONTROL!$C$21, $C$9, 100%, $E$9)</f>
        <v>37.2545</v>
      </c>
      <c r="F605" s="14">
        <f>CHOOSE(CONTROL!$C$42, 36.9963, 36.9963)*CHOOSE(CONTROL!$C$21, $C$9, 100%, $E$9)</f>
        <v>36.996299999999998</v>
      </c>
      <c r="G605" s="14">
        <f>CHOOSE(CONTROL!$C$42, 37.0127, 37.0127)*CHOOSE(CONTROL!$C$21, $C$9, 100%, $E$9)</f>
        <v>37.012700000000002</v>
      </c>
      <c r="H605" s="14">
        <f>CHOOSE(CONTROL!$C$42, 37.2432, 37.2432) * CHOOSE(CONTROL!$C$21, $C$9, 100%, $E$9)</f>
        <v>37.243200000000002</v>
      </c>
      <c r="I605" s="14">
        <f>CHOOSE(CONTROL!$C$42, 37.134, 37.134)* CHOOSE(CONTROL!$C$21, $C$9, 100%, $E$9)</f>
        <v>37.134</v>
      </c>
      <c r="J605" s="14">
        <f>CHOOSE(CONTROL!$C$42, 36.9893, 36.9893)* CHOOSE(CONTROL!$C$21, $C$9, 100%, $E$9)</f>
        <v>36.9893</v>
      </c>
      <c r="K605" s="53">
        <f>CHOOSE(CONTROL!$C$42, 37.1301, 37.1301) * CHOOSE(CONTROL!$C$21, $C$9, 100%, $E$9)</f>
        <v>37.130099999999999</v>
      </c>
      <c r="L605" s="14">
        <f>CHOOSE(CONTROL!$C$42, 37.8302, 37.8302) * CHOOSE(CONTROL!$C$21, $C$9, 100%, $E$9)</f>
        <v>37.830199999999998</v>
      </c>
      <c r="M605" s="14">
        <f>CHOOSE(CONTROL!$C$42, 36.2391, 36.2391) * CHOOSE(CONTROL!$C$21, $C$9, 100%, $E$9)</f>
        <v>36.239100000000001</v>
      </c>
      <c r="N605" s="14">
        <f>CHOOSE(CONTROL!$C$42, 36.2551, 36.2551) * CHOOSE(CONTROL!$C$21, $C$9, 100%, $E$9)</f>
        <v>36.255099999999999</v>
      </c>
      <c r="O605" s="14">
        <f>CHOOSE(CONTROL!$C$42, 36.4878, 36.4878) * CHOOSE(CONTROL!$C$21, $C$9, 100%, $E$9)</f>
        <v>36.4878</v>
      </c>
      <c r="P605" s="14">
        <f>CHOOSE(CONTROL!$C$42, 36.3786, 36.3786) * CHOOSE(CONTROL!$C$21, $C$9, 100%, $E$9)</f>
        <v>36.378599999999999</v>
      </c>
      <c r="Q605" s="14">
        <f>CHOOSE(CONTROL!$C$42, 37.0825, 37.0825) * CHOOSE(CONTROL!$C$21, $C$9, 100%, $E$9)</f>
        <v>37.082500000000003</v>
      </c>
      <c r="R605" s="14">
        <f>CHOOSE(CONTROL!$C$42, 37.7622, 37.7622) * CHOOSE(CONTROL!$C$21, $C$9, 100%, $E$9)</f>
        <v>37.7622</v>
      </c>
      <c r="S605" s="14">
        <f>CHOOSE(CONTROL!$C$42, 35.5523, 35.5523) * CHOOSE(CONTROL!$C$21, $C$9, 100%, $E$9)</f>
        <v>35.552300000000002</v>
      </c>
      <c r="T6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7">
        <f>(1000*CHOOSE(CONTROL!$C$42, 695, 695)*CHOOSE(CONTROL!$C$42, 0.5599, 0.5599)*CHOOSE(CONTROL!$C$42, 31, 31))/1000000</f>
        <v>12.063045499999998</v>
      </c>
      <c r="V605" s="57">
        <f>(1000*CHOOSE(CONTROL!$C$42, 500, 500)*CHOOSE(CONTROL!$C$42, 0.275, 0.275)*CHOOSE(CONTROL!$C$42, 31, 31))/1000000</f>
        <v>4.2625000000000002</v>
      </c>
      <c r="W605" s="57">
        <f>(1000*CHOOSE(CONTROL!$C$42, 0.1146, 0.1146)*CHOOSE(CONTROL!$C$42, 121.5, 121.5)*CHOOSE(CONTROL!$C$42, 31, 31))/1000000</f>
        <v>0.43164089999999994</v>
      </c>
      <c r="X605" s="57">
        <f>(31*0.1790888*245000/1000000)+(31*0.2374*100000/1000000)</f>
        <v>2.0961194359999999</v>
      </c>
      <c r="Y605" s="57"/>
      <c r="Z605" s="14"/>
      <c r="AA605" s="56"/>
      <c r="AB605" s="50">
        <f>(B605*194.205+C605*267.466+D605*133.845+E605*53.484+F605*40+G605*185+H605*0+I605*100+J605*300)/(194.205+267.466+133.845+53.484+0+40+185+100+300)</f>
        <v>37.049188856043955</v>
      </c>
      <c r="AC605" s="45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36.372812949640284</v>
      </c>
    </row>
    <row r="606" spans="1:29" ht="15.75" x14ac:dyDescent="0.25">
      <c r="A606" s="32">
        <v>59352</v>
      </c>
      <c r="B606" s="14">
        <f>CHOOSE(CONTROL!$C$42, 38.0596, 38.0596) * CHOOSE(CONTROL!$C$21, $C$9, 100%, $E$9)</f>
        <v>38.059600000000003</v>
      </c>
      <c r="C606" s="14">
        <f>CHOOSE(CONTROL!$C$42, 38.0676, 38.0676) * CHOOSE(CONTROL!$C$21, $C$9, 100%, $E$9)</f>
        <v>38.067599999999999</v>
      </c>
      <c r="D606" s="14">
        <f>CHOOSE(CONTROL!$C$42, 38.2726, 38.2726) * CHOOSE(CONTROL!$C$21, $C$9, 100%, $E$9)</f>
        <v>38.272599999999997</v>
      </c>
      <c r="E606" s="14">
        <f>CHOOSE(CONTROL!$C$42, 38.304, 38.304) * CHOOSE(CONTROL!$C$21, $C$9, 100%, $E$9)</f>
        <v>38.304000000000002</v>
      </c>
      <c r="F606" s="14">
        <f>CHOOSE(CONTROL!$C$42, 38.0461, 38.0461)*CHOOSE(CONTROL!$C$21, $C$9, 100%, $E$9)</f>
        <v>38.046100000000003</v>
      </c>
      <c r="G606" s="14">
        <f>CHOOSE(CONTROL!$C$42, 38.0626, 38.0626)*CHOOSE(CONTROL!$C$21, $C$9, 100%, $E$9)</f>
        <v>38.062600000000003</v>
      </c>
      <c r="H606" s="14">
        <f>CHOOSE(CONTROL!$C$42, 38.2927, 38.2927) * CHOOSE(CONTROL!$C$21, $C$9, 100%, $E$9)</f>
        <v>38.292700000000004</v>
      </c>
      <c r="I606" s="14">
        <f>CHOOSE(CONTROL!$C$42, 38.1868, 38.1868)* CHOOSE(CONTROL!$C$21, $C$9, 100%, $E$9)</f>
        <v>38.186799999999998</v>
      </c>
      <c r="J606" s="14">
        <f>CHOOSE(CONTROL!$C$42, 38.0391, 38.0391)* CHOOSE(CONTROL!$C$21, $C$9, 100%, $E$9)</f>
        <v>38.039099999999998</v>
      </c>
      <c r="K606" s="53">
        <f>CHOOSE(CONTROL!$C$42, 38.1829, 38.1829) * CHOOSE(CONTROL!$C$21, $C$9, 100%, $E$9)</f>
        <v>38.182899999999997</v>
      </c>
      <c r="L606" s="14">
        <f>CHOOSE(CONTROL!$C$42, 38.8797, 38.8797) * CHOOSE(CONTROL!$C$21, $C$9, 100%, $E$9)</f>
        <v>38.8797</v>
      </c>
      <c r="M606" s="14">
        <f>CHOOSE(CONTROL!$C$42, 37.2674, 37.2674) * CHOOSE(CONTROL!$C$21, $C$9, 100%, $E$9)</f>
        <v>37.267400000000002</v>
      </c>
      <c r="N606" s="14">
        <f>CHOOSE(CONTROL!$C$42, 37.2836, 37.2836) * CHOOSE(CONTROL!$C$21, $C$9, 100%, $E$9)</f>
        <v>37.2836</v>
      </c>
      <c r="O606" s="14">
        <f>CHOOSE(CONTROL!$C$42, 37.5158, 37.5158) * CHOOSE(CONTROL!$C$21, $C$9, 100%, $E$9)</f>
        <v>37.515799999999999</v>
      </c>
      <c r="P606" s="14">
        <f>CHOOSE(CONTROL!$C$42, 37.4098, 37.4098) * CHOOSE(CONTROL!$C$21, $C$9, 100%, $E$9)</f>
        <v>37.409799999999997</v>
      </c>
      <c r="Q606" s="14">
        <f>CHOOSE(CONTROL!$C$42, 38.1105, 38.1105) * CHOOSE(CONTROL!$C$21, $C$9, 100%, $E$9)</f>
        <v>38.110500000000002</v>
      </c>
      <c r="R606" s="14">
        <f>CHOOSE(CONTROL!$C$42, 38.7927, 38.7927) * CHOOSE(CONTROL!$C$21, $C$9, 100%, $E$9)</f>
        <v>38.792700000000004</v>
      </c>
      <c r="S606" s="14">
        <f>CHOOSE(CONTROL!$C$42, 36.5608, 36.5608) * CHOOSE(CONTROL!$C$21, $C$9, 100%, $E$9)</f>
        <v>36.5608</v>
      </c>
      <c r="T6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7">
        <f>(1000*CHOOSE(CONTROL!$C$42, 695, 695)*CHOOSE(CONTROL!$C$42, 0.5599, 0.5599)*CHOOSE(CONTROL!$C$42, 30, 30))/1000000</f>
        <v>11.673914999999997</v>
      </c>
      <c r="V606" s="57">
        <f>(1000*CHOOSE(CONTROL!$C$42, 500, 500)*CHOOSE(CONTROL!$C$42, 0.275, 0.275)*CHOOSE(CONTROL!$C$42, 30, 30))/1000000</f>
        <v>4.125</v>
      </c>
      <c r="W606" s="57">
        <f>(1000*CHOOSE(CONTROL!$C$42, 0.1146, 0.1146)*CHOOSE(CONTROL!$C$42, 121.5, 121.5)*CHOOSE(CONTROL!$C$42, 30, 30))/1000000</f>
        <v>0.417717</v>
      </c>
      <c r="X606" s="57">
        <f>(30*0.1790888*245000/1000000)+(30*0.2374*100000/1000000)</f>
        <v>2.0285026799999999</v>
      </c>
      <c r="Y606" s="57"/>
      <c r="Z606" s="14"/>
      <c r="AA606" s="56"/>
      <c r="AB606" s="50">
        <f>(B606*194.205+C606*267.466+D606*133.845+E606*53.484+F606*40+G606*185+H606*0+I606*100+J606*300)/(194.205+267.466+133.845+53.484+0+40+185+100+300)</f>
        <v>38.099086030298274</v>
      </c>
      <c r="AC606" s="45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37.401405755395679</v>
      </c>
    </row>
    <row r="607" spans="1:29" ht="15.75" x14ac:dyDescent="0.25">
      <c r="A607" s="32">
        <v>59383</v>
      </c>
      <c r="B607" s="14">
        <f>CHOOSE(CONTROL!$C$42, 37.3296, 37.3296) * CHOOSE(CONTROL!$C$21, $C$9, 100%, $E$9)</f>
        <v>37.329599999999999</v>
      </c>
      <c r="C607" s="14">
        <f>CHOOSE(CONTROL!$C$42, 37.3377, 37.3377) * CHOOSE(CONTROL!$C$21, $C$9, 100%, $E$9)</f>
        <v>37.337699999999998</v>
      </c>
      <c r="D607" s="14">
        <f>CHOOSE(CONTROL!$C$42, 37.5426, 37.5426) * CHOOSE(CONTROL!$C$21, $C$9, 100%, $E$9)</f>
        <v>37.5426</v>
      </c>
      <c r="E607" s="14">
        <f>CHOOSE(CONTROL!$C$42, 37.5741, 37.5741) * CHOOSE(CONTROL!$C$21, $C$9, 100%, $E$9)</f>
        <v>37.574100000000001</v>
      </c>
      <c r="F607" s="14">
        <f>CHOOSE(CONTROL!$C$42, 37.3166, 37.3166)*CHOOSE(CONTROL!$C$21, $C$9, 100%, $E$9)</f>
        <v>37.316600000000001</v>
      </c>
      <c r="G607" s="14">
        <f>CHOOSE(CONTROL!$C$42, 37.3332, 37.3332)*CHOOSE(CONTROL!$C$21, $C$9, 100%, $E$9)</f>
        <v>37.333199999999998</v>
      </c>
      <c r="H607" s="14">
        <f>CHOOSE(CONTROL!$C$42, 37.5627, 37.5627) * CHOOSE(CONTROL!$C$21, $C$9, 100%, $E$9)</f>
        <v>37.5627</v>
      </c>
      <c r="I607" s="14">
        <f>CHOOSE(CONTROL!$C$42, 37.4546, 37.4546)* CHOOSE(CONTROL!$C$21, $C$9, 100%, $E$9)</f>
        <v>37.454599999999999</v>
      </c>
      <c r="J607" s="14">
        <f>CHOOSE(CONTROL!$C$42, 37.3096, 37.3096)* CHOOSE(CONTROL!$C$21, $C$9, 100%, $E$9)</f>
        <v>37.309600000000003</v>
      </c>
      <c r="K607" s="53">
        <f>CHOOSE(CONTROL!$C$42, 37.4507, 37.4507) * CHOOSE(CONTROL!$C$21, $C$9, 100%, $E$9)</f>
        <v>37.450699999999998</v>
      </c>
      <c r="L607" s="14">
        <f>CHOOSE(CONTROL!$C$42, 38.1497, 38.1497) * CHOOSE(CONTROL!$C$21, $C$9, 100%, $E$9)</f>
        <v>38.149700000000003</v>
      </c>
      <c r="M607" s="14">
        <f>CHOOSE(CONTROL!$C$42, 36.5529, 36.5529) * CHOOSE(CONTROL!$C$21, $C$9, 100%, $E$9)</f>
        <v>36.552900000000001</v>
      </c>
      <c r="N607" s="14">
        <f>CHOOSE(CONTROL!$C$42, 36.5691, 36.5691) * CHOOSE(CONTROL!$C$21, $C$9, 100%, $E$9)</f>
        <v>36.569099999999999</v>
      </c>
      <c r="O607" s="14">
        <f>CHOOSE(CONTROL!$C$42, 36.8008, 36.8008) * CHOOSE(CONTROL!$C$21, $C$9, 100%, $E$9)</f>
        <v>36.800800000000002</v>
      </c>
      <c r="P607" s="14">
        <f>CHOOSE(CONTROL!$C$42, 36.6926, 36.6926) * CHOOSE(CONTROL!$C$21, $C$9, 100%, $E$9)</f>
        <v>36.692599999999999</v>
      </c>
      <c r="Q607" s="14">
        <f>CHOOSE(CONTROL!$C$42, 37.3955, 37.3955) * CHOOSE(CONTROL!$C$21, $C$9, 100%, $E$9)</f>
        <v>37.395499999999998</v>
      </c>
      <c r="R607" s="14">
        <f>CHOOSE(CONTROL!$C$42, 38.076, 38.076) * CHOOSE(CONTROL!$C$21, $C$9, 100%, $E$9)</f>
        <v>38.076000000000001</v>
      </c>
      <c r="S607" s="14">
        <f>CHOOSE(CONTROL!$C$42, 35.8594, 35.8594) * CHOOSE(CONTROL!$C$21, $C$9, 100%, $E$9)</f>
        <v>35.859400000000001</v>
      </c>
      <c r="T6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7">
        <f>(1000*CHOOSE(CONTROL!$C$42, 695, 695)*CHOOSE(CONTROL!$C$42, 0.5599, 0.5599)*CHOOSE(CONTROL!$C$42, 31, 31))/1000000</f>
        <v>12.063045499999998</v>
      </c>
      <c r="V607" s="57">
        <f>(1000*CHOOSE(CONTROL!$C$42, 500, 500)*CHOOSE(CONTROL!$C$42, 0.275, 0.275)*CHOOSE(CONTROL!$C$42, 31, 31))/1000000</f>
        <v>4.2625000000000002</v>
      </c>
      <c r="W607" s="57">
        <f>(1000*CHOOSE(CONTROL!$C$42, 0.1146, 0.1146)*CHOOSE(CONTROL!$C$42, 121.5, 121.5)*CHOOSE(CONTROL!$C$42, 31, 31))/1000000</f>
        <v>0.43164089999999994</v>
      </c>
      <c r="X607" s="57">
        <f>(31*0.1790888*245000/1000000)+(31*0.2374*100000/1000000)</f>
        <v>2.0961194359999999</v>
      </c>
      <c r="Y607" s="57"/>
      <c r="Z607" s="14"/>
      <c r="AA607" s="56"/>
      <c r="AB607" s="50">
        <f>(B607*194.205+C607*267.466+D607*133.845+E607*53.484+F607*40+G607*185+H607*0+I607*100+J607*300)/(194.205+267.466+133.845+53.484+0+40+185+100+300)</f>
        <v>37.36915910329671</v>
      </c>
      <c r="AC607" s="45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36.686290647482011</v>
      </c>
    </row>
    <row r="608" spans="1:29" ht="15.75" x14ac:dyDescent="0.25">
      <c r="A608" s="32">
        <v>59414</v>
      </c>
      <c r="B608" s="14">
        <f>CHOOSE(CONTROL!$C$42, 35.4863, 35.4863) * CHOOSE(CONTROL!$C$21, $C$9, 100%, $E$9)</f>
        <v>35.4863</v>
      </c>
      <c r="C608" s="14">
        <f>CHOOSE(CONTROL!$C$42, 35.4944, 35.4944) * CHOOSE(CONTROL!$C$21, $C$9, 100%, $E$9)</f>
        <v>35.494399999999999</v>
      </c>
      <c r="D608" s="14">
        <f>CHOOSE(CONTROL!$C$42, 35.6993, 35.6993) * CHOOSE(CONTROL!$C$21, $C$9, 100%, $E$9)</f>
        <v>35.699300000000001</v>
      </c>
      <c r="E608" s="14">
        <f>CHOOSE(CONTROL!$C$42, 35.7308, 35.7308) * CHOOSE(CONTROL!$C$21, $C$9, 100%, $E$9)</f>
        <v>35.730800000000002</v>
      </c>
      <c r="F608" s="14">
        <f>CHOOSE(CONTROL!$C$42, 35.4735, 35.4735)*CHOOSE(CONTROL!$C$21, $C$9, 100%, $E$9)</f>
        <v>35.473500000000001</v>
      </c>
      <c r="G608" s="14">
        <f>CHOOSE(CONTROL!$C$42, 35.4902, 35.4902)*CHOOSE(CONTROL!$C$21, $C$9, 100%, $E$9)</f>
        <v>35.490200000000002</v>
      </c>
      <c r="H608" s="14">
        <f>CHOOSE(CONTROL!$C$42, 35.7194, 35.7194) * CHOOSE(CONTROL!$C$21, $C$9, 100%, $E$9)</f>
        <v>35.7194</v>
      </c>
      <c r="I608" s="14">
        <f>CHOOSE(CONTROL!$C$42, 35.6055, 35.6055)* CHOOSE(CONTROL!$C$21, $C$9, 100%, $E$9)</f>
        <v>35.605499999999999</v>
      </c>
      <c r="J608" s="14">
        <f>CHOOSE(CONTROL!$C$42, 35.4665, 35.4665)* CHOOSE(CONTROL!$C$21, $C$9, 100%, $E$9)</f>
        <v>35.466500000000003</v>
      </c>
      <c r="K608" s="53">
        <f>CHOOSE(CONTROL!$C$42, 35.6016, 35.6016) * CHOOSE(CONTROL!$C$21, $C$9, 100%, $E$9)</f>
        <v>35.601599999999998</v>
      </c>
      <c r="L608" s="14">
        <f>CHOOSE(CONTROL!$C$42, 36.3064, 36.3064) * CHOOSE(CONTROL!$C$21, $C$9, 100%, $E$9)</f>
        <v>36.306399999999996</v>
      </c>
      <c r="M608" s="14">
        <f>CHOOSE(CONTROL!$C$42, 34.7475, 34.7475) * CHOOSE(CONTROL!$C$21, $C$9, 100%, $E$9)</f>
        <v>34.747500000000002</v>
      </c>
      <c r="N608" s="14">
        <f>CHOOSE(CONTROL!$C$42, 34.7639, 34.7639) * CHOOSE(CONTROL!$C$21, $C$9, 100%, $E$9)</f>
        <v>34.7639</v>
      </c>
      <c r="O608" s="14">
        <f>CHOOSE(CONTROL!$C$42, 34.9953, 34.9953) * CHOOSE(CONTROL!$C$21, $C$9, 100%, $E$9)</f>
        <v>34.9953</v>
      </c>
      <c r="P608" s="14">
        <f>CHOOSE(CONTROL!$C$42, 34.8815, 34.8815) * CHOOSE(CONTROL!$C$21, $C$9, 100%, $E$9)</f>
        <v>34.881500000000003</v>
      </c>
      <c r="Q608" s="14">
        <f>CHOOSE(CONTROL!$C$42, 35.59, 35.59) * CHOOSE(CONTROL!$C$21, $C$9, 100%, $E$9)</f>
        <v>35.590000000000003</v>
      </c>
      <c r="R608" s="14">
        <f>CHOOSE(CONTROL!$C$42, 36.2659, 36.2659) * CHOOSE(CONTROL!$C$21, $C$9, 100%, $E$9)</f>
        <v>36.265900000000002</v>
      </c>
      <c r="S608" s="14">
        <f>CHOOSE(CONTROL!$C$42, 34.0882, 34.0882) * CHOOSE(CONTROL!$C$21, $C$9, 100%, $E$9)</f>
        <v>34.088200000000001</v>
      </c>
      <c r="T6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7">
        <f>(1000*CHOOSE(CONTROL!$C$42, 695, 695)*CHOOSE(CONTROL!$C$42, 0.5599, 0.5599)*CHOOSE(CONTROL!$C$42, 31, 31))/1000000</f>
        <v>12.063045499999998</v>
      </c>
      <c r="V608" s="57">
        <f>(1000*CHOOSE(CONTROL!$C$42, 500, 500)*CHOOSE(CONTROL!$C$42, 0.275, 0.275)*CHOOSE(CONTROL!$C$42, 31, 31))/1000000</f>
        <v>4.2625000000000002</v>
      </c>
      <c r="W608" s="57">
        <f>(1000*CHOOSE(CONTROL!$C$42, 0.1146, 0.1146)*CHOOSE(CONTROL!$C$42, 121.5, 121.5)*CHOOSE(CONTROL!$C$42, 31, 31))/1000000</f>
        <v>0.43164089999999994</v>
      </c>
      <c r="X608" s="57">
        <f>(31*0.1790888*245000/1000000)+(31*0.2374*100000/1000000)</f>
        <v>2.0961194359999999</v>
      </c>
      <c r="Y608" s="57"/>
      <c r="Z608" s="14"/>
      <c r="AA608" s="56"/>
      <c r="AB608" s="50">
        <f>(B608*194.205+C608*267.466+D608*133.845+E608*53.484+F608*40+G608*185+H608*0+I608*100+J608*300)/(194.205+267.466+133.845+53.484+0+40+185+100+300)</f>
        <v>35.52550078304553</v>
      </c>
      <c r="AC608" s="45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34.880036690647486</v>
      </c>
    </row>
    <row r="609" spans="1:29" ht="15.75" x14ac:dyDescent="0.25">
      <c r="A609" s="32">
        <v>59444</v>
      </c>
      <c r="B609" s="14">
        <f>CHOOSE(CONTROL!$C$42, 33.2338, 33.2338) * CHOOSE(CONTROL!$C$21, $C$9, 100%, $E$9)</f>
        <v>33.233800000000002</v>
      </c>
      <c r="C609" s="14">
        <f>CHOOSE(CONTROL!$C$42, 33.2418, 33.2418) * CHOOSE(CONTROL!$C$21, $C$9, 100%, $E$9)</f>
        <v>33.241799999999998</v>
      </c>
      <c r="D609" s="14">
        <f>CHOOSE(CONTROL!$C$42, 33.4468, 33.4468) * CHOOSE(CONTROL!$C$21, $C$9, 100%, $E$9)</f>
        <v>33.446800000000003</v>
      </c>
      <c r="E609" s="14">
        <f>CHOOSE(CONTROL!$C$42, 33.4782, 33.4782) * CHOOSE(CONTROL!$C$21, $C$9, 100%, $E$9)</f>
        <v>33.478200000000001</v>
      </c>
      <c r="F609" s="14">
        <f>CHOOSE(CONTROL!$C$42, 33.2209, 33.2209)*CHOOSE(CONTROL!$C$21, $C$9, 100%, $E$9)</f>
        <v>33.2209</v>
      </c>
      <c r="G609" s="14">
        <f>CHOOSE(CONTROL!$C$42, 33.2376, 33.2376)*CHOOSE(CONTROL!$C$21, $C$9, 100%, $E$9)</f>
        <v>33.2376</v>
      </c>
      <c r="H609" s="14">
        <f>CHOOSE(CONTROL!$C$42, 33.4669, 33.4669) * CHOOSE(CONTROL!$C$21, $C$9, 100%, $E$9)</f>
        <v>33.466900000000003</v>
      </c>
      <c r="I609" s="14">
        <f>CHOOSE(CONTROL!$C$42, 33.3459, 33.3459)* CHOOSE(CONTROL!$C$21, $C$9, 100%, $E$9)</f>
        <v>33.3459</v>
      </c>
      <c r="J609" s="14">
        <f>CHOOSE(CONTROL!$C$42, 33.2139, 33.2139)* CHOOSE(CONTROL!$C$21, $C$9, 100%, $E$9)</f>
        <v>33.213900000000002</v>
      </c>
      <c r="K609" s="53">
        <f>CHOOSE(CONTROL!$C$42, 33.342, 33.342) * CHOOSE(CONTROL!$C$21, $C$9, 100%, $E$9)</f>
        <v>33.341999999999999</v>
      </c>
      <c r="L609" s="14">
        <f>CHOOSE(CONTROL!$C$42, 34.0539, 34.0539) * CHOOSE(CONTROL!$C$21, $C$9, 100%, $E$9)</f>
        <v>34.053899999999999</v>
      </c>
      <c r="M609" s="14">
        <f>CHOOSE(CONTROL!$C$42, 32.5411, 32.5411) * CHOOSE(CONTROL!$C$21, $C$9, 100%, $E$9)</f>
        <v>32.5411</v>
      </c>
      <c r="N609" s="14">
        <f>CHOOSE(CONTROL!$C$42, 32.5574, 32.5574) * CHOOSE(CONTROL!$C$21, $C$9, 100%, $E$9)</f>
        <v>32.557400000000001</v>
      </c>
      <c r="O609" s="14">
        <f>CHOOSE(CONTROL!$C$42, 32.7888, 32.7888) * CHOOSE(CONTROL!$C$21, $C$9, 100%, $E$9)</f>
        <v>32.788800000000002</v>
      </c>
      <c r="P609" s="14">
        <f>CHOOSE(CONTROL!$C$42, 32.6683, 32.6683) * CHOOSE(CONTROL!$C$21, $C$9, 100%, $E$9)</f>
        <v>32.668300000000002</v>
      </c>
      <c r="Q609" s="14">
        <f>CHOOSE(CONTROL!$C$42, 33.3835, 33.3835) * CHOOSE(CONTROL!$C$21, $C$9, 100%, $E$9)</f>
        <v>33.383499999999998</v>
      </c>
      <c r="R609" s="14">
        <f>CHOOSE(CONTROL!$C$42, 34.054, 34.054) * CHOOSE(CONTROL!$C$21, $C$9, 100%, $E$9)</f>
        <v>34.054000000000002</v>
      </c>
      <c r="S609" s="14">
        <f>CHOOSE(CONTROL!$C$42, 31.9237, 31.9237) * CHOOSE(CONTROL!$C$21, $C$9, 100%, $E$9)</f>
        <v>31.9237</v>
      </c>
      <c r="T6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7">
        <f>(1000*CHOOSE(CONTROL!$C$42, 695, 695)*CHOOSE(CONTROL!$C$42, 0.5599, 0.5599)*CHOOSE(CONTROL!$C$42, 30, 30))/1000000</f>
        <v>11.673914999999997</v>
      </c>
      <c r="V609" s="57">
        <f>(1000*CHOOSE(CONTROL!$C$42, 500, 500)*CHOOSE(CONTROL!$C$42, 0.275, 0.275)*CHOOSE(CONTROL!$C$42, 30, 30))/1000000</f>
        <v>4.125</v>
      </c>
      <c r="W609" s="57">
        <f>(1000*CHOOSE(CONTROL!$C$42, 0.1146, 0.1146)*CHOOSE(CONTROL!$C$42, 121.5, 121.5)*CHOOSE(CONTROL!$C$42, 30, 30))/1000000</f>
        <v>0.417717</v>
      </c>
      <c r="X609" s="57">
        <f>(30*0.1790888*245000/1000000)+(30*0.2374*100000/1000000)</f>
        <v>2.0285026799999999</v>
      </c>
      <c r="Y609" s="57"/>
      <c r="Z609" s="14"/>
      <c r="AA609" s="56"/>
      <c r="AB609" s="50">
        <f>(B609*194.205+C609*267.466+D609*133.845+E609*53.484+F609*40+G609*185+H609*0+I609*100+J609*300)/(194.205+267.466+133.845+53.484+0+40+185+100+300)</f>
        <v>33.272377082103617</v>
      </c>
      <c r="AC609" s="45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32.672607194244605</v>
      </c>
    </row>
    <row r="610" spans="1:29" ht="15.75" x14ac:dyDescent="0.25">
      <c r="A610" s="32">
        <v>59475</v>
      </c>
      <c r="B610" s="14">
        <f>CHOOSE(CONTROL!$C$42, 32.5575, 32.5575) * CHOOSE(CONTROL!$C$21, $C$9, 100%, $E$9)</f>
        <v>32.557499999999997</v>
      </c>
      <c r="C610" s="14">
        <f>CHOOSE(CONTROL!$C$42, 32.5628, 32.5628) * CHOOSE(CONTROL!$C$21, $C$9, 100%, $E$9)</f>
        <v>32.562800000000003</v>
      </c>
      <c r="D610" s="14">
        <f>CHOOSE(CONTROL!$C$42, 32.7727, 32.7727) * CHOOSE(CONTROL!$C$21, $C$9, 100%, $E$9)</f>
        <v>32.7727</v>
      </c>
      <c r="E610" s="14">
        <f>CHOOSE(CONTROL!$C$42, 32.8018, 32.8018) * CHOOSE(CONTROL!$C$21, $C$9, 100%, $E$9)</f>
        <v>32.8018</v>
      </c>
      <c r="F610" s="14">
        <f>CHOOSE(CONTROL!$C$42, 32.5467, 32.5467)*CHOOSE(CONTROL!$C$21, $C$9, 100%, $E$9)</f>
        <v>32.546700000000001</v>
      </c>
      <c r="G610" s="14">
        <f>CHOOSE(CONTROL!$C$42, 32.563, 32.563)*CHOOSE(CONTROL!$C$21, $C$9, 100%, $E$9)</f>
        <v>32.563000000000002</v>
      </c>
      <c r="H610" s="14">
        <f>CHOOSE(CONTROL!$C$42, 32.7923, 32.7923) * CHOOSE(CONTROL!$C$21, $C$9, 100%, $E$9)</f>
        <v>32.792299999999997</v>
      </c>
      <c r="I610" s="14">
        <f>CHOOSE(CONTROL!$C$42, 32.6692, 32.6692)* CHOOSE(CONTROL!$C$21, $C$9, 100%, $E$9)</f>
        <v>32.669199999999996</v>
      </c>
      <c r="J610" s="14">
        <f>CHOOSE(CONTROL!$C$42, 32.5397, 32.5397)* CHOOSE(CONTROL!$C$21, $C$9, 100%, $E$9)</f>
        <v>32.539700000000003</v>
      </c>
      <c r="K610" s="53">
        <f>CHOOSE(CONTROL!$C$42, 32.6654, 32.6654) * CHOOSE(CONTROL!$C$21, $C$9, 100%, $E$9)</f>
        <v>32.665399999999998</v>
      </c>
      <c r="L610" s="14">
        <f>CHOOSE(CONTROL!$C$42, 33.3793, 33.3793) * CHOOSE(CONTROL!$C$21, $C$9, 100%, $E$9)</f>
        <v>33.379300000000001</v>
      </c>
      <c r="M610" s="14">
        <f>CHOOSE(CONTROL!$C$42, 31.8807, 31.8807) * CHOOSE(CONTROL!$C$21, $C$9, 100%, $E$9)</f>
        <v>31.880700000000001</v>
      </c>
      <c r="N610" s="14">
        <f>CHOOSE(CONTROL!$C$42, 31.8967, 31.8967) * CHOOSE(CONTROL!$C$21, $C$9, 100%, $E$9)</f>
        <v>31.896699999999999</v>
      </c>
      <c r="O610" s="14">
        <f>CHOOSE(CONTROL!$C$42, 32.1281, 32.1281) * CHOOSE(CONTROL!$C$21, $C$9, 100%, $E$9)</f>
        <v>32.128100000000003</v>
      </c>
      <c r="P610" s="14">
        <f>CHOOSE(CONTROL!$C$42, 32.0056, 32.0056) * CHOOSE(CONTROL!$C$21, $C$9, 100%, $E$9)</f>
        <v>32.005600000000001</v>
      </c>
      <c r="Q610" s="14">
        <f>CHOOSE(CONTROL!$C$42, 32.7228, 32.7228) * CHOOSE(CONTROL!$C$21, $C$9, 100%, $E$9)</f>
        <v>32.722799999999999</v>
      </c>
      <c r="R610" s="14">
        <f>CHOOSE(CONTROL!$C$42, 33.3916, 33.3916) * CHOOSE(CONTROL!$C$21, $C$9, 100%, $E$9)</f>
        <v>33.391599999999997</v>
      </c>
      <c r="S610" s="14">
        <f>CHOOSE(CONTROL!$C$42, 31.2755, 31.2755) * CHOOSE(CONTROL!$C$21, $C$9, 100%, $E$9)</f>
        <v>31.275500000000001</v>
      </c>
      <c r="T6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7">
        <f>(1000*CHOOSE(CONTROL!$C$42, 695, 695)*CHOOSE(CONTROL!$C$42, 0.5599, 0.5599)*CHOOSE(CONTROL!$C$42, 31, 31))/1000000</f>
        <v>12.063045499999998</v>
      </c>
      <c r="V610" s="57">
        <f>(1000*CHOOSE(CONTROL!$C$42, 500, 500)*CHOOSE(CONTROL!$C$42, 0.275, 0.275)*CHOOSE(CONTROL!$C$42, 31, 31))/1000000</f>
        <v>4.2625000000000002</v>
      </c>
      <c r="W610" s="57">
        <f>(1000*CHOOSE(CONTROL!$C$42, 0.1146, 0.1146)*CHOOSE(CONTROL!$C$42, 121.5, 121.5)*CHOOSE(CONTROL!$C$42, 31, 31))/1000000</f>
        <v>0.43164089999999994</v>
      </c>
      <c r="X610" s="57">
        <f>(31*0.1790888*245000/1000000)+(31*0.2374*100000/1000000)</f>
        <v>2.0961194359999999</v>
      </c>
      <c r="Y610" s="57"/>
      <c r="Z610" s="14"/>
      <c r="AA610" s="56"/>
      <c r="AB610" s="50">
        <f>(B610*131.881+C610*277.167+D610*79.08+E610*125.872+F610*40+G610*185+H610*0+I610*100+J610*300)/(131.881+277.167+79.08+125.872+0+40+185+100+300)</f>
        <v>32.602417700322839</v>
      </c>
      <c r="AC610" s="45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32.011723021582739</v>
      </c>
    </row>
    <row r="611" spans="1:29" ht="15.75" x14ac:dyDescent="0.25">
      <c r="A611" s="32">
        <v>59505</v>
      </c>
      <c r="B611" s="14">
        <f>CHOOSE(CONTROL!$C$42, 33.4145, 33.4145) * CHOOSE(CONTROL!$C$21, $C$9, 100%, $E$9)</f>
        <v>33.414499999999997</v>
      </c>
      <c r="C611" s="14">
        <f>CHOOSE(CONTROL!$C$42, 33.4196, 33.4196) * CHOOSE(CONTROL!$C$21, $C$9, 100%, $E$9)</f>
        <v>33.419600000000003</v>
      </c>
      <c r="D611" s="14">
        <f>CHOOSE(CONTROL!$C$42, 33.4834, 33.4834) * CHOOSE(CONTROL!$C$21, $C$9, 100%, $E$9)</f>
        <v>33.483400000000003</v>
      </c>
      <c r="E611" s="14">
        <f>CHOOSE(CONTROL!$C$42, 33.5175, 33.5175) * CHOOSE(CONTROL!$C$21, $C$9, 100%, $E$9)</f>
        <v>33.517499999999998</v>
      </c>
      <c r="F611" s="14">
        <f>CHOOSE(CONTROL!$C$42, 33.4167, 33.4167)*CHOOSE(CONTROL!$C$21, $C$9, 100%, $E$9)</f>
        <v>33.416699999999999</v>
      </c>
      <c r="G611" s="14">
        <f>CHOOSE(CONTROL!$C$42, 33.4334, 33.4334)*CHOOSE(CONTROL!$C$21, $C$9, 100%, $E$9)</f>
        <v>33.433399999999999</v>
      </c>
      <c r="H611" s="14">
        <f>CHOOSE(CONTROL!$C$42, 33.5067, 33.5067) * CHOOSE(CONTROL!$C$21, $C$9, 100%, $E$9)</f>
        <v>33.506700000000002</v>
      </c>
      <c r="I611" s="14">
        <f>CHOOSE(CONTROL!$C$42, 33.533, 33.533)* CHOOSE(CONTROL!$C$21, $C$9, 100%, $E$9)</f>
        <v>33.533000000000001</v>
      </c>
      <c r="J611" s="14">
        <f>CHOOSE(CONTROL!$C$42, 33.4097, 33.4097)* CHOOSE(CONTROL!$C$21, $C$9, 100%, $E$9)</f>
        <v>33.409700000000001</v>
      </c>
      <c r="K611" s="53">
        <f>CHOOSE(CONTROL!$C$42, 33.5291, 33.5291) * CHOOSE(CONTROL!$C$21, $C$9, 100%, $E$9)</f>
        <v>33.5291</v>
      </c>
      <c r="L611" s="14">
        <f>CHOOSE(CONTROL!$C$42, 34.0937, 34.0937) * CHOOSE(CONTROL!$C$21, $C$9, 100%, $E$9)</f>
        <v>34.093699999999998</v>
      </c>
      <c r="M611" s="14">
        <f>CHOOSE(CONTROL!$C$42, 32.7329, 32.7329) * CHOOSE(CONTROL!$C$21, $C$9, 100%, $E$9)</f>
        <v>32.732900000000001</v>
      </c>
      <c r="N611" s="14">
        <f>CHOOSE(CONTROL!$C$42, 32.7492, 32.7492) * CHOOSE(CONTROL!$C$21, $C$9, 100%, $E$9)</f>
        <v>32.749200000000002</v>
      </c>
      <c r="O611" s="14">
        <f>CHOOSE(CONTROL!$C$42, 32.8278, 32.8278) * CHOOSE(CONTROL!$C$21, $C$9, 100%, $E$9)</f>
        <v>32.827800000000003</v>
      </c>
      <c r="P611" s="14">
        <f>CHOOSE(CONTROL!$C$42, 32.8516, 32.8516) * CHOOSE(CONTROL!$C$21, $C$9, 100%, $E$9)</f>
        <v>32.851599999999998</v>
      </c>
      <c r="Q611" s="14">
        <f>CHOOSE(CONTROL!$C$42, 33.4225, 33.4225) * CHOOSE(CONTROL!$C$21, $C$9, 100%, $E$9)</f>
        <v>33.422499999999999</v>
      </c>
      <c r="R611" s="14">
        <f>CHOOSE(CONTROL!$C$42, 34.0931, 34.0931) * CHOOSE(CONTROL!$C$21, $C$9, 100%, $E$9)</f>
        <v>34.0931</v>
      </c>
      <c r="S611" s="14">
        <f>CHOOSE(CONTROL!$C$42, 32.0995, 32.0995) * CHOOSE(CONTROL!$C$21, $C$9, 100%, $E$9)</f>
        <v>32.099499999999999</v>
      </c>
      <c r="T6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7">
        <f>(1000*CHOOSE(CONTROL!$C$42, 695, 695)*CHOOSE(CONTROL!$C$42, 0.5599, 0.5599)*CHOOSE(CONTROL!$C$42, 30, 30))/1000000</f>
        <v>11.673914999999997</v>
      </c>
      <c r="V611" s="57">
        <f>(1000*CHOOSE(CONTROL!$C$42, 500, 500)*CHOOSE(CONTROL!$C$42, 0.275, 0.275)*CHOOSE(CONTROL!$C$42, 30, 30))/1000000</f>
        <v>4.125</v>
      </c>
      <c r="W611" s="57">
        <f>(1000*CHOOSE(CONTROL!$C$42, 0.1146, 0.1146)*CHOOSE(CONTROL!$C$42, 121.5, 121.5)*CHOOSE(CONTROL!$C$42, 30, 30))/1000000</f>
        <v>0.417717</v>
      </c>
      <c r="X611" s="57">
        <f>(30*0.1790888*100000/1000000)+(30*0.2374*100000/1000000)</f>
        <v>1.2494664</v>
      </c>
      <c r="Y611" s="57"/>
      <c r="Z611" s="14"/>
      <c r="AA611" s="56"/>
      <c r="AB611" s="50">
        <f>(B611*122.58+C611*297.941+D611*89.177+E611*40.302+F611*40+G611*160+H611*0+I611*100+J611*300)/(122.58+297.941+89.177+40.302+0+40+160+100+300)</f>
        <v>33.43653208730435</v>
      </c>
      <c r="AC611" s="45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32.793929496402882</v>
      </c>
    </row>
    <row r="612" spans="1:29" ht="15.75" x14ac:dyDescent="0.25">
      <c r="A612" s="32">
        <v>59536</v>
      </c>
      <c r="B612" s="14">
        <f>CHOOSE(CONTROL!$C$42, 35.692, 35.692) * CHOOSE(CONTROL!$C$21, $C$9, 100%, $E$9)</f>
        <v>35.692</v>
      </c>
      <c r="C612" s="14">
        <f>CHOOSE(CONTROL!$C$42, 35.6971, 35.6971) * CHOOSE(CONTROL!$C$21, $C$9, 100%, $E$9)</f>
        <v>35.697099999999999</v>
      </c>
      <c r="D612" s="14">
        <f>CHOOSE(CONTROL!$C$42, 35.7609, 35.7609) * CHOOSE(CONTROL!$C$21, $C$9, 100%, $E$9)</f>
        <v>35.760899999999999</v>
      </c>
      <c r="E612" s="14">
        <f>CHOOSE(CONTROL!$C$42, 35.795, 35.795) * CHOOSE(CONTROL!$C$21, $C$9, 100%, $E$9)</f>
        <v>35.795000000000002</v>
      </c>
      <c r="F612" s="14">
        <f>CHOOSE(CONTROL!$C$42, 35.6963, 35.6963)*CHOOSE(CONTROL!$C$21, $C$9, 100%, $E$9)</f>
        <v>35.696300000000001</v>
      </c>
      <c r="G612" s="14">
        <f>CHOOSE(CONTROL!$C$42, 35.7135, 35.7135)*CHOOSE(CONTROL!$C$21, $C$9, 100%, $E$9)</f>
        <v>35.713500000000003</v>
      </c>
      <c r="H612" s="14">
        <f>CHOOSE(CONTROL!$C$42, 35.7842, 35.7842) * CHOOSE(CONTROL!$C$21, $C$9, 100%, $E$9)</f>
        <v>35.784199999999998</v>
      </c>
      <c r="I612" s="14">
        <f>CHOOSE(CONTROL!$C$42, 35.8177, 35.8177)* CHOOSE(CONTROL!$C$21, $C$9, 100%, $E$9)</f>
        <v>35.817700000000002</v>
      </c>
      <c r="J612" s="14">
        <f>CHOOSE(CONTROL!$C$42, 35.6893, 35.6893)* CHOOSE(CONTROL!$C$21, $C$9, 100%, $E$9)</f>
        <v>35.689300000000003</v>
      </c>
      <c r="K612" s="53">
        <f>CHOOSE(CONTROL!$C$42, 35.8138, 35.8138) * CHOOSE(CONTROL!$C$21, $C$9, 100%, $E$9)</f>
        <v>35.813800000000001</v>
      </c>
      <c r="L612" s="14">
        <f>CHOOSE(CONTROL!$C$42, 36.3712, 36.3712) * CHOOSE(CONTROL!$C$21, $C$9, 100%, $E$9)</f>
        <v>36.371200000000002</v>
      </c>
      <c r="M612" s="14">
        <f>CHOOSE(CONTROL!$C$42, 34.9658, 34.9658) * CHOOSE(CONTROL!$C$21, $C$9, 100%, $E$9)</f>
        <v>34.965800000000002</v>
      </c>
      <c r="N612" s="14">
        <f>CHOOSE(CONTROL!$C$42, 34.9826, 34.9826) * CHOOSE(CONTROL!$C$21, $C$9, 100%, $E$9)</f>
        <v>34.982599999999998</v>
      </c>
      <c r="O612" s="14">
        <f>CHOOSE(CONTROL!$C$42, 35.0587, 35.0587) * CHOOSE(CONTROL!$C$21, $C$9, 100%, $E$9)</f>
        <v>35.058700000000002</v>
      </c>
      <c r="P612" s="14">
        <f>CHOOSE(CONTROL!$C$42, 35.0893, 35.0893) * CHOOSE(CONTROL!$C$21, $C$9, 100%, $E$9)</f>
        <v>35.089300000000001</v>
      </c>
      <c r="Q612" s="14">
        <f>CHOOSE(CONTROL!$C$42, 35.6534, 35.6534) * CHOOSE(CONTROL!$C$21, $C$9, 100%, $E$9)</f>
        <v>35.653399999999998</v>
      </c>
      <c r="R612" s="14">
        <f>CHOOSE(CONTROL!$C$42, 36.3295, 36.3295) * CHOOSE(CONTROL!$C$21, $C$9, 100%, $E$9)</f>
        <v>36.329500000000003</v>
      </c>
      <c r="S612" s="14">
        <f>CHOOSE(CONTROL!$C$42, 34.2879, 34.2879) * CHOOSE(CONTROL!$C$21, $C$9, 100%, $E$9)</f>
        <v>34.2879</v>
      </c>
      <c r="T6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7">
        <f>(1000*CHOOSE(CONTROL!$C$42, 695, 695)*CHOOSE(CONTROL!$C$42, 0.5599, 0.5599)*CHOOSE(CONTROL!$C$42, 31, 31))/1000000</f>
        <v>12.063045499999998</v>
      </c>
      <c r="V612" s="57">
        <f>(1000*CHOOSE(CONTROL!$C$42, 500, 500)*CHOOSE(CONTROL!$C$42, 0.275, 0.275)*CHOOSE(CONTROL!$C$42, 31, 31))/1000000</f>
        <v>4.2625000000000002</v>
      </c>
      <c r="W612" s="57">
        <f>(1000*CHOOSE(CONTROL!$C$42, 0.1146, 0.1146)*CHOOSE(CONTROL!$C$42, 121.5, 121.5)*CHOOSE(CONTROL!$C$42, 31, 31))/1000000</f>
        <v>0.43164089999999994</v>
      </c>
      <c r="X612" s="57">
        <f>(31*0.1790888*100000/1000000)+(31*0.2374*100000/1000000)</f>
        <v>1.2911152800000001</v>
      </c>
      <c r="Y612" s="57"/>
      <c r="Z612" s="14"/>
      <c r="AA612" s="56"/>
      <c r="AB612" s="50">
        <f>(B612*122.58+C612*297.941+D612*89.177+E612*40.302+F612*40+G612*160+H612*0+I612*100+J612*300)/(122.58+297.941+89.177+40.302+0+40+160+100+300)</f>
        <v>35.71564078295652</v>
      </c>
      <c r="AC612" s="45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35.026642446043169</v>
      </c>
    </row>
    <row r="613" spans="1:29" ht="15.75" x14ac:dyDescent="0.25">
      <c r="A613" s="32">
        <v>59567</v>
      </c>
      <c r="B613" s="14">
        <f>CHOOSE(CONTROL!$C$42, 38.6149, 38.6149) * CHOOSE(CONTROL!$C$21, $C$9, 100%, $E$9)</f>
        <v>38.614899999999999</v>
      </c>
      <c r="C613" s="14">
        <f>CHOOSE(CONTROL!$C$42, 38.62, 38.62) * CHOOSE(CONTROL!$C$21, $C$9, 100%, $E$9)</f>
        <v>38.619999999999997</v>
      </c>
      <c r="D613" s="14">
        <f>CHOOSE(CONTROL!$C$42, 38.6786, 38.6786) * CHOOSE(CONTROL!$C$21, $C$9, 100%, $E$9)</f>
        <v>38.678600000000003</v>
      </c>
      <c r="E613" s="14">
        <f>CHOOSE(CONTROL!$C$42, 38.7127, 38.7127) * CHOOSE(CONTROL!$C$21, $C$9, 100%, $E$9)</f>
        <v>38.712699999999998</v>
      </c>
      <c r="F613" s="14">
        <f>CHOOSE(CONTROL!$C$42, 38.614, 38.614)*CHOOSE(CONTROL!$C$21, $C$9, 100%, $E$9)</f>
        <v>38.613999999999997</v>
      </c>
      <c r="G613" s="14">
        <f>CHOOSE(CONTROL!$C$42, 38.6304, 38.6304)*CHOOSE(CONTROL!$C$21, $C$9, 100%, $E$9)</f>
        <v>38.630400000000002</v>
      </c>
      <c r="H613" s="14">
        <f>CHOOSE(CONTROL!$C$42, 38.7019, 38.7019) * CHOOSE(CONTROL!$C$21, $C$9, 100%, $E$9)</f>
        <v>38.701900000000002</v>
      </c>
      <c r="I613" s="14">
        <f>CHOOSE(CONTROL!$C$42, 38.7461, 38.7461)* CHOOSE(CONTROL!$C$21, $C$9, 100%, $E$9)</f>
        <v>38.746099999999998</v>
      </c>
      <c r="J613" s="14">
        <f>CHOOSE(CONTROL!$C$42, 38.607, 38.607)* CHOOSE(CONTROL!$C$21, $C$9, 100%, $E$9)</f>
        <v>38.606999999999999</v>
      </c>
      <c r="K613" s="53">
        <f>CHOOSE(CONTROL!$C$42, 38.7422, 38.7422) * CHOOSE(CONTROL!$C$21, $C$9, 100%, $E$9)</f>
        <v>38.742199999999997</v>
      </c>
      <c r="L613" s="14">
        <f>CHOOSE(CONTROL!$C$42, 39.2889, 39.2889) * CHOOSE(CONTROL!$C$21, $C$9, 100%, $E$9)</f>
        <v>39.288899999999998</v>
      </c>
      <c r="M613" s="14">
        <f>CHOOSE(CONTROL!$C$42, 37.8237, 37.8237) * CHOOSE(CONTROL!$C$21, $C$9, 100%, $E$9)</f>
        <v>37.823700000000002</v>
      </c>
      <c r="N613" s="14">
        <f>CHOOSE(CONTROL!$C$42, 37.8397, 37.8397) * CHOOSE(CONTROL!$C$21, $C$9, 100%, $E$9)</f>
        <v>37.839700000000001</v>
      </c>
      <c r="O613" s="14">
        <f>CHOOSE(CONTROL!$C$42, 37.9166, 37.9166) * CHOOSE(CONTROL!$C$21, $C$9, 100%, $E$9)</f>
        <v>37.916600000000003</v>
      </c>
      <c r="P613" s="14">
        <f>CHOOSE(CONTROL!$C$42, 37.9575, 37.9575) * CHOOSE(CONTROL!$C$21, $C$9, 100%, $E$9)</f>
        <v>37.957500000000003</v>
      </c>
      <c r="Q613" s="14">
        <f>CHOOSE(CONTROL!$C$42, 38.5113, 38.5113) * CHOOSE(CONTROL!$C$21, $C$9, 100%, $E$9)</f>
        <v>38.511299999999999</v>
      </c>
      <c r="R613" s="14">
        <f>CHOOSE(CONTROL!$C$42, 39.1946, 39.1946) * CHOOSE(CONTROL!$C$21, $C$9, 100%, $E$9)</f>
        <v>39.194600000000001</v>
      </c>
      <c r="S613" s="14">
        <f>CHOOSE(CONTROL!$C$42, 37.0965, 37.0965) * CHOOSE(CONTROL!$C$21, $C$9, 100%, $E$9)</f>
        <v>37.096499999999999</v>
      </c>
      <c r="T6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7">
        <f>(1000*CHOOSE(CONTROL!$C$42, 695, 695)*CHOOSE(CONTROL!$C$42, 0.5599, 0.5599)*CHOOSE(CONTROL!$C$42, 31, 31))/1000000</f>
        <v>12.063045499999998</v>
      </c>
      <c r="V613" s="57">
        <f>(1000*CHOOSE(CONTROL!$C$42, 500, 500)*CHOOSE(CONTROL!$C$42, 0.275, 0.275)*CHOOSE(CONTROL!$C$42, 31, 31))/1000000</f>
        <v>4.2625000000000002</v>
      </c>
      <c r="W613" s="57">
        <f>(1000*CHOOSE(CONTROL!$C$42, 0.1146, 0.1146)*CHOOSE(CONTROL!$C$42, 121.5, 121.5)*CHOOSE(CONTROL!$C$42, 31, 31))/1000000</f>
        <v>0.43164089999999994</v>
      </c>
      <c r="X613" s="57">
        <f>(31*0.1790888*100000/1000000)+(31*0.2374*100000/1000000)</f>
        <v>1.2911152800000001</v>
      </c>
      <c r="Y613" s="57"/>
      <c r="Z613" s="14"/>
      <c r="AA613" s="56"/>
      <c r="AB613" s="50">
        <f>(B613*122.58+C613*297.941+D613*89.177+E613*40.302+F613*40+G613*160+H613*0+I613*100+J613*300)/(122.58+297.941+89.177+40.302+0+40+160+100+300)</f>
        <v>38.636061399652178</v>
      </c>
      <c r="AC613" s="45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37.885978417266188</v>
      </c>
    </row>
    <row r="614" spans="1:29" ht="15.75" x14ac:dyDescent="0.25">
      <c r="A614" s="32">
        <v>59595</v>
      </c>
      <c r="B614" s="14">
        <f>CHOOSE(CONTROL!$C$42, 39.3021, 39.3021) * CHOOSE(CONTROL!$C$21, $C$9, 100%, $E$9)</f>
        <v>39.302100000000003</v>
      </c>
      <c r="C614" s="14">
        <f>CHOOSE(CONTROL!$C$42, 39.3072, 39.3072) * CHOOSE(CONTROL!$C$21, $C$9, 100%, $E$9)</f>
        <v>39.307200000000002</v>
      </c>
      <c r="D614" s="14">
        <f>CHOOSE(CONTROL!$C$42, 39.3658, 39.3658) * CHOOSE(CONTROL!$C$21, $C$9, 100%, $E$9)</f>
        <v>39.3658</v>
      </c>
      <c r="E614" s="14">
        <f>CHOOSE(CONTROL!$C$42, 39.3999, 39.3999) * CHOOSE(CONTROL!$C$21, $C$9, 100%, $E$9)</f>
        <v>39.399900000000002</v>
      </c>
      <c r="F614" s="14">
        <f>CHOOSE(CONTROL!$C$42, 39.3012, 39.3012)*CHOOSE(CONTROL!$C$21, $C$9, 100%, $E$9)</f>
        <v>39.301200000000001</v>
      </c>
      <c r="G614" s="14">
        <f>CHOOSE(CONTROL!$C$42, 39.3176, 39.3176)*CHOOSE(CONTROL!$C$21, $C$9, 100%, $E$9)</f>
        <v>39.317599999999999</v>
      </c>
      <c r="H614" s="14">
        <f>CHOOSE(CONTROL!$C$42, 39.3891, 39.3891) * CHOOSE(CONTROL!$C$21, $C$9, 100%, $E$9)</f>
        <v>39.389099999999999</v>
      </c>
      <c r="I614" s="14">
        <f>CHOOSE(CONTROL!$C$42, 39.4355, 39.4355)* CHOOSE(CONTROL!$C$21, $C$9, 100%, $E$9)</f>
        <v>39.435499999999998</v>
      </c>
      <c r="J614" s="14">
        <f>CHOOSE(CONTROL!$C$42, 39.2942, 39.2942)* CHOOSE(CONTROL!$C$21, $C$9, 100%, $E$9)</f>
        <v>39.294199999999996</v>
      </c>
      <c r="K614" s="53">
        <f>CHOOSE(CONTROL!$C$42, 39.4316, 39.4316) * CHOOSE(CONTROL!$C$21, $C$9, 100%, $E$9)</f>
        <v>39.431600000000003</v>
      </c>
      <c r="L614" s="14">
        <f>CHOOSE(CONTROL!$C$42, 39.9761, 39.9761) * CHOOSE(CONTROL!$C$21, $C$9, 100%, $E$9)</f>
        <v>39.976100000000002</v>
      </c>
      <c r="M614" s="14">
        <f>CHOOSE(CONTROL!$C$42, 38.4968, 38.4968) * CHOOSE(CONTROL!$C$21, $C$9, 100%, $E$9)</f>
        <v>38.4968</v>
      </c>
      <c r="N614" s="14">
        <f>CHOOSE(CONTROL!$C$42, 38.5128, 38.5128) * CHOOSE(CONTROL!$C$21, $C$9, 100%, $E$9)</f>
        <v>38.512799999999999</v>
      </c>
      <c r="O614" s="14">
        <f>CHOOSE(CONTROL!$C$42, 38.5898, 38.5898) * CHOOSE(CONTROL!$C$21, $C$9, 100%, $E$9)</f>
        <v>38.589799999999997</v>
      </c>
      <c r="P614" s="14">
        <f>CHOOSE(CONTROL!$C$42, 38.6327, 38.6327) * CHOOSE(CONTROL!$C$21, $C$9, 100%, $E$9)</f>
        <v>38.6327</v>
      </c>
      <c r="Q614" s="14">
        <f>CHOOSE(CONTROL!$C$42, 39.1845, 39.1845) * CHOOSE(CONTROL!$C$21, $C$9, 100%, $E$9)</f>
        <v>39.1845</v>
      </c>
      <c r="R614" s="14">
        <f>CHOOSE(CONTROL!$C$42, 39.8694, 39.8694) * CHOOSE(CONTROL!$C$21, $C$9, 100%, $E$9)</f>
        <v>39.869399999999999</v>
      </c>
      <c r="S614" s="14">
        <f>CHOOSE(CONTROL!$C$42, 37.7569, 37.7569) * CHOOSE(CONTROL!$C$21, $C$9, 100%, $E$9)</f>
        <v>37.756900000000002</v>
      </c>
      <c r="T6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7">
        <f>(1000*CHOOSE(CONTROL!$C$42, 695, 695)*CHOOSE(CONTROL!$C$42, 0.5599, 0.5599)*CHOOSE(CONTROL!$C$42, 28, 28))/1000000</f>
        <v>10.895653999999999</v>
      </c>
      <c r="V614" s="57">
        <f>(1000*CHOOSE(CONTROL!$C$42, 500, 500)*CHOOSE(CONTROL!$C$42, 0.275, 0.275)*CHOOSE(CONTROL!$C$42, 28, 28))/1000000</f>
        <v>3.85</v>
      </c>
      <c r="W614" s="57">
        <f>(1000*CHOOSE(CONTROL!$C$42, 0.1146, 0.1146)*CHOOSE(CONTROL!$C$42, 121.5, 121.5)*CHOOSE(CONTROL!$C$42, 28, 28))/1000000</f>
        <v>0.38986920000000003</v>
      </c>
      <c r="X614" s="57">
        <f>(28*0.1790888*100000/1000000)+(28*0.2374*100000/1000000)</f>
        <v>1.16616864</v>
      </c>
      <c r="Y614" s="57"/>
      <c r="Z614" s="14"/>
      <c r="AA614" s="56"/>
      <c r="AB614" s="50">
        <f>(B614*122.58+C614*297.941+D614*89.177+E614*40.302+F614*40+G614*160+H614*0+I614*100+J614*300)/(122.58+297.941+89.177+40.302+0+40+160+100+300)</f>
        <v>39.323452703999997</v>
      </c>
      <c r="AC614" s="45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38.559425899280576</v>
      </c>
    </row>
    <row r="615" spans="1:29" ht="15.75" x14ac:dyDescent="0.25">
      <c r="A615" s="32">
        <v>59626</v>
      </c>
      <c r="B615" s="14">
        <f>CHOOSE(CONTROL!$C$42, 38.1866, 38.1866) * CHOOSE(CONTROL!$C$21, $C$9, 100%, $E$9)</f>
        <v>38.186599999999999</v>
      </c>
      <c r="C615" s="14">
        <f>CHOOSE(CONTROL!$C$42, 38.1917, 38.1917) * CHOOSE(CONTROL!$C$21, $C$9, 100%, $E$9)</f>
        <v>38.191699999999997</v>
      </c>
      <c r="D615" s="14">
        <f>CHOOSE(CONTROL!$C$42, 38.2503, 38.2503) * CHOOSE(CONTROL!$C$21, $C$9, 100%, $E$9)</f>
        <v>38.250300000000003</v>
      </c>
      <c r="E615" s="14">
        <f>CHOOSE(CONTROL!$C$42, 38.2844, 38.2844) * CHOOSE(CONTROL!$C$21, $C$9, 100%, $E$9)</f>
        <v>38.284399999999998</v>
      </c>
      <c r="F615" s="14">
        <f>CHOOSE(CONTROL!$C$42, 38.1852, 38.1852)*CHOOSE(CONTROL!$C$21, $C$9, 100%, $E$9)</f>
        <v>38.185200000000002</v>
      </c>
      <c r="G615" s="14">
        <f>CHOOSE(CONTROL!$C$42, 38.2014, 38.2014)*CHOOSE(CONTROL!$C$21, $C$9, 100%, $E$9)</f>
        <v>38.2014</v>
      </c>
      <c r="H615" s="14">
        <f>CHOOSE(CONTROL!$C$42, 38.2736, 38.2736) * CHOOSE(CONTROL!$C$21, $C$9, 100%, $E$9)</f>
        <v>38.273600000000002</v>
      </c>
      <c r="I615" s="14">
        <f>CHOOSE(CONTROL!$C$42, 38.3164, 38.3164)* CHOOSE(CONTROL!$C$21, $C$9, 100%, $E$9)</f>
        <v>38.316400000000002</v>
      </c>
      <c r="J615" s="14">
        <f>CHOOSE(CONTROL!$C$42, 38.1782, 38.1782)* CHOOSE(CONTROL!$C$21, $C$9, 100%, $E$9)</f>
        <v>38.178199999999997</v>
      </c>
      <c r="K615" s="53">
        <f>CHOOSE(CONTROL!$C$42, 38.3125, 38.3125) * CHOOSE(CONTROL!$C$21, $C$9, 100%, $E$9)</f>
        <v>38.3125</v>
      </c>
      <c r="L615" s="14">
        <f>CHOOSE(CONTROL!$C$42, 38.8606, 38.8606) * CHOOSE(CONTROL!$C$21, $C$9, 100%, $E$9)</f>
        <v>38.860599999999998</v>
      </c>
      <c r="M615" s="14">
        <f>CHOOSE(CONTROL!$C$42, 37.4036, 37.4036) * CHOOSE(CONTROL!$C$21, $C$9, 100%, $E$9)</f>
        <v>37.403599999999997</v>
      </c>
      <c r="N615" s="14">
        <f>CHOOSE(CONTROL!$C$42, 37.4195, 37.4195) * CHOOSE(CONTROL!$C$21, $C$9, 100%, $E$9)</f>
        <v>37.419499999999999</v>
      </c>
      <c r="O615" s="14">
        <f>CHOOSE(CONTROL!$C$42, 37.4971, 37.4971) * CHOOSE(CONTROL!$C$21, $C$9, 100%, $E$9)</f>
        <v>37.497100000000003</v>
      </c>
      <c r="P615" s="14">
        <f>CHOOSE(CONTROL!$C$42, 37.5367, 37.5367) * CHOOSE(CONTROL!$C$21, $C$9, 100%, $E$9)</f>
        <v>37.536700000000003</v>
      </c>
      <c r="Q615" s="14">
        <f>CHOOSE(CONTROL!$C$42, 38.0918, 38.0918) * CHOOSE(CONTROL!$C$21, $C$9, 100%, $E$9)</f>
        <v>38.091799999999999</v>
      </c>
      <c r="R615" s="14">
        <f>CHOOSE(CONTROL!$C$42, 38.774, 38.774) * CHOOSE(CONTROL!$C$21, $C$9, 100%, $E$9)</f>
        <v>38.774000000000001</v>
      </c>
      <c r="S615" s="14">
        <f>CHOOSE(CONTROL!$C$42, 36.685, 36.685) * CHOOSE(CONTROL!$C$21, $C$9, 100%, $E$9)</f>
        <v>36.685000000000002</v>
      </c>
      <c r="T6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7">
        <f>(1000*CHOOSE(CONTROL!$C$42, 695, 695)*CHOOSE(CONTROL!$C$42, 0.5599, 0.5599)*CHOOSE(CONTROL!$C$42, 31, 31))/1000000</f>
        <v>12.063045499999998</v>
      </c>
      <c r="V615" s="57">
        <f>(1000*CHOOSE(CONTROL!$C$42, 500, 500)*CHOOSE(CONTROL!$C$42, 0.275, 0.275)*CHOOSE(CONTROL!$C$42, 31, 31))/1000000</f>
        <v>4.2625000000000002</v>
      </c>
      <c r="W615" s="57">
        <f>(1000*CHOOSE(CONTROL!$C$42, 0.1146, 0.1146)*CHOOSE(CONTROL!$C$42, 121.5, 121.5)*CHOOSE(CONTROL!$C$42, 31, 31))/1000000</f>
        <v>0.43164089999999994</v>
      </c>
      <c r="X615" s="57">
        <f>(31*0.1790888*100000/1000000)+(31*0.2374*100000/1000000)</f>
        <v>1.2911152800000001</v>
      </c>
      <c r="Y615" s="57"/>
      <c r="Z615" s="14"/>
      <c r="AA615" s="56"/>
      <c r="AB615" s="50">
        <f>(B615*122.58+C615*297.941+D615*89.177+E615*40.302+F615*40+G615*160+H615*0+I615*100+J615*300)/(122.58+297.941+89.177+40.302+0+40+160+100+300)</f>
        <v>38.207394443130433</v>
      </c>
      <c r="AC615" s="45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37.466043884892095</v>
      </c>
    </row>
    <row r="616" spans="1:29" ht="15.75" x14ac:dyDescent="0.25">
      <c r="A616" s="32">
        <v>59656</v>
      </c>
      <c r="B616" s="14">
        <f>CHOOSE(CONTROL!$C$42, 38.0735, 38.0735) * CHOOSE(CONTROL!$C$21, $C$9, 100%, $E$9)</f>
        <v>38.073500000000003</v>
      </c>
      <c r="C616" s="14">
        <f>CHOOSE(CONTROL!$C$42, 38.0779, 38.0779) * CHOOSE(CONTROL!$C$21, $C$9, 100%, $E$9)</f>
        <v>38.0779</v>
      </c>
      <c r="D616" s="14">
        <f>CHOOSE(CONTROL!$C$42, 38.2861, 38.2861) * CHOOSE(CONTROL!$C$21, $C$9, 100%, $E$9)</f>
        <v>38.286099999999998</v>
      </c>
      <c r="E616" s="14">
        <f>CHOOSE(CONTROL!$C$42, 38.3182, 38.3182) * CHOOSE(CONTROL!$C$21, $C$9, 100%, $E$9)</f>
        <v>38.318199999999997</v>
      </c>
      <c r="F616" s="14">
        <f>CHOOSE(CONTROL!$C$42, 38.0608, 38.0608)*CHOOSE(CONTROL!$C$21, $C$9, 100%, $E$9)</f>
        <v>38.0608</v>
      </c>
      <c r="G616" s="14">
        <f>CHOOSE(CONTROL!$C$42, 38.0768, 38.0768)*CHOOSE(CONTROL!$C$21, $C$9, 100%, $E$9)</f>
        <v>38.076799999999999</v>
      </c>
      <c r="H616" s="14">
        <f>CHOOSE(CONTROL!$C$42, 38.308, 38.308) * CHOOSE(CONTROL!$C$21, $C$9, 100%, $E$9)</f>
        <v>38.308</v>
      </c>
      <c r="I616" s="14">
        <f>CHOOSE(CONTROL!$C$42, 38.2022, 38.2022)* CHOOSE(CONTROL!$C$21, $C$9, 100%, $E$9)</f>
        <v>38.202199999999998</v>
      </c>
      <c r="J616" s="14">
        <f>CHOOSE(CONTROL!$C$42, 38.0538, 38.0538)* CHOOSE(CONTROL!$C$21, $C$9, 100%, $E$9)</f>
        <v>38.053800000000003</v>
      </c>
      <c r="K616" s="53">
        <f>CHOOSE(CONTROL!$C$42, 38.1983, 38.1983) * CHOOSE(CONTROL!$C$21, $C$9, 100%, $E$9)</f>
        <v>38.198300000000003</v>
      </c>
      <c r="L616" s="14">
        <f>CHOOSE(CONTROL!$C$42, 38.895, 38.895) * CHOOSE(CONTROL!$C$21, $C$9, 100%, $E$9)</f>
        <v>38.895000000000003</v>
      </c>
      <c r="M616" s="14">
        <f>CHOOSE(CONTROL!$C$42, 37.2818, 37.2818) * CHOOSE(CONTROL!$C$21, $C$9, 100%, $E$9)</f>
        <v>37.281799999999997</v>
      </c>
      <c r="N616" s="14">
        <f>CHOOSE(CONTROL!$C$42, 37.2974, 37.2974) * CHOOSE(CONTROL!$C$21, $C$9, 100%, $E$9)</f>
        <v>37.297400000000003</v>
      </c>
      <c r="O616" s="14">
        <f>CHOOSE(CONTROL!$C$42, 37.5307, 37.5307) * CHOOSE(CONTROL!$C$21, $C$9, 100%, $E$9)</f>
        <v>37.530700000000003</v>
      </c>
      <c r="P616" s="14">
        <f>CHOOSE(CONTROL!$C$42, 37.4248, 37.4248) * CHOOSE(CONTROL!$C$21, $C$9, 100%, $E$9)</f>
        <v>37.424799999999998</v>
      </c>
      <c r="Q616" s="14">
        <f>CHOOSE(CONTROL!$C$42, 38.1254, 38.1254) * CHOOSE(CONTROL!$C$21, $C$9, 100%, $E$9)</f>
        <v>38.125399999999999</v>
      </c>
      <c r="R616" s="14">
        <f>CHOOSE(CONTROL!$C$42, 38.8078, 38.8078) * CHOOSE(CONTROL!$C$21, $C$9, 100%, $E$9)</f>
        <v>38.8078</v>
      </c>
      <c r="S616" s="14">
        <f>CHOOSE(CONTROL!$C$42, 36.5755, 36.5755) * CHOOSE(CONTROL!$C$21, $C$9, 100%, $E$9)</f>
        <v>36.575499999999998</v>
      </c>
      <c r="T6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7">
        <f>(1000*CHOOSE(CONTROL!$C$42, 695, 695)*CHOOSE(CONTROL!$C$42, 0.5599, 0.5599)*CHOOSE(CONTROL!$C$42, 30, 30))/1000000</f>
        <v>11.673914999999997</v>
      </c>
      <c r="V616" s="57">
        <f>(1000*CHOOSE(CONTROL!$C$42, 500, 500)*CHOOSE(CONTROL!$C$42, 0.275, 0.275)*CHOOSE(CONTROL!$C$42, 30, 30))/1000000</f>
        <v>4.125</v>
      </c>
      <c r="W616" s="57">
        <f>(1000*CHOOSE(CONTROL!$C$42, 0.1146, 0.1146)*CHOOSE(CONTROL!$C$42, 121.5, 121.5)*CHOOSE(CONTROL!$C$42, 30, 30))/1000000</f>
        <v>0.417717</v>
      </c>
      <c r="X616" s="57">
        <f>(30*0.1790888*245000/1000000)+(30*0.2374*100000/1000000)</f>
        <v>2.0285026799999999</v>
      </c>
      <c r="Y616" s="57"/>
      <c r="Z616" s="14"/>
      <c r="AA616" s="56"/>
      <c r="AB616" s="50">
        <f>(B616*141.293+C616*267.993+D616*115.016+E616*89.698+F616*40+G616*185+H616*0+I616*100+J616*300)/(141.293+267.993+115.016+89.698+0+40+185+100+300)</f>
        <v>38.117602640355123</v>
      </c>
      <c r="AC616" s="45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37.416084172661868</v>
      </c>
    </row>
    <row r="617" spans="1:29" ht="15.75" x14ac:dyDescent="0.25">
      <c r="A617" s="32">
        <v>59687</v>
      </c>
      <c r="B617" s="14">
        <f>CHOOSE(CONTROL!$C$42, 38.4108, 38.4108) * CHOOSE(CONTROL!$C$21, $C$9, 100%, $E$9)</f>
        <v>38.410800000000002</v>
      </c>
      <c r="C617" s="14">
        <f>CHOOSE(CONTROL!$C$42, 38.4188, 38.4188) * CHOOSE(CONTROL!$C$21, $C$9, 100%, $E$9)</f>
        <v>38.418799999999997</v>
      </c>
      <c r="D617" s="14">
        <f>CHOOSE(CONTROL!$C$42, 38.6238, 38.6238) * CHOOSE(CONTROL!$C$21, $C$9, 100%, $E$9)</f>
        <v>38.623800000000003</v>
      </c>
      <c r="E617" s="14">
        <f>CHOOSE(CONTROL!$C$42, 38.6553, 38.6553) * CHOOSE(CONTROL!$C$21, $C$9, 100%, $E$9)</f>
        <v>38.655299999999997</v>
      </c>
      <c r="F617" s="14">
        <f>CHOOSE(CONTROL!$C$42, 38.397, 38.397)*CHOOSE(CONTROL!$C$21, $C$9, 100%, $E$9)</f>
        <v>38.396999999999998</v>
      </c>
      <c r="G617" s="14">
        <f>CHOOSE(CONTROL!$C$42, 38.4134, 38.4134)*CHOOSE(CONTROL!$C$21, $C$9, 100%, $E$9)</f>
        <v>38.413400000000003</v>
      </c>
      <c r="H617" s="14">
        <f>CHOOSE(CONTROL!$C$42, 38.6439, 38.6439) * CHOOSE(CONTROL!$C$21, $C$9, 100%, $E$9)</f>
        <v>38.643900000000002</v>
      </c>
      <c r="I617" s="14">
        <f>CHOOSE(CONTROL!$C$42, 38.5392, 38.5392)* CHOOSE(CONTROL!$C$21, $C$9, 100%, $E$9)</f>
        <v>38.539200000000001</v>
      </c>
      <c r="J617" s="14">
        <f>CHOOSE(CONTROL!$C$42, 38.39, 38.39)* CHOOSE(CONTROL!$C$21, $C$9, 100%, $E$9)</f>
        <v>38.39</v>
      </c>
      <c r="K617" s="53">
        <f>CHOOSE(CONTROL!$C$42, 38.5353, 38.5353) * CHOOSE(CONTROL!$C$21, $C$9, 100%, $E$9)</f>
        <v>38.535299999999999</v>
      </c>
      <c r="L617" s="14">
        <f>CHOOSE(CONTROL!$C$42, 39.2309, 39.2309) * CHOOSE(CONTROL!$C$21, $C$9, 100%, $E$9)</f>
        <v>39.230899999999998</v>
      </c>
      <c r="M617" s="14">
        <f>CHOOSE(CONTROL!$C$42, 37.6111, 37.6111) * CHOOSE(CONTROL!$C$21, $C$9, 100%, $E$9)</f>
        <v>37.6111</v>
      </c>
      <c r="N617" s="14">
        <f>CHOOSE(CONTROL!$C$42, 37.6272, 37.6272) * CHOOSE(CONTROL!$C$21, $C$9, 100%, $E$9)</f>
        <v>37.627200000000002</v>
      </c>
      <c r="O617" s="14">
        <f>CHOOSE(CONTROL!$C$42, 37.8598, 37.8598) * CHOOSE(CONTROL!$C$21, $C$9, 100%, $E$9)</f>
        <v>37.8598</v>
      </c>
      <c r="P617" s="14">
        <f>CHOOSE(CONTROL!$C$42, 37.7549, 37.7549) * CHOOSE(CONTROL!$C$21, $C$9, 100%, $E$9)</f>
        <v>37.754899999999999</v>
      </c>
      <c r="Q617" s="14">
        <f>CHOOSE(CONTROL!$C$42, 38.4545, 38.4545) * CHOOSE(CONTROL!$C$21, $C$9, 100%, $E$9)</f>
        <v>38.454500000000003</v>
      </c>
      <c r="R617" s="14">
        <f>CHOOSE(CONTROL!$C$42, 39.1376, 39.1376) * CHOOSE(CONTROL!$C$21, $C$9, 100%, $E$9)</f>
        <v>39.137599999999999</v>
      </c>
      <c r="S617" s="14">
        <f>CHOOSE(CONTROL!$C$42, 36.8983, 36.8983) * CHOOSE(CONTROL!$C$21, $C$9, 100%, $E$9)</f>
        <v>36.898299999999999</v>
      </c>
      <c r="T6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7">
        <f>(1000*CHOOSE(CONTROL!$C$42, 695, 695)*CHOOSE(CONTROL!$C$42, 0.5599, 0.5599)*CHOOSE(CONTROL!$C$42, 31, 31))/1000000</f>
        <v>12.063045499999998</v>
      </c>
      <c r="V617" s="57">
        <f>(1000*CHOOSE(CONTROL!$C$42, 500, 500)*CHOOSE(CONTROL!$C$42, 0.275, 0.275)*CHOOSE(CONTROL!$C$42, 31, 31))/1000000</f>
        <v>4.2625000000000002</v>
      </c>
      <c r="W617" s="57">
        <f>(1000*CHOOSE(CONTROL!$C$42, 0.1146, 0.1146)*CHOOSE(CONTROL!$C$42, 121.5, 121.5)*CHOOSE(CONTROL!$C$42, 31, 31))/1000000</f>
        <v>0.43164089999999994</v>
      </c>
      <c r="X617" s="57">
        <f>(31*0.1790888*245000/1000000)+(31*0.2374*100000/1000000)</f>
        <v>2.0961194359999999</v>
      </c>
      <c r="Y617" s="57"/>
      <c r="Z617" s="14"/>
      <c r="AA617" s="56"/>
      <c r="AB617" s="50">
        <f>(B617*194.205+C617*267.466+D617*133.845+E617*53.484+F617*40+G617*185+H617*0+I617*100+J617*300)/(194.205+267.466+133.845+53.484+0+40+185+100+300)</f>
        <v>38.450246272370492</v>
      </c>
      <c r="AC617" s="45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37.745437410071936</v>
      </c>
    </row>
    <row r="618" spans="1:29" ht="15.75" x14ac:dyDescent="0.25">
      <c r="A618" s="32">
        <v>59717</v>
      </c>
      <c r="B618" s="14">
        <f>CHOOSE(CONTROL!$C$42, 39.5, 39.5) * CHOOSE(CONTROL!$C$21, $C$9, 100%, $E$9)</f>
        <v>39.5</v>
      </c>
      <c r="C618" s="14">
        <f>CHOOSE(CONTROL!$C$42, 39.5081, 39.5081) * CHOOSE(CONTROL!$C$21, $C$9, 100%, $E$9)</f>
        <v>39.508099999999999</v>
      </c>
      <c r="D618" s="14">
        <f>CHOOSE(CONTROL!$C$42, 39.713, 39.713) * CHOOSE(CONTROL!$C$21, $C$9, 100%, $E$9)</f>
        <v>39.713000000000001</v>
      </c>
      <c r="E618" s="14">
        <f>CHOOSE(CONTROL!$C$42, 39.7445, 39.7445) * CHOOSE(CONTROL!$C$21, $C$9, 100%, $E$9)</f>
        <v>39.744500000000002</v>
      </c>
      <c r="F618" s="14">
        <f>CHOOSE(CONTROL!$C$42, 39.4866, 39.4866)*CHOOSE(CONTROL!$C$21, $C$9, 100%, $E$9)</f>
        <v>39.486600000000003</v>
      </c>
      <c r="G618" s="14">
        <f>CHOOSE(CONTROL!$C$42, 39.5031, 39.5031)*CHOOSE(CONTROL!$C$21, $C$9, 100%, $E$9)</f>
        <v>39.503100000000003</v>
      </c>
      <c r="H618" s="14">
        <f>CHOOSE(CONTROL!$C$42, 39.7331, 39.7331) * CHOOSE(CONTROL!$C$21, $C$9, 100%, $E$9)</f>
        <v>39.7331</v>
      </c>
      <c r="I618" s="14">
        <f>CHOOSE(CONTROL!$C$42, 39.6318, 39.6318)* CHOOSE(CONTROL!$C$21, $C$9, 100%, $E$9)</f>
        <v>39.631799999999998</v>
      </c>
      <c r="J618" s="14">
        <f>CHOOSE(CONTROL!$C$42, 39.4796, 39.4796)* CHOOSE(CONTROL!$C$21, $C$9, 100%, $E$9)</f>
        <v>39.479599999999998</v>
      </c>
      <c r="K618" s="53">
        <f>CHOOSE(CONTROL!$C$42, 39.6279, 39.6279) * CHOOSE(CONTROL!$C$21, $C$9, 100%, $E$9)</f>
        <v>39.627899999999997</v>
      </c>
      <c r="L618" s="14">
        <f>CHOOSE(CONTROL!$C$42, 40.3201, 40.3201) * CHOOSE(CONTROL!$C$21, $C$9, 100%, $E$9)</f>
        <v>40.320099999999996</v>
      </c>
      <c r="M618" s="14">
        <f>CHOOSE(CONTROL!$C$42, 38.6784, 38.6784) * CHOOSE(CONTROL!$C$21, $C$9, 100%, $E$9)</f>
        <v>38.678400000000003</v>
      </c>
      <c r="N618" s="14">
        <f>CHOOSE(CONTROL!$C$42, 38.6946, 38.6946) * CHOOSE(CONTROL!$C$21, $C$9, 100%, $E$9)</f>
        <v>38.694600000000001</v>
      </c>
      <c r="O618" s="14">
        <f>CHOOSE(CONTROL!$C$42, 38.9267, 38.9267) * CHOOSE(CONTROL!$C$21, $C$9, 100%, $E$9)</f>
        <v>38.926699999999997</v>
      </c>
      <c r="P618" s="14">
        <f>CHOOSE(CONTROL!$C$42, 38.825, 38.825) * CHOOSE(CONTROL!$C$21, $C$9, 100%, $E$9)</f>
        <v>38.825000000000003</v>
      </c>
      <c r="Q618" s="14">
        <f>CHOOSE(CONTROL!$C$42, 39.5214, 39.5214) * CHOOSE(CONTROL!$C$21, $C$9, 100%, $E$9)</f>
        <v>39.5214</v>
      </c>
      <c r="R618" s="14">
        <f>CHOOSE(CONTROL!$C$42, 40.2072, 40.2072) * CHOOSE(CONTROL!$C$21, $C$9, 100%, $E$9)</f>
        <v>40.2072</v>
      </c>
      <c r="S618" s="14">
        <f>CHOOSE(CONTROL!$C$42, 37.945, 37.945) * CHOOSE(CONTROL!$C$21, $C$9, 100%, $E$9)</f>
        <v>37.945</v>
      </c>
      <c r="T6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7">
        <f>(1000*CHOOSE(CONTROL!$C$42, 695, 695)*CHOOSE(CONTROL!$C$42, 0.5599, 0.5599)*CHOOSE(CONTROL!$C$42, 30, 30))/1000000</f>
        <v>11.673914999999997</v>
      </c>
      <c r="V618" s="57">
        <f>(1000*CHOOSE(CONTROL!$C$42, 500, 500)*CHOOSE(CONTROL!$C$42, 0.275, 0.275)*CHOOSE(CONTROL!$C$42, 30, 30))/1000000</f>
        <v>4.125</v>
      </c>
      <c r="W618" s="57">
        <f>(1000*CHOOSE(CONTROL!$C$42, 0.1146, 0.1146)*CHOOSE(CONTROL!$C$42, 121.5, 121.5)*CHOOSE(CONTROL!$C$42, 30, 30))/1000000</f>
        <v>0.417717</v>
      </c>
      <c r="X618" s="57">
        <f>(30*0.1790888*245000/1000000)+(30*0.2374*100000/1000000)</f>
        <v>2.0285026799999999</v>
      </c>
      <c r="Y618" s="57"/>
      <c r="Z618" s="14"/>
      <c r="AA618" s="56"/>
      <c r="AB618" s="50">
        <f>(B618*194.205+C618*267.466+D618*133.845+E618*53.484+F618*40+G618*185+H618*0+I618*100+J618*300)/(194.205+267.466+133.845+53.484+0+40+185+100+300)</f>
        <v>39.5399134989011</v>
      </c>
      <c r="AC618" s="45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38.812964748201431</v>
      </c>
    </row>
    <row r="619" spans="1:29" ht="15.75" x14ac:dyDescent="0.25">
      <c r="A619" s="32">
        <v>59748</v>
      </c>
      <c r="B619" s="14">
        <f>CHOOSE(CONTROL!$C$42, 38.7425, 38.7425) * CHOOSE(CONTROL!$C$21, $C$9, 100%, $E$9)</f>
        <v>38.7425</v>
      </c>
      <c r="C619" s="14">
        <f>CHOOSE(CONTROL!$C$42, 38.7505, 38.7505) * CHOOSE(CONTROL!$C$21, $C$9, 100%, $E$9)</f>
        <v>38.750500000000002</v>
      </c>
      <c r="D619" s="14">
        <f>CHOOSE(CONTROL!$C$42, 38.9555, 38.9555) * CHOOSE(CONTROL!$C$21, $C$9, 100%, $E$9)</f>
        <v>38.955500000000001</v>
      </c>
      <c r="E619" s="14">
        <f>CHOOSE(CONTROL!$C$42, 38.9869, 38.9869) * CHOOSE(CONTROL!$C$21, $C$9, 100%, $E$9)</f>
        <v>38.986899999999999</v>
      </c>
      <c r="F619" s="14">
        <f>CHOOSE(CONTROL!$C$42, 38.7294, 38.7294)*CHOOSE(CONTROL!$C$21, $C$9, 100%, $E$9)</f>
        <v>38.729399999999998</v>
      </c>
      <c r="G619" s="14">
        <f>CHOOSE(CONTROL!$C$42, 38.7461, 38.7461)*CHOOSE(CONTROL!$C$21, $C$9, 100%, $E$9)</f>
        <v>38.746099999999998</v>
      </c>
      <c r="H619" s="14">
        <f>CHOOSE(CONTROL!$C$42, 38.9756, 38.9756) * CHOOSE(CONTROL!$C$21, $C$9, 100%, $E$9)</f>
        <v>38.9756</v>
      </c>
      <c r="I619" s="14">
        <f>CHOOSE(CONTROL!$C$42, 38.8719, 38.8719)* CHOOSE(CONTROL!$C$21, $C$9, 100%, $E$9)</f>
        <v>38.871899999999997</v>
      </c>
      <c r="J619" s="14">
        <f>CHOOSE(CONTROL!$C$42, 38.7224, 38.7224)* CHOOSE(CONTROL!$C$21, $C$9, 100%, $E$9)</f>
        <v>38.7224</v>
      </c>
      <c r="K619" s="53">
        <f>CHOOSE(CONTROL!$C$42, 38.868, 38.868) * CHOOSE(CONTROL!$C$21, $C$9, 100%, $E$9)</f>
        <v>38.868000000000002</v>
      </c>
      <c r="L619" s="14">
        <f>CHOOSE(CONTROL!$C$42, 39.5626, 39.5626) * CHOOSE(CONTROL!$C$21, $C$9, 100%, $E$9)</f>
        <v>39.562600000000003</v>
      </c>
      <c r="M619" s="14">
        <f>CHOOSE(CONTROL!$C$42, 37.9367, 37.9367) * CHOOSE(CONTROL!$C$21, $C$9, 100%, $E$9)</f>
        <v>37.936700000000002</v>
      </c>
      <c r="N619" s="14">
        <f>CHOOSE(CONTROL!$C$42, 37.953, 37.953) * CHOOSE(CONTROL!$C$21, $C$9, 100%, $E$9)</f>
        <v>37.953000000000003</v>
      </c>
      <c r="O619" s="14">
        <f>CHOOSE(CONTROL!$C$42, 38.1847, 38.1847) * CHOOSE(CONTROL!$C$21, $C$9, 100%, $E$9)</f>
        <v>38.184699999999999</v>
      </c>
      <c r="P619" s="14">
        <f>CHOOSE(CONTROL!$C$42, 38.0807, 38.0807) * CHOOSE(CONTROL!$C$21, $C$9, 100%, $E$9)</f>
        <v>38.0807</v>
      </c>
      <c r="Q619" s="14">
        <f>CHOOSE(CONTROL!$C$42, 38.7794, 38.7794) * CHOOSE(CONTROL!$C$21, $C$9, 100%, $E$9)</f>
        <v>38.779400000000003</v>
      </c>
      <c r="R619" s="14">
        <f>CHOOSE(CONTROL!$C$42, 39.4633, 39.4633) * CHOOSE(CONTROL!$C$21, $C$9, 100%, $E$9)</f>
        <v>39.463299999999997</v>
      </c>
      <c r="S619" s="14">
        <f>CHOOSE(CONTROL!$C$42, 37.217, 37.217) * CHOOSE(CONTROL!$C$21, $C$9, 100%, $E$9)</f>
        <v>37.216999999999999</v>
      </c>
      <c r="T6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7">
        <f>(1000*CHOOSE(CONTROL!$C$42, 695, 695)*CHOOSE(CONTROL!$C$42, 0.5599, 0.5599)*CHOOSE(CONTROL!$C$42, 31, 31))/1000000</f>
        <v>12.063045499999998</v>
      </c>
      <c r="V619" s="57">
        <f>(1000*CHOOSE(CONTROL!$C$42, 500, 500)*CHOOSE(CONTROL!$C$42, 0.275, 0.275)*CHOOSE(CONTROL!$C$42, 31, 31))/1000000</f>
        <v>4.2625000000000002</v>
      </c>
      <c r="W619" s="57">
        <f>(1000*CHOOSE(CONTROL!$C$42, 0.1146, 0.1146)*CHOOSE(CONTROL!$C$42, 121.5, 121.5)*CHOOSE(CONTROL!$C$42, 31, 31))/1000000</f>
        <v>0.43164089999999994</v>
      </c>
      <c r="X619" s="57">
        <f>(31*0.1790888*245000/1000000)+(31*0.2374*100000/1000000)</f>
        <v>2.0961194359999999</v>
      </c>
      <c r="Y619" s="57"/>
      <c r="Z619" s="14"/>
      <c r="AA619" s="56"/>
      <c r="AB619" s="50">
        <f>(B619*194.205+C619*267.466+D619*133.845+E619*53.484+F619*40+G619*185+H619*0+I619*100+J619*300)/(194.205+267.466+133.845+53.484+0+40+185+100+300)</f>
        <v>38.782352592307696</v>
      </c>
      <c r="AC619" s="45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38.070760431654676</v>
      </c>
    </row>
    <row r="620" spans="1:29" ht="15.75" x14ac:dyDescent="0.25">
      <c r="A620" s="32">
        <v>59779</v>
      </c>
      <c r="B620" s="14">
        <f>CHOOSE(CONTROL!$C$42, 36.8294, 36.8294) * CHOOSE(CONTROL!$C$21, $C$9, 100%, $E$9)</f>
        <v>36.8294</v>
      </c>
      <c r="C620" s="14">
        <f>CHOOSE(CONTROL!$C$42, 36.8374, 36.8374) * CHOOSE(CONTROL!$C$21, $C$9, 100%, $E$9)</f>
        <v>36.837400000000002</v>
      </c>
      <c r="D620" s="14">
        <f>CHOOSE(CONTROL!$C$42, 37.0424, 37.0424) * CHOOSE(CONTROL!$C$21, $C$9, 100%, $E$9)</f>
        <v>37.042400000000001</v>
      </c>
      <c r="E620" s="14">
        <f>CHOOSE(CONTROL!$C$42, 37.0738, 37.0738) * CHOOSE(CONTROL!$C$21, $C$9, 100%, $E$9)</f>
        <v>37.073799999999999</v>
      </c>
      <c r="F620" s="14">
        <f>CHOOSE(CONTROL!$C$42, 36.8166, 36.8166)*CHOOSE(CONTROL!$C$21, $C$9, 100%, $E$9)</f>
        <v>36.816600000000001</v>
      </c>
      <c r="G620" s="14">
        <f>CHOOSE(CONTROL!$C$42, 36.8332, 36.8332)*CHOOSE(CONTROL!$C$21, $C$9, 100%, $E$9)</f>
        <v>36.833199999999998</v>
      </c>
      <c r="H620" s="14">
        <f>CHOOSE(CONTROL!$C$42, 37.0625, 37.0625) * CHOOSE(CONTROL!$C$21, $C$9, 100%, $E$9)</f>
        <v>37.0625</v>
      </c>
      <c r="I620" s="14">
        <f>CHOOSE(CONTROL!$C$42, 36.9528, 36.9528)* CHOOSE(CONTROL!$C$21, $C$9, 100%, $E$9)</f>
        <v>36.952800000000003</v>
      </c>
      <c r="J620" s="14">
        <f>CHOOSE(CONTROL!$C$42, 36.8096, 36.8096)* CHOOSE(CONTROL!$C$21, $C$9, 100%, $E$9)</f>
        <v>36.809600000000003</v>
      </c>
      <c r="K620" s="53">
        <f>CHOOSE(CONTROL!$C$42, 36.9489, 36.9489) * CHOOSE(CONTROL!$C$21, $C$9, 100%, $E$9)</f>
        <v>36.948900000000002</v>
      </c>
      <c r="L620" s="14">
        <f>CHOOSE(CONTROL!$C$42, 37.6495, 37.6495) * CHOOSE(CONTROL!$C$21, $C$9, 100%, $E$9)</f>
        <v>37.649500000000003</v>
      </c>
      <c r="M620" s="14">
        <f>CHOOSE(CONTROL!$C$42, 36.0631, 36.0631) * CHOOSE(CONTROL!$C$21, $C$9, 100%, $E$9)</f>
        <v>36.063099999999999</v>
      </c>
      <c r="N620" s="14">
        <f>CHOOSE(CONTROL!$C$42, 36.0794, 36.0794) * CHOOSE(CONTROL!$C$21, $C$9, 100%, $E$9)</f>
        <v>36.0794</v>
      </c>
      <c r="O620" s="14">
        <f>CHOOSE(CONTROL!$C$42, 36.3108, 36.3108) * CHOOSE(CONTROL!$C$21, $C$9, 100%, $E$9)</f>
        <v>36.3108</v>
      </c>
      <c r="P620" s="14">
        <f>CHOOSE(CONTROL!$C$42, 36.2011, 36.2011) * CHOOSE(CONTROL!$C$21, $C$9, 100%, $E$9)</f>
        <v>36.201099999999997</v>
      </c>
      <c r="Q620" s="14">
        <f>CHOOSE(CONTROL!$C$42, 36.9055, 36.9055) * CHOOSE(CONTROL!$C$21, $C$9, 100%, $E$9)</f>
        <v>36.905500000000004</v>
      </c>
      <c r="R620" s="14">
        <f>CHOOSE(CONTROL!$C$42, 37.5847, 37.5847) * CHOOSE(CONTROL!$C$21, $C$9, 100%, $E$9)</f>
        <v>37.584699999999998</v>
      </c>
      <c r="S620" s="14">
        <f>CHOOSE(CONTROL!$C$42, 35.3787, 35.3787) * CHOOSE(CONTROL!$C$21, $C$9, 100%, $E$9)</f>
        <v>35.378700000000002</v>
      </c>
      <c r="T6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7">
        <f>(1000*CHOOSE(CONTROL!$C$42, 695, 695)*CHOOSE(CONTROL!$C$42, 0.5599, 0.5599)*CHOOSE(CONTROL!$C$42, 31, 31))/1000000</f>
        <v>12.063045499999998</v>
      </c>
      <c r="V620" s="57">
        <f>(1000*CHOOSE(CONTROL!$C$42, 500, 500)*CHOOSE(CONTROL!$C$42, 0.275, 0.275)*CHOOSE(CONTROL!$C$42, 31, 31))/1000000</f>
        <v>4.2625000000000002</v>
      </c>
      <c r="W620" s="57">
        <f>(1000*CHOOSE(CONTROL!$C$42, 0.1146, 0.1146)*CHOOSE(CONTROL!$C$42, 121.5, 121.5)*CHOOSE(CONTROL!$C$42, 31, 31))/1000000</f>
        <v>0.43164089999999994</v>
      </c>
      <c r="X620" s="57">
        <f>(31*0.1790888*245000/1000000)+(31*0.2374*100000/1000000)</f>
        <v>2.0961194359999999</v>
      </c>
      <c r="Y620" s="57"/>
      <c r="Z620" s="14"/>
      <c r="AA620" s="56"/>
      <c r="AB620" s="50">
        <f>(B620*194.205+C620*267.466+D620*133.845+E620*53.484+F620*40+G620*185+H620*0+I620*100+J620*300)/(194.205+267.466+133.845+53.484+0+40+185+100+300)</f>
        <v>36.868890739874409</v>
      </c>
      <c r="AC620" s="45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36.196161151079139</v>
      </c>
    </row>
    <row r="621" spans="1:29" ht="15.75" x14ac:dyDescent="0.25">
      <c r="A621" s="32">
        <v>59809</v>
      </c>
      <c r="B621" s="14">
        <f>CHOOSE(CONTROL!$C$42, 34.4915, 34.4915) * CHOOSE(CONTROL!$C$21, $C$9, 100%, $E$9)</f>
        <v>34.491500000000002</v>
      </c>
      <c r="C621" s="14">
        <f>CHOOSE(CONTROL!$C$42, 34.4996, 34.4996) * CHOOSE(CONTROL!$C$21, $C$9, 100%, $E$9)</f>
        <v>34.499600000000001</v>
      </c>
      <c r="D621" s="14">
        <f>CHOOSE(CONTROL!$C$42, 34.7045, 34.7045) * CHOOSE(CONTROL!$C$21, $C$9, 100%, $E$9)</f>
        <v>34.704500000000003</v>
      </c>
      <c r="E621" s="14">
        <f>CHOOSE(CONTROL!$C$42, 34.736, 34.736) * CHOOSE(CONTROL!$C$21, $C$9, 100%, $E$9)</f>
        <v>34.735999999999997</v>
      </c>
      <c r="F621" s="14">
        <f>CHOOSE(CONTROL!$C$42, 34.4787, 34.4787)*CHOOSE(CONTROL!$C$21, $C$9, 100%, $E$9)</f>
        <v>34.478700000000003</v>
      </c>
      <c r="G621" s="14">
        <f>CHOOSE(CONTROL!$C$42, 34.4954, 34.4954)*CHOOSE(CONTROL!$C$21, $C$9, 100%, $E$9)</f>
        <v>34.495399999999997</v>
      </c>
      <c r="H621" s="14">
        <f>CHOOSE(CONTROL!$C$42, 34.7246, 34.7246) * CHOOSE(CONTROL!$C$21, $C$9, 100%, $E$9)</f>
        <v>34.724600000000002</v>
      </c>
      <c r="I621" s="14">
        <f>CHOOSE(CONTROL!$C$42, 34.6076, 34.6076)* CHOOSE(CONTROL!$C$21, $C$9, 100%, $E$9)</f>
        <v>34.607599999999998</v>
      </c>
      <c r="J621" s="14">
        <f>CHOOSE(CONTROL!$C$42, 34.4717, 34.4717)* CHOOSE(CONTROL!$C$21, $C$9, 100%, $E$9)</f>
        <v>34.471699999999998</v>
      </c>
      <c r="K621" s="53">
        <f>CHOOSE(CONTROL!$C$42, 34.6037, 34.6037) * CHOOSE(CONTROL!$C$21, $C$9, 100%, $E$9)</f>
        <v>34.603700000000003</v>
      </c>
      <c r="L621" s="14">
        <f>CHOOSE(CONTROL!$C$42, 35.3116, 35.3116) * CHOOSE(CONTROL!$C$21, $C$9, 100%, $E$9)</f>
        <v>35.311599999999999</v>
      </c>
      <c r="M621" s="14">
        <f>CHOOSE(CONTROL!$C$42, 33.7731, 33.7731) * CHOOSE(CONTROL!$C$21, $C$9, 100%, $E$9)</f>
        <v>33.773099999999999</v>
      </c>
      <c r="N621" s="14">
        <f>CHOOSE(CONTROL!$C$42, 33.7894, 33.7894) * CHOOSE(CONTROL!$C$21, $C$9, 100%, $E$9)</f>
        <v>33.789400000000001</v>
      </c>
      <c r="O621" s="14">
        <f>CHOOSE(CONTROL!$C$42, 34.0208, 34.0208) * CHOOSE(CONTROL!$C$21, $C$9, 100%, $E$9)</f>
        <v>34.020800000000001</v>
      </c>
      <c r="P621" s="14">
        <f>CHOOSE(CONTROL!$C$42, 33.9041, 33.9041) * CHOOSE(CONTROL!$C$21, $C$9, 100%, $E$9)</f>
        <v>33.9041</v>
      </c>
      <c r="Q621" s="14">
        <f>CHOOSE(CONTROL!$C$42, 34.6155, 34.6155) * CHOOSE(CONTROL!$C$21, $C$9, 100%, $E$9)</f>
        <v>34.615499999999997</v>
      </c>
      <c r="R621" s="14">
        <f>CHOOSE(CONTROL!$C$42, 35.2891, 35.2891) * CHOOSE(CONTROL!$C$21, $C$9, 100%, $E$9)</f>
        <v>35.289099999999998</v>
      </c>
      <c r="S621" s="14">
        <f>CHOOSE(CONTROL!$C$42, 33.1323, 33.1323) * CHOOSE(CONTROL!$C$21, $C$9, 100%, $E$9)</f>
        <v>33.132300000000001</v>
      </c>
      <c r="T6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7">
        <f>(1000*CHOOSE(CONTROL!$C$42, 695, 695)*CHOOSE(CONTROL!$C$42, 0.5599, 0.5599)*CHOOSE(CONTROL!$C$42, 30, 30))/1000000</f>
        <v>11.673914999999997</v>
      </c>
      <c r="V621" s="57">
        <f>(1000*CHOOSE(CONTROL!$C$42, 500, 500)*CHOOSE(CONTROL!$C$42, 0.275, 0.275)*CHOOSE(CONTROL!$C$42, 30, 30))/1000000</f>
        <v>4.125</v>
      </c>
      <c r="W621" s="57">
        <f>(1000*CHOOSE(CONTROL!$C$42, 0.1146, 0.1146)*CHOOSE(CONTROL!$C$42, 121.5, 121.5)*CHOOSE(CONTROL!$C$42, 30, 30))/1000000</f>
        <v>0.417717</v>
      </c>
      <c r="X621" s="57">
        <f>(30*0.1790888*245000/1000000)+(30*0.2374*100000/1000000)</f>
        <v>2.0285026799999999</v>
      </c>
      <c r="Y621" s="57"/>
      <c r="Z621" s="14"/>
      <c r="AA621" s="56"/>
      <c r="AB621" s="50">
        <f>(B621*194.205+C621*267.466+D621*133.845+E621*53.484+F621*40+G621*185+H621*0+I621*100+J621*300)/(194.205+267.466+133.845+53.484+0+40+185+100+300)</f>
        <v>34.530457454945065</v>
      </c>
      <c r="AC621" s="45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33.905153956834532</v>
      </c>
    </row>
    <row r="622" spans="1:29" ht="15.75" x14ac:dyDescent="0.25">
      <c r="A622" s="32">
        <v>59840</v>
      </c>
      <c r="B622" s="14">
        <f>CHOOSE(CONTROL!$C$42, 33.7897, 33.7897) * CHOOSE(CONTROL!$C$21, $C$9, 100%, $E$9)</f>
        <v>33.789700000000003</v>
      </c>
      <c r="C622" s="14">
        <f>CHOOSE(CONTROL!$C$42, 33.795, 33.795) * CHOOSE(CONTROL!$C$21, $C$9, 100%, $E$9)</f>
        <v>33.795000000000002</v>
      </c>
      <c r="D622" s="14">
        <f>CHOOSE(CONTROL!$C$42, 34.005, 34.005) * CHOOSE(CONTROL!$C$21, $C$9, 100%, $E$9)</f>
        <v>34.005000000000003</v>
      </c>
      <c r="E622" s="14">
        <f>CHOOSE(CONTROL!$C$42, 34.0341, 34.0341) * CHOOSE(CONTROL!$C$21, $C$9, 100%, $E$9)</f>
        <v>34.034100000000002</v>
      </c>
      <c r="F622" s="14">
        <f>CHOOSE(CONTROL!$C$42, 33.7789, 33.7789)*CHOOSE(CONTROL!$C$21, $C$9, 100%, $E$9)</f>
        <v>33.7789</v>
      </c>
      <c r="G622" s="14">
        <f>CHOOSE(CONTROL!$C$42, 33.7953, 33.7953)*CHOOSE(CONTROL!$C$21, $C$9, 100%, $E$9)</f>
        <v>33.795299999999997</v>
      </c>
      <c r="H622" s="14">
        <f>CHOOSE(CONTROL!$C$42, 34.0246, 34.0246) * CHOOSE(CONTROL!$C$21, $C$9, 100%, $E$9)</f>
        <v>34.0246</v>
      </c>
      <c r="I622" s="14">
        <f>CHOOSE(CONTROL!$C$42, 33.9053, 33.9053)* CHOOSE(CONTROL!$C$21, $C$9, 100%, $E$9)</f>
        <v>33.905299999999997</v>
      </c>
      <c r="J622" s="14">
        <f>CHOOSE(CONTROL!$C$42, 33.7719, 33.7719)* CHOOSE(CONTROL!$C$21, $C$9, 100%, $E$9)</f>
        <v>33.771900000000002</v>
      </c>
      <c r="K622" s="53">
        <f>CHOOSE(CONTROL!$C$42, 33.9015, 33.9015) * CHOOSE(CONTROL!$C$21, $C$9, 100%, $E$9)</f>
        <v>33.901499999999999</v>
      </c>
      <c r="L622" s="14">
        <f>CHOOSE(CONTROL!$C$42, 34.6116, 34.6116) * CHOOSE(CONTROL!$C$21, $C$9, 100%, $E$9)</f>
        <v>34.611600000000003</v>
      </c>
      <c r="M622" s="14">
        <f>CHOOSE(CONTROL!$C$42, 33.0876, 33.0876) * CHOOSE(CONTROL!$C$21, $C$9, 100%, $E$9)</f>
        <v>33.087600000000002</v>
      </c>
      <c r="N622" s="14">
        <f>CHOOSE(CONTROL!$C$42, 33.1037, 33.1037) * CHOOSE(CONTROL!$C$21, $C$9, 100%, $E$9)</f>
        <v>33.103700000000003</v>
      </c>
      <c r="O622" s="14">
        <f>CHOOSE(CONTROL!$C$42, 33.3351, 33.3351) * CHOOSE(CONTROL!$C$21, $C$9, 100%, $E$9)</f>
        <v>33.335099999999997</v>
      </c>
      <c r="P622" s="14">
        <f>CHOOSE(CONTROL!$C$42, 33.2163, 33.2163) * CHOOSE(CONTROL!$C$21, $C$9, 100%, $E$9)</f>
        <v>33.216299999999997</v>
      </c>
      <c r="Q622" s="14">
        <f>CHOOSE(CONTROL!$C$42, 33.9298, 33.9298) * CHOOSE(CONTROL!$C$21, $C$9, 100%, $E$9)</f>
        <v>33.9298</v>
      </c>
      <c r="R622" s="14">
        <f>CHOOSE(CONTROL!$C$42, 34.6016, 34.6016) * CHOOSE(CONTROL!$C$21, $C$9, 100%, $E$9)</f>
        <v>34.601599999999998</v>
      </c>
      <c r="S622" s="14">
        <f>CHOOSE(CONTROL!$C$42, 32.4596, 32.4596) * CHOOSE(CONTROL!$C$21, $C$9, 100%, $E$9)</f>
        <v>32.459600000000002</v>
      </c>
      <c r="T6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7">
        <f>(1000*CHOOSE(CONTROL!$C$42, 695, 695)*CHOOSE(CONTROL!$C$42, 0.5599, 0.5599)*CHOOSE(CONTROL!$C$42, 31, 31))/1000000</f>
        <v>12.063045499999998</v>
      </c>
      <c r="V622" s="57">
        <f>(1000*CHOOSE(CONTROL!$C$42, 500, 500)*CHOOSE(CONTROL!$C$42, 0.275, 0.275)*CHOOSE(CONTROL!$C$42, 31, 31))/1000000</f>
        <v>4.2625000000000002</v>
      </c>
      <c r="W622" s="57">
        <f>(1000*CHOOSE(CONTROL!$C$42, 0.1146, 0.1146)*CHOOSE(CONTROL!$C$42, 121.5, 121.5)*CHOOSE(CONTROL!$C$42, 31, 31))/1000000</f>
        <v>0.43164089999999994</v>
      </c>
      <c r="X622" s="57">
        <f>(31*0.1790888*245000/1000000)+(31*0.2374*100000/1000000)</f>
        <v>2.0961194359999999</v>
      </c>
      <c r="Y622" s="57"/>
      <c r="Z622" s="14"/>
      <c r="AA622" s="56"/>
      <c r="AB622" s="50">
        <f>(B622*131.881+C622*277.167+D622*79.08+E622*125.872+F622*40+G622*185+H622*0+I622*100+J622*300)/(131.881+277.167+79.08+125.872+0+40+185+100+300)</f>
        <v>33.83496394342211</v>
      </c>
      <c r="AC622" s="45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33.219220863309353</v>
      </c>
    </row>
    <row r="623" spans="1:29" ht="15.75" x14ac:dyDescent="0.25">
      <c r="A623" s="32">
        <v>59870</v>
      </c>
      <c r="B623" s="14">
        <f>CHOOSE(CONTROL!$C$42, 34.6792, 34.6792) * CHOOSE(CONTROL!$C$21, $C$9, 100%, $E$9)</f>
        <v>34.679200000000002</v>
      </c>
      <c r="C623" s="14">
        <f>CHOOSE(CONTROL!$C$42, 34.6843, 34.6843) * CHOOSE(CONTROL!$C$21, $C$9, 100%, $E$9)</f>
        <v>34.6843</v>
      </c>
      <c r="D623" s="14">
        <f>CHOOSE(CONTROL!$C$42, 34.7481, 34.7481) * CHOOSE(CONTROL!$C$21, $C$9, 100%, $E$9)</f>
        <v>34.748100000000001</v>
      </c>
      <c r="E623" s="14">
        <f>CHOOSE(CONTROL!$C$42, 34.7822, 34.7822) * CHOOSE(CONTROL!$C$21, $C$9, 100%, $E$9)</f>
        <v>34.782200000000003</v>
      </c>
      <c r="F623" s="14">
        <f>CHOOSE(CONTROL!$C$42, 34.6814, 34.6814)*CHOOSE(CONTROL!$C$21, $C$9, 100%, $E$9)</f>
        <v>34.681399999999996</v>
      </c>
      <c r="G623" s="14">
        <f>CHOOSE(CONTROL!$C$42, 34.6981, 34.6981)*CHOOSE(CONTROL!$C$21, $C$9, 100%, $E$9)</f>
        <v>34.698099999999997</v>
      </c>
      <c r="H623" s="14">
        <f>CHOOSE(CONTROL!$C$42, 34.7714, 34.7714) * CHOOSE(CONTROL!$C$21, $C$9, 100%, $E$9)</f>
        <v>34.7714</v>
      </c>
      <c r="I623" s="14">
        <f>CHOOSE(CONTROL!$C$42, 34.8017, 34.8017)* CHOOSE(CONTROL!$C$21, $C$9, 100%, $E$9)</f>
        <v>34.801699999999997</v>
      </c>
      <c r="J623" s="14">
        <f>CHOOSE(CONTROL!$C$42, 34.6744, 34.6744)* CHOOSE(CONTROL!$C$21, $C$9, 100%, $E$9)</f>
        <v>34.674399999999999</v>
      </c>
      <c r="K623" s="53">
        <f>CHOOSE(CONTROL!$C$42, 34.7978, 34.7978) * CHOOSE(CONTROL!$C$21, $C$9, 100%, $E$9)</f>
        <v>34.797800000000002</v>
      </c>
      <c r="L623" s="14">
        <f>CHOOSE(CONTROL!$C$42, 35.3584, 35.3584) * CHOOSE(CONTROL!$C$21, $C$9, 100%, $E$9)</f>
        <v>35.358400000000003</v>
      </c>
      <c r="M623" s="14">
        <f>CHOOSE(CONTROL!$C$42, 33.9717, 33.9717) * CHOOSE(CONTROL!$C$21, $C$9, 100%, $E$9)</f>
        <v>33.971699999999998</v>
      </c>
      <c r="N623" s="14">
        <f>CHOOSE(CONTROL!$C$42, 33.988, 33.988) * CHOOSE(CONTROL!$C$21, $C$9, 100%, $E$9)</f>
        <v>33.988</v>
      </c>
      <c r="O623" s="14">
        <f>CHOOSE(CONTROL!$C$42, 34.0666, 34.0666) * CHOOSE(CONTROL!$C$21, $C$9, 100%, $E$9)</f>
        <v>34.066600000000001</v>
      </c>
      <c r="P623" s="14">
        <f>CHOOSE(CONTROL!$C$42, 34.0942, 34.0942) * CHOOSE(CONTROL!$C$21, $C$9, 100%, $E$9)</f>
        <v>34.094200000000001</v>
      </c>
      <c r="Q623" s="14">
        <f>CHOOSE(CONTROL!$C$42, 34.6613, 34.6613) * CHOOSE(CONTROL!$C$21, $C$9, 100%, $E$9)</f>
        <v>34.661299999999997</v>
      </c>
      <c r="R623" s="14">
        <f>CHOOSE(CONTROL!$C$42, 35.335, 35.335) * CHOOSE(CONTROL!$C$21, $C$9, 100%, $E$9)</f>
        <v>35.335000000000001</v>
      </c>
      <c r="S623" s="14">
        <f>CHOOSE(CONTROL!$C$42, 33.3147, 33.3147) * CHOOSE(CONTROL!$C$21, $C$9, 100%, $E$9)</f>
        <v>33.314700000000002</v>
      </c>
      <c r="T6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7">
        <f>(1000*CHOOSE(CONTROL!$C$42, 695, 695)*CHOOSE(CONTROL!$C$42, 0.5599, 0.5599)*CHOOSE(CONTROL!$C$42, 30, 30))/1000000</f>
        <v>11.673914999999997</v>
      </c>
      <c r="V623" s="57">
        <f>(1000*CHOOSE(CONTROL!$C$42, 500, 500)*CHOOSE(CONTROL!$C$42, 0.275, 0.275)*CHOOSE(CONTROL!$C$42, 30, 30))/1000000</f>
        <v>4.125</v>
      </c>
      <c r="W623" s="57">
        <f>(1000*CHOOSE(CONTROL!$C$42, 0.1146, 0.1146)*CHOOSE(CONTROL!$C$42, 121.5, 121.5)*CHOOSE(CONTROL!$C$42, 30, 30))/1000000</f>
        <v>0.417717</v>
      </c>
      <c r="X623" s="57">
        <f>(30*0.1790888*100000/1000000)+(30*0.2374*100000/1000000)</f>
        <v>1.2494664</v>
      </c>
      <c r="Y623" s="57"/>
      <c r="Z623" s="14"/>
      <c r="AA623" s="56"/>
      <c r="AB623" s="50">
        <f>(B623*122.58+C623*297.941+D623*89.177+E623*40.302+F623*40+G623*160+H623*0+I623*100+J623*300)/(122.58+297.941+89.177+40.302+0+40+160+100+300)</f>
        <v>34.701579913391299</v>
      </c>
      <c r="AC623" s="45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34.033276258992807</v>
      </c>
    </row>
    <row r="624" spans="1:29" ht="15.75" x14ac:dyDescent="0.25">
      <c r="A624" s="32">
        <v>59901</v>
      </c>
      <c r="B624" s="14">
        <f>CHOOSE(CONTROL!$C$42, 37.043, 37.043) * CHOOSE(CONTROL!$C$21, $C$9, 100%, $E$9)</f>
        <v>37.042999999999999</v>
      </c>
      <c r="C624" s="14">
        <f>CHOOSE(CONTROL!$C$42, 37.048, 37.048) * CHOOSE(CONTROL!$C$21, $C$9, 100%, $E$9)</f>
        <v>37.048000000000002</v>
      </c>
      <c r="D624" s="14">
        <f>CHOOSE(CONTROL!$C$42, 37.1118, 37.1118) * CHOOSE(CONTROL!$C$21, $C$9, 100%, $E$9)</f>
        <v>37.111800000000002</v>
      </c>
      <c r="E624" s="14">
        <f>CHOOSE(CONTROL!$C$42, 37.1459, 37.1459) * CHOOSE(CONTROL!$C$21, $C$9, 100%, $E$9)</f>
        <v>37.145899999999997</v>
      </c>
      <c r="F624" s="14">
        <f>CHOOSE(CONTROL!$C$42, 37.0473, 37.0473)*CHOOSE(CONTROL!$C$21, $C$9, 100%, $E$9)</f>
        <v>37.0473</v>
      </c>
      <c r="G624" s="14">
        <f>CHOOSE(CONTROL!$C$42, 37.0645, 37.0645)*CHOOSE(CONTROL!$C$21, $C$9, 100%, $E$9)</f>
        <v>37.064500000000002</v>
      </c>
      <c r="H624" s="14">
        <f>CHOOSE(CONTROL!$C$42, 37.1351, 37.1351) * CHOOSE(CONTROL!$C$21, $C$9, 100%, $E$9)</f>
        <v>37.135100000000001</v>
      </c>
      <c r="I624" s="14">
        <f>CHOOSE(CONTROL!$C$42, 37.1729, 37.1729)* CHOOSE(CONTROL!$C$21, $C$9, 100%, $E$9)</f>
        <v>37.172899999999998</v>
      </c>
      <c r="J624" s="14">
        <f>CHOOSE(CONTROL!$C$42, 37.0403, 37.0403)* CHOOSE(CONTROL!$C$21, $C$9, 100%, $E$9)</f>
        <v>37.040300000000002</v>
      </c>
      <c r="K624" s="53">
        <f>CHOOSE(CONTROL!$C$42, 37.169, 37.169) * CHOOSE(CONTROL!$C$21, $C$9, 100%, $E$9)</f>
        <v>37.168999999999997</v>
      </c>
      <c r="L624" s="14">
        <f>CHOOSE(CONTROL!$C$42, 37.7221, 37.7221) * CHOOSE(CONTROL!$C$21, $C$9, 100%, $E$9)</f>
        <v>37.722099999999998</v>
      </c>
      <c r="M624" s="14">
        <f>CHOOSE(CONTROL!$C$42, 36.289, 36.289) * CHOOSE(CONTROL!$C$21, $C$9, 100%, $E$9)</f>
        <v>36.289000000000001</v>
      </c>
      <c r="N624" s="14">
        <f>CHOOSE(CONTROL!$C$42, 36.3059, 36.3059) * CHOOSE(CONTROL!$C$21, $C$9, 100%, $E$9)</f>
        <v>36.305900000000001</v>
      </c>
      <c r="O624" s="14">
        <f>CHOOSE(CONTROL!$C$42, 36.382, 36.382) * CHOOSE(CONTROL!$C$21, $C$9, 100%, $E$9)</f>
        <v>36.381999999999998</v>
      </c>
      <c r="P624" s="14">
        <f>CHOOSE(CONTROL!$C$42, 36.4166, 36.4166) * CHOOSE(CONTROL!$C$21, $C$9, 100%, $E$9)</f>
        <v>36.416600000000003</v>
      </c>
      <c r="Q624" s="14">
        <f>CHOOSE(CONTROL!$C$42, 36.9767, 36.9767) * CHOOSE(CONTROL!$C$21, $C$9, 100%, $E$9)</f>
        <v>36.976700000000001</v>
      </c>
      <c r="R624" s="14">
        <f>CHOOSE(CONTROL!$C$42, 37.6561, 37.6561) * CHOOSE(CONTROL!$C$21, $C$9, 100%, $E$9)</f>
        <v>37.656100000000002</v>
      </c>
      <c r="S624" s="14">
        <f>CHOOSE(CONTROL!$C$42, 35.586, 35.586) * CHOOSE(CONTROL!$C$21, $C$9, 100%, $E$9)</f>
        <v>35.585999999999999</v>
      </c>
      <c r="T6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7">
        <f>(1000*CHOOSE(CONTROL!$C$42, 695, 695)*CHOOSE(CONTROL!$C$42, 0.5599, 0.5599)*CHOOSE(CONTROL!$C$42, 31, 31))/1000000</f>
        <v>12.063045499999998</v>
      </c>
      <c r="V624" s="57">
        <f>(1000*CHOOSE(CONTROL!$C$42, 500, 500)*CHOOSE(CONTROL!$C$42, 0.275, 0.275)*CHOOSE(CONTROL!$C$42, 31, 31))/1000000</f>
        <v>4.2625000000000002</v>
      </c>
      <c r="W624" s="57">
        <f>(1000*CHOOSE(CONTROL!$C$42, 0.1146, 0.1146)*CHOOSE(CONTROL!$C$42, 121.5, 121.5)*CHOOSE(CONTROL!$C$42, 31, 31))/1000000</f>
        <v>0.43164089999999994</v>
      </c>
      <c r="X624" s="57">
        <f>(31*0.1790888*100000/1000000)+(31*0.2374*100000/1000000)</f>
        <v>1.2911152800000001</v>
      </c>
      <c r="Y624" s="57"/>
      <c r="Z624" s="14"/>
      <c r="AA624" s="56"/>
      <c r="AB624" s="50">
        <f>(B624*122.58+C624*297.941+D624*89.177+E624*40.302+F624*40+G624*160+H624*0+I624*100+J624*300)/(122.58+297.941+89.177+40.302+0+40+160+100+300)</f>
        <v>37.066968833391307</v>
      </c>
      <c r="AC624" s="45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36.350483453237409</v>
      </c>
    </row>
    <row r="625" spans="1:29" ht="15.75" x14ac:dyDescent="0.25">
      <c r="A625" s="32">
        <v>59932</v>
      </c>
      <c r="B625" s="14">
        <f>CHOOSE(CONTROL!$C$42, 40.0765, 40.0765) * CHOOSE(CONTROL!$C$21, $C$9, 100%, $E$9)</f>
        <v>40.076500000000003</v>
      </c>
      <c r="C625" s="14">
        <f>CHOOSE(CONTROL!$C$42, 40.0816, 40.0816) * CHOOSE(CONTROL!$C$21, $C$9, 100%, $E$9)</f>
        <v>40.081600000000002</v>
      </c>
      <c r="D625" s="14">
        <f>CHOOSE(CONTROL!$C$42, 40.1402, 40.1402) * CHOOSE(CONTROL!$C$21, $C$9, 100%, $E$9)</f>
        <v>40.1402</v>
      </c>
      <c r="E625" s="14">
        <f>CHOOSE(CONTROL!$C$42, 40.1743, 40.1743) * CHOOSE(CONTROL!$C$21, $C$9, 100%, $E$9)</f>
        <v>40.174300000000002</v>
      </c>
      <c r="F625" s="14">
        <f>CHOOSE(CONTROL!$C$42, 40.0756, 40.0756)*CHOOSE(CONTROL!$C$21, $C$9, 100%, $E$9)</f>
        <v>40.075600000000001</v>
      </c>
      <c r="G625" s="14">
        <f>CHOOSE(CONTROL!$C$42, 40.092, 40.092)*CHOOSE(CONTROL!$C$21, $C$9, 100%, $E$9)</f>
        <v>40.091999999999999</v>
      </c>
      <c r="H625" s="14">
        <f>CHOOSE(CONTROL!$C$42, 40.1635, 40.1635) * CHOOSE(CONTROL!$C$21, $C$9, 100%, $E$9)</f>
        <v>40.163499999999999</v>
      </c>
      <c r="I625" s="14">
        <f>CHOOSE(CONTROL!$C$42, 40.2122, 40.2122)* CHOOSE(CONTROL!$C$21, $C$9, 100%, $E$9)</f>
        <v>40.212200000000003</v>
      </c>
      <c r="J625" s="14">
        <f>CHOOSE(CONTROL!$C$42, 40.0686, 40.0686)* CHOOSE(CONTROL!$C$21, $C$9, 100%, $E$9)</f>
        <v>40.068600000000004</v>
      </c>
      <c r="K625" s="53">
        <f>CHOOSE(CONTROL!$C$42, 40.2084, 40.2084) * CHOOSE(CONTROL!$C$21, $C$9, 100%, $E$9)</f>
        <v>40.208399999999997</v>
      </c>
      <c r="L625" s="14">
        <f>CHOOSE(CONTROL!$C$42, 40.7505, 40.7505) * CHOOSE(CONTROL!$C$21, $C$9, 100%, $E$9)</f>
        <v>40.750500000000002</v>
      </c>
      <c r="M625" s="14">
        <f>CHOOSE(CONTROL!$C$42, 39.2553, 39.2553) * CHOOSE(CONTROL!$C$21, $C$9, 100%, $E$9)</f>
        <v>39.255299999999998</v>
      </c>
      <c r="N625" s="14">
        <f>CHOOSE(CONTROL!$C$42, 39.2714, 39.2714) * CHOOSE(CONTROL!$C$21, $C$9, 100%, $E$9)</f>
        <v>39.2714</v>
      </c>
      <c r="O625" s="14">
        <f>CHOOSE(CONTROL!$C$42, 39.3482, 39.3482) * CHOOSE(CONTROL!$C$21, $C$9, 100%, $E$9)</f>
        <v>39.348199999999999</v>
      </c>
      <c r="P625" s="14">
        <f>CHOOSE(CONTROL!$C$42, 39.3936, 39.3936) * CHOOSE(CONTROL!$C$21, $C$9, 100%, $E$9)</f>
        <v>39.393599999999999</v>
      </c>
      <c r="Q625" s="14">
        <f>CHOOSE(CONTROL!$C$42, 39.9429, 39.9429) * CHOOSE(CONTROL!$C$21, $C$9, 100%, $E$9)</f>
        <v>39.942900000000002</v>
      </c>
      <c r="R625" s="14">
        <f>CHOOSE(CONTROL!$C$42, 40.6298, 40.6298) * CHOOSE(CONTROL!$C$21, $C$9, 100%, $E$9)</f>
        <v>40.629800000000003</v>
      </c>
      <c r="S625" s="14">
        <f>CHOOSE(CONTROL!$C$42, 38.501, 38.501) * CHOOSE(CONTROL!$C$21, $C$9, 100%, $E$9)</f>
        <v>38.500999999999998</v>
      </c>
      <c r="T6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7">
        <f>(1000*CHOOSE(CONTROL!$C$42, 695, 695)*CHOOSE(CONTROL!$C$42, 0.5599, 0.5599)*CHOOSE(CONTROL!$C$42, 31, 31))/1000000</f>
        <v>12.063045499999998</v>
      </c>
      <c r="V625" s="57">
        <f>(1000*CHOOSE(CONTROL!$C$42, 500, 500)*CHOOSE(CONTROL!$C$42, 0.275, 0.275)*CHOOSE(CONTROL!$C$42, 31, 31))/1000000</f>
        <v>4.2625000000000002</v>
      </c>
      <c r="W625" s="57">
        <f>(1000*CHOOSE(CONTROL!$C$42, 0.1146, 0.1146)*CHOOSE(CONTROL!$C$42, 121.5, 121.5)*CHOOSE(CONTROL!$C$42, 31, 31))/1000000</f>
        <v>0.43164089999999994</v>
      </c>
      <c r="X625" s="57">
        <f>(31*0.1790888*100000/1000000)+(31*0.2374*100000/1000000)</f>
        <v>1.2911152800000001</v>
      </c>
      <c r="Y625" s="57"/>
      <c r="Z625" s="14"/>
      <c r="AA625" s="56"/>
      <c r="AB625" s="50">
        <f>(B625*122.58+C625*297.941+D625*89.177+E625*40.302+F625*40+G625*160+H625*0+I625*100+J625*300)/(122.58+297.941+89.177+40.302+0+40+160+100+300)</f>
        <v>40.098052704000004</v>
      </c>
      <c r="AC625" s="45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39.318231654676254</v>
      </c>
    </row>
    <row r="626" spans="1:29" ht="15.75" x14ac:dyDescent="0.25">
      <c r="A626" s="32">
        <v>59961</v>
      </c>
      <c r="B626" s="14">
        <f>CHOOSE(CONTROL!$C$42, 40.7898, 40.7898) * CHOOSE(CONTROL!$C$21, $C$9, 100%, $E$9)</f>
        <v>40.7898</v>
      </c>
      <c r="C626" s="14">
        <f>CHOOSE(CONTROL!$C$42, 40.7948, 40.7948) * CHOOSE(CONTROL!$C$21, $C$9, 100%, $E$9)</f>
        <v>40.794800000000002</v>
      </c>
      <c r="D626" s="14">
        <f>CHOOSE(CONTROL!$C$42, 40.8534, 40.8534) * CHOOSE(CONTROL!$C$21, $C$9, 100%, $E$9)</f>
        <v>40.853400000000001</v>
      </c>
      <c r="E626" s="14">
        <f>CHOOSE(CONTROL!$C$42, 40.8875, 40.8875) * CHOOSE(CONTROL!$C$21, $C$9, 100%, $E$9)</f>
        <v>40.887500000000003</v>
      </c>
      <c r="F626" s="14">
        <f>CHOOSE(CONTROL!$C$42, 40.7888, 40.7888)*CHOOSE(CONTROL!$C$21, $C$9, 100%, $E$9)</f>
        <v>40.788800000000002</v>
      </c>
      <c r="G626" s="14">
        <f>CHOOSE(CONTROL!$C$42, 40.8052, 40.8052)*CHOOSE(CONTROL!$C$21, $C$9, 100%, $E$9)</f>
        <v>40.805199999999999</v>
      </c>
      <c r="H626" s="14">
        <f>CHOOSE(CONTROL!$C$42, 40.8767, 40.8767) * CHOOSE(CONTROL!$C$21, $C$9, 100%, $E$9)</f>
        <v>40.8767</v>
      </c>
      <c r="I626" s="14">
        <f>CHOOSE(CONTROL!$C$42, 40.9277, 40.9277)* CHOOSE(CONTROL!$C$21, $C$9, 100%, $E$9)</f>
        <v>40.927700000000002</v>
      </c>
      <c r="J626" s="14">
        <f>CHOOSE(CONTROL!$C$42, 40.7818, 40.7818)* CHOOSE(CONTROL!$C$21, $C$9, 100%, $E$9)</f>
        <v>40.781799999999997</v>
      </c>
      <c r="K626" s="53">
        <f>CHOOSE(CONTROL!$C$42, 40.9238, 40.9238) * CHOOSE(CONTROL!$C$21, $C$9, 100%, $E$9)</f>
        <v>40.9238</v>
      </c>
      <c r="L626" s="14">
        <f>CHOOSE(CONTROL!$C$42, 41.4637, 41.4637) * CHOOSE(CONTROL!$C$21, $C$9, 100%, $E$9)</f>
        <v>41.463700000000003</v>
      </c>
      <c r="M626" s="14">
        <f>CHOOSE(CONTROL!$C$42, 39.9539, 39.9539) * CHOOSE(CONTROL!$C$21, $C$9, 100%, $E$9)</f>
        <v>39.953899999999997</v>
      </c>
      <c r="N626" s="14">
        <f>CHOOSE(CONTROL!$C$42, 39.97, 39.97) * CHOOSE(CONTROL!$C$21, $C$9, 100%, $E$9)</f>
        <v>39.97</v>
      </c>
      <c r="O626" s="14">
        <f>CHOOSE(CONTROL!$C$42, 40.0469, 40.0469) * CHOOSE(CONTROL!$C$21, $C$9, 100%, $E$9)</f>
        <v>40.046900000000001</v>
      </c>
      <c r="P626" s="14">
        <f>CHOOSE(CONTROL!$C$42, 40.0943, 40.0943) * CHOOSE(CONTROL!$C$21, $C$9, 100%, $E$9)</f>
        <v>40.094299999999997</v>
      </c>
      <c r="Q626" s="14">
        <f>CHOOSE(CONTROL!$C$42, 40.6416, 40.6416) * CHOOSE(CONTROL!$C$21, $C$9, 100%, $E$9)</f>
        <v>40.641599999999997</v>
      </c>
      <c r="R626" s="14">
        <f>CHOOSE(CONTROL!$C$42, 41.3302, 41.3302) * CHOOSE(CONTROL!$C$21, $C$9, 100%, $E$9)</f>
        <v>41.330199999999998</v>
      </c>
      <c r="S626" s="14">
        <f>CHOOSE(CONTROL!$C$42, 39.1863, 39.1863) * CHOOSE(CONTROL!$C$21, $C$9, 100%, $E$9)</f>
        <v>39.186300000000003</v>
      </c>
      <c r="T62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7">
        <f>(1000*CHOOSE(CONTROL!$C$42, 695, 695)*CHOOSE(CONTROL!$C$42, 0.5599, 0.5599)*CHOOSE(CONTROL!$C$42, 29, 29))/1000000</f>
        <v>11.284784499999999</v>
      </c>
      <c r="V626" s="57">
        <f>(1000*CHOOSE(CONTROL!$C$42, 500, 500)*CHOOSE(CONTROL!$C$42, 0.275, 0.275)*CHOOSE(CONTROL!$C$42, 29, 29))/1000000</f>
        <v>3.9874999999999998</v>
      </c>
      <c r="W626" s="57">
        <f>(1000*CHOOSE(CONTROL!$C$42, 0.1146, 0.1146)*CHOOSE(CONTROL!$C$42, 121.5, 121.5)*CHOOSE(CONTROL!$C$42, 29, 29))/1000000</f>
        <v>0.40379309999999996</v>
      </c>
      <c r="X626" s="57">
        <f>(29*0.1790888*100000/1000000)+(29*0.2374*100000/1000000)</f>
        <v>1.2078175199999999</v>
      </c>
      <c r="Y626" s="57"/>
      <c r="Z626" s="14"/>
      <c r="AA626" s="56"/>
      <c r="AB626" s="50">
        <f>(B626*122.58+C626*297.941+D626*89.177+E626*40.302+F626*40+G626*160+H626*0+I626*100+J626*300)/(122.58+297.941+89.177+40.302+0+40+160+100+300)</f>
        <v>40.811463363130436</v>
      </c>
      <c r="AC626" s="45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40.01717913669065</v>
      </c>
    </row>
    <row r="627" spans="1:29" ht="15.75" x14ac:dyDescent="0.25">
      <c r="A627" s="32">
        <v>59992</v>
      </c>
      <c r="B627" s="14">
        <f>CHOOSE(CONTROL!$C$42, 39.632, 39.632) * CHOOSE(CONTROL!$C$21, $C$9, 100%, $E$9)</f>
        <v>39.631999999999998</v>
      </c>
      <c r="C627" s="14">
        <f>CHOOSE(CONTROL!$C$42, 39.637, 39.637) * CHOOSE(CONTROL!$C$21, $C$9, 100%, $E$9)</f>
        <v>39.637</v>
      </c>
      <c r="D627" s="14">
        <f>CHOOSE(CONTROL!$C$42, 39.6956, 39.6956) * CHOOSE(CONTROL!$C$21, $C$9, 100%, $E$9)</f>
        <v>39.695599999999999</v>
      </c>
      <c r="E627" s="14">
        <f>CHOOSE(CONTROL!$C$42, 39.7298, 39.7298) * CHOOSE(CONTROL!$C$21, $C$9, 100%, $E$9)</f>
        <v>39.729799999999997</v>
      </c>
      <c r="F627" s="14">
        <f>CHOOSE(CONTROL!$C$42, 39.6305, 39.6305)*CHOOSE(CONTROL!$C$21, $C$9, 100%, $E$9)</f>
        <v>39.630499999999998</v>
      </c>
      <c r="G627" s="14">
        <f>CHOOSE(CONTROL!$C$42, 39.6468, 39.6468)*CHOOSE(CONTROL!$C$21, $C$9, 100%, $E$9)</f>
        <v>39.646799999999999</v>
      </c>
      <c r="H627" s="14">
        <f>CHOOSE(CONTROL!$C$42, 39.719, 39.719) * CHOOSE(CONTROL!$C$21, $C$9, 100%, $E$9)</f>
        <v>39.719000000000001</v>
      </c>
      <c r="I627" s="14">
        <f>CHOOSE(CONTROL!$C$42, 39.7663, 39.7663)* CHOOSE(CONTROL!$C$21, $C$9, 100%, $E$9)</f>
        <v>39.766300000000001</v>
      </c>
      <c r="J627" s="14">
        <f>CHOOSE(CONTROL!$C$42, 39.6235, 39.6235)* CHOOSE(CONTROL!$C$21, $C$9, 100%, $E$9)</f>
        <v>39.6235</v>
      </c>
      <c r="K627" s="53">
        <f>CHOOSE(CONTROL!$C$42, 39.7624, 39.7624) * CHOOSE(CONTROL!$C$21, $C$9, 100%, $E$9)</f>
        <v>39.7624</v>
      </c>
      <c r="L627" s="14">
        <f>CHOOSE(CONTROL!$C$42, 40.306, 40.306) * CHOOSE(CONTROL!$C$21, $C$9, 100%, $E$9)</f>
        <v>40.305999999999997</v>
      </c>
      <c r="M627" s="14">
        <f>CHOOSE(CONTROL!$C$42, 38.8194, 38.8194) * CHOOSE(CONTROL!$C$21, $C$9, 100%, $E$9)</f>
        <v>38.819400000000002</v>
      </c>
      <c r="N627" s="14">
        <f>CHOOSE(CONTROL!$C$42, 38.8353, 38.8353) * CHOOSE(CONTROL!$C$21, $C$9, 100%, $E$9)</f>
        <v>38.835299999999997</v>
      </c>
      <c r="O627" s="14">
        <f>CHOOSE(CONTROL!$C$42, 38.9128, 38.9128) * CHOOSE(CONTROL!$C$21, $C$9, 100%, $E$9)</f>
        <v>38.912799999999997</v>
      </c>
      <c r="P627" s="14">
        <f>CHOOSE(CONTROL!$C$42, 38.9568, 38.9568) * CHOOSE(CONTROL!$C$21, $C$9, 100%, $E$9)</f>
        <v>38.956800000000001</v>
      </c>
      <c r="Q627" s="14">
        <f>CHOOSE(CONTROL!$C$42, 39.5075, 39.5075) * CHOOSE(CONTROL!$C$21, $C$9, 100%, $E$9)</f>
        <v>39.5075</v>
      </c>
      <c r="R627" s="14">
        <f>CHOOSE(CONTROL!$C$42, 40.1933, 40.1933) * CHOOSE(CONTROL!$C$21, $C$9, 100%, $E$9)</f>
        <v>40.193300000000001</v>
      </c>
      <c r="S627" s="14">
        <f>CHOOSE(CONTROL!$C$42, 38.0738, 38.0738) * CHOOSE(CONTROL!$C$21, $C$9, 100%, $E$9)</f>
        <v>38.073799999999999</v>
      </c>
      <c r="T6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7">
        <f>(1000*CHOOSE(CONTROL!$C$42, 695, 695)*CHOOSE(CONTROL!$C$42, 0.5599, 0.5599)*CHOOSE(CONTROL!$C$42, 31, 31))/1000000</f>
        <v>12.063045499999998</v>
      </c>
      <c r="V627" s="57">
        <f>(1000*CHOOSE(CONTROL!$C$42, 500, 500)*CHOOSE(CONTROL!$C$42, 0.275, 0.275)*CHOOSE(CONTROL!$C$42, 31, 31))/1000000</f>
        <v>4.2625000000000002</v>
      </c>
      <c r="W627" s="57">
        <f>(1000*CHOOSE(CONTROL!$C$42, 0.1146, 0.1146)*CHOOSE(CONTROL!$C$42, 121.5, 121.5)*CHOOSE(CONTROL!$C$42, 31, 31))/1000000</f>
        <v>0.43164089999999994</v>
      </c>
      <c r="X627" s="57">
        <f>(31*0.1790888*100000/1000000)+(31*0.2374*100000/1000000)</f>
        <v>1.2911152800000001</v>
      </c>
      <c r="Y627" s="57"/>
      <c r="Z627" s="14"/>
      <c r="AA627" s="56"/>
      <c r="AB627" s="50">
        <f>(B627*122.58+C627*297.941+D627*89.177+E627*40.302+F627*40+G627*160+H627*0+I627*100+J627*300)/(122.58+297.941+89.177+40.302+0+40+160+100+300)</f>
        <v>39.653122519826084</v>
      </c>
      <c r="AC627" s="45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38.882417266187048</v>
      </c>
    </row>
    <row r="628" spans="1:29" ht="15.75" x14ac:dyDescent="0.25">
      <c r="A628" s="32">
        <v>60022</v>
      </c>
      <c r="B628" s="14">
        <f>CHOOSE(CONTROL!$C$42, 39.5145, 39.5145) * CHOOSE(CONTROL!$C$21, $C$9, 100%, $E$9)</f>
        <v>39.514499999999998</v>
      </c>
      <c r="C628" s="14">
        <f>CHOOSE(CONTROL!$C$42, 39.519, 39.519) * CHOOSE(CONTROL!$C$21, $C$9, 100%, $E$9)</f>
        <v>39.518999999999998</v>
      </c>
      <c r="D628" s="14">
        <f>CHOOSE(CONTROL!$C$42, 39.7271, 39.7271) * CHOOSE(CONTROL!$C$21, $C$9, 100%, $E$9)</f>
        <v>39.7271</v>
      </c>
      <c r="E628" s="14">
        <f>CHOOSE(CONTROL!$C$42, 39.7592, 39.7592) * CHOOSE(CONTROL!$C$21, $C$9, 100%, $E$9)</f>
        <v>39.7592</v>
      </c>
      <c r="F628" s="14">
        <f>CHOOSE(CONTROL!$C$42, 39.5019, 39.5019)*CHOOSE(CONTROL!$C$21, $C$9, 100%, $E$9)</f>
        <v>39.501899999999999</v>
      </c>
      <c r="G628" s="14">
        <f>CHOOSE(CONTROL!$C$42, 39.5178, 39.5178)*CHOOSE(CONTROL!$C$21, $C$9, 100%, $E$9)</f>
        <v>39.517800000000001</v>
      </c>
      <c r="H628" s="14">
        <f>CHOOSE(CONTROL!$C$42, 39.749, 39.749) * CHOOSE(CONTROL!$C$21, $C$9, 100%, $E$9)</f>
        <v>39.749000000000002</v>
      </c>
      <c r="I628" s="14">
        <f>CHOOSE(CONTROL!$C$42, 39.6477, 39.6477)* CHOOSE(CONTROL!$C$21, $C$9, 100%, $E$9)</f>
        <v>39.6477</v>
      </c>
      <c r="J628" s="14">
        <f>CHOOSE(CONTROL!$C$42, 39.4949, 39.4949)* CHOOSE(CONTROL!$C$21, $C$9, 100%, $E$9)</f>
        <v>39.494900000000001</v>
      </c>
      <c r="K628" s="53">
        <f>CHOOSE(CONTROL!$C$42, 39.6438, 39.6438) * CHOOSE(CONTROL!$C$21, $C$9, 100%, $E$9)</f>
        <v>39.643799999999999</v>
      </c>
      <c r="L628" s="14">
        <f>CHOOSE(CONTROL!$C$42, 40.336, 40.336) * CHOOSE(CONTROL!$C$21, $C$9, 100%, $E$9)</f>
        <v>40.335999999999999</v>
      </c>
      <c r="M628" s="14">
        <f>CHOOSE(CONTROL!$C$42, 38.6933, 38.6933) * CHOOSE(CONTROL!$C$21, $C$9, 100%, $E$9)</f>
        <v>38.693300000000001</v>
      </c>
      <c r="N628" s="14">
        <f>CHOOSE(CONTROL!$C$42, 38.7089, 38.7089) * CHOOSE(CONTROL!$C$21, $C$9, 100%, $E$9)</f>
        <v>38.7089</v>
      </c>
      <c r="O628" s="14">
        <f>CHOOSE(CONTROL!$C$42, 38.9423, 38.9423) * CHOOSE(CONTROL!$C$21, $C$9, 100%, $E$9)</f>
        <v>38.942300000000003</v>
      </c>
      <c r="P628" s="14">
        <f>CHOOSE(CONTROL!$C$42, 38.8406, 38.8406) * CHOOSE(CONTROL!$C$21, $C$9, 100%, $E$9)</f>
        <v>38.840600000000002</v>
      </c>
      <c r="Q628" s="14">
        <f>CHOOSE(CONTROL!$C$42, 39.537, 39.537) * CHOOSE(CONTROL!$C$21, $C$9, 100%, $E$9)</f>
        <v>39.536999999999999</v>
      </c>
      <c r="R628" s="14">
        <f>CHOOSE(CONTROL!$C$42, 40.2228, 40.2228) * CHOOSE(CONTROL!$C$21, $C$9, 100%, $E$9)</f>
        <v>40.222799999999999</v>
      </c>
      <c r="S628" s="14">
        <f>CHOOSE(CONTROL!$C$42, 37.9602, 37.9602) * CHOOSE(CONTROL!$C$21, $C$9, 100%, $E$9)</f>
        <v>37.9602</v>
      </c>
      <c r="T6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7">
        <f>(1000*CHOOSE(CONTROL!$C$42, 695, 695)*CHOOSE(CONTROL!$C$42, 0.5599, 0.5599)*CHOOSE(CONTROL!$C$42, 30, 30))/1000000</f>
        <v>11.673914999999997</v>
      </c>
      <c r="V628" s="57">
        <f>(1000*CHOOSE(CONTROL!$C$42, 500, 500)*CHOOSE(CONTROL!$C$42, 0.275, 0.275)*CHOOSE(CONTROL!$C$42, 30, 30))/1000000</f>
        <v>4.125</v>
      </c>
      <c r="W628" s="57">
        <f>(1000*CHOOSE(CONTROL!$C$42, 0.1146, 0.1146)*CHOOSE(CONTROL!$C$42, 121.5, 121.5)*CHOOSE(CONTROL!$C$42, 30, 30))/1000000</f>
        <v>0.417717</v>
      </c>
      <c r="X628" s="57">
        <f>(30*0.1790888*245000/1000000)+(30*0.2374*100000/1000000)</f>
        <v>2.0285026799999999</v>
      </c>
      <c r="Y628" s="57"/>
      <c r="Z628" s="14"/>
      <c r="AA628" s="56"/>
      <c r="AB628" s="50">
        <f>(B628*141.293+C628*267.993+D628*115.016+E628*89.698+F628*40+G628*185+H628*0+I628*100+J628*300)/(141.293+267.993+115.016+89.698+0+40+185+100+300)</f>
        <v>39.559014907748178</v>
      </c>
      <c r="AC628" s="45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38.828248201438853</v>
      </c>
    </row>
    <row r="629" spans="1:29" ht="15.75" x14ac:dyDescent="0.25">
      <c r="A629" s="32">
        <v>60053</v>
      </c>
      <c r="B629" s="14">
        <f>CHOOSE(CONTROL!$C$42, 39.8646, 39.8646) * CHOOSE(CONTROL!$C$21, $C$9, 100%, $E$9)</f>
        <v>39.864600000000003</v>
      </c>
      <c r="C629" s="14">
        <f>CHOOSE(CONTROL!$C$42, 39.8726, 39.8726) * CHOOSE(CONTROL!$C$21, $C$9, 100%, $E$9)</f>
        <v>39.872599999999998</v>
      </c>
      <c r="D629" s="14">
        <f>CHOOSE(CONTROL!$C$42, 40.0776, 40.0776) * CHOOSE(CONTROL!$C$21, $C$9, 100%, $E$9)</f>
        <v>40.077599999999997</v>
      </c>
      <c r="E629" s="14">
        <f>CHOOSE(CONTROL!$C$42, 40.109, 40.109) * CHOOSE(CONTROL!$C$21, $C$9, 100%, $E$9)</f>
        <v>40.109000000000002</v>
      </c>
      <c r="F629" s="14">
        <f>CHOOSE(CONTROL!$C$42, 39.8508, 39.8508)*CHOOSE(CONTROL!$C$21, $C$9, 100%, $E$9)</f>
        <v>39.8508</v>
      </c>
      <c r="G629" s="14">
        <f>CHOOSE(CONTROL!$C$42, 39.8672, 39.8672)*CHOOSE(CONTROL!$C$21, $C$9, 100%, $E$9)</f>
        <v>39.867199999999997</v>
      </c>
      <c r="H629" s="14">
        <f>CHOOSE(CONTROL!$C$42, 40.0977, 40.0977) * CHOOSE(CONTROL!$C$21, $C$9, 100%, $E$9)</f>
        <v>40.097700000000003</v>
      </c>
      <c r="I629" s="14">
        <f>CHOOSE(CONTROL!$C$42, 39.9975, 39.9975)* CHOOSE(CONTROL!$C$21, $C$9, 100%, $E$9)</f>
        <v>39.997500000000002</v>
      </c>
      <c r="J629" s="14">
        <f>CHOOSE(CONTROL!$C$42, 39.8438, 39.8438)* CHOOSE(CONTROL!$C$21, $C$9, 100%, $E$9)</f>
        <v>39.843800000000002</v>
      </c>
      <c r="K629" s="53">
        <f>CHOOSE(CONTROL!$C$42, 39.9936, 39.9936) * CHOOSE(CONTROL!$C$21, $C$9, 100%, $E$9)</f>
        <v>39.993600000000001</v>
      </c>
      <c r="L629" s="14">
        <f>CHOOSE(CONTROL!$C$42, 40.6847, 40.6847) * CHOOSE(CONTROL!$C$21, $C$9, 100%, $E$9)</f>
        <v>40.684699999999999</v>
      </c>
      <c r="M629" s="14">
        <f>CHOOSE(CONTROL!$C$42, 39.0351, 39.0351) * CHOOSE(CONTROL!$C$21, $C$9, 100%, $E$9)</f>
        <v>39.0351</v>
      </c>
      <c r="N629" s="14">
        <f>CHOOSE(CONTROL!$C$42, 39.0512, 39.0512) * CHOOSE(CONTROL!$C$21, $C$9, 100%, $E$9)</f>
        <v>39.051200000000001</v>
      </c>
      <c r="O629" s="14">
        <f>CHOOSE(CONTROL!$C$42, 39.2838, 39.2838) * CHOOSE(CONTROL!$C$21, $C$9, 100%, $E$9)</f>
        <v>39.283799999999999</v>
      </c>
      <c r="P629" s="14">
        <f>CHOOSE(CONTROL!$C$42, 39.1832, 39.1832) * CHOOSE(CONTROL!$C$21, $C$9, 100%, $E$9)</f>
        <v>39.183199999999999</v>
      </c>
      <c r="Q629" s="14">
        <f>CHOOSE(CONTROL!$C$42, 39.8785, 39.8785) * CHOOSE(CONTROL!$C$21, $C$9, 100%, $E$9)</f>
        <v>39.878500000000003</v>
      </c>
      <c r="R629" s="14">
        <f>CHOOSE(CONTROL!$C$42, 40.5652, 40.5652) * CHOOSE(CONTROL!$C$21, $C$9, 100%, $E$9)</f>
        <v>40.565199999999997</v>
      </c>
      <c r="S629" s="14">
        <f>CHOOSE(CONTROL!$C$42, 38.2952, 38.2952) * CHOOSE(CONTROL!$C$21, $C$9, 100%, $E$9)</f>
        <v>38.295200000000001</v>
      </c>
      <c r="T6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7">
        <f>(1000*CHOOSE(CONTROL!$C$42, 695, 695)*CHOOSE(CONTROL!$C$42, 0.5599, 0.5599)*CHOOSE(CONTROL!$C$42, 31, 31))/1000000</f>
        <v>12.063045499999998</v>
      </c>
      <c r="V629" s="57">
        <f>(1000*CHOOSE(CONTROL!$C$42, 500, 500)*CHOOSE(CONTROL!$C$42, 0.275, 0.275)*CHOOSE(CONTROL!$C$42, 31, 31))/1000000</f>
        <v>4.2625000000000002</v>
      </c>
      <c r="W629" s="57">
        <f>(1000*CHOOSE(CONTROL!$C$42, 0.1146, 0.1146)*CHOOSE(CONTROL!$C$42, 121.5, 121.5)*CHOOSE(CONTROL!$C$42, 31, 31))/1000000</f>
        <v>0.43164089999999994</v>
      </c>
      <c r="X629" s="57">
        <f>(31*0.1790888*245000/1000000)+(31*0.2374*100000/1000000)</f>
        <v>2.0961194359999999</v>
      </c>
      <c r="Y629" s="57"/>
      <c r="Z629" s="14"/>
      <c r="AA629" s="56"/>
      <c r="AB629" s="50">
        <f>(B629*194.205+C629*267.466+D629*133.845+E629*53.484+F629*40+G629*185+H629*0+I629*100+J629*300)/(194.205+267.466+133.845+53.484+0+40+185+100+300)</f>
        <v>39.904395292464677</v>
      </c>
      <c r="AC629" s="45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39.170056115107911</v>
      </c>
    </row>
    <row r="630" spans="1:29" ht="15.75" x14ac:dyDescent="0.25">
      <c r="A630" s="32">
        <v>60083</v>
      </c>
      <c r="B630" s="14">
        <f>CHOOSE(CONTROL!$C$42, 40.995, 40.995) * CHOOSE(CONTROL!$C$21, $C$9, 100%, $E$9)</f>
        <v>40.994999999999997</v>
      </c>
      <c r="C630" s="14">
        <f>CHOOSE(CONTROL!$C$42, 41.0031, 41.0031) * CHOOSE(CONTROL!$C$21, $C$9, 100%, $E$9)</f>
        <v>41.003100000000003</v>
      </c>
      <c r="D630" s="14">
        <f>CHOOSE(CONTROL!$C$42, 41.208, 41.208) * CHOOSE(CONTROL!$C$21, $C$9, 100%, $E$9)</f>
        <v>41.207999999999998</v>
      </c>
      <c r="E630" s="14">
        <f>CHOOSE(CONTROL!$C$42, 41.2395, 41.2395) * CHOOSE(CONTROL!$C$21, $C$9, 100%, $E$9)</f>
        <v>41.2395</v>
      </c>
      <c r="F630" s="14">
        <f>CHOOSE(CONTROL!$C$42, 40.9816, 40.9816)*CHOOSE(CONTROL!$C$21, $C$9, 100%, $E$9)</f>
        <v>40.9816</v>
      </c>
      <c r="G630" s="14">
        <f>CHOOSE(CONTROL!$C$42, 40.9981, 40.9981)*CHOOSE(CONTROL!$C$21, $C$9, 100%, $E$9)</f>
        <v>40.998100000000001</v>
      </c>
      <c r="H630" s="14">
        <f>CHOOSE(CONTROL!$C$42, 41.2281, 41.2281) * CHOOSE(CONTROL!$C$21, $C$9, 100%, $E$9)</f>
        <v>41.228099999999998</v>
      </c>
      <c r="I630" s="14">
        <f>CHOOSE(CONTROL!$C$42, 41.1315, 41.1315)* CHOOSE(CONTROL!$C$21, $C$9, 100%, $E$9)</f>
        <v>41.131500000000003</v>
      </c>
      <c r="J630" s="14">
        <f>CHOOSE(CONTROL!$C$42, 40.9746, 40.9746)* CHOOSE(CONTROL!$C$21, $C$9, 100%, $E$9)</f>
        <v>40.974600000000002</v>
      </c>
      <c r="K630" s="53">
        <f>CHOOSE(CONTROL!$C$42, 41.1276, 41.1276) * CHOOSE(CONTROL!$C$21, $C$9, 100%, $E$9)</f>
        <v>41.127600000000001</v>
      </c>
      <c r="L630" s="14">
        <f>CHOOSE(CONTROL!$C$42, 41.8151, 41.8151) * CHOOSE(CONTROL!$C$21, $C$9, 100%, $E$9)</f>
        <v>41.815100000000001</v>
      </c>
      <c r="M630" s="14">
        <f>CHOOSE(CONTROL!$C$42, 40.1428, 40.1428) * CHOOSE(CONTROL!$C$21, $C$9, 100%, $E$9)</f>
        <v>40.142800000000001</v>
      </c>
      <c r="N630" s="14">
        <f>CHOOSE(CONTROL!$C$42, 40.1589, 40.1589) * CHOOSE(CONTROL!$C$21, $C$9, 100%, $E$9)</f>
        <v>40.158900000000003</v>
      </c>
      <c r="O630" s="14">
        <f>CHOOSE(CONTROL!$C$42, 40.3911, 40.3911) * CHOOSE(CONTROL!$C$21, $C$9, 100%, $E$9)</f>
        <v>40.391100000000002</v>
      </c>
      <c r="P630" s="14">
        <f>CHOOSE(CONTROL!$C$42, 40.2939, 40.2939) * CHOOSE(CONTROL!$C$21, $C$9, 100%, $E$9)</f>
        <v>40.293900000000001</v>
      </c>
      <c r="Q630" s="14">
        <f>CHOOSE(CONTROL!$C$42, 40.9858, 40.9858) * CHOOSE(CONTROL!$C$21, $C$9, 100%, $E$9)</f>
        <v>40.985799999999998</v>
      </c>
      <c r="R630" s="14">
        <f>CHOOSE(CONTROL!$C$42, 41.6753, 41.6753) * CHOOSE(CONTROL!$C$21, $C$9, 100%, $E$9)</f>
        <v>41.6753</v>
      </c>
      <c r="S630" s="14">
        <f>CHOOSE(CONTROL!$C$42, 39.3815, 39.3815) * CHOOSE(CONTROL!$C$21, $C$9, 100%, $E$9)</f>
        <v>39.381500000000003</v>
      </c>
      <c r="T6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7">
        <f>(1000*CHOOSE(CONTROL!$C$42, 695, 695)*CHOOSE(CONTROL!$C$42, 0.5599, 0.5599)*CHOOSE(CONTROL!$C$42, 30, 30))/1000000</f>
        <v>11.673914999999997</v>
      </c>
      <c r="V630" s="57">
        <f>(1000*CHOOSE(CONTROL!$C$42, 500, 500)*CHOOSE(CONTROL!$C$42, 0.275, 0.275)*CHOOSE(CONTROL!$C$42, 30, 30))/1000000</f>
        <v>4.125</v>
      </c>
      <c r="W630" s="57">
        <f>(1000*CHOOSE(CONTROL!$C$42, 0.1146, 0.1146)*CHOOSE(CONTROL!$C$42, 121.5, 121.5)*CHOOSE(CONTROL!$C$42, 30, 30))/1000000</f>
        <v>0.417717</v>
      </c>
      <c r="X630" s="57">
        <f>(30*0.1790888*245000/1000000)+(30*0.2374*100000/1000000)</f>
        <v>2.0285026799999999</v>
      </c>
      <c r="Y630" s="57"/>
      <c r="Z630" s="14"/>
      <c r="AA630" s="56"/>
      <c r="AB630" s="50">
        <f>(B630*194.205+C630*267.466+D630*133.845+E630*53.484+F630*40+G630*185+H630*0+I630*100+J630*300)/(194.205+267.466+133.845+53.484+0+40+185+100+300)</f>
        <v>41.035282415698589</v>
      </c>
      <c r="AC630" s="45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40.278006474820145</v>
      </c>
    </row>
    <row r="631" spans="1:29" ht="15.75" x14ac:dyDescent="0.25">
      <c r="A631" s="32">
        <v>60114</v>
      </c>
      <c r="B631" s="14">
        <f>CHOOSE(CONTROL!$C$42, 40.2088, 40.2088) * CHOOSE(CONTROL!$C$21, $C$9, 100%, $E$9)</f>
        <v>40.208799999999997</v>
      </c>
      <c r="C631" s="14">
        <f>CHOOSE(CONTROL!$C$42, 40.2168, 40.2168) * CHOOSE(CONTROL!$C$21, $C$9, 100%, $E$9)</f>
        <v>40.216799999999999</v>
      </c>
      <c r="D631" s="14">
        <f>CHOOSE(CONTROL!$C$42, 40.4218, 40.4218) * CHOOSE(CONTROL!$C$21, $C$9, 100%, $E$9)</f>
        <v>40.421799999999998</v>
      </c>
      <c r="E631" s="14">
        <f>CHOOSE(CONTROL!$C$42, 40.4533, 40.4533) * CHOOSE(CONTROL!$C$21, $C$9, 100%, $E$9)</f>
        <v>40.453299999999999</v>
      </c>
      <c r="F631" s="14">
        <f>CHOOSE(CONTROL!$C$42, 40.1958, 40.1958)*CHOOSE(CONTROL!$C$21, $C$9, 100%, $E$9)</f>
        <v>40.195799999999998</v>
      </c>
      <c r="G631" s="14">
        <f>CHOOSE(CONTROL!$C$42, 40.2124, 40.2124)*CHOOSE(CONTROL!$C$21, $C$9, 100%, $E$9)</f>
        <v>40.212400000000002</v>
      </c>
      <c r="H631" s="14">
        <f>CHOOSE(CONTROL!$C$42, 40.4419, 40.4419) * CHOOSE(CONTROL!$C$21, $C$9, 100%, $E$9)</f>
        <v>40.441899999999997</v>
      </c>
      <c r="I631" s="14">
        <f>CHOOSE(CONTROL!$C$42, 40.3428, 40.3428)* CHOOSE(CONTROL!$C$21, $C$9, 100%, $E$9)</f>
        <v>40.342799999999997</v>
      </c>
      <c r="J631" s="14">
        <f>CHOOSE(CONTROL!$C$42, 40.1888, 40.1888)* CHOOSE(CONTROL!$C$21, $C$9, 100%, $E$9)</f>
        <v>40.188800000000001</v>
      </c>
      <c r="K631" s="53">
        <f>CHOOSE(CONTROL!$C$42, 40.3389, 40.3389) * CHOOSE(CONTROL!$C$21, $C$9, 100%, $E$9)</f>
        <v>40.338900000000002</v>
      </c>
      <c r="L631" s="14">
        <f>CHOOSE(CONTROL!$C$42, 41.0289, 41.0289) * CHOOSE(CONTROL!$C$21, $C$9, 100%, $E$9)</f>
        <v>41.0289</v>
      </c>
      <c r="M631" s="14">
        <f>CHOOSE(CONTROL!$C$42, 39.373, 39.373) * CHOOSE(CONTROL!$C$21, $C$9, 100%, $E$9)</f>
        <v>39.372999999999998</v>
      </c>
      <c r="N631" s="14">
        <f>CHOOSE(CONTROL!$C$42, 39.3893, 39.3893) * CHOOSE(CONTROL!$C$21, $C$9, 100%, $E$9)</f>
        <v>39.389299999999999</v>
      </c>
      <c r="O631" s="14">
        <f>CHOOSE(CONTROL!$C$42, 39.621, 39.621) * CHOOSE(CONTROL!$C$21, $C$9, 100%, $E$9)</f>
        <v>39.621000000000002</v>
      </c>
      <c r="P631" s="14">
        <f>CHOOSE(CONTROL!$C$42, 39.5214, 39.5214) * CHOOSE(CONTROL!$C$21, $C$9, 100%, $E$9)</f>
        <v>39.5214</v>
      </c>
      <c r="Q631" s="14">
        <f>CHOOSE(CONTROL!$C$42, 40.2157, 40.2157) * CHOOSE(CONTROL!$C$21, $C$9, 100%, $E$9)</f>
        <v>40.215699999999998</v>
      </c>
      <c r="R631" s="14">
        <f>CHOOSE(CONTROL!$C$42, 40.9032, 40.9032) * CHOOSE(CONTROL!$C$21, $C$9, 100%, $E$9)</f>
        <v>40.903199999999998</v>
      </c>
      <c r="S631" s="14">
        <f>CHOOSE(CONTROL!$C$42, 38.626, 38.626) * CHOOSE(CONTROL!$C$21, $C$9, 100%, $E$9)</f>
        <v>38.625999999999998</v>
      </c>
      <c r="T6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7">
        <f>(1000*CHOOSE(CONTROL!$C$42, 695, 695)*CHOOSE(CONTROL!$C$42, 0.5599, 0.5599)*CHOOSE(CONTROL!$C$42, 31, 31))/1000000</f>
        <v>12.063045499999998</v>
      </c>
      <c r="V631" s="57">
        <f>(1000*CHOOSE(CONTROL!$C$42, 500, 500)*CHOOSE(CONTROL!$C$42, 0.275, 0.275)*CHOOSE(CONTROL!$C$42, 31, 31))/1000000</f>
        <v>4.2625000000000002</v>
      </c>
      <c r="W631" s="57">
        <f>(1000*CHOOSE(CONTROL!$C$42, 0.1146, 0.1146)*CHOOSE(CONTROL!$C$42, 121.5, 121.5)*CHOOSE(CONTROL!$C$42, 31, 31))/1000000</f>
        <v>0.43164089999999994</v>
      </c>
      <c r="X631" s="57">
        <f>(31*0.1790888*245000/1000000)+(31*0.2374*100000/1000000)</f>
        <v>2.0961194359999999</v>
      </c>
      <c r="Y631" s="57"/>
      <c r="Z631" s="14"/>
      <c r="AA631" s="56"/>
      <c r="AB631" s="50">
        <f>(B631*194.205+C631*267.466+D631*133.845+E631*53.484+F631*40+G631*185+H631*0+I631*100+J631*300)/(194.205+267.466+133.845+53.484+0+40+185+100+300)</f>
        <v>40.249044545525898</v>
      </c>
      <c r="AC631" s="45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39.50769352517986</v>
      </c>
    </row>
    <row r="632" spans="1:29" ht="15.75" x14ac:dyDescent="0.25">
      <c r="A632" s="32">
        <v>60145</v>
      </c>
      <c r="B632" s="14">
        <f>CHOOSE(CONTROL!$C$42, 38.2233, 38.2233) * CHOOSE(CONTROL!$C$21, $C$9, 100%, $E$9)</f>
        <v>38.223300000000002</v>
      </c>
      <c r="C632" s="14">
        <f>CHOOSE(CONTROL!$C$42, 38.2313, 38.2313) * CHOOSE(CONTROL!$C$21, $C$9, 100%, $E$9)</f>
        <v>38.231299999999997</v>
      </c>
      <c r="D632" s="14">
        <f>CHOOSE(CONTROL!$C$42, 38.4363, 38.4363) * CHOOSE(CONTROL!$C$21, $C$9, 100%, $E$9)</f>
        <v>38.436300000000003</v>
      </c>
      <c r="E632" s="14">
        <f>CHOOSE(CONTROL!$C$42, 38.4677, 38.4677) * CHOOSE(CONTROL!$C$21, $C$9, 100%, $E$9)</f>
        <v>38.467700000000001</v>
      </c>
      <c r="F632" s="14">
        <f>CHOOSE(CONTROL!$C$42, 38.2105, 38.2105)*CHOOSE(CONTROL!$C$21, $C$9, 100%, $E$9)</f>
        <v>38.210500000000003</v>
      </c>
      <c r="G632" s="14">
        <f>CHOOSE(CONTROL!$C$42, 38.2271, 38.2271)*CHOOSE(CONTROL!$C$21, $C$9, 100%, $E$9)</f>
        <v>38.2271</v>
      </c>
      <c r="H632" s="14">
        <f>CHOOSE(CONTROL!$C$42, 38.4564, 38.4564) * CHOOSE(CONTROL!$C$21, $C$9, 100%, $E$9)</f>
        <v>38.456400000000002</v>
      </c>
      <c r="I632" s="14">
        <f>CHOOSE(CONTROL!$C$42, 38.351, 38.351)* CHOOSE(CONTROL!$C$21, $C$9, 100%, $E$9)</f>
        <v>38.350999999999999</v>
      </c>
      <c r="J632" s="14">
        <f>CHOOSE(CONTROL!$C$42, 38.2035, 38.2035)* CHOOSE(CONTROL!$C$21, $C$9, 100%, $E$9)</f>
        <v>38.203499999999998</v>
      </c>
      <c r="K632" s="53">
        <f>CHOOSE(CONTROL!$C$42, 38.3471, 38.3471) * CHOOSE(CONTROL!$C$21, $C$9, 100%, $E$9)</f>
        <v>38.347099999999998</v>
      </c>
      <c r="L632" s="14">
        <f>CHOOSE(CONTROL!$C$42, 39.0434, 39.0434) * CHOOSE(CONTROL!$C$21, $C$9, 100%, $E$9)</f>
        <v>39.043399999999998</v>
      </c>
      <c r="M632" s="14">
        <f>CHOOSE(CONTROL!$C$42, 37.4284, 37.4284) * CHOOSE(CONTROL!$C$21, $C$9, 100%, $E$9)</f>
        <v>37.428400000000003</v>
      </c>
      <c r="N632" s="14">
        <f>CHOOSE(CONTROL!$C$42, 37.4447, 37.4447) * CHOOSE(CONTROL!$C$21, $C$9, 100%, $E$9)</f>
        <v>37.444699999999997</v>
      </c>
      <c r="O632" s="14">
        <f>CHOOSE(CONTROL!$C$42, 37.6761, 37.6761) * CHOOSE(CONTROL!$C$21, $C$9, 100%, $E$9)</f>
        <v>37.676099999999998</v>
      </c>
      <c r="P632" s="14">
        <f>CHOOSE(CONTROL!$C$42, 37.5706, 37.5706) * CHOOSE(CONTROL!$C$21, $C$9, 100%, $E$9)</f>
        <v>37.570599999999999</v>
      </c>
      <c r="Q632" s="14">
        <f>CHOOSE(CONTROL!$C$42, 38.2708, 38.2708) * CHOOSE(CONTROL!$C$21, $C$9, 100%, $E$9)</f>
        <v>38.270800000000001</v>
      </c>
      <c r="R632" s="14">
        <f>CHOOSE(CONTROL!$C$42, 38.9535, 38.9535) * CHOOSE(CONTROL!$C$21, $C$9, 100%, $E$9)</f>
        <v>38.953499999999998</v>
      </c>
      <c r="S632" s="14">
        <f>CHOOSE(CONTROL!$C$42, 36.7181, 36.7181) * CHOOSE(CONTROL!$C$21, $C$9, 100%, $E$9)</f>
        <v>36.7181</v>
      </c>
      <c r="T6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7">
        <f>(1000*CHOOSE(CONTROL!$C$42, 695, 695)*CHOOSE(CONTROL!$C$42, 0.5599, 0.5599)*CHOOSE(CONTROL!$C$42, 31, 31))/1000000</f>
        <v>12.063045499999998</v>
      </c>
      <c r="V632" s="57">
        <f>(1000*CHOOSE(CONTROL!$C$42, 500, 500)*CHOOSE(CONTROL!$C$42, 0.275, 0.275)*CHOOSE(CONTROL!$C$42, 31, 31))/1000000</f>
        <v>4.2625000000000002</v>
      </c>
      <c r="W632" s="57">
        <f>(1000*CHOOSE(CONTROL!$C$42, 0.1146, 0.1146)*CHOOSE(CONTROL!$C$42, 121.5, 121.5)*CHOOSE(CONTROL!$C$42, 31, 31))/1000000</f>
        <v>0.43164089999999994</v>
      </c>
      <c r="X632" s="57">
        <f>(31*0.1790888*245000/1000000)+(31*0.2374*100000/1000000)</f>
        <v>2.0961194359999999</v>
      </c>
      <c r="Y632" s="57"/>
      <c r="Z632" s="14"/>
      <c r="AA632" s="56"/>
      <c r="AB632" s="50">
        <f>(B632*194.205+C632*267.466+D632*133.845+E632*53.484+F632*40+G632*185+H632*0+I632*100+J632*300)/(194.205+267.466+133.845+53.484+0+40+185+100+300)</f>
        <v>38.263128259497648</v>
      </c>
      <c r="AC632" s="45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37.562065467625899</v>
      </c>
    </row>
    <row r="633" spans="1:29" ht="15.75" x14ac:dyDescent="0.25">
      <c r="A633" s="32">
        <v>60175</v>
      </c>
      <c r="B633" s="14">
        <f>CHOOSE(CONTROL!$C$42, 35.7969, 35.7969) * CHOOSE(CONTROL!$C$21, $C$9, 100%, $E$9)</f>
        <v>35.796900000000001</v>
      </c>
      <c r="C633" s="14">
        <f>CHOOSE(CONTROL!$C$42, 35.805, 35.805) * CHOOSE(CONTROL!$C$21, $C$9, 100%, $E$9)</f>
        <v>35.805</v>
      </c>
      <c r="D633" s="14">
        <f>CHOOSE(CONTROL!$C$42, 36.0099, 36.0099) * CHOOSE(CONTROL!$C$21, $C$9, 100%, $E$9)</f>
        <v>36.009900000000002</v>
      </c>
      <c r="E633" s="14">
        <f>CHOOSE(CONTROL!$C$42, 36.0414, 36.0414) * CHOOSE(CONTROL!$C$21, $C$9, 100%, $E$9)</f>
        <v>36.041400000000003</v>
      </c>
      <c r="F633" s="14">
        <f>CHOOSE(CONTROL!$C$42, 35.7841, 35.7841)*CHOOSE(CONTROL!$C$21, $C$9, 100%, $E$9)</f>
        <v>35.784100000000002</v>
      </c>
      <c r="G633" s="14">
        <f>CHOOSE(CONTROL!$C$42, 35.8008, 35.8008)*CHOOSE(CONTROL!$C$21, $C$9, 100%, $E$9)</f>
        <v>35.800800000000002</v>
      </c>
      <c r="H633" s="14">
        <f>CHOOSE(CONTROL!$C$42, 36.03, 36.03) * CHOOSE(CONTROL!$C$21, $C$9, 100%, $E$9)</f>
        <v>36.03</v>
      </c>
      <c r="I633" s="14">
        <f>CHOOSE(CONTROL!$C$42, 35.9171, 35.9171)* CHOOSE(CONTROL!$C$21, $C$9, 100%, $E$9)</f>
        <v>35.917099999999998</v>
      </c>
      <c r="J633" s="14">
        <f>CHOOSE(CONTROL!$C$42, 35.7771, 35.7771)* CHOOSE(CONTROL!$C$21, $C$9, 100%, $E$9)</f>
        <v>35.777099999999997</v>
      </c>
      <c r="K633" s="53">
        <f>CHOOSE(CONTROL!$C$42, 35.9132, 35.9132) * CHOOSE(CONTROL!$C$21, $C$9, 100%, $E$9)</f>
        <v>35.913200000000003</v>
      </c>
      <c r="L633" s="14">
        <f>CHOOSE(CONTROL!$C$42, 36.617, 36.617) * CHOOSE(CONTROL!$C$21, $C$9, 100%, $E$9)</f>
        <v>36.616999999999997</v>
      </c>
      <c r="M633" s="14">
        <f>CHOOSE(CONTROL!$C$42, 35.0517, 35.0517) * CHOOSE(CONTROL!$C$21, $C$9, 100%, $E$9)</f>
        <v>35.051699999999997</v>
      </c>
      <c r="N633" s="14">
        <f>CHOOSE(CONTROL!$C$42, 35.0681, 35.0681) * CHOOSE(CONTROL!$C$21, $C$9, 100%, $E$9)</f>
        <v>35.068100000000001</v>
      </c>
      <c r="O633" s="14">
        <f>CHOOSE(CONTROL!$C$42, 35.2995, 35.2995) * CHOOSE(CONTROL!$C$21, $C$9, 100%, $E$9)</f>
        <v>35.299500000000002</v>
      </c>
      <c r="P633" s="14">
        <f>CHOOSE(CONTROL!$C$42, 35.1867, 35.1867) * CHOOSE(CONTROL!$C$21, $C$9, 100%, $E$9)</f>
        <v>35.186700000000002</v>
      </c>
      <c r="Q633" s="14">
        <f>CHOOSE(CONTROL!$C$42, 35.8942, 35.8942) * CHOOSE(CONTROL!$C$21, $C$9, 100%, $E$9)</f>
        <v>35.894199999999998</v>
      </c>
      <c r="R633" s="14">
        <f>CHOOSE(CONTROL!$C$42, 36.5709, 36.5709) * CHOOSE(CONTROL!$C$21, $C$9, 100%, $E$9)</f>
        <v>36.570900000000002</v>
      </c>
      <c r="S633" s="14">
        <f>CHOOSE(CONTROL!$C$42, 34.3866, 34.3866) * CHOOSE(CONTROL!$C$21, $C$9, 100%, $E$9)</f>
        <v>34.386600000000001</v>
      </c>
      <c r="T6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7">
        <f>(1000*CHOOSE(CONTROL!$C$42, 695, 695)*CHOOSE(CONTROL!$C$42, 0.5599, 0.5599)*CHOOSE(CONTROL!$C$42, 30, 30))/1000000</f>
        <v>11.673914999999997</v>
      </c>
      <c r="V633" s="57">
        <f>(1000*CHOOSE(CONTROL!$C$42, 500, 500)*CHOOSE(CONTROL!$C$42, 0.275, 0.275)*CHOOSE(CONTROL!$C$42, 30, 30))/1000000</f>
        <v>4.125</v>
      </c>
      <c r="W633" s="57">
        <f>(1000*CHOOSE(CONTROL!$C$42, 0.1146, 0.1146)*CHOOSE(CONTROL!$C$42, 121.5, 121.5)*CHOOSE(CONTROL!$C$42, 30, 30))/1000000</f>
        <v>0.417717</v>
      </c>
      <c r="X633" s="57">
        <f>(30*0.1790888*245000/1000000)+(30*0.2374*100000/1000000)</f>
        <v>2.0285026799999999</v>
      </c>
      <c r="Y633" s="57"/>
      <c r="Z633" s="14"/>
      <c r="AA633" s="56"/>
      <c r="AB633" s="50">
        <f>(B633*194.205+C633*267.466+D633*133.845+E633*53.484+F633*40+G633*185+H633*0+I633*100+J633*300)/(194.205+267.466+133.845+53.484+0+40+185+100+300)</f>
        <v>35.836179275981166</v>
      </c>
      <c r="AC633" s="45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35.184380575539571</v>
      </c>
    </row>
    <row r="634" spans="1:29" ht="15.75" x14ac:dyDescent="0.25">
      <c r="A634" s="32">
        <v>60206</v>
      </c>
      <c r="B634" s="14">
        <f>CHOOSE(CONTROL!$C$42, 35.0686, 35.0686) * CHOOSE(CONTROL!$C$21, $C$9, 100%, $E$9)</f>
        <v>35.068600000000004</v>
      </c>
      <c r="C634" s="14">
        <f>CHOOSE(CONTROL!$C$42, 35.0739, 35.0739) * CHOOSE(CONTROL!$C$21, $C$9, 100%, $E$9)</f>
        <v>35.073900000000002</v>
      </c>
      <c r="D634" s="14">
        <f>CHOOSE(CONTROL!$C$42, 35.2839, 35.2839) * CHOOSE(CONTROL!$C$21, $C$9, 100%, $E$9)</f>
        <v>35.283900000000003</v>
      </c>
      <c r="E634" s="14">
        <f>CHOOSE(CONTROL!$C$42, 35.313, 35.313) * CHOOSE(CONTROL!$C$21, $C$9, 100%, $E$9)</f>
        <v>35.313000000000002</v>
      </c>
      <c r="F634" s="14">
        <f>CHOOSE(CONTROL!$C$42, 35.0578, 35.0578)*CHOOSE(CONTROL!$C$21, $C$9, 100%, $E$9)</f>
        <v>35.0578</v>
      </c>
      <c r="G634" s="14">
        <f>CHOOSE(CONTROL!$C$42, 35.0742, 35.0742)*CHOOSE(CONTROL!$C$21, $C$9, 100%, $E$9)</f>
        <v>35.074199999999998</v>
      </c>
      <c r="H634" s="14">
        <f>CHOOSE(CONTROL!$C$42, 35.3035, 35.3035) * CHOOSE(CONTROL!$C$21, $C$9, 100%, $E$9)</f>
        <v>35.3035</v>
      </c>
      <c r="I634" s="14">
        <f>CHOOSE(CONTROL!$C$42, 35.1882, 35.1882)* CHOOSE(CONTROL!$C$21, $C$9, 100%, $E$9)</f>
        <v>35.188200000000002</v>
      </c>
      <c r="J634" s="14">
        <f>CHOOSE(CONTROL!$C$42, 35.0508, 35.0508)* CHOOSE(CONTROL!$C$21, $C$9, 100%, $E$9)</f>
        <v>35.050800000000002</v>
      </c>
      <c r="K634" s="53">
        <f>CHOOSE(CONTROL!$C$42, 35.1844, 35.1844) * CHOOSE(CONTROL!$C$21, $C$9, 100%, $E$9)</f>
        <v>35.184399999999997</v>
      </c>
      <c r="L634" s="14">
        <f>CHOOSE(CONTROL!$C$42, 35.8905, 35.8905) * CHOOSE(CONTROL!$C$21, $C$9, 100%, $E$9)</f>
        <v>35.890500000000003</v>
      </c>
      <c r="M634" s="14">
        <f>CHOOSE(CONTROL!$C$42, 34.3403, 34.3403) * CHOOSE(CONTROL!$C$21, $C$9, 100%, $E$9)</f>
        <v>34.340299999999999</v>
      </c>
      <c r="N634" s="14">
        <f>CHOOSE(CONTROL!$C$42, 34.3564, 34.3564) * CHOOSE(CONTROL!$C$21, $C$9, 100%, $E$9)</f>
        <v>34.356400000000001</v>
      </c>
      <c r="O634" s="14">
        <f>CHOOSE(CONTROL!$C$42, 34.5878, 34.5878) * CHOOSE(CONTROL!$C$21, $C$9, 100%, $E$9)</f>
        <v>34.587800000000001</v>
      </c>
      <c r="P634" s="14">
        <f>CHOOSE(CONTROL!$C$42, 34.4728, 34.4728) * CHOOSE(CONTROL!$C$21, $C$9, 100%, $E$9)</f>
        <v>34.472799999999999</v>
      </c>
      <c r="Q634" s="14">
        <f>CHOOSE(CONTROL!$C$42, 35.1825, 35.1825) * CHOOSE(CONTROL!$C$21, $C$9, 100%, $E$9)</f>
        <v>35.182499999999997</v>
      </c>
      <c r="R634" s="14">
        <f>CHOOSE(CONTROL!$C$42, 35.8575, 35.8575) * CHOOSE(CONTROL!$C$21, $C$9, 100%, $E$9)</f>
        <v>35.857500000000002</v>
      </c>
      <c r="S634" s="14">
        <f>CHOOSE(CONTROL!$C$42, 33.6885, 33.6885) * CHOOSE(CONTROL!$C$21, $C$9, 100%, $E$9)</f>
        <v>33.688499999999998</v>
      </c>
      <c r="T6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7">
        <f>(1000*CHOOSE(CONTROL!$C$42, 695, 695)*CHOOSE(CONTROL!$C$42, 0.5599, 0.5599)*CHOOSE(CONTROL!$C$42, 31, 31))/1000000</f>
        <v>12.063045499999998</v>
      </c>
      <c r="V634" s="57">
        <f>(1000*CHOOSE(CONTROL!$C$42, 500, 500)*CHOOSE(CONTROL!$C$42, 0.275, 0.275)*CHOOSE(CONTROL!$C$42, 31, 31))/1000000</f>
        <v>4.2625000000000002</v>
      </c>
      <c r="W634" s="57">
        <f>(1000*CHOOSE(CONTROL!$C$42, 0.1146, 0.1146)*CHOOSE(CONTROL!$C$42, 121.5, 121.5)*CHOOSE(CONTROL!$C$42, 31, 31))/1000000</f>
        <v>0.43164089999999994</v>
      </c>
      <c r="X634" s="57">
        <f>(31*0.1790888*245000/1000000)+(31*0.2374*100000/1000000)</f>
        <v>2.0961194359999999</v>
      </c>
      <c r="Y634" s="57"/>
      <c r="Z634" s="14"/>
      <c r="AA634" s="56"/>
      <c r="AB634" s="50">
        <f>(B634*131.881+C634*277.167+D634*79.08+E634*125.872+F634*40+G634*185+H634*0+I634*100+J634*300)/(131.881+277.167+79.08+125.872+0+40+185+100+300)</f>
        <v>35.114186784422934</v>
      </c>
      <c r="AC634" s="45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34.472467625899277</v>
      </c>
    </row>
    <row r="635" spans="1:29" ht="15.75" x14ac:dyDescent="0.25">
      <c r="A635" s="32">
        <v>60236</v>
      </c>
      <c r="B635" s="14">
        <f>CHOOSE(CONTROL!$C$42, 35.9918, 35.9918) * CHOOSE(CONTROL!$C$21, $C$9, 100%, $E$9)</f>
        <v>35.991799999999998</v>
      </c>
      <c r="C635" s="14">
        <f>CHOOSE(CONTROL!$C$42, 35.9969, 35.9969) * CHOOSE(CONTROL!$C$21, $C$9, 100%, $E$9)</f>
        <v>35.996899999999997</v>
      </c>
      <c r="D635" s="14">
        <f>CHOOSE(CONTROL!$C$42, 36.0607, 36.0607) * CHOOSE(CONTROL!$C$21, $C$9, 100%, $E$9)</f>
        <v>36.060699999999997</v>
      </c>
      <c r="E635" s="14">
        <f>CHOOSE(CONTROL!$C$42, 36.0948, 36.0948) * CHOOSE(CONTROL!$C$21, $C$9, 100%, $E$9)</f>
        <v>36.094799999999999</v>
      </c>
      <c r="F635" s="14">
        <f>CHOOSE(CONTROL!$C$42, 35.994, 35.994)*CHOOSE(CONTROL!$C$21, $C$9, 100%, $E$9)</f>
        <v>35.994</v>
      </c>
      <c r="G635" s="14">
        <f>CHOOSE(CONTROL!$C$42, 36.0107, 36.0107)*CHOOSE(CONTROL!$C$21, $C$9, 100%, $E$9)</f>
        <v>36.0107</v>
      </c>
      <c r="H635" s="14">
        <f>CHOOSE(CONTROL!$C$42, 36.084, 36.084) * CHOOSE(CONTROL!$C$21, $C$9, 100%, $E$9)</f>
        <v>36.084000000000003</v>
      </c>
      <c r="I635" s="14">
        <f>CHOOSE(CONTROL!$C$42, 36.1184, 36.1184)* CHOOSE(CONTROL!$C$21, $C$9, 100%, $E$9)</f>
        <v>36.118400000000001</v>
      </c>
      <c r="J635" s="14">
        <f>CHOOSE(CONTROL!$C$42, 35.987, 35.987)* CHOOSE(CONTROL!$C$21, $C$9, 100%, $E$9)</f>
        <v>35.987000000000002</v>
      </c>
      <c r="K635" s="53">
        <f>CHOOSE(CONTROL!$C$42, 36.1145, 36.1145) * CHOOSE(CONTROL!$C$21, $C$9, 100%, $E$9)</f>
        <v>36.1145</v>
      </c>
      <c r="L635" s="14">
        <f>CHOOSE(CONTROL!$C$42, 36.671, 36.671) * CHOOSE(CONTROL!$C$21, $C$9, 100%, $E$9)</f>
        <v>36.670999999999999</v>
      </c>
      <c r="M635" s="14">
        <f>CHOOSE(CONTROL!$C$42, 35.2574, 35.2574) * CHOOSE(CONTROL!$C$21, $C$9, 100%, $E$9)</f>
        <v>35.257399999999997</v>
      </c>
      <c r="N635" s="14">
        <f>CHOOSE(CONTROL!$C$42, 35.2737, 35.2737) * CHOOSE(CONTROL!$C$21, $C$9, 100%, $E$9)</f>
        <v>35.273699999999998</v>
      </c>
      <c r="O635" s="14">
        <f>CHOOSE(CONTROL!$C$42, 35.3523, 35.3523) * CHOOSE(CONTROL!$C$21, $C$9, 100%, $E$9)</f>
        <v>35.3523</v>
      </c>
      <c r="P635" s="14">
        <f>CHOOSE(CONTROL!$C$42, 35.3839, 35.3839) * CHOOSE(CONTROL!$C$21, $C$9, 100%, $E$9)</f>
        <v>35.383899999999997</v>
      </c>
      <c r="Q635" s="14">
        <f>CHOOSE(CONTROL!$C$42, 35.947, 35.947) * CHOOSE(CONTROL!$C$21, $C$9, 100%, $E$9)</f>
        <v>35.947000000000003</v>
      </c>
      <c r="R635" s="14">
        <f>CHOOSE(CONTROL!$C$42, 36.6239, 36.6239) * CHOOSE(CONTROL!$C$21, $C$9, 100%, $E$9)</f>
        <v>36.623899999999999</v>
      </c>
      <c r="S635" s="14">
        <f>CHOOSE(CONTROL!$C$42, 34.576, 34.576) * CHOOSE(CONTROL!$C$21, $C$9, 100%, $E$9)</f>
        <v>34.576000000000001</v>
      </c>
      <c r="T6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7">
        <f>(1000*CHOOSE(CONTROL!$C$42, 695, 695)*CHOOSE(CONTROL!$C$42, 0.5599, 0.5599)*CHOOSE(CONTROL!$C$42, 30, 30))/1000000</f>
        <v>11.673914999999997</v>
      </c>
      <c r="V635" s="57">
        <f>(1000*CHOOSE(CONTROL!$C$42, 500, 500)*CHOOSE(CONTROL!$C$42, 0.275, 0.275)*CHOOSE(CONTROL!$C$42, 30, 30))/1000000</f>
        <v>4.125</v>
      </c>
      <c r="W635" s="57">
        <f>(1000*CHOOSE(CONTROL!$C$42, 0.1146, 0.1146)*CHOOSE(CONTROL!$C$42, 121.5, 121.5)*CHOOSE(CONTROL!$C$42, 30, 30))/1000000</f>
        <v>0.417717</v>
      </c>
      <c r="X635" s="57">
        <f>(30*0.1790888*100000/1000000)+(30*0.2374*100000/1000000)</f>
        <v>1.2494664</v>
      </c>
      <c r="Y635" s="57"/>
      <c r="Z635" s="14"/>
      <c r="AA635" s="56"/>
      <c r="AB635" s="50">
        <f>(B635*122.58+C635*297.941+D635*89.177+E635*40.302+F635*40+G635*160+H635*0+I635*100+J635*300)/(122.58+297.941+89.177+40.302+0+40+160+100+300)</f>
        <v>36.014536435130431</v>
      </c>
      <c r="AC635" s="45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35.31955179856115</v>
      </c>
    </row>
    <row r="636" spans="1:29" ht="15.75" x14ac:dyDescent="0.25">
      <c r="A636" s="32">
        <v>60267</v>
      </c>
      <c r="B636" s="14">
        <f>CHOOSE(CONTROL!$C$42, 38.445, 38.445) * CHOOSE(CONTROL!$C$21, $C$9, 100%, $E$9)</f>
        <v>38.445</v>
      </c>
      <c r="C636" s="14">
        <f>CHOOSE(CONTROL!$C$42, 38.4501, 38.4501) * CHOOSE(CONTROL!$C$21, $C$9, 100%, $E$9)</f>
        <v>38.450099999999999</v>
      </c>
      <c r="D636" s="14">
        <f>CHOOSE(CONTROL!$C$42, 38.5139, 38.5139) * CHOOSE(CONTROL!$C$21, $C$9, 100%, $E$9)</f>
        <v>38.5139</v>
      </c>
      <c r="E636" s="14">
        <f>CHOOSE(CONTROL!$C$42, 38.548, 38.548) * CHOOSE(CONTROL!$C$21, $C$9, 100%, $E$9)</f>
        <v>38.548000000000002</v>
      </c>
      <c r="F636" s="14">
        <f>CHOOSE(CONTROL!$C$42, 38.4493, 38.4493)*CHOOSE(CONTROL!$C$21, $C$9, 100%, $E$9)</f>
        <v>38.449300000000001</v>
      </c>
      <c r="G636" s="14">
        <f>CHOOSE(CONTROL!$C$42, 38.4665, 38.4665)*CHOOSE(CONTROL!$C$21, $C$9, 100%, $E$9)</f>
        <v>38.466500000000003</v>
      </c>
      <c r="H636" s="14">
        <f>CHOOSE(CONTROL!$C$42, 38.5372, 38.5372) * CHOOSE(CONTROL!$C$21, $C$9, 100%, $E$9)</f>
        <v>38.537199999999999</v>
      </c>
      <c r="I636" s="14">
        <f>CHOOSE(CONTROL!$C$42, 38.5793, 38.5793)* CHOOSE(CONTROL!$C$21, $C$9, 100%, $E$9)</f>
        <v>38.579300000000003</v>
      </c>
      <c r="J636" s="14">
        <f>CHOOSE(CONTROL!$C$42, 38.4423, 38.4423)* CHOOSE(CONTROL!$C$21, $C$9, 100%, $E$9)</f>
        <v>38.442300000000003</v>
      </c>
      <c r="K636" s="53">
        <f>CHOOSE(CONTROL!$C$42, 38.5754, 38.5754) * CHOOSE(CONTROL!$C$21, $C$9, 100%, $E$9)</f>
        <v>38.575400000000002</v>
      </c>
      <c r="L636" s="14">
        <f>CHOOSE(CONTROL!$C$42, 39.1242, 39.1242) * CHOOSE(CONTROL!$C$21, $C$9, 100%, $E$9)</f>
        <v>39.124200000000002</v>
      </c>
      <c r="M636" s="14">
        <f>CHOOSE(CONTROL!$C$42, 37.6624, 37.6624) * CHOOSE(CONTROL!$C$21, $C$9, 100%, $E$9)</f>
        <v>37.662399999999998</v>
      </c>
      <c r="N636" s="14">
        <f>CHOOSE(CONTROL!$C$42, 37.6792, 37.6792) * CHOOSE(CONTROL!$C$21, $C$9, 100%, $E$9)</f>
        <v>37.679200000000002</v>
      </c>
      <c r="O636" s="14">
        <f>CHOOSE(CONTROL!$C$42, 37.7553, 37.7553) * CHOOSE(CONTROL!$C$21, $C$9, 100%, $E$9)</f>
        <v>37.755299999999998</v>
      </c>
      <c r="P636" s="14">
        <f>CHOOSE(CONTROL!$C$42, 37.7942, 37.7942) * CHOOSE(CONTROL!$C$21, $C$9, 100%, $E$9)</f>
        <v>37.794199999999996</v>
      </c>
      <c r="Q636" s="14">
        <f>CHOOSE(CONTROL!$C$42, 38.35, 38.35) * CHOOSE(CONTROL!$C$21, $C$9, 100%, $E$9)</f>
        <v>38.35</v>
      </c>
      <c r="R636" s="14">
        <f>CHOOSE(CONTROL!$C$42, 39.0329, 39.0329) * CHOOSE(CONTROL!$C$21, $C$9, 100%, $E$9)</f>
        <v>39.032899999999998</v>
      </c>
      <c r="S636" s="14">
        <f>CHOOSE(CONTROL!$C$42, 36.9333, 36.9333) * CHOOSE(CONTROL!$C$21, $C$9, 100%, $E$9)</f>
        <v>36.933300000000003</v>
      </c>
      <c r="T6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7">
        <f>(1000*CHOOSE(CONTROL!$C$42, 695, 695)*CHOOSE(CONTROL!$C$42, 0.5599, 0.5599)*CHOOSE(CONTROL!$C$42, 31, 31))/1000000</f>
        <v>12.063045499999998</v>
      </c>
      <c r="V636" s="57">
        <f>(1000*CHOOSE(CONTROL!$C$42, 500, 500)*CHOOSE(CONTROL!$C$42, 0.275, 0.275)*CHOOSE(CONTROL!$C$42, 31, 31))/1000000</f>
        <v>4.2625000000000002</v>
      </c>
      <c r="W636" s="57">
        <f>(1000*CHOOSE(CONTROL!$C$42, 0.1146, 0.1146)*CHOOSE(CONTROL!$C$42, 121.5, 121.5)*CHOOSE(CONTROL!$C$42, 31, 31))/1000000</f>
        <v>0.43164089999999994</v>
      </c>
      <c r="X636" s="57">
        <f>(31*0.1790888*100000/1000000)+(31*0.2374*100000/1000000)</f>
        <v>1.2911152800000001</v>
      </c>
      <c r="Y636" s="57"/>
      <c r="Z636" s="14"/>
      <c r="AA636" s="56"/>
      <c r="AB636" s="50">
        <f>(B636*122.58+C636*297.941+D636*89.177+E636*40.302+F636*40+G636*160+H636*0+I636*100+J636*300)/(122.58+297.941+89.177+40.302+0+40+160+100+300)</f>
        <v>38.469388609043477</v>
      </c>
      <c r="AC636" s="45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37.724436690647472</v>
      </c>
    </row>
    <row r="637" spans="1:29" ht="15.75" x14ac:dyDescent="0.25">
      <c r="A637" s="32">
        <v>60298</v>
      </c>
      <c r="B637" s="14">
        <f>CHOOSE(CONTROL!$C$42, 41.5934, 41.5934) * CHOOSE(CONTROL!$C$21, $C$9, 100%, $E$9)</f>
        <v>41.593400000000003</v>
      </c>
      <c r="C637" s="14">
        <f>CHOOSE(CONTROL!$C$42, 41.5985, 41.5985) * CHOOSE(CONTROL!$C$21, $C$9, 100%, $E$9)</f>
        <v>41.598500000000001</v>
      </c>
      <c r="D637" s="14">
        <f>CHOOSE(CONTROL!$C$42, 41.6571, 41.6571) * CHOOSE(CONTROL!$C$21, $C$9, 100%, $E$9)</f>
        <v>41.6571</v>
      </c>
      <c r="E637" s="14">
        <f>CHOOSE(CONTROL!$C$42, 41.6912, 41.6912) * CHOOSE(CONTROL!$C$21, $C$9, 100%, $E$9)</f>
        <v>41.691200000000002</v>
      </c>
      <c r="F637" s="14">
        <f>CHOOSE(CONTROL!$C$42, 41.5925, 41.5925)*CHOOSE(CONTROL!$C$21, $C$9, 100%, $E$9)</f>
        <v>41.592500000000001</v>
      </c>
      <c r="G637" s="14">
        <f>CHOOSE(CONTROL!$C$42, 41.6089, 41.6089)*CHOOSE(CONTROL!$C$21, $C$9, 100%, $E$9)</f>
        <v>41.608899999999998</v>
      </c>
      <c r="H637" s="14">
        <f>CHOOSE(CONTROL!$C$42, 41.6804, 41.6804) * CHOOSE(CONTROL!$C$21, $C$9, 100%, $E$9)</f>
        <v>41.680399999999999</v>
      </c>
      <c r="I637" s="14">
        <f>CHOOSE(CONTROL!$C$42, 41.7339, 41.7339)* CHOOSE(CONTROL!$C$21, $C$9, 100%, $E$9)</f>
        <v>41.733899999999998</v>
      </c>
      <c r="J637" s="14">
        <f>CHOOSE(CONTROL!$C$42, 41.5855, 41.5855)* CHOOSE(CONTROL!$C$21, $C$9, 100%, $E$9)</f>
        <v>41.585500000000003</v>
      </c>
      <c r="K637" s="53">
        <f>CHOOSE(CONTROL!$C$42, 41.73, 41.73) * CHOOSE(CONTROL!$C$21, $C$9, 100%, $E$9)</f>
        <v>41.73</v>
      </c>
      <c r="L637" s="14">
        <f>CHOOSE(CONTROL!$C$42, 42.2674, 42.2674) * CHOOSE(CONTROL!$C$21, $C$9, 100%, $E$9)</f>
        <v>42.267400000000002</v>
      </c>
      <c r="M637" s="14">
        <f>CHOOSE(CONTROL!$C$42, 40.7412, 40.7412) * CHOOSE(CONTROL!$C$21, $C$9, 100%, $E$9)</f>
        <v>40.741199999999999</v>
      </c>
      <c r="N637" s="14">
        <f>CHOOSE(CONTROL!$C$42, 40.7572, 40.7572) * CHOOSE(CONTROL!$C$21, $C$9, 100%, $E$9)</f>
        <v>40.757199999999997</v>
      </c>
      <c r="O637" s="14">
        <f>CHOOSE(CONTROL!$C$42, 40.8341, 40.8341) * CHOOSE(CONTROL!$C$21, $C$9, 100%, $E$9)</f>
        <v>40.834099999999999</v>
      </c>
      <c r="P637" s="14">
        <f>CHOOSE(CONTROL!$C$42, 40.884, 40.884) * CHOOSE(CONTROL!$C$21, $C$9, 100%, $E$9)</f>
        <v>40.884</v>
      </c>
      <c r="Q637" s="14">
        <f>CHOOSE(CONTROL!$C$42, 41.4288, 41.4288) * CHOOSE(CONTROL!$C$21, $C$9, 100%, $E$9)</f>
        <v>41.428800000000003</v>
      </c>
      <c r="R637" s="14">
        <f>CHOOSE(CONTROL!$C$42, 42.1194, 42.1194) * CHOOSE(CONTROL!$C$21, $C$9, 100%, $E$9)</f>
        <v>42.119399999999999</v>
      </c>
      <c r="S637" s="14">
        <f>CHOOSE(CONTROL!$C$42, 39.9586, 39.9586) * CHOOSE(CONTROL!$C$21, $C$9, 100%, $E$9)</f>
        <v>39.958599999999997</v>
      </c>
      <c r="T6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7">
        <f>(1000*CHOOSE(CONTROL!$C$42, 695, 695)*CHOOSE(CONTROL!$C$42, 0.5599, 0.5599)*CHOOSE(CONTROL!$C$42, 31, 31))/1000000</f>
        <v>12.063045499999998</v>
      </c>
      <c r="V637" s="57">
        <f>(1000*CHOOSE(CONTROL!$C$42, 500, 500)*CHOOSE(CONTROL!$C$42, 0.275, 0.275)*CHOOSE(CONTROL!$C$42, 31, 31))/1000000</f>
        <v>4.2625000000000002</v>
      </c>
      <c r="W637" s="57">
        <f>(1000*CHOOSE(CONTROL!$C$42, 0.1146, 0.1146)*CHOOSE(CONTROL!$C$42, 121.5, 121.5)*CHOOSE(CONTROL!$C$42, 31, 31))/1000000</f>
        <v>0.43164089999999994</v>
      </c>
      <c r="X637" s="57">
        <f>(31*0.1790888*100000/1000000)+(31*0.2374*100000/1000000)</f>
        <v>1.2911152800000001</v>
      </c>
      <c r="Y637" s="57"/>
      <c r="Z637" s="14"/>
      <c r="AA637" s="56"/>
      <c r="AB637" s="50">
        <f>(B637*122.58+C637*297.941+D637*89.177+E637*40.302+F637*40+G637*160+H637*0+I637*100+J637*300)/(122.58+297.941+89.177+40.302+0+40+160+100+300)</f>
        <v>41.61537009530435</v>
      </c>
      <c r="AC637" s="45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40.804773381294964</v>
      </c>
    </row>
    <row r="638" spans="1:29" ht="15.75" x14ac:dyDescent="0.25">
      <c r="A638" s="32">
        <v>60326</v>
      </c>
      <c r="B638" s="14">
        <f>CHOOSE(CONTROL!$C$42, 42.3337, 42.3337) * CHOOSE(CONTROL!$C$21, $C$9, 100%, $E$9)</f>
        <v>42.3337</v>
      </c>
      <c r="C638" s="14">
        <f>CHOOSE(CONTROL!$C$42, 42.3387, 42.3387) * CHOOSE(CONTROL!$C$21, $C$9, 100%, $E$9)</f>
        <v>42.338700000000003</v>
      </c>
      <c r="D638" s="14">
        <f>CHOOSE(CONTROL!$C$42, 42.3974, 42.3974) * CHOOSE(CONTROL!$C$21, $C$9, 100%, $E$9)</f>
        <v>42.397399999999998</v>
      </c>
      <c r="E638" s="14">
        <f>CHOOSE(CONTROL!$C$42, 42.4315, 42.4315) * CHOOSE(CONTROL!$C$21, $C$9, 100%, $E$9)</f>
        <v>42.4315</v>
      </c>
      <c r="F638" s="14">
        <f>CHOOSE(CONTROL!$C$42, 42.3328, 42.3328)*CHOOSE(CONTROL!$C$21, $C$9, 100%, $E$9)</f>
        <v>42.332799999999999</v>
      </c>
      <c r="G638" s="14">
        <f>CHOOSE(CONTROL!$C$42, 42.3491, 42.3491)*CHOOSE(CONTROL!$C$21, $C$9, 100%, $E$9)</f>
        <v>42.3491</v>
      </c>
      <c r="H638" s="14">
        <f>CHOOSE(CONTROL!$C$42, 42.4207, 42.4207) * CHOOSE(CONTROL!$C$21, $C$9, 100%, $E$9)</f>
        <v>42.420699999999997</v>
      </c>
      <c r="I638" s="14">
        <f>CHOOSE(CONTROL!$C$42, 42.4765, 42.4765)* CHOOSE(CONTROL!$C$21, $C$9, 100%, $E$9)</f>
        <v>42.476500000000001</v>
      </c>
      <c r="J638" s="14">
        <f>CHOOSE(CONTROL!$C$42, 42.3258, 42.3258)* CHOOSE(CONTROL!$C$21, $C$9, 100%, $E$9)</f>
        <v>42.325800000000001</v>
      </c>
      <c r="K638" s="53">
        <f>CHOOSE(CONTROL!$C$42, 42.4726, 42.4726) * CHOOSE(CONTROL!$C$21, $C$9, 100%, $E$9)</f>
        <v>42.4726</v>
      </c>
      <c r="L638" s="14">
        <f>CHOOSE(CONTROL!$C$42, 43.0077, 43.0077) * CHOOSE(CONTROL!$C$21, $C$9, 100%, $E$9)</f>
        <v>43.0077</v>
      </c>
      <c r="M638" s="14">
        <f>CHOOSE(CONTROL!$C$42, 41.4662, 41.4662) * CHOOSE(CONTROL!$C$21, $C$9, 100%, $E$9)</f>
        <v>41.466200000000001</v>
      </c>
      <c r="N638" s="14">
        <f>CHOOSE(CONTROL!$C$42, 41.4823, 41.4823) * CHOOSE(CONTROL!$C$21, $C$9, 100%, $E$9)</f>
        <v>41.482300000000002</v>
      </c>
      <c r="O638" s="14">
        <f>CHOOSE(CONTROL!$C$42, 41.5592, 41.5592) * CHOOSE(CONTROL!$C$21, $C$9, 100%, $E$9)</f>
        <v>41.559199999999997</v>
      </c>
      <c r="P638" s="14">
        <f>CHOOSE(CONTROL!$C$42, 41.6113, 41.6113) * CHOOSE(CONTROL!$C$21, $C$9, 100%, $E$9)</f>
        <v>41.6113</v>
      </c>
      <c r="Q638" s="14">
        <f>CHOOSE(CONTROL!$C$42, 42.1539, 42.1539) * CHOOSE(CONTROL!$C$21, $C$9, 100%, $E$9)</f>
        <v>42.1539</v>
      </c>
      <c r="R638" s="14">
        <f>CHOOSE(CONTROL!$C$42, 42.8463, 42.8463) * CHOOSE(CONTROL!$C$21, $C$9, 100%, $E$9)</f>
        <v>42.846299999999999</v>
      </c>
      <c r="S638" s="14">
        <f>CHOOSE(CONTROL!$C$42, 40.6699, 40.6699) * CHOOSE(CONTROL!$C$21, $C$9, 100%, $E$9)</f>
        <v>40.669899999999998</v>
      </c>
      <c r="T6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7">
        <f>(1000*CHOOSE(CONTROL!$C$42, 695, 695)*CHOOSE(CONTROL!$C$42, 0.5599, 0.5599)*CHOOSE(CONTROL!$C$42, 28, 28))/1000000</f>
        <v>10.895653999999999</v>
      </c>
      <c r="V638" s="57">
        <f>(1000*CHOOSE(CONTROL!$C$42, 500, 500)*CHOOSE(CONTROL!$C$42, 0.275, 0.275)*CHOOSE(CONTROL!$C$42, 28, 28))/1000000</f>
        <v>3.85</v>
      </c>
      <c r="W638" s="57">
        <f>(1000*CHOOSE(CONTROL!$C$42, 0.1146, 0.1146)*CHOOSE(CONTROL!$C$42, 121.5, 121.5)*CHOOSE(CONTROL!$C$42, 28, 28))/1000000</f>
        <v>0.38986920000000003</v>
      </c>
      <c r="X638" s="57">
        <f>(28*0.1790888*100000/1000000)+(28*0.2374*100000/1000000)</f>
        <v>1.16616864</v>
      </c>
      <c r="Y638" s="57"/>
      <c r="Z638" s="14"/>
      <c r="AA638" s="56"/>
      <c r="AB638" s="50">
        <f>(B638*122.58+C638*297.941+D638*89.177+E638*40.302+F638*40+G638*160+H638*0+I638*100+J638*300)/(122.58+297.941+89.177+40.302+0+40+160+100+300)</f>
        <v>42.355830274347824</v>
      </c>
      <c r="AC638" s="45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41.530155395683458</v>
      </c>
    </row>
    <row r="639" spans="1:29" ht="15.75" x14ac:dyDescent="0.25">
      <c r="A639" s="32">
        <v>60357</v>
      </c>
      <c r="B639" s="14">
        <f>CHOOSE(CONTROL!$C$42, 41.1321, 41.1321) * CHOOSE(CONTROL!$C$21, $C$9, 100%, $E$9)</f>
        <v>41.132100000000001</v>
      </c>
      <c r="C639" s="14">
        <f>CHOOSE(CONTROL!$C$42, 41.1371, 41.1371) * CHOOSE(CONTROL!$C$21, $C$9, 100%, $E$9)</f>
        <v>41.137099999999997</v>
      </c>
      <c r="D639" s="14">
        <f>CHOOSE(CONTROL!$C$42, 41.1957, 41.1957) * CHOOSE(CONTROL!$C$21, $C$9, 100%, $E$9)</f>
        <v>41.195700000000002</v>
      </c>
      <c r="E639" s="14">
        <f>CHOOSE(CONTROL!$C$42, 41.2299, 41.2299) * CHOOSE(CONTROL!$C$21, $C$9, 100%, $E$9)</f>
        <v>41.229900000000001</v>
      </c>
      <c r="F639" s="14">
        <f>CHOOSE(CONTROL!$C$42, 41.1306, 41.1306)*CHOOSE(CONTROL!$C$21, $C$9, 100%, $E$9)</f>
        <v>41.130600000000001</v>
      </c>
      <c r="G639" s="14">
        <f>CHOOSE(CONTROL!$C$42, 41.1469, 41.1469)*CHOOSE(CONTROL!$C$21, $C$9, 100%, $E$9)</f>
        <v>41.146900000000002</v>
      </c>
      <c r="H639" s="14">
        <f>CHOOSE(CONTROL!$C$42, 41.219, 41.219) * CHOOSE(CONTROL!$C$21, $C$9, 100%, $E$9)</f>
        <v>41.219000000000001</v>
      </c>
      <c r="I639" s="14">
        <f>CHOOSE(CONTROL!$C$42, 41.2711, 41.2711)* CHOOSE(CONTROL!$C$21, $C$9, 100%, $E$9)</f>
        <v>41.271099999999997</v>
      </c>
      <c r="J639" s="14">
        <f>CHOOSE(CONTROL!$C$42, 41.1236, 41.1236)* CHOOSE(CONTROL!$C$21, $C$9, 100%, $E$9)</f>
        <v>41.123600000000003</v>
      </c>
      <c r="K639" s="53">
        <f>CHOOSE(CONTROL!$C$42, 41.2672, 41.2672) * CHOOSE(CONTROL!$C$21, $C$9, 100%, $E$9)</f>
        <v>41.267200000000003</v>
      </c>
      <c r="L639" s="14">
        <f>CHOOSE(CONTROL!$C$42, 41.806, 41.806) * CHOOSE(CONTROL!$C$21, $C$9, 100%, $E$9)</f>
        <v>41.805999999999997</v>
      </c>
      <c r="M639" s="14">
        <f>CHOOSE(CONTROL!$C$42, 40.2887, 40.2887) * CHOOSE(CONTROL!$C$21, $C$9, 100%, $E$9)</f>
        <v>40.288699999999999</v>
      </c>
      <c r="N639" s="14">
        <f>CHOOSE(CONTROL!$C$42, 40.3046, 40.3046) * CHOOSE(CONTROL!$C$21, $C$9, 100%, $E$9)</f>
        <v>40.304600000000001</v>
      </c>
      <c r="O639" s="14">
        <f>CHOOSE(CONTROL!$C$42, 40.3822, 40.3822) * CHOOSE(CONTROL!$C$21, $C$9, 100%, $E$9)</f>
        <v>40.382199999999997</v>
      </c>
      <c r="P639" s="14">
        <f>CHOOSE(CONTROL!$C$42, 40.4307, 40.4307) * CHOOSE(CONTROL!$C$21, $C$9, 100%, $E$9)</f>
        <v>40.430700000000002</v>
      </c>
      <c r="Q639" s="14">
        <f>CHOOSE(CONTROL!$C$42, 40.9769, 40.9769) * CHOOSE(CONTROL!$C$21, $C$9, 100%, $E$9)</f>
        <v>40.976900000000001</v>
      </c>
      <c r="R639" s="14">
        <f>CHOOSE(CONTROL!$C$42, 41.6663, 41.6663) * CHOOSE(CONTROL!$C$21, $C$9, 100%, $E$9)</f>
        <v>41.6663</v>
      </c>
      <c r="S639" s="14">
        <f>CHOOSE(CONTROL!$C$42, 39.5153, 39.5153) * CHOOSE(CONTROL!$C$21, $C$9, 100%, $E$9)</f>
        <v>39.515300000000003</v>
      </c>
      <c r="T6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7">
        <f>(1000*CHOOSE(CONTROL!$C$42, 695, 695)*CHOOSE(CONTROL!$C$42, 0.5599, 0.5599)*CHOOSE(CONTROL!$C$42, 31, 31))/1000000</f>
        <v>12.063045499999998</v>
      </c>
      <c r="V639" s="57">
        <f>(1000*CHOOSE(CONTROL!$C$42, 500, 500)*CHOOSE(CONTROL!$C$42, 0.275, 0.275)*CHOOSE(CONTROL!$C$42, 31, 31))/1000000</f>
        <v>4.2625000000000002</v>
      </c>
      <c r="W639" s="57">
        <f>(1000*CHOOSE(CONTROL!$C$42, 0.1146, 0.1146)*CHOOSE(CONTROL!$C$42, 121.5, 121.5)*CHOOSE(CONTROL!$C$42, 31, 31))/1000000</f>
        <v>0.43164089999999994</v>
      </c>
      <c r="X639" s="57">
        <f>(31*0.1790888*100000/1000000)+(31*0.2374*100000/1000000)</f>
        <v>1.2911152800000001</v>
      </c>
      <c r="Y639" s="57"/>
      <c r="Z639" s="14"/>
      <c r="AA639" s="56"/>
      <c r="AB639" s="50">
        <f>(B639*122.58+C639*297.941+D639*89.177+E639*40.302+F639*40+G639*160+H639*0+I639*100+J639*300)/(122.58+297.941+89.177+40.302+0+40+160+100+300)</f>
        <v>41.153631215478264</v>
      </c>
      <c r="AC639" s="45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40.352424460431649</v>
      </c>
    </row>
    <row r="640" spans="1:29" ht="15.75" x14ac:dyDescent="0.25">
      <c r="A640" s="32">
        <v>60387</v>
      </c>
      <c r="B640" s="14">
        <f>CHOOSE(CONTROL!$C$42, 41.0101, 41.0101) * CHOOSE(CONTROL!$C$21, $C$9, 100%, $E$9)</f>
        <v>41.010100000000001</v>
      </c>
      <c r="C640" s="14">
        <f>CHOOSE(CONTROL!$C$42, 41.0146, 41.0146) * CHOOSE(CONTROL!$C$21, $C$9, 100%, $E$9)</f>
        <v>41.014600000000002</v>
      </c>
      <c r="D640" s="14">
        <f>CHOOSE(CONTROL!$C$42, 41.2227, 41.2227) * CHOOSE(CONTROL!$C$21, $C$9, 100%, $E$9)</f>
        <v>41.222700000000003</v>
      </c>
      <c r="E640" s="14">
        <f>CHOOSE(CONTROL!$C$42, 41.2548, 41.2548) * CHOOSE(CONTROL!$C$21, $C$9, 100%, $E$9)</f>
        <v>41.254800000000003</v>
      </c>
      <c r="F640" s="14">
        <f>CHOOSE(CONTROL!$C$42, 40.9975, 40.9975)*CHOOSE(CONTROL!$C$21, $C$9, 100%, $E$9)</f>
        <v>40.997500000000002</v>
      </c>
      <c r="G640" s="14">
        <f>CHOOSE(CONTROL!$C$42, 41.0134, 41.0134)*CHOOSE(CONTROL!$C$21, $C$9, 100%, $E$9)</f>
        <v>41.013399999999997</v>
      </c>
      <c r="H640" s="14">
        <f>CHOOSE(CONTROL!$C$42, 41.2446, 41.2446) * CHOOSE(CONTROL!$C$21, $C$9, 100%, $E$9)</f>
        <v>41.244599999999998</v>
      </c>
      <c r="I640" s="14">
        <f>CHOOSE(CONTROL!$C$42, 41.148, 41.148)* CHOOSE(CONTROL!$C$21, $C$9, 100%, $E$9)</f>
        <v>41.148000000000003</v>
      </c>
      <c r="J640" s="14">
        <f>CHOOSE(CONTROL!$C$42, 40.9905, 40.9905)* CHOOSE(CONTROL!$C$21, $C$9, 100%, $E$9)</f>
        <v>40.990499999999997</v>
      </c>
      <c r="K640" s="53">
        <f>CHOOSE(CONTROL!$C$42, 41.1441, 41.1441) * CHOOSE(CONTROL!$C$21, $C$9, 100%, $E$9)</f>
        <v>41.144100000000002</v>
      </c>
      <c r="L640" s="14">
        <f>CHOOSE(CONTROL!$C$42, 41.8316, 41.8316) * CHOOSE(CONTROL!$C$21, $C$9, 100%, $E$9)</f>
        <v>41.831600000000002</v>
      </c>
      <c r="M640" s="14">
        <f>CHOOSE(CONTROL!$C$42, 40.1583, 40.1583) * CHOOSE(CONTROL!$C$21, $C$9, 100%, $E$9)</f>
        <v>40.158299999999997</v>
      </c>
      <c r="N640" s="14">
        <f>CHOOSE(CONTROL!$C$42, 40.1739, 40.1739) * CHOOSE(CONTROL!$C$21, $C$9, 100%, $E$9)</f>
        <v>40.173900000000003</v>
      </c>
      <c r="O640" s="14">
        <f>CHOOSE(CONTROL!$C$42, 40.4072, 40.4072) * CHOOSE(CONTROL!$C$21, $C$9, 100%, $E$9)</f>
        <v>40.407200000000003</v>
      </c>
      <c r="P640" s="14">
        <f>CHOOSE(CONTROL!$C$42, 40.3101, 40.3101) * CHOOSE(CONTROL!$C$21, $C$9, 100%, $E$9)</f>
        <v>40.310099999999998</v>
      </c>
      <c r="Q640" s="14">
        <f>CHOOSE(CONTROL!$C$42, 41.0019, 41.0019) * CHOOSE(CONTROL!$C$21, $C$9, 100%, $E$9)</f>
        <v>41.001899999999999</v>
      </c>
      <c r="R640" s="14">
        <f>CHOOSE(CONTROL!$C$42, 41.6914, 41.6914) * CHOOSE(CONTROL!$C$21, $C$9, 100%, $E$9)</f>
        <v>41.691400000000002</v>
      </c>
      <c r="S640" s="14">
        <f>CHOOSE(CONTROL!$C$42, 39.3973, 39.3973) * CHOOSE(CONTROL!$C$21, $C$9, 100%, $E$9)</f>
        <v>39.397300000000001</v>
      </c>
      <c r="T6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7">
        <f>(1000*CHOOSE(CONTROL!$C$42, 695, 695)*CHOOSE(CONTROL!$C$42, 0.5599, 0.5599)*CHOOSE(CONTROL!$C$42, 30, 30))/1000000</f>
        <v>11.673914999999997</v>
      </c>
      <c r="V640" s="57">
        <f>(1000*CHOOSE(CONTROL!$C$42, 500, 500)*CHOOSE(CONTROL!$C$42, 0.275, 0.275)*CHOOSE(CONTROL!$C$42, 30, 30))/1000000</f>
        <v>4.125</v>
      </c>
      <c r="W640" s="57">
        <f>(1000*CHOOSE(CONTROL!$C$42, 0.1146, 0.1146)*CHOOSE(CONTROL!$C$42, 121.5, 121.5)*CHOOSE(CONTROL!$C$42, 30, 30))/1000000</f>
        <v>0.417717</v>
      </c>
      <c r="X640" s="57">
        <f>(30*0.1790888*245000/1000000)+(30*0.2374*100000/1000000)</f>
        <v>2.0285026799999999</v>
      </c>
      <c r="Y640" s="57"/>
      <c r="Z640" s="14"/>
      <c r="AA640" s="56"/>
      <c r="AB640" s="50">
        <f>(B640*141.293+C640*267.993+D640*115.016+E640*89.698+F640*40+G640*185+H640*0+I640*100+J640*300)/(141.293+267.993+115.016+89.698+0+40+185+100+300)</f>
        <v>41.054994245924135</v>
      </c>
      <c r="AC640" s="45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40.293850359712231</v>
      </c>
    </row>
    <row r="641" spans="1:29" ht="15.75" x14ac:dyDescent="0.25">
      <c r="A641" s="32">
        <v>60418</v>
      </c>
      <c r="B641" s="14">
        <f>CHOOSE(CONTROL!$C$42, 41.3734, 41.3734) * CHOOSE(CONTROL!$C$21, $C$9, 100%, $E$9)</f>
        <v>41.373399999999997</v>
      </c>
      <c r="C641" s="14">
        <f>CHOOSE(CONTROL!$C$42, 41.3814, 41.3814) * CHOOSE(CONTROL!$C$21, $C$9, 100%, $E$9)</f>
        <v>41.381399999999999</v>
      </c>
      <c r="D641" s="14">
        <f>CHOOSE(CONTROL!$C$42, 41.5864, 41.5864) * CHOOSE(CONTROL!$C$21, $C$9, 100%, $E$9)</f>
        <v>41.586399999999998</v>
      </c>
      <c r="E641" s="14">
        <f>CHOOSE(CONTROL!$C$42, 41.6178, 41.6178) * CHOOSE(CONTROL!$C$21, $C$9, 100%, $E$9)</f>
        <v>41.617800000000003</v>
      </c>
      <c r="F641" s="14">
        <f>CHOOSE(CONTROL!$C$42, 41.3596, 41.3596)*CHOOSE(CONTROL!$C$21, $C$9, 100%, $E$9)</f>
        <v>41.3596</v>
      </c>
      <c r="G641" s="14">
        <f>CHOOSE(CONTROL!$C$42, 41.376, 41.376)*CHOOSE(CONTROL!$C$21, $C$9, 100%, $E$9)</f>
        <v>41.375999999999998</v>
      </c>
      <c r="H641" s="14">
        <f>CHOOSE(CONTROL!$C$42, 41.6065, 41.6065) * CHOOSE(CONTROL!$C$21, $C$9, 100%, $E$9)</f>
        <v>41.606499999999997</v>
      </c>
      <c r="I641" s="14">
        <f>CHOOSE(CONTROL!$C$42, 41.511, 41.511)* CHOOSE(CONTROL!$C$21, $C$9, 100%, $E$9)</f>
        <v>41.511000000000003</v>
      </c>
      <c r="J641" s="14">
        <f>CHOOSE(CONTROL!$C$42, 41.3526, 41.3526)* CHOOSE(CONTROL!$C$21, $C$9, 100%, $E$9)</f>
        <v>41.352600000000002</v>
      </c>
      <c r="K641" s="53">
        <f>CHOOSE(CONTROL!$C$42, 41.5071, 41.5071) * CHOOSE(CONTROL!$C$21, $C$9, 100%, $E$9)</f>
        <v>41.507100000000001</v>
      </c>
      <c r="L641" s="14">
        <f>CHOOSE(CONTROL!$C$42, 42.1935, 42.1935) * CHOOSE(CONTROL!$C$21, $C$9, 100%, $E$9)</f>
        <v>42.1935</v>
      </c>
      <c r="M641" s="14">
        <f>CHOOSE(CONTROL!$C$42, 40.513, 40.513) * CHOOSE(CONTROL!$C$21, $C$9, 100%, $E$9)</f>
        <v>40.512999999999998</v>
      </c>
      <c r="N641" s="14">
        <f>CHOOSE(CONTROL!$C$42, 40.5291, 40.5291) * CHOOSE(CONTROL!$C$21, $C$9, 100%, $E$9)</f>
        <v>40.5291</v>
      </c>
      <c r="O641" s="14">
        <f>CHOOSE(CONTROL!$C$42, 40.7617, 40.7617) * CHOOSE(CONTROL!$C$21, $C$9, 100%, $E$9)</f>
        <v>40.761699999999998</v>
      </c>
      <c r="P641" s="14">
        <f>CHOOSE(CONTROL!$C$42, 40.6656, 40.6656) * CHOOSE(CONTROL!$C$21, $C$9, 100%, $E$9)</f>
        <v>40.665599999999998</v>
      </c>
      <c r="Q641" s="14">
        <f>CHOOSE(CONTROL!$C$42, 41.3564, 41.3564) * CHOOSE(CONTROL!$C$21, $C$9, 100%, $E$9)</f>
        <v>41.356400000000001</v>
      </c>
      <c r="R641" s="14">
        <f>CHOOSE(CONTROL!$C$42, 42.0468, 42.0468) * CHOOSE(CONTROL!$C$21, $C$9, 100%, $E$9)</f>
        <v>42.046799999999998</v>
      </c>
      <c r="S641" s="14">
        <f>CHOOSE(CONTROL!$C$42, 39.7451, 39.7451) * CHOOSE(CONTROL!$C$21, $C$9, 100%, $E$9)</f>
        <v>39.745100000000001</v>
      </c>
      <c r="T6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7">
        <f>(1000*CHOOSE(CONTROL!$C$42, 695, 695)*CHOOSE(CONTROL!$C$42, 0.5599, 0.5599)*CHOOSE(CONTROL!$C$42, 31, 31))/1000000</f>
        <v>12.063045499999998</v>
      </c>
      <c r="V641" s="57">
        <f>(1000*CHOOSE(CONTROL!$C$42, 500, 500)*CHOOSE(CONTROL!$C$42, 0.275, 0.275)*CHOOSE(CONTROL!$C$42, 31, 31))/1000000</f>
        <v>4.2625000000000002</v>
      </c>
      <c r="W641" s="57">
        <f>(1000*CHOOSE(CONTROL!$C$42, 0.1146, 0.1146)*CHOOSE(CONTROL!$C$42, 121.5, 121.5)*CHOOSE(CONTROL!$C$42, 31, 31))/1000000</f>
        <v>0.43164089999999994</v>
      </c>
      <c r="X641" s="57">
        <f>(31*0.1790888*245000/1000000)+(31*0.2374*100000/1000000)</f>
        <v>2.0961194359999999</v>
      </c>
      <c r="Y641" s="57"/>
      <c r="Z641" s="14"/>
      <c r="AA641" s="56"/>
      <c r="AB641" s="50">
        <f>(B641*194.205+C641*267.466+D641*133.845+E641*53.484+F641*40+G641*185+H641*0+I641*100+J641*300)/(194.205+267.466+133.845+53.484+0+40+185+100+300)</f>
        <v>41.413564209262162</v>
      </c>
      <c r="AC641" s="45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40.648603597122303</v>
      </c>
    </row>
    <row r="642" spans="1:29" ht="15.75" x14ac:dyDescent="0.25">
      <c r="A642" s="32">
        <v>60448</v>
      </c>
      <c r="B642" s="14">
        <f>CHOOSE(CONTROL!$C$42, 42.5467, 42.5467) * CHOOSE(CONTROL!$C$21, $C$9, 100%, $E$9)</f>
        <v>42.546700000000001</v>
      </c>
      <c r="C642" s="14">
        <f>CHOOSE(CONTROL!$C$42, 42.5547, 42.5547) * CHOOSE(CONTROL!$C$21, $C$9, 100%, $E$9)</f>
        <v>42.554699999999997</v>
      </c>
      <c r="D642" s="14">
        <f>CHOOSE(CONTROL!$C$42, 42.7597, 42.7597) * CHOOSE(CONTROL!$C$21, $C$9, 100%, $E$9)</f>
        <v>42.759700000000002</v>
      </c>
      <c r="E642" s="14">
        <f>CHOOSE(CONTROL!$C$42, 42.7911, 42.7911) * CHOOSE(CONTROL!$C$21, $C$9, 100%, $E$9)</f>
        <v>42.7911</v>
      </c>
      <c r="F642" s="14">
        <f>CHOOSE(CONTROL!$C$42, 42.5332, 42.5332)*CHOOSE(CONTROL!$C$21, $C$9, 100%, $E$9)</f>
        <v>42.533200000000001</v>
      </c>
      <c r="G642" s="14">
        <f>CHOOSE(CONTROL!$C$42, 42.5497, 42.5497)*CHOOSE(CONTROL!$C$21, $C$9, 100%, $E$9)</f>
        <v>42.549700000000001</v>
      </c>
      <c r="H642" s="14">
        <f>CHOOSE(CONTROL!$C$42, 42.7797, 42.7797) * CHOOSE(CONTROL!$C$21, $C$9, 100%, $E$9)</f>
        <v>42.779699999999998</v>
      </c>
      <c r="I642" s="14">
        <f>CHOOSE(CONTROL!$C$42, 42.688, 42.688)* CHOOSE(CONTROL!$C$21, $C$9, 100%, $E$9)</f>
        <v>42.688000000000002</v>
      </c>
      <c r="J642" s="14">
        <f>CHOOSE(CONTROL!$C$42, 42.5262, 42.5262)* CHOOSE(CONTROL!$C$21, $C$9, 100%, $E$9)</f>
        <v>42.526200000000003</v>
      </c>
      <c r="K642" s="53">
        <f>CHOOSE(CONTROL!$C$42, 42.6841, 42.6841) * CHOOSE(CONTROL!$C$21, $C$9, 100%, $E$9)</f>
        <v>42.684100000000001</v>
      </c>
      <c r="L642" s="14">
        <f>CHOOSE(CONTROL!$C$42, 43.3667, 43.3667) * CHOOSE(CONTROL!$C$21, $C$9, 100%, $E$9)</f>
        <v>43.366700000000002</v>
      </c>
      <c r="M642" s="14">
        <f>CHOOSE(CONTROL!$C$42, 41.6626, 41.6626) * CHOOSE(CONTROL!$C$21, $C$9, 100%, $E$9)</f>
        <v>41.662599999999998</v>
      </c>
      <c r="N642" s="14">
        <f>CHOOSE(CONTROL!$C$42, 41.6787, 41.6787) * CHOOSE(CONTROL!$C$21, $C$9, 100%, $E$9)</f>
        <v>41.678699999999999</v>
      </c>
      <c r="O642" s="14">
        <f>CHOOSE(CONTROL!$C$42, 41.9109, 41.9109) * CHOOSE(CONTROL!$C$21, $C$9, 100%, $E$9)</f>
        <v>41.910899999999998</v>
      </c>
      <c r="P642" s="14">
        <f>CHOOSE(CONTROL!$C$42, 41.8184, 41.8184) * CHOOSE(CONTROL!$C$21, $C$9, 100%, $E$9)</f>
        <v>41.818399999999997</v>
      </c>
      <c r="Q642" s="14">
        <f>CHOOSE(CONTROL!$C$42, 42.5056, 42.5056) * CHOOSE(CONTROL!$C$21, $C$9, 100%, $E$9)</f>
        <v>42.505600000000001</v>
      </c>
      <c r="R642" s="14">
        <f>CHOOSE(CONTROL!$C$42, 43.1989, 43.1989) * CHOOSE(CONTROL!$C$21, $C$9, 100%, $E$9)</f>
        <v>43.198900000000002</v>
      </c>
      <c r="S642" s="14">
        <f>CHOOSE(CONTROL!$C$42, 40.8724, 40.8724) * CHOOSE(CONTROL!$C$21, $C$9, 100%, $E$9)</f>
        <v>40.872399999999999</v>
      </c>
      <c r="T6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7">
        <f>(1000*CHOOSE(CONTROL!$C$42, 695, 695)*CHOOSE(CONTROL!$C$42, 0.5599, 0.5599)*CHOOSE(CONTROL!$C$42, 30, 30))/1000000</f>
        <v>11.673914999999997</v>
      </c>
      <c r="V642" s="57">
        <f>(1000*CHOOSE(CONTROL!$C$42, 500, 500)*CHOOSE(CONTROL!$C$42, 0.275, 0.275)*CHOOSE(CONTROL!$C$42, 30, 30))/1000000</f>
        <v>4.125</v>
      </c>
      <c r="W642" s="57">
        <f>(1000*CHOOSE(CONTROL!$C$42, 0.1146, 0.1146)*CHOOSE(CONTROL!$C$42, 121.5, 121.5)*CHOOSE(CONTROL!$C$42, 30, 30))/1000000</f>
        <v>0.417717</v>
      </c>
      <c r="X642" s="57">
        <f>(30*0.1790888*245000/1000000)+(30*0.2374*100000/1000000)</f>
        <v>2.0285026799999999</v>
      </c>
      <c r="Y642" s="57"/>
      <c r="Z642" s="14"/>
      <c r="AA642" s="56"/>
      <c r="AB642" s="50">
        <f>(B642*194.205+C642*267.466+D642*133.845+E642*53.484+F642*40+G642*185+H642*0+I642*100+J642*300)/(194.205+267.466+133.845+53.484+0+40+185+100+300)</f>
        <v>42.587292780690738</v>
      </c>
      <c r="AC642" s="45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41.798482733812946</v>
      </c>
    </row>
    <row r="643" spans="1:29" ht="15.75" x14ac:dyDescent="0.25">
      <c r="A643" s="32">
        <v>60479</v>
      </c>
      <c r="B643" s="14">
        <f>CHOOSE(CONTROL!$C$42, 41.7306, 41.7306) * CHOOSE(CONTROL!$C$21, $C$9, 100%, $E$9)</f>
        <v>41.730600000000003</v>
      </c>
      <c r="C643" s="14">
        <f>CHOOSE(CONTROL!$C$42, 41.7387, 41.7387) * CHOOSE(CONTROL!$C$21, $C$9, 100%, $E$9)</f>
        <v>41.738700000000001</v>
      </c>
      <c r="D643" s="14">
        <f>CHOOSE(CONTROL!$C$42, 41.9436, 41.9436) * CHOOSE(CONTROL!$C$21, $C$9, 100%, $E$9)</f>
        <v>41.943600000000004</v>
      </c>
      <c r="E643" s="14">
        <f>CHOOSE(CONTROL!$C$42, 41.9751, 41.9751) * CHOOSE(CONTROL!$C$21, $C$9, 100%, $E$9)</f>
        <v>41.975099999999998</v>
      </c>
      <c r="F643" s="14">
        <f>CHOOSE(CONTROL!$C$42, 41.7176, 41.7176)*CHOOSE(CONTROL!$C$21, $C$9, 100%, $E$9)</f>
        <v>41.717599999999997</v>
      </c>
      <c r="G643" s="14">
        <f>CHOOSE(CONTROL!$C$42, 41.7342, 41.7342)*CHOOSE(CONTROL!$C$21, $C$9, 100%, $E$9)</f>
        <v>41.734200000000001</v>
      </c>
      <c r="H643" s="14">
        <f>CHOOSE(CONTROL!$C$42, 41.9637, 41.9637) * CHOOSE(CONTROL!$C$21, $C$9, 100%, $E$9)</f>
        <v>41.963700000000003</v>
      </c>
      <c r="I643" s="14">
        <f>CHOOSE(CONTROL!$C$42, 41.8694, 41.8694)* CHOOSE(CONTROL!$C$21, $C$9, 100%, $E$9)</f>
        <v>41.869399999999999</v>
      </c>
      <c r="J643" s="14">
        <f>CHOOSE(CONTROL!$C$42, 41.7106, 41.7106)* CHOOSE(CONTROL!$C$21, $C$9, 100%, $E$9)</f>
        <v>41.710599999999999</v>
      </c>
      <c r="K643" s="53">
        <f>CHOOSE(CONTROL!$C$42, 41.8655, 41.8655) * CHOOSE(CONTROL!$C$21, $C$9, 100%, $E$9)</f>
        <v>41.865499999999997</v>
      </c>
      <c r="L643" s="14">
        <f>CHOOSE(CONTROL!$C$42, 42.5507, 42.5507) * CHOOSE(CONTROL!$C$21, $C$9, 100%, $E$9)</f>
        <v>42.550699999999999</v>
      </c>
      <c r="M643" s="14">
        <f>CHOOSE(CONTROL!$C$42, 40.8637, 40.8637) * CHOOSE(CONTROL!$C$21, $C$9, 100%, $E$9)</f>
        <v>40.863700000000001</v>
      </c>
      <c r="N643" s="14">
        <f>CHOOSE(CONTROL!$C$42, 40.88, 40.88) * CHOOSE(CONTROL!$C$21, $C$9, 100%, $E$9)</f>
        <v>40.880000000000003</v>
      </c>
      <c r="O643" s="14">
        <f>CHOOSE(CONTROL!$C$42, 41.1116, 41.1116) * CHOOSE(CONTROL!$C$21, $C$9, 100%, $E$9)</f>
        <v>41.111600000000003</v>
      </c>
      <c r="P643" s="14">
        <f>CHOOSE(CONTROL!$C$42, 41.0166, 41.0166) * CHOOSE(CONTROL!$C$21, $C$9, 100%, $E$9)</f>
        <v>41.016599999999997</v>
      </c>
      <c r="Q643" s="14">
        <f>CHOOSE(CONTROL!$C$42, 41.7063, 41.7063) * CHOOSE(CONTROL!$C$21, $C$9, 100%, $E$9)</f>
        <v>41.706299999999999</v>
      </c>
      <c r="R643" s="14">
        <f>CHOOSE(CONTROL!$C$42, 42.3976, 42.3976) * CHOOSE(CONTROL!$C$21, $C$9, 100%, $E$9)</f>
        <v>42.397599999999997</v>
      </c>
      <c r="S643" s="14">
        <f>CHOOSE(CONTROL!$C$42, 40.0883, 40.0883) * CHOOSE(CONTROL!$C$21, $C$9, 100%, $E$9)</f>
        <v>40.088299999999997</v>
      </c>
      <c r="T6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7">
        <f>(1000*CHOOSE(CONTROL!$C$42, 695, 695)*CHOOSE(CONTROL!$C$42, 0.5599, 0.5599)*CHOOSE(CONTROL!$C$42, 31, 31))/1000000</f>
        <v>12.063045499999998</v>
      </c>
      <c r="V643" s="57">
        <f>(1000*CHOOSE(CONTROL!$C$42, 500, 500)*CHOOSE(CONTROL!$C$42, 0.275, 0.275)*CHOOSE(CONTROL!$C$42, 31, 31))/1000000</f>
        <v>4.2625000000000002</v>
      </c>
      <c r="W643" s="57">
        <f>(1000*CHOOSE(CONTROL!$C$42, 0.1146, 0.1146)*CHOOSE(CONTROL!$C$42, 121.5, 121.5)*CHOOSE(CONTROL!$C$42, 31, 31))/1000000</f>
        <v>0.43164089999999994</v>
      </c>
      <c r="X643" s="57">
        <f>(31*0.1790888*245000/1000000)+(31*0.2374*100000/1000000)</f>
        <v>2.0961194359999999</v>
      </c>
      <c r="Y643" s="57"/>
      <c r="Z643" s="14"/>
      <c r="AA643" s="56"/>
      <c r="AB643" s="50">
        <f>(B643*194.205+C643*267.466+D643*133.845+E643*53.484+F643*40+G643*185+H643*0+I643*100+J643*300)/(194.205+267.466+133.845+53.484+0+40+185+100+300)</f>
        <v>41.771242305808485</v>
      </c>
      <c r="AC643" s="45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40.998995683453238</v>
      </c>
    </row>
    <row r="644" spans="1:29" ht="15.75" x14ac:dyDescent="0.25">
      <c r="A644" s="32">
        <v>60510</v>
      </c>
      <c r="B644" s="14">
        <f>CHOOSE(CONTROL!$C$42, 39.6699, 39.6699) * CHOOSE(CONTROL!$C$21, $C$9, 100%, $E$9)</f>
        <v>39.669899999999998</v>
      </c>
      <c r="C644" s="14">
        <f>CHOOSE(CONTROL!$C$42, 39.678, 39.678) * CHOOSE(CONTROL!$C$21, $C$9, 100%, $E$9)</f>
        <v>39.677999999999997</v>
      </c>
      <c r="D644" s="14">
        <f>CHOOSE(CONTROL!$C$42, 39.8829, 39.8829) * CHOOSE(CONTROL!$C$21, $C$9, 100%, $E$9)</f>
        <v>39.882899999999999</v>
      </c>
      <c r="E644" s="14">
        <f>CHOOSE(CONTROL!$C$42, 39.9144, 39.9144) * CHOOSE(CONTROL!$C$21, $C$9, 100%, $E$9)</f>
        <v>39.914400000000001</v>
      </c>
      <c r="F644" s="14">
        <f>CHOOSE(CONTROL!$C$42, 39.6571, 39.6571)*CHOOSE(CONTROL!$C$21, $C$9, 100%, $E$9)</f>
        <v>39.6571</v>
      </c>
      <c r="G644" s="14">
        <f>CHOOSE(CONTROL!$C$42, 39.6738, 39.6738)*CHOOSE(CONTROL!$C$21, $C$9, 100%, $E$9)</f>
        <v>39.6738</v>
      </c>
      <c r="H644" s="14">
        <f>CHOOSE(CONTROL!$C$42, 39.903, 39.903) * CHOOSE(CONTROL!$C$21, $C$9, 100%, $E$9)</f>
        <v>39.902999999999999</v>
      </c>
      <c r="I644" s="14">
        <f>CHOOSE(CONTROL!$C$42, 39.8022, 39.8022)* CHOOSE(CONTROL!$C$21, $C$9, 100%, $E$9)</f>
        <v>39.802199999999999</v>
      </c>
      <c r="J644" s="14">
        <f>CHOOSE(CONTROL!$C$42, 39.6501, 39.6501)* CHOOSE(CONTROL!$C$21, $C$9, 100%, $E$9)</f>
        <v>39.650100000000002</v>
      </c>
      <c r="K644" s="53">
        <f>CHOOSE(CONTROL!$C$42, 39.7983, 39.7983) * CHOOSE(CONTROL!$C$21, $C$9, 100%, $E$9)</f>
        <v>39.798299999999998</v>
      </c>
      <c r="L644" s="14">
        <f>CHOOSE(CONTROL!$C$42, 40.49, 40.49) * CHOOSE(CONTROL!$C$21, $C$9, 100%, $E$9)</f>
        <v>40.49</v>
      </c>
      <c r="M644" s="14">
        <f>CHOOSE(CONTROL!$C$42, 38.8454, 38.8454) * CHOOSE(CONTROL!$C$21, $C$9, 100%, $E$9)</f>
        <v>38.845399999999998</v>
      </c>
      <c r="N644" s="14">
        <f>CHOOSE(CONTROL!$C$42, 38.8618, 38.8618) * CHOOSE(CONTROL!$C$21, $C$9, 100%, $E$9)</f>
        <v>38.861800000000002</v>
      </c>
      <c r="O644" s="14">
        <f>CHOOSE(CONTROL!$C$42, 39.0931, 39.0931) * CHOOSE(CONTROL!$C$21, $C$9, 100%, $E$9)</f>
        <v>39.0931</v>
      </c>
      <c r="P644" s="14">
        <f>CHOOSE(CONTROL!$C$42, 38.992, 38.992) * CHOOSE(CONTROL!$C$21, $C$9, 100%, $E$9)</f>
        <v>38.991999999999997</v>
      </c>
      <c r="Q644" s="14">
        <f>CHOOSE(CONTROL!$C$42, 39.6878, 39.6878) * CHOOSE(CONTROL!$C$21, $C$9, 100%, $E$9)</f>
        <v>39.687800000000003</v>
      </c>
      <c r="R644" s="14">
        <f>CHOOSE(CONTROL!$C$42, 40.3741, 40.3741) * CHOOSE(CONTROL!$C$21, $C$9, 100%, $E$9)</f>
        <v>40.374099999999999</v>
      </c>
      <c r="S644" s="14">
        <f>CHOOSE(CONTROL!$C$42, 38.1082, 38.1082) * CHOOSE(CONTROL!$C$21, $C$9, 100%, $E$9)</f>
        <v>38.108199999999997</v>
      </c>
      <c r="T6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7">
        <f>(1000*CHOOSE(CONTROL!$C$42, 695, 695)*CHOOSE(CONTROL!$C$42, 0.5599, 0.5599)*CHOOSE(CONTROL!$C$42, 31, 31))/1000000</f>
        <v>12.063045499999998</v>
      </c>
      <c r="V644" s="57">
        <f>(1000*CHOOSE(CONTROL!$C$42, 500, 500)*CHOOSE(CONTROL!$C$42, 0.275, 0.275)*CHOOSE(CONTROL!$C$42, 31, 31))/1000000</f>
        <v>4.2625000000000002</v>
      </c>
      <c r="W644" s="57">
        <f>(1000*CHOOSE(CONTROL!$C$42, 0.1146, 0.1146)*CHOOSE(CONTROL!$C$42, 121.5, 121.5)*CHOOSE(CONTROL!$C$42, 31, 31))/1000000</f>
        <v>0.43164089999999994</v>
      </c>
      <c r="X644" s="57">
        <f>(31*0.1790888*245000/1000000)+(31*0.2374*100000/1000000)</f>
        <v>2.0961194359999999</v>
      </c>
      <c r="Y644" s="57"/>
      <c r="Z644" s="14"/>
      <c r="AA644" s="56"/>
      <c r="AB644" s="50">
        <f>(B644*194.205+C644*267.466+D644*133.845+E644*53.484+F644*40+G644*185+H644*0+I644*100+J644*300)/(194.205+267.466+133.845+53.484+0+40+185+100+300)</f>
        <v>39.710129040502352</v>
      </c>
      <c r="AC644" s="45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38.979704316546758</v>
      </c>
    </row>
    <row r="645" spans="1:29" ht="15.75" x14ac:dyDescent="0.25">
      <c r="A645" s="32">
        <v>60540</v>
      </c>
      <c r="B645" s="14">
        <f>CHOOSE(CONTROL!$C$42, 37.1518, 37.1518) * CHOOSE(CONTROL!$C$21, $C$9, 100%, $E$9)</f>
        <v>37.151800000000001</v>
      </c>
      <c r="C645" s="14">
        <f>CHOOSE(CONTROL!$C$42, 37.1598, 37.1598) * CHOOSE(CONTROL!$C$21, $C$9, 100%, $E$9)</f>
        <v>37.159799999999997</v>
      </c>
      <c r="D645" s="14">
        <f>CHOOSE(CONTROL!$C$42, 37.3648, 37.3648) * CHOOSE(CONTROL!$C$21, $C$9, 100%, $E$9)</f>
        <v>37.364800000000002</v>
      </c>
      <c r="E645" s="14">
        <f>CHOOSE(CONTROL!$C$42, 37.3962, 37.3962) * CHOOSE(CONTROL!$C$21, $C$9, 100%, $E$9)</f>
        <v>37.3962</v>
      </c>
      <c r="F645" s="14">
        <f>CHOOSE(CONTROL!$C$42, 37.1389, 37.1389)*CHOOSE(CONTROL!$C$21, $C$9, 100%, $E$9)</f>
        <v>37.1389</v>
      </c>
      <c r="G645" s="14">
        <f>CHOOSE(CONTROL!$C$42, 37.1556, 37.1556)*CHOOSE(CONTROL!$C$21, $C$9, 100%, $E$9)</f>
        <v>37.1556</v>
      </c>
      <c r="H645" s="14">
        <f>CHOOSE(CONTROL!$C$42, 37.3849, 37.3849) * CHOOSE(CONTROL!$C$21, $C$9, 100%, $E$9)</f>
        <v>37.384900000000002</v>
      </c>
      <c r="I645" s="14">
        <f>CHOOSE(CONTROL!$C$42, 37.2762, 37.2762)* CHOOSE(CONTROL!$C$21, $C$9, 100%, $E$9)</f>
        <v>37.276200000000003</v>
      </c>
      <c r="J645" s="14">
        <f>CHOOSE(CONTROL!$C$42, 37.1319, 37.1319)* CHOOSE(CONTROL!$C$21, $C$9, 100%, $E$9)</f>
        <v>37.131900000000002</v>
      </c>
      <c r="K645" s="53">
        <f>CHOOSE(CONTROL!$C$42, 37.2723, 37.2723) * CHOOSE(CONTROL!$C$21, $C$9, 100%, $E$9)</f>
        <v>37.272300000000001</v>
      </c>
      <c r="L645" s="14">
        <f>CHOOSE(CONTROL!$C$42, 37.9719, 37.9719) * CHOOSE(CONTROL!$C$21, $C$9, 100%, $E$9)</f>
        <v>37.971899999999998</v>
      </c>
      <c r="M645" s="14">
        <f>CHOOSE(CONTROL!$C$42, 36.3788, 36.3788) * CHOOSE(CONTROL!$C$21, $C$9, 100%, $E$9)</f>
        <v>36.378799999999998</v>
      </c>
      <c r="N645" s="14">
        <f>CHOOSE(CONTROL!$C$42, 36.3951, 36.3951) * CHOOSE(CONTROL!$C$21, $C$9, 100%, $E$9)</f>
        <v>36.395099999999999</v>
      </c>
      <c r="O645" s="14">
        <f>CHOOSE(CONTROL!$C$42, 36.6266, 36.6266) * CHOOSE(CONTROL!$C$21, $C$9, 100%, $E$9)</f>
        <v>36.626600000000003</v>
      </c>
      <c r="P645" s="14">
        <f>CHOOSE(CONTROL!$C$42, 36.5178, 36.5178) * CHOOSE(CONTROL!$C$21, $C$9, 100%, $E$9)</f>
        <v>36.517800000000001</v>
      </c>
      <c r="Q645" s="14">
        <f>CHOOSE(CONTROL!$C$42, 37.2213, 37.2213) * CHOOSE(CONTROL!$C$21, $C$9, 100%, $E$9)</f>
        <v>37.221299999999999</v>
      </c>
      <c r="R645" s="14">
        <f>CHOOSE(CONTROL!$C$42, 37.9013, 37.9013) * CHOOSE(CONTROL!$C$21, $C$9, 100%, $E$9)</f>
        <v>37.901299999999999</v>
      </c>
      <c r="S645" s="14">
        <f>CHOOSE(CONTROL!$C$42, 35.6885, 35.6885) * CHOOSE(CONTROL!$C$21, $C$9, 100%, $E$9)</f>
        <v>35.688499999999998</v>
      </c>
      <c r="T6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7">
        <f>(1000*CHOOSE(CONTROL!$C$42, 695, 695)*CHOOSE(CONTROL!$C$42, 0.5599, 0.5599)*CHOOSE(CONTROL!$C$42, 30, 30))/1000000</f>
        <v>11.673914999999997</v>
      </c>
      <c r="V645" s="57">
        <f>(1000*CHOOSE(CONTROL!$C$42, 500, 500)*CHOOSE(CONTROL!$C$42, 0.275, 0.275)*CHOOSE(CONTROL!$C$42, 30, 30))/1000000</f>
        <v>4.125</v>
      </c>
      <c r="W645" s="57">
        <f>(1000*CHOOSE(CONTROL!$C$42, 0.1146, 0.1146)*CHOOSE(CONTROL!$C$42, 121.5, 121.5)*CHOOSE(CONTROL!$C$42, 30, 30))/1000000</f>
        <v>0.417717</v>
      </c>
      <c r="X645" s="57">
        <f>(30*0.1790888*245000/1000000)+(30*0.2374*100000/1000000)</f>
        <v>2.0285026799999999</v>
      </c>
      <c r="Y645" s="57"/>
      <c r="Z645" s="14"/>
      <c r="AA645" s="56"/>
      <c r="AB645" s="50">
        <f>(B645*194.205+C645*267.466+D645*133.845+E645*53.484+F645*40+G645*185+H645*0+I645*100+J645*300)/(194.205+267.466+133.845+53.484+0+40+185+100+300)</f>
        <v>37.191342545211931</v>
      </c>
      <c r="AC645" s="45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36.512050359712234</v>
      </c>
    </row>
    <row r="646" spans="1:29" ht="15.75" x14ac:dyDescent="0.25">
      <c r="A646" s="32">
        <v>60571</v>
      </c>
      <c r="B646" s="14">
        <f>CHOOSE(CONTROL!$C$42, 36.3959, 36.3959) * CHOOSE(CONTROL!$C$21, $C$9, 100%, $E$9)</f>
        <v>36.395899999999997</v>
      </c>
      <c r="C646" s="14">
        <f>CHOOSE(CONTROL!$C$42, 36.4012, 36.4012) * CHOOSE(CONTROL!$C$21, $C$9, 100%, $E$9)</f>
        <v>36.401200000000003</v>
      </c>
      <c r="D646" s="14">
        <f>CHOOSE(CONTROL!$C$42, 36.6112, 36.6112) * CHOOSE(CONTROL!$C$21, $C$9, 100%, $E$9)</f>
        <v>36.611199999999997</v>
      </c>
      <c r="E646" s="14">
        <f>CHOOSE(CONTROL!$C$42, 36.6403, 36.6403) * CHOOSE(CONTROL!$C$21, $C$9, 100%, $E$9)</f>
        <v>36.640300000000003</v>
      </c>
      <c r="F646" s="14">
        <f>CHOOSE(CONTROL!$C$42, 36.3851, 36.3851)*CHOOSE(CONTROL!$C$21, $C$9, 100%, $E$9)</f>
        <v>36.385100000000001</v>
      </c>
      <c r="G646" s="14">
        <f>CHOOSE(CONTROL!$C$42, 36.4015, 36.4015)*CHOOSE(CONTROL!$C$21, $C$9, 100%, $E$9)</f>
        <v>36.401499999999999</v>
      </c>
      <c r="H646" s="14">
        <f>CHOOSE(CONTROL!$C$42, 36.6308, 36.6308) * CHOOSE(CONTROL!$C$21, $C$9, 100%, $E$9)</f>
        <v>36.630800000000001</v>
      </c>
      <c r="I646" s="14">
        <f>CHOOSE(CONTROL!$C$42, 36.5197, 36.5197)* CHOOSE(CONTROL!$C$21, $C$9, 100%, $E$9)</f>
        <v>36.5197</v>
      </c>
      <c r="J646" s="14">
        <f>CHOOSE(CONTROL!$C$42, 36.3781, 36.3781)* CHOOSE(CONTROL!$C$21, $C$9, 100%, $E$9)</f>
        <v>36.378100000000003</v>
      </c>
      <c r="K646" s="53">
        <f>CHOOSE(CONTROL!$C$42, 36.5158, 36.5158) * CHOOSE(CONTROL!$C$21, $C$9, 100%, $E$9)</f>
        <v>36.515799999999999</v>
      </c>
      <c r="L646" s="14">
        <f>CHOOSE(CONTROL!$C$42, 37.2178, 37.2178) * CHOOSE(CONTROL!$C$21, $C$9, 100%, $E$9)</f>
        <v>37.217799999999997</v>
      </c>
      <c r="M646" s="14">
        <f>CHOOSE(CONTROL!$C$42, 35.6405, 35.6405) * CHOOSE(CONTROL!$C$21, $C$9, 100%, $E$9)</f>
        <v>35.640500000000003</v>
      </c>
      <c r="N646" s="14">
        <f>CHOOSE(CONTROL!$C$42, 35.6565, 35.6565) * CHOOSE(CONTROL!$C$21, $C$9, 100%, $E$9)</f>
        <v>35.656500000000001</v>
      </c>
      <c r="O646" s="14">
        <f>CHOOSE(CONTROL!$C$42, 35.8879, 35.8879) * CHOOSE(CONTROL!$C$21, $C$9, 100%, $E$9)</f>
        <v>35.887900000000002</v>
      </c>
      <c r="P646" s="14">
        <f>CHOOSE(CONTROL!$C$42, 35.7769, 35.7769) * CHOOSE(CONTROL!$C$21, $C$9, 100%, $E$9)</f>
        <v>35.776899999999998</v>
      </c>
      <c r="Q646" s="14">
        <f>CHOOSE(CONTROL!$C$42, 36.4826, 36.4826) * CHOOSE(CONTROL!$C$21, $C$9, 100%, $E$9)</f>
        <v>36.482599999999998</v>
      </c>
      <c r="R646" s="14">
        <f>CHOOSE(CONTROL!$C$42, 37.1608, 37.1608) * CHOOSE(CONTROL!$C$21, $C$9, 100%, $E$9)</f>
        <v>37.160800000000002</v>
      </c>
      <c r="S646" s="14">
        <f>CHOOSE(CONTROL!$C$42, 34.9639, 34.9639) * CHOOSE(CONTROL!$C$21, $C$9, 100%, $E$9)</f>
        <v>34.963900000000002</v>
      </c>
      <c r="T6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7">
        <f>(1000*CHOOSE(CONTROL!$C$42, 695, 695)*CHOOSE(CONTROL!$C$42, 0.5599, 0.5599)*CHOOSE(CONTROL!$C$42, 31, 31))/1000000</f>
        <v>12.063045499999998</v>
      </c>
      <c r="V646" s="57">
        <f>(1000*CHOOSE(CONTROL!$C$42, 500, 500)*CHOOSE(CONTROL!$C$42, 0.275, 0.275)*CHOOSE(CONTROL!$C$42, 31, 31))/1000000</f>
        <v>4.2625000000000002</v>
      </c>
      <c r="W646" s="57">
        <f>(1000*CHOOSE(CONTROL!$C$42, 0.1146, 0.1146)*CHOOSE(CONTROL!$C$42, 121.5, 121.5)*CHOOSE(CONTROL!$C$42, 31, 31))/1000000</f>
        <v>0.43164089999999994</v>
      </c>
      <c r="X646" s="57">
        <f>(31*0.1790888*245000/1000000)+(31*0.2374*100000/1000000)</f>
        <v>2.0961194359999999</v>
      </c>
      <c r="Y646" s="57"/>
      <c r="Z646" s="14"/>
      <c r="AA646" s="56"/>
      <c r="AB646" s="50">
        <f>(B646*131.881+C646*277.167+D646*79.08+E646*125.872+F646*40+G646*185+H646*0+I646*100+J646*300)/(131.881+277.167+79.08+125.872+0+40+185+100+300)</f>
        <v>36.441825767473766</v>
      </c>
      <c r="AC646" s="45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35.773177697841724</v>
      </c>
    </row>
    <row r="647" spans="1:29" ht="15.75" x14ac:dyDescent="0.25">
      <c r="A647" s="32">
        <v>60601</v>
      </c>
      <c r="B647" s="14">
        <f>CHOOSE(CONTROL!$C$42, 37.3541, 37.3541) * CHOOSE(CONTROL!$C$21, $C$9, 100%, $E$9)</f>
        <v>37.354100000000003</v>
      </c>
      <c r="C647" s="14">
        <f>CHOOSE(CONTROL!$C$42, 37.3591, 37.3591) * CHOOSE(CONTROL!$C$21, $C$9, 100%, $E$9)</f>
        <v>37.359099999999998</v>
      </c>
      <c r="D647" s="14">
        <f>CHOOSE(CONTROL!$C$42, 37.4229, 37.4229) * CHOOSE(CONTROL!$C$21, $C$9, 100%, $E$9)</f>
        <v>37.422899999999998</v>
      </c>
      <c r="E647" s="14">
        <f>CHOOSE(CONTROL!$C$42, 37.4571, 37.4571) * CHOOSE(CONTROL!$C$21, $C$9, 100%, $E$9)</f>
        <v>37.457099999999997</v>
      </c>
      <c r="F647" s="14">
        <f>CHOOSE(CONTROL!$C$42, 37.3563, 37.3563)*CHOOSE(CONTROL!$C$21, $C$9, 100%, $E$9)</f>
        <v>37.356299999999997</v>
      </c>
      <c r="G647" s="14">
        <f>CHOOSE(CONTROL!$C$42, 37.373, 37.373)*CHOOSE(CONTROL!$C$21, $C$9, 100%, $E$9)</f>
        <v>37.372999999999998</v>
      </c>
      <c r="H647" s="14">
        <f>CHOOSE(CONTROL!$C$42, 37.4463, 37.4463) * CHOOSE(CONTROL!$C$21, $C$9, 100%, $E$9)</f>
        <v>37.446300000000001</v>
      </c>
      <c r="I647" s="14">
        <f>CHOOSE(CONTROL!$C$42, 37.4849, 37.4849)* CHOOSE(CONTROL!$C$21, $C$9, 100%, $E$9)</f>
        <v>37.484900000000003</v>
      </c>
      <c r="J647" s="14">
        <f>CHOOSE(CONTROL!$C$42, 37.3493, 37.3493)* CHOOSE(CONTROL!$C$21, $C$9, 100%, $E$9)</f>
        <v>37.349299999999999</v>
      </c>
      <c r="K647" s="53">
        <f>CHOOSE(CONTROL!$C$42, 37.4811, 37.4811) * CHOOSE(CONTROL!$C$21, $C$9, 100%, $E$9)</f>
        <v>37.481099999999998</v>
      </c>
      <c r="L647" s="14">
        <f>CHOOSE(CONTROL!$C$42, 38.0333, 38.0333) * CHOOSE(CONTROL!$C$21, $C$9, 100%, $E$9)</f>
        <v>38.033299999999997</v>
      </c>
      <c r="M647" s="14">
        <f>CHOOSE(CONTROL!$C$42, 36.5917, 36.5917) * CHOOSE(CONTROL!$C$21, $C$9, 100%, $E$9)</f>
        <v>36.591700000000003</v>
      </c>
      <c r="N647" s="14">
        <f>CHOOSE(CONTROL!$C$42, 36.6081, 36.6081) * CHOOSE(CONTROL!$C$21, $C$9, 100%, $E$9)</f>
        <v>36.6081</v>
      </c>
      <c r="O647" s="14">
        <f>CHOOSE(CONTROL!$C$42, 36.6867, 36.6867) * CHOOSE(CONTROL!$C$21, $C$9, 100%, $E$9)</f>
        <v>36.686700000000002</v>
      </c>
      <c r="P647" s="14">
        <f>CHOOSE(CONTROL!$C$42, 36.7223, 36.7223) * CHOOSE(CONTROL!$C$21, $C$9, 100%, $E$9)</f>
        <v>36.722299999999997</v>
      </c>
      <c r="Q647" s="14">
        <f>CHOOSE(CONTROL!$C$42, 37.2814, 37.2814) * CHOOSE(CONTROL!$C$21, $C$9, 100%, $E$9)</f>
        <v>37.281399999999998</v>
      </c>
      <c r="R647" s="14">
        <f>CHOOSE(CONTROL!$C$42, 37.9616, 37.9616) * CHOOSE(CONTROL!$C$21, $C$9, 100%, $E$9)</f>
        <v>37.961599999999997</v>
      </c>
      <c r="S647" s="14">
        <f>CHOOSE(CONTROL!$C$42, 35.885, 35.885) * CHOOSE(CONTROL!$C$21, $C$9, 100%, $E$9)</f>
        <v>35.884999999999998</v>
      </c>
      <c r="T6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7">
        <f>(1000*CHOOSE(CONTROL!$C$42, 695, 695)*CHOOSE(CONTROL!$C$42, 0.5599, 0.5599)*CHOOSE(CONTROL!$C$42, 30, 30))/1000000</f>
        <v>11.673914999999997</v>
      </c>
      <c r="V647" s="57">
        <f>(1000*CHOOSE(CONTROL!$C$42, 500, 500)*CHOOSE(CONTROL!$C$42, 0.275, 0.275)*CHOOSE(CONTROL!$C$42, 30, 30))/1000000</f>
        <v>4.125</v>
      </c>
      <c r="W647" s="57">
        <f>(1000*CHOOSE(CONTROL!$C$42, 0.1146, 0.1146)*CHOOSE(CONTROL!$C$42, 121.5, 121.5)*CHOOSE(CONTROL!$C$42, 30, 30))/1000000</f>
        <v>0.417717</v>
      </c>
      <c r="X647" s="57">
        <f>(30*0.1790888*100000/1000000)+(30*0.2374*100000/1000000)</f>
        <v>1.2494664</v>
      </c>
      <c r="Y647" s="57"/>
      <c r="Z647" s="14"/>
      <c r="AA647" s="56"/>
      <c r="AB647" s="50">
        <f>(B647*122.58+C647*297.941+D647*89.177+E647*40.302+F647*40+G647*160+H647*0+I647*100+J647*300)/(122.58+297.941+89.177+40.302+0+40+160+100+300)</f>
        <v>37.377167990086953</v>
      </c>
      <c r="AC647" s="45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36.654492805755396</v>
      </c>
    </row>
    <row r="648" spans="1:29" ht="15.75" x14ac:dyDescent="0.25">
      <c r="A648" s="32">
        <v>60632</v>
      </c>
      <c r="B648" s="14">
        <f>CHOOSE(CONTROL!$C$42, 39.9002, 39.9002) * CHOOSE(CONTROL!$C$21, $C$9, 100%, $E$9)</f>
        <v>39.900199999999998</v>
      </c>
      <c r="C648" s="14">
        <f>CHOOSE(CONTROL!$C$42, 39.9053, 39.9053) * CHOOSE(CONTROL!$C$21, $C$9, 100%, $E$9)</f>
        <v>39.905299999999997</v>
      </c>
      <c r="D648" s="14">
        <f>CHOOSE(CONTROL!$C$42, 39.9691, 39.9691) * CHOOSE(CONTROL!$C$21, $C$9, 100%, $E$9)</f>
        <v>39.969099999999997</v>
      </c>
      <c r="E648" s="14">
        <f>CHOOSE(CONTROL!$C$42, 40.0032, 40.0032) * CHOOSE(CONTROL!$C$21, $C$9, 100%, $E$9)</f>
        <v>40.0032</v>
      </c>
      <c r="F648" s="14">
        <f>CHOOSE(CONTROL!$C$42, 39.9045, 39.9045)*CHOOSE(CONTROL!$C$21, $C$9, 100%, $E$9)</f>
        <v>39.904499999999999</v>
      </c>
      <c r="G648" s="14">
        <f>CHOOSE(CONTROL!$C$42, 39.9217, 39.9217)*CHOOSE(CONTROL!$C$21, $C$9, 100%, $E$9)</f>
        <v>39.921700000000001</v>
      </c>
      <c r="H648" s="14">
        <f>CHOOSE(CONTROL!$C$42, 39.9924, 39.9924) * CHOOSE(CONTROL!$C$21, $C$9, 100%, $E$9)</f>
        <v>39.992400000000004</v>
      </c>
      <c r="I648" s="14">
        <f>CHOOSE(CONTROL!$C$42, 40.039, 40.039)* CHOOSE(CONTROL!$C$21, $C$9, 100%, $E$9)</f>
        <v>40.039000000000001</v>
      </c>
      <c r="J648" s="14">
        <f>CHOOSE(CONTROL!$C$42, 39.8975, 39.8975)* CHOOSE(CONTROL!$C$21, $C$9, 100%, $E$9)</f>
        <v>39.897500000000001</v>
      </c>
      <c r="K648" s="53">
        <f>CHOOSE(CONTROL!$C$42, 40.0352, 40.0352) * CHOOSE(CONTROL!$C$21, $C$9, 100%, $E$9)</f>
        <v>40.035200000000003</v>
      </c>
      <c r="L648" s="14">
        <f>CHOOSE(CONTROL!$C$42, 40.5794, 40.5794) * CHOOSE(CONTROL!$C$21, $C$9, 100%, $E$9)</f>
        <v>40.5794</v>
      </c>
      <c r="M648" s="14">
        <f>CHOOSE(CONTROL!$C$42, 39.0877, 39.0877) * CHOOSE(CONTROL!$C$21, $C$9, 100%, $E$9)</f>
        <v>39.087699999999998</v>
      </c>
      <c r="N648" s="14">
        <f>CHOOSE(CONTROL!$C$42, 39.1046, 39.1046) * CHOOSE(CONTROL!$C$21, $C$9, 100%, $E$9)</f>
        <v>39.104599999999998</v>
      </c>
      <c r="O648" s="14">
        <f>CHOOSE(CONTROL!$C$42, 39.1807, 39.1807) * CHOOSE(CONTROL!$C$21, $C$9, 100%, $E$9)</f>
        <v>39.180700000000002</v>
      </c>
      <c r="P648" s="14">
        <f>CHOOSE(CONTROL!$C$42, 39.2239, 39.2239) * CHOOSE(CONTROL!$C$21, $C$9, 100%, $E$9)</f>
        <v>39.2239</v>
      </c>
      <c r="Q648" s="14">
        <f>CHOOSE(CONTROL!$C$42, 39.7754, 39.7754) * CHOOSE(CONTROL!$C$21, $C$9, 100%, $E$9)</f>
        <v>39.775399999999998</v>
      </c>
      <c r="R648" s="14">
        <f>CHOOSE(CONTROL!$C$42, 40.4618, 40.4618) * CHOOSE(CONTROL!$C$21, $C$9, 100%, $E$9)</f>
        <v>40.461799999999997</v>
      </c>
      <c r="S648" s="14">
        <f>CHOOSE(CONTROL!$C$42, 38.3316, 38.3316) * CHOOSE(CONTROL!$C$21, $C$9, 100%, $E$9)</f>
        <v>38.331600000000002</v>
      </c>
      <c r="T6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7">
        <f>(1000*CHOOSE(CONTROL!$C$42, 695, 695)*CHOOSE(CONTROL!$C$42, 0.5599, 0.5599)*CHOOSE(CONTROL!$C$42, 31, 31))/1000000</f>
        <v>12.063045499999998</v>
      </c>
      <c r="V648" s="57">
        <f>(1000*CHOOSE(CONTROL!$C$42, 500, 500)*CHOOSE(CONTROL!$C$42, 0.275, 0.275)*CHOOSE(CONTROL!$C$42, 31, 31))/1000000</f>
        <v>4.2625000000000002</v>
      </c>
      <c r="W648" s="57">
        <f>(1000*CHOOSE(CONTROL!$C$42, 0.1146, 0.1146)*CHOOSE(CONTROL!$C$42, 121.5, 121.5)*CHOOSE(CONTROL!$C$42, 31, 31))/1000000</f>
        <v>0.43164089999999994</v>
      </c>
      <c r="X648" s="57">
        <f>(31*0.1790888*100000/1000000)+(31*0.2374*100000/1000000)</f>
        <v>1.2911152800000001</v>
      </c>
      <c r="Y648" s="57"/>
      <c r="Z648" s="14"/>
      <c r="AA648" s="56"/>
      <c r="AB648" s="50">
        <f>(B648*122.58+C648*297.941+D648*89.177+E648*40.302+F648*40+G648*160+H648*0+I648*100+J648*300)/(122.58+297.941+89.177+40.302+0+40+160+100+300)</f>
        <v>39.924979913391304</v>
      </c>
      <c r="AC648" s="45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39.15042086330935</v>
      </c>
    </row>
    <row r="649" spans="1:29" ht="15.75" x14ac:dyDescent="0.25">
      <c r="A649" s="32">
        <v>60663</v>
      </c>
      <c r="B649" s="14">
        <f>CHOOSE(CONTROL!$C$42, 43.1678, 43.1678) * CHOOSE(CONTROL!$C$21, $C$9, 100%, $E$9)</f>
        <v>43.1678</v>
      </c>
      <c r="C649" s="14">
        <f>CHOOSE(CONTROL!$C$42, 43.1729, 43.1729) * CHOOSE(CONTROL!$C$21, $C$9, 100%, $E$9)</f>
        <v>43.172899999999998</v>
      </c>
      <c r="D649" s="14">
        <f>CHOOSE(CONTROL!$C$42, 43.2315, 43.2315) * CHOOSE(CONTROL!$C$21, $C$9, 100%, $E$9)</f>
        <v>43.231499999999997</v>
      </c>
      <c r="E649" s="14">
        <f>CHOOSE(CONTROL!$C$42, 43.2656, 43.2656) * CHOOSE(CONTROL!$C$21, $C$9, 100%, $E$9)</f>
        <v>43.265599999999999</v>
      </c>
      <c r="F649" s="14">
        <f>CHOOSE(CONTROL!$C$42, 43.1669, 43.1669)*CHOOSE(CONTROL!$C$21, $C$9, 100%, $E$9)</f>
        <v>43.166899999999998</v>
      </c>
      <c r="G649" s="14">
        <f>CHOOSE(CONTROL!$C$42, 43.1833, 43.1833)*CHOOSE(CONTROL!$C$21, $C$9, 100%, $E$9)</f>
        <v>43.183300000000003</v>
      </c>
      <c r="H649" s="14">
        <f>CHOOSE(CONTROL!$C$42, 43.2548, 43.2548) * CHOOSE(CONTROL!$C$21, $C$9, 100%, $E$9)</f>
        <v>43.254800000000003</v>
      </c>
      <c r="I649" s="14">
        <f>CHOOSE(CONTROL!$C$42, 43.3132, 43.3132)* CHOOSE(CONTROL!$C$21, $C$9, 100%, $E$9)</f>
        <v>43.313200000000002</v>
      </c>
      <c r="J649" s="14">
        <f>CHOOSE(CONTROL!$C$42, 43.1599, 43.1599)* CHOOSE(CONTROL!$C$21, $C$9, 100%, $E$9)</f>
        <v>43.1599</v>
      </c>
      <c r="K649" s="53">
        <f>CHOOSE(CONTROL!$C$42, 43.3093, 43.3093) * CHOOSE(CONTROL!$C$21, $C$9, 100%, $E$9)</f>
        <v>43.3093</v>
      </c>
      <c r="L649" s="14">
        <f>CHOOSE(CONTROL!$C$42, 43.8418, 43.8418) * CHOOSE(CONTROL!$C$21, $C$9, 100%, $E$9)</f>
        <v>43.841799999999999</v>
      </c>
      <c r="M649" s="14">
        <f>CHOOSE(CONTROL!$C$42, 42.2833, 42.2833) * CHOOSE(CONTROL!$C$21, $C$9, 100%, $E$9)</f>
        <v>42.283299999999997</v>
      </c>
      <c r="N649" s="14">
        <f>CHOOSE(CONTROL!$C$42, 42.2993, 42.2993) * CHOOSE(CONTROL!$C$21, $C$9, 100%, $E$9)</f>
        <v>42.299300000000002</v>
      </c>
      <c r="O649" s="14">
        <f>CHOOSE(CONTROL!$C$42, 42.3762, 42.3762) * CHOOSE(CONTROL!$C$21, $C$9, 100%, $E$9)</f>
        <v>42.376199999999997</v>
      </c>
      <c r="P649" s="14">
        <f>CHOOSE(CONTROL!$C$42, 42.4308, 42.4308) * CHOOSE(CONTROL!$C$21, $C$9, 100%, $E$9)</f>
        <v>42.430799999999998</v>
      </c>
      <c r="Q649" s="14">
        <f>CHOOSE(CONTROL!$C$42, 42.9709, 42.9709) * CHOOSE(CONTROL!$C$21, $C$9, 100%, $E$9)</f>
        <v>42.9709</v>
      </c>
      <c r="R649" s="14">
        <f>CHOOSE(CONTROL!$C$42, 43.6653, 43.6653) * CHOOSE(CONTROL!$C$21, $C$9, 100%, $E$9)</f>
        <v>43.665300000000002</v>
      </c>
      <c r="S649" s="14">
        <f>CHOOSE(CONTROL!$C$42, 41.4714, 41.4714) * CHOOSE(CONTROL!$C$21, $C$9, 100%, $E$9)</f>
        <v>41.471400000000003</v>
      </c>
      <c r="T6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7">
        <f>(1000*CHOOSE(CONTROL!$C$42, 695, 695)*CHOOSE(CONTROL!$C$42, 0.5599, 0.5599)*CHOOSE(CONTROL!$C$42, 31, 31))/1000000</f>
        <v>12.063045499999998</v>
      </c>
      <c r="V649" s="57">
        <f>(1000*CHOOSE(CONTROL!$C$42, 500, 500)*CHOOSE(CONTROL!$C$42, 0.275, 0.275)*CHOOSE(CONTROL!$C$42, 31, 31))/1000000</f>
        <v>4.2625000000000002</v>
      </c>
      <c r="W649" s="57">
        <f>(1000*CHOOSE(CONTROL!$C$42, 0.1146, 0.1146)*CHOOSE(CONTROL!$C$42, 121.5, 121.5)*CHOOSE(CONTROL!$C$42, 31, 31))/1000000</f>
        <v>0.43164089999999994</v>
      </c>
      <c r="X649" s="57">
        <f>(31*0.1790888*100000/1000000)+(31*0.2374*100000/1000000)</f>
        <v>1.2911152800000001</v>
      </c>
      <c r="Y649" s="57"/>
      <c r="Z649" s="14"/>
      <c r="AA649" s="56"/>
      <c r="AB649" s="50">
        <f>(B649*122.58+C649*297.941+D649*89.177+E649*40.302+F649*40+G649*160+H649*0+I649*100+J649*300)/(122.58+297.941+89.177+40.302+0+40+160+100+300)</f>
        <v>43.190196182260877</v>
      </c>
      <c r="AC649" s="45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42.347549640287767</v>
      </c>
    </row>
    <row r="650" spans="1:29" ht="15.75" x14ac:dyDescent="0.25">
      <c r="A650" s="32">
        <v>60691</v>
      </c>
      <c r="B650" s="14">
        <f>CHOOSE(CONTROL!$C$42, 43.9361, 43.9361) * CHOOSE(CONTROL!$C$21, $C$9, 100%, $E$9)</f>
        <v>43.936100000000003</v>
      </c>
      <c r="C650" s="14">
        <f>CHOOSE(CONTROL!$C$42, 43.9411, 43.9411) * CHOOSE(CONTROL!$C$21, $C$9, 100%, $E$9)</f>
        <v>43.941099999999999</v>
      </c>
      <c r="D650" s="14">
        <f>CHOOSE(CONTROL!$C$42, 43.9997, 43.9997) * CHOOSE(CONTROL!$C$21, $C$9, 100%, $E$9)</f>
        <v>43.999699999999997</v>
      </c>
      <c r="E650" s="14">
        <f>CHOOSE(CONTROL!$C$42, 44.0338, 44.0338) * CHOOSE(CONTROL!$C$21, $C$9, 100%, $E$9)</f>
        <v>44.033799999999999</v>
      </c>
      <c r="F650" s="14">
        <f>CHOOSE(CONTROL!$C$42, 43.9351, 43.9351)*CHOOSE(CONTROL!$C$21, $C$9, 100%, $E$9)</f>
        <v>43.935099999999998</v>
      </c>
      <c r="G650" s="14">
        <f>CHOOSE(CONTROL!$C$42, 43.9515, 43.9515)*CHOOSE(CONTROL!$C$21, $C$9, 100%, $E$9)</f>
        <v>43.951500000000003</v>
      </c>
      <c r="H650" s="14">
        <f>CHOOSE(CONTROL!$C$42, 44.023, 44.023) * CHOOSE(CONTROL!$C$21, $C$9, 100%, $E$9)</f>
        <v>44.023000000000003</v>
      </c>
      <c r="I650" s="14">
        <f>CHOOSE(CONTROL!$C$42, 44.0839, 44.0839)* CHOOSE(CONTROL!$C$21, $C$9, 100%, $E$9)</f>
        <v>44.0839</v>
      </c>
      <c r="J650" s="14">
        <f>CHOOSE(CONTROL!$C$42, 43.9281, 43.9281)* CHOOSE(CONTROL!$C$21, $C$9, 100%, $E$9)</f>
        <v>43.928100000000001</v>
      </c>
      <c r="K650" s="53">
        <f>CHOOSE(CONTROL!$C$42, 44.08, 44.08) * CHOOSE(CONTROL!$C$21, $C$9, 100%, $E$9)</f>
        <v>44.08</v>
      </c>
      <c r="L650" s="14">
        <f>CHOOSE(CONTROL!$C$42, 44.61, 44.61) * CHOOSE(CONTROL!$C$21, $C$9, 100%, $E$9)</f>
        <v>44.61</v>
      </c>
      <c r="M650" s="14">
        <f>CHOOSE(CONTROL!$C$42, 43.0358, 43.0358) * CHOOSE(CONTROL!$C$21, $C$9, 100%, $E$9)</f>
        <v>43.035800000000002</v>
      </c>
      <c r="N650" s="14">
        <f>CHOOSE(CONTROL!$C$42, 43.0518, 43.0518) * CHOOSE(CONTROL!$C$21, $C$9, 100%, $E$9)</f>
        <v>43.0518</v>
      </c>
      <c r="O650" s="14">
        <f>CHOOSE(CONTROL!$C$42, 43.1287, 43.1287) * CHOOSE(CONTROL!$C$21, $C$9, 100%, $E$9)</f>
        <v>43.128700000000002</v>
      </c>
      <c r="P650" s="14">
        <f>CHOOSE(CONTROL!$C$42, 43.1857, 43.1857) * CHOOSE(CONTROL!$C$21, $C$9, 100%, $E$9)</f>
        <v>43.185699999999997</v>
      </c>
      <c r="Q650" s="14">
        <f>CHOOSE(CONTROL!$C$42, 43.7234, 43.7234) * CHOOSE(CONTROL!$C$21, $C$9, 100%, $E$9)</f>
        <v>43.723399999999998</v>
      </c>
      <c r="R650" s="14">
        <f>CHOOSE(CONTROL!$C$42, 44.4197, 44.4197) * CHOOSE(CONTROL!$C$21, $C$9, 100%, $E$9)</f>
        <v>44.419699999999999</v>
      </c>
      <c r="S650" s="14">
        <f>CHOOSE(CONTROL!$C$42, 42.2096, 42.2096) * CHOOSE(CONTROL!$C$21, $C$9, 100%, $E$9)</f>
        <v>42.209600000000002</v>
      </c>
      <c r="T6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7">
        <f>(1000*CHOOSE(CONTROL!$C$42, 695, 695)*CHOOSE(CONTROL!$C$42, 0.5599, 0.5599)*CHOOSE(CONTROL!$C$42, 28, 28))/1000000</f>
        <v>10.895653999999999</v>
      </c>
      <c r="V650" s="57">
        <f>(1000*CHOOSE(CONTROL!$C$42, 500, 500)*CHOOSE(CONTROL!$C$42, 0.275, 0.275)*CHOOSE(CONTROL!$C$42, 28, 28))/1000000</f>
        <v>3.85</v>
      </c>
      <c r="W650" s="57">
        <f>(1000*CHOOSE(CONTROL!$C$42, 0.1146, 0.1146)*CHOOSE(CONTROL!$C$42, 121.5, 121.5)*CHOOSE(CONTROL!$C$42, 28, 28))/1000000</f>
        <v>0.38986920000000003</v>
      </c>
      <c r="X650" s="57">
        <f>(28*0.1790888*100000/1000000)+(28*0.2374*100000/1000000)</f>
        <v>1.16616864</v>
      </c>
      <c r="Y650" s="57"/>
      <c r="Z650" s="14"/>
      <c r="AA650" s="56"/>
      <c r="AB650" s="50">
        <f>(B650*122.58+C650*297.941+D650*89.177+E650*40.302+F650*40+G650*160+H650*0+I650*100+J650*300)/(122.58+297.941+89.177+40.302+0+40+160+100+300)</f>
        <v>43.958624232695655</v>
      </c>
      <c r="AC650" s="45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43.100394964028773</v>
      </c>
    </row>
    <row r="651" spans="1:29" ht="15.75" x14ac:dyDescent="0.25">
      <c r="A651" s="32">
        <v>60722</v>
      </c>
      <c r="B651" s="14">
        <f>CHOOSE(CONTROL!$C$42, 42.689, 42.689) * CHOOSE(CONTROL!$C$21, $C$9, 100%, $E$9)</f>
        <v>42.689</v>
      </c>
      <c r="C651" s="14">
        <f>CHOOSE(CONTROL!$C$42, 42.694, 42.694) * CHOOSE(CONTROL!$C$21, $C$9, 100%, $E$9)</f>
        <v>42.694000000000003</v>
      </c>
      <c r="D651" s="14">
        <f>CHOOSE(CONTROL!$C$42, 42.7526, 42.7526) * CHOOSE(CONTROL!$C$21, $C$9, 100%, $E$9)</f>
        <v>42.752600000000001</v>
      </c>
      <c r="E651" s="14">
        <f>CHOOSE(CONTROL!$C$42, 42.7867, 42.7867) * CHOOSE(CONTROL!$C$21, $C$9, 100%, $E$9)</f>
        <v>42.786700000000003</v>
      </c>
      <c r="F651" s="14">
        <f>CHOOSE(CONTROL!$C$42, 42.6875, 42.6875)*CHOOSE(CONTROL!$C$21, $C$9, 100%, $E$9)</f>
        <v>42.6875</v>
      </c>
      <c r="G651" s="14">
        <f>CHOOSE(CONTROL!$C$42, 42.7038, 42.7038)*CHOOSE(CONTROL!$C$21, $C$9, 100%, $E$9)</f>
        <v>42.703800000000001</v>
      </c>
      <c r="H651" s="14">
        <f>CHOOSE(CONTROL!$C$42, 42.7759, 42.7759) * CHOOSE(CONTROL!$C$21, $C$9, 100%, $E$9)</f>
        <v>42.7759</v>
      </c>
      <c r="I651" s="14">
        <f>CHOOSE(CONTROL!$C$42, 42.8329, 42.8329)* CHOOSE(CONTROL!$C$21, $C$9, 100%, $E$9)</f>
        <v>42.832900000000002</v>
      </c>
      <c r="J651" s="14">
        <f>CHOOSE(CONTROL!$C$42, 42.6805, 42.6805)* CHOOSE(CONTROL!$C$21, $C$9, 100%, $E$9)</f>
        <v>42.680500000000002</v>
      </c>
      <c r="K651" s="53">
        <f>CHOOSE(CONTROL!$C$42, 42.829, 42.829) * CHOOSE(CONTROL!$C$21, $C$9, 100%, $E$9)</f>
        <v>42.829000000000001</v>
      </c>
      <c r="L651" s="14">
        <f>CHOOSE(CONTROL!$C$42, 43.3629, 43.3629) * CHOOSE(CONTROL!$C$21, $C$9, 100%, $E$9)</f>
        <v>43.362900000000003</v>
      </c>
      <c r="M651" s="14">
        <f>CHOOSE(CONTROL!$C$42, 41.8137, 41.8137) * CHOOSE(CONTROL!$C$21, $C$9, 100%, $E$9)</f>
        <v>41.813699999999997</v>
      </c>
      <c r="N651" s="14">
        <f>CHOOSE(CONTROL!$C$42, 41.8296, 41.8296) * CHOOSE(CONTROL!$C$21, $C$9, 100%, $E$9)</f>
        <v>41.829599999999999</v>
      </c>
      <c r="O651" s="14">
        <f>CHOOSE(CONTROL!$C$42, 41.9072, 41.9072) * CHOOSE(CONTROL!$C$21, $C$9, 100%, $E$9)</f>
        <v>41.907200000000003</v>
      </c>
      <c r="P651" s="14">
        <f>CHOOSE(CONTROL!$C$42, 41.9604, 41.9604) * CHOOSE(CONTROL!$C$21, $C$9, 100%, $E$9)</f>
        <v>41.9604</v>
      </c>
      <c r="Q651" s="14">
        <f>CHOOSE(CONTROL!$C$42, 42.5019, 42.5019) * CHOOSE(CONTROL!$C$21, $C$9, 100%, $E$9)</f>
        <v>42.501899999999999</v>
      </c>
      <c r="R651" s="14">
        <f>CHOOSE(CONTROL!$C$42, 43.1951, 43.1951) * CHOOSE(CONTROL!$C$21, $C$9, 100%, $E$9)</f>
        <v>43.195099999999996</v>
      </c>
      <c r="S651" s="14">
        <f>CHOOSE(CONTROL!$C$42, 41.0113, 41.0113) * CHOOSE(CONTROL!$C$21, $C$9, 100%, $E$9)</f>
        <v>41.011299999999999</v>
      </c>
      <c r="T6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7">
        <f>(1000*CHOOSE(CONTROL!$C$42, 695, 695)*CHOOSE(CONTROL!$C$42, 0.5599, 0.5599)*CHOOSE(CONTROL!$C$42, 31, 31))/1000000</f>
        <v>12.063045499999998</v>
      </c>
      <c r="V651" s="57">
        <f>(1000*CHOOSE(CONTROL!$C$42, 500, 500)*CHOOSE(CONTROL!$C$42, 0.275, 0.275)*CHOOSE(CONTROL!$C$42, 31, 31))/1000000</f>
        <v>4.2625000000000002</v>
      </c>
      <c r="W651" s="57">
        <f>(1000*CHOOSE(CONTROL!$C$42, 0.1146, 0.1146)*CHOOSE(CONTROL!$C$42, 121.5, 121.5)*CHOOSE(CONTROL!$C$42, 31, 31))/1000000</f>
        <v>0.43164089999999994</v>
      </c>
      <c r="X651" s="57">
        <f>(31*0.1790888*100000/1000000)+(31*0.2374*100000/1000000)</f>
        <v>1.2911152800000001</v>
      </c>
      <c r="Y651" s="57"/>
      <c r="Z651" s="14"/>
      <c r="AA651" s="56"/>
      <c r="AB651" s="50">
        <f>(B651*122.58+C651*297.941+D651*89.177+E651*40.302+F651*40+G651*160+H651*0+I651*100+J651*300)/(122.58+297.941+89.177+40.302+0+40+160+100+300)</f>
        <v>42.710953797913042</v>
      </c>
      <c r="AC651" s="45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41.878100719424459</v>
      </c>
    </row>
    <row r="652" spans="1:29" ht="15.75" x14ac:dyDescent="0.25">
      <c r="A652" s="32">
        <v>60752</v>
      </c>
      <c r="B652" s="14">
        <f>CHOOSE(CONTROL!$C$42, 42.5624, 42.5624) * CHOOSE(CONTROL!$C$21, $C$9, 100%, $E$9)</f>
        <v>42.562399999999997</v>
      </c>
      <c r="C652" s="14">
        <f>CHOOSE(CONTROL!$C$42, 42.5668, 42.5668) * CHOOSE(CONTROL!$C$21, $C$9, 100%, $E$9)</f>
        <v>42.566800000000001</v>
      </c>
      <c r="D652" s="14">
        <f>CHOOSE(CONTROL!$C$42, 42.775, 42.775) * CHOOSE(CONTROL!$C$21, $C$9, 100%, $E$9)</f>
        <v>42.774999999999999</v>
      </c>
      <c r="E652" s="14">
        <f>CHOOSE(CONTROL!$C$42, 42.8071, 42.8071) * CHOOSE(CONTROL!$C$21, $C$9, 100%, $E$9)</f>
        <v>42.807099999999998</v>
      </c>
      <c r="F652" s="14">
        <f>CHOOSE(CONTROL!$C$42, 42.5497, 42.5497)*CHOOSE(CONTROL!$C$21, $C$9, 100%, $E$9)</f>
        <v>42.549700000000001</v>
      </c>
      <c r="G652" s="14">
        <f>CHOOSE(CONTROL!$C$42, 42.5656, 42.5656)*CHOOSE(CONTROL!$C$21, $C$9, 100%, $E$9)</f>
        <v>42.565600000000003</v>
      </c>
      <c r="H652" s="14">
        <f>CHOOSE(CONTROL!$C$42, 42.7968, 42.7968) * CHOOSE(CONTROL!$C$21, $C$9, 100%, $E$9)</f>
        <v>42.796799999999998</v>
      </c>
      <c r="I652" s="14">
        <f>CHOOSE(CONTROL!$C$42, 42.7051, 42.7051)* CHOOSE(CONTROL!$C$21, $C$9, 100%, $E$9)</f>
        <v>42.705100000000002</v>
      </c>
      <c r="J652" s="14">
        <f>CHOOSE(CONTROL!$C$42, 42.5427, 42.5427)* CHOOSE(CONTROL!$C$21, $C$9, 100%, $E$9)</f>
        <v>42.542700000000004</v>
      </c>
      <c r="K652" s="53">
        <f>CHOOSE(CONTROL!$C$42, 42.7012, 42.7012) * CHOOSE(CONTROL!$C$21, $C$9, 100%, $E$9)</f>
        <v>42.7012</v>
      </c>
      <c r="L652" s="14">
        <f>CHOOSE(CONTROL!$C$42, 43.3838, 43.3838) * CHOOSE(CONTROL!$C$21, $C$9, 100%, $E$9)</f>
        <v>43.383800000000001</v>
      </c>
      <c r="M652" s="14">
        <f>CHOOSE(CONTROL!$C$42, 41.6787, 41.6787) * CHOOSE(CONTROL!$C$21, $C$9, 100%, $E$9)</f>
        <v>41.678699999999999</v>
      </c>
      <c r="N652" s="14">
        <f>CHOOSE(CONTROL!$C$42, 41.6943, 41.6943) * CHOOSE(CONTROL!$C$21, $C$9, 100%, $E$9)</f>
        <v>41.694299999999998</v>
      </c>
      <c r="O652" s="14">
        <f>CHOOSE(CONTROL!$C$42, 41.9277, 41.9277) * CHOOSE(CONTROL!$C$21, $C$9, 100%, $E$9)</f>
        <v>41.927700000000002</v>
      </c>
      <c r="P652" s="14">
        <f>CHOOSE(CONTROL!$C$42, 41.8352, 41.8352) * CHOOSE(CONTROL!$C$21, $C$9, 100%, $E$9)</f>
        <v>41.8352</v>
      </c>
      <c r="Q652" s="14">
        <f>CHOOSE(CONTROL!$C$42, 42.5224, 42.5224) * CHOOSE(CONTROL!$C$21, $C$9, 100%, $E$9)</f>
        <v>42.522399999999998</v>
      </c>
      <c r="R652" s="14">
        <f>CHOOSE(CONTROL!$C$42, 43.2157, 43.2157) * CHOOSE(CONTROL!$C$21, $C$9, 100%, $E$9)</f>
        <v>43.215699999999998</v>
      </c>
      <c r="S652" s="14">
        <f>CHOOSE(CONTROL!$C$42, 40.8889, 40.8889) * CHOOSE(CONTROL!$C$21, $C$9, 100%, $E$9)</f>
        <v>40.8889</v>
      </c>
      <c r="T6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7">
        <f>(1000*CHOOSE(CONTROL!$C$42, 695, 695)*CHOOSE(CONTROL!$C$42, 0.5599, 0.5599)*CHOOSE(CONTROL!$C$42, 30, 30))/1000000</f>
        <v>11.673914999999997</v>
      </c>
      <c r="V652" s="57">
        <f>(1000*CHOOSE(CONTROL!$C$42, 500, 500)*CHOOSE(CONTROL!$C$42, 0.275, 0.275)*CHOOSE(CONTROL!$C$42, 30, 30))/1000000</f>
        <v>4.125</v>
      </c>
      <c r="W652" s="57">
        <f>(1000*CHOOSE(CONTROL!$C$42, 0.1146, 0.1146)*CHOOSE(CONTROL!$C$42, 121.5, 121.5)*CHOOSE(CONTROL!$C$42, 30, 30))/1000000</f>
        <v>0.417717</v>
      </c>
      <c r="X652" s="57">
        <f>(30*0.1790888*245000/1000000)+(30*0.2374*100000/1000000)</f>
        <v>2.0285026799999999</v>
      </c>
      <c r="Y652" s="57"/>
      <c r="Z652" s="14"/>
      <c r="AA652" s="56"/>
      <c r="AB652" s="50">
        <f>(B652*141.293+C652*267.993+D652*115.016+E652*89.698+F652*40+G652*185+H652*0+I652*100+J652*300)/(141.293+267.993+115.016+89.698+0+40+185+100+300)</f>
        <v>42.607617652461663</v>
      </c>
      <c r="AC652" s="45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41.814971942446043</v>
      </c>
    </row>
    <row r="653" spans="1:29" ht="15.75" x14ac:dyDescent="0.25">
      <c r="A653" s="32">
        <v>60783</v>
      </c>
      <c r="B653" s="14">
        <f>CHOOSE(CONTROL!$C$42, 42.9393, 42.9393) * CHOOSE(CONTROL!$C$21, $C$9, 100%, $E$9)</f>
        <v>42.939300000000003</v>
      </c>
      <c r="C653" s="14">
        <f>CHOOSE(CONTROL!$C$42, 42.9473, 42.9473) * CHOOSE(CONTROL!$C$21, $C$9, 100%, $E$9)</f>
        <v>42.947299999999998</v>
      </c>
      <c r="D653" s="14">
        <f>CHOOSE(CONTROL!$C$42, 43.1523, 43.1523) * CHOOSE(CONTROL!$C$21, $C$9, 100%, $E$9)</f>
        <v>43.152299999999997</v>
      </c>
      <c r="E653" s="14">
        <f>CHOOSE(CONTROL!$C$42, 43.1838, 43.1838) * CHOOSE(CONTROL!$C$21, $C$9, 100%, $E$9)</f>
        <v>43.183799999999998</v>
      </c>
      <c r="F653" s="14">
        <f>CHOOSE(CONTROL!$C$42, 42.9255, 42.9255)*CHOOSE(CONTROL!$C$21, $C$9, 100%, $E$9)</f>
        <v>42.9255</v>
      </c>
      <c r="G653" s="14">
        <f>CHOOSE(CONTROL!$C$42, 42.9419, 42.9419)*CHOOSE(CONTROL!$C$21, $C$9, 100%, $E$9)</f>
        <v>42.941899999999997</v>
      </c>
      <c r="H653" s="14">
        <f>CHOOSE(CONTROL!$C$42, 43.1724, 43.1724) * CHOOSE(CONTROL!$C$21, $C$9, 100%, $E$9)</f>
        <v>43.172400000000003</v>
      </c>
      <c r="I653" s="14">
        <f>CHOOSE(CONTROL!$C$42, 43.0818, 43.0818)* CHOOSE(CONTROL!$C$21, $C$9, 100%, $E$9)</f>
        <v>43.081800000000001</v>
      </c>
      <c r="J653" s="14">
        <f>CHOOSE(CONTROL!$C$42, 42.9185, 42.9185)* CHOOSE(CONTROL!$C$21, $C$9, 100%, $E$9)</f>
        <v>42.918500000000002</v>
      </c>
      <c r="K653" s="53">
        <f>CHOOSE(CONTROL!$C$42, 43.078, 43.078) * CHOOSE(CONTROL!$C$21, $C$9, 100%, $E$9)</f>
        <v>43.078000000000003</v>
      </c>
      <c r="L653" s="14">
        <f>CHOOSE(CONTROL!$C$42, 43.7594, 43.7594) * CHOOSE(CONTROL!$C$21, $C$9, 100%, $E$9)</f>
        <v>43.759399999999999</v>
      </c>
      <c r="M653" s="14">
        <f>CHOOSE(CONTROL!$C$42, 42.0468, 42.0468) * CHOOSE(CONTROL!$C$21, $C$9, 100%, $E$9)</f>
        <v>42.046799999999998</v>
      </c>
      <c r="N653" s="14">
        <f>CHOOSE(CONTROL!$C$42, 42.0629, 42.0629) * CHOOSE(CONTROL!$C$21, $C$9, 100%, $E$9)</f>
        <v>42.062899999999999</v>
      </c>
      <c r="O653" s="14">
        <f>CHOOSE(CONTROL!$C$42, 42.2955, 42.2955) * CHOOSE(CONTROL!$C$21, $C$9, 100%, $E$9)</f>
        <v>42.295499999999997</v>
      </c>
      <c r="P653" s="14">
        <f>CHOOSE(CONTROL!$C$42, 42.2042, 42.2042) * CHOOSE(CONTROL!$C$21, $C$9, 100%, $E$9)</f>
        <v>42.2042</v>
      </c>
      <c r="Q653" s="14">
        <f>CHOOSE(CONTROL!$C$42, 42.8902, 42.8902) * CHOOSE(CONTROL!$C$21, $C$9, 100%, $E$9)</f>
        <v>42.8902</v>
      </c>
      <c r="R653" s="14">
        <f>CHOOSE(CONTROL!$C$42, 43.5845, 43.5845) * CHOOSE(CONTROL!$C$21, $C$9, 100%, $E$9)</f>
        <v>43.584499999999998</v>
      </c>
      <c r="S653" s="14">
        <f>CHOOSE(CONTROL!$C$42, 41.2498, 41.2498) * CHOOSE(CONTROL!$C$21, $C$9, 100%, $E$9)</f>
        <v>41.2498</v>
      </c>
      <c r="T6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7">
        <f>(1000*CHOOSE(CONTROL!$C$42, 695, 695)*CHOOSE(CONTROL!$C$42, 0.5599, 0.5599)*CHOOSE(CONTROL!$C$42, 31, 31))/1000000</f>
        <v>12.063045499999998</v>
      </c>
      <c r="V653" s="57">
        <f>(1000*CHOOSE(CONTROL!$C$42, 500, 500)*CHOOSE(CONTROL!$C$42, 0.275, 0.275)*CHOOSE(CONTROL!$C$42, 31, 31))/1000000</f>
        <v>4.2625000000000002</v>
      </c>
      <c r="W653" s="57">
        <f>(1000*CHOOSE(CONTROL!$C$42, 0.1146, 0.1146)*CHOOSE(CONTROL!$C$42, 121.5, 121.5)*CHOOSE(CONTROL!$C$42, 31, 31))/1000000</f>
        <v>0.43164089999999994</v>
      </c>
      <c r="X653" s="57">
        <f>(31*0.1790888*245000/1000000)+(31*0.2374*100000/1000000)</f>
        <v>2.0961194359999999</v>
      </c>
      <c r="Y653" s="57"/>
      <c r="Z653" s="14"/>
      <c r="AA653" s="56"/>
      <c r="AB653" s="50">
        <f>(B653*194.205+C653*267.466+D653*133.845+E653*53.484+F653*40+G653*185+H653*0+I653*100+J653*300)/(194.205+267.466+133.845+53.484+0+40+185+100+300)</f>
        <v>42.979853022762953</v>
      </c>
      <c r="AC653" s="45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42.183094244604305</v>
      </c>
    </row>
    <row r="654" spans="1:29" ht="15.75" x14ac:dyDescent="0.25">
      <c r="A654" s="32">
        <v>60813</v>
      </c>
      <c r="B654" s="14">
        <f>CHOOSE(CONTROL!$C$42, 44.157, 44.157) * CHOOSE(CONTROL!$C$21, $C$9, 100%, $E$9)</f>
        <v>44.156999999999996</v>
      </c>
      <c r="C654" s="14">
        <f>CHOOSE(CONTROL!$C$42, 44.165, 44.165) * CHOOSE(CONTROL!$C$21, $C$9, 100%, $E$9)</f>
        <v>44.164999999999999</v>
      </c>
      <c r="D654" s="14">
        <f>CHOOSE(CONTROL!$C$42, 44.37, 44.37) * CHOOSE(CONTROL!$C$21, $C$9, 100%, $E$9)</f>
        <v>44.37</v>
      </c>
      <c r="E654" s="14">
        <f>CHOOSE(CONTROL!$C$42, 44.4015, 44.4015) * CHOOSE(CONTROL!$C$21, $C$9, 100%, $E$9)</f>
        <v>44.401499999999999</v>
      </c>
      <c r="F654" s="14">
        <f>CHOOSE(CONTROL!$C$42, 44.1436, 44.1436)*CHOOSE(CONTROL!$C$21, $C$9, 100%, $E$9)</f>
        <v>44.143599999999999</v>
      </c>
      <c r="G654" s="14">
        <f>CHOOSE(CONTROL!$C$42, 44.1601, 44.1601)*CHOOSE(CONTROL!$C$21, $C$9, 100%, $E$9)</f>
        <v>44.1601</v>
      </c>
      <c r="H654" s="14">
        <f>CHOOSE(CONTROL!$C$42, 44.3901, 44.3901) * CHOOSE(CONTROL!$C$21, $C$9, 100%, $E$9)</f>
        <v>44.390099999999997</v>
      </c>
      <c r="I654" s="14">
        <f>CHOOSE(CONTROL!$C$42, 44.3033, 44.3033)* CHOOSE(CONTROL!$C$21, $C$9, 100%, $E$9)</f>
        <v>44.3033</v>
      </c>
      <c r="J654" s="14">
        <f>CHOOSE(CONTROL!$C$42, 44.1366, 44.1366)* CHOOSE(CONTROL!$C$21, $C$9, 100%, $E$9)</f>
        <v>44.136600000000001</v>
      </c>
      <c r="K654" s="53">
        <f>CHOOSE(CONTROL!$C$42, 44.2995, 44.2995) * CHOOSE(CONTROL!$C$21, $C$9, 100%, $E$9)</f>
        <v>44.299500000000002</v>
      </c>
      <c r="L654" s="14">
        <f>CHOOSE(CONTROL!$C$42, 44.9771, 44.9771) * CHOOSE(CONTROL!$C$21, $C$9, 100%, $E$9)</f>
        <v>44.9771</v>
      </c>
      <c r="M654" s="14">
        <f>CHOOSE(CONTROL!$C$42, 43.2399, 43.2399) * CHOOSE(CONTROL!$C$21, $C$9, 100%, $E$9)</f>
        <v>43.239899999999999</v>
      </c>
      <c r="N654" s="14">
        <f>CHOOSE(CONTROL!$C$42, 43.2561, 43.2561) * CHOOSE(CONTROL!$C$21, $C$9, 100%, $E$9)</f>
        <v>43.256100000000004</v>
      </c>
      <c r="O654" s="14">
        <f>CHOOSE(CONTROL!$C$42, 43.4883, 43.4883) * CHOOSE(CONTROL!$C$21, $C$9, 100%, $E$9)</f>
        <v>43.488300000000002</v>
      </c>
      <c r="P654" s="14">
        <f>CHOOSE(CONTROL!$C$42, 43.4006, 43.4006) * CHOOSE(CONTROL!$C$21, $C$9, 100%, $E$9)</f>
        <v>43.400599999999997</v>
      </c>
      <c r="Q654" s="14">
        <f>CHOOSE(CONTROL!$C$42, 44.083, 44.083) * CHOOSE(CONTROL!$C$21, $C$9, 100%, $E$9)</f>
        <v>44.082999999999998</v>
      </c>
      <c r="R654" s="14">
        <f>CHOOSE(CONTROL!$C$42, 44.7802, 44.7802) * CHOOSE(CONTROL!$C$21, $C$9, 100%, $E$9)</f>
        <v>44.780200000000001</v>
      </c>
      <c r="S654" s="14">
        <f>CHOOSE(CONTROL!$C$42, 42.4198, 42.4198) * CHOOSE(CONTROL!$C$21, $C$9, 100%, $E$9)</f>
        <v>42.419800000000002</v>
      </c>
      <c r="T6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7">
        <f>(1000*CHOOSE(CONTROL!$C$42, 695, 695)*CHOOSE(CONTROL!$C$42, 0.5599, 0.5599)*CHOOSE(CONTROL!$C$42, 30, 30))/1000000</f>
        <v>11.673914999999997</v>
      </c>
      <c r="V654" s="57">
        <f>(1000*CHOOSE(CONTROL!$C$42, 500, 500)*CHOOSE(CONTROL!$C$42, 0.275, 0.275)*CHOOSE(CONTROL!$C$42, 30, 30))/1000000</f>
        <v>4.125</v>
      </c>
      <c r="W654" s="57">
        <f>(1000*CHOOSE(CONTROL!$C$42, 0.1146, 0.1146)*CHOOSE(CONTROL!$C$42, 121.5, 121.5)*CHOOSE(CONTROL!$C$42, 30, 30))/1000000</f>
        <v>0.417717</v>
      </c>
      <c r="X654" s="57">
        <f>(30*0.1790888*245000/1000000)+(30*0.2374*100000/1000000)</f>
        <v>2.0285026799999999</v>
      </c>
      <c r="Y654" s="57"/>
      <c r="Z654" s="14"/>
      <c r="AA654" s="56"/>
      <c r="AB654" s="50">
        <f>(B654*194.205+C654*267.466+D654*133.845+E654*53.484+F654*40+G654*185+H654*0+I654*100+J654*300)/(194.205+267.466+133.845+53.484+0+40+185+100+300)</f>
        <v>44.198030652276287</v>
      </c>
      <c r="AC654" s="45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43.376538848920859</v>
      </c>
    </row>
    <row r="655" spans="1:29" ht="15.75" x14ac:dyDescent="0.25">
      <c r="A655" s="32">
        <v>60844</v>
      </c>
      <c r="B655" s="14">
        <f>CHOOSE(CONTROL!$C$42, 43.3101, 43.3101) * CHOOSE(CONTROL!$C$21, $C$9, 100%, $E$9)</f>
        <v>43.310099999999998</v>
      </c>
      <c r="C655" s="14">
        <f>CHOOSE(CONTROL!$C$42, 43.3181, 43.3181) * CHOOSE(CONTROL!$C$21, $C$9, 100%, $E$9)</f>
        <v>43.318100000000001</v>
      </c>
      <c r="D655" s="14">
        <f>CHOOSE(CONTROL!$C$42, 43.5231, 43.5231) * CHOOSE(CONTROL!$C$21, $C$9, 100%, $E$9)</f>
        <v>43.523099999999999</v>
      </c>
      <c r="E655" s="14">
        <f>CHOOSE(CONTROL!$C$42, 43.5546, 43.5546) * CHOOSE(CONTROL!$C$21, $C$9, 100%, $E$9)</f>
        <v>43.554600000000001</v>
      </c>
      <c r="F655" s="14">
        <f>CHOOSE(CONTROL!$C$42, 43.2971, 43.2971)*CHOOSE(CONTROL!$C$21, $C$9, 100%, $E$9)</f>
        <v>43.2971</v>
      </c>
      <c r="G655" s="14">
        <f>CHOOSE(CONTROL!$C$42, 43.3137, 43.3137)*CHOOSE(CONTROL!$C$21, $C$9, 100%, $E$9)</f>
        <v>43.313699999999997</v>
      </c>
      <c r="H655" s="14">
        <f>CHOOSE(CONTROL!$C$42, 43.5432, 43.5432) * CHOOSE(CONTROL!$C$21, $C$9, 100%, $E$9)</f>
        <v>43.543199999999999</v>
      </c>
      <c r="I655" s="14">
        <f>CHOOSE(CONTROL!$C$42, 43.4538, 43.4538)* CHOOSE(CONTROL!$C$21, $C$9, 100%, $E$9)</f>
        <v>43.453800000000001</v>
      </c>
      <c r="J655" s="14">
        <f>CHOOSE(CONTROL!$C$42, 43.2901, 43.2901)* CHOOSE(CONTROL!$C$21, $C$9, 100%, $E$9)</f>
        <v>43.290100000000002</v>
      </c>
      <c r="K655" s="53">
        <f>CHOOSE(CONTROL!$C$42, 43.4499, 43.4499) * CHOOSE(CONTROL!$C$21, $C$9, 100%, $E$9)</f>
        <v>43.4499</v>
      </c>
      <c r="L655" s="14">
        <f>CHOOSE(CONTROL!$C$42, 44.1302, 44.1302) * CHOOSE(CONTROL!$C$21, $C$9, 100%, $E$9)</f>
        <v>44.130200000000002</v>
      </c>
      <c r="M655" s="14">
        <f>CHOOSE(CONTROL!$C$42, 42.4108, 42.4108) * CHOOSE(CONTROL!$C$21, $C$9, 100%, $E$9)</f>
        <v>42.410800000000002</v>
      </c>
      <c r="N655" s="14">
        <f>CHOOSE(CONTROL!$C$42, 42.4271, 42.4271) * CHOOSE(CONTROL!$C$21, $C$9, 100%, $E$9)</f>
        <v>42.427100000000003</v>
      </c>
      <c r="O655" s="14">
        <f>CHOOSE(CONTROL!$C$42, 42.6587, 42.6587) * CHOOSE(CONTROL!$C$21, $C$9, 100%, $E$9)</f>
        <v>42.658700000000003</v>
      </c>
      <c r="P655" s="14">
        <f>CHOOSE(CONTROL!$C$42, 42.5685, 42.5685) * CHOOSE(CONTROL!$C$21, $C$9, 100%, $E$9)</f>
        <v>42.5685</v>
      </c>
      <c r="Q655" s="14">
        <f>CHOOSE(CONTROL!$C$42, 43.2534, 43.2534) * CHOOSE(CONTROL!$C$21, $C$9, 100%, $E$9)</f>
        <v>43.253399999999999</v>
      </c>
      <c r="R655" s="14">
        <f>CHOOSE(CONTROL!$C$42, 43.9485, 43.9485) * CHOOSE(CONTROL!$C$21, $C$9, 100%, $E$9)</f>
        <v>43.948500000000003</v>
      </c>
      <c r="S655" s="14">
        <f>CHOOSE(CONTROL!$C$42, 41.606, 41.606) * CHOOSE(CONTROL!$C$21, $C$9, 100%, $E$9)</f>
        <v>41.606000000000002</v>
      </c>
      <c r="T6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7">
        <f>(1000*CHOOSE(CONTROL!$C$42, 695, 695)*CHOOSE(CONTROL!$C$42, 0.5599, 0.5599)*CHOOSE(CONTROL!$C$42, 31, 31))/1000000</f>
        <v>12.063045499999998</v>
      </c>
      <c r="V655" s="57">
        <f>(1000*CHOOSE(CONTROL!$C$42, 500, 500)*CHOOSE(CONTROL!$C$42, 0.275, 0.275)*CHOOSE(CONTROL!$C$42, 31, 31))/1000000</f>
        <v>4.2625000000000002</v>
      </c>
      <c r="W655" s="57">
        <f>(1000*CHOOSE(CONTROL!$C$42, 0.1146, 0.1146)*CHOOSE(CONTROL!$C$42, 121.5, 121.5)*CHOOSE(CONTROL!$C$42, 31, 31))/1000000</f>
        <v>0.43164089999999994</v>
      </c>
      <c r="X655" s="57">
        <f>(31*0.1790888*245000/1000000)+(31*0.2374*100000/1000000)</f>
        <v>2.0961194359999999</v>
      </c>
      <c r="Y655" s="57"/>
      <c r="Z655" s="14"/>
      <c r="AA655" s="56"/>
      <c r="AB655" s="50">
        <f>(B655*194.205+C655*267.466+D655*133.845+E655*53.484+F655*40+G655*185+H655*0+I655*100+J655*300)/(194.205+267.466+133.845+53.484+0+40+185+100+300)</f>
        <v>43.351105927001569</v>
      </c>
      <c r="AC655" s="45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42.546786330935262</v>
      </c>
    </row>
    <row r="656" spans="1:29" ht="15.75" x14ac:dyDescent="0.25">
      <c r="A656" s="32">
        <v>60875</v>
      </c>
      <c r="B656" s="14">
        <f>CHOOSE(CONTROL!$C$42, 41.1714, 41.1714) * CHOOSE(CONTROL!$C$21, $C$9, 100%, $E$9)</f>
        <v>41.171399999999998</v>
      </c>
      <c r="C656" s="14">
        <f>CHOOSE(CONTROL!$C$42, 41.1794, 41.1794) * CHOOSE(CONTROL!$C$21, $C$9, 100%, $E$9)</f>
        <v>41.179400000000001</v>
      </c>
      <c r="D656" s="14">
        <f>CHOOSE(CONTROL!$C$42, 41.3844, 41.3844) * CHOOSE(CONTROL!$C$21, $C$9, 100%, $E$9)</f>
        <v>41.384399999999999</v>
      </c>
      <c r="E656" s="14">
        <f>CHOOSE(CONTROL!$C$42, 41.4158, 41.4158) * CHOOSE(CONTROL!$C$21, $C$9, 100%, $E$9)</f>
        <v>41.415799999999997</v>
      </c>
      <c r="F656" s="14">
        <f>CHOOSE(CONTROL!$C$42, 41.1586, 41.1586)*CHOOSE(CONTROL!$C$21, $C$9, 100%, $E$9)</f>
        <v>41.1586</v>
      </c>
      <c r="G656" s="14">
        <f>CHOOSE(CONTROL!$C$42, 41.1752, 41.1752)*CHOOSE(CONTROL!$C$21, $C$9, 100%, $E$9)</f>
        <v>41.175199999999997</v>
      </c>
      <c r="H656" s="14">
        <f>CHOOSE(CONTROL!$C$42, 41.4045, 41.4045) * CHOOSE(CONTROL!$C$21, $C$9, 100%, $E$9)</f>
        <v>41.404499999999999</v>
      </c>
      <c r="I656" s="14">
        <f>CHOOSE(CONTROL!$C$42, 41.3084, 41.3084)* CHOOSE(CONTROL!$C$21, $C$9, 100%, $E$9)</f>
        <v>41.308399999999999</v>
      </c>
      <c r="J656" s="14">
        <f>CHOOSE(CONTROL!$C$42, 41.1516, 41.1516)* CHOOSE(CONTROL!$C$21, $C$9, 100%, $E$9)</f>
        <v>41.151600000000002</v>
      </c>
      <c r="K656" s="53">
        <f>CHOOSE(CONTROL!$C$42, 41.3045, 41.3045) * CHOOSE(CONTROL!$C$21, $C$9, 100%, $E$9)</f>
        <v>41.304499999999997</v>
      </c>
      <c r="L656" s="14">
        <f>CHOOSE(CONTROL!$C$42, 41.9915, 41.9915) * CHOOSE(CONTROL!$C$21, $C$9, 100%, $E$9)</f>
        <v>41.991500000000002</v>
      </c>
      <c r="M656" s="14">
        <f>CHOOSE(CONTROL!$C$42, 40.3161, 40.3161) * CHOOSE(CONTROL!$C$21, $C$9, 100%, $E$9)</f>
        <v>40.316099999999999</v>
      </c>
      <c r="N656" s="14">
        <f>CHOOSE(CONTROL!$C$42, 40.3324, 40.3324) * CHOOSE(CONTROL!$C$21, $C$9, 100%, $E$9)</f>
        <v>40.3324</v>
      </c>
      <c r="O656" s="14">
        <f>CHOOSE(CONTROL!$C$42, 40.5638, 40.5638) * CHOOSE(CONTROL!$C$21, $C$9, 100%, $E$9)</f>
        <v>40.563800000000001</v>
      </c>
      <c r="P656" s="14">
        <f>CHOOSE(CONTROL!$C$42, 40.4672, 40.4672) * CHOOSE(CONTROL!$C$21, $C$9, 100%, $E$9)</f>
        <v>40.467199999999998</v>
      </c>
      <c r="Q656" s="14">
        <f>CHOOSE(CONTROL!$C$42, 41.1585, 41.1585) * CHOOSE(CONTROL!$C$21, $C$9, 100%, $E$9)</f>
        <v>41.158499999999997</v>
      </c>
      <c r="R656" s="14">
        <f>CHOOSE(CONTROL!$C$42, 41.8484, 41.8484) * CHOOSE(CONTROL!$C$21, $C$9, 100%, $E$9)</f>
        <v>41.848399999999998</v>
      </c>
      <c r="S656" s="14">
        <f>CHOOSE(CONTROL!$C$42, 39.5509, 39.5509) * CHOOSE(CONTROL!$C$21, $C$9, 100%, $E$9)</f>
        <v>39.550899999999999</v>
      </c>
      <c r="T6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7">
        <f>(1000*CHOOSE(CONTROL!$C$42, 695, 695)*CHOOSE(CONTROL!$C$42, 0.5599, 0.5599)*CHOOSE(CONTROL!$C$42, 31, 31))/1000000</f>
        <v>12.063045499999998</v>
      </c>
      <c r="V656" s="57">
        <f>(1000*CHOOSE(CONTROL!$C$42, 500, 500)*CHOOSE(CONTROL!$C$42, 0.275, 0.275)*CHOOSE(CONTROL!$C$42, 31, 31))/1000000</f>
        <v>4.2625000000000002</v>
      </c>
      <c r="W656" s="57">
        <f>(1000*CHOOSE(CONTROL!$C$42, 0.1146, 0.1146)*CHOOSE(CONTROL!$C$42, 121.5, 121.5)*CHOOSE(CONTROL!$C$42, 31, 31))/1000000</f>
        <v>0.43164089999999994</v>
      </c>
      <c r="X656" s="57">
        <f>(31*0.1790888*245000/1000000)+(31*0.2374*100000/1000000)</f>
        <v>2.0961194359999999</v>
      </c>
      <c r="Y656" s="57"/>
      <c r="Z656" s="14"/>
      <c r="AA656" s="56"/>
      <c r="AB656" s="50">
        <f>(B656*194.205+C656*267.466+D656*133.845+E656*53.484+F656*40+G656*185+H656*0+I656*100+J656*300)/(194.205+267.466+133.845+53.484+0+40+185+100+300)</f>
        <v>41.21195824379906</v>
      </c>
      <c r="AC656" s="45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40.451046043165469</v>
      </c>
    </row>
    <row r="657" spans="1:29" ht="15.75" x14ac:dyDescent="0.25">
      <c r="A657" s="32">
        <v>60905</v>
      </c>
      <c r="B657" s="14">
        <f>CHOOSE(CONTROL!$C$42, 38.5579, 38.5579) * CHOOSE(CONTROL!$C$21, $C$9, 100%, $E$9)</f>
        <v>38.557899999999997</v>
      </c>
      <c r="C657" s="14">
        <f>CHOOSE(CONTROL!$C$42, 38.5659, 38.5659) * CHOOSE(CONTROL!$C$21, $C$9, 100%, $E$9)</f>
        <v>38.565899999999999</v>
      </c>
      <c r="D657" s="14">
        <f>CHOOSE(CONTROL!$C$42, 38.7709, 38.7709) * CHOOSE(CONTROL!$C$21, $C$9, 100%, $E$9)</f>
        <v>38.770899999999997</v>
      </c>
      <c r="E657" s="14">
        <f>CHOOSE(CONTROL!$C$42, 38.8023, 38.8023) * CHOOSE(CONTROL!$C$21, $C$9, 100%, $E$9)</f>
        <v>38.802300000000002</v>
      </c>
      <c r="F657" s="14">
        <f>CHOOSE(CONTROL!$C$42, 38.545, 38.545)*CHOOSE(CONTROL!$C$21, $C$9, 100%, $E$9)</f>
        <v>38.545000000000002</v>
      </c>
      <c r="G657" s="14">
        <f>CHOOSE(CONTROL!$C$42, 38.5617, 38.5617)*CHOOSE(CONTROL!$C$21, $C$9, 100%, $E$9)</f>
        <v>38.561700000000002</v>
      </c>
      <c r="H657" s="14">
        <f>CHOOSE(CONTROL!$C$42, 38.791, 38.791) * CHOOSE(CONTROL!$C$21, $C$9, 100%, $E$9)</f>
        <v>38.790999999999997</v>
      </c>
      <c r="I657" s="14">
        <f>CHOOSE(CONTROL!$C$42, 38.6867, 38.6867)* CHOOSE(CONTROL!$C$21, $C$9, 100%, $E$9)</f>
        <v>38.686700000000002</v>
      </c>
      <c r="J657" s="14">
        <f>CHOOSE(CONTROL!$C$42, 38.538, 38.538)* CHOOSE(CONTROL!$C$21, $C$9, 100%, $E$9)</f>
        <v>38.537999999999997</v>
      </c>
      <c r="K657" s="53">
        <f>CHOOSE(CONTROL!$C$42, 38.6828, 38.6828) * CHOOSE(CONTROL!$C$21, $C$9, 100%, $E$9)</f>
        <v>38.6828</v>
      </c>
      <c r="L657" s="14">
        <f>CHOOSE(CONTROL!$C$42, 39.378, 39.378) * CHOOSE(CONTROL!$C$21, $C$9, 100%, $E$9)</f>
        <v>39.378</v>
      </c>
      <c r="M657" s="14">
        <f>CHOOSE(CONTROL!$C$42, 37.7561, 37.7561) * CHOOSE(CONTROL!$C$21, $C$9, 100%, $E$9)</f>
        <v>37.756100000000004</v>
      </c>
      <c r="N657" s="14">
        <f>CHOOSE(CONTROL!$C$42, 37.7724, 37.7724) * CHOOSE(CONTROL!$C$21, $C$9, 100%, $E$9)</f>
        <v>37.772399999999998</v>
      </c>
      <c r="O657" s="14">
        <f>CHOOSE(CONTROL!$C$42, 38.0039, 38.0039) * CHOOSE(CONTROL!$C$21, $C$9, 100%, $E$9)</f>
        <v>38.003900000000002</v>
      </c>
      <c r="P657" s="14">
        <f>CHOOSE(CONTROL!$C$42, 37.8994, 37.8994) * CHOOSE(CONTROL!$C$21, $C$9, 100%, $E$9)</f>
        <v>37.8994</v>
      </c>
      <c r="Q657" s="14">
        <f>CHOOSE(CONTROL!$C$42, 38.5986, 38.5986) * CHOOSE(CONTROL!$C$21, $C$9, 100%, $E$9)</f>
        <v>38.598599999999998</v>
      </c>
      <c r="R657" s="14">
        <f>CHOOSE(CONTROL!$C$42, 39.2821, 39.2821) * CHOOSE(CONTROL!$C$21, $C$9, 100%, $E$9)</f>
        <v>39.2821</v>
      </c>
      <c r="S657" s="14">
        <f>CHOOSE(CONTROL!$C$42, 37.0396, 37.0396) * CHOOSE(CONTROL!$C$21, $C$9, 100%, $E$9)</f>
        <v>37.0396</v>
      </c>
      <c r="T6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7">
        <f>(1000*CHOOSE(CONTROL!$C$42, 695, 695)*CHOOSE(CONTROL!$C$42, 0.5599, 0.5599)*CHOOSE(CONTROL!$C$42, 30, 30))/1000000</f>
        <v>11.673914999999997</v>
      </c>
      <c r="V657" s="57">
        <f>(1000*CHOOSE(CONTROL!$C$42, 500, 500)*CHOOSE(CONTROL!$C$42, 0.275, 0.275)*CHOOSE(CONTROL!$C$42, 30, 30))/1000000</f>
        <v>4.125</v>
      </c>
      <c r="W657" s="57">
        <f>(1000*CHOOSE(CONTROL!$C$42, 0.1146, 0.1146)*CHOOSE(CONTROL!$C$42, 121.5, 121.5)*CHOOSE(CONTROL!$C$42, 30, 30))/1000000</f>
        <v>0.417717</v>
      </c>
      <c r="X657" s="57">
        <f>(30*0.1790888*245000/1000000)+(30*0.2374*100000/1000000)</f>
        <v>2.0285026799999999</v>
      </c>
      <c r="Y657" s="57"/>
      <c r="Z657" s="14"/>
      <c r="AA657" s="56"/>
      <c r="AB657" s="50">
        <f>(B657*194.205+C657*267.466+D657*133.845+E657*53.484+F657*40+G657*185+H657*0+I657*100+J657*300)/(194.205+267.466+133.845+53.484+0+40+185+100+300)</f>
        <v>38.597787914128723</v>
      </c>
      <c r="AC657" s="45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37.8899690647482</v>
      </c>
    </row>
    <row r="658" spans="1:29" ht="15.75" x14ac:dyDescent="0.25">
      <c r="A658" s="32">
        <v>60936</v>
      </c>
      <c r="B658" s="14">
        <f>CHOOSE(CONTROL!$C$42, 37.7735, 37.7735) * CHOOSE(CONTROL!$C$21, $C$9, 100%, $E$9)</f>
        <v>37.773499999999999</v>
      </c>
      <c r="C658" s="14">
        <f>CHOOSE(CONTROL!$C$42, 37.7788, 37.7788) * CHOOSE(CONTROL!$C$21, $C$9, 100%, $E$9)</f>
        <v>37.778799999999997</v>
      </c>
      <c r="D658" s="14">
        <f>CHOOSE(CONTROL!$C$42, 37.9887, 37.9887) * CHOOSE(CONTROL!$C$21, $C$9, 100%, $E$9)</f>
        <v>37.988700000000001</v>
      </c>
      <c r="E658" s="14">
        <f>CHOOSE(CONTROL!$C$42, 38.0179, 38.0179) * CHOOSE(CONTROL!$C$21, $C$9, 100%, $E$9)</f>
        <v>38.017899999999997</v>
      </c>
      <c r="F658" s="14">
        <f>CHOOSE(CONTROL!$C$42, 37.7627, 37.7627)*CHOOSE(CONTROL!$C$21, $C$9, 100%, $E$9)</f>
        <v>37.762700000000002</v>
      </c>
      <c r="G658" s="14">
        <f>CHOOSE(CONTROL!$C$42, 37.779, 37.779)*CHOOSE(CONTROL!$C$21, $C$9, 100%, $E$9)</f>
        <v>37.779000000000003</v>
      </c>
      <c r="H658" s="14">
        <f>CHOOSE(CONTROL!$C$42, 38.0083, 38.0083) * CHOOSE(CONTROL!$C$21, $C$9, 100%, $E$9)</f>
        <v>38.008299999999998</v>
      </c>
      <c r="I658" s="14">
        <f>CHOOSE(CONTROL!$C$42, 37.9016, 37.9016)* CHOOSE(CONTROL!$C$21, $C$9, 100%, $E$9)</f>
        <v>37.901600000000002</v>
      </c>
      <c r="J658" s="14">
        <f>CHOOSE(CONTROL!$C$42, 37.7557, 37.7557)* CHOOSE(CONTROL!$C$21, $C$9, 100%, $E$9)</f>
        <v>37.755699999999997</v>
      </c>
      <c r="K658" s="53">
        <f>CHOOSE(CONTROL!$C$42, 37.8977, 37.8977) * CHOOSE(CONTROL!$C$21, $C$9, 100%, $E$9)</f>
        <v>37.8977</v>
      </c>
      <c r="L658" s="14">
        <f>CHOOSE(CONTROL!$C$42, 38.5953, 38.5953) * CHOOSE(CONTROL!$C$21, $C$9, 100%, $E$9)</f>
        <v>38.595300000000002</v>
      </c>
      <c r="M658" s="14">
        <f>CHOOSE(CONTROL!$C$42, 36.9898, 36.9898) * CHOOSE(CONTROL!$C$21, $C$9, 100%, $E$9)</f>
        <v>36.989800000000002</v>
      </c>
      <c r="N658" s="14">
        <f>CHOOSE(CONTROL!$C$42, 37.0058, 37.0058) * CHOOSE(CONTROL!$C$21, $C$9, 100%, $E$9)</f>
        <v>37.005800000000001</v>
      </c>
      <c r="O658" s="14">
        <f>CHOOSE(CONTROL!$C$42, 37.2373, 37.2373) * CHOOSE(CONTROL!$C$21, $C$9, 100%, $E$9)</f>
        <v>37.237299999999998</v>
      </c>
      <c r="P658" s="14">
        <f>CHOOSE(CONTROL!$C$42, 37.1304, 37.1304) * CHOOSE(CONTROL!$C$21, $C$9, 100%, $E$9)</f>
        <v>37.130400000000002</v>
      </c>
      <c r="Q658" s="14">
        <f>CHOOSE(CONTROL!$C$42, 37.832, 37.832) * CHOOSE(CONTROL!$C$21, $C$9, 100%, $E$9)</f>
        <v>37.832000000000001</v>
      </c>
      <c r="R658" s="14">
        <f>CHOOSE(CONTROL!$C$42, 38.5135, 38.5135) * CHOOSE(CONTROL!$C$21, $C$9, 100%, $E$9)</f>
        <v>38.513500000000001</v>
      </c>
      <c r="S658" s="14">
        <f>CHOOSE(CONTROL!$C$42, 36.2876, 36.2876) * CHOOSE(CONTROL!$C$21, $C$9, 100%, $E$9)</f>
        <v>36.287599999999998</v>
      </c>
      <c r="T6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7">
        <f>(1000*CHOOSE(CONTROL!$C$42, 695, 695)*CHOOSE(CONTROL!$C$42, 0.5599, 0.5599)*CHOOSE(CONTROL!$C$42, 31, 31))/1000000</f>
        <v>12.063045499999998</v>
      </c>
      <c r="V658" s="57">
        <f>(1000*CHOOSE(CONTROL!$C$42, 500, 500)*CHOOSE(CONTROL!$C$42, 0.275, 0.275)*CHOOSE(CONTROL!$C$42, 31, 31))/1000000</f>
        <v>4.2625000000000002</v>
      </c>
      <c r="W658" s="57">
        <f>(1000*CHOOSE(CONTROL!$C$42, 0.1146, 0.1146)*CHOOSE(CONTROL!$C$42, 121.5, 121.5)*CHOOSE(CONTROL!$C$42, 31, 31))/1000000</f>
        <v>0.43164089999999994</v>
      </c>
      <c r="X658" s="57">
        <f>(31*0.1790888*245000/1000000)+(31*0.2374*100000/1000000)</f>
        <v>2.0961194359999999</v>
      </c>
      <c r="Y658" s="57"/>
      <c r="Z658" s="14"/>
      <c r="AA658" s="56"/>
      <c r="AB658" s="50">
        <f>(B658*131.881+C658*277.167+D658*79.08+E658*125.872+F658*40+G658*185+H658*0+I658*100+J658*300)/(131.881+277.167+79.08+125.872+0+40+185+100+300)</f>
        <v>37.819751507586766</v>
      </c>
      <c r="AC658" s="45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37.123127338129493</v>
      </c>
    </row>
    <row r="659" spans="1:29" ht="15.75" x14ac:dyDescent="0.25">
      <c r="A659" s="32">
        <v>60966</v>
      </c>
      <c r="B659" s="14">
        <f>CHOOSE(CONTROL!$C$42, 38.7679, 38.7679) * CHOOSE(CONTROL!$C$21, $C$9, 100%, $E$9)</f>
        <v>38.767899999999997</v>
      </c>
      <c r="C659" s="14">
        <f>CHOOSE(CONTROL!$C$42, 38.773, 38.773) * CHOOSE(CONTROL!$C$21, $C$9, 100%, $E$9)</f>
        <v>38.773000000000003</v>
      </c>
      <c r="D659" s="14">
        <f>CHOOSE(CONTROL!$C$42, 38.8368, 38.8368) * CHOOSE(CONTROL!$C$21, $C$9, 100%, $E$9)</f>
        <v>38.836799999999997</v>
      </c>
      <c r="E659" s="14">
        <f>CHOOSE(CONTROL!$C$42, 38.8709, 38.8709) * CHOOSE(CONTROL!$C$21, $C$9, 100%, $E$9)</f>
        <v>38.870899999999999</v>
      </c>
      <c r="F659" s="14">
        <f>CHOOSE(CONTROL!$C$42, 38.7702, 38.7702)*CHOOSE(CONTROL!$C$21, $C$9, 100%, $E$9)</f>
        <v>38.770200000000003</v>
      </c>
      <c r="G659" s="14">
        <f>CHOOSE(CONTROL!$C$42, 38.7868, 38.7868)*CHOOSE(CONTROL!$C$21, $C$9, 100%, $E$9)</f>
        <v>38.786799999999999</v>
      </c>
      <c r="H659" s="14">
        <f>CHOOSE(CONTROL!$C$42, 38.8601, 38.8601) * CHOOSE(CONTROL!$C$21, $C$9, 100%, $E$9)</f>
        <v>38.860100000000003</v>
      </c>
      <c r="I659" s="14">
        <f>CHOOSE(CONTROL!$C$42, 38.9032, 38.9032)* CHOOSE(CONTROL!$C$21, $C$9, 100%, $E$9)</f>
        <v>38.903199999999998</v>
      </c>
      <c r="J659" s="14">
        <f>CHOOSE(CONTROL!$C$42, 38.7632, 38.7632)* CHOOSE(CONTROL!$C$21, $C$9, 100%, $E$9)</f>
        <v>38.763199999999998</v>
      </c>
      <c r="K659" s="53">
        <f>CHOOSE(CONTROL!$C$42, 38.8993, 38.8993) * CHOOSE(CONTROL!$C$21, $C$9, 100%, $E$9)</f>
        <v>38.899299999999997</v>
      </c>
      <c r="L659" s="14">
        <f>CHOOSE(CONTROL!$C$42, 39.4471, 39.4471) * CHOOSE(CONTROL!$C$21, $C$9, 100%, $E$9)</f>
        <v>39.447099999999999</v>
      </c>
      <c r="M659" s="14">
        <f>CHOOSE(CONTROL!$C$42, 37.9766, 37.9766) * CHOOSE(CONTROL!$C$21, $C$9, 100%, $E$9)</f>
        <v>37.976599999999998</v>
      </c>
      <c r="N659" s="14">
        <f>CHOOSE(CONTROL!$C$42, 37.993, 37.993) * CHOOSE(CONTROL!$C$21, $C$9, 100%, $E$9)</f>
        <v>37.993000000000002</v>
      </c>
      <c r="O659" s="14">
        <f>CHOOSE(CONTROL!$C$42, 38.0716, 38.0716) * CHOOSE(CONTROL!$C$21, $C$9, 100%, $E$9)</f>
        <v>38.071599999999997</v>
      </c>
      <c r="P659" s="14">
        <f>CHOOSE(CONTROL!$C$42, 38.1115, 38.1115) * CHOOSE(CONTROL!$C$21, $C$9, 100%, $E$9)</f>
        <v>38.111499999999999</v>
      </c>
      <c r="Q659" s="14">
        <f>CHOOSE(CONTROL!$C$42, 38.6663, 38.6663) * CHOOSE(CONTROL!$C$21, $C$9, 100%, $E$9)</f>
        <v>38.6663</v>
      </c>
      <c r="R659" s="14">
        <f>CHOOSE(CONTROL!$C$42, 39.3499, 39.3499) * CHOOSE(CONTROL!$C$21, $C$9, 100%, $E$9)</f>
        <v>39.349899999999998</v>
      </c>
      <c r="S659" s="14">
        <f>CHOOSE(CONTROL!$C$42, 37.2436, 37.2436) * CHOOSE(CONTROL!$C$21, $C$9, 100%, $E$9)</f>
        <v>37.243600000000001</v>
      </c>
      <c r="T6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7">
        <f>(1000*CHOOSE(CONTROL!$C$42, 695, 695)*CHOOSE(CONTROL!$C$42, 0.5599, 0.5599)*CHOOSE(CONTROL!$C$42, 30, 30))/1000000</f>
        <v>11.673914999999997</v>
      </c>
      <c r="V659" s="57">
        <f>(1000*CHOOSE(CONTROL!$C$42, 500, 500)*CHOOSE(CONTROL!$C$42, 0.275, 0.275)*CHOOSE(CONTROL!$C$42, 30, 30))/1000000</f>
        <v>4.125</v>
      </c>
      <c r="W659" s="57">
        <f>(1000*CHOOSE(CONTROL!$C$42, 0.1146, 0.1146)*CHOOSE(CONTROL!$C$42, 121.5, 121.5)*CHOOSE(CONTROL!$C$42, 30, 30))/1000000</f>
        <v>0.417717</v>
      </c>
      <c r="X659" s="57">
        <f>(30*0.1790888*100000/1000000)+(30*0.2374*100000/1000000)</f>
        <v>1.2494664</v>
      </c>
      <c r="Y659" s="57"/>
      <c r="Z659" s="14"/>
      <c r="AA659" s="56"/>
      <c r="AB659" s="50">
        <f>(B659*122.58+C659*297.941+D659*89.177+E659*40.302+F659*40+G659*160+H659*0+I659*100+J659*300)/(122.58+297.941+89.177+40.302+0+40+160+100+300)</f>
        <v>38.791422522086954</v>
      </c>
      <c r="AC659" s="45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38.040011510791366</v>
      </c>
    </row>
    <row r="660" spans="1:29" ht="15.75" x14ac:dyDescent="0.25">
      <c r="A660" s="32">
        <v>60997</v>
      </c>
      <c r="B660" s="14">
        <f>CHOOSE(CONTROL!$C$42, 41.4104, 41.4104) * CHOOSE(CONTROL!$C$21, $C$9, 100%, $E$9)</f>
        <v>41.410400000000003</v>
      </c>
      <c r="C660" s="14">
        <f>CHOOSE(CONTROL!$C$42, 41.4155, 41.4155) * CHOOSE(CONTROL!$C$21, $C$9, 100%, $E$9)</f>
        <v>41.415500000000002</v>
      </c>
      <c r="D660" s="14">
        <f>CHOOSE(CONTROL!$C$42, 41.4793, 41.4793) * CHOOSE(CONTROL!$C$21, $C$9, 100%, $E$9)</f>
        <v>41.479300000000002</v>
      </c>
      <c r="E660" s="14">
        <f>CHOOSE(CONTROL!$C$42, 41.5134, 41.5134) * CHOOSE(CONTROL!$C$21, $C$9, 100%, $E$9)</f>
        <v>41.513399999999997</v>
      </c>
      <c r="F660" s="14">
        <f>CHOOSE(CONTROL!$C$42, 41.4148, 41.4148)*CHOOSE(CONTROL!$C$21, $C$9, 100%, $E$9)</f>
        <v>41.4148</v>
      </c>
      <c r="G660" s="14">
        <f>CHOOSE(CONTROL!$C$42, 41.432, 41.432)*CHOOSE(CONTROL!$C$21, $C$9, 100%, $E$9)</f>
        <v>41.432000000000002</v>
      </c>
      <c r="H660" s="14">
        <f>CHOOSE(CONTROL!$C$42, 41.5026, 41.5026) * CHOOSE(CONTROL!$C$21, $C$9, 100%, $E$9)</f>
        <v>41.502600000000001</v>
      </c>
      <c r="I660" s="14">
        <f>CHOOSE(CONTROL!$C$42, 41.554, 41.554)* CHOOSE(CONTROL!$C$21, $C$9, 100%, $E$9)</f>
        <v>41.554000000000002</v>
      </c>
      <c r="J660" s="14">
        <f>CHOOSE(CONTROL!$C$42, 41.4078, 41.4078)* CHOOSE(CONTROL!$C$21, $C$9, 100%, $E$9)</f>
        <v>41.407800000000002</v>
      </c>
      <c r="K660" s="53">
        <f>CHOOSE(CONTROL!$C$42, 41.5501, 41.5501) * CHOOSE(CONTROL!$C$21, $C$9, 100%, $E$9)</f>
        <v>41.5501</v>
      </c>
      <c r="L660" s="14">
        <f>CHOOSE(CONTROL!$C$42, 42.0896, 42.0896) * CHOOSE(CONTROL!$C$21, $C$9, 100%, $E$9)</f>
        <v>42.089599999999997</v>
      </c>
      <c r="M660" s="14">
        <f>CHOOSE(CONTROL!$C$42, 40.567, 40.567) * CHOOSE(CONTROL!$C$21, $C$9, 100%, $E$9)</f>
        <v>40.567</v>
      </c>
      <c r="N660" s="14">
        <f>CHOOSE(CONTROL!$C$42, 40.5839, 40.5839) * CHOOSE(CONTROL!$C$21, $C$9, 100%, $E$9)</f>
        <v>40.5839</v>
      </c>
      <c r="O660" s="14">
        <f>CHOOSE(CONTROL!$C$42, 40.66, 40.66) * CHOOSE(CONTROL!$C$21, $C$9, 100%, $E$9)</f>
        <v>40.659999999999997</v>
      </c>
      <c r="P660" s="14">
        <f>CHOOSE(CONTROL!$C$42, 40.7078, 40.7078) * CHOOSE(CONTROL!$C$21, $C$9, 100%, $E$9)</f>
        <v>40.707799999999999</v>
      </c>
      <c r="Q660" s="14">
        <f>CHOOSE(CONTROL!$C$42, 41.2547, 41.2547) * CHOOSE(CONTROL!$C$21, $C$9, 100%, $E$9)</f>
        <v>41.2547</v>
      </c>
      <c r="R660" s="14">
        <f>CHOOSE(CONTROL!$C$42, 41.9448, 41.9448) * CHOOSE(CONTROL!$C$21, $C$9, 100%, $E$9)</f>
        <v>41.944800000000001</v>
      </c>
      <c r="S660" s="14">
        <f>CHOOSE(CONTROL!$C$42, 39.7828, 39.7828) * CHOOSE(CONTROL!$C$21, $C$9, 100%, $E$9)</f>
        <v>39.782800000000002</v>
      </c>
      <c r="T6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7">
        <f>(1000*CHOOSE(CONTROL!$C$42, 695, 695)*CHOOSE(CONTROL!$C$42, 0.5599, 0.5599)*CHOOSE(CONTROL!$C$42, 31, 31))/1000000</f>
        <v>12.063045499999998</v>
      </c>
      <c r="V660" s="57">
        <f>(1000*CHOOSE(CONTROL!$C$42, 500, 500)*CHOOSE(CONTROL!$C$42, 0.275, 0.275)*CHOOSE(CONTROL!$C$42, 31, 31))/1000000</f>
        <v>4.2625000000000002</v>
      </c>
      <c r="W660" s="57">
        <f>(1000*CHOOSE(CONTROL!$C$42, 0.1146, 0.1146)*CHOOSE(CONTROL!$C$42, 121.5, 121.5)*CHOOSE(CONTROL!$C$42, 31, 31))/1000000</f>
        <v>0.43164089999999994</v>
      </c>
      <c r="X660" s="57">
        <f>(31*0.1790888*100000/1000000)+(31*0.2374*100000/1000000)</f>
        <v>1.2911152800000001</v>
      </c>
      <c r="Y660" s="57"/>
      <c r="Z660" s="14"/>
      <c r="AA660" s="56"/>
      <c r="AB660" s="50">
        <f>(B660*122.58+C660*297.941+D660*89.177+E660*40.302+F660*40+G660*160+H660*0+I660*100+J660*300)/(122.58+297.941+89.177+40.302+0+40+160+100+300)</f>
        <v>41.435640782956526</v>
      </c>
      <c r="AC660" s="45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40.630382733812944</v>
      </c>
    </row>
    <row r="661" spans="1:29" ht="15.75" x14ac:dyDescent="0.25">
      <c r="A661" s="32">
        <v>61028</v>
      </c>
      <c r="B661" s="14">
        <f>CHOOSE(CONTROL!$C$42, 44.8018, 44.8018) * CHOOSE(CONTROL!$C$21, $C$9, 100%, $E$9)</f>
        <v>44.8018</v>
      </c>
      <c r="C661" s="14">
        <f>CHOOSE(CONTROL!$C$42, 44.8068, 44.8068) * CHOOSE(CONTROL!$C$21, $C$9, 100%, $E$9)</f>
        <v>44.806800000000003</v>
      </c>
      <c r="D661" s="14">
        <f>CHOOSE(CONTROL!$C$42, 44.8654, 44.8654) * CHOOSE(CONTROL!$C$21, $C$9, 100%, $E$9)</f>
        <v>44.865400000000001</v>
      </c>
      <c r="E661" s="14">
        <f>CHOOSE(CONTROL!$C$42, 44.8995, 44.8995) * CHOOSE(CONTROL!$C$21, $C$9, 100%, $E$9)</f>
        <v>44.899500000000003</v>
      </c>
      <c r="F661" s="14">
        <f>CHOOSE(CONTROL!$C$42, 44.8009, 44.8009)*CHOOSE(CONTROL!$C$21, $C$9, 100%, $E$9)</f>
        <v>44.800899999999999</v>
      </c>
      <c r="G661" s="14">
        <f>CHOOSE(CONTROL!$C$42, 44.8172, 44.8172)*CHOOSE(CONTROL!$C$21, $C$9, 100%, $E$9)</f>
        <v>44.8172</v>
      </c>
      <c r="H661" s="14">
        <f>CHOOSE(CONTROL!$C$42, 44.8887, 44.8887) * CHOOSE(CONTROL!$C$21, $C$9, 100%, $E$9)</f>
        <v>44.8887</v>
      </c>
      <c r="I661" s="14">
        <f>CHOOSE(CONTROL!$C$42, 44.9523, 44.9523)* CHOOSE(CONTROL!$C$21, $C$9, 100%, $E$9)</f>
        <v>44.952300000000001</v>
      </c>
      <c r="J661" s="14">
        <f>CHOOSE(CONTROL!$C$42, 44.7939, 44.7939)* CHOOSE(CONTROL!$C$21, $C$9, 100%, $E$9)</f>
        <v>44.793900000000001</v>
      </c>
      <c r="K661" s="53">
        <f>CHOOSE(CONTROL!$C$42, 44.9484, 44.9484) * CHOOSE(CONTROL!$C$21, $C$9, 100%, $E$9)</f>
        <v>44.948399999999999</v>
      </c>
      <c r="L661" s="14">
        <f>CHOOSE(CONTROL!$C$42, 45.4757, 45.4757) * CHOOSE(CONTROL!$C$21, $C$9, 100%, $E$9)</f>
        <v>45.475700000000003</v>
      </c>
      <c r="M661" s="14">
        <f>CHOOSE(CONTROL!$C$42, 43.8838, 43.8838) * CHOOSE(CONTROL!$C$21, $C$9, 100%, $E$9)</f>
        <v>43.883800000000001</v>
      </c>
      <c r="N661" s="14">
        <f>CHOOSE(CONTROL!$C$42, 43.8998, 43.8998) * CHOOSE(CONTROL!$C$21, $C$9, 100%, $E$9)</f>
        <v>43.899799999999999</v>
      </c>
      <c r="O661" s="14">
        <f>CHOOSE(CONTROL!$C$42, 43.9767, 43.9767) * CHOOSE(CONTROL!$C$21, $C$9, 100%, $E$9)</f>
        <v>43.976700000000001</v>
      </c>
      <c r="P661" s="14">
        <f>CHOOSE(CONTROL!$C$42, 44.0362, 44.0362) * CHOOSE(CONTROL!$C$21, $C$9, 100%, $E$9)</f>
        <v>44.036200000000001</v>
      </c>
      <c r="Q661" s="14">
        <f>CHOOSE(CONTROL!$C$42, 44.5714, 44.5714) * CHOOSE(CONTROL!$C$21, $C$9, 100%, $E$9)</f>
        <v>44.571399999999997</v>
      </c>
      <c r="R661" s="14">
        <f>CHOOSE(CONTROL!$C$42, 45.2698, 45.2698) * CHOOSE(CONTROL!$C$21, $C$9, 100%, $E$9)</f>
        <v>45.269799999999996</v>
      </c>
      <c r="S661" s="14">
        <f>CHOOSE(CONTROL!$C$42, 43.0415, 43.0415) * CHOOSE(CONTROL!$C$21, $C$9, 100%, $E$9)</f>
        <v>43.041499999999999</v>
      </c>
      <c r="T6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7">
        <f>(1000*CHOOSE(CONTROL!$C$42, 695, 695)*CHOOSE(CONTROL!$C$42, 0.5599, 0.5599)*CHOOSE(CONTROL!$C$42, 31, 31))/1000000</f>
        <v>12.063045499999998</v>
      </c>
      <c r="V661" s="57">
        <f>(1000*CHOOSE(CONTROL!$C$42, 500, 500)*CHOOSE(CONTROL!$C$42, 0.275, 0.275)*CHOOSE(CONTROL!$C$42, 31, 31))/1000000</f>
        <v>4.2625000000000002</v>
      </c>
      <c r="W661" s="57">
        <f>(1000*CHOOSE(CONTROL!$C$42, 0.1146, 0.1146)*CHOOSE(CONTROL!$C$42, 121.5, 121.5)*CHOOSE(CONTROL!$C$42, 31, 31))/1000000</f>
        <v>0.43164089999999994</v>
      </c>
      <c r="X661" s="57">
        <f>(31*0.1790888*100000/1000000)+(31*0.2374*100000/1000000)</f>
        <v>1.2911152800000001</v>
      </c>
      <c r="Y661" s="57"/>
      <c r="Z661" s="14"/>
      <c r="AA661" s="56"/>
      <c r="AB661" s="50">
        <f>(B661*122.58+C661*297.941+D661*89.177+E661*40.302+F661*40+G661*160+H661*0+I661*100+J661*300)/(122.58+297.941+89.177+40.302+0+40+160+100+300)</f>
        <v>44.824588580521734</v>
      </c>
      <c r="AC661" s="45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43.948754676258993</v>
      </c>
    </row>
    <row r="662" spans="1:29" ht="15.75" x14ac:dyDescent="0.25">
      <c r="A662" s="32">
        <v>61056</v>
      </c>
      <c r="B662" s="14">
        <f>CHOOSE(CONTROL!$C$42, 45.5991, 45.5991) * CHOOSE(CONTROL!$C$21, $C$9, 100%, $E$9)</f>
        <v>45.5991</v>
      </c>
      <c r="C662" s="14">
        <f>CHOOSE(CONTROL!$C$42, 45.6042, 45.6042) * CHOOSE(CONTROL!$C$21, $C$9, 100%, $E$9)</f>
        <v>45.604199999999999</v>
      </c>
      <c r="D662" s="14">
        <f>CHOOSE(CONTROL!$C$42, 45.6628, 45.6628) * CHOOSE(CONTROL!$C$21, $C$9, 100%, $E$9)</f>
        <v>45.662799999999997</v>
      </c>
      <c r="E662" s="14">
        <f>CHOOSE(CONTROL!$C$42, 45.6969, 45.6969) * CHOOSE(CONTROL!$C$21, $C$9, 100%, $E$9)</f>
        <v>45.696899999999999</v>
      </c>
      <c r="F662" s="14">
        <f>CHOOSE(CONTROL!$C$42, 45.5982, 45.5982)*CHOOSE(CONTROL!$C$21, $C$9, 100%, $E$9)</f>
        <v>45.598199999999999</v>
      </c>
      <c r="G662" s="14">
        <f>CHOOSE(CONTROL!$C$42, 45.6146, 45.6146)*CHOOSE(CONTROL!$C$21, $C$9, 100%, $E$9)</f>
        <v>45.614600000000003</v>
      </c>
      <c r="H662" s="14">
        <f>CHOOSE(CONTROL!$C$42, 45.6861, 45.6861) * CHOOSE(CONTROL!$C$21, $C$9, 100%, $E$9)</f>
        <v>45.686100000000003</v>
      </c>
      <c r="I662" s="14">
        <f>CHOOSE(CONTROL!$C$42, 45.7522, 45.7522)* CHOOSE(CONTROL!$C$21, $C$9, 100%, $E$9)</f>
        <v>45.752200000000002</v>
      </c>
      <c r="J662" s="14">
        <f>CHOOSE(CONTROL!$C$42, 45.5912, 45.5912)* CHOOSE(CONTROL!$C$21, $C$9, 100%, $E$9)</f>
        <v>45.591200000000001</v>
      </c>
      <c r="K662" s="53">
        <f>CHOOSE(CONTROL!$C$42, 45.7483, 45.7483) * CHOOSE(CONTROL!$C$21, $C$9, 100%, $E$9)</f>
        <v>45.7483</v>
      </c>
      <c r="L662" s="14">
        <f>CHOOSE(CONTROL!$C$42, 46.2731, 46.2731) * CHOOSE(CONTROL!$C$21, $C$9, 100%, $E$9)</f>
        <v>46.273099999999999</v>
      </c>
      <c r="M662" s="14">
        <f>CHOOSE(CONTROL!$C$42, 44.6648, 44.6648) * CHOOSE(CONTROL!$C$21, $C$9, 100%, $E$9)</f>
        <v>44.6648</v>
      </c>
      <c r="N662" s="14">
        <f>CHOOSE(CONTROL!$C$42, 44.6808, 44.6808) * CHOOSE(CONTROL!$C$21, $C$9, 100%, $E$9)</f>
        <v>44.680799999999998</v>
      </c>
      <c r="O662" s="14">
        <f>CHOOSE(CONTROL!$C$42, 44.7577, 44.7577) * CHOOSE(CONTROL!$C$21, $C$9, 100%, $E$9)</f>
        <v>44.7577</v>
      </c>
      <c r="P662" s="14">
        <f>CHOOSE(CONTROL!$C$42, 44.8196, 44.8196) * CHOOSE(CONTROL!$C$21, $C$9, 100%, $E$9)</f>
        <v>44.819600000000001</v>
      </c>
      <c r="Q662" s="14">
        <f>CHOOSE(CONTROL!$C$42, 45.3524, 45.3524) * CHOOSE(CONTROL!$C$21, $C$9, 100%, $E$9)</f>
        <v>45.352400000000003</v>
      </c>
      <c r="R662" s="14">
        <f>CHOOSE(CONTROL!$C$42, 46.0528, 46.0528) * CHOOSE(CONTROL!$C$21, $C$9, 100%, $E$9)</f>
        <v>46.052799999999998</v>
      </c>
      <c r="S662" s="14">
        <f>CHOOSE(CONTROL!$C$42, 43.8077, 43.8077) * CHOOSE(CONTROL!$C$21, $C$9, 100%, $E$9)</f>
        <v>43.807699999999997</v>
      </c>
      <c r="T6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7">
        <f>(1000*CHOOSE(CONTROL!$C$42, 695, 695)*CHOOSE(CONTROL!$C$42, 0.5599, 0.5599)*CHOOSE(CONTROL!$C$42, 28, 28))/1000000</f>
        <v>10.895653999999999</v>
      </c>
      <c r="V662" s="57">
        <f>(1000*CHOOSE(CONTROL!$C$42, 500, 500)*CHOOSE(CONTROL!$C$42, 0.275, 0.275)*CHOOSE(CONTROL!$C$42, 28, 28))/1000000</f>
        <v>3.85</v>
      </c>
      <c r="W662" s="57">
        <f>(1000*CHOOSE(CONTROL!$C$42, 0.1146, 0.1146)*CHOOSE(CONTROL!$C$42, 121.5, 121.5)*CHOOSE(CONTROL!$C$42, 28, 28))/1000000</f>
        <v>0.38986920000000003</v>
      </c>
      <c r="X662" s="57">
        <f>(28*0.1790888*100000/1000000)+(28*0.2374*100000/1000000)</f>
        <v>1.16616864</v>
      </c>
      <c r="Y662" s="57"/>
      <c r="Z662" s="14"/>
      <c r="AA662" s="56"/>
      <c r="AB662" s="50">
        <f>(B662*122.58+C662*297.941+D662*89.177+E662*40.302+F662*40+G662*160+H662*0+I662*100+J662*300)/(122.58+297.941+89.177+40.302+0+40+160+100+300)</f>
        <v>45.622165747478256</v>
      </c>
      <c r="AC662" s="45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44.730099999999993</v>
      </c>
    </row>
    <row r="663" spans="1:29" ht="15.75" x14ac:dyDescent="0.25">
      <c r="A663" s="32">
        <v>61087</v>
      </c>
      <c r="B663" s="14">
        <f>CHOOSE(CONTROL!$C$42, 44.3048, 44.3048) * CHOOSE(CONTROL!$C$21, $C$9, 100%, $E$9)</f>
        <v>44.3048</v>
      </c>
      <c r="C663" s="14">
        <f>CHOOSE(CONTROL!$C$42, 44.3099, 44.3099) * CHOOSE(CONTROL!$C$21, $C$9, 100%, $E$9)</f>
        <v>44.309899999999999</v>
      </c>
      <c r="D663" s="14">
        <f>CHOOSE(CONTROL!$C$42, 44.3685, 44.3685) * CHOOSE(CONTROL!$C$21, $C$9, 100%, $E$9)</f>
        <v>44.368499999999997</v>
      </c>
      <c r="E663" s="14">
        <f>CHOOSE(CONTROL!$C$42, 44.4026, 44.4026) * CHOOSE(CONTROL!$C$21, $C$9, 100%, $E$9)</f>
        <v>44.4026</v>
      </c>
      <c r="F663" s="14">
        <f>CHOOSE(CONTROL!$C$42, 44.3034, 44.3034)*CHOOSE(CONTROL!$C$21, $C$9, 100%, $E$9)</f>
        <v>44.303400000000003</v>
      </c>
      <c r="G663" s="14">
        <f>CHOOSE(CONTROL!$C$42, 44.3196, 44.3196)*CHOOSE(CONTROL!$C$21, $C$9, 100%, $E$9)</f>
        <v>44.319600000000001</v>
      </c>
      <c r="H663" s="14">
        <f>CHOOSE(CONTROL!$C$42, 44.3918, 44.3918) * CHOOSE(CONTROL!$C$21, $C$9, 100%, $E$9)</f>
        <v>44.391800000000003</v>
      </c>
      <c r="I663" s="14">
        <f>CHOOSE(CONTROL!$C$42, 44.4538, 44.4538)* CHOOSE(CONTROL!$C$21, $C$9, 100%, $E$9)</f>
        <v>44.453800000000001</v>
      </c>
      <c r="J663" s="14">
        <f>CHOOSE(CONTROL!$C$42, 44.2964, 44.2964)* CHOOSE(CONTROL!$C$21, $C$9, 100%, $E$9)</f>
        <v>44.296399999999998</v>
      </c>
      <c r="K663" s="53">
        <f>CHOOSE(CONTROL!$C$42, 44.4499, 44.4499) * CHOOSE(CONTROL!$C$21, $C$9, 100%, $E$9)</f>
        <v>44.4499</v>
      </c>
      <c r="L663" s="14">
        <f>CHOOSE(CONTROL!$C$42, 44.9788, 44.9788) * CHOOSE(CONTROL!$C$21, $C$9, 100%, $E$9)</f>
        <v>44.9788</v>
      </c>
      <c r="M663" s="14">
        <f>CHOOSE(CONTROL!$C$42, 43.3965, 43.3965) * CHOOSE(CONTROL!$C$21, $C$9, 100%, $E$9)</f>
        <v>43.396500000000003</v>
      </c>
      <c r="N663" s="14">
        <f>CHOOSE(CONTROL!$C$42, 43.4124, 43.4124) * CHOOSE(CONTROL!$C$21, $C$9, 100%, $E$9)</f>
        <v>43.412399999999998</v>
      </c>
      <c r="O663" s="14">
        <f>CHOOSE(CONTROL!$C$42, 43.4899, 43.4899) * CHOOSE(CONTROL!$C$21, $C$9, 100%, $E$9)</f>
        <v>43.489899999999999</v>
      </c>
      <c r="P663" s="14">
        <f>CHOOSE(CONTROL!$C$42, 43.5479, 43.5479) * CHOOSE(CONTROL!$C$21, $C$9, 100%, $E$9)</f>
        <v>43.547899999999998</v>
      </c>
      <c r="Q663" s="14">
        <f>CHOOSE(CONTROL!$C$42, 44.0846, 44.0846) * CHOOSE(CONTROL!$C$21, $C$9, 100%, $E$9)</f>
        <v>44.084600000000002</v>
      </c>
      <c r="R663" s="14">
        <f>CHOOSE(CONTROL!$C$42, 44.7818, 44.7818) * CHOOSE(CONTROL!$C$21, $C$9, 100%, $E$9)</f>
        <v>44.781799999999997</v>
      </c>
      <c r="S663" s="14">
        <f>CHOOSE(CONTROL!$C$42, 42.5639, 42.5639) * CHOOSE(CONTROL!$C$21, $C$9, 100%, $E$9)</f>
        <v>42.563899999999997</v>
      </c>
      <c r="T6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7">
        <f>(1000*CHOOSE(CONTROL!$C$42, 695, 695)*CHOOSE(CONTROL!$C$42, 0.5599, 0.5599)*CHOOSE(CONTROL!$C$42, 31, 31))/1000000</f>
        <v>12.063045499999998</v>
      </c>
      <c r="V663" s="57">
        <f>(1000*CHOOSE(CONTROL!$C$42, 500, 500)*CHOOSE(CONTROL!$C$42, 0.275, 0.275)*CHOOSE(CONTROL!$C$42, 31, 31))/1000000</f>
        <v>4.2625000000000002</v>
      </c>
      <c r="W663" s="57">
        <f>(1000*CHOOSE(CONTROL!$C$42, 0.1146, 0.1146)*CHOOSE(CONTROL!$C$42, 121.5, 121.5)*CHOOSE(CONTROL!$C$42, 31, 31))/1000000</f>
        <v>0.43164089999999994</v>
      </c>
      <c r="X663" s="57">
        <f>(31*0.1790888*100000/1000000)+(31*0.2374*100000/1000000)</f>
        <v>1.2911152800000001</v>
      </c>
      <c r="Y663" s="57"/>
      <c r="Z663" s="14"/>
      <c r="AA663" s="56"/>
      <c r="AB663" s="50">
        <f>(B663*122.58+C663*297.941+D663*89.177+E663*40.302+F663*40+G663*160+H663*0+I663*100+J663*300)/(122.58+297.941+89.177+40.302+0+40+160+100+300)</f>
        <v>44.327264008347818</v>
      </c>
      <c r="AC663" s="45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43.461531654676257</v>
      </c>
    </row>
    <row r="664" spans="1:29" ht="15.75" x14ac:dyDescent="0.25">
      <c r="A664" s="32">
        <v>61117</v>
      </c>
      <c r="B664" s="14">
        <f>CHOOSE(CONTROL!$C$42, 44.1734, 44.1734) * CHOOSE(CONTROL!$C$21, $C$9, 100%, $E$9)</f>
        <v>44.173400000000001</v>
      </c>
      <c r="C664" s="14">
        <f>CHOOSE(CONTROL!$C$42, 44.1778, 44.1778) * CHOOSE(CONTROL!$C$21, $C$9, 100%, $E$9)</f>
        <v>44.177799999999998</v>
      </c>
      <c r="D664" s="14">
        <f>CHOOSE(CONTROL!$C$42, 44.386, 44.386) * CHOOSE(CONTROL!$C$21, $C$9, 100%, $E$9)</f>
        <v>44.386000000000003</v>
      </c>
      <c r="E664" s="14">
        <f>CHOOSE(CONTROL!$C$42, 44.4181, 44.4181) * CHOOSE(CONTROL!$C$21, $C$9, 100%, $E$9)</f>
        <v>44.418100000000003</v>
      </c>
      <c r="F664" s="14">
        <f>CHOOSE(CONTROL!$C$42, 44.1607, 44.1607)*CHOOSE(CONTROL!$C$21, $C$9, 100%, $E$9)</f>
        <v>44.160699999999999</v>
      </c>
      <c r="G664" s="14">
        <f>CHOOSE(CONTROL!$C$42, 44.1766, 44.1766)*CHOOSE(CONTROL!$C$21, $C$9, 100%, $E$9)</f>
        <v>44.176600000000001</v>
      </c>
      <c r="H664" s="14">
        <f>CHOOSE(CONTROL!$C$42, 44.4078, 44.4078) * CHOOSE(CONTROL!$C$21, $C$9, 100%, $E$9)</f>
        <v>44.407800000000002</v>
      </c>
      <c r="I664" s="14">
        <f>CHOOSE(CONTROL!$C$42, 44.3211, 44.3211)* CHOOSE(CONTROL!$C$21, $C$9, 100%, $E$9)</f>
        <v>44.321100000000001</v>
      </c>
      <c r="J664" s="14">
        <f>CHOOSE(CONTROL!$C$42, 44.1537, 44.1537)* CHOOSE(CONTROL!$C$21, $C$9, 100%, $E$9)</f>
        <v>44.153700000000001</v>
      </c>
      <c r="K664" s="53">
        <f>CHOOSE(CONTROL!$C$42, 44.3173, 44.3173) * CHOOSE(CONTROL!$C$21, $C$9, 100%, $E$9)</f>
        <v>44.317300000000003</v>
      </c>
      <c r="L664" s="14">
        <f>CHOOSE(CONTROL!$C$42, 44.9948, 44.9948) * CHOOSE(CONTROL!$C$21, $C$9, 100%, $E$9)</f>
        <v>44.994799999999998</v>
      </c>
      <c r="M664" s="14">
        <f>CHOOSE(CONTROL!$C$42, 43.2567, 43.2567) * CHOOSE(CONTROL!$C$21, $C$9, 100%, $E$9)</f>
        <v>43.256700000000002</v>
      </c>
      <c r="N664" s="14">
        <f>CHOOSE(CONTROL!$C$42, 43.2723, 43.2723) * CHOOSE(CONTROL!$C$21, $C$9, 100%, $E$9)</f>
        <v>43.272300000000001</v>
      </c>
      <c r="O664" s="14">
        <f>CHOOSE(CONTROL!$C$42, 43.5056, 43.5056) * CHOOSE(CONTROL!$C$21, $C$9, 100%, $E$9)</f>
        <v>43.505600000000001</v>
      </c>
      <c r="P664" s="14">
        <f>CHOOSE(CONTROL!$C$42, 43.418, 43.418) * CHOOSE(CONTROL!$C$21, $C$9, 100%, $E$9)</f>
        <v>43.417999999999999</v>
      </c>
      <c r="Q664" s="14">
        <f>CHOOSE(CONTROL!$C$42, 44.1003, 44.1003) * CHOOSE(CONTROL!$C$21, $C$9, 100%, $E$9)</f>
        <v>44.100299999999997</v>
      </c>
      <c r="R664" s="14">
        <f>CHOOSE(CONTROL!$C$42, 44.7976, 44.7976) * CHOOSE(CONTROL!$C$21, $C$9, 100%, $E$9)</f>
        <v>44.797600000000003</v>
      </c>
      <c r="S664" s="14">
        <f>CHOOSE(CONTROL!$C$42, 42.4369, 42.4369) * CHOOSE(CONTROL!$C$21, $C$9, 100%, $E$9)</f>
        <v>42.436900000000001</v>
      </c>
      <c r="T6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7">
        <f>(1000*CHOOSE(CONTROL!$C$42, 695, 695)*CHOOSE(CONTROL!$C$42, 0.5599, 0.5599)*CHOOSE(CONTROL!$C$42, 30, 30))/1000000</f>
        <v>11.673914999999997</v>
      </c>
      <c r="V664" s="57">
        <f>(1000*CHOOSE(CONTROL!$C$42, 500, 500)*CHOOSE(CONTROL!$C$42, 0.275, 0.275)*CHOOSE(CONTROL!$C$42, 30, 30))/1000000</f>
        <v>4.125</v>
      </c>
      <c r="W664" s="57">
        <f>(1000*CHOOSE(CONTROL!$C$42, 0.1146, 0.1146)*CHOOSE(CONTROL!$C$42, 121.5, 121.5)*CHOOSE(CONTROL!$C$42, 30, 30))/1000000</f>
        <v>0.417717</v>
      </c>
      <c r="X664" s="57">
        <f>(30*0.1790888*245000/1000000)+(30*0.2374*100000/1000000)</f>
        <v>2.0285026799999999</v>
      </c>
      <c r="Y664" s="57"/>
      <c r="Z664" s="14"/>
      <c r="AA664" s="56"/>
      <c r="AB664" s="50">
        <f>(B664*141.293+C664*267.993+D664*115.016+E664*89.698+F664*40+G664*185+H664*0+I664*100+J664*300)/(141.293+267.993+115.016+89.698+0+40+185+100+300)</f>
        <v>44.219021203712671</v>
      </c>
      <c r="AC664" s="45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43.39361726618705</v>
      </c>
    </row>
    <row r="665" spans="1:29" ht="15.75" x14ac:dyDescent="0.25">
      <c r="A665" s="32">
        <v>61148</v>
      </c>
      <c r="B665" s="14">
        <f>CHOOSE(CONTROL!$C$42, 44.5645, 44.5645) * CHOOSE(CONTROL!$C$21, $C$9, 100%, $E$9)</f>
        <v>44.564500000000002</v>
      </c>
      <c r="C665" s="14">
        <f>CHOOSE(CONTROL!$C$42, 44.5726, 44.5726) * CHOOSE(CONTROL!$C$21, $C$9, 100%, $E$9)</f>
        <v>44.572600000000001</v>
      </c>
      <c r="D665" s="14">
        <f>CHOOSE(CONTROL!$C$42, 44.7775, 44.7775) * CHOOSE(CONTROL!$C$21, $C$9, 100%, $E$9)</f>
        <v>44.777500000000003</v>
      </c>
      <c r="E665" s="14">
        <f>CHOOSE(CONTROL!$C$42, 44.809, 44.809) * CHOOSE(CONTROL!$C$21, $C$9, 100%, $E$9)</f>
        <v>44.808999999999997</v>
      </c>
      <c r="F665" s="14">
        <f>CHOOSE(CONTROL!$C$42, 44.5507, 44.5507)*CHOOSE(CONTROL!$C$21, $C$9, 100%, $E$9)</f>
        <v>44.550699999999999</v>
      </c>
      <c r="G665" s="14">
        <f>CHOOSE(CONTROL!$C$42, 44.5671, 44.5671)*CHOOSE(CONTROL!$C$21, $C$9, 100%, $E$9)</f>
        <v>44.567100000000003</v>
      </c>
      <c r="H665" s="14">
        <f>CHOOSE(CONTROL!$C$42, 44.7976, 44.7976) * CHOOSE(CONTROL!$C$21, $C$9, 100%, $E$9)</f>
        <v>44.797600000000003</v>
      </c>
      <c r="I665" s="14">
        <f>CHOOSE(CONTROL!$C$42, 44.7121, 44.7121)* CHOOSE(CONTROL!$C$21, $C$9, 100%, $E$9)</f>
        <v>44.7121</v>
      </c>
      <c r="J665" s="14">
        <f>CHOOSE(CONTROL!$C$42, 44.5437, 44.5437)* CHOOSE(CONTROL!$C$21, $C$9, 100%, $E$9)</f>
        <v>44.543700000000001</v>
      </c>
      <c r="K665" s="53">
        <f>CHOOSE(CONTROL!$C$42, 44.7083, 44.7083) * CHOOSE(CONTROL!$C$21, $C$9, 100%, $E$9)</f>
        <v>44.708300000000001</v>
      </c>
      <c r="L665" s="14">
        <f>CHOOSE(CONTROL!$C$42, 45.3846, 45.3846) * CHOOSE(CONTROL!$C$21, $C$9, 100%, $E$9)</f>
        <v>45.384599999999999</v>
      </c>
      <c r="M665" s="14">
        <f>CHOOSE(CONTROL!$C$42, 43.6387, 43.6387) * CHOOSE(CONTROL!$C$21, $C$9, 100%, $E$9)</f>
        <v>43.6387</v>
      </c>
      <c r="N665" s="14">
        <f>CHOOSE(CONTROL!$C$42, 43.6548, 43.6548) * CHOOSE(CONTROL!$C$21, $C$9, 100%, $E$9)</f>
        <v>43.654800000000002</v>
      </c>
      <c r="O665" s="14">
        <f>CHOOSE(CONTROL!$C$42, 43.8874, 43.8874) * CHOOSE(CONTROL!$C$21, $C$9, 100%, $E$9)</f>
        <v>43.8874</v>
      </c>
      <c r="P665" s="14">
        <f>CHOOSE(CONTROL!$C$42, 43.801, 43.801) * CHOOSE(CONTROL!$C$21, $C$9, 100%, $E$9)</f>
        <v>43.801000000000002</v>
      </c>
      <c r="Q665" s="14">
        <f>CHOOSE(CONTROL!$C$42, 44.4821, 44.4821) * CHOOSE(CONTROL!$C$21, $C$9, 100%, $E$9)</f>
        <v>44.482100000000003</v>
      </c>
      <c r="R665" s="14">
        <f>CHOOSE(CONTROL!$C$42, 45.1804, 45.1804) * CHOOSE(CONTROL!$C$21, $C$9, 100%, $E$9)</f>
        <v>45.180399999999999</v>
      </c>
      <c r="S665" s="14">
        <f>CHOOSE(CONTROL!$C$42, 42.8114, 42.8114) * CHOOSE(CONTROL!$C$21, $C$9, 100%, $E$9)</f>
        <v>42.811399999999999</v>
      </c>
      <c r="T6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7">
        <f>(1000*CHOOSE(CONTROL!$C$42, 695, 695)*CHOOSE(CONTROL!$C$42, 0.5599, 0.5599)*CHOOSE(CONTROL!$C$42, 31, 31))/1000000</f>
        <v>12.063045499999998</v>
      </c>
      <c r="V665" s="57">
        <f>(1000*CHOOSE(CONTROL!$C$42, 500, 500)*CHOOSE(CONTROL!$C$42, 0.275, 0.275)*CHOOSE(CONTROL!$C$42, 31, 31))/1000000</f>
        <v>4.2625000000000002</v>
      </c>
      <c r="W665" s="57">
        <f>(1000*CHOOSE(CONTROL!$C$42, 0.1146, 0.1146)*CHOOSE(CONTROL!$C$42, 121.5, 121.5)*CHOOSE(CONTROL!$C$42, 31, 31))/1000000</f>
        <v>0.43164089999999994</v>
      </c>
      <c r="X665" s="57">
        <f>(31*0.1790888*245000/1000000)+(31*0.2374*100000/1000000)</f>
        <v>2.0961194359999999</v>
      </c>
      <c r="Y665" s="57"/>
      <c r="Z665" s="14"/>
      <c r="AA665" s="56"/>
      <c r="AB665" s="50">
        <f>(B665*194.205+C665*267.466+D665*133.845+E665*53.484+F665*40+G665*185+H665*0+I665*100+J665*300)/(194.205+267.466+133.845+53.484+0+40+185+100+300)</f>
        <v>44.605474330926214</v>
      </c>
      <c r="AC665" s="45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43.775699280575537</v>
      </c>
    </row>
    <row r="666" spans="1:29" ht="15.75" x14ac:dyDescent="0.25">
      <c r="A666" s="32">
        <v>61178</v>
      </c>
      <c r="B666" s="14">
        <f>CHOOSE(CONTROL!$C$42, 45.8283, 45.8283) * CHOOSE(CONTROL!$C$21, $C$9, 100%, $E$9)</f>
        <v>45.828299999999999</v>
      </c>
      <c r="C666" s="14">
        <f>CHOOSE(CONTROL!$C$42, 45.8363, 45.8363) * CHOOSE(CONTROL!$C$21, $C$9, 100%, $E$9)</f>
        <v>45.836300000000001</v>
      </c>
      <c r="D666" s="14">
        <f>CHOOSE(CONTROL!$C$42, 46.0413, 46.0413) * CHOOSE(CONTROL!$C$21, $C$9, 100%, $E$9)</f>
        <v>46.0413</v>
      </c>
      <c r="E666" s="14">
        <f>CHOOSE(CONTROL!$C$42, 46.0728, 46.0728) * CHOOSE(CONTROL!$C$21, $C$9, 100%, $E$9)</f>
        <v>46.072800000000001</v>
      </c>
      <c r="F666" s="14">
        <f>CHOOSE(CONTROL!$C$42, 45.8149, 45.8149)*CHOOSE(CONTROL!$C$21, $C$9, 100%, $E$9)</f>
        <v>45.814900000000002</v>
      </c>
      <c r="G666" s="14">
        <f>CHOOSE(CONTROL!$C$42, 45.8314, 45.8314)*CHOOSE(CONTROL!$C$21, $C$9, 100%, $E$9)</f>
        <v>45.831400000000002</v>
      </c>
      <c r="H666" s="14">
        <f>CHOOSE(CONTROL!$C$42, 46.0614, 46.0614) * CHOOSE(CONTROL!$C$21, $C$9, 100%, $E$9)</f>
        <v>46.061399999999999</v>
      </c>
      <c r="I666" s="14">
        <f>CHOOSE(CONTROL!$C$42, 45.9799, 45.9799)* CHOOSE(CONTROL!$C$21, $C$9, 100%, $E$9)</f>
        <v>45.979900000000001</v>
      </c>
      <c r="J666" s="14">
        <f>CHOOSE(CONTROL!$C$42, 45.8079, 45.8079)* CHOOSE(CONTROL!$C$21, $C$9, 100%, $E$9)</f>
        <v>45.807899999999997</v>
      </c>
      <c r="K666" s="53">
        <f>CHOOSE(CONTROL!$C$42, 45.976, 45.976) * CHOOSE(CONTROL!$C$21, $C$9, 100%, $E$9)</f>
        <v>45.975999999999999</v>
      </c>
      <c r="L666" s="14">
        <f>CHOOSE(CONTROL!$C$42, 46.6484, 46.6484) * CHOOSE(CONTROL!$C$21, $C$9, 100%, $E$9)</f>
        <v>46.648400000000002</v>
      </c>
      <c r="M666" s="14">
        <f>CHOOSE(CONTROL!$C$42, 44.877, 44.877) * CHOOSE(CONTROL!$C$21, $C$9, 100%, $E$9)</f>
        <v>44.877000000000002</v>
      </c>
      <c r="N666" s="14">
        <f>CHOOSE(CONTROL!$C$42, 44.8932, 44.8932) * CHOOSE(CONTROL!$C$21, $C$9, 100%, $E$9)</f>
        <v>44.8932</v>
      </c>
      <c r="O666" s="14">
        <f>CHOOSE(CONTROL!$C$42, 45.1253, 45.1253) * CHOOSE(CONTROL!$C$21, $C$9, 100%, $E$9)</f>
        <v>45.125300000000003</v>
      </c>
      <c r="P666" s="14">
        <f>CHOOSE(CONTROL!$C$42, 45.0427, 45.0427) * CHOOSE(CONTROL!$C$21, $C$9, 100%, $E$9)</f>
        <v>45.042700000000004</v>
      </c>
      <c r="Q666" s="14">
        <f>CHOOSE(CONTROL!$C$42, 45.72, 45.72) * CHOOSE(CONTROL!$C$21, $C$9, 100%, $E$9)</f>
        <v>45.72</v>
      </c>
      <c r="R666" s="14">
        <f>CHOOSE(CONTROL!$C$42, 46.4213, 46.4213) * CHOOSE(CONTROL!$C$21, $C$9, 100%, $E$9)</f>
        <v>46.421300000000002</v>
      </c>
      <c r="S666" s="14">
        <f>CHOOSE(CONTROL!$C$42, 44.0258, 44.0258) * CHOOSE(CONTROL!$C$21, $C$9, 100%, $E$9)</f>
        <v>44.025799999999997</v>
      </c>
      <c r="T6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7">
        <f>(1000*CHOOSE(CONTROL!$C$42, 695, 695)*CHOOSE(CONTROL!$C$42, 0.5599, 0.5599)*CHOOSE(CONTROL!$C$42, 30, 30))/1000000</f>
        <v>11.673914999999997</v>
      </c>
      <c r="V666" s="57">
        <f>(1000*CHOOSE(CONTROL!$C$42, 500, 500)*CHOOSE(CONTROL!$C$42, 0.275, 0.275)*CHOOSE(CONTROL!$C$42, 30, 30))/1000000</f>
        <v>4.125</v>
      </c>
      <c r="W666" s="57">
        <f>(1000*CHOOSE(CONTROL!$C$42, 0.1146, 0.1146)*CHOOSE(CONTROL!$C$42, 121.5, 121.5)*CHOOSE(CONTROL!$C$42, 30, 30))/1000000</f>
        <v>0.417717</v>
      </c>
      <c r="X666" s="57">
        <f>(30*0.1790888*245000/1000000)+(30*0.2374*100000/1000000)</f>
        <v>2.0285026799999999</v>
      </c>
      <c r="Y666" s="57"/>
      <c r="Z666" s="14"/>
      <c r="AA666" s="56"/>
      <c r="AB666" s="50">
        <f>(B666*194.205+C666*267.466+D666*133.845+E666*53.484+F666*40+G666*185+H666*0+I666*100+J666*300)/(194.205+267.466+133.845+53.484+0+40+185+100+300)</f>
        <v>45.869746664835169</v>
      </c>
      <c r="AC666" s="45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45.014312949640299</v>
      </c>
    </row>
    <row r="667" spans="1:29" ht="15.75" x14ac:dyDescent="0.25">
      <c r="A667" s="32">
        <v>61209</v>
      </c>
      <c r="B667" s="14">
        <f>CHOOSE(CONTROL!$C$42, 44.9493, 44.9493) * CHOOSE(CONTROL!$C$21, $C$9, 100%, $E$9)</f>
        <v>44.949300000000001</v>
      </c>
      <c r="C667" s="14">
        <f>CHOOSE(CONTROL!$C$42, 44.9574, 44.9574) * CHOOSE(CONTROL!$C$21, $C$9, 100%, $E$9)</f>
        <v>44.9574</v>
      </c>
      <c r="D667" s="14">
        <f>CHOOSE(CONTROL!$C$42, 45.1623, 45.1623) * CHOOSE(CONTROL!$C$21, $C$9, 100%, $E$9)</f>
        <v>45.162300000000002</v>
      </c>
      <c r="E667" s="14">
        <f>CHOOSE(CONTROL!$C$42, 45.1938, 45.1938) * CHOOSE(CONTROL!$C$21, $C$9, 100%, $E$9)</f>
        <v>45.193800000000003</v>
      </c>
      <c r="F667" s="14">
        <f>CHOOSE(CONTROL!$C$42, 44.9363, 44.9363)*CHOOSE(CONTROL!$C$21, $C$9, 100%, $E$9)</f>
        <v>44.936300000000003</v>
      </c>
      <c r="G667" s="14">
        <f>CHOOSE(CONTROL!$C$42, 44.9529, 44.9529)*CHOOSE(CONTROL!$C$21, $C$9, 100%, $E$9)</f>
        <v>44.9529</v>
      </c>
      <c r="H667" s="14">
        <f>CHOOSE(CONTROL!$C$42, 45.1824, 45.1824) * CHOOSE(CONTROL!$C$21, $C$9, 100%, $E$9)</f>
        <v>45.182400000000001</v>
      </c>
      <c r="I667" s="14">
        <f>CHOOSE(CONTROL!$C$42, 45.0982, 45.0982)* CHOOSE(CONTROL!$C$21, $C$9, 100%, $E$9)</f>
        <v>45.098199999999999</v>
      </c>
      <c r="J667" s="14">
        <f>CHOOSE(CONTROL!$C$42, 44.9293, 44.9293)* CHOOSE(CONTROL!$C$21, $C$9, 100%, $E$9)</f>
        <v>44.929299999999998</v>
      </c>
      <c r="K667" s="53">
        <f>CHOOSE(CONTROL!$C$42, 45.0943, 45.0943) * CHOOSE(CONTROL!$C$21, $C$9, 100%, $E$9)</f>
        <v>45.094299999999997</v>
      </c>
      <c r="L667" s="14">
        <f>CHOOSE(CONTROL!$C$42, 45.7694, 45.7694) * CHOOSE(CONTROL!$C$21, $C$9, 100%, $E$9)</f>
        <v>45.769399999999997</v>
      </c>
      <c r="M667" s="14">
        <f>CHOOSE(CONTROL!$C$42, 44.0164, 44.0164) * CHOOSE(CONTROL!$C$21, $C$9, 100%, $E$9)</f>
        <v>44.016399999999997</v>
      </c>
      <c r="N667" s="14">
        <f>CHOOSE(CONTROL!$C$42, 44.0327, 44.0327) * CHOOSE(CONTROL!$C$21, $C$9, 100%, $E$9)</f>
        <v>44.032699999999998</v>
      </c>
      <c r="O667" s="14">
        <f>CHOOSE(CONTROL!$C$42, 44.2644, 44.2644) * CHOOSE(CONTROL!$C$21, $C$9, 100%, $E$9)</f>
        <v>44.264400000000002</v>
      </c>
      <c r="P667" s="14">
        <f>CHOOSE(CONTROL!$C$42, 44.1791, 44.1791) * CHOOSE(CONTROL!$C$21, $C$9, 100%, $E$9)</f>
        <v>44.179099999999998</v>
      </c>
      <c r="Q667" s="14">
        <f>CHOOSE(CONTROL!$C$42, 44.8591, 44.8591) * CHOOSE(CONTROL!$C$21, $C$9, 100%, $E$9)</f>
        <v>44.859099999999998</v>
      </c>
      <c r="R667" s="14">
        <f>CHOOSE(CONTROL!$C$42, 45.5582, 45.5582) * CHOOSE(CONTROL!$C$21, $C$9, 100%, $E$9)</f>
        <v>45.558199999999999</v>
      </c>
      <c r="S667" s="14">
        <f>CHOOSE(CONTROL!$C$42, 43.1812, 43.1812) * CHOOSE(CONTROL!$C$21, $C$9, 100%, $E$9)</f>
        <v>43.181199999999997</v>
      </c>
      <c r="T6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7">
        <f>(1000*CHOOSE(CONTROL!$C$42, 695, 695)*CHOOSE(CONTROL!$C$42, 0.5599, 0.5599)*CHOOSE(CONTROL!$C$42, 31, 31))/1000000</f>
        <v>12.063045499999998</v>
      </c>
      <c r="V667" s="57">
        <f>(1000*CHOOSE(CONTROL!$C$42, 500, 500)*CHOOSE(CONTROL!$C$42, 0.275, 0.275)*CHOOSE(CONTROL!$C$42, 31, 31))/1000000</f>
        <v>4.2625000000000002</v>
      </c>
      <c r="W667" s="57">
        <f>(1000*CHOOSE(CONTROL!$C$42, 0.1146, 0.1146)*CHOOSE(CONTROL!$C$42, 121.5, 121.5)*CHOOSE(CONTROL!$C$42, 31, 31))/1000000</f>
        <v>0.43164089999999994</v>
      </c>
      <c r="X667" s="57">
        <f>(31*0.1790888*245000/1000000)+(31*0.2374*100000/1000000)</f>
        <v>2.0961194359999999</v>
      </c>
      <c r="Y667" s="57"/>
      <c r="Z667" s="14"/>
      <c r="AA667" s="56"/>
      <c r="AB667" s="50">
        <f>(B667*194.205+C667*267.466+D667*133.845+E667*53.484+F667*40+G667*185+H667*0+I667*100+J667*300)/(194.205+267.466+133.845+53.484+0+40+185+100+300)</f>
        <v>44.9907350844584</v>
      </c>
      <c r="AC667" s="45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44.153151079136691</v>
      </c>
    </row>
    <row r="668" spans="1:29" ht="15.75" x14ac:dyDescent="0.25">
      <c r="A668" s="32">
        <v>61240</v>
      </c>
      <c r="B668" s="14">
        <f>CHOOSE(CONTROL!$C$42, 42.7297, 42.7297) * CHOOSE(CONTROL!$C$21, $C$9, 100%, $E$9)</f>
        <v>42.729700000000001</v>
      </c>
      <c r="C668" s="14">
        <f>CHOOSE(CONTROL!$C$42, 42.7377, 42.7377) * CHOOSE(CONTROL!$C$21, $C$9, 100%, $E$9)</f>
        <v>42.737699999999997</v>
      </c>
      <c r="D668" s="14">
        <f>CHOOSE(CONTROL!$C$42, 42.9427, 42.9427) * CHOOSE(CONTROL!$C$21, $C$9, 100%, $E$9)</f>
        <v>42.942700000000002</v>
      </c>
      <c r="E668" s="14">
        <f>CHOOSE(CONTROL!$C$42, 42.9741, 42.9741) * CHOOSE(CONTROL!$C$21, $C$9, 100%, $E$9)</f>
        <v>42.9741</v>
      </c>
      <c r="F668" s="14">
        <f>CHOOSE(CONTROL!$C$42, 42.7169, 42.7169)*CHOOSE(CONTROL!$C$21, $C$9, 100%, $E$9)</f>
        <v>42.716900000000003</v>
      </c>
      <c r="G668" s="14">
        <f>CHOOSE(CONTROL!$C$42, 42.7335, 42.7335)*CHOOSE(CONTROL!$C$21, $C$9, 100%, $E$9)</f>
        <v>42.733499999999999</v>
      </c>
      <c r="H668" s="14">
        <f>CHOOSE(CONTROL!$C$42, 42.9628, 42.9628) * CHOOSE(CONTROL!$C$21, $C$9, 100%, $E$9)</f>
        <v>42.962800000000001</v>
      </c>
      <c r="I668" s="14">
        <f>CHOOSE(CONTROL!$C$42, 42.8715, 42.8715)* CHOOSE(CONTROL!$C$21, $C$9, 100%, $E$9)</f>
        <v>42.871499999999997</v>
      </c>
      <c r="J668" s="14">
        <f>CHOOSE(CONTROL!$C$42, 42.7099, 42.7099)* CHOOSE(CONTROL!$C$21, $C$9, 100%, $E$9)</f>
        <v>42.709899999999998</v>
      </c>
      <c r="K668" s="53">
        <f>CHOOSE(CONTROL!$C$42, 42.8676, 42.8676) * CHOOSE(CONTROL!$C$21, $C$9, 100%, $E$9)</f>
        <v>42.867600000000003</v>
      </c>
      <c r="L668" s="14">
        <f>CHOOSE(CONTROL!$C$42, 43.5498, 43.5498) * CHOOSE(CONTROL!$C$21, $C$9, 100%, $E$9)</f>
        <v>43.549799999999998</v>
      </c>
      <c r="M668" s="14">
        <f>CHOOSE(CONTROL!$C$42, 41.8424, 41.8424) * CHOOSE(CONTROL!$C$21, $C$9, 100%, $E$9)</f>
        <v>41.842399999999998</v>
      </c>
      <c r="N668" s="14">
        <f>CHOOSE(CONTROL!$C$42, 41.8588, 41.8588) * CHOOSE(CONTROL!$C$21, $C$9, 100%, $E$9)</f>
        <v>41.858800000000002</v>
      </c>
      <c r="O668" s="14">
        <f>CHOOSE(CONTROL!$C$42, 42.0902, 42.0902) * CHOOSE(CONTROL!$C$21, $C$9, 100%, $E$9)</f>
        <v>42.090200000000003</v>
      </c>
      <c r="P668" s="14">
        <f>CHOOSE(CONTROL!$C$42, 41.9982, 41.9982) * CHOOSE(CONTROL!$C$21, $C$9, 100%, $E$9)</f>
        <v>41.998199999999997</v>
      </c>
      <c r="Q668" s="14">
        <f>CHOOSE(CONTROL!$C$42, 42.6849, 42.6849) * CHOOSE(CONTROL!$C$21, $C$9, 100%, $E$9)</f>
        <v>42.684899999999999</v>
      </c>
      <c r="R668" s="14">
        <f>CHOOSE(CONTROL!$C$42, 43.3786, 43.3786) * CHOOSE(CONTROL!$C$21, $C$9, 100%, $E$9)</f>
        <v>43.378599999999999</v>
      </c>
      <c r="S668" s="14">
        <f>CHOOSE(CONTROL!$C$42, 41.0483, 41.0483) * CHOOSE(CONTROL!$C$21, $C$9, 100%, $E$9)</f>
        <v>41.048299999999998</v>
      </c>
      <c r="T6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7">
        <f>(1000*CHOOSE(CONTROL!$C$42, 695, 695)*CHOOSE(CONTROL!$C$42, 0.5599, 0.5599)*CHOOSE(CONTROL!$C$42, 31, 31))/1000000</f>
        <v>12.063045499999998</v>
      </c>
      <c r="V668" s="57">
        <f>(1000*CHOOSE(CONTROL!$C$42, 500, 500)*CHOOSE(CONTROL!$C$42, 0.275, 0.275)*CHOOSE(CONTROL!$C$42, 31, 31))/1000000</f>
        <v>4.2625000000000002</v>
      </c>
      <c r="W668" s="57">
        <f>(1000*CHOOSE(CONTROL!$C$42, 0.1146, 0.1146)*CHOOSE(CONTROL!$C$42, 121.5, 121.5)*CHOOSE(CONTROL!$C$42, 31, 31))/1000000</f>
        <v>0.43164089999999994</v>
      </c>
      <c r="X668" s="57">
        <f>(31*0.1790888*245000/1000000)+(31*0.2374*100000/1000000)</f>
        <v>2.0961194359999999</v>
      </c>
      <c r="Y668" s="57"/>
      <c r="Z668" s="14"/>
      <c r="AA668" s="56"/>
      <c r="AB668" s="50">
        <f>(B668*194.205+C668*267.466+D668*133.845+E668*53.484+F668*40+G668*185+H668*0+I668*100+J668*300)/(194.205+267.466+133.845+53.484+0+40+185+100+300)</f>
        <v>42.770635009890114</v>
      </c>
      <c r="AC668" s="45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41.978073381294962</v>
      </c>
    </row>
    <row r="669" spans="1:29" ht="15.75" x14ac:dyDescent="0.25">
      <c r="A669" s="32">
        <v>61270</v>
      </c>
      <c r="B669" s="14">
        <f>CHOOSE(CONTROL!$C$42, 40.0172, 40.0172) * CHOOSE(CONTROL!$C$21, $C$9, 100%, $E$9)</f>
        <v>40.017200000000003</v>
      </c>
      <c r="C669" s="14">
        <f>CHOOSE(CONTROL!$C$42, 40.0253, 40.0253) * CHOOSE(CONTROL!$C$21, $C$9, 100%, $E$9)</f>
        <v>40.025300000000001</v>
      </c>
      <c r="D669" s="14">
        <f>CHOOSE(CONTROL!$C$42, 40.2302, 40.2302) * CHOOSE(CONTROL!$C$21, $C$9, 100%, $E$9)</f>
        <v>40.230200000000004</v>
      </c>
      <c r="E669" s="14">
        <f>CHOOSE(CONTROL!$C$42, 40.2617, 40.2617) * CHOOSE(CONTROL!$C$21, $C$9, 100%, $E$9)</f>
        <v>40.261699999999998</v>
      </c>
      <c r="F669" s="14">
        <f>CHOOSE(CONTROL!$C$42, 40.0044, 40.0044)*CHOOSE(CONTROL!$C$21, $C$9, 100%, $E$9)</f>
        <v>40.004399999999997</v>
      </c>
      <c r="G669" s="14">
        <f>CHOOSE(CONTROL!$C$42, 40.0211, 40.0211)*CHOOSE(CONTROL!$C$21, $C$9, 100%, $E$9)</f>
        <v>40.021099999999997</v>
      </c>
      <c r="H669" s="14">
        <f>CHOOSE(CONTROL!$C$42, 40.2503, 40.2503) * CHOOSE(CONTROL!$C$21, $C$9, 100%, $E$9)</f>
        <v>40.250300000000003</v>
      </c>
      <c r="I669" s="14">
        <f>CHOOSE(CONTROL!$C$42, 40.1506, 40.1506)* CHOOSE(CONTROL!$C$21, $C$9, 100%, $E$9)</f>
        <v>40.150599999999997</v>
      </c>
      <c r="J669" s="14">
        <f>CHOOSE(CONTROL!$C$42, 39.9974, 39.9974)* CHOOSE(CONTROL!$C$21, $C$9, 100%, $E$9)</f>
        <v>39.997399999999999</v>
      </c>
      <c r="K669" s="53">
        <f>CHOOSE(CONTROL!$C$42, 40.1467, 40.1467) * CHOOSE(CONTROL!$C$21, $C$9, 100%, $E$9)</f>
        <v>40.146700000000003</v>
      </c>
      <c r="L669" s="14">
        <f>CHOOSE(CONTROL!$C$42, 40.8373, 40.8373) * CHOOSE(CONTROL!$C$21, $C$9, 100%, $E$9)</f>
        <v>40.837299999999999</v>
      </c>
      <c r="M669" s="14">
        <f>CHOOSE(CONTROL!$C$42, 39.1856, 39.1856) * CHOOSE(CONTROL!$C$21, $C$9, 100%, $E$9)</f>
        <v>39.185600000000001</v>
      </c>
      <c r="N669" s="14">
        <f>CHOOSE(CONTROL!$C$42, 39.2019, 39.2019) * CHOOSE(CONTROL!$C$21, $C$9, 100%, $E$9)</f>
        <v>39.201900000000002</v>
      </c>
      <c r="O669" s="14">
        <f>CHOOSE(CONTROL!$C$42, 39.4333, 39.4333) * CHOOSE(CONTROL!$C$21, $C$9, 100%, $E$9)</f>
        <v>39.433300000000003</v>
      </c>
      <c r="P669" s="14">
        <f>CHOOSE(CONTROL!$C$42, 39.3332, 39.3332) * CHOOSE(CONTROL!$C$21, $C$9, 100%, $E$9)</f>
        <v>39.333199999999998</v>
      </c>
      <c r="Q669" s="14">
        <f>CHOOSE(CONTROL!$C$42, 40.028, 40.028) * CHOOSE(CONTROL!$C$21, $C$9, 100%, $E$9)</f>
        <v>40.027999999999999</v>
      </c>
      <c r="R669" s="14">
        <f>CHOOSE(CONTROL!$C$42, 40.7151, 40.7151) * CHOOSE(CONTROL!$C$21, $C$9, 100%, $E$9)</f>
        <v>40.7151</v>
      </c>
      <c r="S669" s="14">
        <f>CHOOSE(CONTROL!$C$42, 38.4419, 38.4419) * CHOOSE(CONTROL!$C$21, $C$9, 100%, $E$9)</f>
        <v>38.441899999999997</v>
      </c>
      <c r="T6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7">
        <f>(1000*CHOOSE(CONTROL!$C$42, 695, 695)*CHOOSE(CONTROL!$C$42, 0.5599, 0.5599)*CHOOSE(CONTROL!$C$42, 30, 30))/1000000</f>
        <v>11.673914999999997</v>
      </c>
      <c r="V669" s="57">
        <f>(1000*CHOOSE(CONTROL!$C$42, 500, 500)*CHOOSE(CONTROL!$C$42, 0.275, 0.275)*CHOOSE(CONTROL!$C$42, 30, 30))/1000000</f>
        <v>4.125</v>
      </c>
      <c r="W669" s="57">
        <f>(1000*CHOOSE(CONTROL!$C$42, 0.1146, 0.1146)*CHOOSE(CONTROL!$C$42, 121.5, 121.5)*CHOOSE(CONTROL!$C$42, 30, 30))/1000000</f>
        <v>0.417717</v>
      </c>
      <c r="X669" s="57">
        <f>(30*0.1790888*245000/1000000)+(30*0.2374*100000/1000000)</f>
        <v>2.0285026799999999</v>
      </c>
      <c r="Y669" s="57"/>
      <c r="Z669" s="14"/>
      <c r="AA669" s="56"/>
      <c r="AB669" s="50">
        <f>(B669*194.205+C669*267.466+D669*133.845+E669*53.484+F669*40+G669*185+H669*0+I669*100+J669*300)/(194.205+267.466+133.845+53.484+0+40+185+100+300)</f>
        <v>40.057515382731552</v>
      </c>
      <c r="AC669" s="45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39.320042446043161</v>
      </c>
    </row>
    <row r="670" spans="1:29" ht="15.75" x14ac:dyDescent="0.25">
      <c r="A670" s="32">
        <v>61301</v>
      </c>
      <c r="B670" s="14">
        <f>CHOOSE(CONTROL!$C$42, 39.2032, 39.2032) * CHOOSE(CONTROL!$C$21, $C$9, 100%, $E$9)</f>
        <v>39.203200000000002</v>
      </c>
      <c r="C670" s="14">
        <f>CHOOSE(CONTROL!$C$42, 39.2085, 39.2085) * CHOOSE(CONTROL!$C$21, $C$9, 100%, $E$9)</f>
        <v>39.208500000000001</v>
      </c>
      <c r="D670" s="14">
        <f>CHOOSE(CONTROL!$C$42, 39.4185, 39.4185) * CHOOSE(CONTROL!$C$21, $C$9, 100%, $E$9)</f>
        <v>39.418500000000002</v>
      </c>
      <c r="E670" s="14">
        <f>CHOOSE(CONTROL!$C$42, 39.4476, 39.4476) * CHOOSE(CONTROL!$C$21, $C$9, 100%, $E$9)</f>
        <v>39.447600000000001</v>
      </c>
      <c r="F670" s="14">
        <f>CHOOSE(CONTROL!$C$42, 39.1924, 39.1924)*CHOOSE(CONTROL!$C$21, $C$9, 100%, $E$9)</f>
        <v>39.192399999999999</v>
      </c>
      <c r="G670" s="14">
        <f>CHOOSE(CONTROL!$C$42, 39.2088, 39.2088)*CHOOSE(CONTROL!$C$21, $C$9, 100%, $E$9)</f>
        <v>39.208799999999997</v>
      </c>
      <c r="H670" s="14">
        <f>CHOOSE(CONTROL!$C$42, 39.4381, 39.4381) * CHOOSE(CONTROL!$C$21, $C$9, 100%, $E$9)</f>
        <v>39.438099999999999</v>
      </c>
      <c r="I670" s="14">
        <f>CHOOSE(CONTROL!$C$42, 39.3358, 39.3358)* CHOOSE(CONTROL!$C$21, $C$9, 100%, $E$9)</f>
        <v>39.335799999999999</v>
      </c>
      <c r="J670" s="14">
        <f>CHOOSE(CONTROL!$C$42, 39.1854, 39.1854)* CHOOSE(CONTROL!$C$21, $C$9, 100%, $E$9)</f>
        <v>39.185400000000001</v>
      </c>
      <c r="K670" s="53">
        <f>CHOOSE(CONTROL!$C$42, 39.3319, 39.3319) * CHOOSE(CONTROL!$C$21, $C$9, 100%, $E$9)</f>
        <v>39.331899999999997</v>
      </c>
      <c r="L670" s="14">
        <f>CHOOSE(CONTROL!$C$42, 40.0251, 40.0251) * CHOOSE(CONTROL!$C$21, $C$9, 100%, $E$9)</f>
        <v>40.025100000000002</v>
      </c>
      <c r="M670" s="14">
        <f>CHOOSE(CONTROL!$C$42, 38.3902, 38.3902) * CHOOSE(CONTROL!$C$21, $C$9, 100%, $E$9)</f>
        <v>38.3902</v>
      </c>
      <c r="N670" s="14">
        <f>CHOOSE(CONTROL!$C$42, 38.4062, 38.4062) * CHOOSE(CONTROL!$C$21, $C$9, 100%, $E$9)</f>
        <v>38.406199999999998</v>
      </c>
      <c r="O670" s="14">
        <f>CHOOSE(CONTROL!$C$42, 38.6377, 38.6377) * CHOOSE(CONTROL!$C$21, $C$9, 100%, $E$9)</f>
        <v>38.637700000000002</v>
      </c>
      <c r="P670" s="14">
        <f>CHOOSE(CONTROL!$C$42, 38.5351, 38.5351) * CHOOSE(CONTROL!$C$21, $C$9, 100%, $E$9)</f>
        <v>38.5351</v>
      </c>
      <c r="Q670" s="14">
        <f>CHOOSE(CONTROL!$C$42, 39.2324, 39.2324) * CHOOSE(CONTROL!$C$21, $C$9, 100%, $E$9)</f>
        <v>39.232399999999998</v>
      </c>
      <c r="R670" s="14">
        <f>CHOOSE(CONTROL!$C$42, 39.9175, 39.9175) * CHOOSE(CONTROL!$C$21, $C$9, 100%, $E$9)</f>
        <v>39.917499999999997</v>
      </c>
      <c r="S670" s="14">
        <f>CHOOSE(CONTROL!$C$42, 37.6614, 37.6614) * CHOOSE(CONTROL!$C$21, $C$9, 100%, $E$9)</f>
        <v>37.6614</v>
      </c>
      <c r="T6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7">
        <f>(1000*CHOOSE(CONTROL!$C$42, 695, 695)*CHOOSE(CONTROL!$C$42, 0.5599, 0.5599)*CHOOSE(CONTROL!$C$42, 31, 31))/1000000</f>
        <v>12.063045499999998</v>
      </c>
      <c r="V670" s="57">
        <f>(1000*CHOOSE(CONTROL!$C$42, 500, 500)*CHOOSE(CONTROL!$C$42, 0.275, 0.275)*CHOOSE(CONTROL!$C$42, 31, 31))/1000000</f>
        <v>4.2625000000000002</v>
      </c>
      <c r="W670" s="57">
        <f>(1000*CHOOSE(CONTROL!$C$42, 0.1146, 0.1146)*CHOOSE(CONTROL!$C$42, 121.5, 121.5)*CHOOSE(CONTROL!$C$42, 31, 31))/1000000</f>
        <v>0.43164089999999994</v>
      </c>
      <c r="X670" s="57">
        <f>(31*0.1790888*245000/1000000)+(31*0.2374*100000/1000000)</f>
        <v>2.0961194359999999</v>
      </c>
      <c r="Y670" s="57"/>
      <c r="Z670" s="14"/>
      <c r="AA670" s="56"/>
      <c r="AB670" s="50">
        <f>(B670*131.881+C670*277.167+D670*79.08+E670*125.872+F670*40+G670*185+H670*0+I670*100+J670*300)/(131.881+277.167+79.08+125.872+0+40+185+100+300)</f>
        <v>39.249836017675548</v>
      </c>
      <c r="AC670" s="45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38.524146043165466</v>
      </c>
    </row>
    <row r="671" spans="1:29" ht="15.75" x14ac:dyDescent="0.25">
      <c r="A671" s="32">
        <v>61331</v>
      </c>
      <c r="B671" s="14">
        <f>CHOOSE(CONTROL!$C$42, 40.2353, 40.2353) * CHOOSE(CONTROL!$C$21, $C$9, 100%, $E$9)</f>
        <v>40.235300000000002</v>
      </c>
      <c r="C671" s="14">
        <f>CHOOSE(CONTROL!$C$42, 40.2404, 40.2404) * CHOOSE(CONTROL!$C$21, $C$9, 100%, $E$9)</f>
        <v>40.240400000000001</v>
      </c>
      <c r="D671" s="14">
        <f>CHOOSE(CONTROL!$C$42, 40.3042, 40.3042) * CHOOSE(CONTROL!$C$21, $C$9, 100%, $E$9)</f>
        <v>40.304200000000002</v>
      </c>
      <c r="E671" s="14">
        <f>CHOOSE(CONTROL!$C$42, 40.3383, 40.3383) * CHOOSE(CONTROL!$C$21, $C$9, 100%, $E$9)</f>
        <v>40.338299999999997</v>
      </c>
      <c r="F671" s="14">
        <f>CHOOSE(CONTROL!$C$42, 40.2376, 40.2376)*CHOOSE(CONTROL!$C$21, $C$9, 100%, $E$9)</f>
        <v>40.2376</v>
      </c>
      <c r="G671" s="14">
        <f>CHOOSE(CONTROL!$C$42, 40.2542, 40.2542)*CHOOSE(CONTROL!$C$21, $C$9, 100%, $E$9)</f>
        <v>40.254199999999997</v>
      </c>
      <c r="H671" s="14">
        <f>CHOOSE(CONTROL!$C$42, 40.3275, 40.3275) * CHOOSE(CONTROL!$C$21, $C$9, 100%, $E$9)</f>
        <v>40.327500000000001</v>
      </c>
      <c r="I671" s="14">
        <f>CHOOSE(CONTROL!$C$42, 40.3752, 40.3752)* CHOOSE(CONTROL!$C$21, $C$9, 100%, $E$9)</f>
        <v>40.3752</v>
      </c>
      <c r="J671" s="14">
        <f>CHOOSE(CONTROL!$C$42, 40.2306, 40.2306)* CHOOSE(CONTROL!$C$21, $C$9, 100%, $E$9)</f>
        <v>40.230600000000003</v>
      </c>
      <c r="K671" s="53">
        <f>CHOOSE(CONTROL!$C$42, 40.3713, 40.3713) * CHOOSE(CONTROL!$C$21, $C$9, 100%, $E$9)</f>
        <v>40.371299999999998</v>
      </c>
      <c r="L671" s="14">
        <f>CHOOSE(CONTROL!$C$42, 40.9145, 40.9145) * CHOOSE(CONTROL!$C$21, $C$9, 100%, $E$9)</f>
        <v>40.914499999999997</v>
      </c>
      <c r="M671" s="14">
        <f>CHOOSE(CONTROL!$C$42, 39.414, 39.414) * CHOOSE(CONTROL!$C$21, $C$9, 100%, $E$9)</f>
        <v>39.414000000000001</v>
      </c>
      <c r="N671" s="14">
        <f>CHOOSE(CONTROL!$C$42, 39.4303, 39.4303) * CHOOSE(CONTROL!$C$21, $C$9, 100%, $E$9)</f>
        <v>39.430300000000003</v>
      </c>
      <c r="O671" s="14">
        <f>CHOOSE(CONTROL!$C$42, 39.5089, 39.5089) * CHOOSE(CONTROL!$C$21, $C$9, 100%, $E$9)</f>
        <v>39.508899999999997</v>
      </c>
      <c r="P671" s="14">
        <f>CHOOSE(CONTROL!$C$42, 39.5532, 39.5532) * CHOOSE(CONTROL!$C$21, $C$9, 100%, $E$9)</f>
        <v>39.553199999999997</v>
      </c>
      <c r="Q671" s="14">
        <f>CHOOSE(CONTROL!$C$42, 40.1036, 40.1036) * CHOOSE(CONTROL!$C$21, $C$9, 100%, $E$9)</f>
        <v>40.1036</v>
      </c>
      <c r="R671" s="14">
        <f>CHOOSE(CONTROL!$C$42, 40.7909, 40.7909) * CHOOSE(CONTROL!$C$21, $C$9, 100%, $E$9)</f>
        <v>40.790900000000001</v>
      </c>
      <c r="S671" s="14">
        <f>CHOOSE(CONTROL!$C$42, 38.6536, 38.6536) * CHOOSE(CONTROL!$C$21, $C$9, 100%, $E$9)</f>
        <v>38.653599999999997</v>
      </c>
      <c r="T6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7">
        <f>(1000*CHOOSE(CONTROL!$C$42, 695, 695)*CHOOSE(CONTROL!$C$42, 0.5599, 0.5599)*CHOOSE(CONTROL!$C$42, 30, 30))/1000000</f>
        <v>11.673914999999997</v>
      </c>
      <c r="V671" s="57">
        <f>(1000*CHOOSE(CONTROL!$C$42, 500, 500)*CHOOSE(CONTROL!$C$42, 0.275, 0.275)*CHOOSE(CONTROL!$C$42, 30, 30))/1000000</f>
        <v>4.125</v>
      </c>
      <c r="W671" s="57">
        <f>(1000*CHOOSE(CONTROL!$C$42, 0.1146, 0.1146)*CHOOSE(CONTROL!$C$42, 121.5, 121.5)*CHOOSE(CONTROL!$C$42, 30, 30))/1000000</f>
        <v>0.417717</v>
      </c>
      <c r="X671" s="57">
        <f>(30*0.1790888*100000/1000000)+(30*0.2374*100000/1000000)</f>
        <v>1.2494664</v>
      </c>
      <c r="Y671" s="57"/>
      <c r="Z671" s="14"/>
      <c r="AA671" s="56"/>
      <c r="AB671" s="50">
        <f>(B671*122.58+C671*297.941+D671*89.177+E671*40.302+F671*40+G671*160+H671*0+I671*100+J671*300)/(122.58+297.941+89.177+40.302+0+40+160+100+300)</f>
        <v>40.259222522086958</v>
      </c>
      <c r="AC671" s="45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39.477979136690642</v>
      </c>
    </row>
    <row r="672" spans="1:29" ht="15.75" x14ac:dyDescent="0.25">
      <c r="A672" s="32">
        <v>61362</v>
      </c>
      <c r="B672" s="14">
        <f>CHOOSE(CONTROL!$C$42, 42.9779, 42.9779) * CHOOSE(CONTROL!$C$21, $C$9, 100%, $E$9)</f>
        <v>42.977899999999998</v>
      </c>
      <c r="C672" s="14">
        <f>CHOOSE(CONTROL!$C$42, 42.9829, 42.9829) * CHOOSE(CONTROL!$C$21, $C$9, 100%, $E$9)</f>
        <v>42.982900000000001</v>
      </c>
      <c r="D672" s="14">
        <f>CHOOSE(CONTROL!$C$42, 43.0468, 43.0468) * CHOOSE(CONTROL!$C$21, $C$9, 100%, $E$9)</f>
        <v>43.046799999999998</v>
      </c>
      <c r="E672" s="14">
        <f>CHOOSE(CONTROL!$C$42, 43.0809, 43.0809) * CHOOSE(CONTROL!$C$21, $C$9, 100%, $E$9)</f>
        <v>43.0809</v>
      </c>
      <c r="F672" s="14">
        <f>CHOOSE(CONTROL!$C$42, 42.9822, 42.9822)*CHOOSE(CONTROL!$C$21, $C$9, 100%, $E$9)</f>
        <v>42.982199999999999</v>
      </c>
      <c r="G672" s="14">
        <f>CHOOSE(CONTROL!$C$42, 42.9994, 42.9994)*CHOOSE(CONTROL!$C$21, $C$9, 100%, $E$9)</f>
        <v>42.999400000000001</v>
      </c>
      <c r="H672" s="14">
        <f>CHOOSE(CONTROL!$C$42, 43.0701, 43.0701) * CHOOSE(CONTROL!$C$21, $C$9, 100%, $E$9)</f>
        <v>43.070099999999996</v>
      </c>
      <c r="I672" s="14">
        <f>CHOOSE(CONTROL!$C$42, 43.1264, 43.1264)* CHOOSE(CONTROL!$C$21, $C$9, 100%, $E$9)</f>
        <v>43.126399999999997</v>
      </c>
      <c r="J672" s="14">
        <f>CHOOSE(CONTROL!$C$42, 42.9752, 42.9752)* CHOOSE(CONTROL!$C$21, $C$9, 100%, $E$9)</f>
        <v>42.975200000000001</v>
      </c>
      <c r="K672" s="53">
        <f>CHOOSE(CONTROL!$C$42, 43.1225, 43.1225) * CHOOSE(CONTROL!$C$21, $C$9, 100%, $E$9)</f>
        <v>43.122500000000002</v>
      </c>
      <c r="L672" s="14">
        <f>CHOOSE(CONTROL!$C$42, 43.6571, 43.6571) * CHOOSE(CONTROL!$C$21, $C$9, 100%, $E$9)</f>
        <v>43.6571</v>
      </c>
      <c r="M672" s="14">
        <f>CHOOSE(CONTROL!$C$42, 42.1023, 42.1023) * CHOOSE(CONTROL!$C$21, $C$9, 100%, $E$9)</f>
        <v>42.1023</v>
      </c>
      <c r="N672" s="14">
        <f>CHOOSE(CONTROL!$C$42, 42.1192, 42.1192) * CHOOSE(CONTROL!$C$21, $C$9, 100%, $E$9)</f>
        <v>42.119199999999999</v>
      </c>
      <c r="O672" s="14">
        <f>CHOOSE(CONTROL!$C$42, 42.1953, 42.1953) * CHOOSE(CONTROL!$C$21, $C$9, 100%, $E$9)</f>
        <v>42.195300000000003</v>
      </c>
      <c r="P672" s="14">
        <f>CHOOSE(CONTROL!$C$42, 42.2478, 42.2478) * CHOOSE(CONTROL!$C$21, $C$9, 100%, $E$9)</f>
        <v>42.247799999999998</v>
      </c>
      <c r="Q672" s="14">
        <f>CHOOSE(CONTROL!$C$42, 42.79, 42.79) * CHOOSE(CONTROL!$C$21, $C$9, 100%, $E$9)</f>
        <v>42.79</v>
      </c>
      <c r="R672" s="14">
        <f>CHOOSE(CONTROL!$C$42, 43.484, 43.484) * CHOOSE(CONTROL!$C$21, $C$9, 100%, $E$9)</f>
        <v>43.484000000000002</v>
      </c>
      <c r="S672" s="14">
        <f>CHOOSE(CONTROL!$C$42, 41.2889, 41.2889) * CHOOSE(CONTROL!$C$21, $C$9, 100%, $E$9)</f>
        <v>41.288899999999998</v>
      </c>
      <c r="T6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7">
        <f>(1000*CHOOSE(CONTROL!$C$42, 695, 695)*CHOOSE(CONTROL!$C$42, 0.5599, 0.5599)*CHOOSE(CONTROL!$C$42, 31, 31))/1000000</f>
        <v>12.063045499999998</v>
      </c>
      <c r="V672" s="57">
        <f>(1000*CHOOSE(CONTROL!$C$42, 500, 500)*CHOOSE(CONTROL!$C$42, 0.275, 0.275)*CHOOSE(CONTROL!$C$42, 31, 31))/1000000</f>
        <v>4.2625000000000002</v>
      </c>
      <c r="W672" s="57">
        <f>(1000*CHOOSE(CONTROL!$C$42, 0.1146, 0.1146)*CHOOSE(CONTROL!$C$42, 121.5, 121.5)*CHOOSE(CONTROL!$C$42, 31, 31))/1000000</f>
        <v>0.43164089999999994</v>
      </c>
      <c r="X672" s="57">
        <f>(31*0.1790888*100000/1000000)+(31*0.2374*100000/1000000)</f>
        <v>1.2911152800000001</v>
      </c>
      <c r="Y672" s="57"/>
      <c r="Z672" s="14"/>
      <c r="AA672" s="56"/>
      <c r="AB672" s="50">
        <f>(B672*122.58+C672*297.941+D672*89.177+E672*40.302+F672*40+G672*160+H672*0+I672*100+J672*300)/(122.58+297.941+89.177+40.302+0+40+160+100+300)</f>
        <v>43.003497483739132</v>
      </c>
      <c r="AC672" s="45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42.166358992805755</v>
      </c>
    </row>
    <row r="673" spans="1:29" ht="15.75" x14ac:dyDescent="0.25">
      <c r="A673" s="32">
        <v>61393</v>
      </c>
      <c r="B673" s="14">
        <f>CHOOSE(CONTROL!$C$42, 46.4976, 46.4976) * CHOOSE(CONTROL!$C$21, $C$9, 100%, $E$9)</f>
        <v>46.497599999999998</v>
      </c>
      <c r="C673" s="14">
        <f>CHOOSE(CONTROL!$C$42, 46.5026, 46.5026) * CHOOSE(CONTROL!$C$21, $C$9, 100%, $E$9)</f>
        <v>46.502600000000001</v>
      </c>
      <c r="D673" s="14">
        <f>CHOOSE(CONTROL!$C$42, 46.5613, 46.5613) * CHOOSE(CONTROL!$C$21, $C$9, 100%, $E$9)</f>
        <v>46.561300000000003</v>
      </c>
      <c r="E673" s="14">
        <f>CHOOSE(CONTROL!$C$42, 46.5954, 46.5954) * CHOOSE(CONTROL!$C$21, $C$9, 100%, $E$9)</f>
        <v>46.595399999999998</v>
      </c>
      <c r="F673" s="14">
        <f>CHOOSE(CONTROL!$C$42, 46.4967, 46.4967)*CHOOSE(CONTROL!$C$21, $C$9, 100%, $E$9)</f>
        <v>46.496699999999997</v>
      </c>
      <c r="G673" s="14">
        <f>CHOOSE(CONTROL!$C$42, 46.5131, 46.5131)*CHOOSE(CONTROL!$C$21, $C$9, 100%, $E$9)</f>
        <v>46.513100000000001</v>
      </c>
      <c r="H673" s="14">
        <f>CHOOSE(CONTROL!$C$42, 46.5846, 46.5846) * CHOOSE(CONTROL!$C$21, $C$9, 100%, $E$9)</f>
        <v>46.584600000000002</v>
      </c>
      <c r="I673" s="14">
        <f>CHOOSE(CONTROL!$C$42, 46.6534, 46.6534)* CHOOSE(CONTROL!$C$21, $C$9, 100%, $E$9)</f>
        <v>46.653399999999998</v>
      </c>
      <c r="J673" s="14">
        <f>CHOOSE(CONTROL!$C$42, 46.4897, 46.4897)* CHOOSE(CONTROL!$C$21, $C$9, 100%, $E$9)</f>
        <v>46.489699999999999</v>
      </c>
      <c r="K673" s="53">
        <f>CHOOSE(CONTROL!$C$42, 46.6495, 46.6495) * CHOOSE(CONTROL!$C$21, $C$9, 100%, $E$9)</f>
        <v>46.649500000000003</v>
      </c>
      <c r="L673" s="14">
        <f>CHOOSE(CONTROL!$C$42, 47.1716, 47.1716) * CHOOSE(CONTROL!$C$21, $C$9, 100%, $E$9)</f>
        <v>47.171599999999998</v>
      </c>
      <c r="M673" s="14">
        <f>CHOOSE(CONTROL!$C$42, 45.5448, 45.5448) * CHOOSE(CONTROL!$C$21, $C$9, 100%, $E$9)</f>
        <v>45.544800000000002</v>
      </c>
      <c r="N673" s="14">
        <f>CHOOSE(CONTROL!$C$42, 45.5609, 45.5609) * CHOOSE(CONTROL!$C$21, $C$9, 100%, $E$9)</f>
        <v>45.560899999999997</v>
      </c>
      <c r="O673" s="14">
        <f>CHOOSE(CONTROL!$C$42, 45.6378, 45.6378) * CHOOSE(CONTROL!$C$21, $C$9, 100%, $E$9)</f>
        <v>45.637799999999999</v>
      </c>
      <c r="P673" s="14">
        <f>CHOOSE(CONTROL!$C$42, 45.7024, 45.7024) * CHOOSE(CONTROL!$C$21, $C$9, 100%, $E$9)</f>
        <v>45.702399999999997</v>
      </c>
      <c r="Q673" s="14">
        <f>CHOOSE(CONTROL!$C$42, 46.2325, 46.2325) * CHOOSE(CONTROL!$C$21, $C$9, 100%, $E$9)</f>
        <v>46.232500000000002</v>
      </c>
      <c r="R673" s="14">
        <f>CHOOSE(CONTROL!$C$42, 46.935, 46.935) * CHOOSE(CONTROL!$C$21, $C$9, 100%, $E$9)</f>
        <v>46.935000000000002</v>
      </c>
      <c r="S673" s="14">
        <f>CHOOSE(CONTROL!$C$42, 44.671, 44.671) * CHOOSE(CONTROL!$C$21, $C$9, 100%, $E$9)</f>
        <v>44.670999999999999</v>
      </c>
      <c r="T6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7">
        <f>(1000*CHOOSE(CONTROL!$C$42, 695, 695)*CHOOSE(CONTROL!$C$42, 0.5599, 0.5599)*CHOOSE(CONTROL!$C$42, 31, 31))/1000000</f>
        <v>12.063045499999998</v>
      </c>
      <c r="V673" s="57">
        <f>(1000*CHOOSE(CONTROL!$C$42, 500, 500)*CHOOSE(CONTROL!$C$42, 0.275, 0.275)*CHOOSE(CONTROL!$C$42, 31, 31))/1000000</f>
        <v>4.2625000000000002</v>
      </c>
      <c r="W673" s="57">
        <f>(1000*CHOOSE(CONTROL!$C$42, 0.1146, 0.1146)*CHOOSE(CONTROL!$C$42, 121.5, 121.5)*CHOOSE(CONTROL!$C$42, 31, 31))/1000000</f>
        <v>0.43164089999999994</v>
      </c>
      <c r="X673" s="57">
        <f>(31*0.1790888*100000/1000000)+(31*0.2374*100000/1000000)</f>
        <v>1.2911152800000001</v>
      </c>
      <c r="Y673" s="57"/>
      <c r="Z673" s="14"/>
      <c r="AA673" s="56"/>
      <c r="AB673" s="50">
        <f>(B673*122.58+C673*297.941+D673*89.177+E673*40.302+F673*40+G673*160+H673*0+I673*100+J673*300)/(122.58+297.941+89.177+40.302+0+40+160+100+300)</f>
        <v>46.520874622173913</v>
      </c>
      <c r="AC673" s="45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45.610553956834529</v>
      </c>
    </row>
    <row r="674" spans="1:29" ht="15.75" x14ac:dyDescent="0.25">
      <c r="A674" s="32">
        <v>61422</v>
      </c>
      <c r="B674" s="14">
        <f>CHOOSE(CONTROL!$C$42, 47.3251, 47.3251) * CHOOSE(CONTROL!$C$21, $C$9, 100%, $E$9)</f>
        <v>47.325099999999999</v>
      </c>
      <c r="C674" s="14">
        <f>CHOOSE(CONTROL!$C$42, 47.3302, 47.3302) * CHOOSE(CONTROL!$C$21, $C$9, 100%, $E$9)</f>
        <v>47.330199999999998</v>
      </c>
      <c r="D674" s="14">
        <f>CHOOSE(CONTROL!$C$42, 47.3888, 47.3888) * CHOOSE(CONTROL!$C$21, $C$9, 100%, $E$9)</f>
        <v>47.388800000000003</v>
      </c>
      <c r="E674" s="14">
        <f>CHOOSE(CONTROL!$C$42, 47.4229, 47.4229) * CHOOSE(CONTROL!$C$21, $C$9, 100%, $E$9)</f>
        <v>47.422899999999998</v>
      </c>
      <c r="F674" s="14">
        <f>CHOOSE(CONTROL!$C$42, 47.3242, 47.3242)*CHOOSE(CONTROL!$C$21, $C$9, 100%, $E$9)</f>
        <v>47.324199999999998</v>
      </c>
      <c r="G674" s="14">
        <f>CHOOSE(CONTROL!$C$42, 47.3406, 47.3406)*CHOOSE(CONTROL!$C$21, $C$9, 100%, $E$9)</f>
        <v>47.340600000000002</v>
      </c>
      <c r="H674" s="14">
        <f>CHOOSE(CONTROL!$C$42, 47.4121, 47.4121) * CHOOSE(CONTROL!$C$21, $C$9, 100%, $E$9)</f>
        <v>47.412100000000002</v>
      </c>
      <c r="I674" s="14">
        <f>CHOOSE(CONTROL!$C$42, 47.4836, 47.4836)* CHOOSE(CONTROL!$C$21, $C$9, 100%, $E$9)</f>
        <v>47.483600000000003</v>
      </c>
      <c r="J674" s="14">
        <f>CHOOSE(CONTROL!$C$42, 47.3172, 47.3172)* CHOOSE(CONTROL!$C$21, $C$9, 100%, $E$9)</f>
        <v>47.3172</v>
      </c>
      <c r="K674" s="53">
        <f>CHOOSE(CONTROL!$C$42, 47.4797, 47.4797) * CHOOSE(CONTROL!$C$21, $C$9, 100%, $E$9)</f>
        <v>47.479700000000001</v>
      </c>
      <c r="L674" s="14">
        <f>CHOOSE(CONTROL!$C$42, 47.9991, 47.9991) * CHOOSE(CONTROL!$C$21, $C$9, 100%, $E$9)</f>
        <v>47.999099999999999</v>
      </c>
      <c r="M674" s="14">
        <f>CHOOSE(CONTROL!$C$42, 46.3554, 46.3554) * CHOOSE(CONTROL!$C$21, $C$9, 100%, $E$9)</f>
        <v>46.355400000000003</v>
      </c>
      <c r="N674" s="14">
        <f>CHOOSE(CONTROL!$C$42, 46.3714, 46.3714) * CHOOSE(CONTROL!$C$21, $C$9, 100%, $E$9)</f>
        <v>46.371400000000001</v>
      </c>
      <c r="O674" s="14">
        <f>CHOOSE(CONTROL!$C$42, 46.4484, 46.4484) * CHOOSE(CONTROL!$C$21, $C$9, 100%, $E$9)</f>
        <v>46.448399999999999</v>
      </c>
      <c r="P674" s="14">
        <f>CHOOSE(CONTROL!$C$42, 46.5155, 46.5155) * CHOOSE(CONTROL!$C$21, $C$9, 100%, $E$9)</f>
        <v>46.515500000000003</v>
      </c>
      <c r="Q674" s="14">
        <f>CHOOSE(CONTROL!$C$42, 47.0431, 47.0431) * CHOOSE(CONTROL!$C$21, $C$9, 100%, $E$9)</f>
        <v>47.043100000000003</v>
      </c>
      <c r="R674" s="14">
        <f>CHOOSE(CONTROL!$C$42, 47.7477, 47.7477) * CHOOSE(CONTROL!$C$21, $C$9, 100%, $E$9)</f>
        <v>47.747700000000002</v>
      </c>
      <c r="S674" s="14">
        <f>CHOOSE(CONTROL!$C$42, 45.4662, 45.4662) * CHOOSE(CONTROL!$C$21, $C$9, 100%, $E$9)</f>
        <v>45.466200000000001</v>
      </c>
      <c r="T67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7">
        <f>(1000*CHOOSE(CONTROL!$C$42, 695, 695)*CHOOSE(CONTROL!$C$42, 0.5599, 0.5599)*CHOOSE(CONTROL!$C$42, 29, 29))/1000000</f>
        <v>11.284784499999999</v>
      </c>
      <c r="V674" s="57">
        <f>(1000*CHOOSE(CONTROL!$C$42, 500, 500)*CHOOSE(CONTROL!$C$42, 0.275, 0.275)*CHOOSE(CONTROL!$C$42, 29, 29))/1000000</f>
        <v>3.9874999999999998</v>
      </c>
      <c r="W674" s="57">
        <f>(1000*CHOOSE(CONTROL!$C$42, 0.1146, 0.1146)*CHOOSE(CONTROL!$C$42, 121.5, 121.5)*CHOOSE(CONTROL!$C$42, 29, 29))/1000000</f>
        <v>0.40379309999999996</v>
      </c>
      <c r="X674" s="57">
        <f>(29*0.1790888*100000/1000000)+(29*0.2374*100000/1000000)</f>
        <v>1.2078175199999999</v>
      </c>
      <c r="Y674" s="57"/>
      <c r="Z674" s="14"/>
      <c r="AA674" s="56"/>
      <c r="AB674" s="50">
        <f>(B674*122.58+C674*297.941+D674*89.177+E674*40.302+F674*40+G674*160+H674*0+I674*100+J674*300)/(122.58+297.941+89.177+40.302+0+40+160+100+300)</f>
        <v>47.348635312695649</v>
      </c>
      <c r="AC674" s="45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46.421507913669068</v>
      </c>
    </row>
    <row r="675" spans="1:29" ht="15.75" x14ac:dyDescent="0.25">
      <c r="A675" s="32">
        <v>61453</v>
      </c>
      <c r="B675" s="14">
        <f>CHOOSE(CONTROL!$C$42, 45.9818, 45.9818) * CHOOSE(CONTROL!$C$21, $C$9, 100%, $E$9)</f>
        <v>45.9818</v>
      </c>
      <c r="C675" s="14">
        <f>CHOOSE(CONTROL!$C$42, 45.9869, 45.9869) * CHOOSE(CONTROL!$C$21, $C$9, 100%, $E$9)</f>
        <v>45.986899999999999</v>
      </c>
      <c r="D675" s="14">
        <f>CHOOSE(CONTROL!$C$42, 46.0455, 46.0455) * CHOOSE(CONTROL!$C$21, $C$9, 100%, $E$9)</f>
        <v>46.045499999999997</v>
      </c>
      <c r="E675" s="14">
        <f>CHOOSE(CONTROL!$C$42, 46.0796, 46.0796) * CHOOSE(CONTROL!$C$21, $C$9, 100%, $E$9)</f>
        <v>46.079599999999999</v>
      </c>
      <c r="F675" s="14">
        <f>CHOOSE(CONTROL!$C$42, 45.9804, 45.9804)*CHOOSE(CONTROL!$C$21, $C$9, 100%, $E$9)</f>
        <v>45.980400000000003</v>
      </c>
      <c r="G675" s="14">
        <f>CHOOSE(CONTROL!$C$42, 45.9966, 45.9966)*CHOOSE(CONTROL!$C$21, $C$9, 100%, $E$9)</f>
        <v>45.996600000000001</v>
      </c>
      <c r="H675" s="14">
        <f>CHOOSE(CONTROL!$C$42, 46.0688, 46.0688) * CHOOSE(CONTROL!$C$21, $C$9, 100%, $E$9)</f>
        <v>46.068800000000003</v>
      </c>
      <c r="I675" s="14">
        <f>CHOOSE(CONTROL!$C$42, 46.1361, 46.1361)* CHOOSE(CONTROL!$C$21, $C$9, 100%, $E$9)</f>
        <v>46.136099999999999</v>
      </c>
      <c r="J675" s="14">
        <f>CHOOSE(CONTROL!$C$42, 45.9734, 45.9734)* CHOOSE(CONTROL!$C$21, $C$9, 100%, $E$9)</f>
        <v>45.973399999999998</v>
      </c>
      <c r="K675" s="53">
        <f>CHOOSE(CONTROL!$C$42, 46.1322, 46.1322) * CHOOSE(CONTROL!$C$21, $C$9, 100%, $E$9)</f>
        <v>46.132199999999997</v>
      </c>
      <c r="L675" s="14">
        <f>CHOOSE(CONTROL!$C$42, 46.6558, 46.6558) * CHOOSE(CONTROL!$C$21, $C$9, 100%, $E$9)</f>
        <v>46.655799999999999</v>
      </c>
      <c r="M675" s="14">
        <f>CHOOSE(CONTROL!$C$42, 45.0391, 45.0391) * CHOOSE(CONTROL!$C$21, $C$9, 100%, $E$9)</f>
        <v>45.039099999999998</v>
      </c>
      <c r="N675" s="14">
        <f>CHOOSE(CONTROL!$C$42, 45.055, 45.055) * CHOOSE(CONTROL!$C$21, $C$9, 100%, $E$9)</f>
        <v>45.055</v>
      </c>
      <c r="O675" s="14">
        <f>CHOOSE(CONTROL!$C$42, 45.1326, 45.1326) * CHOOSE(CONTROL!$C$21, $C$9, 100%, $E$9)</f>
        <v>45.132599999999996</v>
      </c>
      <c r="P675" s="14">
        <f>CHOOSE(CONTROL!$C$42, 45.1956, 45.1956) * CHOOSE(CONTROL!$C$21, $C$9, 100%, $E$9)</f>
        <v>45.195599999999999</v>
      </c>
      <c r="Q675" s="14">
        <f>CHOOSE(CONTROL!$C$42, 45.7273, 45.7273) * CHOOSE(CONTROL!$C$21, $C$9, 100%, $E$9)</f>
        <v>45.7273</v>
      </c>
      <c r="R675" s="14">
        <f>CHOOSE(CONTROL!$C$42, 46.4286, 46.4286) * CHOOSE(CONTROL!$C$21, $C$9, 100%, $E$9)</f>
        <v>46.428600000000003</v>
      </c>
      <c r="S675" s="14">
        <f>CHOOSE(CONTROL!$C$42, 44.1754, 44.1754) * CHOOSE(CONTROL!$C$21, $C$9, 100%, $E$9)</f>
        <v>44.175400000000003</v>
      </c>
      <c r="T6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7">
        <f>(1000*CHOOSE(CONTROL!$C$42, 695, 695)*CHOOSE(CONTROL!$C$42, 0.5599, 0.5599)*CHOOSE(CONTROL!$C$42, 31, 31))/1000000</f>
        <v>12.063045499999998</v>
      </c>
      <c r="V675" s="57">
        <f>(1000*CHOOSE(CONTROL!$C$42, 500, 500)*CHOOSE(CONTROL!$C$42, 0.275, 0.275)*CHOOSE(CONTROL!$C$42, 31, 31))/1000000</f>
        <v>4.2625000000000002</v>
      </c>
      <c r="W675" s="57">
        <f>(1000*CHOOSE(CONTROL!$C$42, 0.1146, 0.1146)*CHOOSE(CONTROL!$C$42, 121.5, 121.5)*CHOOSE(CONTROL!$C$42, 31, 31))/1000000</f>
        <v>0.43164089999999994</v>
      </c>
      <c r="X675" s="57">
        <f>(31*0.1790888*100000/1000000)+(31*0.2374*100000/1000000)</f>
        <v>1.2911152800000001</v>
      </c>
      <c r="Y675" s="57"/>
      <c r="Z675" s="14"/>
      <c r="AA675" s="56"/>
      <c r="AB675" s="50">
        <f>(B675*122.58+C675*297.941+D675*89.177+E675*40.302+F675*40+G675*160+H675*0+I675*100+J675*300)/(122.58+297.941+89.177+40.302+0+40+160+100+300)</f>
        <v>46.004724877913041</v>
      </c>
      <c r="AC675" s="45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45.104910791366905</v>
      </c>
    </row>
    <row r="676" spans="1:29" ht="15.75" x14ac:dyDescent="0.25">
      <c r="A676" s="32">
        <v>61483</v>
      </c>
      <c r="B676" s="14">
        <f>CHOOSE(CONTROL!$C$42, 45.8453, 45.8453) * CHOOSE(CONTROL!$C$21, $C$9, 100%, $E$9)</f>
        <v>45.845300000000002</v>
      </c>
      <c r="C676" s="14">
        <f>CHOOSE(CONTROL!$C$42, 45.8498, 45.8498) * CHOOSE(CONTROL!$C$21, $C$9, 100%, $E$9)</f>
        <v>45.849800000000002</v>
      </c>
      <c r="D676" s="14">
        <f>CHOOSE(CONTROL!$C$42, 46.0579, 46.0579) * CHOOSE(CONTROL!$C$21, $C$9, 100%, $E$9)</f>
        <v>46.057899999999997</v>
      </c>
      <c r="E676" s="14">
        <f>CHOOSE(CONTROL!$C$42, 46.09, 46.09) * CHOOSE(CONTROL!$C$21, $C$9, 100%, $E$9)</f>
        <v>46.09</v>
      </c>
      <c r="F676" s="14">
        <f>CHOOSE(CONTROL!$C$42, 45.8327, 45.8327)*CHOOSE(CONTROL!$C$21, $C$9, 100%, $E$9)</f>
        <v>45.832700000000003</v>
      </c>
      <c r="G676" s="14">
        <f>CHOOSE(CONTROL!$C$42, 45.8486, 45.8486)*CHOOSE(CONTROL!$C$21, $C$9, 100%, $E$9)</f>
        <v>45.848599999999998</v>
      </c>
      <c r="H676" s="14">
        <f>CHOOSE(CONTROL!$C$42, 46.0798, 46.0798) * CHOOSE(CONTROL!$C$21, $C$9, 100%, $E$9)</f>
        <v>46.079799999999999</v>
      </c>
      <c r="I676" s="14">
        <f>CHOOSE(CONTROL!$C$42, 45.9984, 45.9984)* CHOOSE(CONTROL!$C$21, $C$9, 100%, $E$9)</f>
        <v>45.998399999999997</v>
      </c>
      <c r="J676" s="14">
        <f>CHOOSE(CONTROL!$C$42, 45.8257, 45.8257)* CHOOSE(CONTROL!$C$21, $C$9, 100%, $E$9)</f>
        <v>45.825699999999998</v>
      </c>
      <c r="K676" s="53">
        <f>CHOOSE(CONTROL!$C$42, 45.9945, 45.9945) * CHOOSE(CONTROL!$C$21, $C$9, 100%, $E$9)</f>
        <v>45.994500000000002</v>
      </c>
      <c r="L676" s="14">
        <f>CHOOSE(CONTROL!$C$42, 46.6668, 46.6668) * CHOOSE(CONTROL!$C$21, $C$9, 100%, $E$9)</f>
        <v>46.666800000000002</v>
      </c>
      <c r="M676" s="14">
        <f>CHOOSE(CONTROL!$C$42, 44.8944, 44.8944) * CHOOSE(CONTROL!$C$21, $C$9, 100%, $E$9)</f>
        <v>44.894399999999997</v>
      </c>
      <c r="N676" s="14">
        <f>CHOOSE(CONTROL!$C$42, 44.9101, 44.9101) * CHOOSE(CONTROL!$C$21, $C$9, 100%, $E$9)</f>
        <v>44.9101</v>
      </c>
      <c r="O676" s="14">
        <f>CHOOSE(CONTROL!$C$42, 45.1434, 45.1434) * CHOOSE(CONTROL!$C$21, $C$9, 100%, $E$9)</f>
        <v>45.1434</v>
      </c>
      <c r="P676" s="14">
        <f>CHOOSE(CONTROL!$C$42, 45.0608, 45.0608) * CHOOSE(CONTROL!$C$21, $C$9, 100%, $E$9)</f>
        <v>45.0608</v>
      </c>
      <c r="Q676" s="14">
        <f>CHOOSE(CONTROL!$C$42, 45.7381, 45.7381) * CHOOSE(CONTROL!$C$21, $C$9, 100%, $E$9)</f>
        <v>45.738100000000003</v>
      </c>
      <c r="R676" s="14">
        <f>CHOOSE(CONTROL!$C$42, 46.4394, 46.4394) * CHOOSE(CONTROL!$C$21, $C$9, 100%, $E$9)</f>
        <v>46.439399999999999</v>
      </c>
      <c r="S676" s="14">
        <f>CHOOSE(CONTROL!$C$42, 44.0435, 44.0435) * CHOOSE(CONTROL!$C$21, $C$9, 100%, $E$9)</f>
        <v>44.043500000000002</v>
      </c>
      <c r="T6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7">
        <f>(1000*CHOOSE(CONTROL!$C$42, 695, 695)*CHOOSE(CONTROL!$C$42, 0.5599, 0.5599)*CHOOSE(CONTROL!$C$42, 30, 30))/1000000</f>
        <v>11.673914999999997</v>
      </c>
      <c r="V676" s="57">
        <f>(1000*CHOOSE(CONTROL!$C$42, 500, 500)*CHOOSE(CONTROL!$C$42, 0.275, 0.275)*CHOOSE(CONTROL!$C$42, 30, 30))/1000000</f>
        <v>4.125</v>
      </c>
      <c r="W676" s="57">
        <f>(1000*CHOOSE(CONTROL!$C$42, 0.1146, 0.1146)*CHOOSE(CONTROL!$C$42, 121.5, 121.5)*CHOOSE(CONTROL!$C$42, 30, 30))/1000000</f>
        <v>0.417717</v>
      </c>
      <c r="X676" s="57">
        <f>(30*0.1790888*245000/1000000)+(30*0.2374*100000/1000000)</f>
        <v>2.0285026799999999</v>
      </c>
      <c r="Y676" s="57"/>
      <c r="Z676" s="14"/>
      <c r="AA676" s="56"/>
      <c r="AB676" s="50">
        <f>(B676*141.293+C676*267.993+D676*115.016+E676*89.698+F676*40+G676*185+H676*0+I676*100+J676*300)/(141.293+267.993+115.016+89.698+0+40+185+100+300)</f>
        <v>45.891421041727192</v>
      </c>
      <c r="AC676" s="45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45.032102158273382</v>
      </c>
    </row>
    <row r="677" spans="1:29" ht="15.75" x14ac:dyDescent="0.25">
      <c r="A677" s="32">
        <v>61514</v>
      </c>
      <c r="B677" s="14">
        <f>CHOOSE(CONTROL!$C$42, 46.2513, 46.2513) * CHOOSE(CONTROL!$C$21, $C$9, 100%, $E$9)</f>
        <v>46.251300000000001</v>
      </c>
      <c r="C677" s="14">
        <f>CHOOSE(CONTROL!$C$42, 46.2593, 46.2593) * CHOOSE(CONTROL!$C$21, $C$9, 100%, $E$9)</f>
        <v>46.259300000000003</v>
      </c>
      <c r="D677" s="14">
        <f>CHOOSE(CONTROL!$C$42, 46.4643, 46.4643) * CHOOSE(CONTROL!$C$21, $C$9, 100%, $E$9)</f>
        <v>46.464300000000001</v>
      </c>
      <c r="E677" s="14">
        <f>CHOOSE(CONTROL!$C$42, 46.4957, 46.4957) * CHOOSE(CONTROL!$C$21, $C$9, 100%, $E$9)</f>
        <v>46.495699999999999</v>
      </c>
      <c r="F677" s="14">
        <f>CHOOSE(CONTROL!$C$42, 46.2375, 46.2375)*CHOOSE(CONTROL!$C$21, $C$9, 100%, $E$9)</f>
        <v>46.237499999999997</v>
      </c>
      <c r="G677" s="14">
        <f>CHOOSE(CONTROL!$C$42, 46.2539, 46.2539)*CHOOSE(CONTROL!$C$21, $C$9, 100%, $E$9)</f>
        <v>46.253900000000002</v>
      </c>
      <c r="H677" s="14">
        <f>CHOOSE(CONTROL!$C$42, 46.4844, 46.4844) * CHOOSE(CONTROL!$C$21, $C$9, 100%, $E$9)</f>
        <v>46.484400000000001</v>
      </c>
      <c r="I677" s="14">
        <f>CHOOSE(CONTROL!$C$42, 46.4042, 46.4042)* CHOOSE(CONTROL!$C$21, $C$9, 100%, $E$9)</f>
        <v>46.404200000000003</v>
      </c>
      <c r="J677" s="14">
        <f>CHOOSE(CONTROL!$C$42, 46.2305, 46.2305)* CHOOSE(CONTROL!$C$21, $C$9, 100%, $E$9)</f>
        <v>46.230499999999999</v>
      </c>
      <c r="K677" s="53">
        <f>CHOOSE(CONTROL!$C$42, 46.4003, 46.4003) * CHOOSE(CONTROL!$C$21, $C$9, 100%, $E$9)</f>
        <v>46.400300000000001</v>
      </c>
      <c r="L677" s="14">
        <f>CHOOSE(CONTROL!$C$42, 47.0714, 47.0714) * CHOOSE(CONTROL!$C$21, $C$9, 100%, $E$9)</f>
        <v>47.071399999999997</v>
      </c>
      <c r="M677" s="14">
        <f>CHOOSE(CONTROL!$C$42, 45.2909, 45.2909) * CHOOSE(CONTROL!$C$21, $C$9, 100%, $E$9)</f>
        <v>45.290900000000001</v>
      </c>
      <c r="N677" s="14">
        <f>CHOOSE(CONTROL!$C$42, 45.307, 45.307) * CHOOSE(CONTROL!$C$21, $C$9, 100%, $E$9)</f>
        <v>45.307000000000002</v>
      </c>
      <c r="O677" s="14">
        <f>CHOOSE(CONTROL!$C$42, 45.5396, 45.5396) * CHOOSE(CONTROL!$C$21, $C$9, 100%, $E$9)</f>
        <v>45.5396</v>
      </c>
      <c r="P677" s="14">
        <f>CHOOSE(CONTROL!$C$42, 45.4582, 45.4582) * CHOOSE(CONTROL!$C$21, $C$9, 100%, $E$9)</f>
        <v>45.458199999999998</v>
      </c>
      <c r="Q677" s="14">
        <f>CHOOSE(CONTROL!$C$42, 46.1343, 46.1343) * CHOOSE(CONTROL!$C$21, $C$9, 100%, $E$9)</f>
        <v>46.134300000000003</v>
      </c>
      <c r="R677" s="14">
        <f>CHOOSE(CONTROL!$C$42, 46.8367, 46.8367) * CHOOSE(CONTROL!$C$21, $C$9, 100%, $E$9)</f>
        <v>46.8367</v>
      </c>
      <c r="S677" s="14">
        <f>CHOOSE(CONTROL!$C$42, 44.4322, 44.4322) * CHOOSE(CONTROL!$C$21, $C$9, 100%, $E$9)</f>
        <v>44.432200000000002</v>
      </c>
      <c r="T6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7">
        <f>(1000*CHOOSE(CONTROL!$C$42, 695, 695)*CHOOSE(CONTROL!$C$42, 0.5599, 0.5599)*CHOOSE(CONTROL!$C$42, 31, 31))/1000000</f>
        <v>12.063045499999998</v>
      </c>
      <c r="V677" s="57">
        <f>(1000*CHOOSE(CONTROL!$C$42, 500, 500)*CHOOSE(CONTROL!$C$42, 0.275, 0.275)*CHOOSE(CONTROL!$C$42, 31, 31))/1000000</f>
        <v>4.2625000000000002</v>
      </c>
      <c r="W677" s="57">
        <f>(1000*CHOOSE(CONTROL!$C$42, 0.1146, 0.1146)*CHOOSE(CONTROL!$C$42, 121.5, 121.5)*CHOOSE(CONTROL!$C$42, 31, 31))/1000000</f>
        <v>0.43164089999999994</v>
      </c>
      <c r="X677" s="57">
        <f>(31*0.1790888*245000/1000000)+(31*0.2374*100000/1000000)</f>
        <v>2.0961194359999999</v>
      </c>
      <c r="Y677" s="57"/>
      <c r="Z677" s="14"/>
      <c r="AA677" s="56"/>
      <c r="AB677" s="50">
        <f>(B677*194.205+C677*267.466+D677*133.845+E677*53.484+F677*40+G677*185+H677*0+I677*100+J677*300)/(194.205+267.466+133.845+53.484+0+40+185+100+300)</f>
        <v>46.292665151177395</v>
      </c>
      <c r="AC677" s="45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45.428618705035973</v>
      </c>
    </row>
    <row r="678" spans="1:29" ht="15.75" x14ac:dyDescent="0.25">
      <c r="A678" s="32">
        <v>61544</v>
      </c>
      <c r="B678" s="14">
        <f>CHOOSE(CONTROL!$C$42, 47.5629, 47.5629) * CHOOSE(CONTROL!$C$21, $C$9, 100%, $E$9)</f>
        <v>47.562899999999999</v>
      </c>
      <c r="C678" s="14">
        <f>CHOOSE(CONTROL!$C$42, 47.5709, 47.5709) * CHOOSE(CONTROL!$C$21, $C$9, 100%, $E$9)</f>
        <v>47.570900000000002</v>
      </c>
      <c r="D678" s="14">
        <f>CHOOSE(CONTROL!$C$42, 47.7759, 47.7759) * CHOOSE(CONTROL!$C$21, $C$9, 100%, $E$9)</f>
        <v>47.7759</v>
      </c>
      <c r="E678" s="14">
        <f>CHOOSE(CONTROL!$C$42, 47.8074, 47.8074) * CHOOSE(CONTROL!$C$21, $C$9, 100%, $E$9)</f>
        <v>47.807400000000001</v>
      </c>
      <c r="F678" s="14">
        <f>CHOOSE(CONTROL!$C$42, 47.5495, 47.5495)*CHOOSE(CONTROL!$C$21, $C$9, 100%, $E$9)</f>
        <v>47.549500000000002</v>
      </c>
      <c r="G678" s="14">
        <f>CHOOSE(CONTROL!$C$42, 47.566, 47.566)*CHOOSE(CONTROL!$C$21, $C$9, 100%, $E$9)</f>
        <v>47.566000000000003</v>
      </c>
      <c r="H678" s="14">
        <f>CHOOSE(CONTROL!$C$42, 47.796, 47.796) * CHOOSE(CONTROL!$C$21, $C$9, 100%, $E$9)</f>
        <v>47.795999999999999</v>
      </c>
      <c r="I678" s="14">
        <f>CHOOSE(CONTROL!$C$42, 47.7199, 47.7199)* CHOOSE(CONTROL!$C$21, $C$9, 100%, $E$9)</f>
        <v>47.719900000000003</v>
      </c>
      <c r="J678" s="14">
        <f>CHOOSE(CONTROL!$C$42, 47.5425, 47.5425)* CHOOSE(CONTROL!$C$21, $C$9, 100%, $E$9)</f>
        <v>47.542499999999997</v>
      </c>
      <c r="K678" s="53">
        <f>CHOOSE(CONTROL!$C$42, 47.716, 47.716) * CHOOSE(CONTROL!$C$21, $C$9, 100%, $E$9)</f>
        <v>47.716000000000001</v>
      </c>
      <c r="L678" s="14">
        <f>CHOOSE(CONTROL!$C$42, 48.383, 48.383) * CHOOSE(CONTROL!$C$21, $C$9, 100%, $E$9)</f>
        <v>48.383000000000003</v>
      </c>
      <c r="M678" s="14">
        <f>CHOOSE(CONTROL!$C$42, 46.5761, 46.5761) * CHOOSE(CONTROL!$C$21, $C$9, 100%, $E$9)</f>
        <v>46.576099999999997</v>
      </c>
      <c r="N678" s="14">
        <f>CHOOSE(CONTROL!$C$42, 46.5922, 46.5922) * CHOOSE(CONTROL!$C$21, $C$9, 100%, $E$9)</f>
        <v>46.592199999999998</v>
      </c>
      <c r="O678" s="14">
        <f>CHOOSE(CONTROL!$C$42, 46.8244, 46.8244) * CHOOSE(CONTROL!$C$21, $C$9, 100%, $E$9)</f>
        <v>46.824399999999997</v>
      </c>
      <c r="P678" s="14">
        <f>CHOOSE(CONTROL!$C$42, 46.747, 46.747) * CHOOSE(CONTROL!$C$21, $C$9, 100%, $E$9)</f>
        <v>46.747</v>
      </c>
      <c r="Q678" s="14">
        <f>CHOOSE(CONTROL!$C$42, 47.4191, 47.4191) * CHOOSE(CONTROL!$C$21, $C$9, 100%, $E$9)</f>
        <v>47.4191</v>
      </c>
      <c r="R678" s="14">
        <f>CHOOSE(CONTROL!$C$42, 48.1246, 48.1246) * CHOOSE(CONTROL!$C$21, $C$9, 100%, $E$9)</f>
        <v>48.124600000000001</v>
      </c>
      <c r="S678" s="14">
        <f>CHOOSE(CONTROL!$C$42, 45.6926, 45.6926) * CHOOSE(CONTROL!$C$21, $C$9, 100%, $E$9)</f>
        <v>45.692599999999999</v>
      </c>
      <c r="T6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7">
        <f>(1000*CHOOSE(CONTROL!$C$42, 695, 695)*CHOOSE(CONTROL!$C$42, 0.5599, 0.5599)*CHOOSE(CONTROL!$C$42, 30, 30))/1000000</f>
        <v>11.673914999999997</v>
      </c>
      <c r="V678" s="57">
        <f>(1000*CHOOSE(CONTROL!$C$42, 500, 500)*CHOOSE(CONTROL!$C$42, 0.275, 0.275)*CHOOSE(CONTROL!$C$42, 30, 30))/1000000</f>
        <v>4.125</v>
      </c>
      <c r="W678" s="57">
        <f>(1000*CHOOSE(CONTROL!$C$42, 0.1146, 0.1146)*CHOOSE(CONTROL!$C$42, 121.5, 121.5)*CHOOSE(CONTROL!$C$42, 30, 30))/1000000</f>
        <v>0.417717</v>
      </c>
      <c r="X678" s="57">
        <f>(30*0.1790888*245000/1000000)+(30*0.2374*100000/1000000)</f>
        <v>2.0285026799999999</v>
      </c>
      <c r="Y678" s="57"/>
      <c r="Z678" s="14"/>
      <c r="AA678" s="56"/>
      <c r="AB678" s="50">
        <f>(B678*194.205+C678*267.466+D678*133.845+E678*53.484+F678*40+G678*185+H678*0+I678*100+J678*300)/(194.205+267.466+133.845+53.484+0+40+185+100+300)</f>
        <v>47.604770526687602</v>
      </c>
      <c r="AC678" s="45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46.714155395683456</v>
      </c>
    </row>
    <row r="679" spans="1:29" ht="15.75" x14ac:dyDescent="0.25">
      <c r="A679" s="32">
        <v>61575</v>
      </c>
      <c r="B679" s="14">
        <f>CHOOSE(CONTROL!$C$42, 46.6507, 46.6507) * CHOOSE(CONTROL!$C$21, $C$9, 100%, $E$9)</f>
        <v>46.650700000000001</v>
      </c>
      <c r="C679" s="14">
        <f>CHOOSE(CONTROL!$C$42, 46.6587, 46.6587) * CHOOSE(CONTROL!$C$21, $C$9, 100%, $E$9)</f>
        <v>46.658700000000003</v>
      </c>
      <c r="D679" s="14">
        <f>CHOOSE(CONTROL!$C$42, 46.8637, 46.8637) * CHOOSE(CONTROL!$C$21, $C$9, 100%, $E$9)</f>
        <v>46.863700000000001</v>
      </c>
      <c r="E679" s="14">
        <f>CHOOSE(CONTROL!$C$42, 46.8951, 46.8951) * CHOOSE(CONTROL!$C$21, $C$9, 100%, $E$9)</f>
        <v>46.895099999999999</v>
      </c>
      <c r="F679" s="14">
        <f>CHOOSE(CONTROL!$C$42, 46.6376, 46.6376)*CHOOSE(CONTROL!$C$21, $C$9, 100%, $E$9)</f>
        <v>46.637599999999999</v>
      </c>
      <c r="G679" s="14">
        <f>CHOOSE(CONTROL!$C$42, 46.6543, 46.6543)*CHOOSE(CONTROL!$C$21, $C$9, 100%, $E$9)</f>
        <v>46.654299999999999</v>
      </c>
      <c r="H679" s="14">
        <f>CHOOSE(CONTROL!$C$42, 46.8838, 46.8838) * CHOOSE(CONTROL!$C$21, $C$9, 100%, $E$9)</f>
        <v>46.883800000000001</v>
      </c>
      <c r="I679" s="14">
        <f>CHOOSE(CONTROL!$C$42, 46.8048, 46.8048)* CHOOSE(CONTROL!$C$21, $C$9, 100%, $E$9)</f>
        <v>46.8048</v>
      </c>
      <c r="J679" s="14">
        <f>CHOOSE(CONTROL!$C$42, 46.6306, 46.6306)* CHOOSE(CONTROL!$C$21, $C$9, 100%, $E$9)</f>
        <v>46.630600000000001</v>
      </c>
      <c r="K679" s="53">
        <f>CHOOSE(CONTROL!$C$42, 46.8009, 46.8009) * CHOOSE(CONTROL!$C$21, $C$9, 100%, $E$9)</f>
        <v>46.800899999999999</v>
      </c>
      <c r="L679" s="14">
        <f>CHOOSE(CONTROL!$C$42, 47.4708, 47.4708) * CHOOSE(CONTROL!$C$21, $C$9, 100%, $E$9)</f>
        <v>47.470799999999997</v>
      </c>
      <c r="M679" s="14">
        <f>CHOOSE(CONTROL!$C$42, 45.6829, 45.6829) * CHOOSE(CONTROL!$C$21, $C$9, 100%, $E$9)</f>
        <v>45.682899999999997</v>
      </c>
      <c r="N679" s="14">
        <f>CHOOSE(CONTROL!$C$42, 45.6992, 45.6992) * CHOOSE(CONTROL!$C$21, $C$9, 100%, $E$9)</f>
        <v>45.699199999999998</v>
      </c>
      <c r="O679" s="14">
        <f>CHOOSE(CONTROL!$C$42, 45.9308, 45.9308) * CHOOSE(CONTROL!$C$21, $C$9, 100%, $E$9)</f>
        <v>45.930799999999998</v>
      </c>
      <c r="P679" s="14">
        <f>CHOOSE(CONTROL!$C$42, 45.8506, 45.8506) * CHOOSE(CONTROL!$C$21, $C$9, 100%, $E$9)</f>
        <v>45.8506</v>
      </c>
      <c r="Q679" s="14">
        <f>CHOOSE(CONTROL!$C$42, 46.5255, 46.5255) * CHOOSE(CONTROL!$C$21, $C$9, 100%, $E$9)</f>
        <v>46.525500000000001</v>
      </c>
      <c r="R679" s="14">
        <f>CHOOSE(CONTROL!$C$42, 47.2289, 47.2289) * CHOOSE(CONTROL!$C$21, $C$9, 100%, $E$9)</f>
        <v>47.228900000000003</v>
      </c>
      <c r="S679" s="14">
        <f>CHOOSE(CONTROL!$C$42, 44.816, 44.816) * CHOOSE(CONTROL!$C$21, $C$9, 100%, $E$9)</f>
        <v>44.816000000000003</v>
      </c>
      <c r="T6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7">
        <f>(1000*CHOOSE(CONTROL!$C$42, 695, 695)*CHOOSE(CONTROL!$C$42, 0.5599, 0.5599)*CHOOSE(CONTROL!$C$42, 31, 31))/1000000</f>
        <v>12.063045499999998</v>
      </c>
      <c r="V679" s="57">
        <f>(1000*CHOOSE(CONTROL!$C$42, 500, 500)*CHOOSE(CONTROL!$C$42, 0.275, 0.275)*CHOOSE(CONTROL!$C$42, 31, 31))/1000000</f>
        <v>4.2625000000000002</v>
      </c>
      <c r="W679" s="57">
        <f>(1000*CHOOSE(CONTROL!$C$42, 0.1146, 0.1146)*CHOOSE(CONTROL!$C$42, 121.5, 121.5)*CHOOSE(CONTROL!$C$42, 31, 31))/1000000</f>
        <v>0.43164089999999994</v>
      </c>
      <c r="X679" s="57">
        <f>(31*0.1790888*245000/1000000)+(31*0.2374*100000/1000000)</f>
        <v>2.0961194359999999</v>
      </c>
      <c r="Y679" s="57"/>
      <c r="Z679" s="14"/>
      <c r="AA679" s="56"/>
      <c r="AB679" s="50">
        <f>(B679*194.205+C679*267.466+D679*133.845+E679*53.484+F679*40+G679*185+H679*0+I679*100+J679*300)/(194.205+267.466+133.845+53.484+0+40+185+100+300)</f>
        <v>46.692491367817894</v>
      </c>
      <c r="AC679" s="45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45.820325179856113</v>
      </c>
    </row>
    <row r="680" spans="1:29" ht="15.75" x14ac:dyDescent="0.25">
      <c r="A680" s="32">
        <v>61606</v>
      </c>
      <c r="B680" s="14">
        <f>CHOOSE(CONTROL!$C$42, 44.3469, 44.3469) * CHOOSE(CONTROL!$C$21, $C$9, 100%, $E$9)</f>
        <v>44.346899999999998</v>
      </c>
      <c r="C680" s="14">
        <f>CHOOSE(CONTROL!$C$42, 44.355, 44.355) * CHOOSE(CONTROL!$C$21, $C$9, 100%, $E$9)</f>
        <v>44.354999999999997</v>
      </c>
      <c r="D680" s="14">
        <f>CHOOSE(CONTROL!$C$42, 44.5599, 44.5599) * CHOOSE(CONTROL!$C$21, $C$9, 100%, $E$9)</f>
        <v>44.559899999999999</v>
      </c>
      <c r="E680" s="14">
        <f>CHOOSE(CONTROL!$C$42, 44.5914, 44.5914) * CHOOSE(CONTROL!$C$21, $C$9, 100%, $E$9)</f>
        <v>44.5914</v>
      </c>
      <c r="F680" s="14">
        <f>CHOOSE(CONTROL!$C$42, 44.3341, 44.3341)*CHOOSE(CONTROL!$C$21, $C$9, 100%, $E$9)</f>
        <v>44.334099999999999</v>
      </c>
      <c r="G680" s="14">
        <f>CHOOSE(CONTROL!$C$42, 44.3508, 44.3508)*CHOOSE(CONTROL!$C$21, $C$9, 100%, $E$9)</f>
        <v>44.3508</v>
      </c>
      <c r="H680" s="14">
        <f>CHOOSE(CONTROL!$C$42, 44.58, 44.58) * CHOOSE(CONTROL!$C$21, $C$9, 100%, $E$9)</f>
        <v>44.58</v>
      </c>
      <c r="I680" s="14">
        <f>CHOOSE(CONTROL!$C$42, 44.4939, 44.4939)* CHOOSE(CONTROL!$C$21, $C$9, 100%, $E$9)</f>
        <v>44.493899999999996</v>
      </c>
      <c r="J680" s="14">
        <f>CHOOSE(CONTROL!$C$42, 44.3271, 44.3271)* CHOOSE(CONTROL!$C$21, $C$9, 100%, $E$9)</f>
        <v>44.327100000000002</v>
      </c>
      <c r="K680" s="53">
        <f>CHOOSE(CONTROL!$C$42, 44.49, 44.49) * CHOOSE(CONTROL!$C$21, $C$9, 100%, $E$9)</f>
        <v>44.49</v>
      </c>
      <c r="L680" s="14">
        <f>CHOOSE(CONTROL!$C$42, 45.167, 45.167) * CHOOSE(CONTROL!$C$21, $C$9, 100%, $E$9)</f>
        <v>45.167000000000002</v>
      </c>
      <c r="M680" s="14">
        <f>CHOOSE(CONTROL!$C$42, 43.4266, 43.4266) * CHOOSE(CONTROL!$C$21, $C$9, 100%, $E$9)</f>
        <v>43.426600000000001</v>
      </c>
      <c r="N680" s="14">
        <f>CHOOSE(CONTROL!$C$42, 43.4429, 43.4429) * CHOOSE(CONTROL!$C$21, $C$9, 100%, $E$9)</f>
        <v>43.442900000000002</v>
      </c>
      <c r="O680" s="14">
        <f>CHOOSE(CONTROL!$C$42, 43.6743, 43.6743) * CHOOSE(CONTROL!$C$21, $C$9, 100%, $E$9)</f>
        <v>43.674300000000002</v>
      </c>
      <c r="P680" s="14">
        <f>CHOOSE(CONTROL!$C$42, 43.5872, 43.5872) * CHOOSE(CONTROL!$C$21, $C$9, 100%, $E$9)</f>
        <v>43.587200000000003</v>
      </c>
      <c r="Q680" s="14">
        <f>CHOOSE(CONTROL!$C$42, 44.269, 44.269) * CHOOSE(CONTROL!$C$21, $C$9, 100%, $E$9)</f>
        <v>44.268999999999998</v>
      </c>
      <c r="R680" s="14">
        <f>CHOOSE(CONTROL!$C$42, 44.9667, 44.9667) * CHOOSE(CONTROL!$C$21, $C$9, 100%, $E$9)</f>
        <v>44.966700000000003</v>
      </c>
      <c r="S680" s="14">
        <f>CHOOSE(CONTROL!$C$42, 42.6023, 42.6023) * CHOOSE(CONTROL!$C$21, $C$9, 100%, $E$9)</f>
        <v>42.6023</v>
      </c>
      <c r="T6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7">
        <f>(1000*CHOOSE(CONTROL!$C$42, 695, 695)*CHOOSE(CONTROL!$C$42, 0.5599, 0.5599)*CHOOSE(CONTROL!$C$42, 31, 31))/1000000</f>
        <v>12.063045499999998</v>
      </c>
      <c r="V680" s="57">
        <f>(1000*CHOOSE(CONTROL!$C$42, 500, 500)*CHOOSE(CONTROL!$C$42, 0.275, 0.275)*CHOOSE(CONTROL!$C$42, 31, 31))/1000000</f>
        <v>4.2625000000000002</v>
      </c>
      <c r="W680" s="57">
        <f>(1000*CHOOSE(CONTROL!$C$42, 0.1146, 0.1146)*CHOOSE(CONTROL!$C$42, 121.5, 121.5)*CHOOSE(CONTROL!$C$42, 31, 31))/1000000</f>
        <v>0.43164089999999994</v>
      </c>
      <c r="X680" s="57">
        <f>(31*0.1790888*245000/1000000)+(31*0.2374*100000/1000000)</f>
        <v>2.0961194359999999</v>
      </c>
      <c r="Y680" s="57"/>
      <c r="Z680" s="14"/>
      <c r="AA680" s="56"/>
      <c r="AB680" s="50">
        <f>(B680*194.205+C680*267.466+D680*133.845+E680*53.484+F680*40+G680*185+H680*0+I680*100+J680*300)/(194.205+267.466+133.845+53.484+0+40+185+100+300)</f>
        <v>44.388282886656206</v>
      </c>
      <c r="AC680" s="45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43.562912949640292</v>
      </c>
    </row>
    <row r="681" spans="1:29" ht="15.75" x14ac:dyDescent="0.25">
      <c r="A681" s="32">
        <v>61636</v>
      </c>
      <c r="B681" s="14">
        <f>CHOOSE(CONTROL!$C$42, 41.5318, 41.5318) * CHOOSE(CONTROL!$C$21, $C$9, 100%, $E$9)</f>
        <v>41.531799999999997</v>
      </c>
      <c r="C681" s="14">
        <f>CHOOSE(CONTROL!$C$42, 41.5399, 41.5399) * CHOOSE(CONTROL!$C$21, $C$9, 100%, $E$9)</f>
        <v>41.539900000000003</v>
      </c>
      <c r="D681" s="14">
        <f>CHOOSE(CONTROL!$C$42, 41.7448, 41.7448) * CHOOSE(CONTROL!$C$21, $C$9, 100%, $E$9)</f>
        <v>41.744799999999998</v>
      </c>
      <c r="E681" s="14">
        <f>CHOOSE(CONTROL!$C$42, 41.7763, 41.7763) * CHOOSE(CONTROL!$C$21, $C$9, 100%, $E$9)</f>
        <v>41.776299999999999</v>
      </c>
      <c r="F681" s="14">
        <f>CHOOSE(CONTROL!$C$42, 41.519, 41.519)*CHOOSE(CONTROL!$C$21, $C$9, 100%, $E$9)</f>
        <v>41.518999999999998</v>
      </c>
      <c r="G681" s="14">
        <f>CHOOSE(CONTROL!$C$42, 41.5357, 41.5357)*CHOOSE(CONTROL!$C$21, $C$9, 100%, $E$9)</f>
        <v>41.535699999999999</v>
      </c>
      <c r="H681" s="14">
        <f>CHOOSE(CONTROL!$C$42, 41.7649, 41.7649) * CHOOSE(CONTROL!$C$21, $C$9, 100%, $E$9)</f>
        <v>41.764899999999997</v>
      </c>
      <c r="I681" s="14">
        <f>CHOOSE(CONTROL!$C$42, 41.67, 41.67)* CHOOSE(CONTROL!$C$21, $C$9, 100%, $E$9)</f>
        <v>41.67</v>
      </c>
      <c r="J681" s="14">
        <f>CHOOSE(CONTROL!$C$42, 41.512, 41.512)* CHOOSE(CONTROL!$C$21, $C$9, 100%, $E$9)</f>
        <v>41.512</v>
      </c>
      <c r="K681" s="53">
        <f>CHOOSE(CONTROL!$C$42, 41.6661, 41.6661) * CHOOSE(CONTROL!$C$21, $C$9, 100%, $E$9)</f>
        <v>41.6661</v>
      </c>
      <c r="L681" s="14">
        <f>CHOOSE(CONTROL!$C$42, 42.3519, 42.3519) * CHOOSE(CONTROL!$C$21, $C$9, 100%, $E$9)</f>
        <v>42.351900000000001</v>
      </c>
      <c r="M681" s="14">
        <f>CHOOSE(CONTROL!$C$42, 40.6691, 40.6691) * CHOOSE(CONTROL!$C$21, $C$9, 100%, $E$9)</f>
        <v>40.6691</v>
      </c>
      <c r="N681" s="14">
        <f>CHOOSE(CONTROL!$C$42, 40.6855, 40.6855) * CHOOSE(CONTROL!$C$21, $C$9, 100%, $E$9)</f>
        <v>40.685499999999998</v>
      </c>
      <c r="O681" s="14">
        <f>CHOOSE(CONTROL!$C$42, 40.9169, 40.9169) * CHOOSE(CONTROL!$C$21, $C$9, 100%, $E$9)</f>
        <v>40.916899999999998</v>
      </c>
      <c r="P681" s="14">
        <f>CHOOSE(CONTROL!$C$42, 40.8213, 40.8213) * CHOOSE(CONTROL!$C$21, $C$9, 100%, $E$9)</f>
        <v>40.821300000000001</v>
      </c>
      <c r="Q681" s="14">
        <f>CHOOSE(CONTROL!$C$42, 41.5116, 41.5116) * CHOOSE(CONTROL!$C$21, $C$9, 100%, $E$9)</f>
        <v>41.511600000000001</v>
      </c>
      <c r="R681" s="14">
        <f>CHOOSE(CONTROL!$C$42, 42.2024, 42.2024) * CHOOSE(CONTROL!$C$21, $C$9, 100%, $E$9)</f>
        <v>42.202399999999997</v>
      </c>
      <c r="S681" s="14">
        <f>CHOOSE(CONTROL!$C$42, 39.8973, 39.8973) * CHOOSE(CONTROL!$C$21, $C$9, 100%, $E$9)</f>
        <v>39.897300000000001</v>
      </c>
      <c r="T6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7">
        <f>(1000*CHOOSE(CONTROL!$C$42, 695, 695)*CHOOSE(CONTROL!$C$42, 0.5599, 0.5599)*CHOOSE(CONTROL!$C$42, 30, 30))/1000000</f>
        <v>11.673914999999997</v>
      </c>
      <c r="V681" s="57">
        <f>(1000*CHOOSE(CONTROL!$C$42, 500, 500)*CHOOSE(CONTROL!$C$42, 0.275, 0.275)*CHOOSE(CONTROL!$C$42, 30, 30))/1000000</f>
        <v>4.125</v>
      </c>
      <c r="W681" s="57">
        <f>(1000*CHOOSE(CONTROL!$C$42, 0.1146, 0.1146)*CHOOSE(CONTROL!$C$42, 121.5, 121.5)*CHOOSE(CONTROL!$C$42, 30, 30))/1000000</f>
        <v>0.417717</v>
      </c>
      <c r="X681" s="57">
        <f>(30*0.1790888*245000/1000000)+(30*0.2374*100000/1000000)</f>
        <v>2.0285026799999999</v>
      </c>
      <c r="Y681" s="57"/>
      <c r="Z681" s="14"/>
      <c r="AA681" s="56"/>
      <c r="AB681" s="50">
        <f>(B681*194.205+C681*267.466+D681*133.845+E681*53.484+F681*40+G681*185+H681*0+I681*100+J681*300)/(194.205+267.466+133.845+53.484+0+40+185+100+300)</f>
        <v>41.572492148822604</v>
      </c>
      <c r="AC681" s="45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40.804255395683455</v>
      </c>
    </row>
    <row r="682" spans="1:29" ht="15.75" x14ac:dyDescent="0.25">
      <c r="A682" s="32">
        <v>61667</v>
      </c>
      <c r="B682" s="14">
        <f>CHOOSE(CONTROL!$C$42, 40.687, 40.687) * CHOOSE(CONTROL!$C$21, $C$9, 100%, $E$9)</f>
        <v>40.686999999999998</v>
      </c>
      <c r="C682" s="14">
        <f>CHOOSE(CONTROL!$C$42, 40.6924, 40.6924) * CHOOSE(CONTROL!$C$21, $C$9, 100%, $E$9)</f>
        <v>40.692399999999999</v>
      </c>
      <c r="D682" s="14">
        <f>CHOOSE(CONTROL!$C$42, 40.9023, 40.9023) * CHOOSE(CONTROL!$C$21, $C$9, 100%, $E$9)</f>
        <v>40.902299999999997</v>
      </c>
      <c r="E682" s="14">
        <f>CHOOSE(CONTROL!$C$42, 40.9314, 40.9314) * CHOOSE(CONTROL!$C$21, $C$9, 100%, $E$9)</f>
        <v>40.931399999999996</v>
      </c>
      <c r="F682" s="14">
        <f>CHOOSE(CONTROL!$C$42, 40.6763, 40.6763)*CHOOSE(CONTROL!$C$21, $C$9, 100%, $E$9)</f>
        <v>40.676299999999998</v>
      </c>
      <c r="G682" s="14">
        <f>CHOOSE(CONTROL!$C$42, 40.6926, 40.6926)*CHOOSE(CONTROL!$C$21, $C$9, 100%, $E$9)</f>
        <v>40.692599999999999</v>
      </c>
      <c r="H682" s="14">
        <f>CHOOSE(CONTROL!$C$42, 40.9219, 40.9219) * CHOOSE(CONTROL!$C$21, $C$9, 100%, $E$9)</f>
        <v>40.921900000000001</v>
      </c>
      <c r="I682" s="14">
        <f>CHOOSE(CONTROL!$C$42, 40.8243, 40.8243)* CHOOSE(CONTROL!$C$21, $C$9, 100%, $E$9)</f>
        <v>40.824300000000001</v>
      </c>
      <c r="J682" s="14">
        <f>CHOOSE(CONTROL!$C$42, 40.6693, 40.6693)* CHOOSE(CONTROL!$C$21, $C$9, 100%, $E$9)</f>
        <v>40.6693</v>
      </c>
      <c r="K682" s="53">
        <f>CHOOSE(CONTROL!$C$42, 40.8204, 40.8204) * CHOOSE(CONTROL!$C$21, $C$9, 100%, $E$9)</f>
        <v>40.820399999999999</v>
      </c>
      <c r="L682" s="14">
        <f>CHOOSE(CONTROL!$C$42, 41.5089, 41.5089) * CHOOSE(CONTROL!$C$21, $C$9, 100%, $E$9)</f>
        <v>41.508899999999997</v>
      </c>
      <c r="M682" s="14">
        <f>CHOOSE(CONTROL!$C$42, 39.8437, 39.8437) * CHOOSE(CONTROL!$C$21, $C$9, 100%, $E$9)</f>
        <v>39.843699999999998</v>
      </c>
      <c r="N682" s="14">
        <f>CHOOSE(CONTROL!$C$42, 39.8597, 39.8597) * CHOOSE(CONTROL!$C$21, $C$9, 100%, $E$9)</f>
        <v>39.859699999999997</v>
      </c>
      <c r="O682" s="14">
        <f>CHOOSE(CONTROL!$C$42, 40.0911, 40.0911) * CHOOSE(CONTROL!$C$21, $C$9, 100%, $E$9)</f>
        <v>40.091099999999997</v>
      </c>
      <c r="P682" s="14">
        <f>CHOOSE(CONTROL!$C$42, 39.993, 39.993) * CHOOSE(CONTROL!$C$21, $C$9, 100%, $E$9)</f>
        <v>39.993000000000002</v>
      </c>
      <c r="Q682" s="14">
        <f>CHOOSE(CONTROL!$C$42, 40.6858, 40.6858) * CHOOSE(CONTROL!$C$21, $C$9, 100%, $E$9)</f>
        <v>40.6858</v>
      </c>
      <c r="R682" s="14">
        <f>CHOOSE(CONTROL!$C$42, 41.3745, 41.3745) * CHOOSE(CONTROL!$C$21, $C$9, 100%, $E$9)</f>
        <v>41.374499999999998</v>
      </c>
      <c r="S682" s="14">
        <f>CHOOSE(CONTROL!$C$42, 39.0872, 39.0872) * CHOOSE(CONTROL!$C$21, $C$9, 100%, $E$9)</f>
        <v>39.087200000000003</v>
      </c>
      <c r="T6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7">
        <f>(1000*CHOOSE(CONTROL!$C$42, 695, 695)*CHOOSE(CONTROL!$C$42, 0.5599, 0.5599)*CHOOSE(CONTROL!$C$42, 31, 31))/1000000</f>
        <v>12.063045499999998</v>
      </c>
      <c r="V682" s="57">
        <f>(1000*CHOOSE(CONTROL!$C$42, 500, 500)*CHOOSE(CONTROL!$C$42, 0.275, 0.275)*CHOOSE(CONTROL!$C$42, 31, 31))/1000000</f>
        <v>4.2625000000000002</v>
      </c>
      <c r="W682" s="57">
        <f>(1000*CHOOSE(CONTROL!$C$42, 0.1146, 0.1146)*CHOOSE(CONTROL!$C$42, 121.5, 121.5)*CHOOSE(CONTROL!$C$42, 31, 31))/1000000</f>
        <v>0.43164089999999994</v>
      </c>
      <c r="X682" s="57">
        <f>(31*0.1790888*245000/1000000)+(31*0.2374*100000/1000000)</f>
        <v>2.0961194359999999</v>
      </c>
      <c r="Y682" s="57"/>
      <c r="Z682" s="14"/>
      <c r="AA682" s="56"/>
      <c r="AB682" s="50">
        <f>(B682*131.881+C682*277.167+D682*79.08+E682*125.872+F682*40+G682*185+H682*0+I682*100+J682*300)/(131.881+277.167+79.08+125.872+0+40+185+100+300)</f>
        <v>40.734065167554483</v>
      </c>
      <c r="AC682" s="45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39.97823381294964</v>
      </c>
    </row>
    <row r="683" spans="1:29" ht="15.75" x14ac:dyDescent="0.25">
      <c r="A683" s="32">
        <v>61697</v>
      </c>
      <c r="B683" s="14">
        <f>CHOOSE(CONTROL!$C$42, 41.7583, 41.7583) * CHOOSE(CONTROL!$C$21, $C$9, 100%, $E$9)</f>
        <v>41.758299999999998</v>
      </c>
      <c r="C683" s="14">
        <f>CHOOSE(CONTROL!$C$42, 41.7633, 41.7633) * CHOOSE(CONTROL!$C$21, $C$9, 100%, $E$9)</f>
        <v>41.763300000000001</v>
      </c>
      <c r="D683" s="14">
        <f>CHOOSE(CONTROL!$C$42, 41.8271, 41.8271) * CHOOSE(CONTROL!$C$21, $C$9, 100%, $E$9)</f>
        <v>41.827100000000002</v>
      </c>
      <c r="E683" s="14">
        <f>CHOOSE(CONTROL!$C$42, 41.8612, 41.8612) * CHOOSE(CONTROL!$C$21, $C$9, 100%, $E$9)</f>
        <v>41.861199999999997</v>
      </c>
      <c r="F683" s="14">
        <f>CHOOSE(CONTROL!$C$42, 41.7605, 41.7605)*CHOOSE(CONTROL!$C$21, $C$9, 100%, $E$9)</f>
        <v>41.7605</v>
      </c>
      <c r="G683" s="14">
        <f>CHOOSE(CONTROL!$C$42, 41.7772, 41.7772)*CHOOSE(CONTROL!$C$21, $C$9, 100%, $E$9)</f>
        <v>41.777200000000001</v>
      </c>
      <c r="H683" s="14">
        <f>CHOOSE(CONTROL!$C$42, 41.8504, 41.8504) * CHOOSE(CONTROL!$C$21, $C$9, 100%, $E$9)</f>
        <v>41.8504</v>
      </c>
      <c r="I683" s="14">
        <f>CHOOSE(CONTROL!$C$42, 41.9029, 41.9029)* CHOOSE(CONTROL!$C$21, $C$9, 100%, $E$9)</f>
        <v>41.902900000000002</v>
      </c>
      <c r="J683" s="14">
        <f>CHOOSE(CONTROL!$C$42, 41.7535, 41.7535)* CHOOSE(CONTROL!$C$21, $C$9, 100%, $E$9)</f>
        <v>41.753500000000003</v>
      </c>
      <c r="K683" s="53">
        <f>CHOOSE(CONTROL!$C$42, 41.899, 41.899) * CHOOSE(CONTROL!$C$21, $C$9, 100%, $E$9)</f>
        <v>41.899000000000001</v>
      </c>
      <c r="L683" s="14">
        <f>CHOOSE(CONTROL!$C$42, 42.4374, 42.4374) * CHOOSE(CONTROL!$C$21, $C$9, 100%, $E$9)</f>
        <v>42.437399999999997</v>
      </c>
      <c r="M683" s="14">
        <f>CHOOSE(CONTROL!$C$42, 40.9057, 40.9057) * CHOOSE(CONTROL!$C$21, $C$9, 100%, $E$9)</f>
        <v>40.905700000000003</v>
      </c>
      <c r="N683" s="14">
        <f>CHOOSE(CONTROL!$C$42, 40.922, 40.922) * CHOOSE(CONTROL!$C$21, $C$9, 100%, $E$9)</f>
        <v>40.921999999999997</v>
      </c>
      <c r="O683" s="14">
        <f>CHOOSE(CONTROL!$C$42, 41.0006, 41.0006) * CHOOSE(CONTROL!$C$21, $C$9, 100%, $E$9)</f>
        <v>41.000599999999999</v>
      </c>
      <c r="P683" s="14">
        <f>CHOOSE(CONTROL!$C$42, 41.0495, 41.0495) * CHOOSE(CONTROL!$C$21, $C$9, 100%, $E$9)</f>
        <v>41.049500000000002</v>
      </c>
      <c r="Q683" s="14">
        <f>CHOOSE(CONTROL!$C$42, 41.5953, 41.5953) * CHOOSE(CONTROL!$C$21, $C$9, 100%, $E$9)</f>
        <v>41.595300000000002</v>
      </c>
      <c r="R683" s="14">
        <f>CHOOSE(CONTROL!$C$42, 42.2863, 42.2863) * CHOOSE(CONTROL!$C$21, $C$9, 100%, $E$9)</f>
        <v>42.286299999999997</v>
      </c>
      <c r="S683" s="14">
        <f>CHOOSE(CONTROL!$C$42, 40.117, 40.117) * CHOOSE(CONTROL!$C$21, $C$9, 100%, $E$9)</f>
        <v>40.116999999999997</v>
      </c>
      <c r="T6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7">
        <f>(1000*CHOOSE(CONTROL!$C$42, 695, 695)*CHOOSE(CONTROL!$C$42, 0.5599, 0.5599)*CHOOSE(CONTROL!$C$42, 30, 30))/1000000</f>
        <v>11.673914999999997</v>
      </c>
      <c r="V683" s="57">
        <f>(1000*CHOOSE(CONTROL!$C$42, 500, 500)*CHOOSE(CONTROL!$C$42, 0.275, 0.275)*CHOOSE(CONTROL!$C$42, 30, 30))/1000000</f>
        <v>4.125</v>
      </c>
      <c r="W683" s="57">
        <f>(1000*CHOOSE(CONTROL!$C$42, 0.1146, 0.1146)*CHOOSE(CONTROL!$C$42, 121.5, 121.5)*CHOOSE(CONTROL!$C$42, 30, 30))/1000000</f>
        <v>0.417717</v>
      </c>
      <c r="X683" s="57">
        <f>(30*0.1790888*100000/1000000)+(30*0.2374*100000/1000000)</f>
        <v>1.2494664</v>
      </c>
      <c r="Y683" s="57"/>
      <c r="Z683" s="14"/>
      <c r="AA683" s="56"/>
      <c r="AB683" s="50">
        <f>(B683*122.58+C683*297.941+D683*89.177+E683*40.302+F683*40+G683*160+H683*0+I683*100+J683*300)/(122.58+297.941+89.177+40.302+0+40+160+100+300)</f>
        <v>41.782564485565217</v>
      </c>
      <c r="AC683" s="45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40.970341007194243</v>
      </c>
    </row>
    <row r="684" spans="1:29" ht="15.75" x14ac:dyDescent="0.25">
      <c r="A684" s="32">
        <v>61728</v>
      </c>
      <c r="B684" s="14">
        <f>CHOOSE(CONTROL!$C$42, 44.6047, 44.6047) * CHOOSE(CONTROL!$C$21, $C$9, 100%, $E$9)</f>
        <v>44.604700000000001</v>
      </c>
      <c r="C684" s="14">
        <f>CHOOSE(CONTROL!$C$42, 44.6097, 44.6097) * CHOOSE(CONTROL!$C$21, $C$9, 100%, $E$9)</f>
        <v>44.609699999999997</v>
      </c>
      <c r="D684" s="14">
        <f>CHOOSE(CONTROL!$C$42, 44.6735, 44.6735) * CHOOSE(CONTROL!$C$21, $C$9, 100%, $E$9)</f>
        <v>44.673499999999997</v>
      </c>
      <c r="E684" s="14">
        <f>CHOOSE(CONTROL!$C$42, 44.7076, 44.7076) * CHOOSE(CONTROL!$C$21, $C$9, 100%, $E$9)</f>
        <v>44.707599999999999</v>
      </c>
      <c r="F684" s="14">
        <f>CHOOSE(CONTROL!$C$42, 44.609, 44.609)*CHOOSE(CONTROL!$C$21, $C$9, 100%, $E$9)</f>
        <v>44.609000000000002</v>
      </c>
      <c r="G684" s="14">
        <f>CHOOSE(CONTROL!$C$42, 44.6262, 44.6262)*CHOOSE(CONTROL!$C$21, $C$9, 100%, $E$9)</f>
        <v>44.626199999999997</v>
      </c>
      <c r="H684" s="14">
        <f>CHOOSE(CONTROL!$C$42, 44.6968, 44.6968) * CHOOSE(CONTROL!$C$21, $C$9, 100%, $E$9)</f>
        <v>44.696800000000003</v>
      </c>
      <c r="I684" s="14">
        <f>CHOOSE(CONTROL!$C$42, 44.7582, 44.7582)* CHOOSE(CONTROL!$C$21, $C$9, 100%, $E$9)</f>
        <v>44.758200000000002</v>
      </c>
      <c r="J684" s="14">
        <f>CHOOSE(CONTROL!$C$42, 44.602, 44.602)* CHOOSE(CONTROL!$C$21, $C$9, 100%, $E$9)</f>
        <v>44.601999999999997</v>
      </c>
      <c r="K684" s="53">
        <f>CHOOSE(CONTROL!$C$42, 44.7543, 44.7543) * CHOOSE(CONTROL!$C$21, $C$9, 100%, $E$9)</f>
        <v>44.754300000000001</v>
      </c>
      <c r="L684" s="14">
        <f>CHOOSE(CONTROL!$C$42, 45.2838, 45.2838) * CHOOSE(CONTROL!$C$21, $C$9, 100%, $E$9)</f>
        <v>45.283799999999999</v>
      </c>
      <c r="M684" s="14">
        <f>CHOOSE(CONTROL!$C$42, 43.6958, 43.6958) * CHOOSE(CONTROL!$C$21, $C$9, 100%, $E$9)</f>
        <v>43.695799999999998</v>
      </c>
      <c r="N684" s="14">
        <f>CHOOSE(CONTROL!$C$42, 43.7126, 43.7126) * CHOOSE(CONTROL!$C$21, $C$9, 100%, $E$9)</f>
        <v>43.712600000000002</v>
      </c>
      <c r="O684" s="14">
        <f>CHOOSE(CONTROL!$C$42, 43.7887, 43.7887) * CHOOSE(CONTROL!$C$21, $C$9, 100%, $E$9)</f>
        <v>43.788699999999999</v>
      </c>
      <c r="P684" s="14">
        <f>CHOOSE(CONTROL!$C$42, 43.8461, 43.8461) * CHOOSE(CONTROL!$C$21, $C$9, 100%, $E$9)</f>
        <v>43.8461</v>
      </c>
      <c r="Q684" s="14">
        <f>CHOOSE(CONTROL!$C$42, 44.3834, 44.3834) * CHOOSE(CONTROL!$C$21, $C$9, 100%, $E$9)</f>
        <v>44.383400000000002</v>
      </c>
      <c r="R684" s="14">
        <f>CHOOSE(CONTROL!$C$42, 45.0814, 45.0814) * CHOOSE(CONTROL!$C$21, $C$9, 100%, $E$9)</f>
        <v>45.081400000000002</v>
      </c>
      <c r="S684" s="14">
        <f>CHOOSE(CONTROL!$C$42, 42.8521, 42.8521) * CHOOSE(CONTROL!$C$21, $C$9, 100%, $E$9)</f>
        <v>42.8521</v>
      </c>
      <c r="T6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7">
        <f>(1000*CHOOSE(CONTROL!$C$42, 695, 695)*CHOOSE(CONTROL!$C$42, 0.5599, 0.5599)*CHOOSE(CONTROL!$C$42, 31, 31))/1000000</f>
        <v>12.063045499999998</v>
      </c>
      <c r="V684" s="57">
        <f>(1000*CHOOSE(CONTROL!$C$42, 500, 500)*CHOOSE(CONTROL!$C$42, 0.275, 0.275)*CHOOSE(CONTROL!$C$42, 31, 31))/1000000</f>
        <v>4.2625000000000002</v>
      </c>
      <c r="W684" s="57">
        <f>(1000*CHOOSE(CONTROL!$C$42, 0.1146, 0.1146)*CHOOSE(CONTROL!$C$42, 121.5, 121.5)*CHOOSE(CONTROL!$C$42, 31, 31))/1000000</f>
        <v>0.43164089999999994</v>
      </c>
      <c r="X684" s="57">
        <f>(31*0.1790888*100000/1000000)+(31*0.2374*100000/1000000)</f>
        <v>1.2911152800000001</v>
      </c>
      <c r="Y684" s="57"/>
      <c r="Z684" s="14"/>
      <c r="AA684" s="56"/>
      <c r="AB684" s="50">
        <f>(B684*122.58+C684*297.941+D684*89.177+E684*40.302+F684*40+G684*160+H684*0+I684*100+J684*300)/(122.58+297.941+89.177+40.302+0+40+160+100+300)</f>
        <v>44.630721007304345</v>
      </c>
      <c r="AC684" s="45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43.760498561151081</v>
      </c>
    </row>
    <row r="685" spans="1:29" ht="15.75" x14ac:dyDescent="0.25">
      <c r="A685" s="32">
        <v>61759</v>
      </c>
      <c r="B685" s="14">
        <f>CHOOSE(CONTROL!$C$42, 48.2576, 48.2576) * CHOOSE(CONTROL!$C$21, $C$9, 100%, $E$9)</f>
        <v>48.257599999999996</v>
      </c>
      <c r="C685" s="14">
        <f>CHOOSE(CONTROL!$C$42, 48.2627, 48.2627) * CHOOSE(CONTROL!$C$21, $C$9, 100%, $E$9)</f>
        <v>48.262700000000002</v>
      </c>
      <c r="D685" s="14">
        <f>CHOOSE(CONTROL!$C$42, 48.3213, 48.3213) * CHOOSE(CONTROL!$C$21, $C$9, 100%, $E$9)</f>
        <v>48.321300000000001</v>
      </c>
      <c r="E685" s="14">
        <f>CHOOSE(CONTROL!$C$42, 48.3554, 48.3554) * CHOOSE(CONTROL!$C$21, $C$9, 100%, $E$9)</f>
        <v>48.355400000000003</v>
      </c>
      <c r="F685" s="14">
        <f>CHOOSE(CONTROL!$C$42, 48.2567, 48.2567)*CHOOSE(CONTROL!$C$21, $C$9, 100%, $E$9)</f>
        <v>48.256700000000002</v>
      </c>
      <c r="G685" s="14">
        <f>CHOOSE(CONTROL!$C$42, 48.2731, 48.2731)*CHOOSE(CONTROL!$C$21, $C$9, 100%, $E$9)</f>
        <v>48.273099999999999</v>
      </c>
      <c r="H685" s="14">
        <f>CHOOSE(CONTROL!$C$42, 48.3446, 48.3446) * CHOOSE(CONTROL!$C$21, $C$9, 100%, $E$9)</f>
        <v>48.3446</v>
      </c>
      <c r="I685" s="14">
        <f>CHOOSE(CONTROL!$C$42, 48.419, 48.419)* CHOOSE(CONTROL!$C$21, $C$9, 100%, $E$9)</f>
        <v>48.418999999999997</v>
      </c>
      <c r="J685" s="14">
        <f>CHOOSE(CONTROL!$C$42, 48.2497, 48.2497)* CHOOSE(CONTROL!$C$21, $C$9, 100%, $E$9)</f>
        <v>48.249699999999997</v>
      </c>
      <c r="K685" s="53">
        <f>CHOOSE(CONTROL!$C$42, 48.4151, 48.4151) * CHOOSE(CONTROL!$C$21, $C$9, 100%, $E$9)</f>
        <v>48.415100000000002</v>
      </c>
      <c r="L685" s="14">
        <f>CHOOSE(CONTROL!$C$42, 48.9316, 48.9316) * CHOOSE(CONTROL!$C$21, $C$9, 100%, $E$9)</f>
        <v>48.931600000000003</v>
      </c>
      <c r="M685" s="14">
        <f>CHOOSE(CONTROL!$C$42, 47.2688, 47.2688) * CHOOSE(CONTROL!$C$21, $C$9, 100%, $E$9)</f>
        <v>47.268799999999999</v>
      </c>
      <c r="N685" s="14">
        <f>CHOOSE(CONTROL!$C$42, 47.2849, 47.2849) * CHOOSE(CONTROL!$C$21, $C$9, 100%, $E$9)</f>
        <v>47.2849</v>
      </c>
      <c r="O685" s="14">
        <f>CHOOSE(CONTROL!$C$42, 47.3617, 47.3617) * CHOOSE(CONTROL!$C$21, $C$9, 100%, $E$9)</f>
        <v>47.361699999999999</v>
      </c>
      <c r="P685" s="14">
        <f>CHOOSE(CONTROL!$C$42, 47.4316, 47.4316) * CHOOSE(CONTROL!$C$21, $C$9, 100%, $E$9)</f>
        <v>47.431600000000003</v>
      </c>
      <c r="Q685" s="14">
        <f>CHOOSE(CONTROL!$C$42, 47.9564, 47.9564) * CHOOSE(CONTROL!$C$21, $C$9, 100%, $E$9)</f>
        <v>47.956400000000002</v>
      </c>
      <c r="R685" s="14">
        <f>CHOOSE(CONTROL!$C$42, 48.6633, 48.6633) * CHOOSE(CONTROL!$C$21, $C$9, 100%, $E$9)</f>
        <v>48.6633</v>
      </c>
      <c r="S685" s="14">
        <f>CHOOSE(CONTROL!$C$42, 46.3622, 46.3622) * CHOOSE(CONTROL!$C$21, $C$9, 100%, $E$9)</f>
        <v>46.362200000000001</v>
      </c>
      <c r="T6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7">
        <f>(1000*CHOOSE(CONTROL!$C$42, 695, 695)*CHOOSE(CONTROL!$C$42, 0.5599, 0.5599)*CHOOSE(CONTROL!$C$42, 31, 31))/1000000</f>
        <v>12.063045499999998</v>
      </c>
      <c r="V685" s="57">
        <f>(1000*CHOOSE(CONTROL!$C$42, 500, 500)*CHOOSE(CONTROL!$C$42, 0.275, 0.275)*CHOOSE(CONTROL!$C$42, 31, 31))/1000000</f>
        <v>4.2625000000000002</v>
      </c>
      <c r="W685" s="57">
        <f>(1000*CHOOSE(CONTROL!$C$42, 0.1146, 0.1146)*CHOOSE(CONTROL!$C$42, 121.5, 121.5)*CHOOSE(CONTROL!$C$42, 31, 31))/1000000</f>
        <v>0.43164089999999994</v>
      </c>
      <c r="X685" s="57">
        <f>(31*0.1790888*100000/1000000)+(31*0.2374*100000/1000000)</f>
        <v>1.2911152800000001</v>
      </c>
      <c r="Y685" s="57"/>
      <c r="Z685" s="14"/>
      <c r="AA685" s="56"/>
      <c r="AB685" s="50">
        <f>(B685*122.58+C685*297.941+D685*89.177+E685*40.302+F685*40+G685*160+H685*0+I685*100+J685*300)/(122.58+297.941+89.177+40.302+0+40+160+100+300)</f>
        <v>48.281387486608693</v>
      </c>
      <c r="AC685" s="45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47.335256834532373</v>
      </c>
    </row>
    <row r="686" spans="1:29" ht="15.75" x14ac:dyDescent="0.25">
      <c r="A686" s="32">
        <v>61787</v>
      </c>
      <c r="B686" s="14">
        <f>CHOOSE(CONTROL!$C$42, 49.1165, 49.1165) * CHOOSE(CONTROL!$C$21, $C$9, 100%, $E$9)</f>
        <v>49.116500000000002</v>
      </c>
      <c r="C686" s="14">
        <f>CHOOSE(CONTROL!$C$42, 49.1216, 49.1216) * CHOOSE(CONTROL!$C$21, $C$9, 100%, $E$9)</f>
        <v>49.121600000000001</v>
      </c>
      <c r="D686" s="14">
        <f>CHOOSE(CONTROL!$C$42, 49.1802, 49.1802) * CHOOSE(CONTROL!$C$21, $C$9, 100%, $E$9)</f>
        <v>49.180199999999999</v>
      </c>
      <c r="E686" s="14">
        <f>CHOOSE(CONTROL!$C$42, 49.2143, 49.2143) * CHOOSE(CONTROL!$C$21, $C$9, 100%, $E$9)</f>
        <v>49.214300000000001</v>
      </c>
      <c r="F686" s="14">
        <f>CHOOSE(CONTROL!$C$42, 49.1156, 49.1156)*CHOOSE(CONTROL!$C$21, $C$9, 100%, $E$9)</f>
        <v>49.115600000000001</v>
      </c>
      <c r="G686" s="14">
        <f>CHOOSE(CONTROL!$C$42, 49.132, 49.132)*CHOOSE(CONTROL!$C$21, $C$9, 100%, $E$9)</f>
        <v>49.131999999999998</v>
      </c>
      <c r="H686" s="14">
        <f>CHOOSE(CONTROL!$C$42, 49.2035, 49.2035) * CHOOSE(CONTROL!$C$21, $C$9, 100%, $E$9)</f>
        <v>49.203499999999998</v>
      </c>
      <c r="I686" s="14">
        <f>CHOOSE(CONTROL!$C$42, 49.2806, 49.2806)* CHOOSE(CONTROL!$C$21, $C$9, 100%, $E$9)</f>
        <v>49.2806</v>
      </c>
      <c r="J686" s="14">
        <f>CHOOSE(CONTROL!$C$42, 49.1086, 49.1086)* CHOOSE(CONTROL!$C$21, $C$9, 100%, $E$9)</f>
        <v>49.108600000000003</v>
      </c>
      <c r="K686" s="53">
        <f>CHOOSE(CONTROL!$C$42, 49.2767, 49.2767) * CHOOSE(CONTROL!$C$21, $C$9, 100%, $E$9)</f>
        <v>49.276699999999998</v>
      </c>
      <c r="L686" s="14">
        <f>CHOOSE(CONTROL!$C$42, 49.7905, 49.7905) * CHOOSE(CONTROL!$C$21, $C$9, 100%, $E$9)</f>
        <v>49.790500000000002</v>
      </c>
      <c r="M686" s="14">
        <f>CHOOSE(CONTROL!$C$42, 48.1101, 48.1101) * CHOOSE(CONTROL!$C$21, $C$9, 100%, $E$9)</f>
        <v>48.110100000000003</v>
      </c>
      <c r="N686" s="14">
        <f>CHOOSE(CONTROL!$C$42, 48.1261, 48.1261) * CHOOSE(CONTROL!$C$21, $C$9, 100%, $E$9)</f>
        <v>48.126100000000001</v>
      </c>
      <c r="O686" s="14">
        <f>CHOOSE(CONTROL!$C$42, 48.203, 48.203) * CHOOSE(CONTROL!$C$21, $C$9, 100%, $E$9)</f>
        <v>48.203000000000003</v>
      </c>
      <c r="P686" s="14">
        <f>CHOOSE(CONTROL!$C$42, 48.2755, 48.2755) * CHOOSE(CONTROL!$C$21, $C$9, 100%, $E$9)</f>
        <v>48.275500000000001</v>
      </c>
      <c r="Q686" s="14">
        <f>CHOOSE(CONTROL!$C$42, 48.7977, 48.7977) * CHOOSE(CONTROL!$C$21, $C$9, 100%, $E$9)</f>
        <v>48.797699999999999</v>
      </c>
      <c r="R686" s="14">
        <f>CHOOSE(CONTROL!$C$42, 49.5067, 49.5067) * CHOOSE(CONTROL!$C$21, $C$9, 100%, $E$9)</f>
        <v>49.506700000000002</v>
      </c>
      <c r="S686" s="14">
        <f>CHOOSE(CONTROL!$C$42, 47.1875, 47.1875) * CHOOSE(CONTROL!$C$21, $C$9, 100%, $E$9)</f>
        <v>47.1875</v>
      </c>
      <c r="T6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7">
        <f>(1000*CHOOSE(CONTROL!$C$42, 695, 695)*CHOOSE(CONTROL!$C$42, 0.5599, 0.5599)*CHOOSE(CONTROL!$C$42, 28, 28))/1000000</f>
        <v>10.895653999999999</v>
      </c>
      <c r="V686" s="57">
        <f>(1000*CHOOSE(CONTROL!$C$42, 500, 500)*CHOOSE(CONTROL!$C$42, 0.275, 0.275)*CHOOSE(CONTROL!$C$42, 28, 28))/1000000</f>
        <v>3.85</v>
      </c>
      <c r="W686" s="57">
        <f>(1000*CHOOSE(CONTROL!$C$42, 0.1146, 0.1146)*CHOOSE(CONTROL!$C$42, 121.5, 121.5)*CHOOSE(CONTROL!$C$42, 28, 28))/1000000</f>
        <v>0.38986920000000003</v>
      </c>
      <c r="X686" s="57">
        <f>(28*0.1790888*100000/1000000)+(28*0.2374*100000/1000000)</f>
        <v>1.16616864</v>
      </c>
      <c r="Y686" s="57"/>
      <c r="Z686" s="14"/>
      <c r="AA686" s="56"/>
      <c r="AB686" s="50">
        <f>(B686*122.58+C686*297.941+D686*89.177+E686*40.302+F686*40+G686*160+H686*0+I686*100+J686*300)/(122.58+297.941+89.177+40.302+0+40+160+100+300)</f>
        <v>49.140522269217392</v>
      </c>
      <c r="AC686" s="45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48.17692517985612</v>
      </c>
    </row>
    <row r="687" spans="1:29" ht="15.75" x14ac:dyDescent="0.25">
      <c r="A687" s="32">
        <v>61818</v>
      </c>
      <c r="B687" s="14">
        <f>CHOOSE(CONTROL!$C$42, 47.7223, 47.7223) * CHOOSE(CONTROL!$C$21, $C$9, 100%, $E$9)</f>
        <v>47.722299999999997</v>
      </c>
      <c r="C687" s="14">
        <f>CHOOSE(CONTROL!$C$42, 47.7274, 47.7274) * CHOOSE(CONTROL!$C$21, $C$9, 100%, $E$9)</f>
        <v>47.727400000000003</v>
      </c>
      <c r="D687" s="14">
        <f>CHOOSE(CONTROL!$C$42, 47.786, 47.786) * CHOOSE(CONTROL!$C$21, $C$9, 100%, $E$9)</f>
        <v>47.786000000000001</v>
      </c>
      <c r="E687" s="14">
        <f>CHOOSE(CONTROL!$C$42, 47.8201, 47.8201) * CHOOSE(CONTROL!$C$21, $C$9, 100%, $E$9)</f>
        <v>47.820099999999996</v>
      </c>
      <c r="F687" s="14">
        <f>CHOOSE(CONTROL!$C$42, 47.7209, 47.7209)*CHOOSE(CONTROL!$C$21, $C$9, 100%, $E$9)</f>
        <v>47.7209</v>
      </c>
      <c r="G687" s="14">
        <f>CHOOSE(CONTROL!$C$42, 47.7371, 47.7371)*CHOOSE(CONTROL!$C$21, $C$9, 100%, $E$9)</f>
        <v>47.737099999999998</v>
      </c>
      <c r="H687" s="14">
        <f>CHOOSE(CONTROL!$C$42, 47.8093, 47.8093) * CHOOSE(CONTROL!$C$21, $C$9, 100%, $E$9)</f>
        <v>47.8093</v>
      </c>
      <c r="I687" s="14">
        <f>CHOOSE(CONTROL!$C$42, 47.882, 47.882)* CHOOSE(CONTROL!$C$21, $C$9, 100%, $E$9)</f>
        <v>47.881999999999998</v>
      </c>
      <c r="J687" s="14">
        <f>CHOOSE(CONTROL!$C$42, 47.7139, 47.7139)* CHOOSE(CONTROL!$C$21, $C$9, 100%, $E$9)</f>
        <v>47.713900000000002</v>
      </c>
      <c r="K687" s="53">
        <f>CHOOSE(CONTROL!$C$42, 47.8781, 47.8781) * CHOOSE(CONTROL!$C$21, $C$9, 100%, $E$9)</f>
        <v>47.878100000000003</v>
      </c>
      <c r="L687" s="14">
        <f>CHOOSE(CONTROL!$C$42, 48.3963, 48.3963) * CHOOSE(CONTROL!$C$21, $C$9, 100%, $E$9)</f>
        <v>48.396299999999997</v>
      </c>
      <c r="M687" s="14">
        <f>CHOOSE(CONTROL!$C$42, 46.744, 46.744) * CHOOSE(CONTROL!$C$21, $C$9, 100%, $E$9)</f>
        <v>46.744</v>
      </c>
      <c r="N687" s="14">
        <f>CHOOSE(CONTROL!$C$42, 46.7599, 46.7599) * CHOOSE(CONTROL!$C$21, $C$9, 100%, $E$9)</f>
        <v>46.759900000000002</v>
      </c>
      <c r="O687" s="14">
        <f>CHOOSE(CONTROL!$C$42, 46.8374, 46.8374) * CHOOSE(CONTROL!$C$21, $C$9, 100%, $E$9)</f>
        <v>46.837400000000002</v>
      </c>
      <c r="P687" s="14">
        <f>CHOOSE(CONTROL!$C$42, 46.9057, 46.9057) * CHOOSE(CONTROL!$C$21, $C$9, 100%, $E$9)</f>
        <v>46.905700000000003</v>
      </c>
      <c r="Q687" s="14">
        <f>CHOOSE(CONTROL!$C$42, 47.4321, 47.4321) * CHOOSE(CONTROL!$C$21, $C$9, 100%, $E$9)</f>
        <v>47.432099999999998</v>
      </c>
      <c r="R687" s="14">
        <f>CHOOSE(CONTROL!$C$42, 48.1377, 48.1377) * CHOOSE(CONTROL!$C$21, $C$9, 100%, $E$9)</f>
        <v>48.137700000000002</v>
      </c>
      <c r="S687" s="14">
        <f>CHOOSE(CONTROL!$C$42, 45.8478, 45.8478) * CHOOSE(CONTROL!$C$21, $C$9, 100%, $E$9)</f>
        <v>45.847799999999999</v>
      </c>
      <c r="T6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7">
        <f>(1000*CHOOSE(CONTROL!$C$42, 695, 695)*CHOOSE(CONTROL!$C$42, 0.5599, 0.5599)*CHOOSE(CONTROL!$C$42, 31, 31))/1000000</f>
        <v>12.063045499999998</v>
      </c>
      <c r="V687" s="57">
        <f>(1000*CHOOSE(CONTROL!$C$42, 500, 500)*CHOOSE(CONTROL!$C$42, 0.275, 0.275)*CHOOSE(CONTROL!$C$42, 31, 31))/1000000</f>
        <v>4.2625000000000002</v>
      </c>
      <c r="W687" s="57">
        <f>(1000*CHOOSE(CONTROL!$C$42, 0.1146, 0.1146)*CHOOSE(CONTROL!$C$42, 121.5, 121.5)*CHOOSE(CONTROL!$C$42, 31, 31))/1000000</f>
        <v>0.43164089999999994</v>
      </c>
      <c r="X687" s="57">
        <f>(31*0.1790888*100000/1000000)+(31*0.2374*100000/1000000)</f>
        <v>1.2911152800000001</v>
      </c>
      <c r="Y687" s="57"/>
      <c r="Z687" s="14"/>
      <c r="AA687" s="56"/>
      <c r="AB687" s="50">
        <f>(B687*122.58+C687*297.941+D687*89.177+E687*40.302+F687*40+G687*160+H687*0+I687*100+J687*300)/(122.58+297.941+89.177+40.302+0+40+160+100+300)</f>
        <v>47.745694443130432</v>
      </c>
      <c r="AC687" s="45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46.810513669064747</v>
      </c>
    </row>
    <row r="688" spans="1:29" ht="15.75" x14ac:dyDescent="0.25">
      <c r="A688" s="32">
        <v>61848</v>
      </c>
      <c r="B688" s="14">
        <f>CHOOSE(CONTROL!$C$42, 47.5806, 47.5806) * CHOOSE(CONTROL!$C$21, $C$9, 100%, $E$9)</f>
        <v>47.580599999999997</v>
      </c>
      <c r="C688" s="14">
        <f>CHOOSE(CONTROL!$C$42, 47.5851, 47.5851) * CHOOSE(CONTROL!$C$21, $C$9, 100%, $E$9)</f>
        <v>47.585099999999997</v>
      </c>
      <c r="D688" s="14">
        <f>CHOOSE(CONTROL!$C$42, 47.7932, 47.7932) * CHOOSE(CONTROL!$C$21, $C$9, 100%, $E$9)</f>
        <v>47.793199999999999</v>
      </c>
      <c r="E688" s="14">
        <f>CHOOSE(CONTROL!$C$42, 47.8253, 47.8253) * CHOOSE(CONTROL!$C$21, $C$9, 100%, $E$9)</f>
        <v>47.825299999999999</v>
      </c>
      <c r="F688" s="14">
        <f>CHOOSE(CONTROL!$C$42, 47.568, 47.568)*CHOOSE(CONTROL!$C$21, $C$9, 100%, $E$9)</f>
        <v>47.567999999999998</v>
      </c>
      <c r="G688" s="14">
        <f>CHOOSE(CONTROL!$C$42, 47.5839, 47.5839)*CHOOSE(CONTROL!$C$21, $C$9, 100%, $E$9)</f>
        <v>47.5839</v>
      </c>
      <c r="H688" s="14">
        <f>CHOOSE(CONTROL!$C$42, 47.8151, 47.8151) * CHOOSE(CONTROL!$C$21, $C$9, 100%, $E$9)</f>
        <v>47.815100000000001</v>
      </c>
      <c r="I688" s="14">
        <f>CHOOSE(CONTROL!$C$42, 47.7391, 47.7391)* CHOOSE(CONTROL!$C$21, $C$9, 100%, $E$9)</f>
        <v>47.739100000000001</v>
      </c>
      <c r="J688" s="14">
        <f>CHOOSE(CONTROL!$C$42, 47.561, 47.561)* CHOOSE(CONTROL!$C$21, $C$9, 100%, $E$9)</f>
        <v>47.561</v>
      </c>
      <c r="K688" s="53">
        <f>CHOOSE(CONTROL!$C$42, 47.7352, 47.7352) * CHOOSE(CONTROL!$C$21, $C$9, 100%, $E$9)</f>
        <v>47.735199999999999</v>
      </c>
      <c r="L688" s="14">
        <f>CHOOSE(CONTROL!$C$42, 48.4021, 48.4021) * CHOOSE(CONTROL!$C$21, $C$9, 100%, $E$9)</f>
        <v>48.402099999999997</v>
      </c>
      <c r="M688" s="14">
        <f>CHOOSE(CONTROL!$C$42, 46.5942, 46.5942) * CHOOSE(CONTROL!$C$21, $C$9, 100%, $E$9)</f>
        <v>46.594200000000001</v>
      </c>
      <c r="N688" s="14">
        <f>CHOOSE(CONTROL!$C$42, 46.6098, 46.6098) * CHOOSE(CONTROL!$C$21, $C$9, 100%, $E$9)</f>
        <v>46.6098</v>
      </c>
      <c r="O688" s="14">
        <f>CHOOSE(CONTROL!$C$42, 46.8431, 46.8431) * CHOOSE(CONTROL!$C$21, $C$9, 100%, $E$9)</f>
        <v>46.8431</v>
      </c>
      <c r="P688" s="14">
        <f>CHOOSE(CONTROL!$C$42, 46.7657, 46.7657) * CHOOSE(CONTROL!$C$21, $C$9, 100%, $E$9)</f>
        <v>46.765700000000002</v>
      </c>
      <c r="Q688" s="14">
        <f>CHOOSE(CONTROL!$C$42, 47.4378, 47.4378) * CHOOSE(CONTROL!$C$21, $C$9, 100%, $E$9)</f>
        <v>47.437800000000003</v>
      </c>
      <c r="R688" s="14">
        <f>CHOOSE(CONTROL!$C$42, 48.1434, 48.1434) * CHOOSE(CONTROL!$C$21, $C$9, 100%, $E$9)</f>
        <v>48.1434</v>
      </c>
      <c r="S688" s="14">
        <f>CHOOSE(CONTROL!$C$42, 45.7109, 45.7109) * CHOOSE(CONTROL!$C$21, $C$9, 100%, $E$9)</f>
        <v>45.710900000000002</v>
      </c>
      <c r="T6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7">
        <f>(1000*CHOOSE(CONTROL!$C$42, 695, 695)*CHOOSE(CONTROL!$C$42, 0.5599, 0.5599)*CHOOSE(CONTROL!$C$42, 30, 30))/1000000</f>
        <v>11.673914999999997</v>
      </c>
      <c r="V688" s="57">
        <f>(1000*CHOOSE(CONTROL!$C$42, 500, 500)*CHOOSE(CONTROL!$C$42, 0.275, 0.275)*CHOOSE(CONTROL!$C$42, 30, 30))/1000000</f>
        <v>4.125</v>
      </c>
      <c r="W688" s="57">
        <f>(1000*CHOOSE(CONTROL!$C$42, 0.1146, 0.1146)*CHOOSE(CONTROL!$C$42, 121.5, 121.5)*CHOOSE(CONTROL!$C$42, 30, 30))/1000000</f>
        <v>0.417717</v>
      </c>
      <c r="X688" s="57">
        <f>(30*0.1790888*245000/1000000)+(30*0.2374*100000/1000000)</f>
        <v>2.0285026799999999</v>
      </c>
      <c r="Y688" s="57"/>
      <c r="Z688" s="14"/>
      <c r="AA688" s="56"/>
      <c r="AB688" s="50">
        <f>(B688*141.293+C688*267.993+D688*115.016+E688*89.698+F688*40+G688*185+H688*0+I688*100+J688*300)/(141.293+267.993+115.016+89.698+0+40+185+100+300)</f>
        <v>47.627156877078292</v>
      </c>
      <c r="AC688" s="45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46.732584892086329</v>
      </c>
    </row>
    <row r="689" spans="1:29" ht="15.75" x14ac:dyDescent="0.25">
      <c r="A689" s="32">
        <v>61879</v>
      </c>
      <c r="B689" s="14">
        <f>CHOOSE(CONTROL!$C$42, 48.0019, 48.0019) * CHOOSE(CONTROL!$C$21, $C$9, 100%, $E$9)</f>
        <v>48.001899999999999</v>
      </c>
      <c r="C689" s="14">
        <f>CHOOSE(CONTROL!$C$42, 48.0099, 48.0099) * CHOOSE(CONTROL!$C$21, $C$9, 100%, $E$9)</f>
        <v>48.009900000000002</v>
      </c>
      <c r="D689" s="14">
        <f>CHOOSE(CONTROL!$C$42, 48.2149, 48.2149) * CHOOSE(CONTROL!$C$21, $C$9, 100%, $E$9)</f>
        <v>48.2149</v>
      </c>
      <c r="E689" s="14">
        <f>CHOOSE(CONTROL!$C$42, 48.2464, 48.2464) * CHOOSE(CONTROL!$C$21, $C$9, 100%, $E$9)</f>
        <v>48.246400000000001</v>
      </c>
      <c r="F689" s="14">
        <f>CHOOSE(CONTROL!$C$42, 47.9881, 47.9881)*CHOOSE(CONTROL!$C$21, $C$9, 100%, $E$9)</f>
        <v>47.988100000000003</v>
      </c>
      <c r="G689" s="14">
        <f>CHOOSE(CONTROL!$C$42, 48.0045, 48.0045)*CHOOSE(CONTROL!$C$21, $C$9, 100%, $E$9)</f>
        <v>48.0045</v>
      </c>
      <c r="H689" s="14">
        <f>CHOOSE(CONTROL!$C$42, 48.235, 48.235) * CHOOSE(CONTROL!$C$21, $C$9, 100%, $E$9)</f>
        <v>48.234999999999999</v>
      </c>
      <c r="I689" s="14">
        <f>CHOOSE(CONTROL!$C$42, 48.1603, 48.1603)* CHOOSE(CONTROL!$C$21, $C$9, 100%, $E$9)</f>
        <v>48.160299999999999</v>
      </c>
      <c r="J689" s="14">
        <f>CHOOSE(CONTROL!$C$42, 47.9811, 47.9811)* CHOOSE(CONTROL!$C$21, $C$9, 100%, $E$9)</f>
        <v>47.981099999999998</v>
      </c>
      <c r="K689" s="53">
        <f>CHOOSE(CONTROL!$C$42, 48.1564, 48.1564) * CHOOSE(CONTROL!$C$21, $C$9, 100%, $E$9)</f>
        <v>48.156399999999998</v>
      </c>
      <c r="L689" s="14">
        <f>CHOOSE(CONTROL!$C$42, 48.822, 48.822) * CHOOSE(CONTROL!$C$21, $C$9, 100%, $E$9)</f>
        <v>48.822000000000003</v>
      </c>
      <c r="M689" s="14">
        <f>CHOOSE(CONTROL!$C$42, 47.0057, 47.0057) * CHOOSE(CONTROL!$C$21, $C$9, 100%, $E$9)</f>
        <v>47.005699999999997</v>
      </c>
      <c r="N689" s="14">
        <f>CHOOSE(CONTROL!$C$42, 47.0217, 47.0217) * CHOOSE(CONTROL!$C$21, $C$9, 100%, $E$9)</f>
        <v>47.021700000000003</v>
      </c>
      <c r="O689" s="14">
        <f>CHOOSE(CONTROL!$C$42, 47.2544, 47.2544) * CHOOSE(CONTROL!$C$21, $C$9, 100%, $E$9)</f>
        <v>47.254399999999997</v>
      </c>
      <c r="P689" s="14">
        <f>CHOOSE(CONTROL!$C$42, 47.1782, 47.1782) * CHOOSE(CONTROL!$C$21, $C$9, 100%, $E$9)</f>
        <v>47.178199999999997</v>
      </c>
      <c r="Q689" s="14">
        <f>CHOOSE(CONTROL!$C$42, 47.8491, 47.8491) * CHOOSE(CONTROL!$C$21, $C$9, 100%, $E$9)</f>
        <v>47.8491</v>
      </c>
      <c r="R689" s="14">
        <f>CHOOSE(CONTROL!$C$42, 48.5557, 48.5557) * CHOOSE(CONTROL!$C$21, $C$9, 100%, $E$9)</f>
        <v>48.555700000000002</v>
      </c>
      <c r="S689" s="14">
        <f>CHOOSE(CONTROL!$C$42, 46.1144, 46.1144) * CHOOSE(CONTROL!$C$21, $C$9, 100%, $E$9)</f>
        <v>46.114400000000003</v>
      </c>
      <c r="T6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7">
        <f>(1000*CHOOSE(CONTROL!$C$42, 695, 695)*CHOOSE(CONTROL!$C$42, 0.5599, 0.5599)*CHOOSE(CONTROL!$C$42, 31, 31))/1000000</f>
        <v>12.063045499999998</v>
      </c>
      <c r="V689" s="57">
        <f>(1000*CHOOSE(CONTROL!$C$42, 500, 500)*CHOOSE(CONTROL!$C$42, 0.275, 0.275)*CHOOSE(CONTROL!$C$42, 31, 31))/1000000</f>
        <v>4.2625000000000002</v>
      </c>
      <c r="W689" s="57">
        <f>(1000*CHOOSE(CONTROL!$C$42, 0.1146, 0.1146)*CHOOSE(CONTROL!$C$42, 121.5, 121.5)*CHOOSE(CONTROL!$C$42, 31, 31))/1000000</f>
        <v>0.43164089999999994</v>
      </c>
      <c r="X689" s="57">
        <f>(31*0.1790888*245000/1000000)+(31*0.2374*100000/1000000)</f>
        <v>2.0961194359999999</v>
      </c>
      <c r="Y689" s="57"/>
      <c r="Z689" s="14"/>
      <c r="AA689" s="56"/>
      <c r="AB689" s="50">
        <f>(B689*194.205+C689*267.466+D689*133.845+E689*53.484+F689*40+G689*185+H689*0+I689*100+J689*300)/(194.205+267.466+133.845+53.484+0+40+185+100+300)</f>
        <v>48.04370106043956</v>
      </c>
      <c r="AC689" s="45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47.144161151079132</v>
      </c>
    </row>
    <row r="690" spans="1:29" ht="15.75" x14ac:dyDescent="0.25">
      <c r="A690" s="32">
        <v>61909</v>
      </c>
      <c r="B690" s="14">
        <f>CHOOSE(CONTROL!$C$42, 49.3632, 49.3632) * CHOOSE(CONTROL!$C$21, $C$9, 100%, $E$9)</f>
        <v>49.363199999999999</v>
      </c>
      <c r="C690" s="14">
        <f>CHOOSE(CONTROL!$C$42, 49.3712, 49.3712) * CHOOSE(CONTROL!$C$21, $C$9, 100%, $E$9)</f>
        <v>49.371200000000002</v>
      </c>
      <c r="D690" s="14">
        <f>CHOOSE(CONTROL!$C$42, 49.5762, 49.5762) * CHOOSE(CONTROL!$C$21, $C$9, 100%, $E$9)</f>
        <v>49.5762</v>
      </c>
      <c r="E690" s="14">
        <f>CHOOSE(CONTROL!$C$42, 49.6076, 49.6076) * CHOOSE(CONTROL!$C$21, $C$9, 100%, $E$9)</f>
        <v>49.607599999999998</v>
      </c>
      <c r="F690" s="14">
        <f>CHOOSE(CONTROL!$C$42, 49.3497, 49.3497)*CHOOSE(CONTROL!$C$21, $C$9, 100%, $E$9)</f>
        <v>49.349699999999999</v>
      </c>
      <c r="G690" s="14">
        <f>CHOOSE(CONTROL!$C$42, 49.3663, 49.3663)*CHOOSE(CONTROL!$C$21, $C$9, 100%, $E$9)</f>
        <v>49.366300000000003</v>
      </c>
      <c r="H690" s="14">
        <f>CHOOSE(CONTROL!$C$42, 49.5963, 49.5963) * CHOOSE(CONTROL!$C$21, $C$9, 100%, $E$9)</f>
        <v>49.596299999999999</v>
      </c>
      <c r="I690" s="14">
        <f>CHOOSE(CONTROL!$C$42, 49.5258, 49.5258)* CHOOSE(CONTROL!$C$21, $C$9, 100%, $E$9)</f>
        <v>49.525799999999997</v>
      </c>
      <c r="J690" s="14">
        <f>CHOOSE(CONTROL!$C$42, 49.3427, 49.3427)* CHOOSE(CONTROL!$C$21, $C$9, 100%, $E$9)</f>
        <v>49.342700000000001</v>
      </c>
      <c r="K690" s="53">
        <f>CHOOSE(CONTROL!$C$42, 49.5219, 49.5219) * CHOOSE(CONTROL!$C$21, $C$9, 100%, $E$9)</f>
        <v>49.521900000000002</v>
      </c>
      <c r="L690" s="14">
        <f>CHOOSE(CONTROL!$C$42, 50.1833, 50.1833) * CHOOSE(CONTROL!$C$21, $C$9, 100%, $E$9)</f>
        <v>50.183300000000003</v>
      </c>
      <c r="M690" s="14">
        <f>CHOOSE(CONTROL!$C$42, 48.3394, 48.3394) * CHOOSE(CONTROL!$C$21, $C$9, 100%, $E$9)</f>
        <v>48.339399999999998</v>
      </c>
      <c r="N690" s="14">
        <f>CHOOSE(CONTROL!$C$42, 48.3556, 48.3556) * CHOOSE(CONTROL!$C$21, $C$9, 100%, $E$9)</f>
        <v>48.355600000000003</v>
      </c>
      <c r="O690" s="14">
        <f>CHOOSE(CONTROL!$C$42, 48.5878, 48.5878) * CHOOSE(CONTROL!$C$21, $C$9, 100%, $E$9)</f>
        <v>48.587800000000001</v>
      </c>
      <c r="P690" s="14">
        <f>CHOOSE(CONTROL!$C$42, 48.5157, 48.5157) * CHOOSE(CONTROL!$C$21, $C$9, 100%, $E$9)</f>
        <v>48.515700000000002</v>
      </c>
      <c r="Q690" s="14">
        <f>CHOOSE(CONTROL!$C$42, 49.1825, 49.1825) * CHOOSE(CONTROL!$C$21, $C$9, 100%, $E$9)</f>
        <v>49.182499999999997</v>
      </c>
      <c r="R690" s="14">
        <f>CHOOSE(CONTROL!$C$42, 49.8924, 49.8924) * CHOOSE(CONTROL!$C$21, $C$9, 100%, $E$9)</f>
        <v>49.892400000000002</v>
      </c>
      <c r="S690" s="14">
        <f>CHOOSE(CONTROL!$C$42, 47.4224, 47.4224) * CHOOSE(CONTROL!$C$21, $C$9, 100%, $E$9)</f>
        <v>47.422400000000003</v>
      </c>
      <c r="T6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7">
        <f>(1000*CHOOSE(CONTROL!$C$42, 695, 695)*CHOOSE(CONTROL!$C$42, 0.5599, 0.5599)*CHOOSE(CONTROL!$C$42, 30, 30))/1000000</f>
        <v>11.673914999999997</v>
      </c>
      <c r="V690" s="57">
        <f>(1000*CHOOSE(CONTROL!$C$42, 500, 500)*CHOOSE(CONTROL!$C$42, 0.275, 0.275)*CHOOSE(CONTROL!$C$42, 30, 30))/1000000</f>
        <v>4.125</v>
      </c>
      <c r="W690" s="57">
        <f>(1000*CHOOSE(CONTROL!$C$42, 0.1146, 0.1146)*CHOOSE(CONTROL!$C$42, 121.5, 121.5)*CHOOSE(CONTROL!$C$42, 30, 30))/1000000</f>
        <v>0.417717</v>
      </c>
      <c r="X690" s="57">
        <f>(30*0.1790888*245000/1000000)+(30*0.2374*100000/1000000)</f>
        <v>2.0285026799999999</v>
      </c>
      <c r="Y690" s="57"/>
      <c r="Z690" s="14"/>
      <c r="AA690" s="56"/>
      <c r="AB690" s="50">
        <f>(B690*194.205+C690*267.466+D690*133.845+E690*53.484+F690*40+G690*185+H690*0+I690*100+J690*300)/(194.205+267.466+133.845+53.484+0+40+185+100+300)</f>
        <v>49.405479201412874</v>
      </c>
      <c r="AC690" s="45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48.47828345323741</v>
      </c>
    </row>
    <row r="691" spans="1:29" ht="15.75" x14ac:dyDescent="0.25">
      <c r="A691" s="32">
        <v>61940</v>
      </c>
      <c r="B691" s="14">
        <f>CHOOSE(CONTROL!$C$42, 48.4164, 48.4164) * CHOOSE(CONTROL!$C$21, $C$9, 100%, $E$9)</f>
        <v>48.416400000000003</v>
      </c>
      <c r="C691" s="14">
        <f>CHOOSE(CONTROL!$C$42, 48.4244, 48.4244) * CHOOSE(CONTROL!$C$21, $C$9, 100%, $E$9)</f>
        <v>48.424399999999999</v>
      </c>
      <c r="D691" s="14">
        <f>CHOOSE(CONTROL!$C$42, 48.6294, 48.6294) * CHOOSE(CONTROL!$C$21, $C$9, 100%, $E$9)</f>
        <v>48.629399999999997</v>
      </c>
      <c r="E691" s="14">
        <f>CHOOSE(CONTROL!$C$42, 48.6609, 48.6609) * CHOOSE(CONTROL!$C$21, $C$9, 100%, $E$9)</f>
        <v>48.660899999999998</v>
      </c>
      <c r="F691" s="14">
        <f>CHOOSE(CONTROL!$C$42, 48.4034, 48.4034)*CHOOSE(CONTROL!$C$21, $C$9, 100%, $E$9)</f>
        <v>48.403399999999998</v>
      </c>
      <c r="G691" s="14">
        <f>CHOOSE(CONTROL!$C$42, 48.42, 48.42)*CHOOSE(CONTROL!$C$21, $C$9, 100%, $E$9)</f>
        <v>48.42</v>
      </c>
      <c r="H691" s="14">
        <f>CHOOSE(CONTROL!$C$42, 48.6495, 48.6495) * CHOOSE(CONTROL!$C$21, $C$9, 100%, $E$9)</f>
        <v>48.649500000000003</v>
      </c>
      <c r="I691" s="14">
        <f>CHOOSE(CONTROL!$C$42, 48.5761, 48.5761)* CHOOSE(CONTROL!$C$21, $C$9, 100%, $E$9)</f>
        <v>48.576099999999997</v>
      </c>
      <c r="J691" s="14">
        <f>CHOOSE(CONTROL!$C$42, 48.3964, 48.3964)* CHOOSE(CONTROL!$C$21, $C$9, 100%, $E$9)</f>
        <v>48.3964</v>
      </c>
      <c r="K691" s="53">
        <f>CHOOSE(CONTROL!$C$42, 48.5722, 48.5722) * CHOOSE(CONTROL!$C$21, $C$9, 100%, $E$9)</f>
        <v>48.572200000000002</v>
      </c>
      <c r="L691" s="14">
        <f>CHOOSE(CONTROL!$C$42, 49.2365, 49.2365) * CHOOSE(CONTROL!$C$21, $C$9, 100%, $E$9)</f>
        <v>49.236499999999999</v>
      </c>
      <c r="M691" s="14">
        <f>CHOOSE(CONTROL!$C$42, 47.4125, 47.4125) * CHOOSE(CONTROL!$C$21, $C$9, 100%, $E$9)</f>
        <v>47.412500000000001</v>
      </c>
      <c r="N691" s="14">
        <f>CHOOSE(CONTROL!$C$42, 47.4287, 47.4287) * CHOOSE(CONTROL!$C$21, $C$9, 100%, $E$9)</f>
        <v>47.428699999999999</v>
      </c>
      <c r="O691" s="14">
        <f>CHOOSE(CONTROL!$C$42, 47.6604, 47.6604) * CHOOSE(CONTROL!$C$21, $C$9, 100%, $E$9)</f>
        <v>47.660400000000003</v>
      </c>
      <c r="P691" s="14">
        <f>CHOOSE(CONTROL!$C$42, 47.5855, 47.5855) * CHOOSE(CONTROL!$C$21, $C$9, 100%, $E$9)</f>
        <v>47.585500000000003</v>
      </c>
      <c r="Q691" s="14">
        <f>CHOOSE(CONTROL!$C$42, 48.2551, 48.2551) * CHOOSE(CONTROL!$C$21, $C$9, 100%, $E$9)</f>
        <v>48.255099999999999</v>
      </c>
      <c r="R691" s="14">
        <f>CHOOSE(CONTROL!$C$42, 48.9627, 48.9627) * CHOOSE(CONTROL!$C$21, $C$9, 100%, $E$9)</f>
        <v>48.962699999999998</v>
      </c>
      <c r="S691" s="14">
        <f>CHOOSE(CONTROL!$C$42, 46.5127, 46.5127) * CHOOSE(CONTROL!$C$21, $C$9, 100%, $E$9)</f>
        <v>46.512700000000002</v>
      </c>
      <c r="T6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7">
        <f>(1000*CHOOSE(CONTROL!$C$42, 695, 695)*CHOOSE(CONTROL!$C$42, 0.5599, 0.5599)*CHOOSE(CONTROL!$C$42, 31, 31))/1000000</f>
        <v>12.063045499999998</v>
      </c>
      <c r="V691" s="57">
        <f>(1000*CHOOSE(CONTROL!$C$42, 500, 500)*CHOOSE(CONTROL!$C$42, 0.275, 0.275)*CHOOSE(CONTROL!$C$42, 31, 31))/1000000</f>
        <v>4.2625000000000002</v>
      </c>
      <c r="W691" s="57">
        <f>(1000*CHOOSE(CONTROL!$C$42, 0.1146, 0.1146)*CHOOSE(CONTROL!$C$42, 121.5, 121.5)*CHOOSE(CONTROL!$C$42, 31, 31))/1000000</f>
        <v>0.43164089999999994</v>
      </c>
      <c r="X691" s="57">
        <f>(31*0.1790888*245000/1000000)+(31*0.2374*100000/1000000)</f>
        <v>2.0961194359999999</v>
      </c>
      <c r="Y691" s="57"/>
      <c r="Z691" s="14"/>
      <c r="AA691" s="56"/>
      <c r="AB691" s="50">
        <f>(B691*194.205+C691*267.466+D691*133.845+E691*53.484+F691*40+G691*185+H691*0+I691*100+J691*300)/(194.205+267.466+133.845+53.484+0+40+185+100+300)</f>
        <v>48.458661813971744</v>
      </c>
      <c r="AC691" s="45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47.550682014388492</v>
      </c>
    </row>
    <row r="692" spans="1:29" ht="15.75" x14ac:dyDescent="0.25">
      <c r="A692" s="32">
        <v>61971</v>
      </c>
      <c r="B692" s="14">
        <f>CHOOSE(CONTROL!$C$42, 46.0255, 46.0255) * CHOOSE(CONTROL!$C$21, $C$9, 100%, $E$9)</f>
        <v>46.025500000000001</v>
      </c>
      <c r="C692" s="14">
        <f>CHOOSE(CONTROL!$C$42, 46.0335, 46.0335) * CHOOSE(CONTROL!$C$21, $C$9, 100%, $E$9)</f>
        <v>46.033499999999997</v>
      </c>
      <c r="D692" s="14">
        <f>CHOOSE(CONTROL!$C$42, 46.2385, 46.2385) * CHOOSE(CONTROL!$C$21, $C$9, 100%, $E$9)</f>
        <v>46.238500000000002</v>
      </c>
      <c r="E692" s="14">
        <f>CHOOSE(CONTROL!$C$42, 46.2699, 46.2699) * CHOOSE(CONTROL!$C$21, $C$9, 100%, $E$9)</f>
        <v>46.2699</v>
      </c>
      <c r="F692" s="14">
        <f>CHOOSE(CONTROL!$C$42, 46.0126, 46.0126)*CHOOSE(CONTROL!$C$21, $C$9, 100%, $E$9)</f>
        <v>46.012599999999999</v>
      </c>
      <c r="G692" s="14">
        <f>CHOOSE(CONTROL!$C$42, 46.0293, 46.0293)*CHOOSE(CONTROL!$C$21, $C$9, 100%, $E$9)</f>
        <v>46.029299999999999</v>
      </c>
      <c r="H692" s="14">
        <f>CHOOSE(CONTROL!$C$42, 46.2586, 46.2586) * CHOOSE(CONTROL!$C$21, $C$9, 100%, $E$9)</f>
        <v>46.258600000000001</v>
      </c>
      <c r="I692" s="14">
        <f>CHOOSE(CONTROL!$C$42, 46.1776, 46.1776)* CHOOSE(CONTROL!$C$21, $C$9, 100%, $E$9)</f>
        <v>46.177599999999998</v>
      </c>
      <c r="J692" s="14">
        <f>CHOOSE(CONTROL!$C$42, 46.0056, 46.0056)* CHOOSE(CONTROL!$C$21, $C$9, 100%, $E$9)</f>
        <v>46.005600000000001</v>
      </c>
      <c r="K692" s="53">
        <f>CHOOSE(CONTROL!$C$42, 46.1738, 46.1738) * CHOOSE(CONTROL!$C$21, $C$9, 100%, $E$9)</f>
        <v>46.1738</v>
      </c>
      <c r="L692" s="14">
        <f>CHOOSE(CONTROL!$C$42, 46.8456, 46.8456) * CHOOSE(CONTROL!$C$21, $C$9, 100%, $E$9)</f>
        <v>46.845599999999997</v>
      </c>
      <c r="M692" s="14">
        <f>CHOOSE(CONTROL!$C$42, 45.0707, 45.0707) * CHOOSE(CONTROL!$C$21, $C$9, 100%, $E$9)</f>
        <v>45.070700000000002</v>
      </c>
      <c r="N692" s="14">
        <f>CHOOSE(CONTROL!$C$42, 45.087, 45.087) * CHOOSE(CONTROL!$C$21, $C$9, 100%, $E$9)</f>
        <v>45.087000000000003</v>
      </c>
      <c r="O692" s="14">
        <f>CHOOSE(CONTROL!$C$42, 45.3184, 45.3184) * CHOOSE(CONTROL!$C$21, $C$9, 100%, $E$9)</f>
        <v>45.318399999999997</v>
      </c>
      <c r="P692" s="14">
        <f>CHOOSE(CONTROL!$C$42, 45.2364, 45.2364) * CHOOSE(CONTROL!$C$21, $C$9, 100%, $E$9)</f>
        <v>45.236400000000003</v>
      </c>
      <c r="Q692" s="14">
        <f>CHOOSE(CONTROL!$C$42, 45.9131, 45.9131) * CHOOSE(CONTROL!$C$21, $C$9, 100%, $E$9)</f>
        <v>45.9131</v>
      </c>
      <c r="R692" s="14">
        <f>CHOOSE(CONTROL!$C$42, 46.6149, 46.6149) * CHOOSE(CONTROL!$C$21, $C$9, 100%, $E$9)</f>
        <v>46.614899999999999</v>
      </c>
      <c r="S692" s="14">
        <f>CHOOSE(CONTROL!$C$42, 44.2152, 44.2152) * CHOOSE(CONTROL!$C$21, $C$9, 100%, $E$9)</f>
        <v>44.215200000000003</v>
      </c>
      <c r="T6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7">
        <f>(1000*CHOOSE(CONTROL!$C$42, 695, 695)*CHOOSE(CONTROL!$C$42, 0.5599, 0.5599)*CHOOSE(CONTROL!$C$42, 31, 31))/1000000</f>
        <v>12.063045499999998</v>
      </c>
      <c r="V692" s="57">
        <f>(1000*CHOOSE(CONTROL!$C$42, 500, 500)*CHOOSE(CONTROL!$C$42, 0.275, 0.275)*CHOOSE(CONTROL!$C$42, 31, 31))/1000000</f>
        <v>4.2625000000000002</v>
      </c>
      <c r="W692" s="57">
        <f>(1000*CHOOSE(CONTROL!$C$42, 0.1146, 0.1146)*CHOOSE(CONTROL!$C$42, 121.5, 121.5)*CHOOSE(CONTROL!$C$42, 31, 31))/1000000</f>
        <v>0.43164089999999994</v>
      </c>
      <c r="X692" s="57">
        <f>(31*0.1790888*245000/1000000)+(31*0.2374*100000/1000000)</f>
        <v>2.0961194359999999</v>
      </c>
      <c r="Y692" s="57"/>
      <c r="Z692" s="14"/>
      <c r="AA692" s="56"/>
      <c r="AB692" s="50">
        <f>(B692*194.205+C692*267.466+D692*133.845+E692*53.484+F692*40+G692*185+H692*0+I692*100+J692*300)/(194.205+267.466+133.845+53.484+0+40+185+100+300)</f>
        <v>46.067216799529049</v>
      </c>
      <c r="AC692" s="45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45.207746762589927</v>
      </c>
    </row>
    <row r="693" spans="1:29" ht="15.75" x14ac:dyDescent="0.25">
      <c r="A693" s="32">
        <v>62001</v>
      </c>
      <c r="B693" s="14">
        <f>CHOOSE(CONTROL!$C$42, 43.1038, 43.1038) * CHOOSE(CONTROL!$C$21, $C$9, 100%, $E$9)</f>
        <v>43.1038</v>
      </c>
      <c r="C693" s="14">
        <f>CHOOSE(CONTROL!$C$42, 43.1118, 43.1118) * CHOOSE(CONTROL!$C$21, $C$9, 100%, $E$9)</f>
        <v>43.111800000000002</v>
      </c>
      <c r="D693" s="14">
        <f>CHOOSE(CONTROL!$C$42, 43.3168, 43.3168) * CHOOSE(CONTROL!$C$21, $C$9, 100%, $E$9)</f>
        <v>43.316800000000001</v>
      </c>
      <c r="E693" s="14">
        <f>CHOOSE(CONTROL!$C$42, 43.3482, 43.3482) * CHOOSE(CONTROL!$C$21, $C$9, 100%, $E$9)</f>
        <v>43.348199999999999</v>
      </c>
      <c r="F693" s="14">
        <f>CHOOSE(CONTROL!$C$42, 43.0909, 43.0909)*CHOOSE(CONTROL!$C$21, $C$9, 100%, $E$9)</f>
        <v>43.090899999999998</v>
      </c>
      <c r="G693" s="14">
        <f>CHOOSE(CONTROL!$C$42, 43.1076, 43.1076)*CHOOSE(CONTROL!$C$21, $C$9, 100%, $E$9)</f>
        <v>43.107599999999998</v>
      </c>
      <c r="H693" s="14">
        <f>CHOOSE(CONTROL!$C$42, 43.3369, 43.3369) * CHOOSE(CONTROL!$C$21, $C$9, 100%, $E$9)</f>
        <v>43.3369</v>
      </c>
      <c r="I693" s="14">
        <f>CHOOSE(CONTROL!$C$42, 43.2468, 43.2468)* CHOOSE(CONTROL!$C$21, $C$9, 100%, $E$9)</f>
        <v>43.2468</v>
      </c>
      <c r="J693" s="14">
        <f>CHOOSE(CONTROL!$C$42, 43.0839, 43.0839)* CHOOSE(CONTROL!$C$21, $C$9, 100%, $E$9)</f>
        <v>43.0839</v>
      </c>
      <c r="K693" s="53">
        <f>CHOOSE(CONTROL!$C$42, 43.2429, 43.2429) * CHOOSE(CONTROL!$C$21, $C$9, 100%, $E$9)</f>
        <v>43.242899999999999</v>
      </c>
      <c r="L693" s="14">
        <f>CHOOSE(CONTROL!$C$42, 43.9239, 43.9239) * CHOOSE(CONTROL!$C$21, $C$9, 100%, $E$9)</f>
        <v>43.923900000000003</v>
      </c>
      <c r="M693" s="14">
        <f>CHOOSE(CONTROL!$C$42, 42.2089, 42.2089) * CHOOSE(CONTROL!$C$21, $C$9, 100%, $E$9)</f>
        <v>42.2089</v>
      </c>
      <c r="N693" s="14">
        <f>CHOOSE(CONTROL!$C$42, 42.2252, 42.2252) * CHOOSE(CONTROL!$C$21, $C$9, 100%, $E$9)</f>
        <v>42.225200000000001</v>
      </c>
      <c r="O693" s="14">
        <f>CHOOSE(CONTROL!$C$42, 42.4566, 42.4566) * CHOOSE(CONTROL!$C$21, $C$9, 100%, $E$9)</f>
        <v>42.456600000000002</v>
      </c>
      <c r="P693" s="14">
        <f>CHOOSE(CONTROL!$C$42, 42.3658, 42.3658) * CHOOSE(CONTROL!$C$21, $C$9, 100%, $E$9)</f>
        <v>42.3658</v>
      </c>
      <c r="Q693" s="14">
        <f>CHOOSE(CONTROL!$C$42, 43.0513, 43.0513) * CHOOSE(CONTROL!$C$21, $C$9, 100%, $E$9)</f>
        <v>43.051299999999998</v>
      </c>
      <c r="R693" s="14">
        <f>CHOOSE(CONTROL!$C$42, 43.746, 43.746) * CHOOSE(CONTROL!$C$21, $C$9, 100%, $E$9)</f>
        <v>43.746000000000002</v>
      </c>
      <c r="S693" s="14">
        <f>CHOOSE(CONTROL!$C$42, 41.4078, 41.4078) * CHOOSE(CONTROL!$C$21, $C$9, 100%, $E$9)</f>
        <v>41.407800000000002</v>
      </c>
      <c r="T6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7">
        <f>(1000*CHOOSE(CONTROL!$C$42, 695, 695)*CHOOSE(CONTROL!$C$42, 0.5599, 0.5599)*CHOOSE(CONTROL!$C$42, 30, 30))/1000000</f>
        <v>11.673914999999997</v>
      </c>
      <c r="V693" s="57">
        <f>(1000*CHOOSE(CONTROL!$C$42, 500, 500)*CHOOSE(CONTROL!$C$42, 0.275, 0.275)*CHOOSE(CONTROL!$C$42, 30, 30))/1000000</f>
        <v>4.125</v>
      </c>
      <c r="W693" s="57">
        <f>(1000*CHOOSE(CONTROL!$C$42, 0.1146, 0.1146)*CHOOSE(CONTROL!$C$42, 121.5, 121.5)*CHOOSE(CONTROL!$C$42, 30, 30))/1000000</f>
        <v>0.417717</v>
      </c>
      <c r="X693" s="57">
        <f>(30*0.1790888*245000/1000000)+(30*0.2374*100000/1000000)</f>
        <v>2.0285026799999999</v>
      </c>
      <c r="Y693" s="57"/>
      <c r="Z693" s="14"/>
      <c r="AA693" s="56"/>
      <c r="AB693" s="50">
        <f>(B693*194.205+C693*267.466+D693*133.845+E693*53.484+F693*40+G693*185+H693*0+I693*100+J693*300)/(194.205+267.466+133.845+53.484+0+40+185+100+300)</f>
        <v>43.144802513814753</v>
      </c>
      <c r="AC693" s="45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42.34468057553957</v>
      </c>
    </row>
    <row r="694" spans="1:29" ht="15.75" x14ac:dyDescent="0.25">
      <c r="A694" s="32">
        <v>62032</v>
      </c>
      <c r="B694" s="14">
        <f>CHOOSE(CONTROL!$C$42, 42.2271, 42.2271) * CHOOSE(CONTROL!$C$21, $C$9, 100%, $E$9)</f>
        <v>42.2271</v>
      </c>
      <c r="C694" s="14">
        <f>CHOOSE(CONTROL!$C$42, 42.2324, 42.2324) * CHOOSE(CONTROL!$C$21, $C$9, 100%, $E$9)</f>
        <v>42.232399999999998</v>
      </c>
      <c r="D694" s="14">
        <f>CHOOSE(CONTROL!$C$42, 42.4423, 42.4423) * CHOOSE(CONTROL!$C$21, $C$9, 100%, $E$9)</f>
        <v>42.442300000000003</v>
      </c>
      <c r="E694" s="14">
        <f>CHOOSE(CONTROL!$C$42, 42.4715, 42.4715) * CHOOSE(CONTROL!$C$21, $C$9, 100%, $E$9)</f>
        <v>42.471499999999999</v>
      </c>
      <c r="F694" s="14">
        <f>CHOOSE(CONTROL!$C$42, 42.2163, 42.2163)*CHOOSE(CONTROL!$C$21, $C$9, 100%, $E$9)</f>
        <v>42.216299999999997</v>
      </c>
      <c r="G694" s="14">
        <f>CHOOSE(CONTROL!$C$42, 42.2326, 42.2326)*CHOOSE(CONTROL!$C$21, $C$9, 100%, $E$9)</f>
        <v>42.232599999999998</v>
      </c>
      <c r="H694" s="14">
        <f>CHOOSE(CONTROL!$C$42, 42.4619, 42.4619) * CHOOSE(CONTROL!$C$21, $C$9, 100%, $E$9)</f>
        <v>42.4619</v>
      </c>
      <c r="I694" s="14">
        <f>CHOOSE(CONTROL!$C$42, 42.3691, 42.3691)* CHOOSE(CONTROL!$C$21, $C$9, 100%, $E$9)</f>
        <v>42.369100000000003</v>
      </c>
      <c r="J694" s="14">
        <f>CHOOSE(CONTROL!$C$42, 42.2093, 42.2093)* CHOOSE(CONTROL!$C$21, $C$9, 100%, $E$9)</f>
        <v>42.209299999999999</v>
      </c>
      <c r="K694" s="53">
        <f>CHOOSE(CONTROL!$C$42, 42.3652, 42.3652) * CHOOSE(CONTROL!$C$21, $C$9, 100%, $E$9)</f>
        <v>42.365200000000002</v>
      </c>
      <c r="L694" s="14">
        <f>CHOOSE(CONTROL!$C$42, 43.0489, 43.0489) * CHOOSE(CONTROL!$C$21, $C$9, 100%, $E$9)</f>
        <v>43.048900000000003</v>
      </c>
      <c r="M694" s="14">
        <f>CHOOSE(CONTROL!$C$42, 41.3521, 41.3521) * CHOOSE(CONTROL!$C$21, $C$9, 100%, $E$9)</f>
        <v>41.3521</v>
      </c>
      <c r="N694" s="14">
        <f>CHOOSE(CONTROL!$C$42, 41.3682, 41.3682) * CHOOSE(CONTROL!$C$21, $C$9, 100%, $E$9)</f>
        <v>41.368200000000002</v>
      </c>
      <c r="O694" s="14">
        <f>CHOOSE(CONTROL!$C$42, 41.5996, 41.5996) * CHOOSE(CONTROL!$C$21, $C$9, 100%, $E$9)</f>
        <v>41.599600000000002</v>
      </c>
      <c r="P694" s="14">
        <f>CHOOSE(CONTROL!$C$42, 41.5061, 41.5061) * CHOOSE(CONTROL!$C$21, $C$9, 100%, $E$9)</f>
        <v>41.506100000000004</v>
      </c>
      <c r="Q694" s="14">
        <f>CHOOSE(CONTROL!$C$42, 42.1943, 42.1943) * CHOOSE(CONTROL!$C$21, $C$9, 100%, $E$9)</f>
        <v>42.194299999999998</v>
      </c>
      <c r="R694" s="14">
        <f>CHOOSE(CONTROL!$C$42, 42.8868, 42.8868) * CHOOSE(CONTROL!$C$21, $C$9, 100%, $E$9)</f>
        <v>42.886800000000001</v>
      </c>
      <c r="S694" s="14">
        <f>CHOOSE(CONTROL!$C$42, 40.5671, 40.5671) * CHOOSE(CONTROL!$C$21, $C$9, 100%, $E$9)</f>
        <v>40.567100000000003</v>
      </c>
      <c r="T6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7">
        <f>(1000*CHOOSE(CONTROL!$C$42, 695, 695)*CHOOSE(CONTROL!$C$42, 0.5599, 0.5599)*CHOOSE(CONTROL!$C$42, 31, 31))/1000000</f>
        <v>12.063045499999998</v>
      </c>
      <c r="V694" s="57">
        <f>(1000*CHOOSE(CONTROL!$C$42, 500, 500)*CHOOSE(CONTROL!$C$42, 0.275, 0.275)*CHOOSE(CONTROL!$C$42, 31, 31))/1000000</f>
        <v>4.2625000000000002</v>
      </c>
      <c r="W694" s="57">
        <f>(1000*CHOOSE(CONTROL!$C$42, 0.1146, 0.1146)*CHOOSE(CONTROL!$C$42, 121.5, 121.5)*CHOOSE(CONTROL!$C$42, 31, 31))/1000000</f>
        <v>0.43164089999999994</v>
      </c>
      <c r="X694" s="57">
        <f>(31*0.1790888*245000/1000000)+(31*0.2374*100000/1000000)</f>
        <v>2.0961194359999999</v>
      </c>
      <c r="Y694" s="57"/>
      <c r="Z694" s="14"/>
      <c r="AA694" s="56"/>
      <c r="AB694" s="50">
        <f>(B694*131.881+C694*277.167+D694*79.08+E694*125.872+F694*40+G694*185+H694*0+I694*100+J694*300)/(131.881+277.167+79.08+125.872+0+40+185+100+300)</f>
        <v>42.274473380064563</v>
      </c>
      <c r="AC694" s="45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41.487361151079135</v>
      </c>
    </row>
    <row r="695" spans="1:29" ht="15.75" x14ac:dyDescent="0.25">
      <c r="A695" s="32">
        <v>62062</v>
      </c>
      <c r="B695" s="14">
        <f>CHOOSE(CONTROL!$C$42, 43.3389, 43.3389) * CHOOSE(CONTROL!$C$21, $C$9, 100%, $E$9)</f>
        <v>43.338900000000002</v>
      </c>
      <c r="C695" s="14">
        <f>CHOOSE(CONTROL!$C$42, 43.3439, 43.3439) * CHOOSE(CONTROL!$C$21, $C$9, 100%, $E$9)</f>
        <v>43.343899999999998</v>
      </c>
      <c r="D695" s="14">
        <f>CHOOSE(CONTROL!$C$42, 43.4077, 43.4077) * CHOOSE(CONTROL!$C$21, $C$9, 100%, $E$9)</f>
        <v>43.407699999999998</v>
      </c>
      <c r="E695" s="14">
        <f>CHOOSE(CONTROL!$C$42, 43.4418, 43.4418) * CHOOSE(CONTROL!$C$21, $C$9, 100%, $E$9)</f>
        <v>43.441800000000001</v>
      </c>
      <c r="F695" s="14">
        <f>CHOOSE(CONTROL!$C$42, 43.3411, 43.3411)*CHOOSE(CONTROL!$C$21, $C$9, 100%, $E$9)</f>
        <v>43.341099999999997</v>
      </c>
      <c r="G695" s="14">
        <f>CHOOSE(CONTROL!$C$42, 43.3578, 43.3578)*CHOOSE(CONTROL!$C$21, $C$9, 100%, $E$9)</f>
        <v>43.357799999999997</v>
      </c>
      <c r="H695" s="14">
        <f>CHOOSE(CONTROL!$C$42, 43.431, 43.431) * CHOOSE(CONTROL!$C$21, $C$9, 100%, $E$9)</f>
        <v>43.430999999999997</v>
      </c>
      <c r="I695" s="14">
        <f>CHOOSE(CONTROL!$C$42, 43.4885, 43.4885)* CHOOSE(CONTROL!$C$21, $C$9, 100%, $E$9)</f>
        <v>43.488500000000002</v>
      </c>
      <c r="J695" s="14">
        <f>CHOOSE(CONTROL!$C$42, 43.3341, 43.3341)* CHOOSE(CONTROL!$C$21, $C$9, 100%, $E$9)</f>
        <v>43.334099999999999</v>
      </c>
      <c r="K695" s="53">
        <f>CHOOSE(CONTROL!$C$42, 43.4846, 43.4846) * CHOOSE(CONTROL!$C$21, $C$9, 100%, $E$9)</f>
        <v>43.4846</v>
      </c>
      <c r="L695" s="14">
        <f>CHOOSE(CONTROL!$C$42, 44.018, 44.018) * CHOOSE(CONTROL!$C$21, $C$9, 100%, $E$9)</f>
        <v>44.018000000000001</v>
      </c>
      <c r="M695" s="14">
        <f>CHOOSE(CONTROL!$C$42, 42.4539, 42.4539) * CHOOSE(CONTROL!$C$21, $C$9, 100%, $E$9)</f>
        <v>42.453899999999997</v>
      </c>
      <c r="N695" s="14">
        <f>CHOOSE(CONTROL!$C$42, 42.4702, 42.4702) * CHOOSE(CONTROL!$C$21, $C$9, 100%, $E$9)</f>
        <v>42.470199999999998</v>
      </c>
      <c r="O695" s="14">
        <f>CHOOSE(CONTROL!$C$42, 42.5489, 42.5489) * CHOOSE(CONTROL!$C$21, $C$9, 100%, $E$9)</f>
        <v>42.548900000000003</v>
      </c>
      <c r="P695" s="14">
        <f>CHOOSE(CONTROL!$C$42, 42.6025, 42.6025) * CHOOSE(CONTROL!$C$21, $C$9, 100%, $E$9)</f>
        <v>42.602499999999999</v>
      </c>
      <c r="Q695" s="14">
        <f>CHOOSE(CONTROL!$C$42, 43.1436, 43.1436) * CHOOSE(CONTROL!$C$21, $C$9, 100%, $E$9)</f>
        <v>43.143599999999999</v>
      </c>
      <c r="R695" s="14">
        <f>CHOOSE(CONTROL!$C$42, 43.8384, 43.8384) * CHOOSE(CONTROL!$C$21, $C$9, 100%, $E$9)</f>
        <v>43.8384</v>
      </c>
      <c r="S695" s="14">
        <f>CHOOSE(CONTROL!$C$42, 41.6358, 41.6358) * CHOOSE(CONTROL!$C$21, $C$9, 100%, $E$9)</f>
        <v>41.635800000000003</v>
      </c>
      <c r="T6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7">
        <f>(1000*CHOOSE(CONTROL!$C$42, 695, 695)*CHOOSE(CONTROL!$C$42, 0.5599, 0.5599)*CHOOSE(CONTROL!$C$42, 30, 30))/1000000</f>
        <v>11.673914999999997</v>
      </c>
      <c r="V695" s="57">
        <f>(1000*CHOOSE(CONTROL!$C$42, 500, 500)*CHOOSE(CONTROL!$C$42, 0.275, 0.275)*CHOOSE(CONTROL!$C$42, 30, 30))/1000000</f>
        <v>4.125</v>
      </c>
      <c r="W695" s="57">
        <f>(1000*CHOOSE(CONTROL!$C$42, 0.1146, 0.1146)*CHOOSE(CONTROL!$C$42, 121.5, 121.5)*CHOOSE(CONTROL!$C$42, 30, 30))/1000000</f>
        <v>0.417717</v>
      </c>
      <c r="X695" s="57">
        <f>(30*0.1790888*100000/1000000)+(30*0.2374*100000/1000000)</f>
        <v>1.2494664</v>
      </c>
      <c r="Y695" s="57"/>
      <c r="Z695" s="14"/>
      <c r="AA695" s="56"/>
      <c r="AB695" s="50">
        <f>(B695*122.58+C695*297.941+D695*89.177+E695*40.302+F695*40+G695*160+H695*0+I695*100+J695*300)/(122.58+297.941+89.177+40.302+0+40+160+100+300)</f>
        <v>43.363599268173907</v>
      </c>
      <c r="AC695" s="45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42.519276978417267</v>
      </c>
    </row>
    <row r="696" spans="1:29" ht="15.75" x14ac:dyDescent="0.25">
      <c r="A696" s="32">
        <v>62093</v>
      </c>
      <c r="B696" s="14">
        <f>CHOOSE(CONTROL!$C$42, 46.293, 46.293) * CHOOSE(CONTROL!$C$21, $C$9, 100%, $E$9)</f>
        <v>46.292999999999999</v>
      </c>
      <c r="C696" s="14">
        <f>CHOOSE(CONTROL!$C$42, 46.2981, 46.2981) * CHOOSE(CONTROL!$C$21, $C$9, 100%, $E$9)</f>
        <v>46.298099999999998</v>
      </c>
      <c r="D696" s="14">
        <f>CHOOSE(CONTROL!$C$42, 46.3619, 46.3619) * CHOOSE(CONTROL!$C$21, $C$9, 100%, $E$9)</f>
        <v>46.361899999999999</v>
      </c>
      <c r="E696" s="14">
        <f>CHOOSE(CONTROL!$C$42, 46.396, 46.396) * CHOOSE(CONTROL!$C$21, $C$9, 100%, $E$9)</f>
        <v>46.396000000000001</v>
      </c>
      <c r="F696" s="14">
        <f>CHOOSE(CONTROL!$C$42, 46.2973, 46.2973)*CHOOSE(CONTROL!$C$21, $C$9, 100%, $E$9)</f>
        <v>46.2973</v>
      </c>
      <c r="G696" s="14">
        <f>CHOOSE(CONTROL!$C$42, 46.3145, 46.3145)*CHOOSE(CONTROL!$C$21, $C$9, 100%, $E$9)</f>
        <v>46.314500000000002</v>
      </c>
      <c r="H696" s="14">
        <f>CHOOSE(CONTROL!$C$42, 46.3852, 46.3852) * CHOOSE(CONTROL!$C$21, $C$9, 100%, $E$9)</f>
        <v>46.385199999999998</v>
      </c>
      <c r="I696" s="14">
        <f>CHOOSE(CONTROL!$C$42, 46.4519, 46.4519)* CHOOSE(CONTROL!$C$21, $C$9, 100%, $E$9)</f>
        <v>46.451900000000002</v>
      </c>
      <c r="J696" s="14">
        <f>CHOOSE(CONTROL!$C$42, 46.2903, 46.2903)* CHOOSE(CONTROL!$C$21, $C$9, 100%, $E$9)</f>
        <v>46.290300000000002</v>
      </c>
      <c r="K696" s="53">
        <f>CHOOSE(CONTROL!$C$42, 46.448, 46.448) * CHOOSE(CONTROL!$C$21, $C$9, 100%, $E$9)</f>
        <v>46.448</v>
      </c>
      <c r="L696" s="14">
        <f>CHOOSE(CONTROL!$C$42, 46.9722, 46.9722) * CHOOSE(CONTROL!$C$21, $C$9, 100%, $E$9)</f>
        <v>46.972200000000001</v>
      </c>
      <c r="M696" s="14">
        <f>CHOOSE(CONTROL!$C$42, 45.3496, 45.3496) * CHOOSE(CONTROL!$C$21, $C$9, 100%, $E$9)</f>
        <v>45.349600000000002</v>
      </c>
      <c r="N696" s="14">
        <f>CHOOSE(CONTROL!$C$42, 45.3664, 45.3664) * CHOOSE(CONTROL!$C$21, $C$9, 100%, $E$9)</f>
        <v>45.366399999999999</v>
      </c>
      <c r="O696" s="14">
        <f>CHOOSE(CONTROL!$C$42, 45.4425, 45.4425) * CHOOSE(CONTROL!$C$21, $C$9, 100%, $E$9)</f>
        <v>45.442500000000003</v>
      </c>
      <c r="P696" s="14">
        <f>CHOOSE(CONTROL!$C$42, 45.505, 45.505) * CHOOSE(CONTROL!$C$21, $C$9, 100%, $E$9)</f>
        <v>45.505000000000003</v>
      </c>
      <c r="Q696" s="14">
        <f>CHOOSE(CONTROL!$C$42, 46.0372, 46.0372) * CHOOSE(CONTROL!$C$21, $C$9, 100%, $E$9)</f>
        <v>46.037199999999999</v>
      </c>
      <c r="R696" s="14">
        <f>CHOOSE(CONTROL!$C$42, 46.7393, 46.7393) * CHOOSE(CONTROL!$C$21, $C$9, 100%, $E$9)</f>
        <v>46.7393</v>
      </c>
      <c r="S696" s="14">
        <f>CHOOSE(CONTROL!$C$42, 44.4744, 44.4744) * CHOOSE(CONTROL!$C$21, $C$9, 100%, $E$9)</f>
        <v>44.474400000000003</v>
      </c>
      <c r="T6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7">
        <f>(1000*CHOOSE(CONTROL!$C$42, 695, 695)*CHOOSE(CONTROL!$C$42, 0.5599, 0.5599)*CHOOSE(CONTROL!$C$42, 31, 31))/1000000</f>
        <v>12.063045499999998</v>
      </c>
      <c r="V696" s="57">
        <f>(1000*CHOOSE(CONTROL!$C$42, 500, 500)*CHOOSE(CONTROL!$C$42, 0.275, 0.275)*CHOOSE(CONTROL!$C$42, 31, 31))/1000000</f>
        <v>4.2625000000000002</v>
      </c>
      <c r="W696" s="57">
        <f>(1000*CHOOSE(CONTROL!$C$42, 0.1146, 0.1146)*CHOOSE(CONTROL!$C$42, 121.5, 121.5)*CHOOSE(CONTROL!$C$42, 31, 31))/1000000</f>
        <v>0.43164089999999994</v>
      </c>
      <c r="X696" s="57">
        <f>(31*0.1790888*100000/1000000)+(31*0.2374*100000/1000000)</f>
        <v>1.2911152800000001</v>
      </c>
      <c r="Y696" s="57"/>
      <c r="Z696" s="14"/>
      <c r="AA696" s="56"/>
      <c r="AB696" s="50">
        <f>(B696*122.58+C696*297.941+D696*89.177+E696*40.302+F696*40+G696*160+H696*0+I696*100+J696*300)/(122.58+297.941+89.177+40.302+0+40+160+100+300)</f>
        <v>46.319527739478268</v>
      </c>
      <c r="AC696" s="45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45.415032374100726</v>
      </c>
    </row>
    <row r="697" spans="1:29" ht="15.75" x14ac:dyDescent="0.25">
      <c r="A697" s="32">
        <v>62124</v>
      </c>
      <c r="B697" s="14">
        <f>CHOOSE(CONTROL!$C$42, 50.0843, 50.0843) * CHOOSE(CONTROL!$C$21, $C$9, 100%, $E$9)</f>
        <v>50.084299999999999</v>
      </c>
      <c r="C697" s="14">
        <f>CHOOSE(CONTROL!$C$42, 50.0893, 50.0893) * CHOOSE(CONTROL!$C$21, $C$9, 100%, $E$9)</f>
        <v>50.089300000000001</v>
      </c>
      <c r="D697" s="14">
        <f>CHOOSE(CONTROL!$C$42, 50.148, 50.148) * CHOOSE(CONTROL!$C$21, $C$9, 100%, $E$9)</f>
        <v>50.148000000000003</v>
      </c>
      <c r="E697" s="14">
        <f>CHOOSE(CONTROL!$C$42, 50.1821, 50.1821) * CHOOSE(CONTROL!$C$21, $C$9, 100%, $E$9)</f>
        <v>50.182099999999998</v>
      </c>
      <c r="F697" s="14">
        <f>CHOOSE(CONTROL!$C$42, 50.0834, 50.0834)*CHOOSE(CONTROL!$C$21, $C$9, 100%, $E$9)</f>
        <v>50.083399999999997</v>
      </c>
      <c r="G697" s="14">
        <f>CHOOSE(CONTROL!$C$42, 50.0998, 50.0998)*CHOOSE(CONTROL!$C$21, $C$9, 100%, $E$9)</f>
        <v>50.099800000000002</v>
      </c>
      <c r="H697" s="14">
        <f>CHOOSE(CONTROL!$C$42, 50.1713, 50.1713) * CHOOSE(CONTROL!$C$21, $C$9, 100%, $E$9)</f>
        <v>50.171300000000002</v>
      </c>
      <c r="I697" s="14">
        <f>CHOOSE(CONTROL!$C$42, 50.2514, 50.2514)* CHOOSE(CONTROL!$C$21, $C$9, 100%, $E$9)</f>
        <v>50.251399999999997</v>
      </c>
      <c r="J697" s="14">
        <f>CHOOSE(CONTROL!$C$42, 50.0764, 50.0764)* CHOOSE(CONTROL!$C$21, $C$9, 100%, $E$9)</f>
        <v>50.0764</v>
      </c>
      <c r="K697" s="53">
        <f>CHOOSE(CONTROL!$C$42, 50.2475, 50.2475) * CHOOSE(CONTROL!$C$21, $C$9, 100%, $E$9)</f>
        <v>50.247500000000002</v>
      </c>
      <c r="L697" s="14">
        <f>CHOOSE(CONTROL!$C$42, 50.7583, 50.7583) * CHOOSE(CONTROL!$C$21, $C$9, 100%, $E$9)</f>
        <v>50.758299999999998</v>
      </c>
      <c r="M697" s="14">
        <f>CHOOSE(CONTROL!$C$42, 49.058, 49.058) * CHOOSE(CONTROL!$C$21, $C$9, 100%, $E$9)</f>
        <v>49.058</v>
      </c>
      <c r="N697" s="14">
        <f>CHOOSE(CONTROL!$C$42, 49.0741, 49.0741) * CHOOSE(CONTROL!$C$21, $C$9, 100%, $E$9)</f>
        <v>49.074100000000001</v>
      </c>
      <c r="O697" s="14">
        <f>CHOOSE(CONTROL!$C$42, 49.151, 49.151) * CHOOSE(CONTROL!$C$21, $C$9, 100%, $E$9)</f>
        <v>49.151000000000003</v>
      </c>
      <c r="P697" s="14">
        <f>CHOOSE(CONTROL!$C$42, 49.2264, 49.2264) * CHOOSE(CONTROL!$C$21, $C$9, 100%, $E$9)</f>
        <v>49.226399999999998</v>
      </c>
      <c r="Q697" s="14">
        <f>CHOOSE(CONTROL!$C$42, 49.7457, 49.7457) * CHOOSE(CONTROL!$C$21, $C$9, 100%, $E$9)</f>
        <v>49.745699999999999</v>
      </c>
      <c r="R697" s="14">
        <f>CHOOSE(CONTROL!$C$42, 50.457, 50.457) * CHOOSE(CONTROL!$C$21, $C$9, 100%, $E$9)</f>
        <v>50.457000000000001</v>
      </c>
      <c r="S697" s="14">
        <f>CHOOSE(CONTROL!$C$42, 48.1174, 48.1174) * CHOOSE(CONTROL!$C$21, $C$9, 100%, $E$9)</f>
        <v>48.117400000000004</v>
      </c>
      <c r="T6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7">
        <f>(1000*CHOOSE(CONTROL!$C$42, 695, 695)*CHOOSE(CONTROL!$C$42, 0.5599, 0.5599)*CHOOSE(CONTROL!$C$42, 31, 31))/1000000</f>
        <v>12.063045499999998</v>
      </c>
      <c r="V697" s="57">
        <f>(1000*CHOOSE(CONTROL!$C$42, 500, 500)*CHOOSE(CONTROL!$C$42, 0.275, 0.275)*CHOOSE(CONTROL!$C$42, 31, 31))/1000000</f>
        <v>4.2625000000000002</v>
      </c>
      <c r="W697" s="57">
        <f>(1000*CHOOSE(CONTROL!$C$42, 0.1146, 0.1146)*CHOOSE(CONTROL!$C$42, 121.5, 121.5)*CHOOSE(CONTROL!$C$42, 31, 31))/1000000</f>
        <v>0.43164089999999994</v>
      </c>
      <c r="X697" s="57">
        <f>(31*0.1790888*100000/1000000)+(31*0.2374*100000/1000000)</f>
        <v>1.2911152800000001</v>
      </c>
      <c r="Y697" s="57"/>
      <c r="Z697" s="14"/>
      <c r="AA697" s="56"/>
      <c r="AB697" s="50">
        <f>(B697*122.58+C697*297.941+D697*89.177+E697*40.302+F697*40+G697*160+H697*0+I697*100+J697*300)/(122.58+297.941+89.177+40.302+0+40+160+100+300)</f>
        <v>50.108557230869557</v>
      </c>
      <c r="AC697" s="45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49.125307913669062</v>
      </c>
    </row>
    <row r="698" spans="1:29" ht="15.75" x14ac:dyDescent="0.25">
      <c r="A698" s="32">
        <v>62152</v>
      </c>
      <c r="B698" s="14">
        <f>CHOOSE(CONTROL!$C$42, 50.9757, 50.9757) * CHOOSE(CONTROL!$C$21, $C$9, 100%, $E$9)</f>
        <v>50.975700000000003</v>
      </c>
      <c r="C698" s="14">
        <f>CHOOSE(CONTROL!$C$42, 50.9807, 50.9807) * CHOOSE(CONTROL!$C$21, $C$9, 100%, $E$9)</f>
        <v>50.980699999999999</v>
      </c>
      <c r="D698" s="14">
        <f>CHOOSE(CONTROL!$C$42, 51.0394, 51.0394) * CHOOSE(CONTROL!$C$21, $C$9, 100%, $E$9)</f>
        <v>51.039400000000001</v>
      </c>
      <c r="E698" s="14">
        <f>CHOOSE(CONTROL!$C$42, 51.0735, 51.0735) * CHOOSE(CONTROL!$C$21, $C$9, 100%, $E$9)</f>
        <v>51.073500000000003</v>
      </c>
      <c r="F698" s="14">
        <f>CHOOSE(CONTROL!$C$42, 50.9748, 50.9748)*CHOOSE(CONTROL!$C$21, $C$9, 100%, $E$9)</f>
        <v>50.974800000000002</v>
      </c>
      <c r="G698" s="14">
        <f>CHOOSE(CONTROL!$C$42, 50.9911, 50.9911)*CHOOSE(CONTROL!$C$21, $C$9, 100%, $E$9)</f>
        <v>50.991100000000003</v>
      </c>
      <c r="H698" s="14">
        <f>CHOOSE(CONTROL!$C$42, 51.0627, 51.0627) * CHOOSE(CONTROL!$C$21, $C$9, 100%, $E$9)</f>
        <v>51.0627</v>
      </c>
      <c r="I698" s="14">
        <f>CHOOSE(CONTROL!$C$42, 51.1456, 51.1456)* CHOOSE(CONTROL!$C$21, $C$9, 100%, $E$9)</f>
        <v>51.145600000000002</v>
      </c>
      <c r="J698" s="14">
        <f>CHOOSE(CONTROL!$C$42, 50.9678, 50.9678)* CHOOSE(CONTROL!$C$21, $C$9, 100%, $E$9)</f>
        <v>50.967799999999997</v>
      </c>
      <c r="K698" s="53">
        <f>CHOOSE(CONTROL!$C$42, 51.1417, 51.1417) * CHOOSE(CONTROL!$C$21, $C$9, 100%, $E$9)</f>
        <v>51.1417</v>
      </c>
      <c r="L698" s="14">
        <f>CHOOSE(CONTROL!$C$42, 51.6497, 51.6497) * CHOOSE(CONTROL!$C$21, $C$9, 100%, $E$9)</f>
        <v>51.649700000000003</v>
      </c>
      <c r="M698" s="14">
        <f>CHOOSE(CONTROL!$C$42, 49.9312, 49.9312) * CHOOSE(CONTROL!$C$21, $C$9, 100%, $E$9)</f>
        <v>49.931199999999997</v>
      </c>
      <c r="N698" s="14">
        <f>CHOOSE(CONTROL!$C$42, 49.9472, 49.9472) * CHOOSE(CONTROL!$C$21, $C$9, 100%, $E$9)</f>
        <v>49.947200000000002</v>
      </c>
      <c r="O698" s="14">
        <f>CHOOSE(CONTROL!$C$42, 50.0241, 50.0241) * CHOOSE(CONTROL!$C$21, $C$9, 100%, $E$9)</f>
        <v>50.024099999999997</v>
      </c>
      <c r="P698" s="14">
        <f>CHOOSE(CONTROL!$C$42, 50.1022, 50.1022) * CHOOSE(CONTROL!$C$21, $C$9, 100%, $E$9)</f>
        <v>50.102200000000003</v>
      </c>
      <c r="Q698" s="14">
        <f>CHOOSE(CONTROL!$C$42, 50.6188, 50.6188) * CHOOSE(CONTROL!$C$21, $C$9, 100%, $E$9)</f>
        <v>50.6188</v>
      </c>
      <c r="R698" s="14">
        <f>CHOOSE(CONTROL!$C$42, 51.3324, 51.3324) * CHOOSE(CONTROL!$C$21, $C$9, 100%, $E$9)</f>
        <v>51.3324</v>
      </c>
      <c r="S698" s="14">
        <f>CHOOSE(CONTROL!$C$42, 48.974, 48.974) * CHOOSE(CONTROL!$C$21, $C$9, 100%, $E$9)</f>
        <v>48.973999999999997</v>
      </c>
      <c r="T6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7">
        <f>(1000*CHOOSE(CONTROL!$C$42, 695, 695)*CHOOSE(CONTROL!$C$42, 0.5599, 0.5599)*CHOOSE(CONTROL!$C$42, 28, 28))/1000000</f>
        <v>10.895653999999999</v>
      </c>
      <c r="V698" s="57">
        <f>(1000*CHOOSE(CONTROL!$C$42, 500, 500)*CHOOSE(CONTROL!$C$42, 0.275, 0.275)*CHOOSE(CONTROL!$C$42, 28, 28))/1000000</f>
        <v>3.85</v>
      </c>
      <c r="W698" s="57">
        <f>(1000*CHOOSE(CONTROL!$C$42, 0.1146, 0.1146)*CHOOSE(CONTROL!$C$42, 121.5, 121.5)*CHOOSE(CONTROL!$C$42, 28, 28))/1000000</f>
        <v>0.38986920000000003</v>
      </c>
      <c r="X698" s="57">
        <f>(28*0.1790888*100000/1000000)+(28*0.2374*100000/1000000)</f>
        <v>1.16616864</v>
      </c>
      <c r="Y698" s="57"/>
      <c r="Z698" s="14"/>
      <c r="AA698" s="56"/>
      <c r="AB698" s="50">
        <f>(B698*122.58+C698*297.941+D698*89.177+E698*40.302+F698*40+G698*160+H698*0+I698*100+J698*300)/(122.58+297.941+89.177+40.302+0+40+160+100+300)</f>
        <v>51.00018679608695</v>
      </c>
      <c r="AC698" s="45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49.998830935251796</v>
      </c>
    </row>
    <row r="699" spans="1:29" ht="15.75" x14ac:dyDescent="0.25">
      <c r="A699" s="32">
        <v>62183</v>
      </c>
      <c r="B699" s="14">
        <f>CHOOSE(CONTROL!$C$42, 49.5287, 49.5287) * CHOOSE(CONTROL!$C$21, $C$9, 100%, $E$9)</f>
        <v>49.528700000000001</v>
      </c>
      <c r="C699" s="14">
        <f>CHOOSE(CONTROL!$C$42, 49.5338, 49.5338) * CHOOSE(CONTROL!$C$21, $C$9, 100%, $E$9)</f>
        <v>49.533799999999999</v>
      </c>
      <c r="D699" s="14">
        <f>CHOOSE(CONTROL!$C$42, 49.5924, 49.5924) * CHOOSE(CONTROL!$C$21, $C$9, 100%, $E$9)</f>
        <v>49.592399999999998</v>
      </c>
      <c r="E699" s="14">
        <f>CHOOSE(CONTROL!$C$42, 49.6265, 49.6265) * CHOOSE(CONTROL!$C$21, $C$9, 100%, $E$9)</f>
        <v>49.6265</v>
      </c>
      <c r="F699" s="14">
        <f>CHOOSE(CONTROL!$C$42, 49.5273, 49.5273)*CHOOSE(CONTROL!$C$21, $C$9, 100%, $E$9)</f>
        <v>49.527299999999997</v>
      </c>
      <c r="G699" s="14">
        <f>CHOOSE(CONTROL!$C$42, 49.5435, 49.5435)*CHOOSE(CONTROL!$C$21, $C$9, 100%, $E$9)</f>
        <v>49.543500000000002</v>
      </c>
      <c r="H699" s="14">
        <f>CHOOSE(CONTROL!$C$42, 49.6157, 49.6157) * CHOOSE(CONTROL!$C$21, $C$9, 100%, $E$9)</f>
        <v>49.615699999999997</v>
      </c>
      <c r="I699" s="14">
        <f>CHOOSE(CONTROL!$C$42, 49.6941, 49.6941)* CHOOSE(CONTROL!$C$21, $C$9, 100%, $E$9)</f>
        <v>49.694099999999999</v>
      </c>
      <c r="J699" s="14">
        <f>CHOOSE(CONTROL!$C$42, 49.5203, 49.5203)* CHOOSE(CONTROL!$C$21, $C$9, 100%, $E$9)</f>
        <v>49.520299999999999</v>
      </c>
      <c r="K699" s="53">
        <f>CHOOSE(CONTROL!$C$42, 49.6902, 49.6902) * CHOOSE(CONTROL!$C$21, $C$9, 100%, $E$9)</f>
        <v>49.690199999999997</v>
      </c>
      <c r="L699" s="14">
        <f>CHOOSE(CONTROL!$C$42, 50.2027, 50.2027) * CHOOSE(CONTROL!$C$21, $C$9, 100%, $E$9)</f>
        <v>50.2027</v>
      </c>
      <c r="M699" s="14">
        <f>CHOOSE(CONTROL!$C$42, 48.5133, 48.5133) * CHOOSE(CONTROL!$C$21, $C$9, 100%, $E$9)</f>
        <v>48.513300000000001</v>
      </c>
      <c r="N699" s="14">
        <f>CHOOSE(CONTROL!$C$42, 48.5293, 48.5293) * CHOOSE(CONTROL!$C$21, $C$9, 100%, $E$9)</f>
        <v>48.529299999999999</v>
      </c>
      <c r="O699" s="14">
        <f>CHOOSE(CONTROL!$C$42, 48.6068, 48.6068) * CHOOSE(CONTROL!$C$21, $C$9, 100%, $E$9)</f>
        <v>48.6068</v>
      </c>
      <c r="P699" s="14">
        <f>CHOOSE(CONTROL!$C$42, 48.6805, 48.6805) * CHOOSE(CONTROL!$C$21, $C$9, 100%, $E$9)</f>
        <v>48.680500000000002</v>
      </c>
      <c r="Q699" s="14">
        <f>CHOOSE(CONTROL!$C$42, 49.2015, 49.2015) * CHOOSE(CONTROL!$C$21, $C$9, 100%, $E$9)</f>
        <v>49.201500000000003</v>
      </c>
      <c r="R699" s="14">
        <f>CHOOSE(CONTROL!$C$42, 49.9115, 49.9115) * CHOOSE(CONTROL!$C$21, $C$9, 100%, $E$9)</f>
        <v>49.911499999999997</v>
      </c>
      <c r="S699" s="14">
        <f>CHOOSE(CONTROL!$C$42, 47.5836, 47.5836) * CHOOSE(CONTROL!$C$21, $C$9, 100%, $E$9)</f>
        <v>47.583599999999997</v>
      </c>
      <c r="T6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7">
        <f>(1000*CHOOSE(CONTROL!$C$42, 695, 695)*CHOOSE(CONTROL!$C$42, 0.5599, 0.5599)*CHOOSE(CONTROL!$C$42, 31, 31))/1000000</f>
        <v>12.063045499999998</v>
      </c>
      <c r="V699" s="57">
        <f>(1000*CHOOSE(CONTROL!$C$42, 500, 500)*CHOOSE(CONTROL!$C$42, 0.275, 0.275)*CHOOSE(CONTROL!$C$42, 31, 31))/1000000</f>
        <v>4.2625000000000002</v>
      </c>
      <c r="W699" s="57">
        <f>(1000*CHOOSE(CONTROL!$C$42, 0.1146, 0.1146)*CHOOSE(CONTROL!$C$42, 121.5, 121.5)*CHOOSE(CONTROL!$C$42, 31, 31))/1000000</f>
        <v>0.43164089999999994</v>
      </c>
      <c r="X699" s="57">
        <f>(31*0.1790888*100000/1000000)+(31*0.2374*100000/1000000)</f>
        <v>1.2911152800000001</v>
      </c>
      <c r="Y699" s="57"/>
      <c r="Z699" s="14"/>
      <c r="AA699" s="56"/>
      <c r="AB699" s="50">
        <f>(B699*122.58+C699*297.941+D699*89.177+E699*40.302+F699*40+G699*160+H699*0+I699*100+J699*300)/(122.58+297.941+89.177+40.302+0+40+160+100+300)</f>
        <v>49.552590095304353</v>
      </c>
      <c r="AC699" s="45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48.580656115107921</v>
      </c>
    </row>
    <row r="700" spans="1:29" ht="15.75" x14ac:dyDescent="0.25">
      <c r="A700" s="32">
        <v>62213</v>
      </c>
      <c r="B700" s="14">
        <f>CHOOSE(CONTROL!$C$42, 49.3816, 49.3816) * CHOOSE(CONTROL!$C$21, $C$9, 100%, $E$9)</f>
        <v>49.381599999999999</v>
      </c>
      <c r="C700" s="14">
        <f>CHOOSE(CONTROL!$C$42, 49.3861, 49.3861) * CHOOSE(CONTROL!$C$21, $C$9, 100%, $E$9)</f>
        <v>49.386099999999999</v>
      </c>
      <c r="D700" s="14">
        <f>CHOOSE(CONTROL!$C$42, 49.5942, 49.5942) * CHOOSE(CONTROL!$C$21, $C$9, 100%, $E$9)</f>
        <v>49.594200000000001</v>
      </c>
      <c r="E700" s="14">
        <f>CHOOSE(CONTROL!$C$42, 49.6263, 49.6263) * CHOOSE(CONTROL!$C$21, $C$9, 100%, $E$9)</f>
        <v>49.626300000000001</v>
      </c>
      <c r="F700" s="14">
        <f>CHOOSE(CONTROL!$C$42, 49.369, 49.369)*CHOOSE(CONTROL!$C$21, $C$9, 100%, $E$9)</f>
        <v>49.369</v>
      </c>
      <c r="G700" s="14">
        <f>CHOOSE(CONTROL!$C$42, 49.3849, 49.3849)*CHOOSE(CONTROL!$C$21, $C$9, 100%, $E$9)</f>
        <v>49.384900000000002</v>
      </c>
      <c r="H700" s="14">
        <f>CHOOSE(CONTROL!$C$42, 49.6161, 49.6161) * CHOOSE(CONTROL!$C$21, $C$9, 100%, $E$9)</f>
        <v>49.616100000000003</v>
      </c>
      <c r="I700" s="14">
        <f>CHOOSE(CONTROL!$C$42, 49.5457, 49.5457)* CHOOSE(CONTROL!$C$21, $C$9, 100%, $E$9)</f>
        <v>49.545699999999997</v>
      </c>
      <c r="J700" s="14">
        <f>CHOOSE(CONTROL!$C$42, 49.362, 49.362)* CHOOSE(CONTROL!$C$21, $C$9, 100%, $E$9)</f>
        <v>49.362000000000002</v>
      </c>
      <c r="K700" s="53">
        <f>CHOOSE(CONTROL!$C$42, 49.5418, 49.5418) * CHOOSE(CONTROL!$C$21, $C$9, 100%, $E$9)</f>
        <v>49.541800000000002</v>
      </c>
      <c r="L700" s="14">
        <f>CHOOSE(CONTROL!$C$42, 50.2031, 50.2031) * CHOOSE(CONTROL!$C$21, $C$9, 100%, $E$9)</f>
        <v>50.203099999999999</v>
      </c>
      <c r="M700" s="14">
        <f>CHOOSE(CONTROL!$C$42, 48.3583, 48.3583) * CHOOSE(CONTROL!$C$21, $C$9, 100%, $E$9)</f>
        <v>48.3583</v>
      </c>
      <c r="N700" s="14">
        <f>CHOOSE(CONTROL!$C$42, 48.3739, 48.3739) * CHOOSE(CONTROL!$C$21, $C$9, 100%, $E$9)</f>
        <v>48.373899999999999</v>
      </c>
      <c r="O700" s="14">
        <f>CHOOSE(CONTROL!$C$42, 48.6072, 48.6072) * CHOOSE(CONTROL!$C$21, $C$9, 100%, $E$9)</f>
        <v>48.607199999999999</v>
      </c>
      <c r="P700" s="14">
        <f>CHOOSE(CONTROL!$C$42, 48.5352, 48.5352) * CHOOSE(CONTROL!$C$21, $C$9, 100%, $E$9)</f>
        <v>48.535200000000003</v>
      </c>
      <c r="Q700" s="14">
        <f>CHOOSE(CONTROL!$C$42, 49.2019, 49.2019) * CHOOSE(CONTROL!$C$21, $C$9, 100%, $E$9)</f>
        <v>49.201900000000002</v>
      </c>
      <c r="R700" s="14">
        <f>CHOOSE(CONTROL!$C$42, 49.9119, 49.9119) * CHOOSE(CONTROL!$C$21, $C$9, 100%, $E$9)</f>
        <v>49.911900000000003</v>
      </c>
      <c r="S700" s="14">
        <f>CHOOSE(CONTROL!$C$42, 47.4415, 47.4415) * CHOOSE(CONTROL!$C$21, $C$9, 100%, $E$9)</f>
        <v>47.441499999999998</v>
      </c>
      <c r="T7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7">
        <f>(1000*CHOOSE(CONTROL!$C$42, 695, 695)*CHOOSE(CONTROL!$C$42, 0.5599, 0.5599)*CHOOSE(CONTROL!$C$42, 30, 30))/1000000</f>
        <v>11.673914999999997</v>
      </c>
      <c r="V700" s="57">
        <f>(1000*CHOOSE(CONTROL!$C$42, 500, 500)*CHOOSE(CONTROL!$C$42, 0.275, 0.275)*CHOOSE(CONTROL!$C$42, 30, 30))/1000000</f>
        <v>4.125</v>
      </c>
      <c r="W700" s="57">
        <f>(1000*CHOOSE(CONTROL!$C$42, 0.1146, 0.1146)*CHOOSE(CONTROL!$C$42, 121.5, 121.5)*CHOOSE(CONTROL!$C$42, 30, 30))/1000000</f>
        <v>0.417717</v>
      </c>
      <c r="X700" s="57">
        <f>(30*0.1790888*245000/1000000)+(30*0.2374*100000/1000000)</f>
        <v>2.0285026799999999</v>
      </c>
      <c r="Y700" s="57"/>
      <c r="Z700" s="14"/>
      <c r="AA700" s="56"/>
      <c r="AB700" s="50">
        <f>(B700*141.293+C700*267.993+D700*115.016+E700*89.698+F700*40+G700*185+H700*0+I700*100+J700*300)/(141.293+267.993+115.016+89.698+0+40+185+100+300)</f>
        <v>49.428608854479414</v>
      </c>
      <c r="AC700" s="45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48.497461870503606</v>
      </c>
    </row>
    <row r="701" spans="1:29" ht="15.75" x14ac:dyDescent="0.25">
      <c r="A701" s="32">
        <v>62244</v>
      </c>
      <c r="B701" s="14">
        <f>CHOOSE(CONTROL!$C$42, 49.8188, 49.8188) * CHOOSE(CONTROL!$C$21, $C$9, 100%, $E$9)</f>
        <v>49.818800000000003</v>
      </c>
      <c r="C701" s="14">
        <f>CHOOSE(CONTROL!$C$42, 49.8268, 49.8268) * CHOOSE(CONTROL!$C$21, $C$9, 100%, $E$9)</f>
        <v>49.826799999999999</v>
      </c>
      <c r="D701" s="14">
        <f>CHOOSE(CONTROL!$C$42, 50.0318, 50.0318) * CHOOSE(CONTROL!$C$21, $C$9, 100%, $E$9)</f>
        <v>50.031799999999997</v>
      </c>
      <c r="E701" s="14">
        <f>CHOOSE(CONTROL!$C$42, 50.0632, 50.0632) * CHOOSE(CONTROL!$C$21, $C$9, 100%, $E$9)</f>
        <v>50.063200000000002</v>
      </c>
      <c r="F701" s="14">
        <f>CHOOSE(CONTROL!$C$42, 49.805, 49.805)*CHOOSE(CONTROL!$C$21, $C$9, 100%, $E$9)</f>
        <v>49.805</v>
      </c>
      <c r="G701" s="14">
        <f>CHOOSE(CONTROL!$C$42, 49.8214, 49.8214)*CHOOSE(CONTROL!$C$21, $C$9, 100%, $E$9)</f>
        <v>49.821399999999997</v>
      </c>
      <c r="H701" s="14">
        <f>CHOOSE(CONTROL!$C$42, 50.0519, 50.0519) * CHOOSE(CONTROL!$C$21, $C$9, 100%, $E$9)</f>
        <v>50.051900000000003</v>
      </c>
      <c r="I701" s="14">
        <f>CHOOSE(CONTROL!$C$42, 49.9828, 49.9828)* CHOOSE(CONTROL!$C$21, $C$9, 100%, $E$9)</f>
        <v>49.982799999999997</v>
      </c>
      <c r="J701" s="14">
        <f>CHOOSE(CONTROL!$C$42, 49.798, 49.798)* CHOOSE(CONTROL!$C$21, $C$9, 100%, $E$9)</f>
        <v>49.798000000000002</v>
      </c>
      <c r="K701" s="53">
        <f>CHOOSE(CONTROL!$C$42, 49.979, 49.979) * CHOOSE(CONTROL!$C$21, $C$9, 100%, $E$9)</f>
        <v>49.978999999999999</v>
      </c>
      <c r="L701" s="14">
        <f>CHOOSE(CONTROL!$C$42, 50.6389, 50.6389) * CHOOSE(CONTROL!$C$21, $C$9, 100%, $E$9)</f>
        <v>50.6389</v>
      </c>
      <c r="M701" s="14">
        <f>CHOOSE(CONTROL!$C$42, 48.7853, 48.7853) * CHOOSE(CONTROL!$C$21, $C$9, 100%, $E$9)</f>
        <v>48.785299999999999</v>
      </c>
      <c r="N701" s="14">
        <f>CHOOSE(CONTROL!$C$42, 48.8014, 48.8014) * CHOOSE(CONTROL!$C$21, $C$9, 100%, $E$9)</f>
        <v>48.801400000000001</v>
      </c>
      <c r="O701" s="14">
        <f>CHOOSE(CONTROL!$C$42, 49.034, 49.034) * CHOOSE(CONTROL!$C$21, $C$9, 100%, $E$9)</f>
        <v>49.033999999999999</v>
      </c>
      <c r="P701" s="14">
        <f>CHOOSE(CONTROL!$C$42, 48.9634, 48.9634) * CHOOSE(CONTROL!$C$21, $C$9, 100%, $E$9)</f>
        <v>48.9634</v>
      </c>
      <c r="Q701" s="14">
        <f>CHOOSE(CONTROL!$C$42, 49.6287, 49.6287) * CHOOSE(CONTROL!$C$21, $C$9, 100%, $E$9)</f>
        <v>49.628700000000002</v>
      </c>
      <c r="R701" s="14">
        <f>CHOOSE(CONTROL!$C$42, 50.3398, 50.3398) * CHOOSE(CONTROL!$C$21, $C$9, 100%, $E$9)</f>
        <v>50.339799999999997</v>
      </c>
      <c r="S701" s="14">
        <f>CHOOSE(CONTROL!$C$42, 47.8602, 47.8602) * CHOOSE(CONTROL!$C$21, $C$9, 100%, $E$9)</f>
        <v>47.860199999999999</v>
      </c>
      <c r="T7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7">
        <f>(1000*CHOOSE(CONTROL!$C$42, 695, 695)*CHOOSE(CONTROL!$C$42, 0.5599, 0.5599)*CHOOSE(CONTROL!$C$42, 31, 31))/1000000</f>
        <v>12.063045499999998</v>
      </c>
      <c r="V701" s="57">
        <f>(1000*CHOOSE(CONTROL!$C$42, 500, 500)*CHOOSE(CONTROL!$C$42, 0.275, 0.275)*CHOOSE(CONTROL!$C$42, 31, 31))/1000000</f>
        <v>4.2625000000000002</v>
      </c>
      <c r="W701" s="57">
        <f>(1000*CHOOSE(CONTROL!$C$42, 0.1146, 0.1146)*CHOOSE(CONTROL!$C$42, 121.5, 121.5)*CHOOSE(CONTROL!$C$42, 31, 31))/1000000</f>
        <v>0.43164089999999994</v>
      </c>
      <c r="X701" s="57">
        <f>(31*0.1790888*245000/1000000)+(31*0.2374*100000/1000000)</f>
        <v>2.0961194359999999</v>
      </c>
      <c r="Y701" s="57"/>
      <c r="Z701" s="14"/>
      <c r="AA701" s="56"/>
      <c r="AB701" s="50">
        <f>(B701*194.205+C701*267.466+D701*133.845+E701*53.484+F701*40+G701*185+H701*0+I701*100+J701*300)/(194.205+267.466+133.845+53.484+0+40+185+100+300)</f>
        <v>49.86103642276295</v>
      </c>
      <c r="AC701" s="45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48.924572661870492</v>
      </c>
    </row>
    <row r="702" spans="1:29" ht="15.75" x14ac:dyDescent="0.25">
      <c r="A702" s="32">
        <v>62274</v>
      </c>
      <c r="B702" s="14">
        <f>CHOOSE(CONTROL!$C$42, 51.2316, 51.2316) * CHOOSE(CONTROL!$C$21, $C$9, 100%, $E$9)</f>
        <v>51.2316</v>
      </c>
      <c r="C702" s="14">
        <f>CHOOSE(CONTROL!$C$42, 51.2396, 51.2396) * CHOOSE(CONTROL!$C$21, $C$9, 100%, $E$9)</f>
        <v>51.239600000000003</v>
      </c>
      <c r="D702" s="14">
        <f>CHOOSE(CONTROL!$C$42, 51.4446, 51.4446) * CHOOSE(CONTROL!$C$21, $C$9, 100%, $E$9)</f>
        <v>51.444600000000001</v>
      </c>
      <c r="E702" s="14">
        <f>CHOOSE(CONTROL!$C$42, 51.4761, 51.4761) * CHOOSE(CONTROL!$C$21, $C$9, 100%, $E$9)</f>
        <v>51.476100000000002</v>
      </c>
      <c r="F702" s="14">
        <f>CHOOSE(CONTROL!$C$42, 51.2182, 51.2182)*CHOOSE(CONTROL!$C$21, $C$9, 100%, $E$9)</f>
        <v>51.218200000000003</v>
      </c>
      <c r="G702" s="14">
        <f>CHOOSE(CONTROL!$C$42, 51.2347, 51.2347)*CHOOSE(CONTROL!$C$21, $C$9, 100%, $E$9)</f>
        <v>51.234699999999997</v>
      </c>
      <c r="H702" s="14">
        <f>CHOOSE(CONTROL!$C$42, 51.4647, 51.4647) * CHOOSE(CONTROL!$C$21, $C$9, 100%, $E$9)</f>
        <v>51.464700000000001</v>
      </c>
      <c r="I702" s="14">
        <f>CHOOSE(CONTROL!$C$42, 51.4001, 51.4001)* CHOOSE(CONTROL!$C$21, $C$9, 100%, $E$9)</f>
        <v>51.400100000000002</v>
      </c>
      <c r="J702" s="14">
        <f>CHOOSE(CONTROL!$C$42, 51.2112, 51.2112)* CHOOSE(CONTROL!$C$21, $C$9, 100%, $E$9)</f>
        <v>51.211199999999998</v>
      </c>
      <c r="K702" s="53">
        <f>CHOOSE(CONTROL!$C$42, 51.3962, 51.3962) * CHOOSE(CONTROL!$C$21, $C$9, 100%, $E$9)</f>
        <v>51.3962</v>
      </c>
      <c r="L702" s="14">
        <f>CHOOSE(CONTROL!$C$42, 52.0517, 52.0517) * CHOOSE(CONTROL!$C$21, $C$9, 100%, $E$9)</f>
        <v>52.051699999999997</v>
      </c>
      <c r="M702" s="14">
        <f>CHOOSE(CONTROL!$C$42, 50.1696, 50.1696) * CHOOSE(CONTROL!$C$21, $C$9, 100%, $E$9)</f>
        <v>50.169600000000003</v>
      </c>
      <c r="N702" s="14">
        <f>CHOOSE(CONTROL!$C$42, 50.1858, 50.1858) * CHOOSE(CONTROL!$C$21, $C$9, 100%, $E$9)</f>
        <v>50.1858</v>
      </c>
      <c r="O702" s="14">
        <f>CHOOSE(CONTROL!$C$42, 50.4179, 50.4179) * CHOOSE(CONTROL!$C$21, $C$9, 100%, $E$9)</f>
        <v>50.417900000000003</v>
      </c>
      <c r="P702" s="14">
        <f>CHOOSE(CONTROL!$C$42, 50.3515, 50.3515) * CHOOSE(CONTROL!$C$21, $C$9, 100%, $E$9)</f>
        <v>50.351500000000001</v>
      </c>
      <c r="Q702" s="14">
        <f>CHOOSE(CONTROL!$C$42, 51.0126, 51.0126) * CHOOSE(CONTROL!$C$21, $C$9, 100%, $E$9)</f>
        <v>51.012599999999999</v>
      </c>
      <c r="R702" s="14">
        <f>CHOOSE(CONTROL!$C$42, 51.7272, 51.7272) * CHOOSE(CONTROL!$C$21, $C$9, 100%, $E$9)</f>
        <v>51.727200000000003</v>
      </c>
      <c r="S702" s="14">
        <f>CHOOSE(CONTROL!$C$42, 49.2178, 49.2178) * CHOOSE(CONTROL!$C$21, $C$9, 100%, $E$9)</f>
        <v>49.217799999999997</v>
      </c>
      <c r="T7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7">
        <f>(1000*CHOOSE(CONTROL!$C$42, 695, 695)*CHOOSE(CONTROL!$C$42, 0.5599, 0.5599)*CHOOSE(CONTROL!$C$42, 30, 30))/1000000</f>
        <v>11.673914999999997</v>
      </c>
      <c r="V702" s="57">
        <f>(1000*CHOOSE(CONTROL!$C$42, 500, 500)*CHOOSE(CONTROL!$C$42, 0.275, 0.275)*CHOOSE(CONTROL!$C$42, 30, 30))/1000000</f>
        <v>4.125</v>
      </c>
      <c r="W702" s="57">
        <f>(1000*CHOOSE(CONTROL!$C$42, 0.1146, 0.1146)*CHOOSE(CONTROL!$C$42, 121.5, 121.5)*CHOOSE(CONTROL!$C$42, 30, 30))/1000000</f>
        <v>0.417717</v>
      </c>
      <c r="X702" s="57">
        <f>(30*0.1790888*245000/1000000)+(30*0.2374*100000/1000000)</f>
        <v>2.0285026799999999</v>
      </c>
      <c r="Y702" s="57"/>
      <c r="Z702" s="14"/>
      <c r="AA702" s="56"/>
      <c r="AB702" s="50">
        <f>(B702*194.205+C702*267.466+D702*133.845+E702*53.484+F702*40+G702*185+H702*0+I702*100+J702*300)/(194.205+267.466+133.845+53.484+0+40+185+100+300)</f>
        <v>51.27437319544741</v>
      </c>
      <c r="AC702" s="45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50.309243884892091</v>
      </c>
    </row>
    <row r="703" spans="1:29" ht="15.75" x14ac:dyDescent="0.25">
      <c r="A703" s="32">
        <v>62305</v>
      </c>
      <c r="B703" s="14">
        <f>CHOOSE(CONTROL!$C$42, 50.249, 50.249) * CHOOSE(CONTROL!$C$21, $C$9, 100%, $E$9)</f>
        <v>50.249000000000002</v>
      </c>
      <c r="C703" s="14">
        <f>CHOOSE(CONTROL!$C$42, 50.257, 50.257) * CHOOSE(CONTROL!$C$21, $C$9, 100%, $E$9)</f>
        <v>50.256999999999998</v>
      </c>
      <c r="D703" s="14">
        <f>CHOOSE(CONTROL!$C$42, 50.462, 50.462) * CHOOSE(CONTROL!$C$21, $C$9, 100%, $E$9)</f>
        <v>50.462000000000003</v>
      </c>
      <c r="E703" s="14">
        <f>CHOOSE(CONTROL!$C$42, 50.4934, 50.4934) * CHOOSE(CONTROL!$C$21, $C$9, 100%, $E$9)</f>
        <v>50.493400000000001</v>
      </c>
      <c r="F703" s="14">
        <f>CHOOSE(CONTROL!$C$42, 50.2359, 50.2359)*CHOOSE(CONTROL!$C$21, $C$9, 100%, $E$9)</f>
        <v>50.235900000000001</v>
      </c>
      <c r="G703" s="14">
        <f>CHOOSE(CONTROL!$C$42, 50.2526, 50.2526)*CHOOSE(CONTROL!$C$21, $C$9, 100%, $E$9)</f>
        <v>50.252600000000001</v>
      </c>
      <c r="H703" s="14">
        <f>CHOOSE(CONTROL!$C$42, 50.4821, 50.4821) * CHOOSE(CONTROL!$C$21, $C$9, 100%, $E$9)</f>
        <v>50.482100000000003</v>
      </c>
      <c r="I703" s="14">
        <f>CHOOSE(CONTROL!$C$42, 50.4144, 50.4144)* CHOOSE(CONTROL!$C$21, $C$9, 100%, $E$9)</f>
        <v>50.414400000000001</v>
      </c>
      <c r="J703" s="14">
        <f>CHOOSE(CONTROL!$C$42, 50.2289, 50.2289)* CHOOSE(CONTROL!$C$21, $C$9, 100%, $E$9)</f>
        <v>50.228900000000003</v>
      </c>
      <c r="K703" s="53">
        <f>CHOOSE(CONTROL!$C$42, 50.4105, 50.4105) * CHOOSE(CONTROL!$C$21, $C$9, 100%, $E$9)</f>
        <v>50.410499999999999</v>
      </c>
      <c r="L703" s="14">
        <f>CHOOSE(CONTROL!$C$42, 51.0691, 51.0691) * CHOOSE(CONTROL!$C$21, $C$9, 100%, $E$9)</f>
        <v>51.069099999999999</v>
      </c>
      <c r="M703" s="14">
        <f>CHOOSE(CONTROL!$C$42, 49.2075, 49.2075) * CHOOSE(CONTROL!$C$21, $C$9, 100%, $E$9)</f>
        <v>49.207500000000003</v>
      </c>
      <c r="N703" s="14">
        <f>CHOOSE(CONTROL!$C$42, 49.2238, 49.2238) * CHOOSE(CONTROL!$C$21, $C$9, 100%, $E$9)</f>
        <v>49.223799999999997</v>
      </c>
      <c r="O703" s="14">
        <f>CHOOSE(CONTROL!$C$42, 49.4554, 49.4554) * CHOOSE(CONTROL!$C$21, $C$9, 100%, $E$9)</f>
        <v>49.455399999999997</v>
      </c>
      <c r="P703" s="14">
        <f>CHOOSE(CONTROL!$C$42, 49.386, 49.386) * CHOOSE(CONTROL!$C$21, $C$9, 100%, $E$9)</f>
        <v>49.386000000000003</v>
      </c>
      <c r="Q703" s="14">
        <f>CHOOSE(CONTROL!$C$42, 50.0501, 50.0501) * CHOOSE(CONTROL!$C$21, $C$9, 100%, $E$9)</f>
        <v>50.0501</v>
      </c>
      <c r="R703" s="14">
        <f>CHOOSE(CONTROL!$C$42, 50.7622, 50.7622) * CHOOSE(CONTROL!$C$21, $C$9, 100%, $E$9)</f>
        <v>50.7622</v>
      </c>
      <c r="S703" s="14">
        <f>CHOOSE(CONTROL!$C$42, 48.2736, 48.2736) * CHOOSE(CONTROL!$C$21, $C$9, 100%, $E$9)</f>
        <v>48.273600000000002</v>
      </c>
      <c r="T7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7">
        <f>(1000*CHOOSE(CONTROL!$C$42, 695, 695)*CHOOSE(CONTROL!$C$42, 0.5599, 0.5599)*CHOOSE(CONTROL!$C$42, 31, 31))/1000000</f>
        <v>12.063045499999998</v>
      </c>
      <c r="V703" s="57">
        <f>(1000*CHOOSE(CONTROL!$C$42, 500, 500)*CHOOSE(CONTROL!$C$42, 0.275, 0.275)*CHOOSE(CONTROL!$C$42, 31, 31))/1000000</f>
        <v>4.2625000000000002</v>
      </c>
      <c r="W703" s="57">
        <f>(1000*CHOOSE(CONTROL!$C$42, 0.1146, 0.1146)*CHOOSE(CONTROL!$C$42, 121.5, 121.5)*CHOOSE(CONTROL!$C$42, 31, 31))/1000000</f>
        <v>0.43164089999999994</v>
      </c>
      <c r="X703" s="57">
        <f>(31*0.1790888*245000/1000000)+(31*0.2374*100000/1000000)</f>
        <v>2.0961194359999999</v>
      </c>
      <c r="Y703" s="57"/>
      <c r="Z703" s="14"/>
      <c r="AA703" s="56"/>
      <c r="AB703" s="50">
        <f>(B703*194.205+C703*267.466+D703*133.845+E703*53.484+F703*40+G703*185+H703*0+I703*100+J703*300)/(194.205+267.466+133.845+53.484+0+40+185+100+300)</f>
        <v>50.291678337990582</v>
      </c>
      <c r="AC703" s="45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49.346479136690647</v>
      </c>
    </row>
    <row r="704" spans="1:29" ht="15.75" x14ac:dyDescent="0.25">
      <c r="A704" s="32">
        <v>62336</v>
      </c>
      <c r="B704" s="14">
        <f>CHOOSE(CONTROL!$C$42, 47.7675, 47.7675) * CHOOSE(CONTROL!$C$21, $C$9, 100%, $E$9)</f>
        <v>47.767499999999998</v>
      </c>
      <c r="C704" s="14">
        <f>CHOOSE(CONTROL!$C$42, 47.7755, 47.7755) * CHOOSE(CONTROL!$C$21, $C$9, 100%, $E$9)</f>
        <v>47.775500000000001</v>
      </c>
      <c r="D704" s="14">
        <f>CHOOSE(CONTROL!$C$42, 47.9805, 47.9805) * CHOOSE(CONTROL!$C$21, $C$9, 100%, $E$9)</f>
        <v>47.980499999999999</v>
      </c>
      <c r="E704" s="14">
        <f>CHOOSE(CONTROL!$C$42, 48.012, 48.012) * CHOOSE(CONTROL!$C$21, $C$9, 100%, $E$9)</f>
        <v>48.012</v>
      </c>
      <c r="F704" s="14">
        <f>CHOOSE(CONTROL!$C$42, 47.7547, 47.7547)*CHOOSE(CONTROL!$C$21, $C$9, 100%, $E$9)</f>
        <v>47.7547</v>
      </c>
      <c r="G704" s="14">
        <f>CHOOSE(CONTROL!$C$42, 47.7714, 47.7714)*CHOOSE(CONTROL!$C$21, $C$9, 100%, $E$9)</f>
        <v>47.7714</v>
      </c>
      <c r="H704" s="14">
        <f>CHOOSE(CONTROL!$C$42, 48.0006, 48.0006) * CHOOSE(CONTROL!$C$21, $C$9, 100%, $E$9)</f>
        <v>48.000599999999999</v>
      </c>
      <c r="I704" s="14">
        <f>CHOOSE(CONTROL!$C$42, 47.9252, 47.9252)* CHOOSE(CONTROL!$C$21, $C$9, 100%, $E$9)</f>
        <v>47.925199999999997</v>
      </c>
      <c r="J704" s="14">
        <f>CHOOSE(CONTROL!$C$42, 47.7477, 47.7477)* CHOOSE(CONTROL!$C$21, $C$9, 100%, $E$9)</f>
        <v>47.747700000000002</v>
      </c>
      <c r="K704" s="53">
        <f>CHOOSE(CONTROL!$C$42, 47.9213, 47.9213) * CHOOSE(CONTROL!$C$21, $C$9, 100%, $E$9)</f>
        <v>47.921300000000002</v>
      </c>
      <c r="L704" s="14">
        <f>CHOOSE(CONTROL!$C$42, 48.5876, 48.5876) * CHOOSE(CONTROL!$C$21, $C$9, 100%, $E$9)</f>
        <v>48.587600000000002</v>
      </c>
      <c r="M704" s="14">
        <f>CHOOSE(CONTROL!$C$42, 46.7771, 46.7771) * CHOOSE(CONTROL!$C$21, $C$9, 100%, $E$9)</f>
        <v>46.777099999999997</v>
      </c>
      <c r="N704" s="14">
        <f>CHOOSE(CONTROL!$C$42, 46.7934, 46.7934) * CHOOSE(CONTROL!$C$21, $C$9, 100%, $E$9)</f>
        <v>46.793399999999998</v>
      </c>
      <c r="O704" s="14">
        <f>CHOOSE(CONTROL!$C$42, 47.0248, 47.0248) * CHOOSE(CONTROL!$C$21, $C$9, 100%, $E$9)</f>
        <v>47.024799999999999</v>
      </c>
      <c r="P704" s="14">
        <f>CHOOSE(CONTROL!$C$42, 46.948, 46.948) * CHOOSE(CONTROL!$C$21, $C$9, 100%, $E$9)</f>
        <v>46.948</v>
      </c>
      <c r="Q704" s="14">
        <f>CHOOSE(CONTROL!$C$42, 47.6195, 47.6195) * CHOOSE(CONTROL!$C$21, $C$9, 100%, $E$9)</f>
        <v>47.619500000000002</v>
      </c>
      <c r="R704" s="14">
        <f>CHOOSE(CONTROL!$C$42, 48.3256, 48.3256) * CHOOSE(CONTROL!$C$21, $C$9, 100%, $E$9)</f>
        <v>48.325600000000001</v>
      </c>
      <c r="S704" s="14">
        <f>CHOOSE(CONTROL!$C$42, 45.8892, 45.8892) * CHOOSE(CONTROL!$C$21, $C$9, 100%, $E$9)</f>
        <v>45.889200000000002</v>
      </c>
      <c r="T7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7">
        <f>(1000*CHOOSE(CONTROL!$C$42, 695, 695)*CHOOSE(CONTROL!$C$42, 0.5599, 0.5599)*CHOOSE(CONTROL!$C$42, 31, 31))/1000000</f>
        <v>12.063045499999998</v>
      </c>
      <c r="V704" s="57">
        <f>(1000*CHOOSE(CONTROL!$C$42, 500, 500)*CHOOSE(CONTROL!$C$42, 0.275, 0.275)*CHOOSE(CONTROL!$C$42, 31, 31))/1000000</f>
        <v>4.2625000000000002</v>
      </c>
      <c r="W704" s="57">
        <f>(1000*CHOOSE(CONTROL!$C$42, 0.1146, 0.1146)*CHOOSE(CONTROL!$C$42, 121.5, 121.5)*CHOOSE(CONTROL!$C$42, 31, 31))/1000000</f>
        <v>0.43164089999999994</v>
      </c>
      <c r="X704" s="57">
        <f>(31*0.1790888*245000/1000000)+(31*0.2374*100000/1000000)</f>
        <v>2.0961194359999999</v>
      </c>
      <c r="Y704" s="57"/>
      <c r="Z704" s="14"/>
      <c r="AA704" s="56"/>
      <c r="AB704" s="50">
        <f>(B704*194.205+C704*267.466+D704*133.845+E704*53.484+F704*40+G704*185+H704*0+I704*100+J704*300)/(194.205+267.466+133.845+53.484+0+40+185+100+300)</f>
        <v>47.809701766875989</v>
      </c>
      <c r="AC704" s="45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46.914894964028768</v>
      </c>
    </row>
    <row r="705" spans="1:29" ht="15.75" x14ac:dyDescent="0.25">
      <c r="A705" s="32">
        <v>62366</v>
      </c>
      <c r="B705" s="14">
        <f>CHOOSE(CONTROL!$C$42, 44.7352, 44.7352) * CHOOSE(CONTROL!$C$21, $C$9, 100%, $E$9)</f>
        <v>44.735199999999999</v>
      </c>
      <c r="C705" s="14">
        <f>CHOOSE(CONTROL!$C$42, 44.7433, 44.7433) * CHOOSE(CONTROL!$C$21, $C$9, 100%, $E$9)</f>
        <v>44.743299999999998</v>
      </c>
      <c r="D705" s="14">
        <f>CHOOSE(CONTROL!$C$42, 44.9482, 44.9482) * CHOOSE(CONTROL!$C$21, $C$9, 100%, $E$9)</f>
        <v>44.9482</v>
      </c>
      <c r="E705" s="14">
        <f>CHOOSE(CONTROL!$C$42, 44.9797, 44.9797) * CHOOSE(CONTROL!$C$21, $C$9, 100%, $E$9)</f>
        <v>44.979700000000001</v>
      </c>
      <c r="F705" s="14">
        <f>CHOOSE(CONTROL!$C$42, 44.7224, 44.7224)*CHOOSE(CONTROL!$C$21, $C$9, 100%, $E$9)</f>
        <v>44.7224</v>
      </c>
      <c r="G705" s="14">
        <f>CHOOSE(CONTROL!$C$42, 44.7391, 44.7391)*CHOOSE(CONTROL!$C$21, $C$9, 100%, $E$9)</f>
        <v>44.739100000000001</v>
      </c>
      <c r="H705" s="14">
        <f>CHOOSE(CONTROL!$C$42, 44.9683, 44.9683) * CHOOSE(CONTROL!$C$21, $C$9, 100%, $E$9)</f>
        <v>44.968299999999999</v>
      </c>
      <c r="I705" s="14">
        <f>CHOOSE(CONTROL!$C$42, 44.8834, 44.8834)* CHOOSE(CONTROL!$C$21, $C$9, 100%, $E$9)</f>
        <v>44.883400000000002</v>
      </c>
      <c r="J705" s="14">
        <f>CHOOSE(CONTROL!$C$42, 44.7154, 44.7154)* CHOOSE(CONTROL!$C$21, $C$9, 100%, $E$9)</f>
        <v>44.715400000000002</v>
      </c>
      <c r="K705" s="53">
        <f>CHOOSE(CONTROL!$C$42, 44.8795, 44.8795) * CHOOSE(CONTROL!$C$21, $C$9, 100%, $E$9)</f>
        <v>44.8795</v>
      </c>
      <c r="L705" s="14">
        <f>CHOOSE(CONTROL!$C$42, 45.5553, 45.5553) * CHOOSE(CONTROL!$C$21, $C$9, 100%, $E$9)</f>
        <v>45.555300000000003</v>
      </c>
      <c r="M705" s="14">
        <f>CHOOSE(CONTROL!$C$42, 43.8069, 43.8069) * CHOOSE(CONTROL!$C$21, $C$9, 100%, $E$9)</f>
        <v>43.806899999999999</v>
      </c>
      <c r="N705" s="14">
        <f>CHOOSE(CONTROL!$C$42, 43.8232, 43.8232) * CHOOSE(CONTROL!$C$21, $C$9, 100%, $E$9)</f>
        <v>43.8232</v>
      </c>
      <c r="O705" s="14">
        <f>CHOOSE(CONTROL!$C$42, 44.0547, 44.0547) * CHOOSE(CONTROL!$C$21, $C$9, 100%, $E$9)</f>
        <v>44.054699999999997</v>
      </c>
      <c r="P705" s="14">
        <f>CHOOSE(CONTROL!$C$42, 43.9687, 43.9687) * CHOOSE(CONTROL!$C$21, $C$9, 100%, $E$9)</f>
        <v>43.968699999999998</v>
      </c>
      <c r="Q705" s="14">
        <f>CHOOSE(CONTROL!$C$42, 44.6494, 44.6494) * CHOOSE(CONTROL!$C$21, $C$9, 100%, $E$9)</f>
        <v>44.6494</v>
      </c>
      <c r="R705" s="14">
        <f>CHOOSE(CONTROL!$C$42, 45.348, 45.348) * CHOOSE(CONTROL!$C$21, $C$9, 100%, $E$9)</f>
        <v>45.347999999999999</v>
      </c>
      <c r="S705" s="14">
        <f>CHOOSE(CONTROL!$C$42, 42.9755, 42.9755) * CHOOSE(CONTROL!$C$21, $C$9, 100%, $E$9)</f>
        <v>42.975499999999997</v>
      </c>
      <c r="T7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7">
        <f>(1000*CHOOSE(CONTROL!$C$42, 695, 695)*CHOOSE(CONTROL!$C$42, 0.5599, 0.5599)*CHOOSE(CONTROL!$C$42, 30, 30))/1000000</f>
        <v>11.673914999999997</v>
      </c>
      <c r="V705" s="57">
        <f>(1000*CHOOSE(CONTROL!$C$42, 500, 500)*CHOOSE(CONTROL!$C$42, 0.275, 0.275)*CHOOSE(CONTROL!$C$42, 30, 30))/1000000</f>
        <v>4.125</v>
      </c>
      <c r="W705" s="57">
        <f>(1000*CHOOSE(CONTROL!$C$42, 0.1146, 0.1146)*CHOOSE(CONTROL!$C$42, 121.5, 121.5)*CHOOSE(CONTROL!$C$42, 30, 30))/1000000</f>
        <v>0.417717</v>
      </c>
      <c r="X705" s="57">
        <f>(30*0.1790888*245000/1000000)+(30*0.2374*100000/1000000)</f>
        <v>2.0285026799999999</v>
      </c>
      <c r="Y705" s="57"/>
      <c r="Z705" s="14"/>
      <c r="AA705" s="56"/>
      <c r="AB705" s="50">
        <f>(B705*194.205+C705*267.466+D705*133.845+E705*53.484+F705*40+G705*185+H705*0+I705*100+J705*300)/(194.205+267.466+133.845+53.484+0+40+185+100+300)</f>
        <v>44.77667707817897</v>
      </c>
      <c r="AC705" s="45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43.943430935251797</v>
      </c>
    </row>
    <row r="706" spans="1:29" ht="15.75" x14ac:dyDescent="0.25">
      <c r="A706" s="32">
        <v>62397</v>
      </c>
      <c r="B706" s="14">
        <f>CHOOSE(CONTROL!$C$42, 43.8254, 43.8254) * CHOOSE(CONTROL!$C$21, $C$9, 100%, $E$9)</f>
        <v>43.825400000000002</v>
      </c>
      <c r="C706" s="14">
        <f>CHOOSE(CONTROL!$C$42, 43.8307, 43.8307) * CHOOSE(CONTROL!$C$21, $C$9, 100%, $E$9)</f>
        <v>43.8307</v>
      </c>
      <c r="D706" s="14">
        <f>CHOOSE(CONTROL!$C$42, 44.0407, 44.0407) * CHOOSE(CONTROL!$C$21, $C$9, 100%, $E$9)</f>
        <v>44.040700000000001</v>
      </c>
      <c r="E706" s="14">
        <f>CHOOSE(CONTROL!$C$42, 44.0698, 44.0698) * CHOOSE(CONTROL!$C$21, $C$9, 100%, $E$9)</f>
        <v>44.069800000000001</v>
      </c>
      <c r="F706" s="14">
        <f>CHOOSE(CONTROL!$C$42, 43.8146, 43.8146)*CHOOSE(CONTROL!$C$21, $C$9, 100%, $E$9)</f>
        <v>43.814599999999999</v>
      </c>
      <c r="G706" s="14">
        <f>CHOOSE(CONTROL!$C$42, 43.831, 43.831)*CHOOSE(CONTROL!$C$21, $C$9, 100%, $E$9)</f>
        <v>43.831000000000003</v>
      </c>
      <c r="H706" s="14">
        <f>CHOOSE(CONTROL!$C$42, 44.0603, 44.0603) * CHOOSE(CONTROL!$C$21, $C$9, 100%, $E$9)</f>
        <v>44.060299999999998</v>
      </c>
      <c r="I706" s="14">
        <f>CHOOSE(CONTROL!$C$42, 43.9725, 43.9725)* CHOOSE(CONTROL!$C$21, $C$9, 100%, $E$9)</f>
        <v>43.972499999999997</v>
      </c>
      <c r="J706" s="14">
        <f>CHOOSE(CONTROL!$C$42, 43.8076, 43.8076)* CHOOSE(CONTROL!$C$21, $C$9, 100%, $E$9)</f>
        <v>43.807600000000001</v>
      </c>
      <c r="K706" s="53">
        <f>CHOOSE(CONTROL!$C$42, 43.9686, 43.9686) * CHOOSE(CONTROL!$C$21, $C$9, 100%, $E$9)</f>
        <v>43.968600000000002</v>
      </c>
      <c r="L706" s="14">
        <f>CHOOSE(CONTROL!$C$42, 44.6473, 44.6473) * CHOOSE(CONTROL!$C$21, $C$9, 100%, $E$9)</f>
        <v>44.647300000000001</v>
      </c>
      <c r="M706" s="14">
        <f>CHOOSE(CONTROL!$C$42, 42.9177, 42.9177) * CHOOSE(CONTROL!$C$21, $C$9, 100%, $E$9)</f>
        <v>42.917700000000004</v>
      </c>
      <c r="N706" s="14">
        <f>CHOOSE(CONTROL!$C$42, 42.9337, 42.9337) * CHOOSE(CONTROL!$C$21, $C$9, 100%, $E$9)</f>
        <v>42.933700000000002</v>
      </c>
      <c r="O706" s="14">
        <f>CHOOSE(CONTROL!$C$42, 43.1652, 43.1652) * CHOOSE(CONTROL!$C$21, $C$9, 100%, $E$9)</f>
        <v>43.165199999999999</v>
      </c>
      <c r="P706" s="14">
        <f>CHOOSE(CONTROL!$C$42, 43.0765, 43.0765) * CHOOSE(CONTROL!$C$21, $C$9, 100%, $E$9)</f>
        <v>43.076500000000003</v>
      </c>
      <c r="Q706" s="14">
        <f>CHOOSE(CONTROL!$C$42, 43.7599, 43.7599) * CHOOSE(CONTROL!$C$21, $C$9, 100%, $E$9)</f>
        <v>43.759900000000002</v>
      </c>
      <c r="R706" s="14">
        <f>CHOOSE(CONTROL!$C$42, 44.4563, 44.4563) * CHOOSE(CONTROL!$C$21, $C$9, 100%, $E$9)</f>
        <v>44.456299999999999</v>
      </c>
      <c r="S706" s="14">
        <f>CHOOSE(CONTROL!$C$42, 42.1029, 42.1029) * CHOOSE(CONTROL!$C$21, $C$9, 100%, $E$9)</f>
        <v>42.102899999999998</v>
      </c>
      <c r="T7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7">
        <f>(1000*CHOOSE(CONTROL!$C$42, 695, 695)*CHOOSE(CONTROL!$C$42, 0.5599, 0.5599)*CHOOSE(CONTROL!$C$42, 31, 31))/1000000</f>
        <v>12.063045499999998</v>
      </c>
      <c r="V706" s="57">
        <f>(1000*CHOOSE(CONTROL!$C$42, 500, 500)*CHOOSE(CONTROL!$C$42, 0.275, 0.275)*CHOOSE(CONTROL!$C$42, 31, 31))/1000000</f>
        <v>4.2625000000000002</v>
      </c>
      <c r="W706" s="57">
        <f>(1000*CHOOSE(CONTROL!$C$42, 0.1146, 0.1146)*CHOOSE(CONTROL!$C$42, 121.5, 121.5)*CHOOSE(CONTROL!$C$42, 31, 31))/1000000</f>
        <v>0.43164089999999994</v>
      </c>
      <c r="X706" s="57">
        <f>(31*0.1790888*245000/1000000)+(31*0.2374*100000/1000000)</f>
        <v>2.0961194359999999</v>
      </c>
      <c r="Y706" s="57"/>
      <c r="Z706" s="14"/>
      <c r="AA706" s="56"/>
      <c r="AB706" s="50">
        <f>(B706*131.881+C706*277.167+D706*79.08+E706*125.872+F706*40+G706*185+H706*0+I706*100+J706*300)/(131.881+277.167+79.08+125.872+0+40+185+100+300)</f>
        <v>43.873206316303467</v>
      </c>
      <c r="AC706" s="45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43.053646043165472</v>
      </c>
    </row>
    <row r="707" spans="1:29" ht="15.75" x14ac:dyDescent="0.25">
      <c r="A707" s="32">
        <v>62427</v>
      </c>
      <c r="B707" s="14">
        <f>CHOOSE(CONTROL!$C$42, 44.9793, 44.9793) * CHOOSE(CONTROL!$C$21, $C$9, 100%, $E$9)</f>
        <v>44.979300000000002</v>
      </c>
      <c r="C707" s="14">
        <f>CHOOSE(CONTROL!$C$42, 44.9844, 44.9844) * CHOOSE(CONTROL!$C$21, $C$9, 100%, $E$9)</f>
        <v>44.984400000000001</v>
      </c>
      <c r="D707" s="14">
        <f>CHOOSE(CONTROL!$C$42, 45.0482, 45.0482) * CHOOSE(CONTROL!$C$21, $C$9, 100%, $E$9)</f>
        <v>45.048200000000001</v>
      </c>
      <c r="E707" s="14">
        <f>CHOOSE(CONTROL!$C$42, 45.0823, 45.0823) * CHOOSE(CONTROL!$C$21, $C$9, 100%, $E$9)</f>
        <v>45.082299999999996</v>
      </c>
      <c r="F707" s="14">
        <f>CHOOSE(CONTROL!$C$42, 44.9815, 44.9815)*CHOOSE(CONTROL!$C$21, $C$9, 100%, $E$9)</f>
        <v>44.981499999999997</v>
      </c>
      <c r="G707" s="14">
        <f>CHOOSE(CONTROL!$C$42, 44.9982, 44.9982)*CHOOSE(CONTROL!$C$21, $C$9, 100%, $E$9)</f>
        <v>44.998199999999997</v>
      </c>
      <c r="H707" s="14">
        <f>CHOOSE(CONTROL!$C$42, 45.0715, 45.0715) * CHOOSE(CONTROL!$C$21, $C$9, 100%, $E$9)</f>
        <v>45.0715</v>
      </c>
      <c r="I707" s="14">
        <f>CHOOSE(CONTROL!$C$42, 45.1341, 45.1341)* CHOOSE(CONTROL!$C$21, $C$9, 100%, $E$9)</f>
        <v>45.134099999999997</v>
      </c>
      <c r="J707" s="14">
        <f>CHOOSE(CONTROL!$C$42, 44.9745, 44.9745)* CHOOSE(CONTROL!$C$21, $C$9, 100%, $E$9)</f>
        <v>44.974499999999999</v>
      </c>
      <c r="K707" s="53">
        <f>CHOOSE(CONTROL!$C$42, 45.1302, 45.1302) * CHOOSE(CONTROL!$C$21, $C$9, 100%, $E$9)</f>
        <v>45.130200000000002</v>
      </c>
      <c r="L707" s="14">
        <f>CHOOSE(CONTROL!$C$42, 45.6585, 45.6585) * CHOOSE(CONTROL!$C$21, $C$9, 100%, $E$9)</f>
        <v>45.658499999999997</v>
      </c>
      <c r="M707" s="14">
        <f>CHOOSE(CONTROL!$C$42, 44.0607, 44.0607) * CHOOSE(CONTROL!$C$21, $C$9, 100%, $E$9)</f>
        <v>44.060699999999997</v>
      </c>
      <c r="N707" s="14">
        <f>CHOOSE(CONTROL!$C$42, 44.0771, 44.0771) * CHOOSE(CONTROL!$C$21, $C$9, 100%, $E$9)</f>
        <v>44.077100000000002</v>
      </c>
      <c r="O707" s="14">
        <f>CHOOSE(CONTROL!$C$42, 44.1557, 44.1557) * CHOOSE(CONTROL!$C$21, $C$9, 100%, $E$9)</f>
        <v>44.155700000000003</v>
      </c>
      <c r="P707" s="14">
        <f>CHOOSE(CONTROL!$C$42, 44.2142, 44.2142) * CHOOSE(CONTROL!$C$21, $C$9, 100%, $E$9)</f>
        <v>44.214199999999998</v>
      </c>
      <c r="Q707" s="14">
        <f>CHOOSE(CONTROL!$C$42, 44.7504, 44.7504) * CHOOSE(CONTROL!$C$21, $C$9, 100%, $E$9)</f>
        <v>44.750399999999999</v>
      </c>
      <c r="R707" s="14">
        <f>CHOOSE(CONTROL!$C$42, 45.4493, 45.4493) * CHOOSE(CONTROL!$C$21, $C$9, 100%, $E$9)</f>
        <v>45.449300000000001</v>
      </c>
      <c r="S707" s="14">
        <f>CHOOSE(CONTROL!$C$42, 43.2121, 43.2121) * CHOOSE(CONTROL!$C$21, $C$9, 100%, $E$9)</f>
        <v>43.2121</v>
      </c>
      <c r="T7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7">
        <f>(1000*CHOOSE(CONTROL!$C$42, 695, 695)*CHOOSE(CONTROL!$C$42, 0.5599, 0.5599)*CHOOSE(CONTROL!$C$42, 30, 30))/1000000</f>
        <v>11.673914999999997</v>
      </c>
      <c r="V707" s="57">
        <f>(1000*CHOOSE(CONTROL!$C$42, 500, 500)*CHOOSE(CONTROL!$C$42, 0.275, 0.275)*CHOOSE(CONTROL!$C$42, 30, 30))/1000000</f>
        <v>4.125</v>
      </c>
      <c r="W707" s="57">
        <f>(1000*CHOOSE(CONTROL!$C$42, 0.1146, 0.1146)*CHOOSE(CONTROL!$C$42, 121.5, 121.5)*CHOOSE(CONTROL!$C$42, 30, 30))/1000000</f>
        <v>0.417717</v>
      </c>
      <c r="X707" s="57">
        <f>(30*0.1790888*100000/1000000)+(30*0.2374*100000/1000000)</f>
        <v>1.2494664</v>
      </c>
      <c r="Y707" s="57"/>
      <c r="Z707" s="14"/>
      <c r="AA707" s="56"/>
      <c r="AB707" s="50">
        <f>(B707*122.58+C707*297.941+D707*89.177+E707*40.302+F707*40+G707*160+H707*0+I707*100+J707*300)/(122.58+297.941+89.177+40.302+0+40+160+100+300)</f>
        <v>45.004488609043477</v>
      </c>
      <c r="AC707" s="45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44.126787769784173</v>
      </c>
    </row>
    <row r="708" spans="1:29" ht="15.75" x14ac:dyDescent="0.25">
      <c r="A708" s="32">
        <v>62458</v>
      </c>
      <c r="B708" s="14">
        <f>CHOOSE(CONTROL!$C$42, 48.0453, 48.0453) * CHOOSE(CONTROL!$C$21, $C$9, 100%, $E$9)</f>
        <v>48.045299999999997</v>
      </c>
      <c r="C708" s="14">
        <f>CHOOSE(CONTROL!$C$42, 48.0504, 48.0504) * CHOOSE(CONTROL!$C$21, $C$9, 100%, $E$9)</f>
        <v>48.050400000000003</v>
      </c>
      <c r="D708" s="14">
        <f>CHOOSE(CONTROL!$C$42, 48.1142, 48.1142) * CHOOSE(CONTROL!$C$21, $C$9, 100%, $E$9)</f>
        <v>48.114199999999997</v>
      </c>
      <c r="E708" s="14">
        <f>CHOOSE(CONTROL!$C$42, 48.1483, 48.1483) * CHOOSE(CONTROL!$C$21, $C$9, 100%, $E$9)</f>
        <v>48.148299999999999</v>
      </c>
      <c r="F708" s="14">
        <f>CHOOSE(CONTROL!$C$42, 48.0496, 48.0496)*CHOOSE(CONTROL!$C$21, $C$9, 100%, $E$9)</f>
        <v>48.049599999999998</v>
      </c>
      <c r="G708" s="14">
        <f>CHOOSE(CONTROL!$C$42, 48.0668, 48.0668)*CHOOSE(CONTROL!$C$21, $C$9, 100%, $E$9)</f>
        <v>48.066800000000001</v>
      </c>
      <c r="H708" s="14">
        <f>CHOOSE(CONTROL!$C$42, 48.1375, 48.1375) * CHOOSE(CONTROL!$C$21, $C$9, 100%, $E$9)</f>
        <v>48.137500000000003</v>
      </c>
      <c r="I708" s="14">
        <f>CHOOSE(CONTROL!$C$42, 48.2097, 48.2097)* CHOOSE(CONTROL!$C$21, $C$9, 100%, $E$9)</f>
        <v>48.209699999999998</v>
      </c>
      <c r="J708" s="14">
        <f>CHOOSE(CONTROL!$C$42, 48.0426, 48.0426)* CHOOSE(CONTROL!$C$21, $C$9, 100%, $E$9)</f>
        <v>48.0426</v>
      </c>
      <c r="K708" s="53">
        <f>CHOOSE(CONTROL!$C$42, 48.2058, 48.2058) * CHOOSE(CONTROL!$C$21, $C$9, 100%, $E$9)</f>
        <v>48.205800000000004</v>
      </c>
      <c r="L708" s="14">
        <f>CHOOSE(CONTROL!$C$42, 48.7245, 48.7245) * CHOOSE(CONTROL!$C$21, $C$9, 100%, $E$9)</f>
        <v>48.724499999999999</v>
      </c>
      <c r="M708" s="14">
        <f>CHOOSE(CONTROL!$C$42, 47.0659, 47.0659) * CHOOSE(CONTROL!$C$21, $C$9, 100%, $E$9)</f>
        <v>47.065899999999999</v>
      </c>
      <c r="N708" s="14">
        <f>CHOOSE(CONTROL!$C$42, 47.0828, 47.0828) * CHOOSE(CONTROL!$C$21, $C$9, 100%, $E$9)</f>
        <v>47.082799999999999</v>
      </c>
      <c r="O708" s="14">
        <f>CHOOSE(CONTROL!$C$42, 47.1589, 47.1589) * CHOOSE(CONTROL!$C$21, $C$9, 100%, $E$9)</f>
        <v>47.158900000000003</v>
      </c>
      <c r="P708" s="14">
        <f>CHOOSE(CONTROL!$C$42, 47.2266, 47.2266) * CHOOSE(CONTROL!$C$21, $C$9, 100%, $E$9)</f>
        <v>47.226599999999998</v>
      </c>
      <c r="Q708" s="14">
        <f>CHOOSE(CONTROL!$C$42, 47.7536, 47.7536) * CHOOSE(CONTROL!$C$21, $C$9, 100%, $E$9)</f>
        <v>47.753599999999999</v>
      </c>
      <c r="R708" s="14">
        <f>CHOOSE(CONTROL!$C$42, 48.46, 48.46) * CHOOSE(CONTROL!$C$21, $C$9, 100%, $E$9)</f>
        <v>48.46</v>
      </c>
      <c r="S708" s="14">
        <f>CHOOSE(CONTROL!$C$42, 46.1582, 46.1582) * CHOOSE(CONTROL!$C$21, $C$9, 100%, $E$9)</f>
        <v>46.158200000000001</v>
      </c>
      <c r="T7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7">
        <f>(1000*CHOOSE(CONTROL!$C$42, 695, 695)*CHOOSE(CONTROL!$C$42, 0.5599, 0.5599)*CHOOSE(CONTROL!$C$42, 31, 31))/1000000</f>
        <v>12.063045499999998</v>
      </c>
      <c r="V708" s="57">
        <f>(1000*CHOOSE(CONTROL!$C$42, 500, 500)*CHOOSE(CONTROL!$C$42, 0.275, 0.275)*CHOOSE(CONTROL!$C$42, 31, 31))/1000000</f>
        <v>4.2625000000000002</v>
      </c>
      <c r="W708" s="57">
        <f>(1000*CHOOSE(CONTROL!$C$42, 0.1146, 0.1146)*CHOOSE(CONTROL!$C$42, 121.5, 121.5)*CHOOSE(CONTROL!$C$42, 31, 31))/1000000</f>
        <v>0.43164089999999994</v>
      </c>
      <c r="X708" s="57">
        <f>(31*0.1790888*100000/1000000)+(31*0.2374*100000/1000000)</f>
        <v>1.2911152800000001</v>
      </c>
      <c r="Y708" s="57"/>
      <c r="Z708" s="14"/>
      <c r="AA708" s="56"/>
      <c r="AB708" s="50">
        <f>(B708*122.58+C708*297.941+D708*89.177+E708*40.302+F708*40+G708*160+H708*0+I708*100+J708*300)/(122.58+297.941+89.177+40.302+0+40+160+100+300)</f>
        <v>48.07230600034783</v>
      </c>
      <c r="AC708" s="45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47.132146043165463</v>
      </c>
    </row>
    <row r="709" spans="1:29" ht="15.75" x14ac:dyDescent="0.25">
      <c r="A709" s="32">
        <v>62489</v>
      </c>
      <c r="B709" s="14">
        <f>CHOOSE(CONTROL!$C$42, 51.9801, 51.9801) * CHOOSE(CONTROL!$C$21, $C$9, 100%, $E$9)</f>
        <v>51.9801</v>
      </c>
      <c r="C709" s="14">
        <f>CHOOSE(CONTROL!$C$42, 51.9852, 51.9852) * CHOOSE(CONTROL!$C$21, $C$9, 100%, $E$9)</f>
        <v>51.985199999999999</v>
      </c>
      <c r="D709" s="14">
        <f>CHOOSE(CONTROL!$C$42, 52.0438, 52.0438) * CHOOSE(CONTROL!$C$21, $C$9, 100%, $E$9)</f>
        <v>52.043799999999997</v>
      </c>
      <c r="E709" s="14">
        <f>CHOOSE(CONTROL!$C$42, 52.0779, 52.0779) * CHOOSE(CONTROL!$C$21, $C$9, 100%, $E$9)</f>
        <v>52.0779</v>
      </c>
      <c r="F709" s="14">
        <f>CHOOSE(CONTROL!$C$42, 51.9792, 51.9792)*CHOOSE(CONTROL!$C$21, $C$9, 100%, $E$9)</f>
        <v>51.979199999999999</v>
      </c>
      <c r="G709" s="14">
        <f>CHOOSE(CONTROL!$C$42, 51.9956, 51.9956)*CHOOSE(CONTROL!$C$21, $C$9, 100%, $E$9)</f>
        <v>51.995600000000003</v>
      </c>
      <c r="H709" s="14">
        <f>CHOOSE(CONTROL!$C$42, 52.0671, 52.0671) * CHOOSE(CONTROL!$C$21, $C$9, 100%, $E$9)</f>
        <v>52.067100000000003</v>
      </c>
      <c r="I709" s="14">
        <f>CHOOSE(CONTROL!$C$42, 52.1531, 52.1531)* CHOOSE(CONTROL!$C$21, $C$9, 100%, $E$9)</f>
        <v>52.153100000000002</v>
      </c>
      <c r="J709" s="14">
        <f>CHOOSE(CONTROL!$C$42, 51.9722, 51.9722)* CHOOSE(CONTROL!$C$21, $C$9, 100%, $E$9)</f>
        <v>51.972200000000001</v>
      </c>
      <c r="K709" s="53">
        <f>CHOOSE(CONTROL!$C$42, 52.1492, 52.1492) * CHOOSE(CONTROL!$C$21, $C$9, 100%, $E$9)</f>
        <v>52.1492</v>
      </c>
      <c r="L709" s="14">
        <f>CHOOSE(CONTROL!$C$42, 52.6541, 52.6541) * CHOOSE(CONTROL!$C$21, $C$9, 100%, $E$9)</f>
        <v>52.6541</v>
      </c>
      <c r="M709" s="14">
        <f>CHOOSE(CONTROL!$C$42, 50.915, 50.915) * CHOOSE(CONTROL!$C$21, $C$9, 100%, $E$9)</f>
        <v>50.914999999999999</v>
      </c>
      <c r="N709" s="14">
        <f>CHOOSE(CONTROL!$C$42, 50.9311, 50.9311) * CHOOSE(CONTROL!$C$21, $C$9, 100%, $E$9)</f>
        <v>50.931100000000001</v>
      </c>
      <c r="O709" s="14">
        <f>CHOOSE(CONTROL!$C$42, 51.0079, 51.0079) * CHOOSE(CONTROL!$C$21, $C$9, 100%, $E$9)</f>
        <v>51.007899999999999</v>
      </c>
      <c r="P709" s="14">
        <f>CHOOSE(CONTROL!$C$42, 51.089, 51.089) * CHOOSE(CONTROL!$C$21, $C$9, 100%, $E$9)</f>
        <v>51.088999999999999</v>
      </c>
      <c r="Q709" s="14">
        <f>CHOOSE(CONTROL!$C$42, 51.6026, 51.6026) * CHOOSE(CONTROL!$C$21, $C$9, 100%, $E$9)</f>
        <v>51.602600000000002</v>
      </c>
      <c r="R709" s="14">
        <f>CHOOSE(CONTROL!$C$42, 52.3187, 52.3187) * CHOOSE(CONTROL!$C$21, $C$9, 100%, $E$9)</f>
        <v>52.3187</v>
      </c>
      <c r="S709" s="14">
        <f>CHOOSE(CONTROL!$C$42, 49.9391, 49.9391) * CHOOSE(CONTROL!$C$21, $C$9, 100%, $E$9)</f>
        <v>49.939100000000003</v>
      </c>
      <c r="T7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7">
        <f>(1000*CHOOSE(CONTROL!$C$42, 695, 695)*CHOOSE(CONTROL!$C$42, 0.5599, 0.5599)*CHOOSE(CONTROL!$C$42, 31, 31))/1000000</f>
        <v>12.063045499999998</v>
      </c>
      <c r="V709" s="57">
        <f>(1000*CHOOSE(CONTROL!$C$42, 500, 500)*CHOOSE(CONTROL!$C$42, 0.275, 0.275)*CHOOSE(CONTROL!$C$42, 31, 31))/1000000</f>
        <v>4.2625000000000002</v>
      </c>
      <c r="W709" s="57">
        <f>(1000*CHOOSE(CONTROL!$C$42, 0.1146, 0.1146)*CHOOSE(CONTROL!$C$42, 121.5, 121.5)*CHOOSE(CONTROL!$C$42, 31, 31))/1000000</f>
        <v>0.43164089999999994</v>
      </c>
      <c r="X709" s="57">
        <f>(31*0.1790888*100000/1000000)+(31*0.2374*100000/1000000)</f>
        <v>1.2911152800000001</v>
      </c>
      <c r="Y709" s="57"/>
      <c r="Z709" s="14"/>
      <c r="AA709" s="56"/>
      <c r="AB709" s="50">
        <f>(B709*122.58+C709*297.941+D709*89.177+E709*40.302+F709*40+G709*160+H709*0+I709*100+J709*300)/(122.58+297.941+89.177+40.302+0+40+160+100+300)</f>
        <v>52.004896182260858</v>
      </c>
      <c r="AC709" s="45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50.983068345323737</v>
      </c>
    </row>
    <row r="710" spans="1:29" ht="15.75" x14ac:dyDescent="0.25">
      <c r="A710" s="32">
        <v>62517</v>
      </c>
      <c r="B710" s="14">
        <f>CHOOSE(CONTROL!$C$42, 52.9053, 52.9053) * CHOOSE(CONTROL!$C$21, $C$9, 100%, $E$9)</f>
        <v>52.905299999999997</v>
      </c>
      <c r="C710" s="14">
        <f>CHOOSE(CONTROL!$C$42, 52.9103, 52.9103) * CHOOSE(CONTROL!$C$21, $C$9, 100%, $E$9)</f>
        <v>52.910299999999999</v>
      </c>
      <c r="D710" s="14">
        <f>CHOOSE(CONTROL!$C$42, 52.9689, 52.9689) * CHOOSE(CONTROL!$C$21, $C$9, 100%, $E$9)</f>
        <v>52.968899999999998</v>
      </c>
      <c r="E710" s="14">
        <f>CHOOSE(CONTROL!$C$42, 53.003, 53.003) * CHOOSE(CONTROL!$C$21, $C$9, 100%, $E$9)</f>
        <v>53.003</v>
      </c>
      <c r="F710" s="14">
        <f>CHOOSE(CONTROL!$C$42, 52.9043, 52.9043)*CHOOSE(CONTROL!$C$21, $C$9, 100%, $E$9)</f>
        <v>52.904299999999999</v>
      </c>
      <c r="G710" s="14">
        <f>CHOOSE(CONTROL!$C$42, 52.9207, 52.9207)*CHOOSE(CONTROL!$C$21, $C$9, 100%, $E$9)</f>
        <v>52.920699999999997</v>
      </c>
      <c r="H710" s="14">
        <f>CHOOSE(CONTROL!$C$42, 52.9922, 52.9922) * CHOOSE(CONTROL!$C$21, $C$9, 100%, $E$9)</f>
        <v>52.992199999999997</v>
      </c>
      <c r="I710" s="14">
        <f>CHOOSE(CONTROL!$C$42, 53.0812, 53.0812)* CHOOSE(CONTROL!$C$21, $C$9, 100%, $E$9)</f>
        <v>53.081200000000003</v>
      </c>
      <c r="J710" s="14">
        <f>CHOOSE(CONTROL!$C$42, 52.8973, 52.8973)* CHOOSE(CONTROL!$C$21, $C$9, 100%, $E$9)</f>
        <v>52.897300000000001</v>
      </c>
      <c r="K710" s="53">
        <f>CHOOSE(CONTROL!$C$42, 53.0773, 53.0773) * CHOOSE(CONTROL!$C$21, $C$9, 100%, $E$9)</f>
        <v>53.077300000000001</v>
      </c>
      <c r="L710" s="14">
        <f>CHOOSE(CONTROL!$C$42, 53.5792, 53.5792) * CHOOSE(CONTROL!$C$21, $C$9, 100%, $E$9)</f>
        <v>53.5792</v>
      </c>
      <c r="M710" s="14">
        <f>CHOOSE(CONTROL!$C$42, 51.8212, 51.8212) * CHOOSE(CONTROL!$C$21, $C$9, 100%, $E$9)</f>
        <v>51.821199999999997</v>
      </c>
      <c r="N710" s="14">
        <f>CHOOSE(CONTROL!$C$42, 51.8372, 51.8372) * CHOOSE(CONTROL!$C$21, $C$9, 100%, $E$9)</f>
        <v>51.837200000000003</v>
      </c>
      <c r="O710" s="14">
        <f>CHOOSE(CONTROL!$C$42, 51.9141, 51.9141) * CHOOSE(CONTROL!$C$21, $C$9, 100%, $E$9)</f>
        <v>51.914099999999998</v>
      </c>
      <c r="P710" s="14">
        <f>CHOOSE(CONTROL!$C$42, 51.998, 51.998) * CHOOSE(CONTROL!$C$21, $C$9, 100%, $E$9)</f>
        <v>51.997999999999998</v>
      </c>
      <c r="Q710" s="14">
        <f>CHOOSE(CONTROL!$C$42, 52.5088, 52.5088) * CHOOSE(CONTROL!$C$21, $C$9, 100%, $E$9)</f>
        <v>52.508800000000001</v>
      </c>
      <c r="R710" s="14">
        <f>CHOOSE(CONTROL!$C$42, 53.2271, 53.2271) * CHOOSE(CONTROL!$C$21, $C$9, 100%, $E$9)</f>
        <v>53.2271</v>
      </c>
      <c r="S710" s="14">
        <f>CHOOSE(CONTROL!$C$42, 50.8281, 50.8281) * CHOOSE(CONTROL!$C$21, $C$9, 100%, $E$9)</f>
        <v>50.828099999999999</v>
      </c>
      <c r="T7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7">
        <f>(1000*CHOOSE(CONTROL!$C$42, 695, 695)*CHOOSE(CONTROL!$C$42, 0.5599, 0.5599)*CHOOSE(CONTROL!$C$42, 28, 28))/1000000</f>
        <v>10.895653999999999</v>
      </c>
      <c r="V710" s="57">
        <f>(1000*CHOOSE(CONTROL!$C$42, 500, 500)*CHOOSE(CONTROL!$C$42, 0.275, 0.275)*CHOOSE(CONTROL!$C$42, 28, 28))/1000000</f>
        <v>3.85</v>
      </c>
      <c r="W710" s="57">
        <f>(1000*CHOOSE(CONTROL!$C$42, 0.1146, 0.1146)*CHOOSE(CONTROL!$C$42, 121.5, 121.5)*CHOOSE(CONTROL!$C$42, 28, 28))/1000000</f>
        <v>0.38986920000000003</v>
      </c>
      <c r="X710" s="57">
        <f>(28*0.1790888*100000/1000000)+(28*0.2374*100000/1000000)</f>
        <v>1.16616864</v>
      </c>
      <c r="Y710" s="57"/>
      <c r="Z710" s="14"/>
      <c r="AA710" s="56"/>
      <c r="AB710" s="50">
        <f>(B710*122.58+C710*297.941+D710*89.177+E710*40.302+F710*40+G710*160+H710*0+I710*100+J710*300)/(122.58+297.941+89.177+40.302+0+40+160+100+300)</f>
        <v>52.930267710956521</v>
      </c>
      <c r="AC710" s="45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51.889665467625903</v>
      </c>
    </row>
    <row r="711" spans="1:29" ht="15.75" x14ac:dyDescent="0.25">
      <c r="A711" s="32">
        <v>62548</v>
      </c>
      <c r="B711" s="14">
        <f>CHOOSE(CONTROL!$C$42, 51.4035, 51.4035) * CHOOSE(CONTROL!$C$21, $C$9, 100%, $E$9)</f>
        <v>51.403500000000001</v>
      </c>
      <c r="C711" s="14">
        <f>CHOOSE(CONTROL!$C$42, 51.4086, 51.4086) * CHOOSE(CONTROL!$C$21, $C$9, 100%, $E$9)</f>
        <v>51.4086</v>
      </c>
      <c r="D711" s="14">
        <f>CHOOSE(CONTROL!$C$42, 51.4672, 51.4672) * CHOOSE(CONTROL!$C$21, $C$9, 100%, $E$9)</f>
        <v>51.467199999999998</v>
      </c>
      <c r="E711" s="14">
        <f>CHOOSE(CONTROL!$C$42, 51.5013, 51.5013) * CHOOSE(CONTROL!$C$21, $C$9, 100%, $E$9)</f>
        <v>51.501300000000001</v>
      </c>
      <c r="F711" s="14">
        <f>CHOOSE(CONTROL!$C$42, 51.4021, 51.4021)*CHOOSE(CONTROL!$C$21, $C$9, 100%, $E$9)</f>
        <v>51.402099999999997</v>
      </c>
      <c r="G711" s="14">
        <f>CHOOSE(CONTROL!$C$42, 51.4183, 51.4183)*CHOOSE(CONTROL!$C$21, $C$9, 100%, $E$9)</f>
        <v>51.418300000000002</v>
      </c>
      <c r="H711" s="14">
        <f>CHOOSE(CONTROL!$C$42, 51.4905, 51.4905) * CHOOSE(CONTROL!$C$21, $C$9, 100%, $E$9)</f>
        <v>51.490499999999997</v>
      </c>
      <c r="I711" s="14">
        <f>CHOOSE(CONTROL!$C$42, 51.5747, 51.5747)* CHOOSE(CONTROL!$C$21, $C$9, 100%, $E$9)</f>
        <v>51.5747</v>
      </c>
      <c r="J711" s="14">
        <f>CHOOSE(CONTROL!$C$42, 51.3951, 51.3951)* CHOOSE(CONTROL!$C$21, $C$9, 100%, $E$9)</f>
        <v>51.395099999999999</v>
      </c>
      <c r="K711" s="53">
        <f>CHOOSE(CONTROL!$C$42, 51.5708, 51.5708) * CHOOSE(CONTROL!$C$21, $C$9, 100%, $E$9)</f>
        <v>51.570799999999998</v>
      </c>
      <c r="L711" s="14">
        <f>CHOOSE(CONTROL!$C$42, 52.0775, 52.0775) * CHOOSE(CONTROL!$C$21, $C$9, 100%, $E$9)</f>
        <v>52.077500000000001</v>
      </c>
      <c r="M711" s="14">
        <f>CHOOSE(CONTROL!$C$42, 50.3497, 50.3497) * CHOOSE(CONTROL!$C$21, $C$9, 100%, $E$9)</f>
        <v>50.349699999999999</v>
      </c>
      <c r="N711" s="14">
        <f>CHOOSE(CONTROL!$C$42, 50.3656, 50.3656) * CHOOSE(CONTROL!$C$21, $C$9, 100%, $E$9)</f>
        <v>50.365600000000001</v>
      </c>
      <c r="O711" s="14">
        <f>CHOOSE(CONTROL!$C$42, 50.4432, 50.4432) * CHOOSE(CONTROL!$C$21, $C$9, 100%, $E$9)</f>
        <v>50.443199999999997</v>
      </c>
      <c r="P711" s="14">
        <f>CHOOSE(CONTROL!$C$42, 50.5225, 50.5225) * CHOOSE(CONTROL!$C$21, $C$9, 100%, $E$9)</f>
        <v>50.522500000000001</v>
      </c>
      <c r="Q711" s="14">
        <f>CHOOSE(CONTROL!$C$42, 51.0379, 51.0379) * CHOOSE(CONTROL!$C$21, $C$9, 100%, $E$9)</f>
        <v>51.0379</v>
      </c>
      <c r="R711" s="14">
        <f>CHOOSE(CONTROL!$C$42, 51.7525, 51.7525) * CHOOSE(CONTROL!$C$21, $C$9, 100%, $E$9)</f>
        <v>51.752499999999998</v>
      </c>
      <c r="S711" s="14">
        <f>CHOOSE(CONTROL!$C$42, 49.3851, 49.3851) * CHOOSE(CONTROL!$C$21, $C$9, 100%, $E$9)</f>
        <v>49.385100000000001</v>
      </c>
      <c r="T7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7">
        <f>(1000*CHOOSE(CONTROL!$C$42, 695, 695)*CHOOSE(CONTROL!$C$42, 0.5599, 0.5599)*CHOOSE(CONTROL!$C$42, 31, 31))/1000000</f>
        <v>12.063045499999998</v>
      </c>
      <c r="V711" s="57">
        <f>(1000*CHOOSE(CONTROL!$C$42, 500, 500)*CHOOSE(CONTROL!$C$42, 0.275, 0.275)*CHOOSE(CONTROL!$C$42, 31, 31))/1000000</f>
        <v>4.2625000000000002</v>
      </c>
      <c r="W711" s="57">
        <f>(1000*CHOOSE(CONTROL!$C$42, 0.1146, 0.1146)*CHOOSE(CONTROL!$C$42, 121.5, 121.5)*CHOOSE(CONTROL!$C$42, 31, 31))/1000000</f>
        <v>0.43164089999999994</v>
      </c>
      <c r="X711" s="57">
        <f>(31*0.1790888*100000/1000000)+(31*0.2374*100000/1000000)</f>
        <v>1.2911152800000001</v>
      </c>
      <c r="Y711" s="57"/>
      <c r="Z711" s="14"/>
      <c r="AA711" s="56"/>
      <c r="AB711" s="50">
        <f>(B711*122.58+C711*297.941+D711*89.177+E711*40.302+F711*40+G711*160+H711*0+I711*100+J711*300)/(122.58+297.941+89.177+40.302+0+40+160+100+300)</f>
        <v>51.427894443130427</v>
      </c>
      <c r="AC711" s="45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50.417856115107909</v>
      </c>
    </row>
    <row r="712" spans="1:29" ht="15.75" x14ac:dyDescent="0.25">
      <c r="A712" s="32">
        <v>62578</v>
      </c>
      <c r="B712" s="14">
        <f>CHOOSE(CONTROL!$C$42, 51.2508, 51.2508) * CHOOSE(CONTROL!$C$21, $C$9, 100%, $E$9)</f>
        <v>51.250799999999998</v>
      </c>
      <c r="C712" s="14">
        <f>CHOOSE(CONTROL!$C$42, 51.2553, 51.2553) * CHOOSE(CONTROL!$C$21, $C$9, 100%, $E$9)</f>
        <v>51.255299999999998</v>
      </c>
      <c r="D712" s="14">
        <f>CHOOSE(CONTROL!$C$42, 51.4634, 51.4634) * CHOOSE(CONTROL!$C$21, $C$9, 100%, $E$9)</f>
        <v>51.4634</v>
      </c>
      <c r="E712" s="14">
        <f>CHOOSE(CONTROL!$C$42, 51.4955, 51.4955) * CHOOSE(CONTROL!$C$21, $C$9, 100%, $E$9)</f>
        <v>51.4955</v>
      </c>
      <c r="F712" s="14">
        <f>CHOOSE(CONTROL!$C$42, 51.2381, 51.2381)*CHOOSE(CONTROL!$C$21, $C$9, 100%, $E$9)</f>
        <v>51.238100000000003</v>
      </c>
      <c r="G712" s="14">
        <f>CHOOSE(CONTROL!$C$42, 51.2541, 51.2541)*CHOOSE(CONTROL!$C$21, $C$9, 100%, $E$9)</f>
        <v>51.254100000000001</v>
      </c>
      <c r="H712" s="14">
        <f>CHOOSE(CONTROL!$C$42, 51.4853, 51.4853) * CHOOSE(CONTROL!$C$21, $C$9, 100%, $E$9)</f>
        <v>51.485300000000002</v>
      </c>
      <c r="I712" s="14">
        <f>CHOOSE(CONTROL!$C$42, 51.4208, 51.4208)* CHOOSE(CONTROL!$C$21, $C$9, 100%, $E$9)</f>
        <v>51.4208</v>
      </c>
      <c r="J712" s="14">
        <f>CHOOSE(CONTROL!$C$42, 51.2311, 51.2311)* CHOOSE(CONTROL!$C$21, $C$9, 100%, $E$9)</f>
        <v>51.231099999999998</v>
      </c>
      <c r="K712" s="53">
        <f>CHOOSE(CONTROL!$C$42, 51.4169, 51.4169) * CHOOSE(CONTROL!$C$21, $C$9, 100%, $E$9)</f>
        <v>51.416899999999998</v>
      </c>
      <c r="L712" s="14">
        <f>CHOOSE(CONTROL!$C$42, 52.0723, 52.0723) * CHOOSE(CONTROL!$C$21, $C$9, 100%, $E$9)</f>
        <v>52.072299999999998</v>
      </c>
      <c r="M712" s="14">
        <f>CHOOSE(CONTROL!$C$42, 50.1891, 50.1891) * CHOOSE(CONTROL!$C$21, $C$9, 100%, $E$9)</f>
        <v>50.189100000000003</v>
      </c>
      <c r="N712" s="14">
        <f>CHOOSE(CONTROL!$C$42, 50.2048, 50.2048) * CHOOSE(CONTROL!$C$21, $C$9, 100%, $E$9)</f>
        <v>50.204799999999999</v>
      </c>
      <c r="O712" s="14">
        <f>CHOOSE(CONTROL!$C$42, 50.4381, 50.4381) * CHOOSE(CONTROL!$C$21, $C$9, 100%, $E$9)</f>
        <v>50.438099999999999</v>
      </c>
      <c r="P712" s="14">
        <f>CHOOSE(CONTROL!$C$42, 50.3717, 50.3717) * CHOOSE(CONTROL!$C$21, $C$9, 100%, $E$9)</f>
        <v>50.371699999999997</v>
      </c>
      <c r="Q712" s="14">
        <f>CHOOSE(CONTROL!$C$42, 51.0328, 51.0328) * CHOOSE(CONTROL!$C$21, $C$9, 100%, $E$9)</f>
        <v>51.032800000000002</v>
      </c>
      <c r="R712" s="14">
        <f>CHOOSE(CONTROL!$C$42, 51.7474, 51.7474) * CHOOSE(CONTROL!$C$21, $C$9, 100%, $E$9)</f>
        <v>51.747399999999999</v>
      </c>
      <c r="S712" s="14">
        <f>CHOOSE(CONTROL!$C$42, 49.2376, 49.2376) * CHOOSE(CONTROL!$C$21, $C$9, 100%, $E$9)</f>
        <v>49.2376</v>
      </c>
      <c r="T7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7">
        <f>(1000*CHOOSE(CONTROL!$C$42, 695, 695)*CHOOSE(CONTROL!$C$42, 0.5599, 0.5599)*CHOOSE(CONTROL!$C$42, 30, 30))/1000000</f>
        <v>11.673914999999997</v>
      </c>
      <c r="V712" s="57">
        <f>(1000*CHOOSE(CONTROL!$C$42, 500, 500)*CHOOSE(CONTROL!$C$42, 0.275, 0.275)*CHOOSE(CONTROL!$C$42, 30, 30))/1000000</f>
        <v>4.125</v>
      </c>
      <c r="W712" s="57">
        <f>(1000*CHOOSE(CONTROL!$C$42, 0.1146, 0.1146)*CHOOSE(CONTROL!$C$42, 121.5, 121.5)*CHOOSE(CONTROL!$C$42, 30, 30))/1000000</f>
        <v>0.417717</v>
      </c>
      <c r="X712" s="57">
        <f>(30*0.1790888*245000/1000000)+(30*0.2374*100000/1000000)</f>
        <v>2.0285026799999999</v>
      </c>
      <c r="Y712" s="57"/>
      <c r="Z712" s="14"/>
      <c r="AA712" s="56"/>
      <c r="AB712" s="50">
        <f>(B712*141.293+C712*267.993+D712*115.016+E712*89.698+F712*40+G712*185+H712*0+I712*100+J712*300)/(141.293+267.993+115.016+89.698+0+40+185+100+300)</f>
        <v>51.298257603470546</v>
      </c>
      <c r="AC712" s="45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50.329133093525179</v>
      </c>
    </row>
    <row r="713" spans="1:29" ht="15.75" x14ac:dyDescent="0.25">
      <c r="A713" s="32">
        <v>62609</v>
      </c>
      <c r="B713" s="14">
        <f>CHOOSE(CONTROL!$C$42, 51.7044, 51.7044) * CHOOSE(CONTROL!$C$21, $C$9, 100%, $E$9)</f>
        <v>51.7044</v>
      </c>
      <c r="C713" s="14">
        <f>CHOOSE(CONTROL!$C$42, 51.7125, 51.7125) * CHOOSE(CONTROL!$C$21, $C$9, 100%, $E$9)</f>
        <v>51.712499999999999</v>
      </c>
      <c r="D713" s="14">
        <f>CHOOSE(CONTROL!$C$42, 51.9174, 51.9174) * CHOOSE(CONTROL!$C$21, $C$9, 100%, $E$9)</f>
        <v>51.917400000000001</v>
      </c>
      <c r="E713" s="14">
        <f>CHOOSE(CONTROL!$C$42, 51.9489, 51.9489) * CHOOSE(CONTROL!$C$21, $C$9, 100%, $E$9)</f>
        <v>51.948900000000002</v>
      </c>
      <c r="F713" s="14">
        <f>CHOOSE(CONTROL!$C$42, 51.6906, 51.6906)*CHOOSE(CONTROL!$C$21, $C$9, 100%, $E$9)</f>
        <v>51.690600000000003</v>
      </c>
      <c r="G713" s="14">
        <f>CHOOSE(CONTROL!$C$42, 51.707, 51.707)*CHOOSE(CONTROL!$C$21, $C$9, 100%, $E$9)</f>
        <v>51.707000000000001</v>
      </c>
      <c r="H713" s="14">
        <f>CHOOSE(CONTROL!$C$42, 51.9375, 51.9375) * CHOOSE(CONTROL!$C$21, $C$9, 100%, $E$9)</f>
        <v>51.9375</v>
      </c>
      <c r="I713" s="14">
        <f>CHOOSE(CONTROL!$C$42, 51.8744, 51.8744)* CHOOSE(CONTROL!$C$21, $C$9, 100%, $E$9)</f>
        <v>51.874400000000001</v>
      </c>
      <c r="J713" s="14">
        <f>CHOOSE(CONTROL!$C$42, 51.6836, 51.6836)* CHOOSE(CONTROL!$C$21, $C$9, 100%, $E$9)</f>
        <v>51.683599999999998</v>
      </c>
      <c r="K713" s="53">
        <f>CHOOSE(CONTROL!$C$42, 51.8705, 51.8705) * CHOOSE(CONTROL!$C$21, $C$9, 100%, $E$9)</f>
        <v>51.8705</v>
      </c>
      <c r="L713" s="14">
        <f>CHOOSE(CONTROL!$C$42, 52.5245, 52.5245) * CHOOSE(CONTROL!$C$21, $C$9, 100%, $E$9)</f>
        <v>52.524500000000003</v>
      </c>
      <c r="M713" s="14">
        <f>CHOOSE(CONTROL!$C$42, 50.6324, 50.6324) * CHOOSE(CONTROL!$C$21, $C$9, 100%, $E$9)</f>
        <v>50.632399999999997</v>
      </c>
      <c r="N713" s="14">
        <f>CHOOSE(CONTROL!$C$42, 50.6484, 50.6484) * CHOOSE(CONTROL!$C$21, $C$9, 100%, $E$9)</f>
        <v>50.648400000000002</v>
      </c>
      <c r="O713" s="14">
        <f>CHOOSE(CONTROL!$C$42, 50.8811, 50.8811) * CHOOSE(CONTROL!$C$21, $C$9, 100%, $E$9)</f>
        <v>50.881100000000004</v>
      </c>
      <c r="P713" s="14">
        <f>CHOOSE(CONTROL!$C$42, 50.8161, 50.8161) * CHOOSE(CONTROL!$C$21, $C$9, 100%, $E$9)</f>
        <v>50.816099999999999</v>
      </c>
      <c r="Q713" s="14">
        <f>CHOOSE(CONTROL!$C$42, 51.4758, 51.4758) * CHOOSE(CONTROL!$C$21, $C$9, 100%, $E$9)</f>
        <v>51.4758</v>
      </c>
      <c r="R713" s="14">
        <f>CHOOSE(CONTROL!$C$42, 52.1915, 52.1915) * CHOOSE(CONTROL!$C$21, $C$9, 100%, $E$9)</f>
        <v>52.191499999999998</v>
      </c>
      <c r="S713" s="14">
        <f>CHOOSE(CONTROL!$C$42, 49.6722, 49.6722) * CHOOSE(CONTROL!$C$21, $C$9, 100%, $E$9)</f>
        <v>49.672199999999997</v>
      </c>
      <c r="T7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7">
        <f>(1000*CHOOSE(CONTROL!$C$42, 695, 695)*CHOOSE(CONTROL!$C$42, 0.5599, 0.5599)*CHOOSE(CONTROL!$C$42, 31, 31))/1000000</f>
        <v>12.063045499999998</v>
      </c>
      <c r="V713" s="57">
        <f>(1000*CHOOSE(CONTROL!$C$42, 500, 500)*CHOOSE(CONTROL!$C$42, 0.275, 0.275)*CHOOSE(CONTROL!$C$42, 31, 31))/1000000</f>
        <v>4.2625000000000002</v>
      </c>
      <c r="W713" s="57">
        <f>(1000*CHOOSE(CONTROL!$C$42, 0.1146, 0.1146)*CHOOSE(CONTROL!$C$42, 121.5, 121.5)*CHOOSE(CONTROL!$C$42, 31, 31))/1000000</f>
        <v>0.43164089999999994</v>
      </c>
      <c r="X713" s="57">
        <f>(31*0.1790888*245000/1000000)+(31*0.2374*100000/1000000)</f>
        <v>2.0961194359999999</v>
      </c>
      <c r="Y713" s="57"/>
      <c r="Z713" s="14"/>
      <c r="AA713" s="56"/>
      <c r="AB713" s="50">
        <f>(B713*194.205+C713*267.466+D713*133.845+E713*53.484+F713*40+G713*185+H713*0+I713*100+J713*300)/(194.205+267.466+133.845+53.484+0+40+185+100+300)</f>
        <v>51.747132572684457</v>
      </c>
      <c r="AC713" s="45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50.772472661870502</v>
      </c>
    </row>
    <row r="714" spans="1:29" ht="15.75" x14ac:dyDescent="0.25">
      <c r="A714" s="32">
        <v>62639</v>
      </c>
      <c r="B714" s="14">
        <f>CHOOSE(CONTROL!$C$42, 53.1708, 53.1708) * CHOOSE(CONTROL!$C$21, $C$9, 100%, $E$9)</f>
        <v>53.1708</v>
      </c>
      <c r="C714" s="14">
        <f>CHOOSE(CONTROL!$C$42, 53.1788, 53.1788) * CHOOSE(CONTROL!$C$21, $C$9, 100%, $E$9)</f>
        <v>53.178800000000003</v>
      </c>
      <c r="D714" s="14">
        <f>CHOOSE(CONTROL!$C$42, 53.3838, 53.3838) * CHOOSE(CONTROL!$C$21, $C$9, 100%, $E$9)</f>
        <v>53.383800000000001</v>
      </c>
      <c r="E714" s="14">
        <f>CHOOSE(CONTROL!$C$42, 53.4152, 53.4152) * CHOOSE(CONTROL!$C$21, $C$9, 100%, $E$9)</f>
        <v>53.415199999999999</v>
      </c>
      <c r="F714" s="14">
        <f>CHOOSE(CONTROL!$C$42, 53.1573, 53.1573)*CHOOSE(CONTROL!$C$21, $C$9, 100%, $E$9)</f>
        <v>53.157299999999999</v>
      </c>
      <c r="G714" s="14">
        <f>CHOOSE(CONTROL!$C$42, 53.1738, 53.1738)*CHOOSE(CONTROL!$C$21, $C$9, 100%, $E$9)</f>
        <v>53.1738</v>
      </c>
      <c r="H714" s="14">
        <f>CHOOSE(CONTROL!$C$42, 53.4039, 53.4039) * CHOOSE(CONTROL!$C$21, $C$9, 100%, $E$9)</f>
        <v>53.4039</v>
      </c>
      <c r="I714" s="14">
        <f>CHOOSE(CONTROL!$C$42, 53.3453, 53.3453)* CHOOSE(CONTROL!$C$21, $C$9, 100%, $E$9)</f>
        <v>53.345300000000002</v>
      </c>
      <c r="J714" s="14">
        <f>CHOOSE(CONTROL!$C$42, 53.1503, 53.1503)* CHOOSE(CONTROL!$C$21, $C$9, 100%, $E$9)</f>
        <v>53.150300000000001</v>
      </c>
      <c r="K714" s="53">
        <f>CHOOSE(CONTROL!$C$42, 53.3415, 53.3415) * CHOOSE(CONTROL!$C$21, $C$9, 100%, $E$9)</f>
        <v>53.341500000000003</v>
      </c>
      <c r="L714" s="14">
        <f>CHOOSE(CONTROL!$C$42, 53.9909, 53.9909) * CHOOSE(CONTROL!$C$21, $C$9, 100%, $E$9)</f>
        <v>53.990900000000003</v>
      </c>
      <c r="M714" s="14">
        <f>CHOOSE(CONTROL!$C$42, 52.069, 52.069) * CHOOSE(CONTROL!$C$21, $C$9, 100%, $E$9)</f>
        <v>52.069000000000003</v>
      </c>
      <c r="N714" s="14">
        <f>CHOOSE(CONTROL!$C$42, 52.0852, 52.0852) * CHOOSE(CONTROL!$C$21, $C$9, 100%, $E$9)</f>
        <v>52.0852</v>
      </c>
      <c r="O714" s="14">
        <f>CHOOSE(CONTROL!$C$42, 52.3174, 52.3174) * CHOOSE(CONTROL!$C$21, $C$9, 100%, $E$9)</f>
        <v>52.317399999999999</v>
      </c>
      <c r="P714" s="14">
        <f>CHOOSE(CONTROL!$C$42, 52.2568, 52.2568) * CHOOSE(CONTROL!$C$21, $C$9, 100%, $E$9)</f>
        <v>52.256799999999998</v>
      </c>
      <c r="Q714" s="14">
        <f>CHOOSE(CONTROL!$C$42, 52.9121, 52.9121) * CHOOSE(CONTROL!$C$21, $C$9, 100%, $E$9)</f>
        <v>52.912100000000002</v>
      </c>
      <c r="R714" s="14">
        <f>CHOOSE(CONTROL!$C$42, 53.6313, 53.6313) * CHOOSE(CONTROL!$C$21, $C$9, 100%, $E$9)</f>
        <v>53.631300000000003</v>
      </c>
      <c r="S714" s="14">
        <f>CHOOSE(CONTROL!$C$42, 51.0812, 51.0812) * CHOOSE(CONTROL!$C$21, $C$9, 100%, $E$9)</f>
        <v>51.081200000000003</v>
      </c>
      <c r="T7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7">
        <f>(1000*CHOOSE(CONTROL!$C$42, 695, 695)*CHOOSE(CONTROL!$C$42, 0.5599, 0.5599)*CHOOSE(CONTROL!$C$42, 30, 30))/1000000</f>
        <v>11.673914999999997</v>
      </c>
      <c r="V714" s="57">
        <f>(1000*CHOOSE(CONTROL!$C$42, 500, 500)*CHOOSE(CONTROL!$C$42, 0.275, 0.275)*CHOOSE(CONTROL!$C$42, 30, 30))/1000000</f>
        <v>4.125</v>
      </c>
      <c r="W714" s="57">
        <f>(1000*CHOOSE(CONTROL!$C$42, 0.1146, 0.1146)*CHOOSE(CONTROL!$C$42, 121.5, 121.5)*CHOOSE(CONTROL!$C$42, 30, 30))/1000000</f>
        <v>0.417717</v>
      </c>
      <c r="X714" s="57">
        <f>(30*0.1790888*245000/1000000)+(30*0.2374*100000/1000000)</f>
        <v>2.0285026799999999</v>
      </c>
      <c r="Y714" s="57"/>
      <c r="Z714" s="14"/>
      <c r="AA714" s="56"/>
      <c r="AB714" s="50">
        <f>(B714*194.205+C714*267.466+D714*133.845+E714*53.484+F714*40+G714*185+H714*0+I714*100+J714*300)/(194.205+267.466+133.845+53.484+0+40+185+100+300)</f>
        <v>53.213998746153848</v>
      </c>
      <c r="AC714" s="45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52.209538129496401</v>
      </c>
    </row>
    <row r="715" spans="1:29" ht="15.75" x14ac:dyDescent="0.25">
      <c r="A715" s="32">
        <v>62670</v>
      </c>
      <c r="B715" s="14">
        <f>CHOOSE(CONTROL!$C$42, 52.1509, 52.1509) * CHOOSE(CONTROL!$C$21, $C$9, 100%, $E$9)</f>
        <v>52.1509</v>
      </c>
      <c r="C715" s="14">
        <f>CHOOSE(CONTROL!$C$42, 52.159, 52.159) * CHOOSE(CONTROL!$C$21, $C$9, 100%, $E$9)</f>
        <v>52.158999999999999</v>
      </c>
      <c r="D715" s="14">
        <f>CHOOSE(CONTROL!$C$42, 52.3639, 52.3639) * CHOOSE(CONTROL!$C$21, $C$9, 100%, $E$9)</f>
        <v>52.363900000000001</v>
      </c>
      <c r="E715" s="14">
        <f>CHOOSE(CONTROL!$C$42, 52.3954, 52.3954) * CHOOSE(CONTROL!$C$21, $C$9, 100%, $E$9)</f>
        <v>52.395400000000002</v>
      </c>
      <c r="F715" s="14">
        <f>CHOOSE(CONTROL!$C$42, 52.1379, 52.1379)*CHOOSE(CONTROL!$C$21, $C$9, 100%, $E$9)</f>
        <v>52.137900000000002</v>
      </c>
      <c r="G715" s="14">
        <f>CHOOSE(CONTROL!$C$42, 52.1545, 52.1545)*CHOOSE(CONTROL!$C$21, $C$9, 100%, $E$9)</f>
        <v>52.154499999999999</v>
      </c>
      <c r="H715" s="14">
        <f>CHOOSE(CONTROL!$C$42, 52.384, 52.384) * CHOOSE(CONTROL!$C$21, $C$9, 100%, $E$9)</f>
        <v>52.384</v>
      </c>
      <c r="I715" s="14">
        <f>CHOOSE(CONTROL!$C$42, 52.3223, 52.3223)* CHOOSE(CONTROL!$C$21, $C$9, 100%, $E$9)</f>
        <v>52.322299999999998</v>
      </c>
      <c r="J715" s="14">
        <f>CHOOSE(CONTROL!$C$42, 52.1309, 52.1309)* CHOOSE(CONTROL!$C$21, $C$9, 100%, $E$9)</f>
        <v>52.130899999999997</v>
      </c>
      <c r="K715" s="53">
        <f>CHOOSE(CONTROL!$C$42, 52.3184, 52.3184) * CHOOSE(CONTROL!$C$21, $C$9, 100%, $E$9)</f>
        <v>52.318399999999997</v>
      </c>
      <c r="L715" s="14">
        <f>CHOOSE(CONTROL!$C$42, 52.971, 52.971) * CHOOSE(CONTROL!$C$21, $C$9, 100%, $E$9)</f>
        <v>52.970999999999997</v>
      </c>
      <c r="M715" s="14">
        <f>CHOOSE(CONTROL!$C$42, 51.0705, 51.0705) * CHOOSE(CONTROL!$C$21, $C$9, 100%, $E$9)</f>
        <v>51.070500000000003</v>
      </c>
      <c r="N715" s="14">
        <f>CHOOSE(CONTROL!$C$42, 51.0868, 51.0868) * CHOOSE(CONTROL!$C$21, $C$9, 100%, $E$9)</f>
        <v>51.086799999999997</v>
      </c>
      <c r="O715" s="14">
        <f>CHOOSE(CONTROL!$C$42, 51.3184, 51.3184) * CHOOSE(CONTROL!$C$21, $C$9, 100%, $E$9)</f>
        <v>51.318399999999997</v>
      </c>
      <c r="P715" s="14">
        <f>CHOOSE(CONTROL!$C$42, 51.2547, 51.2547) * CHOOSE(CONTROL!$C$21, $C$9, 100%, $E$9)</f>
        <v>51.2547</v>
      </c>
      <c r="Q715" s="14">
        <f>CHOOSE(CONTROL!$C$42, 51.9131, 51.9131) * CHOOSE(CONTROL!$C$21, $C$9, 100%, $E$9)</f>
        <v>51.9131</v>
      </c>
      <c r="R715" s="14">
        <f>CHOOSE(CONTROL!$C$42, 52.6299, 52.6299) * CHOOSE(CONTROL!$C$21, $C$9, 100%, $E$9)</f>
        <v>52.629899999999999</v>
      </c>
      <c r="S715" s="14">
        <f>CHOOSE(CONTROL!$C$42, 50.1012, 50.1012) * CHOOSE(CONTROL!$C$21, $C$9, 100%, $E$9)</f>
        <v>50.101199999999999</v>
      </c>
      <c r="T7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7">
        <f>(1000*CHOOSE(CONTROL!$C$42, 695, 695)*CHOOSE(CONTROL!$C$42, 0.5599, 0.5599)*CHOOSE(CONTROL!$C$42, 31, 31))/1000000</f>
        <v>12.063045499999998</v>
      </c>
      <c r="V715" s="57">
        <f>(1000*CHOOSE(CONTROL!$C$42, 500, 500)*CHOOSE(CONTROL!$C$42, 0.275, 0.275)*CHOOSE(CONTROL!$C$42, 31, 31))/1000000</f>
        <v>4.2625000000000002</v>
      </c>
      <c r="W715" s="57">
        <f>(1000*CHOOSE(CONTROL!$C$42, 0.1146, 0.1146)*CHOOSE(CONTROL!$C$42, 121.5, 121.5)*CHOOSE(CONTROL!$C$42, 31, 31))/1000000</f>
        <v>0.43164089999999994</v>
      </c>
      <c r="X715" s="57">
        <f>(31*0.1790888*245000/1000000)+(31*0.2374*100000/1000000)</f>
        <v>2.0961194359999999</v>
      </c>
      <c r="Y715" s="57"/>
      <c r="Z715" s="14"/>
      <c r="AA715" s="56"/>
      <c r="AB715" s="50">
        <f>(B715*194.205+C715*267.466+D715*133.845+E715*53.484+F715*40+G715*185+H715*0+I715*100+J715*300)/(194.205+267.466+133.845+53.484+0+40+185+100+300)</f>
        <v>52.194101175510212</v>
      </c>
      <c r="AC715" s="45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51.210299280575533</v>
      </c>
    </row>
    <row r="716" spans="1:29" ht="15.75" x14ac:dyDescent="0.25">
      <c r="A716" s="32">
        <v>62701</v>
      </c>
      <c r="B716" s="14">
        <f>CHOOSE(CONTROL!$C$42, 49.5755, 49.5755) * CHOOSE(CONTROL!$C$21, $C$9, 100%, $E$9)</f>
        <v>49.575499999999998</v>
      </c>
      <c r="C716" s="14">
        <f>CHOOSE(CONTROL!$C$42, 49.5836, 49.5836) * CHOOSE(CONTROL!$C$21, $C$9, 100%, $E$9)</f>
        <v>49.583599999999997</v>
      </c>
      <c r="D716" s="14">
        <f>CHOOSE(CONTROL!$C$42, 49.7885, 49.7885) * CHOOSE(CONTROL!$C$21, $C$9, 100%, $E$9)</f>
        <v>49.788499999999999</v>
      </c>
      <c r="E716" s="14">
        <f>CHOOSE(CONTROL!$C$42, 49.82, 49.82) * CHOOSE(CONTROL!$C$21, $C$9, 100%, $E$9)</f>
        <v>49.82</v>
      </c>
      <c r="F716" s="14">
        <f>CHOOSE(CONTROL!$C$42, 49.5627, 49.5627)*CHOOSE(CONTROL!$C$21, $C$9, 100%, $E$9)</f>
        <v>49.5627</v>
      </c>
      <c r="G716" s="14">
        <f>CHOOSE(CONTROL!$C$42, 49.5794, 49.5794)*CHOOSE(CONTROL!$C$21, $C$9, 100%, $E$9)</f>
        <v>49.5794</v>
      </c>
      <c r="H716" s="14">
        <f>CHOOSE(CONTROL!$C$42, 49.8086, 49.8086) * CHOOSE(CONTROL!$C$21, $C$9, 100%, $E$9)</f>
        <v>49.808599999999998</v>
      </c>
      <c r="I716" s="14">
        <f>CHOOSE(CONTROL!$C$42, 49.7388, 49.7388)* CHOOSE(CONTROL!$C$21, $C$9, 100%, $E$9)</f>
        <v>49.738799999999998</v>
      </c>
      <c r="J716" s="14">
        <f>CHOOSE(CONTROL!$C$42, 49.5557, 49.5557)* CHOOSE(CONTROL!$C$21, $C$9, 100%, $E$9)</f>
        <v>49.555700000000002</v>
      </c>
      <c r="K716" s="53">
        <f>CHOOSE(CONTROL!$C$42, 49.7349, 49.7349) * CHOOSE(CONTROL!$C$21, $C$9, 100%, $E$9)</f>
        <v>49.734900000000003</v>
      </c>
      <c r="L716" s="14">
        <f>CHOOSE(CONTROL!$C$42, 50.3956, 50.3956) * CHOOSE(CONTROL!$C$21, $C$9, 100%, $E$9)</f>
        <v>50.395600000000002</v>
      </c>
      <c r="M716" s="14">
        <f>CHOOSE(CONTROL!$C$42, 48.548, 48.548) * CHOOSE(CONTROL!$C$21, $C$9, 100%, $E$9)</f>
        <v>48.548000000000002</v>
      </c>
      <c r="N716" s="14">
        <f>CHOOSE(CONTROL!$C$42, 48.5644, 48.5644) * CHOOSE(CONTROL!$C$21, $C$9, 100%, $E$9)</f>
        <v>48.564399999999999</v>
      </c>
      <c r="O716" s="14">
        <f>CHOOSE(CONTROL!$C$42, 48.7958, 48.7958) * CHOOSE(CONTROL!$C$21, $C$9, 100%, $E$9)</f>
        <v>48.7958</v>
      </c>
      <c r="P716" s="14">
        <f>CHOOSE(CONTROL!$C$42, 48.7244, 48.7244) * CHOOSE(CONTROL!$C$21, $C$9, 100%, $E$9)</f>
        <v>48.724400000000003</v>
      </c>
      <c r="Q716" s="14">
        <f>CHOOSE(CONTROL!$C$42, 49.3905, 49.3905) * CHOOSE(CONTROL!$C$21, $C$9, 100%, $E$9)</f>
        <v>49.390500000000003</v>
      </c>
      <c r="R716" s="14">
        <f>CHOOSE(CONTROL!$C$42, 50.1009, 50.1009) * CHOOSE(CONTROL!$C$21, $C$9, 100%, $E$9)</f>
        <v>50.100900000000003</v>
      </c>
      <c r="S716" s="14">
        <f>CHOOSE(CONTROL!$C$42, 47.6265, 47.6265) * CHOOSE(CONTROL!$C$21, $C$9, 100%, $E$9)</f>
        <v>47.6265</v>
      </c>
      <c r="T7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7">
        <f>(1000*CHOOSE(CONTROL!$C$42, 695, 695)*CHOOSE(CONTROL!$C$42, 0.5599, 0.5599)*CHOOSE(CONTROL!$C$42, 31, 31))/1000000</f>
        <v>12.063045499999998</v>
      </c>
      <c r="V716" s="57">
        <f>(1000*CHOOSE(CONTROL!$C$42, 500, 500)*CHOOSE(CONTROL!$C$42, 0.275, 0.275)*CHOOSE(CONTROL!$C$42, 31, 31))/1000000</f>
        <v>4.2625000000000002</v>
      </c>
      <c r="W716" s="57">
        <f>(1000*CHOOSE(CONTROL!$C$42, 0.1146, 0.1146)*CHOOSE(CONTROL!$C$42, 121.5, 121.5)*CHOOSE(CONTROL!$C$42, 31, 31))/1000000</f>
        <v>0.43164089999999994</v>
      </c>
      <c r="X716" s="57">
        <f>(31*0.1790888*245000/1000000)+(31*0.2374*100000/1000000)</f>
        <v>2.0961194359999999</v>
      </c>
      <c r="Y716" s="57"/>
      <c r="Z716" s="14"/>
      <c r="AA716" s="56"/>
      <c r="AB716" s="50">
        <f>(B716*194.205+C716*267.466+D716*133.845+E716*53.484+F716*40+G716*185+H716*0+I716*100+J716*300)/(194.205+267.466+133.845+53.484+0+40+185+100+300)</f>
        <v>49.618162321507064</v>
      </c>
      <c r="AC716" s="45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48.686637410071945</v>
      </c>
    </row>
    <row r="717" spans="1:29" ht="15.75" x14ac:dyDescent="0.25">
      <c r="A717" s="32">
        <v>62731</v>
      </c>
      <c r="B717" s="14">
        <f>CHOOSE(CONTROL!$C$42, 46.4285, 46.4285) * CHOOSE(CONTROL!$C$21, $C$9, 100%, $E$9)</f>
        <v>46.4285</v>
      </c>
      <c r="C717" s="14">
        <f>CHOOSE(CONTROL!$C$42, 46.4365, 46.4365) * CHOOSE(CONTROL!$C$21, $C$9, 100%, $E$9)</f>
        <v>46.436500000000002</v>
      </c>
      <c r="D717" s="14">
        <f>CHOOSE(CONTROL!$C$42, 46.6415, 46.6415) * CHOOSE(CONTROL!$C$21, $C$9, 100%, $E$9)</f>
        <v>46.641500000000001</v>
      </c>
      <c r="E717" s="14">
        <f>CHOOSE(CONTROL!$C$42, 46.6729, 46.6729) * CHOOSE(CONTROL!$C$21, $C$9, 100%, $E$9)</f>
        <v>46.672899999999998</v>
      </c>
      <c r="F717" s="14">
        <f>CHOOSE(CONTROL!$C$42, 46.4156, 46.4156)*CHOOSE(CONTROL!$C$21, $C$9, 100%, $E$9)</f>
        <v>46.415599999999998</v>
      </c>
      <c r="G717" s="14">
        <f>CHOOSE(CONTROL!$C$42, 46.4323, 46.4323)*CHOOSE(CONTROL!$C$21, $C$9, 100%, $E$9)</f>
        <v>46.432299999999998</v>
      </c>
      <c r="H717" s="14">
        <f>CHOOSE(CONTROL!$C$42, 46.6616, 46.6616) * CHOOSE(CONTROL!$C$21, $C$9, 100%, $E$9)</f>
        <v>46.6616</v>
      </c>
      <c r="I717" s="14">
        <f>CHOOSE(CONTROL!$C$42, 46.5819, 46.5819)* CHOOSE(CONTROL!$C$21, $C$9, 100%, $E$9)</f>
        <v>46.581899999999997</v>
      </c>
      <c r="J717" s="14">
        <f>CHOOSE(CONTROL!$C$42, 46.4086, 46.4086)* CHOOSE(CONTROL!$C$21, $C$9, 100%, $E$9)</f>
        <v>46.4086</v>
      </c>
      <c r="K717" s="53">
        <f>CHOOSE(CONTROL!$C$42, 46.578, 46.578) * CHOOSE(CONTROL!$C$21, $C$9, 100%, $E$9)</f>
        <v>46.578000000000003</v>
      </c>
      <c r="L717" s="14">
        <f>CHOOSE(CONTROL!$C$42, 47.2486, 47.2486) * CHOOSE(CONTROL!$C$21, $C$9, 100%, $E$9)</f>
        <v>47.248600000000003</v>
      </c>
      <c r="M717" s="14">
        <f>CHOOSE(CONTROL!$C$42, 45.4654, 45.4654) * CHOOSE(CONTROL!$C$21, $C$9, 100%, $E$9)</f>
        <v>45.465400000000002</v>
      </c>
      <c r="N717" s="14">
        <f>CHOOSE(CONTROL!$C$42, 45.4818, 45.4818) * CHOOSE(CONTROL!$C$21, $C$9, 100%, $E$9)</f>
        <v>45.4818</v>
      </c>
      <c r="O717" s="14">
        <f>CHOOSE(CONTROL!$C$42, 45.7132, 45.7132) * CHOOSE(CONTROL!$C$21, $C$9, 100%, $E$9)</f>
        <v>45.713200000000001</v>
      </c>
      <c r="P717" s="14">
        <f>CHOOSE(CONTROL!$C$42, 45.6323, 45.6323) * CHOOSE(CONTROL!$C$21, $C$9, 100%, $E$9)</f>
        <v>45.632300000000001</v>
      </c>
      <c r="Q717" s="14">
        <f>CHOOSE(CONTROL!$C$42, 46.3079, 46.3079) * CHOOSE(CONTROL!$C$21, $C$9, 100%, $E$9)</f>
        <v>46.307899999999997</v>
      </c>
      <c r="R717" s="14">
        <f>CHOOSE(CONTROL!$C$42, 47.0107, 47.0107) * CHOOSE(CONTROL!$C$21, $C$9, 100%, $E$9)</f>
        <v>47.0107</v>
      </c>
      <c r="S717" s="14">
        <f>CHOOSE(CONTROL!$C$42, 44.6025, 44.6025) * CHOOSE(CONTROL!$C$21, $C$9, 100%, $E$9)</f>
        <v>44.602499999999999</v>
      </c>
      <c r="T7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7">
        <f>(1000*CHOOSE(CONTROL!$C$42, 695, 695)*CHOOSE(CONTROL!$C$42, 0.5599, 0.5599)*CHOOSE(CONTROL!$C$42, 30, 30))/1000000</f>
        <v>11.673914999999997</v>
      </c>
      <c r="V717" s="57">
        <f>(1000*CHOOSE(CONTROL!$C$42, 500, 500)*CHOOSE(CONTROL!$C$42, 0.275, 0.275)*CHOOSE(CONTROL!$C$42, 30, 30))/1000000</f>
        <v>4.125</v>
      </c>
      <c r="W717" s="57">
        <f>(1000*CHOOSE(CONTROL!$C$42, 0.1146, 0.1146)*CHOOSE(CONTROL!$C$42, 121.5, 121.5)*CHOOSE(CONTROL!$C$42, 30, 30))/1000000</f>
        <v>0.417717</v>
      </c>
      <c r="X717" s="57">
        <f>(30*0.1790888*245000/1000000)+(30*0.2374*100000/1000000)</f>
        <v>2.0285026799999999</v>
      </c>
      <c r="Y717" s="57"/>
      <c r="Z717" s="14"/>
      <c r="AA717" s="56"/>
      <c r="AB717" s="50">
        <f>(B717*194.205+C717*267.466+D717*133.845+E717*53.484+F717*40+G717*185+H717*0+I717*100+J717*300)/(194.205+267.466+133.845+53.484+0+40+185+100+300)</f>
        <v>46.470318840345371</v>
      </c>
      <c r="AC717" s="45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45.602670503597125</v>
      </c>
    </row>
    <row r="718" spans="1:29" ht="15.75" x14ac:dyDescent="0.25">
      <c r="A718" s="32">
        <v>62762</v>
      </c>
      <c r="B718" s="14">
        <f>CHOOSE(CONTROL!$C$42, 45.4843, 45.4843) * CHOOSE(CONTROL!$C$21, $C$9, 100%, $E$9)</f>
        <v>45.484299999999998</v>
      </c>
      <c r="C718" s="14">
        <f>CHOOSE(CONTROL!$C$42, 45.4896, 45.4896) * CHOOSE(CONTROL!$C$21, $C$9, 100%, $E$9)</f>
        <v>45.489600000000003</v>
      </c>
      <c r="D718" s="14">
        <f>CHOOSE(CONTROL!$C$42, 45.6995, 45.6995) * CHOOSE(CONTROL!$C$21, $C$9, 100%, $E$9)</f>
        <v>45.6995</v>
      </c>
      <c r="E718" s="14">
        <f>CHOOSE(CONTROL!$C$42, 45.7286, 45.7286) * CHOOSE(CONTROL!$C$21, $C$9, 100%, $E$9)</f>
        <v>45.7286</v>
      </c>
      <c r="F718" s="14">
        <f>CHOOSE(CONTROL!$C$42, 45.4735, 45.4735)*CHOOSE(CONTROL!$C$21, $C$9, 100%, $E$9)</f>
        <v>45.473500000000001</v>
      </c>
      <c r="G718" s="14">
        <f>CHOOSE(CONTROL!$C$42, 45.4898, 45.4898)*CHOOSE(CONTROL!$C$21, $C$9, 100%, $E$9)</f>
        <v>45.489800000000002</v>
      </c>
      <c r="H718" s="14">
        <f>CHOOSE(CONTROL!$C$42, 45.7191, 45.7191) * CHOOSE(CONTROL!$C$21, $C$9, 100%, $E$9)</f>
        <v>45.719099999999997</v>
      </c>
      <c r="I718" s="14">
        <f>CHOOSE(CONTROL!$C$42, 45.6365, 45.6365)* CHOOSE(CONTROL!$C$21, $C$9, 100%, $E$9)</f>
        <v>45.636499999999998</v>
      </c>
      <c r="J718" s="14">
        <f>CHOOSE(CONTROL!$C$42, 45.4665, 45.4665)* CHOOSE(CONTROL!$C$21, $C$9, 100%, $E$9)</f>
        <v>45.466500000000003</v>
      </c>
      <c r="K718" s="53">
        <f>CHOOSE(CONTROL!$C$42, 45.6326, 45.6326) * CHOOSE(CONTROL!$C$21, $C$9, 100%, $E$9)</f>
        <v>45.632599999999996</v>
      </c>
      <c r="L718" s="14">
        <f>CHOOSE(CONTROL!$C$42, 46.3061, 46.3061) * CHOOSE(CONTROL!$C$21, $C$9, 100%, $E$9)</f>
        <v>46.306100000000001</v>
      </c>
      <c r="M718" s="14">
        <f>CHOOSE(CONTROL!$C$42, 44.5426, 44.5426) * CHOOSE(CONTROL!$C$21, $C$9, 100%, $E$9)</f>
        <v>44.5426</v>
      </c>
      <c r="N718" s="14">
        <f>CHOOSE(CONTROL!$C$42, 44.5586, 44.5586) * CHOOSE(CONTROL!$C$21, $C$9, 100%, $E$9)</f>
        <v>44.558599999999998</v>
      </c>
      <c r="O718" s="14">
        <f>CHOOSE(CONTROL!$C$42, 44.7901, 44.7901) * CHOOSE(CONTROL!$C$21, $C$9, 100%, $E$9)</f>
        <v>44.790100000000002</v>
      </c>
      <c r="P718" s="14">
        <f>CHOOSE(CONTROL!$C$42, 44.7064, 44.7064) * CHOOSE(CONTROL!$C$21, $C$9, 100%, $E$9)</f>
        <v>44.706400000000002</v>
      </c>
      <c r="Q718" s="14">
        <f>CHOOSE(CONTROL!$C$42, 45.3848, 45.3848) * CHOOSE(CONTROL!$C$21, $C$9, 100%, $E$9)</f>
        <v>45.384799999999998</v>
      </c>
      <c r="R718" s="14">
        <f>CHOOSE(CONTROL!$C$42, 46.0852, 46.0852) * CHOOSE(CONTROL!$C$21, $C$9, 100%, $E$9)</f>
        <v>46.0852</v>
      </c>
      <c r="S718" s="14">
        <f>CHOOSE(CONTROL!$C$42, 43.6969, 43.6969) * CHOOSE(CONTROL!$C$21, $C$9, 100%, $E$9)</f>
        <v>43.696899999999999</v>
      </c>
      <c r="T7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7">
        <f>(1000*CHOOSE(CONTROL!$C$42, 695, 695)*CHOOSE(CONTROL!$C$42, 0.5599, 0.5599)*CHOOSE(CONTROL!$C$42, 31, 31))/1000000</f>
        <v>12.063045499999998</v>
      </c>
      <c r="V718" s="57">
        <f>(1000*CHOOSE(CONTROL!$C$42, 500, 500)*CHOOSE(CONTROL!$C$42, 0.275, 0.275)*CHOOSE(CONTROL!$C$42, 31, 31))/1000000</f>
        <v>4.2625000000000002</v>
      </c>
      <c r="W718" s="57">
        <f>(1000*CHOOSE(CONTROL!$C$42, 0.1146, 0.1146)*CHOOSE(CONTROL!$C$42, 121.5, 121.5)*CHOOSE(CONTROL!$C$42, 31, 31))/1000000</f>
        <v>0.43164089999999994</v>
      </c>
      <c r="X718" s="57">
        <f>(31*0.1790888*245000/1000000)+(31*0.2374*100000/1000000)</f>
        <v>2.0961194359999999</v>
      </c>
      <c r="Y718" s="57"/>
      <c r="Z718" s="14"/>
      <c r="AA718" s="56"/>
      <c r="AB718" s="50">
        <f>(B718*131.881+C718*277.167+D718*79.08+E718*125.872+F718*40+G718*185+H718*0+I718*100+J718*300)/(131.881+277.167+79.08+125.872+0+40+185+100+300)</f>
        <v>45.532486465456017</v>
      </c>
      <c r="AC718" s="45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44.679265467625903</v>
      </c>
    </row>
    <row r="719" spans="1:29" ht="15.75" x14ac:dyDescent="0.25">
      <c r="A719" s="32">
        <v>62792</v>
      </c>
      <c r="B719" s="14">
        <f>CHOOSE(CONTROL!$C$42, 46.6818, 46.6818) * CHOOSE(CONTROL!$C$21, $C$9, 100%, $E$9)</f>
        <v>46.681800000000003</v>
      </c>
      <c r="C719" s="14">
        <f>CHOOSE(CONTROL!$C$42, 46.6869, 46.6869) * CHOOSE(CONTROL!$C$21, $C$9, 100%, $E$9)</f>
        <v>46.686900000000001</v>
      </c>
      <c r="D719" s="14">
        <f>CHOOSE(CONTROL!$C$42, 46.7507, 46.7507) * CHOOSE(CONTROL!$C$21, $C$9, 100%, $E$9)</f>
        <v>46.750700000000002</v>
      </c>
      <c r="E719" s="14">
        <f>CHOOSE(CONTROL!$C$42, 46.7848, 46.7848) * CHOOSE(CONTROL!$C$21, $C$9, 100%, $E$9)</f>
        <v>46.784799999999997</v>
      </c>
      <c r="F719" s="14">
        <f>CHOOSE(CONTROL!$C$42, 46.6841, 46.6841)*CHOOSE(CONTROL!$C$21, $C$9, 100%, $E$9)</f>
        <v>46.684100000000001</v>
      </c>
      <c r="G719" s="14">
        <f>CHOOSE(CONTROL!$C$42, 46.7008, 46.7008)*CHOOSE(CONTROL!$C$21, $C$9, 100%, $E$9)</f>
        <v>46.700800000000001</v>
      </c>
      <c r="H719" s="14">
        <f>CHOOSE(CONTROL!$C$42, 46.774, 46.774) * CHOOSE(CONTROL!$C$21, $C$9, 100%, $E$9)</f>
        <v>46.774000000000001</v>
      </c>
      <c r="I719" s="14">
        <f>CHOOSE(CONTROL!$C$42, 46.8419, 46.8419)* CHOOSE(CONTROL!$C$21, $C$9, 100%, $E$9)</f>
        <v>46.841900000000003</v>
      </c>
      <c r="J719" s="14">
        <f>CHOOSE(CONTROL!$C$42, 46.6771, 46.6771)* CHOOSE(CONTROL!$C$21, $C$9, 100%, $E$9)</f>
        <v>46.677100000000003</v>
      </c>
      <c r="K719" s="53">
        <f>CHOOSE(CONTROL!$C$42, 46.838, 46.838) * CHOOSE(CONTROL!$C$21, $C$9, 100%, $E$9)</f>
        <v>46.838000000000001</v>
      </c>
      <c r="L719" s="14">
        <f>CHOOSE(CONTROL!$C$42, 47.361, 47.361) * CHOOSE(CONTROL!$C$21, $C$9, 100%, $E$9)</f>
        <v>47.360999999999997</v>
      </c>
      <c r="M719" s="14">
        <f>CHOOSE(CONTROL!$C$42, 45.7284, 45.7284) * CHOOSE(CONTROL!$C$21, $C$9, 100%, $E$9)</f>
        <v>45.728400000000001</v>
      </c>
      <c r="N719" s="14">
        <f>CHOOSE(CONTROL!$C$42, 45.7447, 45.7447) * CHOOSE(CONTROL!$C$21, $C$9, 100%, $E$9)</f>
        <v>45.744700000000002</v>
      </c>
      <c r="O719" s="14">
        <f>CHOOSE(CONTROL!$C$42, 45.8233, 45.8233) * CHOOSE(CONTROL!$C$21, $C$9, 100%, $E$9)</f>
        <v>45.823300000000003</v>
      </c>
      <c r="P719" s="14">
        <f>CHOOSE(CONTROL!$C$42, 45.887, 45.887) * CHOOSE(CONTROL!$C$21, $C$9, 100%, $E$9)</f>
        <v>45.887</v>
      </c>
      <c r="Q719" s="14">
        <f>CHOOSE(CONTROL!$C$42, 46.418, 46.418) * CHOOSE(CONTROL!$C$21, $C$9, 100%, $E$9)</f>
        <v>46.417999999999999</v>
      </c>
      <c r="R719" s="14">
        <f>CHOOSE(CONTROL!$C$42, 47.1211, 47.1211) * CHOOSE(CONTROL!$C$21, $C$9, 100%, $E$9)</f>
        <v>47.121099999999998</v>
      </c>
      <c r="S719" s="14">
        <f>CHOOSE(CONTROL!$C$42, 44.848, 44.848) * CHOOSE(CONTROL!$C$21, $C$9, 100%, $E$9)</f>
        <v>44.847999999999999</v>
      </c>
      <c r="T7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7">
        <f>(1000*CHOOSE(CONTROL!$C$42, 695, 695)*CHOOSE(CONTROL!$C$42, 0.5599, 0.5599)*CHOOSE(CONTROL!$C$42, 30, 30))/1000000</f>
        <v>11.673914999999997</v>
      </c>
      <c r="V719" s="57">
        <f>(1000*CHOOSE(CONTROL!$C$42, 500, 500)*CHOOSE(CONTROL!$C$42, 0.275, 0.275)*CHOOSE(CONTROL!$C$42, 30, 30))/1000000</f>
        <v>4.125</v>
      </c>
      <c r="W719" s="57">
        <f>(1000*CHOOSE(CONTROL!$C$42, 0.1146, 0.1146)*CHOOSE(CONTROL!$C$42, 121.5, 121.5)*CHOOSE(CONTROL!$C$42, 30, 30))/1000000</f>
        <v>0.417717</v>
      </c>
      <c r="X719" s="57">
        <f>(30*0.1790888*100000/1000000)+(30*0.2374*100000/1000000)</f>
        <v>1.2494664</v>
      </c>
      <c r="Y719" s="57"/>
      <c r="Z719" s="14"/>
      <c r="AA719" s="56"/>
      <c r="AB719" s="50">
        <f>(B719*122.58+C719*297.941+D719*89.177+E719*40.302+F719*40+G719*160+H719*0+I719*100+J719*300)/(122.58+297.941+89.177+40.302+0+40+160+100+300)</f>
        <v>46.707492956869572</v>
      </c>
      <c r="AC719" s="45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45.795170503597127</v>
      </c>
    </row>
    <row r="720" spans="1:29" ht="15.75" x14ac:dyDescent="0.25">
      <c r="A720" s="32">
        <v>62823</v>
      </c>
      <c r="B720" s="14">
        <f>CHOOSE(CONTROL!$C$42, 49.8639, 49.8639) * CHOOSE(CONTROL!$C$21, $C$9, 100%, $E$9)</f>
        <v>49.863900000000001</v>
      </c>
      <c r="C720" s="14">
        <f>CHOOSE(CONTROL!$C$42, 49.869, 49.869) * CHOOSE(CONTROL!$C$21, $C$9, 100%, $E$9)</f>
        <v>49.869</v>
      </c>
      <c r="D720" s="14">
        <f>CHOOSE(CONTROL!$C$42, 49.9328, 49.9328) * CHOOSE(CONTROL!$C$21, $C$9, 100%, $E$9)</f>
        <v>49.9328</v>
      </c>
      <c r="E720" s="14">
        <f>CHOOSE(CONTROL!$C$42, 49.9669, 49.9669) * CHOOSE(CONTROL!$C$21, $C$9, 100%, $E$9)</f>
        <v>49.966900000000003</v>
      </c>
      <c r="F720" s="14">
        <f>CHOOSE(CONTROL!$C$42, 49.8682, 49.8682)*CHOOSE(CONTROL!$C$21, $C$9, 100%, $E$9)</f>
        <v>49.868200000000002</v>
      </c>
      <c r="G720" s="14">
        <f>CHOOSE(CONTROL!$C$42, 49.8854, 49.8854)*CHOOSE(CONTROL!$C$21, $C$9, 100%, $E$9)</f>
        <v>49.885399999999997</v>
      </c>
      <c r="H720" s="14">
        <f>CHOOSE(CONTROL!$C$42, 49.9561, 49.9561) * CHOOSE(CONTROL!$C$21, $C$9, 100%, $E$9)</f>
        <v>49.956099999999999</v>
      </c>
      <c r="I720" s="14">
        <f>CHOOSE(CONTROL!$C$42, 50.034, 50.034)* CHOOSE(CONTROL!$C$21, $C$9, 100%, $E$9)</f>
        <v>50.033999999999999</v>
      </c>
      <c r="J720" s="14">
        <f>CHOOSE(CONTROL!$C$42, 49.8612, 49.8612)* CHOOSE(CONTROL!$C$21, $C$9, 100%, $E$9)</f>
        <v>49.861199999999997</v>
      </c>
      <c r="K720" s="53">
        <f>CHOOSE(CONTROL!$C$42, 50.0301, 50.0301) * CHOOSE(CONTROL!$C$21, $C$9, 100%, $E$9)</f>
        <v>50.030099999999997</v>
      </c>
      <c r="L720" s="14">
        <f>CHOOSE(CONTROL!$C$42, 50.5431, 50.5431) * CHOOSE(CONTROL!$C$21, $C$9, 100%, $E$9)</f>
        <v>50.543100000000003</v>
      </c>
      <c r="M720" s="14">
        <f>CHOOSE(CONTROL!$C$42, 48.8473, 48.8473) * CHOOSE(CONTROL!$C$21, $C$9, 100%, $E$9)</f>
        <v>48.847299999999997</v>
      </c>
      <c r="N720" s="14">
        <f>CHOOSE(CONTROL!$C$42, 48.8642, 48.8642) * CHOOSE(CONTROL!$C$21, $C$9, 100%, $E$9)</f>
        <v>48.864199999999997</v>
      </c>
      <c r="O720" s="14">
        <f>CHOOSE(CONTROL!$C$42, 48.9402, 48.9402) * CHOOSE(CONTROL!$C$21, $C$9, 100%, $E$9)</f>
        <v>48.940199999999997</v>
      </c>
      <c r="P720" s="14">
        <f>CHOOSE(CONTROL!$C$42, 49.0135, 49.0135) * CHOOSE(CONTROL!$C$21, $C$9, 100%, $E$9)</f>
        <v>49.013500000000001</v>
      </c>
      <c r="Q720" s="14">
        <f>CHOOSE(CONTROL!$C$42, 49.5349, 49.5349) * CHOOSE(CONTROL!$C$21, $C$9, 100%, $E$9)</f>
        <v>49.5349</v>
      </c>
      <c r="R720" s="14">
        <f>CHOOSE(CONTROL!$C$42, 50.2458, 50.2458) * CHOOSE(CONTROL!$C$21, $C$9, 100%, $E$9)</f>
        <v>50.245800000000003</v>
      </c>
      <c r="S720" s="14">
        <f>CHOOSE(CONTROL!$C$42, 47.9057, 47.9057) * CHOOSE(CONTROL!$C$21, $C$9, 100%, $E$9)</f>
        <v>47.905700000000003</v>
      </c>
      <c r="T7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7">
        <f>(1000*CHOOSE(CONTROL!$C$42, 695, 695)*CHOOSE(CONTROL!$C$42, 0.5599, 0.5599)*CHOOSE(CONTROL!$C$42, 31, 31))/1000000</f>
        <v>12.063045499999998</v>
      </c>
      <c r="V720" s="57">
        <f>(1000*CHOOSE(CONTROL!$C$42, 500, 500)*CHOOSE(CONTROL!$C$42, 0.275, 0.275)*CHOOSE(CONTROL!$C$42, 31, 31))/1000000</f>
        <v>4.2625000000000002</v>
      </c>
      <c r="W720" s="57">
        <f>(1000*CHOOSE(CONTROL!$C$42, 0.1146, 0.1146)*CHOOSE(CONTROL!$C$42, 121.5, 121.5)*CHOOSE(CONTROL!$C$42, 31, 31))/1000000</f>
        <v>0.43164089999999994</v>
      </c>
      <c r="X720" s="57">
        <f>(31*0.1790888*100000/1000000)+(31*0.2374*100000/1000000)</f>
        <v>1.2911152800000001</v>
      </c>
      <c r="Y720" s="57"/>
      <c r="Z720" s="14"/>
      <c r="AA720" s="56"/>
      <c r="AB720" s="50">
        <f>(B720*122.58+C720*297.941+D720*89.177+E720*40.302+F720*40+G720*160+H720*0+I720*100+J720*300)/(122.58+297.941+89.177+40.302+0+40+160+100+300)</f>
        <v>49.891401652521736</v>
      </c>
      <c r="AC720" s="45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48.914292086330931</v>
      </c>
    </row>
    <row r="721" spans="1:29" ht="15.75" x14ac:dyDescent="0.25">
      <c r="A721" s="32">
        <v>62854</v>
      </c>
      <c r="B721" s="14">
        <f>CHOOSE(CONTROL!$C$42, 53.9477, 53.9477) * CHOOSE(CONTROL!$C$21, $C$9, 100%, $E$9)</f>
        <v>53.947699999999998</v>
      </c>
      <c r="C721" s="14">
        <f>CHOOSE(CONTROL!$C$42, 53.9528, 53.9528) * CHOOSE(CONTROL!$C$21, $C$9, 100%, $E$9)</f>
        <v>53.952800000000003</v>
      </c>
      <c r="D721" s="14">
        <f>CHOOSE(CONTROL!$C$42, 54.0114, 54.0114) * CHOOSE(CONTROL!$C$21, $C$9, 100%, $E$9)</f>
        <v>54.011400000000002</v>
      </c>
      <c r="E721" s="14">
        <f>CHOOSE(CONTROL!$C$42, 54.0455, 54.0455) * CHOOSE(CONTROL!$C$21, $C$9, 100%, $E$9)</f>
        <v>54.045499999999997</v>
      </c>
      <c r="F721" s="14">
        <f>CHOOSE(CONTROL!$C$42, 53.9468, 53.9468)*CHOOSE(CONTROL!$C$21, $C$9, 100%, $E$9)</f>
        <v>53.946800000000003</v>
      </c>
      <c r="G721" s="14">
        <f>CHOOSE(CONTROL!$C$42, 53.9632, 53.9632)*CHOOSE(CONTROL!$C$21, $C$9, 100%, $E$9)</f>
        <v>53.963200000000001</v>
      </c>
      <c r="H721" s="14">
        <f>CHOOSE(CONTROL!$C$42, 54.0347, 54.0347) * CHOOSE(CONTROL!$C$21, $C$9, 100%, $E$9)</f>
        <v>54.034700000000001</v>
      </c>
      <c r="I721" s="14">
        <f>CHOOSE(CONTROL!$C$42, 54.1269, 54.1269)* CHOOSE(CONTROL!$C$21, $C$9, 100%, $E$9)</f>
        <v>54.126899999999999</v>
      </c>
      <c r="J721" s="14">
        <f>CHOOSE(CONTROL!$C$42, 53.9398, 53.9398)* CHOOSE(CONTROL!$C$21, $C$9, 100%, $E$9)</f>
        <v>53.939799999999998</v>
      </c>
      <c r="K721" s="53">
        <f>CHOOSE(CONTROL!$C$42, 54.123, 54.123) * CHOOSE(CONTROL!$C$21, $C$9, 100%, $E$9)</f>
        <v>54.122999999999998</v>
      </c>
      <c r="L721" s="14">
        <f>CHOOSE(CONTROL!$C$42, 54.6217, 54.6217) * CHOOSE(CONTROL!$C$21, $C$9, 100%, $E$9)</f>
        <v>54.621699999999997</v>
      </c>
      <c r="M721" s="14">
        <f>CHOOSE(CONTROL!$C$42, 52.8423, 52.8423) * CHOOSE(CONTROL!$C$21, $C$9, 100%, $E$9)</f>
        <v>52.842300000000002</v>
      </c>
      <c r="N721" s="14">
        <f>CHOOSE(CONTROL!$C$42, 52.8584, 52.8584) * CHOOSE(CONTROL!$C$21, $C$9, 100%, $E$9)</f>
        <v>52.858400000000003</v>
      </c>
      <c r="O721" s="14">
        <f>CHOOSE(CONTROL!$C$42, 52.9352, 52.9352) * CHOOSE(CONTROL!$C$21, $C$9, 100%, $E$9)</f>
        <v>52.935200000000002</v>
      </c>
      <c r="P721" s="14">
        <f>CHOOSE(CONTROL!$C$42, 53.0222, 53.0222) * CHOOSE(CONTROL!$C$21, $C$9, 100%, $E$9)</f>
        <v>53.022199999999998</v>
      </c>
      <c r="Q721" s="14">
        <f>CHOOSE(CONTROL!$C$42, 53.5299, 53.5299) * CHOOSE(CONTROL!$C$21, $C$9, 100%, $E$9)</f>
        <v>53.529899999999998</v>
      </c>
      <c r="R721" s="14">
        <f>CHOOSE(CONTROL!$C$42, 54.2508, 54.2508) * CHOOSE(CONTROL!$C$21, $C$9, 100%, $E$9)</f>
        <v>54.250799999999998</v>
      </c>
      <c r="S721" s="14">
        <f>CHOOSE(CONTROL!$C$42, 51.8298, 51.8298) * CHOOSE(CONTROL!$C$21, $C$9, 100%, $E$9)</f>
        <v>51.829799999999999</v>
      </c>
      <c r="T7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7">
        <f>(1000*CHOOSE(CONTROL!$C$42, 695, 695)*CHOOSE(CONTROL!$C$42, 0.5599, 0.5599)*CHOOSE(CONTROL!$C$42, 31, 31))/1000000</f>
        <v>12.063045499999998</v>
      </c>
      <c r="V721" s="57">
        <f>(1000*CHOOSE(CONTROL!$C$42, 500, 500)*CHOOSE(CONTROL!$C$42, 0.275, 0.275)*CHOOSE(CONTROL!$C$42, 31, 31))/1000000</f>
        <v>4.2625000000000002</v>
      </c>
      <c r="W721" s="57">
        <f>(1000*CHOOSE(CONTROL!$C$42, 0.1146, 0.1146)*CHOOSE(CONTROL!$C$42, 121.5, 121.5)*CHOOSE(CONTROL!$C$42, 31, 31))/1000000</f>
        <v>0.43164089999999994</v>
      </c>
      <c r="X721" s="57">
        <f>(31*0.1790888*100000/1000000)+(31*0.2374*100000/1000000)</f>
        <v>1.2911152800000001</v>
      </c>
      <c r="Y721" s="57"/>
      <c r="Z721" s="14"/>
      <c r="AA721" s="56"/>
      <c r="AB721" s="50">
        <f>(B721*122.58+C721*297.941+D721*89.177+E721*40.302+F721*40+G721*160+H721*0+I721*100+J721*300)/(122.58+297.941+89.177+40.302+0+40+160+100+300)</f>
        <v>53.973035312695657</v>
      </c>
      <c r="AC721" s="45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52.911217266187052</v>
      </c>
    </row>
    <row r="722" spans="1:29" ht="15.75" x14ac:dyDescent="0.25">
      <c r="A722" s="32">
        <v>62883</v>
      </c>
      <c r="B722" s="14">
        <f>CHOOSE(CONTROL!$C$42, 54.9079, 54.9079) * CHOOSE(CONTROL!$C$21, $C$9, 100%, $E$9)</f>
        <v>54.907899999999998</v>
      </c>
      <c r="C722" s="14">
        <f>CHOOSE(CONTROL!$C$42, 54.9129, 54.9129) * CHOOSE(CONTROL!$C$21, $C$9, 100%, $E$9)</f>
        <v>54.9129</v>
      </c>
      <c r="D722" s="14">
        <f>CHOOSE(CONTROL!$C$42, 54.9715, 54.9715) * CHOOSE(CONTROL!$C$21, $C$9, 100%, $E$9)</f>
        <v>54.971499999999999</v>
      </c>
      <c r="E722" s="14">
        <f>CHOOSE(CONTROL!$C$42, 55.0057, 55.0057) * CHOOSE(CONTROL!$C$21, $C$9, 100%, $E$9)</f>
        <v>55.005699999999997</v>
      </c>
      <c r="F722" s="14">
        <f>CHOOSE(CONTROL!$C$42, 54.907, 54.907)*CHOOSE(CONTROL!$C$21, $C$9, 100%, $E$9)</f>
        <v>54.906999999999996</v>
      </c>
      <c r="G722" s="14">
        <f>CHOOSE(CONTROL!$C$42, 54.9233, 54.9233)*CHOOSE(CONTROL!$C$21, $C$9, 100%, $E$9)</f>
        <v>54.923299999999998</v>
      </c>
      <c r="H722" s="14">
        <f>CHOOSE(CONTROL!$C$42, 54.9949, 54.9949) * CHOOSE(CONTROL!$C$21, $C$9, 100%, $E$9)</f>
        <v>54.994900000000001</v>
      </c>
      <c r="I722" s="14">
        <f>CHOOSE(CONTROL!$C$42, 55.0901, 55.0901)* CHOOSE(CONTROL!$C$21, $C$9, 100%, $E$9)</f>
        <v>55.0901</v>
      </c>
      <c r="J722" s="14">
        <f>CHOOSE(CONTROL!$C$42, 54.9, 54.9)* CHOOSE(CONTROL!$C$21, $C$9, 100%, $E$9)</f>
        <v>54.9</v>
      </c>
      <c r="K722" s="53">
        <f>CHOOSE(CONTROL!$C$42, 55.0862, 55.0862) * CHOOSE(CONTROL!$C$21, $C$9, 100%, $E$9)</f>
        <v>55.086199999999998</v>
      </c>
      <c r="L722" s="14">
        <f>CHOOSE(CONTROL!$C$42, 55.5819, 55.5819) * CHOOSE(CONTROL!$C$21, $C$9, 100%, $E$9)</f>
        <v>55.581899999999997</v>
      </c>
      <c r="M722" s="14">
        <f>CHOOSE(CONTROL!$C$42, 53.7828, 53.7828) * CHOOSE(CONTROL!$C$21, $C$9, 100%, $E$9)</f>
        <v>53.782800000000002</v>
      </c>
      <c r="N722" s="14">
        <f>CHOOSE(CONTROL!$C$42, 53.7988, 53.7988) * CHOOSE(CONTROL!$C$21, $C$9, 100%, $E$9)</f>
        <v>53.7988</v>
      </c>
      <c r="O722" s="14">
        <f>CHOOSE(CONTROL!$C$42, 53.8757, 53.8757) * CHOOSE(CONTROL!$C$21, $C$9, 100%, $E$9)</f>
        <v>53.875700000000002</v>
      </c>
      <c r="P722" s="14">
        <f>CHOOSE(CONTROL!$C$42, 53.9656, 53.9656) * CHOOSE(CONTROL!$C$21, $C$9, 100%, $E$9)</f>
        <v>53.965600000000002</v>
      </c>
      <c r="Q722" s="14">
        <f>CHOOSE(CONTROL!$C$42, 54.4704, 54.4704) * CHOOSE(CONTROL!$C$21, $C$9, 100%, $E$9)</f>
        <v>54.470399999999998</v>
      </c>
      <c r="R722" s="14">
        <f>CHOOSE(CONTROL!$C$42, 55.1936, 55.1936) * CHOOSE(CONTROL!$C$21, $C$9, 100%, $E$9)</f>
        <v>55.193600000000004</v>
      </c>
      <c r="S722" s="14">
        <f>CHOOSE(CONTROL!$C$42, 52.7524, 52.7524) * CHOOSE(CONTROL!$C$21, $C$9, 100%, $E$9)</f>
        <v>52.752400000000002</v>
      </c>
      <c r="T72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7">
        <f>(1000*CHOOSE(CONTROL!$C$42, 695, 695)*CHOOSE(CONTROL!$C$42, 0.5599, 0.5599)*CHOOSE(CONTROL!$C$42, 29, 29))/1000000</f>
        <v>11.284784499999999</v>
      </c>
      <c r="V722" s="57">
        <f>(1000*CHOOSE(CONTROL!$C$42, 500, 500)*CHOOSE(CONTROL!$C$42, 0.275, 0.275)*CHOOSE(CONTROL!$C$42, 29, 29))/1000000</f>
        <v>3.9874999999999998</v>
      </c>
      <c r="W722" s="57">
        <f>(1000*CHOOSE(CONTROL!$C$42, 0.1146, 0.1146)*CHOOSE(CONTROL!$C$42, 121.5, 121.5)*CHOOSE(CONTROL!$C$42, 29, 29))/1000000</f>
        <v>0.40379309999999996</v>
      </c>
      <c r="X722" s="57">
        <f>(29*0.1790888*100000/1000000)+(29*0.2374*100000/1000000)</f>
        <v>1.2078175199999999</v>
      </c>
      <c r="Y722" s="57"/>
      <c r="Z722" s="14"/>
      <c r="AA722" s="56"/>
      <c r="AB722" s="50">
        <f>(B722*122.58+C722*297.941+D722*89.177+E722*40.302+F722*40+G722*160+H722*0+I722*100+J722*300)/(122.58+297.941+89.177+40.302+0+40+160+100+300)</f>
        <v>54.933448606782612</v>
      </c>
      <c r="AC722" s="45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53.852128776978418</v>
      </c>
    </row>
    <row r="723" spans="1:29" ht="15.75" x14ac:dyDescent="0.25">
      <c r="A723" s="32">
        <v>62914</v>
      </c>
      <c r="B723" s="14">
        <f>CHOOSE(CONTROL!$C$42, 53.3493, 53.3493) * CHOOSE(CONTROL!$C$21, $C$9, 100%, $E$9)</f>
        <v>53.349299999999999</v>
      </c>
      <c r="C723" s="14">
        <f>CHOOSE(CONTROL!$C$42, 53.3543, 53.3543) * CHOOSE(CONTROL!$C$21, $C$9, 100%, $E$9)</f>
        <v>53.354300000000002</v>
      </c>
      <c r="D723" s="14">
        <f>CHOOSE(CONTROL!$C$42, 53.413, 53.413) * CHOOSE(CONTROL!$C$21, $C$9, 100%, $E$9)</f>
        <v>53.412999999999997</v>
      </c>
      <c r="E723" s="14">
        <f>CHOOSE(CONTROL!$C$42, 53.4471, 53.4471) * CHOOSE(CONTROL!$C$21, $C$9, 100%, $E$9)</f>
        <v>53.447099999999999</v>
      </c>
      <c r="F723" s="14">
        <f>CHOOSE(CONTROL!$C$42, 53.3478, 53.3478)*CHOOSE(CONTROL!$C$21, $C$9, 100%, $E$9)</f>
        <v>53.347799999999999</v>
      </c>
      <c r="G723" s="14">
        <f>CHOOSE(CONTROL!$C$42, 53.3641, 53.3641)*CHOOSE(CONTROL!$C$21, $C$9, 100%, $E$9)</f>
        <v>53.364100000000001</v>
      </c>
      <c r="H723" s="14">
        <f>CHOOSE(CONTROL!$C$42, 53.4363, 53.4363) * CHOOSE(CONTROL!$C$21, $C$9, 100%, $E$9)</f>
        <v>53.436300000000003</v>
      </c>
      <c r="I723" s="14">
        <f>CHOOSE(CONTROL!$C$42, 53.5266, 53.5266)* CHOOSE(CONTROL!$C$21, $C$9, 100%, $E$9)</f>
        <v>53.526600000000002</v>
      </c>
      <c r="J723" s="14">
        <f>CHOOSE(CONTROL!$C$42, 53.3408, 53.3408)* CHOOSE(CONTROL!$C$21, $C$9, 100%, $E$9)</f>
        <v>53.340800000000002</v>
      </c>
      <c r="K723" s="53">
        <f>CHOOSE(CONTROL!$C$42, 53.5227, 53.5227) * CHOOSE(CONTROL!$C$21, $C$9, 100%, $E$9)</f>
        <v>53.5227</v>
      </c>
      <c r="L723" s="14">
        <f>CHOOSE(CONTROL!$C$42, 54.0233, 54.0233) * CHOOSE(CONTROL!$C$21, $C$9, 100%, $E$9)</f>
        <v>54.023299999999999</v>
      </c>
      <c r="M723" s="14">
        <f>CHOOSE(CONTROL!$C$42, 52.2556, 52.2556) * CHOOSE(CONTROL!$C$21, $C$9, 100%, $E$9)</f>
        <v>52.255600000000001</v>
      </c>
      <c r="N723" s="14">
        <f>CHOOSE(CONTROL!$C$42, 52.2715, 52.2715) * CHOOSE(CONTROL!$C$21, $C$9, 100%, $E$9)</f>
        <v>52.271500000000003</v>
      </c>
      <c r="O723" s="14">
        <f>CHOOSE(CONTROL!$C$42, 52.3491, 52.3491) * CHOOSE(CONTROL!$C$21, $C$9, 100%, $E$9)</f>
        <v>52.3491</v>
      </c>
      <c r="P723" s="14">
        <f>CHOOSE(CONTROL!$C$42, 52.4343, 52.4343) * CHOOSE(CONTROL!$C$21, $C$9, 100%, $E$9)</f>
        <v>52.4343</v>
      </c>
      <c r="Q723" s="14">
        <f>CHOOSE(CONTROL!$C$42, 52.9438, 52.9438) * CHOOSE(CONTROL!$C$21, $C$9, 100%, $E$9)</f>
        <v>52.943800000000003</v>
      </c>
      <c r="R723" s="14">
        <f>CHOOSE(CONTROL!$C$42, 53.6631, 53.6631) * CHOOSE(CONTROL!$C$21, $C$9, 100%, $E$9)</f>
        <v>53.6631</v>
      </c>
      <c r="S723" s="14">
        <f>CHOOSE(CONTROL!$C$42, 51.2548, 51.2548) * CHOOSE(CONTROL!$C$21, $C$9, 100%, $E$9)</f>
        <v>51.254800000000003</v>
      </c>
      <c r="T7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7">
        <f>(1000*CHOOSE(CONTROL!$C$42, 695, 695)*CHOOSE(CONTROL!$C$42, 0.5599, 0.5599)*CHOOSE(CONTROL!$C$42, 31, 31))/1000000</f>
        <v>12.063045499999998</v>
      </c>
      <c r="V723" s="57">
        <f>(1000*CHOOSE(CONTROL!$C$42, 500, 500)*CHOOSE(CONTROL!$C$42, 0.275, 0.275)*CHOOSE(CONTROL!$C$42, 31, 31))/1000000</f>
        <v>4.2625000000000002</v>
      </c>
      <c r="W723" s="57">
        <f>(1000*CHOOSE(CONTROL!$C$42, 0.1146, 0.1146)*CHOOSE(CONTROL!$C$42, 121.5, 121.5)*CHOOSE(CONTROL!$C$42, 31, 31))/1000000</f>
        <v>0.43164089999999994</v>
      </c>
      <c r="X723" s="57">
        <f>(31*0.1790888*100000/1000000)+(31*0.2374*100000/1000000)</f>
        <v>1.2911152800000001</v>
      </c>
      <c r="Y723" s="57"/>
      <c r="Z723" s="14"/>
      <c r="AA723" s="56"/>
      <c r="AB723" s="50">
        <f>(B723*122.58+C723*297.941+D723*89.177+E723*40.302+F723*40+G723*160+H723*0+I723*100+J723*300)/(122.58+297.941+89.177+40.302+0+40+160+100+300)</f>
        <v>53.374169404782606</v>
      </c>
      <c r="AC723" s="45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52.324605035971224</v>
      </c>
    </row>
    <row r="724" spans="1:29" ht="15.75" x14ac:dyDescent="0.25">
      <c r="A724" s="32">
        <v>62944</v>
      </c>
      <c r="B724" s="14">
        <f>CHOOSE(CONTROL!$C$42, 53.1907, 53.1907) * CHOOSE(CONTROL!$C$21, $C$9, 100%, $E$9)</f>
        <v>53.1907</v>
      </c>
      <c r="C724" s="14">
        <f>CHOOSE(CONTROL!$C$42, 53.1952, 53.1952) * CHOOSE(CONTROL!$C$21, $C$9, 100%, $E$9)</f>
        <v>53.1952</v>
      </c>
      <c r="D724" s="14">
        <f>CHOOSE(CONTROL!$C$42, 53.4033, 53.4033) * CHOOSE(CONTROL!$C$21, $C$9, 100%, $E$9)</f>
        <v>53.403300000000002</v>
      </c>
      <c r="E724" s="14">
        <f>CHOOSE(CONTROL!$C$42, 53.4354, 53.4354) * CHOOSE(CONTROL!$C$21, $C$9, 100%, $E$9)</f>
        <v>53.435400000000001</v>
      </c>
      <c r="F724" s="14">
        <f>CHOOSE(CONTROL!$C$42, 53.1781, 53.1781)*CHOOSE(CONTROL!$C$21, $C$9, 100%, $E$9)</f>
        <v>53.178100000000001</v>
      </c>
      <c r="G724" s="14">
        <f>CHOOSE(CONTROL!$C$42, 53.194, 53.194)*CHOOSE(CONTROL!$C$21, $C$9, 100%, $E$9)</f>
        <v>53.194000000000003</v>
      </c>
      <c r="H724" s="14">
        <f>CHOOSE(CONTROL!$C$42, 53.4252, 53.4252) * CHOOSE(CONTROL!$C$21, $C$9, 100%, $E$9)</f>
        <v>53.425199999999997</v>
      </c>
      <c r="I724" s="14">
        <f>CHOOSE(CONTROL!$C$42, 53.3668, 53.3668)* CHOOSE(CONTROL!$C$21, $C$9, 100%, $E$9)</f>
        <v>53.366799999999998</v>
      </c>
      <c r="J724" s="14">
        <f>CHOOSE(CONTROL!$C$42, 53.1711, 53.1711)* CHOOSE(CONTROL!$C$21, $C$9, 100%, $E$9)</f>
        <v>53.171100000000003</v>
      </c>
      <c r="K724" s="53">
        <f>CHOOSE(CONTROL!$C$42, 53.3629, 53.3629) * CHOOSE(CONTROL!$C$21, $C$9, 100%, $E$9)</f>
        <v>53.362900000000003</v>
      </c>
      <c r="L724" s="14">
        <f>CHOOSE(CONTROL!$C$42, 54.0122, 54.0122) * CHOOSE(CONTROL!$C$21, $C$9, 100%, $E$9)</f>
        <v>54.0122</v>
      </c>
      <c r="M724" s="14">
        <f>CHOOSE(CONTROL!$C$42, 52.0893, 52.0893) * CHOOSE(CONTROL!$C$21, $C$9, 100%, $E$9)</f>
        <v>52.089300000000001</v>
      </c>
      <c r="N724" s="14">
        <f>CHOOSE(CONTROL!$C$42, 52.105, 52.105) * CHOOSE(CONTROL!$C$21, $C$9, 100%, $E$9)</f>
        <v>52.104999999999997</v>
      </c>
      <c r="O724" s="14">
        <f>CHOOSE(CONTROL!$C$42, 52.3383, 52.3383) * CHOOSE(CONTROL!$C$21, $C$9, 100%, $E$9)</f>
        <v>52.338299999999997</v>
      </c>
      <c r="P724" s="14">
        <f>CHOOSE(CONTROL!$C$42, 52.2777, 52.2777) * CHOOSE(CONTROL!$C$21, $C$9, 100%, $E$9)</f>
        <v>52.277700000000003</v>
      </c>
      <c r="Q724" s="14">
        <f>CHOOSE(CONTROL!$C$42, 52.933, 52.933) * CHOOSE(CONTROL!$C$21, $C$9, 100%, $E$9)</f>
        <v>52.933</v>
      </c>
      <c r="R724" s="14">
        <f>CHOOSE(CONTROL!$C$42, 53.6523, 53.6523) * CHOOSE(CONTROL!$C$21, $C$9, 100%, $E$9)</f>
        <v>53.652299999999997</v>
      </c>
      <c r="S724" s="14">
        <f>CHOOSE(CONTROL!$C$42, 51.1017, 51.1017) * CHOOSE(CONTROL!$C$21, $C$9, 100%, $E$9)</f>
        <v>51.101700000000001</v>
      </c>
      <c r="T7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7">
        <f>(1000*CHOOSE(CONTROL!$C$42, 695, 695)*CHOOSE(CONTROL!$C$42, 0.5599, 0.5599)*CHOOSE(CONTROL!$C$42, 30, 30))/1000000</f>
        <v>11.673914999999997</v>
      </c>
      <c r="V724" s="57">
        <f>(1000*CHOOSE(CONTROL!$C$42, 500, 500)*CHOOSE(CONTROL!$C$42, 0.275, 0.275)*CHOOSE(CONTROL!$C$42, 30, 30))/1000000</f>
        <v>4.125</v>
      </c>
      <c r="W724" s="57">
        <f>(1000*CHOOSE(CONTROL!$C$42, 0.1146, 0.1146)*CHOOSE(CONTROL!$C$42, 121.5, 121.5)*CHOOSE(CONTROL!$C$42, 30, 30))/1000000</f>
        <v>0.417717</v>
      </c>
      <c r="X724" s="57">
        <f>(30*0.1790888*245000/1000000)+(30*0.2374*100000/1000000)</f>
        <v>2.0285026799999999</v>
      </c>
      <c r="Y724" s="57"/>
      <c r="Z724" s="14"/>
      <c r="AA724" s="56"/>
      <c r="AB724" s="50">
        <f>(B724*141.293+C724*267.993+D724*115.016+E724*89.698+F724*40+G724*185+H724*0+I724*100+J724*300)/(141.293+267.993+115.016+89.698+0+40+185+100+300)</f>
        <v>53.238677377481842</v>
      </c>
      <c r="AC724" s="45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52.230167625899284</v>
      </c>
    </row>
    <row r="725" spans="1:29" ht="15.75" x14ac:dyDescent="0.25">
      <c r="A725" s="32">
        <v>62975</v>
      </c>
      <c r="B725" s="14">
        <f>CHOOSE(CONTROL!$C$42, 53.6615, 53.6615) * CHOOSE(CONTROL!$C$21, $C$9, 100%, $E$9)</f>
        <v>53.661499999999997</v>
      </c>
      <c r="C725" s="14">
        <f>CHOOSE(CONTROL!$C$42, 53.6695, 53.6695) * CHOOSE(CONTROL!$C$21, $C$9, 100%, $E$9)</f>
        <v>53.669499999999999</v>
      </c>
      <c r="D725" s="14">
        <f>CHOOSE(CONTROL!$C$42, 53.8745, 53.8745) * CHOOSE(CONTROL!$C$21, $C$9, 100%, $E$9)</f>
        <v>53.874499999999998</v>
      </c>
      <c r="E725" s="14">
        <f>CHOOSE(CONTROL!$C$42, 53.906, 53.906) * CHOOSE(CONTROL!$C$21, $C$9, 100%, $E$9)</f>
        <v>53.905999999999999</v>
      </c>
      <c r="F725" s="14">
        <f>CHOOSE(CONTROL!$C$42, 53.6477, 53.6477)*CHOOSE(CONTROL!$C$21, $C$9, 100%, $E$9)</f>
        <v>53.6477</v>
      </c>
      <c r="G725" s="14">
        <f>CHOOSE(CONTROL!$C$42, 53.6641, 53.6641)*CHOOSE(CONTROL!$C$21, $C$9, 100%, $E$9)</f>
        <v>53.664099999999998</v>
      </c>
      <c r="H725" s="14">
        <f>CHOOSE(CONTROL!$C$42, 53.8946, 53.8946) * CHOOSE(CONTROL!$C$21, $C$9, 100%, $E$9)</f>
        <v>53.894599999999997</v>
      </c>
      <c r="I725" s="14">
        <f>CHOOSE(CONTROL!$C$42, 53.8376, 53.8376)* CHOOSE(CONTROL!$C$21, $C$9, 100%, $E$9)</f>
        <v>53.837600000000002</v>
      </c>
      <c r="J725" s="14">
        <f>CHOOSE(CONTROL!$C$42, 53.6407, 53.6407)* CHOOSE(CONTROL!$C$21, $C$9, 100%, $E$9)</f>
        <v>53.640700000000002</v>
      </c>
      <c r="K725" s="53">
        <f>CHOOSE(CONTROL!$C$42, 53.8337, 53.8337) * CHOOSE(CONTROL!$C$21, $C$9, 100%, $E$9)</f>
        <v>53.8337</v>
      </c>
      <c r="L725" s="14">
        <f>CHOOSE(CONTROL!$C$42, 54.4816, 54.4816) * CHOOSE(CONTROL!$C$21, $C$9, 100%, $E$9)</f>
        <v>54.4816</v>
      </c>
      <c r="M725" s="14">
        <f>CHOOSE(CONTROL!$C$42, 52.5493, 52.5493) * CHOOSE(CONTROL!$C$21, $C$9, 100%, $E$9)</f>
        <v>52.549300000000002</v>
      </c>
      <c r="N725" s="14">
        <f>CHOOSE(CONTROL!$C$42, 52.5654, 52.5654) * CHOOSE(CONTROL!$C$21, $C$9, 100%, $E$9)</f>
        <v>52.565399999999997</v>
      </c>
      <c r="O725" s="14">
        <f>CHOOSE(CONTROL!$C$42, 52.798, 52.798) * CHOOSE(CONTROL!$C$21, $C$9, 100%, $E$9)</f>
        <v>52.798000000000002</v>
      </c>
      <c r="P725" s="14">
        <f>CHOOSE(CONTROL!$C$42, 52.7389, 52.7389) * CHOOSE(CONTROL!$C$21, $C$9, 100%, $E$9)</f>
        <v>52.738900000000001</v>
      </c>
      <c r="Q725" s="14">
        <f>CHOOSE(CONTROL!$C$42, 53.3927, 53.3927) * CHOOSE(CONTROL!$C$21, $C$9, 100%, $E$9)</f>
        <v>53.392699999999998</v>
      </c>
      <c r="R725" s="14">
        <f>CHOOSE(CONTROL!$C$42, 54.1132, 54.1132) * CHOOSE(CONTROL!$C$21, $C$9, 100%, $E$9)</f>
        <v>54.113199999999999</v>
      </c>
      <c r="S725" s="14">
        <f>CHOOSE(CONTROL!$C$42, 51.5527, 51.5527) * CHOOSE(CONTROL!$C$21, $C$9, 100%, $E$9)</f>
        <v>51.552700000000002</v>
      </c>
      <c r="T7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7">
        <f>(1000*CHOOSE(CONTROL!$C$42, 695, 695)*CHOOSE(CONTROL!$C$42, 0.5599, 0.5599)*CHOOSE(CONTROL!$C$42, 31, 31))/1000000</f>
        <v>12.063045499999998</v>
      </c>
      <c r="V725" s="57">
        <f>(1000*CHOOSE(CONTROL!$C$42, 500, 500)*CHOOSE(CONTROL!$C$42, 0.275, 0.275)*CHOOSE(CONTROL!$C$42, 31, 31))/1000000</f>
        <v>4.2625000000000002</v>
      </c>
      <c r="W725" s="57">
        <f>(1000*CHOOSE(CONTROL!$C$42, 0.1146, 0.1146)*CHOOSE(CONTROL!$C$42, 121.5, 121.5)*CHOOSE(CONTROL!$C$42, 31, 31))/1000000</f>
        <v>0.43164089999999994</v>
      </c>
      <c r="X725" s="57">
        <f>(31*0.1790888*245000/1000000)+(31*0.2374*100000/1000000)</f>
        <v>2.0961194359999999</v>
      </c>
      <c r="Y725" s="57"/>
      <c r="Z725" s="14"/>
      <c r="AA725" s="56"/>
      <c r="AB725" s="50">
        <f>(B725*194.205+C725*267.466+D725*133.845+E725*53.484+F725*40+G725*185+H725*0+I725*100+J725*300)/(194.205+267.466+133.845+53.484+0+40+185+100+300)</f>
        <v>53.704690385400326</v>
      </c>
      <c r="AC725" s="45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52.690227338129496</v>
      </c>
    </row>
    <row r="726" spans="1:29" ht="15.75" x14ac:dyDescent="0.25">
      <c r="A726" s="32">
        <v>63005</v>
      </c>
      <c r="B726" s="14">
        <f>CHOOSE(CONTROL!$C$42, 55.1834, 55.1834) * CHOOSE(CONTROL!$C$21, $C$9, 100%, $E$9)</f>
        <v>55.183399999999999</v>
      </c>
      <c r="C726" s="14">
        <f>CHOOSE(CONTROL!$C$42, 55.1914, 55.1914) * CHOOSE(CONTROL!$C$21, $C$9, 100%, $E$9)</f>
        <v>55.191400000000002</v>
      </c>
      <c r="D726" s="14">
        <f>CHOOSE(CONTROL!$C$42, 55.3964, 55.3964) * CHOOSE(CONTROL!$C$21, $C$9, 100%, $E$9)</f>
        <v>55.3964</v>
      </c>
      <c r="E726" s="14">
        <f>CHOOSE(CONTROL!$C$42, 55.4278, 55.4278) * CHOOSE(CONTROL!$C$21, $C$9, 100%, $E$9)</f>
        <v>55.427799999999998</v>
      </c>
      <c r="F726" s="14">
        <f>CHOOSE(CONTROL!$C$42, 55.1699, 55.1699)*CHOOSE(CONTROL!$C$21, $C$9, 100%, $E$9)</f>
        <v>55.169899999999998</v>
      </c>
      <c r="G726" s="14">
        <f>CHOOSE(CONTROL!$C$42, 55.1864, 55.1864)*CHOOSE(CONTROL!$C$21, $C$9, 100%, $E$9)</f>
        <v>55.186399999999999</v>
      </c>
      <c r="H726" s="14">
        <f>CHOOSE(CONTROL!$C$42, 55.4164, 55.4164) * CHOOSE(CONTROL!$C$21, $C$9, 100%, $E$9)</f>
        <v>55.416400000000003</v>
      </c>
      <c r="I726" s="14">
        <f>CHOOSE(CONTROL!$C$42, 55.3642, 55.3642)* CHOOSE(CONTROL!$C$21, $C$9, 100%, $E$9)</f>
        <v>55.364199999999997</v>
      </c>
      <c r="J726" s="14">
        <f>CHOOSE(CONTROL!$C$42, 55.1629, 55.1629)* CHOOSE(CONTROL!$C$21, $C$9, 100%, $E$9)</f>
        <v>55.1629</v>
      </c>
      <c r="K726" s="53">
        <f>CHOOSE(CONTROL!$C$42, 55.3603, 55.3603) * CHOOSE(CONTROL!$C$21, $C$9, 100%, $E$9)</f>
        <v>55.360300000000002</v>
      </c>
      <c r="L726" s="14">
        <f>CHOOSE(CONTROL!$C$42, 56.0034, 56.0034) * CHOOSE(CONTROL!$C$21, $C$9, 100%, $E$9)</f>
        <v>56.003399999999999</v>
      </c>
      <c r="M726" s="14">
        <f>CHOOSE(CONTROL!$C$42, 54.0404, 54.0404) * CHOOSE(CONTROL!$C$21, $C$9, 100%, $E$9)</f>
        <v>54.040399999999998</v>
      </c>
      <c r="N726" s="14">
        <f>CHOOSE(CONTROL!$C$42, 54.0565, 54.0565) * CHOOSE(CONTROL!$C$21, $C$9, 100%, $E$9)</f>
        <v>54.0565</v>
      </c>
      <c r="O726" s="14">
        <f>CHOOSE(CONTROL!$C$42, 54.2887, 54.2887) * CHOOSE(CONTROL!$C$21, $C$9, 100%, $E$9)</f>
        <v>54.288699999999999</v>
      </c>
      <c r="P726" s="14">
        <f>CHOOSE(CONTROL!$C$42, 54.2341, 54.2341) * CHOOSE(CONTROL!$C$21, $C$9, 100%, $E$9)</f>
        <v>54.234099999999998</v>
      </c>
      <c r="Q726" s="14">
        <f>CHOOSE(CONTROL!$C$42, 54.8834, 54.8834) * CHOOSE(CONTROL!$C$21, $C$9, 100%, $E$9)</f>
        <v>54.883400000000002</v>
      </c>
      <c r="R726" s="14">
        <f>CHOOSE(CONTROL!$C$42, 55.6076, 55.6076) * CHOOSE(CONTROL!$C$21, $C$9, 100%, $E$9)</f>
        <v>55.607599999999998</v>
      </c>
      <c r="S726" s="14">
        <f>CHOOSE(CONTROL!$C$42, 53.015, 53.015) * CHOOSE(CONTROL!$C$21, $C$9, 100%, $E$9)</f>
        <v>53.015000000000001</v>
      </c>
      <c r="T7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7">
        <f>(1000*CHOOSE(CONTROL!$C$42, 695, 695)*CHOOSE(CONTROL!$C$42, 0.5599, 0.5599)*CHOOSE(CONTROL!$C$42, 30, 30))/1000000</f>
        <v>11.673914999999997</v>
      </c>
      <c r="V726" s="57">
        <f>(1000*CHOOSE(CONTROL!$C$42, 500, 500)*CHOOSE(CONTROL!$C$42, 0.275, 0.275)*CHOOSE(CONTROL!$C$42, 30, 30))/1000000</f>
        <v>4.125</v>
      </c>
      <c r="W726" s="57">
        <f>(1000*CHOOSE(CONTROL!$C$42, 0.1146, 0.1146)*CHOOSE(CONTROL!$C$42, 121.5, 121.5)*CHOOSE(CONTROL!$C$42, 30, 30))/1000000</f>
        <v>0.417717</v>
      </c>
      <c r="X726" s="57">
        <f>(30*0.1790888*245000/1000000)+(30*0.2374*100000/1000000)</f>
        <v>2.0285026799999999</v>
      </c>
      <c r="Y726" s="57"/>
      <c r="Z726" s="14"/>
      <c r="AA726" s="56"/>
      <c r="AB726" s="50">
        <f>(B726*194.205+C726*267.466+D726*133.845+E726*53.484+F726*40+G726*185+H726*0+I726*100+J726*300)/(194.205+267.466+133.845+53.484+0+40+185+100+300)</f>
        <v>55.227093251648355</v>
      </c>
      <c r="AC726" s="45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54.181735971223027</v>
      </c>
    </row>
    <row r="727" spans="1:29" ht="15.75" x14ac:dyDescent="0.25">
      <c r="A727" s="32">
        <v>63036</v>
      </c>
      <c r="B727" s="14">
        <f>CHOOSE(CONTROL!$C$42, 54.1249, 54.1249) * CHOOSE(CONTROL!$C$21, $C$9, 100%, $E$9)</f>
        <v>54.124899999999997</v>
      </c>
      <c r="C727" s="14">
        <f>CHOOSE(CONTROL!$C$42, 54.1329, 54.1329) * CHOOSE(CONTROL!$C$21, $C$9, 100%, $E$9)</f>
        <v>54.132899999999999</v>
      </c>
      <c r="D727" s="14">
        <f>CHOOSE(CONTROL!$C$42, 54.3379, 54.3379) * CHOOSE(CONTROL!$C$21, $C$9, 100%, $E$9)</f>
        <v>54.337899999999998</v>
      </c>
      <c r="E727" s="14">
        <f>CHOOSE(CONTROL!$C$42, 54.3694, 54.3694) * CHOOSE(CONTROL!$C$21, $C$9, 100%, $E$9)</f>
        <v>54.369399999999999</v>
      </c>
      <c r="F727" s="14">
        <f>CHOOSE(CONTROL!$C$42, 54.1119, 54.1119)*CHOOSE(CONTROL!$C$21, $C$9, 100%, $E$9)</f>
        <v>54.111899999999999</v>
      </c>
      <c r="G727" s="14">
        <f>CHOOSE(CONTROL!$C$42, 54.1285, 54.1285)*CHOOSE(CONTROL!$C$21, $C$9, 100%, $E$9)</f>
        <v>54.128500000000003</v>
      </c>
      <c r="H727" s="14">
        <f>CHOOSE(CONTROL!$C$42, 54.358, 54.358) * CHOOSE(CONTROL!$C$21, $C$9, 100%, $E$9)</f>
        <v>54.357999999999997</v>
      </c>
      <c r="I727" s="14">
        <f>CHOOSE(CONTROL!$C$42, 54.3025, 54.3025)* CHOOSE(CONTROL!$C$21, $C$9, 100%, $E$9)</f>
        <v>54.302500000000002</v>
      </c>
      <c r="J727" s="14">
        <f>CHOOSE(CONTROL!$C$42, 54.1049, 54.1049)* CHOOSE(CONTROL!$C$21, $C$9, 100%, $E$9)</f>
        <v>54.104900000000001</v>
      </c>
      <c r="K727" s="53">
        <f>CHOOSE(CONTROL!$C$42, 54.2986, 54.2986) * CHOOSE(CONTROL!$C$21, $C$9, 100%, $E$9)</f>
        <v>54.2986</v>
      </c>
      <c r="L727" s="14">
        <f>CHOOSE(CONTROL!$C$42, 54.945, 54.945) * CHOOSE(CONTROL!$C$21, $C$9, 100%, $E$9)</f>
        <v>54.945</v>
      </c>
      <c r="M727" s="14">
        <f>CHOOSE(CONTROL!$C$42, 53.004, 53.004) * CHOOSE(CONTROL!$C$21, $C$9, 100%, $E$9)</f>
        <v>53.003999999999998</v>
      </c>
      <c r="N727" s="14">
        <f>CHOOSE(CONTROL!$C$42, 53.0203, 53.0203) * CHOOSE(CONTROL!$C$21, $C$9, 100%, $E$9)</f>
        <v>53.020299999999999</v>
      </c>
      <c r="O727" s="14">
        <f>CHOOSE(CONTROL!$C$42, 53.2519, 53.2519) * CHOOSE(CONTROL!$C$21, $C$9, 100%, $E$9)</f>
        <v>53.251899999999999</v>
      </c>
      <c r="P727" s="14">
        <f>CHOOSE(CONTROL!$C$42, 53.1942, 53.1942) * CHOOSE(CONTROL!$C$21, $C$9, 100%, $E$9)</f>
        <v>53.194200000000002</v>
      </c>
      <c r="Q727" s="14">
        <f>CHOOSE(CONTROL!$C$42, 53.8466, 53.8466) * CHOOSE(CONTROL!$C$21, $C$9, 100%, $E$9)</f>
        <v>53.846600000000002</v>
      </c>
      <c r="R727" s="14">
        <f>CHOOSE(CONTROL!$C$42, 54.5683, 54.5683) * CHOOSE(CONTROL!$C$21, $C$9, 100%, $E$9)</f>
        <v>54.568300000000001</v>
      </c>
      <c r="S727" s="14">
        <f>CHOOSE(CONTROL!$C$42, 51.998, 51.998) * CHOOSE(CONTROL!$C$21, $C$9, 100%, $E$9)</f>
        <v>51.997999999999998</v>
      </c>
      <c r="T7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7">
        <f>(1000*CHOOSE(CONTROL!$C$42, 695, 695)*CHOOSE(CONTROL!$C$42, 0.5599, 0.5599)*CHOOSE(CONTROL!$C$42, 31, 31))/1000000</f>
        <v>12.063045499999998</v>
      </c>
      <c r="V727" s="57">
        <f>(1000*CHOOSE(CONTROL!$C$42, 500, 500)*CHOOSE(CONTROL!$C$42, 0.275, 0.275)*CHOOSE(CONTROL!$C$42, 31, 31))/1000000</f>
        <v>4.2625000000000002</v>
      </c>
      <c r="W727" s="57">
        <f>(1000*CHOOSE(CONTROL!$C$42, 0.1146, 0.1146)*CHOOSE(CONTROL!$C$42, 121.5, 121.5)*CHOOSE(CONTROL!$C$42, 31, 31))/1000000</f>
        <v>0.43164089999999994</v>
      </c>
      <c r="X727" s="57">
        <f>(31*0.1790888*245000/1000000)+(31*0.2374*100000/1000000)</f>
        <v>2.0961194359999999</v>
      </c>
      <c r="Y727" s="57"/>
      <c r="Z727" s="14"/>
      <c r="AA727" s="56"/>
      <c r="AB727" s="50">
        <f>(B727*194.205+C727*267.466+D727*133.845+E727*53.484+F727*40+G727*185+H727*0+I727*100+J727*300)/(194.205+267.466+133.845+53.484+0+40+185+100+300)</f>
        <v>54.168566837519627</v>
      </c>
      <c r="AC727" s="45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53.144662589928053</v>
      </c>
    </row>
    <row r="728" spans="1:29" ht="15.75" x14ac:dyDescent="0.25">
      <c r="A728" s="32">
        <v>63067</v>
      </c>
      <c r="B728" s="14">
        <f>CHOOSE(CONTROL!$C$42, 51.452, 51.452) * CHOOSE(CONTROL!$C$21, $C$9, 100%, $E$9)</f>
        <v>51.451999999999998</v>
      </c>
      <c r="C728" s="14">
        <f>CHOOSE(CONTROL!$C$42, 51.46, 51.46) * CHOOSE(CONTROL!$C$21, $C$9, 100%, $E$9)</f>
        <v>51.46</v>
      </c>
      <c r="D728" s="14">
        <f>CHOOSE(CONTROL!$C$42, 51.665, 51.665) * CHOOSE(CONTROL!$C$21, $C$9, 100%, $E$9)</f>
        <v>51.664999999999999</v>
      </c>
      <c r="E728" s="14">
        <f>CHOOSE(CONTROL!$C$42, 51.6965, 51.6965) * CHOOSE(CONTROL!$C$21, $C$9, 100%, $E$9)</f>
        <v>51.6965</v>
      </c>
      <c r="F728" s="14">
        <f>CHOOSE(CONTROL!$C$42, 51.4392, 51.4392)*CHOOSE(CONTROL!$C$21, $C$9, 100%, $E$9)</f>
        <v>51.4392</v>
      </c>
      <c r="G728" s="14">
        <f>CHOOSE(CONTROL!$C$42, 51.4559, 51.4559)*CHOOSE(CONTROL!$C$21, $C$9, 100%, $E$9)</f>
        <v>51.4559</v>
      </c>
      <c r="H728" s="14">
        <f>CHOOSE(CONTROL!$C$42, 51.6851, 51.6851) * CHOOSE(CONTROL!$C$21, $C$9, 100%, $E$9)</f>
        <v>51.685099999999998</v>
      </c>
      <c r="I728" s="14">
        <f>CHOOSE(CONTROL!$C$42, 51.6212, 51.6212)* CHOOSE(CONTROL!$C$21, $C$9, 100%, $E$9)</f>
        <v>51.621200000000002</v>
      </c>
      <c r="J728" s="14">
        <f>CHOOSE(CONTROL!$C$42, 51.4322, 51.4322)* CHOOSE(CONTROL!$C$21, $C$9, 100%, $E$9)</f>
        <v>51.432200000000002</v>
      </c>
      <c r="K728" s="53">
        <f>CHOOSE(CONTROL!$C$42, 51.6173, 51.6173) * CHOOSE(CONTROL!$C$21, $C$9, 100%, $E$9)</f>
        <v>51.6173</v>
      </c>
      <c r="L728" s="14">
        <f>CHOOSE(CONTROL!$C$42, 52.2721, 52.2721) * CHOOSE(CONTROL!$C$21, $C$9, 100%, $E$9)</f>
        <v>52.272100000000002</v>
      </c>
      <c r="M728" s="14">
        <f>CHOOSE(CONTROL!$C$42, 50.3861, 50.3861) * CHOOSE(CONTROL!$C$21, $C$9, 100%, $E$9)</f>
        <v>50.386099999999999</v>
      </c>
      <c r="N728" s="14">
        <f>CHOOSE(CONTROL!$C$42, 50.4024, 50.4024) * CHOOSE(CONTROL!$C$21, $C$9, 100%, $E$9)</f>
        <v>50.4024</v>
      </c>
      <c r="O728" s="14">
        <f>CHOOSE(CONTROL!$C$42, 50.6338, 50.6338) * CHOOSE(CONTROL!$C$21, $C$9, 100%, $E$9)</f>
        <v>50.633800000000001</v>
      </c>
      <c r="P728" s="14">
        <f>CHOOSE(CONTROL!$C$42, 50.568, 50.568) * CHOOSE(CONTROL!$C$21, $C$9, 100%, $E$9)</f>
        <v>50.567999999999998</v>
      </c>
      <c r="Q728" s="14">
        <f>CHOOSE(CONTROL!$C$42, 51.2285, 51.2285) * CHOOSE(CONTROL!$C$21, $C$9, 100%, $E$9)</f>
        <v>51.228499999999997</v>
      </c>
      <c r="R728" s="14">
        <f>CHOOSE(CONTROL!$C$42, 51.9436, 51.9436) * CHOOSE(CONTROL!$C$21, $C$9, 100%, $E$9)</f>
        <v>51.943600000000004</v>
      </c>
      <c r="S728" s="14">
        <f>CHOOSE(CONTROL!$C$42, 49.4296, 49.4296) * CHOOSE(CONTROL!$C$21, $C$9, 100%, $E$9)</f>
        <v>49.429600000000001</v>
      </c>
      <c r="T7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7">
        <f>(1000*CHOOSE(CONTROL!$C$42, 695, 695)*CHOOSE(CONTROL!$C$42, 0.5599, 0.5599)*CHOOSE(CONTROL!$C$42, 31, 31))/1000000</f>
        <v>12.063045499999998</v>
      </c>
      <c r="V728" s="57">
        <f>(1000*CHOOSE(CONTROL!$C$42, 500, 500)*CHOOSE(CONTROL!$C$42, 0.275, 0.275)*CHOOSE(CONTROL!$C$42, 31, 31))/1000000</f>
        <v>4.2625000000000002</v>
      </c>
      <c r="W728" s="57">
        <f>(1000*CHOOSE(CONTROL!$C$42, 0.1146, 0.1146)*CHOOSE(CONTROL!$C$42, 121.5, 121.5)*CHOOSE(CONTROL!$C$42, 31, 31))/1000000</f>
        <v>0.43164089999999994</v>
      </c>
      <c r="X728" s="57">
        <f>(31*0.1790888*245000/1000000)+(31*0.2374*100000/1000000)</f>
        <v>2.0961194359999999</v>
      </c>
      <c r="Y728" s="57"/>
      <c r="Z728" s="14"/>
      <c r="AA728" s="56"/>
      <c r="AB728" s="50">
        <f>(B728*194.205+C728*267.466+D728*133.845+E728*53.484+F728*40+G728*185+H728*0+I728*100+J728*300)/(194.205+267.466+133.845+53.484+0+40+185+100+300)</f>
        <v>51.495104435635795</v>
      </c>
      <c r="AC728" s="45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50.52547769784173</v>
      </c>
    </row>
    <row r="729" spans="1:29" ht="15.75" x14ac:dyDescent="0.25">
      <c r="A729" s="32">
        <v>63097</v>
      </c>
      <c r="B729" s="14">
        <f>CHOOSE(CONTROL!$C$42, 48.1858, 48.1858) * CHOOSE(CONTROL!$C$21, $C$9, 100%, $E$9)</f>
        <v>48.1858</v>
      </c>
      <c r="C729" s="14">
        <f>CHOOSE(CONTROL!$C$42, 48.1938, 48.1938) * CHOOSE(CONTROL!$C$21, $C$9, 100%, $E$9)</f>
        <v>48.193800000000003</v>
      </c>
      <c r="D729" s="14">
        <f>CHOOSE(CONTROL!$C$42, 48.3988, 48.3988) * CHOOSE(CONTROL!$C$21, $C$9, 100%, $E$9)</f>
        <v>48.398800000000001</v>
      </c>
      <c r="E729" s="14">
        <f>CHOOSE(CONTROL!$C$42, 48.4303, 48.4303) * CHOOSE(CONTROL!$C$21, $C$9, 100%, $E$9)</f>
        <v>48.430300000000003</v>
      </c>
      <c r="F729" s="14">
        <f>CHOOSE(CONTROL!$C$42, 48.173, 48.173)*CHOOSE(CONTROL!$C$21, $C$9, 100%, $E$9)</f>
        <v>48.173000000000002</v>
      </c>
      <c r="G729" s="14">
        <f>CHOOSE(CONTROL!$C$42, 48.1896, 48.1896)*CHOOSE(CONTROL!$C$21, $C$9, 100%, $E$9)</f>
        <v>48.189599999999999</v>
      </c>
      <c r="H729" s="14">
        <f>CHOOSE(CONTROL!$C$42, 48.4189, 48.4189) * CHOOSE(CONTROL!$C$21, $C$9, 100%, $E$9)</f>
        <v>48.418900000000001</v>
      </c>
      <c r="I729" s="14">
        <f>CHOOSE(CONTROL!$C$42, 48.3448, 48.3448)* CHOOSE(CONTROL!$C$21, $C$9, 100%, $E$9)</f>
        <v>48.344799999999999</v>
      </c>
      <c r="J729" s="14">
        <f>CHOOSE(CONTROL!$C$42, 48.166, 48.166)* CHOOSE(CONTROL!$C$21, $C$9, 100%, $E$9)</f>
        <v>48.165999999999997</v>
      </c>
      <c r="K729" s="53">
        <f>CHOOSE(CONTROL!$C$42, 48.3409, 48.3409) * CHOOSE(CONTROL!$C$21, $C$9, 100%, $E$9)</f>
        <v>48.340899999999998</v>
      </c>
      <c r="L729" s="14">
        <f>CHOOSE(CONTROL!$C$42, 49.0059, 49.0059) * CHOOSE(CONTROL!$C$21, $C$9, 100%, $E$9)</f>
        <v>49.005899999999997</v>
      </c>
      <c r="M729" s="14">
        <f>CHOOSE(CONTROL!$C$42, 47.1868, 47.1868) * CHOOSE(CONTROL!$C$21, $C$9, 100%, $E$9)</f>
        <v>47.186799999999998</v>
      </c>
      <c r="N729" s="14">
        <f>CHOOSE(CONTROL!$C$42, 47.2031, 47.2031) * CHOOSE(CONTROL!$C$21, $C$9, 100%, $E$9)</f>
        <v>47.203099999999999</v>
      </c>
      <c r="O729" s="14">
        <f>CHOOSE(CONTROL!$C$42, 47.4345, 47.4345) * CHOOSE(CONTROL!$C$21, $C$9, 100%, $E$9)</f>
        <v>47.4345</v>
      </c>
      <c r="P729" s="14">
        <f>CHOOSE(CONTROL!$C$42, 47.3589, 47.3589) * CHOOSE(CONTROL!$C$21, $C$9, 100%, $E$9)</f>
        <v>47.358899999999998</v>
      </c>
      <c r="Q729" s="14">
        <f>CHOOSE(CONTROL!$C$42, 48.0292, 48.0292) * CHOOSE(CONTROL!$C$21, $C$9, 100%, $E$9)</f>
        <v>48.029200000000003</v>
      </c>
      <c r="R729" s="14">
        <f>CHOOSE(CONTROL!$C$42, 48.7363, 48.7363) * CHOOSE(CONTROL!$C$21, $C$9, 100%, $E$9)</f>
        <v>48.7363</v>
      </c>
      <c r="S729" s="14">
        <f>CHOOSE(CONTROL!$C$42, 46.2911, 46.2911) * CHOOSE(CONTROL!$C$21, $C$9, 100%, $E$9)</f>
        <v>46.2911</v>
      </c>
      <c r="T7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7">
        <f>(1000*CHOOSE(CONTROL!$C$42, 695, 695)*CHOOSE(CONTROL!$C$42, 0.5599, 0.5599)*CHOOSE(CONTROL!$C$42, 30, 30))/1000000</f>
        <v>11.673914999999997</v>
      </c>
      <c r="V729" s="57">
        <f>(1000*CHOOSE(CONTROL!$C$42, 500, 500)*CHOOSE(CONTROL!$C$42, 0.275, 0.275)*CHOOSE(CONTROL!$C$42, 30, 30))/1000000</f>
        <v>4.125</v>
      </c>
      <c r="W729" s="57">
        <f>(1000*CHOOSE(CONTROL!$C$42, 0.1146, 0.1146)*CHOOSE(CONTROL!$C$42, 121.5, 121.5)*CHOOSE(CONTROL!$C$42, 30, 30))/1000000</f>
        <v>0.417717</v>
      </c>
      <c r="X729" s="57">
        <f>(30*0.1790888*245000/1000000)+(30*0.2374*100000/1000000)</f>
        <v>2.0285026799999999</v>
      </c>
      <c r="Y729" s="57"/>
      <c r="Z729" s="14"/>
      <c r="AA729" s="56"/>
      <c r="AB729" s="50">
        <f>(B729*194.205+C729*267.466+D729*133.845+E729*53.484+F729*40+G729*185+H729*0+I729*100+J729*300)/(194.205+267.466+133.845+53.484+0+40+185+100+300)</f>
        <v>48.22808928649922</v>
      </c>
      <c r="AC729" s="45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47.324767625899277</v>
      </c>
    </row>
    <row r="730" spans="1:29" ht="15.75" x14ac:dyDescent="0.25">
      <c r="A730" s="32">
        <v>63128</v>
      </c>
      <c r="B730" s="14">
        <f>CHOOSE(CONTROL!$C$42, 47.2059, 47.2059) * CHOOSE(CONTROL!$C$21, $C$9, 100%, $E$9)</f>
        <v>47.2059</v>
      </c>
      <c r="C730" s="14">
        <f>CHOOSE(CONTROL!$C$42, 47.2112, 47.2112) * CHOOSE(CONTROL!$C$21, $C$9, 100%, $E$9)</f>
        <v>47.211199999999998</v>
      </c>
      <c r="D730" s="14">
        <f>CHOOSE(CONTROL!$C$42, 47.4212, 47.4212) * CHOOSE(CONTROL!$C$21, $C$9, 100%, $E$9)</f>
        <v>47.421199999999999</v>
      </c>
      <c r="E730" s="14">
        <f>CHOOSE(CONTROL!$C$42, 47.4503, 47.4503) * CHOOSE(CONTROL!$C$21, $C$9, 100%, $E$9)</f>
        <v>47.450299999999999</v>
      </c>
      <c r="F730" s="14">
        <f>CHOOSE(CONTROL!$C$42, 47.1951, 47.1951)*CHOOSE(CONTROL!$C$21, $C$9, 100%, $E$9)</f>
        <v>47.195099999999996</v>
      </c>
      <c r="G730" s="14">
        <f>CHOOSE(CONTROL!$C$42, 47.2115, 47.2115)*CHOOSE(CONTROL!$C$21, $C$9, 100%, $E$9)</f>
        <v>47.211500000000001</v>
      </c>
      <c r="H730" s="14">
        <f>CHOOSE(CONTROL!$C$42, 47.4408, 47.4408) * CHOOSE(CONTROL!$C$21, $C$9, 100%, $E$9)</f>
        <v>47.440800000000003</v>
      </c>
      <c r="I730" s="14">
        <f>CHOOSE(CONTROL!$C$42, 47.3636, 47.3636)* CHOOSE(CONTROL!$C$21, $C$9, 100%, $E$9)</f>
        <v>47.363599999999998</v>
      </c>
      <c r="J730" s="14">
        <f>CHOOSE(CONTROL!$C$42, 47.1881, 47.1881)* CHOOSE(CONTROL!$C$21, $C$9, 100%, $E$9)</f>
        <v>47.188099999999999</v>
      </c>
      <c r="K730" s="53">
        <f>CHOOSE(CONTROL!$C$42, 47.3597, 47.3597) * CHOOSE(CONTROL!$C$21, $C$9, 100%, $E$9)</f>
        <v>47.359699999999997</v>
      </c>
      <c r="L730" s="14">
        <f>CHOOSE(CONTROL!$C$42, 48.0278, 48.0278) * CHOOSE(CONTROL!$C$21, $C$9, 100%, $E$9)</f>
        <v>48.027799999999999</v>
      </c>
      <c r="M730" s="14">
        <f>CHOOSE(CONTROL!$C$42, 46.229, 46.229) * CHOOSE(CONTROL!$C$21, $C$9, 100%, $E$9)</f>
        <v>46.228999999999999</v>
      </c>
      <c r="N730" s="14">
        <f>CHOOSE(CONTROL!$C$42, 46.245, 46.245) * CHOOSE(CONTROL!$C$21, $C$9, 100%, $E$9)</f>
        <v>46.244999999999997</v>
      </c>
      <c r="O730" s="14">
        <f>CHOOSE(CONTROL!$C$42, 46.4764, 46.4764) * CHOOSE(CONTROL!$C$21, $C$9, 100%, $E$9)</f>
        <v>46.476399999999998</v>
      </c>
      <c r="P730" s="14">
        <f>CHOOSE(CONTROL!$C$42, 46.3979, 46.3979) * CHOOSE(CONTROL!$C$21, $C$9, 100%, $E$9)</f>
        <v>46.3979</v>
      </c>
      <c r="Q730" s="14">
        <f>CHOOSE(CONTROL!$C$42, 47.0711, 47.0711) * CHOOSE(CONTROL!$C$21, $C$9, 100%, $E$9)</f>
        <v>47.071100000000001</v>
      </c>
      <c r="R730" s="14">
        <f>CHOOSE(CONTROL!$C$42, 47.7758, 47.7758) * CHOOSE(CONTROL!$C$21, $C$9, 100%, $E$9)</f>
        <v>47.775799999999997</v>
      </c>
      <c r="S730" s="14">
        <f>CHOOSE(CONTROL!$C$42, 45.3512, 45.3512) * CHOOSE(CONTROL!$C$21, $C$9, 100%, $E$9)</f>
        <v>45.351199999999999</v>
      </c>
      <c r="T7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7">
        <f>(1000*CHOOSE(CONTROL!$C$42, 695, 695)*CHOOSE(CONTROL!$C$42, 0.5599, 0.5599)*CHOOSE(CONTROL!$C$42, 31, 31))/1000000</f>
        <v>12.063045499999998</v>
      </c>
      <c r="V730" s="57">
        <f>(1000*CHOOSE(CONTROL!$C$42, 500, 500)*CHOOSE(CONTROL!$C$42, 0.275, 0.275)*CHOOSE(CONTROL!$C$42, 31, 31))/1000000</f>
        <v>4.2625000000000002</v>
      </c>
      <c r="W730" s="57">
        <f>(1000*CHOOSE(CONTROL!$C$42, 0.1146, 0.1146)*CHOOSE(CONTROL!$C$42, 121.5, 121.5)*CHOOSE(CONTROL!$C$42, 31, 31))/1000000</f>
        <v>0.43164089999999994</v>
      </c>
      <c r="X730" s="57">
        <f>(31*0.1790888*245000/1000000)+(31*0.2374*100000/1000000)</f>
        <v>2.0961194359999999</v>
      </c>
      <c r="Y730" s="57"/>
      <c r="Z730" s="14"/>
      <c r="AA730" s="56"/>
      <c r="AB730" s="50">
        <f>(B730*131.881+C730*277.167+D730*79.08+E730*125.872+F730*40+G730*185+H730*0+I730*100+J730*300)/(131.881+277.167+79.08+125.872+0+40+185+100+300)</f>
        <v>47.254561844955603</v>
      </c>
      <c r="AC730" s="45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46.36635395683453</v>
      </c>
    </row>
    <row r="731" spans="1:29" ht="15.75" x14ac:dyDescent="0.25">
      <c r="A731" s="32">
        <v>63158</v>
      </c>
      <c r="B731" s="14">
        <f>CHOOSE(CONTROL!$C$42, 48.4489, 48.4489) * CHOOSE(CONTROL!$C$21, $C$9, 100%, $E$9)</f>
        <v>48.448900000000002</v>
      </c>
      <c r="C731" s="14">
        <f>CHOOSE(CONTROL!$C$42, 48.4539, 48.4539) * CHOOSE(CONTROL!$C$21, $C$9, 100%, $E$9)</f>
        <v>48.453899999999997</v>
      </c>
      <c r="D731" s="14">
        <f>CHOOSE(CONTROL!$C$42, 48.5177, 48.5177) * CHOOSE(CONTROL!$C$21, $C$9, 100%, $E$9)</f>
        <v>48.517699999999998</v>
      </c>
      <c r="E731" s="14">
        <f>CHOOSE(CONTROL!$C$42, 48.5518, 48.5518) * CHOOSE(CONTROL!$C$21, $C$9, 100%, $E$9)</f>
        <v>48.5518</v>
      </c>
      <c r="F731" s="14">
        <f>CHOOSE(CONTROL!$C$42, 48.4511, 48.4511)*CHOOSE(CONTROL!$C$21, $C$9, 100%, $E$9)</f>
        <v>48.451099999999997</v>
      </c>
      <c r="G731" s="14">
        <f>CHOOSE(CONTROL!$C$42, 48.4678, 48.4678)*CHOOSE(CONTROL!$C$21, $C$9, 100%, $E$9)</f>
        <v>48.467799999999997</v>
      </c>
      <c r="H731" s="14">
        <f>CHOOSE(CONTROL!$C$42, 48.541, 48.541) * CHOOSE(CONTROL!$C$21, $C$9, 100%, $E$9)</f>
        <v>48.540999999999997</v>
      </c>
      <c r="I731" s="14">
        <f>CHOOSE(CONTROL!$C$42, 48.6145, 48.6145)* CHOOSE(CONTROL!$C$21, $C$9, 100%, $E$9)</f>
        <v>48.6145</v>
      </c>
      <c r="J731" s="14">
        <f>CHOOSE(CONTROL!$C$42, 48.4441, 48.4441)* CHOOSE(CONTROL!$C$21, $C$9, 100%, $E$9)</f>
        <v>48.444099999999999</v>
      </c>
      <c r="K731" s="53">
        <f>CHOOSE(CONTROL!$C$42, 48.6106, 48.6106) * CHOOSE(CONTROL!$C$21, $C$9, 100%, $E$9)</f>
        <v>48.610599999999998</v>
      </c>
      <c r="L731" s="14">
        <f>CHOOSE(CONTROL!$C$42, 49.128, 49.128) * CHOOSE(CONTROL!$C$21, $C$9, 100%, $E$9)</f>
        <v>49.128</v>
      </c>
      <c r="M731" s="14">
        <f>CHOOSE(CONTROL!$C$42, 47.4592, 47.4592) * CHOOSE(CONTROL!$C$21, $C$9, 100%, $E$9)</f>
        <v>47.459200000000003</v>
      </c>
      <c r="N731" s="14">
        <f>CHOOSE(CONTROL!$C$42, 47.4755, 47.4755) * CHOOSE(CONTROL!$C$21, $C$9, 100%, $E$9)</f>
        <v>47.475499999999997</v>
      </c>
      <c r="O731" s="14">
        <f>CHOOSE(CONTROL!$C$42, 47.5542, 47.5542) * CHOOSE(CONTROL!$C$21, $C$9, 100%, $E$9)</f>
        <v>47.554200000000002</v>
      </c>
      <c r="P731" s="14">
        <f>CHOOSE(CONTROL!$C$42, 47.6231, 47.6231) * CHOOSE(CONTROL!$C$21, $C$9, 100%, $E$9)</f>
        <v>47.623100000000001</v>
      </c>
      <c r="Q731" s="14">
        <f>CHOOSE(CONTROL!$C$42, 48.1489, 48.1489) * CHOOSE(CONTROL!$C$21, $C$9, 100%, $E$9)</f>
        <v>48.148899999999998</v>
      </c>
      <c r="R731" s="14">
        <f>CHOOSE(CONTROL!$C$42, 48.8562, 48.8562) * CHOOSE(CONTROL!$C$21, $C$9, 100%, $E$9)</f>
        <v>48.856200000000001</v>
      </c>
      <c r="S731" s="14">
        <f>CHOOSE(CONTROL!$C$42, 46.546, 46.546) * CHOOSE(CONTROL!$C$21, $C$9, 100%, $E$9)</f>
        <v>46.545999999999999</v>
      </c>
      <c r="T7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7">
        <f>(1000*CHOOSE(CONTROL!$C$42, 695, 695)*CHOOSE(CONTROL!$C$42, 0.5599, 0.5599)*CHOOSE(CONTROL!$C$42, 30, 30))/1000000</f>
        <v>11.673914999999997</v>
      </c>
      <c r="V731" s="57">
        <f>(1000*CHOOSE(CONTROL!$C$42, 500, 500)*CHOOSE(CONTROL!$C$42, 0.275, 0.275)*CHOOSE(CONTROL!$C$42, 30, 30))/1000000</f>
        <v>4.125</v>
      </c>
      <c r="W731" s="57">
        <f>(1000*CHOOSE(CONTROL!$C$42, 0.1146, 0.1146)*CHOOSE(CONTROL!$C$42, 121.5, 121.5)*CHOOSE(CONTROL!$C$42, 30, 30))/1000000</f>
        <v>0.417717</v>
      </c>
      <c r="X731" s="57">
        <f>(30*0.1790888*100000/1000000)+(30*0.2374*100000/1000000)</f>
        <v>1.2494664</v>
      </c>
      <c r="Y731" s="57"/>
      <c r="Z731" s="14"/>
      <c r="AA731" s="56"/>
      <c r="AB731" s="50">
        <f>(B731*122.58+C731*297.941+D731*89.177+E731*40.302+F731*40+G731*160+H731*0+I731*100+J731*300)/(122.58+297.941+89.177+40.302+0+40+160+100+300)</f>
        <v>48.47499057252174</v>
      </c>
      <c r="AC731" s="45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47.526778417266186</v>
      </c>
    </row>
    <row r="732" spans="1:29" ht="15.75" x14ac:dyDescent="0.25">
      <c r="A732" s="32">
        <v>63189</v>
      </c>
      <c r="B732" s="14">
        <f>CHOOSE(CONTROL!$C$42, 51.7514, 51.7514) * CHOOSE(CONTROL!$C$21, $C$9, 100%, $E$9)</f>
        <v>51.751399999999997</v>
      </c>
      <c r="C732" s="14">
        <f>CHOOSE(CONTROL!$C$42, 51.7565, 51.7565) * CHOOSE(CONTROL!$C$21, $C$9, 100%, $E$9)</f>
        <v>51.756500000000003</v>
      </c>
      <c r="D732" s="14">
        <f>CHOOSE(CONTROL!$C$42, 51.8203, 51.8203) * CHOOSE(CONTROL!$C$21, $C$9, 100%, $E$9)</f>
        <v>51.820300000000003</v>
      </c>
      <c r="E732" s="14">
        <f>CHOOSE(CONTROL!$C$42, 51.8544, 51.8544) * CHOOSE(CONTROL!$C$21, $C$9, 100%, $E$9)</f>
        <v>51.854399999999998</v>
      </c>
      <c r="F732" s="14">
        <f>CHOOSE(CONTROL!$C$42, 51.7557, 51.7557)*CHOOSE(CONTROL!$C$21, $C$9, 100%, $E$9)</f>
        <v>51.755699999999997</v>
      </c>
      <c r="G732" s="14">
        <f>CHOOSE(CONTROL!$C$42, 51.7729, 51.7729)*CHOOSE(CONTROL!$C$21, $C$9, 100%, $E$9)</f>
        <v>51.7729</v>
      </c>
      <c r="H732" s="14">
        <f>CHOOSE(CONTROL!$C$42, 51.8436, 51.8436) * CHOOSE(CONTROL!$C$21, $C$9, 100%, $E$9)</f>
        <v>51.843600000000002</v>
      </c>
      <c r="I732" s="14">
        <f>CHOOSE(CONTROL!$C$42, 51.9274, 51.9274)* CHOOSE(CONTROL!$C$21, $C$9, 100%, $E$9)</f>
        <v>51.927399999999999</v>
      </c>
      <c r="J732" s="14">
        <f>CHOOSE(CONTROL!$C$42, 51.7487, 51.7487)* CHOOSE(CONTROL!$C$21, $C$9, 100%, $E$9)</f>
        <v>51.748699999999999</v>
      </c>
      <c r="K732" s="53">
        <f>CHOOSE(CONTROL!$C$42, 51.9235, 51.9235) * CHOOSE(CONTROL!$C$21, $C$9, 100%, $E$9)</f>
        <v>51.923499999999997</v>
      </c>
      <c r="L732" s="14">
        <f>CHOOSE(CONTROL!$C$42, 52.4306, 52.4306) * CHOOSE(CONTROL!$C$21, $C$9, 100%, $E$9)</f>
        <v>52.430599999999998</v>
      </c>
      <c r="M732" s="14">
        <f>CHOOSE(CONTROL!$C$42, 50.6961, 50.6961) * CHOOSE(CONTROL!$C$21, $C$9, 100%, $E$9)</f>
        <v>50.696100000000001</v>
      </c>
      <c r="N732" s="14">
        <f>CHOOSE(CONTROL!$C$42, 50.713, 50.713) * CHOOSE(CONTROL!$C$21, $C$9, 100%, $E$9)</f>
        <v>50.713000000000001</v>
      </c>
      <c r="O732" s="14">
        <f>CHOOSE(CONTROL!$C$42, 50.789, 50.789) * CHOOSE(CONTROL!$C$21, $C$9, 100%, $E$9)</f>
        <v>50.789000000000001</v>
      </c>
      <c r="P732" s="14">
        <f>CHOOSE(CONTROL!$C$42, 50.8679, 50.8679) * CHOOSE(CONTROL!$C$21, $C$9, 100%, $E$9)</f>
        <v>50.867899999999999</v>
      </c>
      <c r="Q732" s="14">
        <f>CHOOSE(CONTROL!$C$42, 51.3837, 51.3837) * CHOOSE(CONTROL!$C$21, $C$9, 100%, $E$9)</f>
        <v>51.383699999999997</v>
      </c>
      <c r="R732" s="14">
        <f>CHOOSE(CONTROL!$C$42, 52.0992, 52.0992) * CHOOSE(CONTROL!$C$21, $C$9, 100%, $E$9)</f>
        <v>52.099200000000003</v>
      </c>
      <c r="S732" s="14">
        <f>CHOOSE(CONTROL!$C$42, 49.7194, 49.7194) * CHOOSE(CONTROL!$C$21, $C$9, 100%, $E$9)</f>
        <v>49.7194</v>
      </c>
      <c r="T7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7">
        <f>(1000*CHOOSE(CONTROL!$C$42, 695, 695)*CHOOSE(CONTROL!$C$42, 0.5599, 0.5599)*CHOOSE(CONTROL!$C$42, 31, 31))/1000000</f>
        <v>12.063045499999998</v>
      </c>
      <c r="V732" s="57">
        <f>(1000*CHOOSE(CONTROL!$C$42, 500, 500)*CHOOSE(CONTROL!$C$42, 0.275, 0.275)*CHOOSE(CONTROL!$C$42, 31, 31))/1000000</f>
        <v>4.2625000000000002</v>
      </c>
      <c r="W732" s="57">
        <f>(1000*CHOOSE(CONTROL!$C$42, 0.1146, 0.1146)*CHOOSE(CONTROL!$C$42, 121.5, 121.5)*CHOOSE(CONTROL!$C$42, 31, 31))/1000000</f>
        <v>0.43164089999999994</v>
      </c>
      <c r="X732" s="57">
        <f>(31*0.1790888*100000/1000000)+(31*0.2374*100000/1000000)</f>
        <v>1.2911152800000001</v>
      </c>
      <c r="Y732" s="57"/>
      <c r="Z732" s="14"/>
      <c r="AA732" s="56"/>
      <c r="AB732" s="50">
        <f>(B732*122.58+C732*297.941+D732*89.177+E732*40.302+F732*40+G732*160+H732*0+I732*100+J732*300)/(122.58+297.941+89.177+40.302+0+40+160+100+300)</f>
        <v>51.779414695999996</v>
      </c>
      <c r="AC732" s="45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50.763897841726617</v>
      </c>
    </row>
    <row r="733" spans="1:29" ht="15.75" x14ac:dyDescent="0.25">
      <c r="A733" s="32">
        <v>63220</v>
      </c>
      <c r="B733" s="14">
        <f>CHOOSE(CONTROL!$C$42, 55.9898, 55.9898) * CHOOSE(CONTROL!$C$21, $C$9, 100%, $E$9)</f>
        <v>55.989800000000002</v>
      </c>
      <c r="C733" s="14">
        <f>CHOOSE(CONTROL!$C$42, 55.9949, 55.9949) * CHOOSE(CONTROL!$C$21, $C$9, 100%, $E$9)</f>
        <v>55.994900000000001</v>
      </c>
      <c r="D733" s="14">
        <f>CHOOSE(CONTROL!$C$42, 56.0535, 56.0535) * CHOOSE(CONTROL!$C$21, $C$9, 100%, $E$9)</f>
        <v>56.0535</v>
      </c>
      <c r="E733" s="14">
        <f>CHOOSE(CONTROL!$C$42, 56.0876, 56.0876) * CHOOSE(CONTROL!$C$21, $C$9, 100%, $E$9)</f>
        <v>56.087600000000002</v>
      </c>
      <c r="F733" s="14">
        <f>CHOOSE(CONTROL!$C$42, 55.9889, 55.9889)*CHOOSE(CONTROL!$C$21, $C$9, 100%, $E$9)</f>
        <v>55.988900000000001</v>
      </c>
      <c r="G733" s="14">
        <f>CHOOSE(CONTROL!$C$42, 56.0053, 56.0053)*CHOOSE(CONTROL!$C$21, $C$9, 100%, $E$9)</f>
        <v>56.005299999999998</v>
      </c>
      <c r="H733" s="14">
        <f>CHOOSE(CONTROL!$C$42, 56.0768, 56.0768) * CHOOSE(CONTROL!$C$21, $C$9, 100%, $E$9)</f>
        <v>56.076799999999999</v>
      </c>
      <c r="I733" s="14">
        <f>CHOOSE(CONTROL!$C$42, 56.1754, 56.1754)* CHOOSE(CONTROL!$C$21, $C$9, 100%, $E$9)</f>
        <v>56.175400000000003</v>
      </c>
      <c r="J733" s="14">
        <f>CHOOSE(CONTROL!$C$42, 55.9819, 55.9819)* CHOOSE(CONTROL!$C$21, $C$9, 100%, $E$9)</f>
        <v>55.981900000000003</v>
      </c>
      <c r="K733" s="53">
        <f>CHOOSE(CONTROL!$C$42, 56.1715, 56.1715) * CHOOSE(CONTROL!$C$21, $C$9, 100%, $E$9)</f>
        <v>56.171500000000002</v>
      </c>
      <c r="L733" s="14">
        <f>CHOOSE(CONTROL!$C$42, 56.6638, 56.6638) * CHOOSE(CONTROL!$C$21, $C$9, 100%, $E$9)</f>
        <v>56.663800000000002</v>
      </c>
      <c r="M733" s="14">
        <f>CHOOSE(CONTROL!$C$42, 54.8426, 54.8426) * CHOOSE(CONTROL!$C$21, $C$9, 100%, $E$9)</f>
        <v>54.842599999999997</v>
      </c>
      <c r="N733" s="14">
        <f>CHOOSE(CONTROL!$C$42, 54.8586, 54.8586) * CHOOSE(CONTROL!$C$21, $C$9, 100%, $E$9)</f>
        <v>54.858600000000003</v>
      </c>
      <c r="O733" s="14">
        <f>CHOOSE(CONTROL!$C$42, 54.9355, 54.9355) * CHOOSE(CONTROL!$C$21, $C$9, 100%, $E$9)</f>
        <v>54.935499999999998</v>
      </c>
      <c r="P733" s="14">
        <f>CHOOSE(CONTROL!$C$42, 55.0286, 55.0286) * CHOOSE(CONTROL!$C$21, $C$9, 100%, $E$9)</f>
        <v>55.028599999999997</v>
      </c>
      <c r="Q733" s="14">
        <f>CHOOSE(CONTROL!$C$42, 55.5302, 55.5302) * CHOOSE(CONTROL!$C$21, $C$9, 100%, $E$9)</f>
        <v>55.530200000000001</v>
      </c>
      <c r="R733" s="14">
        <f>CHOOSE(CONTROL!$C$42, 56.256, 56.256) * CHOOSE(CONTROL!$C$21, $C$9, 100%, $E$9)</f>
        <v>56.256</v>
      </c>
      <c r="S733" s="14">
        <f>CHOOSE(CONTROL!$C$42, 53.792, 53.792) * CHOOSE(CONTROL!$C$21, $C$9, 100%, $E$9)</f>
        <v>53.792000000000002</v>
      </c>
      <c r="T7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7">
        <f>(1000*CHOOSE(CONTROL!$C$42, 695, 695)*CHOOSE(CONTROL!$C$42, 0.5599, 0.5599)*CHOOSE(CONTROL!$C$42, 31, 31))/1000000</f>
        <v>12.063045499999998</v>
      </c>
      <c r="V733" s="57">
        <f>(1000*CHOOSE(CONTROL!$C$42, 500, 500)*CHOOSE(CONTROL!$C$42, 0.275, 0.275)*CHOOSE(CONTROL!$C$42, 31, 31))/1000000</f>
        <v>4.2625000000000002</v>
      </c>
      <c r="W733" s="57">
        <f>(1000*CHOOSE(CONTROL!$C$42, 0.1146, 0.1146)*CHOOSE(CONTROL!$C$42, 121.5, 121.5)*CHOOSE(CONTROL!$C$42, 31, 31))/1000000</f>
        <v>0.43164089999999994</v>
      </c>
      <c r="X733" s="57">
        <f>(31*0.1790888*100000/1000000)+(31*0.2374*100000/1000000)</f>
        <v>1.2911152800000001</v>
      </c>
      <c r="Y733" s="57"/>
      <c r="Z733" s="14"/>
      <c r="AA733" s="56"/>
      <c r="AB733" s="50">
        <f>(B733*122.58+C733*297.941+D733*89.177+E733*40.302+F733*40+G733*160+H733*0+I733*100+J733*300)/(122.58+297.941+89.177+40.302+0+40+160+100+300)</f>
        <v>56.015691834434783</v>
      </c>
      <c r="AC733" s="45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54.912389208633087</v>
      </c>
    </row>
    <row r="734" spans="1:29" ht="15.75" x14ac:dyDescent="0.25">
      <c r="A734" s="32">
        <v>63248</v>
      </c>
      <c r="B734" s="14">
        <f>CHOOSE(CONTROL!$C$42, 56.9863, 56.9863) * CHOOSE(CONTROL!$C$21, $C$9, 100%, $E$9)</f>
        <v>56.9863</v>
      </c>
      <c r="C734" s="14">
        <f>CHOOSE(CONTROL!$C$42, 56.9914, 56.9914) * CHOOSE(CONTROL!$C$21, $C$9, 100%, $E$9)</f>
        <v>56.991399999999999</v>
      </c>
      <c r="D734" s="14">
        <f>CHOOSE(CONTROL!$C$42, 57.05, 57.05) * CHOOSE(CONTROL!$C$21, $C$9, 100%, $E$9)</f>
        <v>57.05</v>
      </c>
      <c r="E734" s="14">
        <f>CHOOSE(CONTROL!$C$42, 57.0841, 57.0841) * CHOOSE(CONTROL!$C$21, $C$9, 100%, $E$9)</f>
        <v>57.084099999999999</v>
      </c>
      <c r="F734" s="14">
        <f>CHOOSE(CONTROL!$C$42, 56.9854, 56.9854)*CHOOSE(CONTROL!$C$21, $C$9, 100%, $E$9)</f>
        <v>56.985399999999998</v>
      </c>
      <c r="G734" s="14">
        <f>CHOOSE(CONTROL!$C$42, 57.0018, 57.0018)*CHOOSE(CONTROL!$C$21, $C$9, 100%, $E$9)</f>
        <v>57.001800000000003</v>
      </c>
      <c r="H734" s="14">
        <f>CHOOSE(CONTROL!$C$42, 57.0733, 57.0733) * CHOOSE(CONTROL!$C$21, $C$9, 100%, $E$9)</f>
        <v>57.073300000000003</v>
      </c>
      <c r="I734" s="14">
        <f>CHOOSE(CONTROL!$C$42, 57.175, 57.175)* CHOOSE(CONTROL!$C$21, $C$9, 100%, $E$9)</f>
        <v>57.174999999999997</v>
      </c>
      <c r="J734" s="14">
        <f>CHOOSE(CONTROL!$C$42, 56.9784, 56.9784)* CHOOSE(CONTROL!$C$21, $C$9, 100%, $E$9)</f>
        <v>56.978400000000001</v>
      </c>
      <c r="K734" s="53">
        <f>CHOOSE(CONTROL!$C$42, 57.1711, 57.1711) * CHOOSE(CONTROL!$C$21, $C$9, 100%, $E$9)</f>
        <v>57.171100000000003</v>
      </c>
      <c r="L734" s="14">
        <f>CHOOSE(CONTROL!$C$42, 57.6603, 57.6603) * CHOOSE(CONTROL!$C$21, $C$9, 100%, $E$9)</f>
        <v>57.660299999999999</v>
      </c>
      <c r="M734" s="14">
        <f>CHOOSE(CONTROL!$C$42, 55.8186, 55.8186) * CHOOSE(CONTROL!$C$21, $C$9, 100%, $E$9)</f>
        <v>55.818600000000004</v>
      </c>
      <c r="N734" s="14">
        <f>CHOOSE(CONTROL!$C$42, 55.8347, 55.8347) * CHOOSE(CONTROL!$C$21, $C$9, 100%, $E$9)</f>
        <v>55.834699999999998</v>
      </c>
      <c r="O734" s="14">
        <f>CHOOSE(CONTROL!$C$42, 55.9116, 55.9116) * CHOOSE(CONTROL!$C$21, $C$9, 100%, $E$9)</f>
        <v>55.9116</v>
      </c>
      <c r="P734" s="14">
        <f>CHOOSE(CONTROL!$C$42, 56.0077, 56.0077) * CHOOSE(CONTROL!$C$21, $C$9, 100%, $E$9)</f>
        <v>56.0077</v>
      </c>
      <c r="Q734" s="14">
        <f>CHOOSE(CONTROL!$C$42, 56.5063, 56.5063) * CHOOSE(CONTROL!$C$21, $C$9, 100%, $E$9)</f>
        <v>56.506300000000003</v>
      </c>
      <c r="R734" s="14">
        <f>CHOOSE(CONTROL!$C$42, 57.2346, 57.2346) * CHOOSE(CONTROL!$C$21, $C$9, 100%, $E$9)</f>
        <v>57.2346</v>
      </c>
      <c r="S734" s="14">
        <f>CHOOSE(CONTROL!$C$42, 54.7496, 54.7496) * CHOOSE(CONTROL!$C$21, $C$9, 100%, $E$9)</f>
        <v>54.749600000000001</v>
      </c>
      <c r="T7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7">
        <f>(1000*CHOOSE(CONTROL!$C$42, 695, 695)*CHOOSE(CONTROL!$C$42, 0.5599, 0.5599)*CHOOSE(CONTROL!$C$42, 28, 28))/1000000</f>
        <v>10.895653999999999</v>
      </c>
      <c r="V734" s="57">
        <f>(1000*CHOOSE(CONTROL!$C$42, 500, 500)*CHOOSE(CONTROL!$C$42, 0.275, 0.275)*CHOOSE(CONTROL!$C$42, 28, 28))/1000000</f>
        <v>3.85</v>
      </c>
      <c r="W734" s="57">
        <f>(1000*CHOOSE(CONTROL!$C$42, 0.1146, 0.1146)*CHOOSE(CONTROL!$C$42, 121.5, 121.5)*CHOOSE(CONTROL!$C$42, 28, 28))/1000000</f>
        <v>0.38986920000000003</v>
      </c>
      <c r="X734" s="57">
        <f>(28*0.1790888*100000/1000000)+(28*0.2374*100000/1000000)</f>
        <v>1.16616864</v>
      </c>
      <c r="Y734" s="57"/>
      <c r="Z734" s="14"/>
      <c r="AA734" s="56"/>
      <c r="AB734" s="50">
        <f>(B734*122.58+C734*297.941+D734*89.177+E734*40.302+F734*40+G734*160+H734*0+I734*100+J734*300)/(122.58+297.941+89.177+40.302+0+40+160+100+300)</f>
        <v>57.012461399652175</v>
      </c>
      <c r="AC734" s="45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55.88888633093525</v>
      </c>
    </row>
    <row r="735" spans="1:29" ht="15.75" x14ac:dyDescent="0.25">
      <c r="A735" s="32">
        <v>63279</v>
      </c>
      <c r="B735" s="14">
        <f>CHOOSE(CONTROL!$C$42, 55.3687, 55.3687) * CHOOSE(CONTROL!$C$21, $C$9, 100%, $E$9)</f>
        <v>55.368699999999997</v>
      </c>
      <c r="C735" s="14">
        <f>CHOOSE(CONTROL!$C$42, 55.3738, 55.3738) * CHOOSE(CONTROL!$C$21, $C$9, 100%, $E$9)</f>
        <v>55.373800000000003</v>
      </c>
      <c r="D735" s="14">
        <f>CHOOSE(CONTROL!$C$42, 55.4324, 55.4324) * CHOOSE(CONTROL!$C$21, $C$9, 100%, $E$9)</f>
        <v>55.432400000000001</v>
      </c>
      <c r="E735" s="14">
        <f>CHOOSE(CONTROL!$C$42, 55.4665, 55.4665) * CHOOSE(CONTROL!$C$21, $C$9, 100%, $E$9)</f>
        <v>55.466500000000003</v>
      </c>
      <c r="F735" s="14">
        <f>CHOOSE(CONTROL!$C$42, 55.3673, 55.3673)*CHOOSE(CONTROL!$C$21, $C$9, 100%, $E$9)</f>
        <v>55.3673</v>
      </c>
      <c r="G735" s="14">
        <f>CHOOSE(CONTROL!$C$42, 55.3835, 55.3835)*CHOOSE(CONTROL!$C$21, $C$9, 100%, $E$9)</f>
        <v>55.383499999999998</v>
      </c>
      <c r="H735" s="14">
        <f>CHOOSE(CONTROL!$C$42, 55.4557, 55.4557) * CHOOSE(CONTROL!$C$21, $C$9, 100%, $E$9)</f>
        <v>55.4557</v>
      </c>
      <c r="I735" s="14">
        <f>CHOOSE(CONTROL!$C$42, 55.5524, 55.5524)* CHOOSE(CONTROL!$C$21, $C$9, 100%, $E$9)</f>
        <v>55.552399999999999</v>
      </c>
      <c r="J735" s="14">
        <f>CHOOSE(CONTROL!$C$42, 55.3603, 55.3603)* CHOOSE(CONTROL!$C$21, $C$9, 100%, $E$9)</f>
        <v>55.360300000000002</v>
      </c>
      <c r="K735" s="53">
        <f>CHOOSE(CONTROL!$C$42, 55.5485, 55.5485) * CHOOSE(CONTROL!$C$21, $C$9, 100%, $E$9)</f>
        <v>55.548499999999997</v>
      </c>
      <c r="L735" s="14">
        <f>CHOOSE(CONTROL!$C$42, 56.0427, 56.0427) * CHOOSE(CONTROL!$C$21, $C$9, 100%, $E$9)</f>
        <v>56.042700000000004</v>
      </c>
      <c r="M735" s="14">
        <f>CHOOSE(CONTROL!$C$42, 54.2337, 54.2337) * CHOOSE(CONTROL!$C$21, $C$9, 100%, $E$9)</f>
        <v>54.233699999999999</v>
      </c>
      <c r="N735" s="14">
        <f>CHOOSE(CONTROL!$C$42, 54.2496, 54.2496) * CHOOSE(CONTROL!$C$21, $C$9, 100%, $E$9)</f>
        <v>54.249600000000001</v>
      </c>
      <c r="O735" s="14">
        <f>CHOOSE(CONTROL!$C$42, 54.3271, 54.3271) * CHOOSE(CONTROL!$C$21, $C$9, 100%, $E$9)</f>
        <v>54.327100000000002</v>
      </c>
      <c r="P735" s="14">
        <f>CHOOSE(CONTROL!$C$42, 54.4184, 54.4184) * CHOOSE(CONTROL!$C$21, $C$9, 100%, $E$9)</f>
        <v>54.418399999999998</v>
      </c>
      <c r="Q735" s="14">
        <f>CHOOSE(CONTROL!$C$42, 54.9218, 54.9218) * CHOOSE(CONTROL!$C$21, $C$9, 100%, $E$9)</f>
        <v>54.921799999999998</v>
      </c>
      <c r="R735" s="14">
        <f>CHOOSE(CONTROL!$C$42, 55.6461, 55.6461) * CHOOSE(CONTROL!$C$21, $C$9, 100%, $E$9)</f>
        <v>55.646099999999997</v>
      </c>
      <c r="S735" s="14">
        <f>CHOOSE(CONTROL!$C$42, 53.1953, 53.1953) * CHOOSE(CONTROL!$C$21, $C$9, 100%, $E$9)</f>
        <v>53.195300000000003</v>
      </c>
      <c r="T7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7">
        <f>(1000*CHOOSE(CONTROL!$C$42, 695, 695)*CHOOSE(CONTROL!$C$42, 0.5599, 0.5599)*CHOOSE(CONTROL!$C$42, 31, 31))/1000000</f>
        <v>12.063045499999998</v>
      </c>
      <c r="V735" s="57">
        <f>(1000*CHOOSE(CONTROL!$C$42, 500, 500)*CHOOSE(CONTROL!$C$42, 0.275, 0.275)*CHOOSE(CONTROL!$C$42, 31, 31))/1000000</f>
        <v>4.2625000000000002</v>
      </c>
      <c r="W735" s="57">
        <f>(1000*CHOOSE(CONTROL!$C$42, 0.1146, 0.1146)*CHOOSE(CONTROL!$C$42, 121.5, 121.5)*CHOOSE(CONTROL!$C$42, 31, 31))/1000000</f>
        <v>0.43164089999999994</v>
      </c>
      <c r="X735" s="57">
        <f>(31*0.1790888*100000/1000000)+(31*0.2374*100000/1000000)</f>
        <v>1.2911152800000001</v>
      </c>
      <c r="Y735" s="57"/>
      <c r="Z735" s="14"/>
      <c r="AA735" s="56"/>
      <c r="AB735" s="50">
        <f>(B735*122.58+C735*297.941+D735*89.177+E735*40.302+F735*40+G735*160+H735*0+I735*100+J735*300)/(122.58+297.941+89.177+40.302+0+40+160+100+300)</f>
        <v>55.394181399652176</v>
      </c>
      <c r="AC735" s="45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54.303523021582734</v>
      </c>
    </row>
    <row r="736" spans="1:29" ht="15.75" x14ac:dyDescent="0.25">
      <c r="A736" s="32">
        <v>63309</v>
      </c>
      <c r="B736" s="14">
        <f>CHOOSE(CONTROL!$C$42, 55.2041, 55.2041) * CHOOSE(CONTROL!$C$21, $C$9, 100%, $E$9)</f>
        <v>55.204099999999997</v>
      </c>
      <c r="C736" s="14">
        <f>CHOOSE(CONTROL!$C$42, 55.2086, 55.2086) * CHOOSE(CONTROL!$C$21, $C$9, 100%, $E$9)</f>
        <v>55.208599999999997</v>
      </c>
      <c r="D736" s="14">
        <f>CHOOSE(CONTROL!$C$42, 55.4167, 55.4167) * CHOOSE(CONTROL!$C$21, $C$9, 100%, $E$9)</f>
        <v>55.416699999999999</v>
      </c>
      <c r="E736" s="14">
        <f>CHOOSE(CONTROL!$C$42, 55.4488, 55.4488) * CHOOSE(CONTROL!$C$21, $C$9, 100%, $E$9)</f>
        <v>55.448799999999999</v>
      </c>
      <c r="F736" s="14">
        <f>CHOOSE(CONTROL!$C$42, 55.1915, 55.1915)*CHOOSE(CONTROL!$C$21, $C$9, 100%, $E$9)</f>
        <v>55.191499999999998</v>
      </c>
      <c r="G736" s="14">
        <f>CHOOSE(CONTROL!$C$42, 55.2074, 55.2074)*CHOOSE(CONTROL!$C$21, $C$9, 100%, $E$9)</f>
        <v>55.2074</v>
      </c>
      <c r="H736" s="14">
        <f>CHOOSE(CONTROL!$C$42, 55.4386, 55.4386) * CHOOSE(CONTROL!$C$21, $C$9, 100%, $E$9)</f>
        <v>55.438600000000001</v>
      </c>
      <c r="I736" s="14">
        <f>CHOOSE(CONTROL!$C$42, 55.3865, 55.3865)* CHOOSE(CONTROL!$C$21, $C$9, 100%, $E$9)</f>
        <v>55.386499999999998</v>
      </c>
      <c r="J736" s="14">
        <f>CHOOSE(CONTROL!$C$42, 55.1845, 55.1845)* CHOOSE(CONTROL!$C$21, $C$9, 100%, $E$9)</f>
        <v>55.1845</v>
      </c>
      <c r="K736" s="53">
        <f>CHOOSE(CONTROL!$C$42, 55.3826, 55.3826) * CHOOSE(CONTROL!$C$21, $C$9, 100%, $E$9)</f>
        <v>55.382599999999996</v>
      </c>
      <c r="L736" s="14">
        <f>CHOOSE(CONTROL!$C$42, 56.0256, 56.0256) * CHOOSE(CONTROL!$C$21, $C$9, 100%, $E$9)</f>
        <v>56.025599999999997</v>
      </c>
      <c r="M736" s="14">
        <f>CHOOSE(CONTROL!$C$42, 54.0615, 54.0615) * CHOOSE(CONTROL!$C$21, $C$9, 100%, $E$9)</f>
        <v>54.061500000000002</v>
      </c>
      <c r="N736" s="14">
        <f>CHOOSE(CONTROL!$C$42, 54.0771, 54.0771) * CHOOSE(CONTROL!$C$21, $C$9, 100%, $E$9)</f>
        <v>54.077100000000002</v>
      </c>
      <c r="O736" s="14">
        <f>CHOOSE(CONTROL!$C$42, 54.3104, 54.3104) * CHOOSE(CONTROL!$C$21, $C$9, 100%, $E$9)</f>
        <v>54.310400000000001</v>
      </c>
      <c r="P736" s="14">
        <f>CHOOSE(CONTROL!$C$42, 54.2559, 54.2559) * CHOOSE(CONTROL!$C$21, $C$9, 100%, $E$9)</f>
        <v>54.255899999999997</v>
      </c>
      <c r="Q736" s="14">
        <f>CHOOSE(CONTROL!$C$42, 54.9051, 54.9051) * CHOOSE(CONTROL!$C$21, $C$9, 100%, $E$9)</f>
        <v>54.905099999999997</v>
      </c>
      <c r="R736" s="14">
        <f>CHOOSE(CONTROL!$C$42, 55.6294, 55.6294) * CHOOSE(CONTROL!$C$21, $C$9, 100%, $E$9)</f>
        <v>55.629399999999997</v>
      </c>
      <c r="S736" s="14">
        <f>CHOOSE(CONTROL!$C$42, 53.0364, 53.0364) * CHOOSE(CONTROL!$C$21, $C$9, 100%, $E$9)</f>
        <v>53.0364</v>
      </c>
      <c r="T7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7">
        <f>(1000*CHOOSE(CONTROL!$C$42, 695, 695)*CHOOSE(CONTROL!$C$42, 0.5599, 0.5599)*CHOOSE(CONTROL!$C$42, 30, 30))/1000000</f>
        <v>11.673914999999997</v>
      </c>
      <c r="V736" s="57">
        <f>(1000*CHOOSE(CONTROL!$C$42, 500, 500)*CHOOSE(CONTROL!$C$42, 0.275, 0.275)*CHOOSE(CONTROL!$C$42, 30, 30))/1000000</f>
        <v>4.125</v>
      </c>
      <c r="W736" s="57">
        <f>(1000*CHOOSE(CONTROL!$C$42, 0.1146, 0.1146)*CHOOSE(CONTROL!$C$42, 121.5, 121.5)*CHOOSE(CONTROL!$C$42, 30, 30))/1000000</f>
        <v>0.417717</v>
      </c>
      <c r="X736" s="57">
        <f>(30*0.1790888*245000/1000000)+(30*0.2374*100000/1000000)</f>
        <v>2.0285026799999999</v>
      </c>
      <c r="Y736" s="57"/>
      <c r="Z736" s="14"/>
      <c r="AA736" s="56"/>
      <c r="AB736" s="50">
        <f>(B736*141.293+C736*267.993+D736*115.016+E736*89.698+F736*40+G736*185+H736*0+I736*100+J736*300)/(141.293+267.993+115.016+89.698+0+40+185+100+300)</f>
        <v>55.252585852058111</v>
      </c>
      <c r="AC736" s="45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54.203179856115121</v>
      </c>
    </row>
    <row r="737" spans="1:29" ht="15.75" x14ac:dyDescent="0.25">
      <c r="A737" s="32">
        <v>63340</v>
      </c>
      <c r="B737" s="14">
        <f>CHOOSE(CONTROL!$C$42, 55.6927, 55.6927) * CHOOSE(CONTROL!$C$21, $C$9, 100%, $E$9)</f>
        <v>55.692700000000002</v>
      </c>
      <c r="C737" s="14">
        <f>CHOOSE(CONTROL!$C$42, 55.7007, 55.7007) * CHOOSE(CONTROL!$C$21, $C$9, 100%, $E$9)</f>
        <v>55.700699999999998</v>
      </c>
      <c r="D737" s="14">
        <f>CHOOSE(CONTROL!$C$42, 55.9057, 55.9057) * CHOOSE(CONTROL!$C$21, $C$9, 100%, $E$9)</f>
        <v>55.905700000000003</v>
      </c>
      <c r="E737" s="14">
        <f>CHOOSE(CONTROL!$C$42, 55.9371, 55.9371) * CHOOSE(CONTROL!$C$21, $C$9, 100%, $E$9)</f>
        <v>55.937100000000001</v>
      </c>
      <c r="F737" s="14">
        <f>CHOOSE(CONTROL!$C$42, 55.6789, 55.6789)*CHOOSE(CONTROL!$C$21, $C$9, 100%, $E$9)</f>
        <v>55.678899999999999</v>
      </c>
      <c r="G737" s="14">
        <f>CHOOSE(CONTROL!$C$42, 55.6953, 55.6953)*CHOOSE(CONTROL!$C$21, $C$9, 100%, $E$9)</f>
        <v>55.695300000000003</v>
      </c>
      <c r="H737" s="14">
        <f>CHOOSE(CONTROL!$C$42, 55.9258, 55.9258) * CHOOSE(CONTROL!$C$21, $C$9, 100%, $E$9)</f>
        <v>55.925800000000002</v>
      </c>
      <c r="I737" s="14">
        <f>CHOOSE(CONTROL!$C$42, 55.8751, 55.8751)* CHOOSE(CONTROL!$C$21, $C$9, 100%, $E$9)</f>
        <v>55.875100000000003</v>
      </c>
      <c r="J737" s="14">
        <f>CHOOSE(CONTROL!$C$42, 55.6719, 55.6719)* CHOOSE(CONTROL!$C$21, $C$9, 100%, $E$9)</f>
        <v>55.671900000000001</v>
      </c>
      <c r="K737" s="53">
        <f>CHOOSE(CONTROL!$C$42, 55.8713, 55.8713) * CHOOSE(CONTROL!$C$21, $C$9, 100%, $E$9)</f>
        <v>55.871299999999998</v>
      </c>
      <c r="L737" s="14">
        <f>CHOOSE(CONTROL!$C$42, 56.5128, 56.5128) * CHOOSE(CONTROL!$C$21, $C$9, 100%, $E$9)</f>
        <v>56.512799999999999</v>
      </c>
      <c r="M737" s="14">
        <f>CHOOSE(CONTROL!$C$42, 54.5389, 54.5389) * CHOOSE(CONTROL!$C$21, $C$9, 100%, $E$9)</f>
        <v>54.538899999999998</v>
      </c>
      <c r="N737" s="14">
        <f>CHOOSE(CONTROL!$C$42, 54.5549, 54.5549) * CHOOSE(CONTROL!$C$21, $C$9, 100%, $E$9)</f>
        <v>54.554900000000004</v>
      </c>
      <c r="O737" s="14">
        <f>CHOOSE(CONTROL!$C$42, 54.7876, 54.7876) * CHOOSE(CONTROL!$C$21, $C$9, 100%, $E$9)</f>
        <v>54.787599999999998</v>
      </c>
      <c r="P737" s="14">
        <f>CHOOSE(CONTROL!$C$42, 54.7346, 54.7346) * CHOOSE(CONTROL!$C$21, $C$9, 100%, $E$9)</f>
        <v>54.7346</v>
      </c>
      <c r="Q737" s="14">
        <f>CHOOSE(CONTROL!$C$42, 55.3823, 55.3823) * CHOOSE(CONTROL!$C$21, $C$9, 100%, $E$9)</f>
        <v>55.382300000000001</v>
      </c>
      <c r="R737" s="14">
        <f>CHOOSE(CONTROL!$C$42, 56.1077, 56.1077) * CHOOSE(CONTROL!$C$21, $C$9, 100%, $E$9)</f>
        <v>56.107700000000001</v>
      </c>
      <c r="S737" s="14">
        <f>CHOOSE(CONTROL!$C$42, 53.5045, 53.5045) * CHOOSE(CONTROL!$C$21, $C$9, 100%, $E$9)</f>
        <v>53.5045</v>
      </c>
      <c r="T7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7">
        <f>(1000*CHOOSE(CONTROL!$C$42, 695, 695)*CHOOSE(CONTROL!$C$42, 0.5599, 0.5599)*CHOOSE(CONTROL!$C$42, 31, 31))/1000000</f>
        <v>12.063045499999998</v>
      </c>
      <c r="V737" s="57">
        <f>(1000*CHOOSE(CONTROL!$C$42, 500, 500)*CHOOSE(CONTROL!$C$42, 0.275, 0.275)*CHOOSE(CONTROL!$C$42, 31, 31))/1000000</f>
        <v>4.2625000000000002</v>
      </c>
      <c r="W737" s="57">
        <f>(1000*CHOOSE(CONTROL!$C$42, 0.1146, 0.1146)*CHOOSE(CONTROL!$C$42, 121.5, 121.5)*CHOOSE(CONTROL!$C$42, 31, 31))/1000000</f>
        <v>0.43164089999999994</v>
      </c>
      <c r="X737" s="57">
        <f>(31*0.1790888*245000/1000000)+(31*0.2374*100000/1000000)</f>
        <v>2.0961194359999999</v>
      </c>
      <c r="Y737" s="57"/>
      <c r="Z737" s="14"/>
      <c r="AA737" s="56"/>
      <c r="AB737" s="50">
        <f>(B737*194.205+C737*267.466+D737*133.845+E737*53.484+F737*40+G737*185+H737*0+I737*100+J737*300)/(194.205+267.466+133.845+53.484+0+40+185+100+300)</f>
        <v>55.73638069277866</v>
      </c>
      <c r="AC737" s="45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54.680699280575546</v>
      </c>
    </row>
    <row r="738" spans="1:29" ht="15.75" x14ac:dyDescent="0.25">
      <c r="A738" s="32">
        <v>63370</v>
      </c>
      <c r="B738" s="14">
        <f>CHOOSE(CONTROL!$C$42, 57.2721, 57.2721) * CHOOSE(CONTROL!$C$21, $C$9, 100%, $E$9)</f>
        <v>57.272100000000002</v>
      </c>
      <c r="C738" s="14">
        <f>CHOOSE(CONTROL!$C$42, 57.2802, 57.2802) * CHOOSE(CONTROL!$C$21, $C$9, 100%, $E$9)</f>
        <v>57.280200000000001</v>
      </c>
      <c r="D738" s="14">
        <f>CHOOSE(CONTROL!$C$42, 57.4851, 57.4851) * CHOOSE(CONTROL!$C$21, $C$9, 100%, $E$9)</f>
        <v>57.485100000000003</v>
      </c>
      <c r="E738" s="14">
        <f>CHOOSE(CONTROL!$C$42, 57.5166, 57.5166) * CHOOSE(CONTROL!$C$21, $C$9, 100%, $E$9)</f>
        <v>57.516599999999997</v>
      </c>
      <c r="F738" s="14">
        <f>CHOOSE(CONTROL!$C$42, 57.2587, 57.2587)*CHOOSE(CONTROL!$C$21, $C$9, 100%, $E$9)</f>
        <v>57.258699999999997</v>
      </c>
      <c r="G738" s="14">
        <f>CHOOSE(CONTROL!$C$42, 57.2752, 57.2752)*CHOOSE(CONTROL!$C$21, $C$9, 100%, $E$9)</f>
        <v>57.275199999999998</v>
      </c>
      <c r="H738" s="14">
        <f>CHOOSE(CONTROL!$C$42, 57.5052, 57.5052) * CHOOSE(CONTROL!$C$21, $C$9, 100%, $E$9)</f>
        <v>57.505200000000002</v>
      </c>
      <c r="I738" s="14">
        <f>CHOOSE(CONTROL!$C$42, 57.4595, 57.4595)* CHOOSE(CONTROL!$C$21, $C$9, 100%, $E$9)</f>
        <v>57.459499999999998</v>
      </c>
      <c r="J738" s="14">
        <f>CHOOSE(CONTROL!$C$42, 57.2517, 57.2517)* CHOOSE(CONTROL!$C$21, $C$9, 100%, $E$9)</f>
        <v>57.2517</v>
      </c>
      <c r="K738" s="53">
        <f>CHOOSE(CONTROL!$C$42, 57.4557, 57.4557) * CHOOSE(CONTROL!$C$21, $C$9, 100%, $E$9)</f>
        <v>57.4557</v>
      </c>
      <c r="L738" s="14">
        <f>CHOOSE(CONTROL!$C$42, 58.0922, 58.0922) * CHOOSE(CONTROL!$C$21, $C$9, 100%, $E$9)</f>
        <v>58.092199999999998</v>
      </c>
      <c r="M738" s="14">
        <f>CHOOSE(CONTROL!$C$42, 56.0863, 56.0863) * CHOOSE(CONTROL!$C$21, $C$9, 100%, $E$9)</f>
        <v>56.086300000000001</v>
      </c>
      <c r="N738" s="14">
        <f>CHOOSE(CONTROL!$C$42, 56.1025, 56.1025) * CHOOSE(CONTROL!$C$21, $C$9, 100%, $E$9)</f>
        <v>56.102499999999999</v>
      </c>
      <c r="O738" s="14">
        <f>CHOOSE(CONTROL!$C$42, 56.3347, 56.3347) * CHOOSE(CONTROL!$C$21, $C$9, 100%, $E$9)</f>
        <v>56.334699999999998</v>
      </c>
      <c r="P738" s="14">
        <f>CHOOSE(CONTROL!$C$42, 56.2864, 56.2864) * CHOOSE(CONTROL!$C$21, $C$9, 100%, $E$9)</f>
        <v>56.2864</v>
      </c>
      <c r="Q738" s="14">
        <f>CHOOSE(CONTROL!$C$42, 56.9294, 56.9294) * CHOOSE(CONTROL!$C$21, $C$9, 100%, $E$9)</f>
        <v>56.929400000000001</v>
      </c>
      <c r="R738" s="14">
        <f>CHOOSE(CONTROL!$C$42, 57.6587, 57.6587) * CHOOSE(CONTROL!$C$21, $C$9, 100%, $E$9)</f>
        <v>57.658700000000003</v>
      </c>
      <c r="S738" s="14">
        <f>CHOOSE(CONTROL!$C$42, 55.0222, 55.0222) * CHOOSE(CONTROL!$C$21, $C$9, 100%, $E$9)</f>
        <v>55.022199999999998</v>
      </c>
      <c r="T7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7">
        <f>(1000*CHOOSE(CONTROL!$C$42, 695, 695)*CHOOSE(CONTROL!$C$42, 0.5599, 0.5599)*CHOOSE(CONTROL!$C$42, 30, 30))/1000000</f>
        <v>11.673914999999997</v>
      </c>
      <c r="V738" s="57">
        <f>(1000*CHOOSE(CONTROL!$C$42, 500, 500)*CHOOSE(CONTROL!$C$42, 0.275, 0.275)*CHOOSE(CONTROL!$C$42, 30, 30))/1000000</f>
        <v>4.125</v>
      </c>
      <c r="W738" s="57">
        <f>(1000*CHOOSE(CONTROL!$C$42, 0.1146, 0.1146)*CHOOSE(CONTROL!$C$42, 121.5, 121.5)*CHOOSE(CONTROL!$C$42, 30, 30))/1000000</f>
        <v>0.417717</v>
      </c>
      <c r="X738" s="57">
        <f>(30*0.1790888*245000/1000000)+(30*0.2374*100000/1000000)</f>
        <v>2.0285026799999999</v>
      </c>
      <c r="Y738" s="57"/>
      <c r="Z738" s="14"/>
      <c r="AA738" s="56"/>
      <c r="AB738" s="50">
        <f>(B738*194.205+C738*267.466+D738*133.845+E738*53.484+F738*40+G738*185+H738*0+I738*100+J738*300)/(194.205+267.466+133.845+53.484+0+40+185+100+300)</f>
        <v>57.316377706122445</v>
      </c>
      <c r="AC738" s="45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56.228607913669066</v>
      </c>
    </row>
    <row r="739" spans="1:29" ht="15.75" x14ac:dyDescent="0.25">
      <c r="A739" s="32">
        <v>63401</v>
      </c>
      <c r="B739" s="14">
        <f>CHOOSE(CONTROL!$C$42, 56.1736, 56.1736) * CHOOSE(CONTROL!$C$21, $C$9, 100%, $E$9)</f>
        <v>56.1736</v>
      </c>
      <c r="C739" s="14">
        <f>CHOOSE(CONTROL!$C$42, 56.1816, 56.1816) * CHOOSE(CONTROL!$C$21, $C$9, 100%, $E$9)</f>
        <v>56.181600000000003</v>
      </c>
      <c r="D739" s="14">
        <f>CHOOSE(CONTROL!$C$42, 56.3866, 56.3866) * CHOOSE(CONTROL!$C$21, $C$9, 100%, $E$9)</f>
        <v>56.386600000000001</v>
      </c>
      <c r="E739" s="14">
        <f>CHOOSE(CONTROL!$C$42, 56.4181, 56.4181) * CHOOSE(CONTROL!$C$21, $C$9, 100%, $E$9)</f>
        <v>56.418100000000003</v>
      </c>
      <c r="F739" s="14">
        <f>CHOOSE(CONTROL!$C$42, 56.1606, 56.1606)*CHOOSE(CONTROL!$C$21, $C$9, 100%, $E$9)</f>
        <v>56.160600000000002</v>
      </c>
      <c r="G739" s="14">
        <f>CHOOSE(CONTROL!$C$42, 56.1772, 56.1772)*CHOOSE(CONTROL!$C$21, $C$9, 100%, $E$9)</f>
        <v>56.177199999999999</v>
      </c>
      <c r="H739" s="14">
        <f>CHOOSE(CONTROL!$C$42, 56.4067, 56.4067) * CHOOSE(CONTROL!$C$21, $C$9, 100%, $E$9)</f>
        <v>56.406700000000001</v>
      </c>
      <c r="I739" s="14">
        <f>CHOOSE(CONTROL!$C$42, 56.3576, 56.3576)* CHOOSE(CONTROL!$C$21, $C$9, 100%, $E$9)</f>
        <v>56.357599999999998</v>
      </c>
      <c r="J739" s="14">
        <f>CHOOSE(CONTROL!$C$42, 56.1536, 56.1536)* CHOOSE(CONTROL!$C$21, $C$9, 100%, $E$9)</f>
        <v>56.153599999999997</v>
      </c>
      <c r="K739" s="53">
        <f>CHOOSE(CONTROL!$C$42, 56.3537, 56.3537) * CHOOSE(CONTROL!$C$21, $C$9, 100%, $E$9)</f>
        <v>56.353700000000003</v>
      </c>
      <c r="L739" s="14">
        <f>CHOOSE(CONTROL!$C$42, 56.9937, 56.9937) * CHOOSE(CONTROL!$C$21, $C$9, 100%, $E$9)</f>
        <v>56.993699999999997</v>
      </c>
      <c r="M739" s="14">
        <f>CHOOSE(CONTROL!$C$42, 55.0107, 55.0107) * CHOOSE(CONTROL!$C$21, $C$9, 100%, $E$9)</f>
        <v>55.0107</v>
      </c>
      <c r="N739" s="14">
        <f>CHOOSE(CONTROL!$C$42, 55.027, 55.027) * CHOOSE(CONTROL!$C$21, $C$9, 100%, $E$9)</f>
        <v>55.027000000000001</v>
      </c>
      <c r="O739" s="14">
        <f>CHOOSE(CONTROL!$C$42, 55.2587, 55.2587) * CHOOSE(CONTROL!$C$21, $C$9, 100%, $E$9)</f>
        <v>55.258699999999997</v>
      </c>
      <c r="P739" s="14">
        <f>CHOOSE(CONTROL!$C$42, 55.2071, 55.2071) * CHOOSE(CONTROL!$C$21, $C$9, 100%, $E$9)</f>
        <v>55.207099999999997</v>
      </c>
      <c r="Q739" s="14">
        <f>CHOOSE(CONTROL!$C$42, 55.8534, 55.8534) * CHOOSE(CONTROL!$C$21, $C$9, 100%, $E$9)</f>
        <v>55.853400000000001</v>
      </c>
      <c r="R739" s="14">
        <f>CHOOSE(CONTROL!$C$42, 56.58, 56.58) * CHOOSE(CONTROL!$C$21, $C$9, 100%, $E$9)</f>
        <v>56.58</v>
      </c>
      <c r="S739" s="14">
        <f>CHOOSE(CONTROL!$C$42, 53.9666, 53.9666) * CHOOSE(CONTROL!$C$21, $C$9, 100%, $E$9)</f>
        <v>53.9666</v>
      </c>
      <c r="T7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7">
        <f>(1000*CHOOSE(CONTROL!$C$42, 695, 695)*CHOOSE(CONTROL!$C$42, 0.5599, 0.5599)*CHOOSE(CONTROL!$C$42, 31, 31))/1000000</f>
        <v>12.063045499999998</v>
      </c>
      <c r="V739" s="57">
        <f>(1000*CHOOSE(CONTROL!$C$42, 500, 500)*CHOOSE(CONTROL!$C$42, 0.275, 0.275)*CHOOSE(CONTROL!$C$42, 31, 31))/1000000</f>
        <v>4.2625000000000002</v>
      </c>
      <c r="W739" s="57">
        <f>(1000*CHOOSE(CONTROL!$C$42, 0.1146, 0.1146)*CHOOSE(CONTROL!$C$42, 121.5, 121.5)*CHOOSE(CONTROL!$C$42, 31, 31))/1000000</f>
        <v>0.43164089999999994</v>
      </c>
      <c r="X739" s="57">
        <f>(31*0.1790888*245000/1000000)+(31*0.2374*100000/1000000)</f>
        <v>2.0961194359999999</v>
      </c>
      <c r="Y739" s="57"/>
      <c r="Z739" s="14"/>
      <c r="AA739" s="56"/>
      <c r="AB739" s="50">
        <f>(B739*194.205+C739*267.466+D739*133.845+E739*53.484+F739*40+G739*185+H739*0+I739*100+J739*300)/(194.205+267.466+133.845+53.484+0+40+185+100+300)</f>
        <v>56.217769192307692</v>
      </c>
      <c r="AC739" s="45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55.152299999999997</v>
      </c>
    </row>
    <row r="740" spans="1:29" ht="15.75" x14ac:dyDescent="0.25">
      <c r="A740" s="32">
        <v>63432</v>
      </c>
      <c r="B740" s="14">
        <f>CHOOSE(CONTROL!$C$42, 53.3995, 53.3995) * CHOOSE(CONTROL!$C$21, $C$9, 100%, $E$9)</f>
        <v>53.399500000000003</v>
      </c>
      <c r="C740" s="14">
        <f>CHOOSE(CONTROL!$C$42, 53.4075, 53.4075) * CHOOSE(CONTROL!$C$21, $C$9, 100%, $E$9)</f>
        <v>53.407499999999999</v>
      </c>
      <c r="D740" s="14">
        <f>CHOOSE(CONTROL!$C$42, 53.6125, 53.6125) * CHOOSE(CONTROL!$C$21, $C$9, 100%, $E$9)</f>
        <v>53.612499999999997</v>
      </c>
      <c r="E740" s="14">
        <f>CHOOSE(CONTROL!$C$42, 53.644, 53.644) * CHOOSE(CONTROL!$C$21, $C$9, 100%, $E$9)</f>
        <v>53.643999999999998</v>
      </c>
      <c r="F740" s="14">
        <f>CHOOSE(CONTROL!$C$42, 53.3867, 53.3867)*CHOOSE(CONTROL!$C$21, $C$9, 100%, $E$9)</f>
        <v>53.386699999999998</v>
      </c>
      <c r="G740" s="14">
        <f>CHOOSE(CONTROL!$C$42, 53.4034, 53.4034)*CHOOSE(CONTROL!$C$21, $C$9, 100%, $E$9)</f>
        <v>53.403399999999998</v>
      </c>
      <c r="H740" s="14">
        <f>CHOOSE(CONTROL!$C$42, 53.6326, 53.6326) * CHOOSE(CONTROL!$C$21, $C$9, 100%, $E$9)</f>
        <v>53.632599999999996</v>
      </c>
      <c r="I740" s="14">
        <f>CHOOSE(CONTROL!$C$42, 53.5748, 53.5748)* CHOOSE(CONTROL!$C$21, $C$9, 100%, $E$9)</f>
        <v>53.574800000000003</v>
      </c>
      <c r="J740" s="14">
        <f>CHOOSE(CONTROL!$C$42, 53.3797, 53.3797)* CHOOSE(CONTROL!$C$21, $C$9, 100%, $E$9)</f>
        <v>53.3797</v>
      </c>
      <c r="K740" s="53">
        <f>CHOOSE(CONTROL!$C$42, 53.5709, 53.5709) * CHOOSE(CONTROL!$C$21, $C$9, 100%, $E$9)</f>
        <v>53.570900000000002</v>
      </c>
      <c r="L740" s="14">
        <f>CHOOSE(CONTROL!$C$42, 54.2196, 54.2196) * CHOOSE(CONTROL!$C$21, $C$9, 100%, $E$9)</f>
        <v>54.2196</v>
      </c>
      <c r="M740" s="14">
        <f>CHOOSE(CONTROL!$C$42, 52.2937, 52.2937) * CHOOSE(CONTROL!$C$21, $C$9, 100%, $E$9)</f>
        <v>52.293700000000001</v>
      </c>
      <c r="N740" s="14">
        <f>CHOOSE(CONTROL!$C$42, 52.31, 52.31) * CHOOSE(CONTROL!$C$21, $C$9, 100%, $E$9)</f>
        <v>52.31</v>
      </c>
      <c r="O740" s="14">
        <f>CHOOSE(CONTROL!$C$42, 52.5414, 52.5414) * CHOOSE(CONTROL!$C$21, $C$9, 100%, $E$9)</f>
        <v>52.541400000000003</v>
      </c>
      <c r="P740" s="14">
        <f>CHOOSE(CONTROL!$C$42, 52.4815, 52.4815) * CHOOSE(CONTROL!$C$21, $C$9, 100%, $E$9)</f>
        <v>52.481499999999997</v>
      </c>
      <c r="Q740" s="14">
        <f>CHOOSE(CONTROL!$C$42, 53.1361, 53.1361) * CHOOSE(CONTROL!$C$21, $C$9, 100%, $E$9)</f>
        <v>53.136099999999999</v>
      </c>
      <c r="R740" s="14">
        <f>CHOOSE(CONTROL!$C$42, 53.8559, 53.8559) * CHOOSE(CONTROL!$C$21, $C$9, 100%, $E$9)</f>
        <v>53.855899999999998</v>
      </c>
      <c r="S740" s="14">
        <f>CHOOSE(CONTROL!$C$42, 51.3009, 51.3009) * CHOOSE(CONTROL!$C$21, $C$9, 100%, $E$9)</f>
        <v>51.300899999999999</v>
      </c>
      <c r="T7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7">
        <f>(1000*CHOOSE(CONTROL!$C$42, 695, 695)*CHOOSE(CONTROL!$C$42, 0.5599, 0.5599)*CHOOSE(CONTROL!$C$42, 31, 31))/1000000</f>
        <v>12.063045499999998</v>
      </c>
      <c r="V740" s="57">
        <f>(1000*CHOOSE(CONTROL!$C$42, 500, 500)*CHOOSE(CONTROL!$C$42, 0.275, 0.275)*CHOOSE(CONTROL!$C$42, 31, 31))/1000000</f>
        <v>4.2625000000000002</v>
      </c>
      <c r="W740" s="57">
        <f>(1000*CHOOSE(CONTROL!$C$42, 0.1146, 0.1146)*CHOOSE(CONTROL!$C$42, 121.5, 121.5)*CHOOSE(CONTROL!$C$42, 31, 31))/1000000</f>
        <v>0.43164089999999994</v>
      </c>
      <c r="X740" s="57">
        <f>(31*0.1790888*245000/1000000)+(31*0.2374*100000/1000000)</f>
        <v>2.0961194359999999</v>
      </c>
      <c r="Y740" s="57"/>
      <c r="Z740" s="14"/>
      <c r="AA740" s="56"/>
      <c r="AB740" s="50">
        <f>(B740*194.205+C740*267.466+D740*133.845+E740*53.484+F740*40+G740*185+H740*0+I740*100+J740*300)/(194.205+267.466+133.845+53.484+0+40+185+100+300)</f>
        <v>53.443083242543175</v>
      </c>
      <c r="AC740" s="45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52.433926618705044</v>
      </c>
    </row>
    <row r="741" spans="1:29" ht="15.75" x14ac:dyDescent="0.25">
      <c r="A741" s="32">
        <v>63462</v>
      </c>
      <c r="B741" s="14">
        <f>CHOOSE(CONTROL!$C$42, 50.0097, 50.0097) * CHOOSE(CONTROL!$C$21, $C$9, 100%, $E$9)</f>
        <v>50.009700000000002</v>
      </c>
      <c r="C741" s="14">
        <f>CHOOSE(CONTROL!$C$42, 50.0177, 50.0177) * CHOOSE(CONTROL!$C$21, $C$9, 100%, $E$9)</f>
        <v>50.017699999999998</v>
      </c>
      <c r="D741" s="14">
        <f>CHOOSE(CONTROL!$C$42, 50.2227, 50.2227) * CHOOSE(CONTROL!$C$21, $C$9, 100%, $E$9)</f>
        <v>50.222700000000003</v>
      </c>
      <c r="E741" s="14">
        <f>CHOOSE(CONTROL!$C$42, 50.2541, 50.2541) * CHOOSE(CONTROL!$C$21, $C$9, 100%, $E$9)</f>
        <v>50.254100000000001</v>
      </c>
      <c r="F741" s="14">
        <f>CHOOSE(CONTROL!$C$42, 49.9968, 49.9968)*CHOOSE(CONTROL!$C$21, $C$9, 100%, $E$9)</f>
        <v>49.9968</v>
      </c>
      <c r="G741" s="14">
        <f>CHOOSE(CONTROL!$C$42, 50.0135, 50.0135)*CHOOSE(CONTROL!$C$21, $C$9, 100%, $E$9)</f>
        <v>50.013500000000001</v>
      </c>
      <c r="H741" s="14">
        <f>CHOOSE(CONTROL!$C$42, 50.2428, 50.2428) * CHOOSE(CONTROL!$C$21, $C$9, 100%, $E$9)</f>
        <v>50.242800000000003</v>
      </c>
      <c r="I741" s="14">
        <f>CHOOSE(CONTROL!$C$42, 50.1743, 50.1743)* CHOOSE(CONTROL!$C$21, $C$9, 100%, $E$9)</f>
        <v>50.174300000000002</v>
      </c>
      <c r="J741" s="14">
        <f>CHOOSE(CONTROL!$C$42, 49.9898, 49.9898)* CHOOSE(CONTROL!$C$21, $C$9, 100%, $E$9)</f>
        <v>49.989800000000002</v>
      </c>
      <c r="K741" s="53">
        <f>CHOOSE(CONTROL!$C$42, 50.1704, 50.1704) * CHOOSE(CONTROL!$C$21, $C$9, 100%, $E$9)</f>
        <v>50.170400000000001</v>
      </c>
      <c r="L741" s="14">
        <f>CHOOSE(CONTROL!$C$42, 50.8298, 50.8298) * CHOOSE(CONTROL!$C$21, $C$9, 100%, $E$9)</f>
        <v>50.829799999999999</v>
      </c>
      <c r="M741" s="14">
        <f>CHOOSE(CONTROL!$C$42, 48.9733, 48.9733) * CHOOSE(CONTROL!$C$21, $C$9, 100%, $E$9)</f>
        <v>48.973300000000002</v>
      </c>
      <c r="N741" s="14">
        <f>CHOOSE(CONTROL!$C$42, 48.9896, 48.9896) * CHOOSE(CONTROL!$C$21, $C$9, 100%, $E$9)</f>
        <v>48.989600000000003</v>
      </c>
      <c r="O741" s="14">
        <f>CHOOSE(CONTROL!$C$42, 49.221, 49.221) * CHOOSE(CONTROL!$C$21, $C$9, 100%, $E$9)</f>
        <v>49.220999999999997</v>
      </c>
      <c r="P741" s="14">
        <f>CHOOSE(CONTROL!$C$42, 49.1509, 49.1509) * CHOOSE(CONTROL!$C$21, $C$9, 100%, $E$9)</f>
        <v>49.1509</v>
      </c>
      <c r="Q741" s="14">
        <f>CHOOSE(CONTROL!$C$42, 49.8157, 49.8157) * CHOOSE(CONTROL!$C$21, $C$9, 100%, $E$9)</f>
        <v>49.8157</v>
      </c>
      <c r="R741" s="14">
        <f>CHOOSE(CONTROL!$C$42, 50.5272, 50.5272) * CHOOSE(CONTROL!$C$21, $C$9, 100%, $E$9)</f>
        <v>50.527200000000001</v>
      </c>
      <c r="S741" s="14">
        <f>CHOOSE(CONTROL!$C$42, 48.0436, 48.0436) * CHOOSE(CONTROL!$C$21, $C$9, 100%, $E$9)</f>
        <v>48.043599999999998</v>
      </c>
      <c r="T7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7">
        <f>(1000*CHOOSE(CONTROL!$C$42, 695, 695)*CHOOSE(CONTROL!$C$42, 0.5599, 0.5599)*CHOOSE(CONTROL!$C$42, 30, 30))/1000000</f>
        <v>11.673914999999997</v>
      </c>
      <c r="V741" s="57">
        <f>(1000*CHOOSE(CONTROL!$C$42, 500, 500)*CHOOSE(CONTROL!$C$42, 0.275, 0.275)*CHOOSE(CONTROL!$C$42, 30, 30))/1000000</f>
        <v>4.125</v>
      </c>
      <c r="W741" s="57">
        <f>(1000*CHOOSE(CONTROL!$C$42, 0.1146, 0.1146)*CHOOSE(CONTROL!$C$42, 121.5, 121.5)*CHOOSE(CONTROL!$C$42, 30, 30))/1000000</f>
        <v>0.417717</v>
      </c>
      <c r="X741" s="57">
        <f>(30*0.1790888*245000/1000000)+(30*0.2374*100000/1000000)</f>
        <v>2.0285026799999999</v>
      </c>
      <c r="Y741" s="57"/>
      <c r="Z741" s="14"/>
      <c r="AA741" s="56"/>
      <c r="AB741" s="50">
        <f>(B741*194.205+C741*267.466+D741*133.845+E741*53.484+F741*40+G741*185+H741*0+I741*100+J741*300)/(194.205+267.466+133.845+53.484+0+40+185+100+300)</f>
        <v>50.0523979612245</v>
      </c>
      <c r="AC741" s="45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49.112058992805757</v>
      </c>
    </row>
    <row r="742" spans="1:29" ht="15.75" x14ac:dyDescent="0.25">
      <c r="A742" s="32">
        <v>63493</v>
      </c>
      <c r="B742" s="14">
        <f>CHOOSE(CONTROL!$C$42, 48.9927, 48.9927) * CHOOSE(CONTROL!$C$21, $C$9, 100%, $E$9)</f>
        <v>48.992699999999999</v>
      </c>
      <c r="C742" s="14">
        <f>CHOOSE(CONTROL!$C$42, 48.9981, 48.9981) * CHOOSE(CONTROL!$C$21, $C$9, 100%, $E$9)</f>
        <v>48.998100000000001</v>
      </c>
      <c r="D742" s="14">
        <f>CHOOSE(CONTROL!$C$42, 49.208, 49.208) * CHOOSE(CONTROL!$C$21, $C$9, 100%, $E$9)</f>
        <v>49.207999999999998</v>
      </c>
      <c r="E742" s="14">
        <f>CHOOSE(CONTROL!$C$42, 49.2371, 49.2371) * CHOOSE(CONTROL!$C$21, $C$9, 100%, $E$9)</f>
        <v>49.237099999999998</v>
      </c>
      <c r="F742" s="14">
        <f>CHOOSE(CONTROL!$C$42, 48.982, 48.982)*CHOOSE(CONTROL!$C$21, $C$9, 100%, $E$9)</f>
        <v>48.981999999999999</v>
      </c>
      <c r="G742" s="14">
        <f>CHOOSE(CONTROL!$C$42, 48.9983, 48.9983)*CHOOSE(CONTROL!$C$21, $C$9, 100%, $E$9)</f>
        <v>48.9983</v>
      </c>
      <c r="H742" s="14">
        <f>CHOOSE(CONTROL!$C$42, 49.2276, 49.2276) * CHOOSE(CONTROL!$C$21, $C$9, 100%, $E$9)</f>
        <v>49.227600000000002</v>
      </c>
      <c r="I742" s="14">
        <f>CHOOSE(CONTROL!$C$42, 49.156, 49.156)* CHOOSE(CONTROL!$C$21, $C$9, 100%, $E$9)</f>
        <v>49.155999999999999</v>
      </c>
      <c r="J742" s="14">
        <f>CHOOSE(CONTROL!$C$42, 48.975, 48.975)* CHOOSE(CONTROL!$C$21, $C$9, 100%, $E$9)</f>
        <v>48.975000000000001</v>
      </c>
      <c r="K742" s="53">
        <f>CHOOSE(CONTROL!$C$42, 49.1521, 49.1521) * CHOOSE(CONTROL!$C$21, $C$9, 100%, $E$9)</f>
        <v>49.152099999999997</v>
      </c>
      <c r="L742" s="14">
        <f>CHOOSE(CONTROL!$C$42, 49.8146, 49.8146) * CHOOSE(CONTROL!$C$21, $C$9, 100%, $E$9)</f>
        <v>49.814599999999999</v>
      </c>
      <c r="M742" s="14">
        <f>CHOOSE(CONTROL!$C$42, 47.9792, 47.9792) * CHOOSE(CONTROL!$C$21, $C$9, 100%, $E$9)</f>
        <v>47.979199999999999</v>
      </c>
      <c r="N742" s="14">
        <f>CHOOSE(CONTROL!$C$42, 47.9952, 47.9952) * CHOOSE(CONTROL!$C$21, $C$9, 100%, $E$9)</f>
        <v>47.995199999999997</v>
      </c>
      <c r="O742" s="14">
        <f>CHOOSE(CONTROL!$C$42, 48.2266, 48.2266) * CHOOSE(CONTROL!$C$21, $C$9, 100%, $E$9)</f>
        <v>48.226599999999998</v>
      </c>
      <c r="P742" s="14">
        <f>CHOOSE(CONTROL!$C$42, 48.1535, 48.1535) * CHOOSE(CONTROL!$C$21, $C$9, 100%, $E$9)</f>
        <v>48.153500000000001</v>
      </c>
      <c r="Q742" s="14">
        <f>CHOOSE(CONTROL!$C$42, 48.8213, 48.8213) * CHOOSE(CONTROL!$C$21, $C$9, 100%, $E$9)</f>
        <v>48.821300000000001</v>
      </c>
      <c r="R742" s="14">
        <f>CHOOSE(CONTROL!$C$42, 49.5304, 49.5304) * CHOOSE(CONTROL!$C$21, $C$9, 100%, $E$9)</f>
        <v>49.5304</v>
      </c>
      <c r="S742" s="14">
        <f>CHOOSE(CONTROL!$C$42, 47.0682, 47.0682) * CHOOSE(CONTROL!$C$21, $C$9, 100%, $E$9)</f>
        <v>47.068199999999997</v>
      </c>
      <c r="T7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7">
        <f>(1000*CHOOSE(CONTROL!$C$42, 695, 695)*CHOOSE(CONTROL!$C$42, 0.5599, 0.5599)*CHOOSE(CONTROL!$C$42, 31, 31))/1000000</f>
        <v>12.063045499999998</v>
      </c>
      <c r="V742" s="57">
        <f>(1000*CHOOSE(CONTROL!$C$42, 500, 500)*CHOOSE(CONTROL!$C$42, 0.275, 0.275)*CHOOSE(CONTROL!$C$42, 31, 31))/1000000</f>
        <v>4.2625000000000002</v>
      </c>
      <c r="W742" s="57">
        <f>(1000*CHOOSE(CONTROL!$C$42, 0.1146, 0.1146)*CHOOSE(CONTROL!$C$42, 121.5, 121.5)*CHOOSE(CONTROL!$C$42, 31, 31))/1000000</f>
        <v>0.43164089999999994</v>
      </c>
      <c r="X742" s="57">
        <f>(31*0.1790888*245000/1000000)+(31*0.2374*100000/1000000)</f>
        <v>2.0961194359999999</v>
      </c>
      <c r="Y742" s="57"/>
      <c r="Z742" s="14"/>
      <c r="AA742" s="56"/>
      <c r="AB742" s="50">
        <f>(B742*131.881+C742*277.167+D742*79.08+E742*125.872+F742*40+G742*185+H742*0+I742*100+J742*300)/(131.881+277.167+79.08+125.872+0+40+185+100+300)</f>
        <v>49.041863634059723</v>
      </c>
      <c r="AC742" s="45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48.117330935251793</v>
      </c>
    </row>
    <row r="743" spans="1:29" ht="15.75" x14ac:dyDescent="0.25">
      <c r="A743" s="32">
        <v>63523</v>
      </c>
      <c r="B743" s="14">
        <f>CHOOSE(CONTROL!$C$42, 50.2828, 50.2828) * CHOOSE(CONTROL!$C$21, $C$9, 100%, $E$9)</f>
        <v>50.282800000000002</v>
      </c>
      <c r="C743" s="14">
        <f>CHOOSE(CONTROL!$C$42, 50.2878, 50.2878) * CHOOSE(CONTROL!$C$21, $C$9, 100%, $E$9)</f>
        <v>50.287799999999997</v>
      </c>
      <c r="D743" s="14">
        <f>CHOOSE(CONTROL!$C$42, 50.3516, 50.3516) * CHOOSE(CONTROL!$C$21, $C$9, 100%, $E$9)</f>
        <v>50.351599999999998</v>
      </c>
      <c r="E743" s="14">
        <f>CHOOSE(CONTROL!$C$42, 50.3857, 50.3857) * CHOOSE(CONTROL!$C$21, $C$9, 100%, $E$9)</f>
        <v>50.3857</v>
      </c>
      <c r="F743" s="14">
        <f>CHOOSE(CONTROL!$C$42, 50.285, 50.285)*CHOOSE(CONTROL!$C$21, $C$9, 100%, $E$9)</f>
        <v>50.284999999999997</v>
      </c>
      <c r="G743" s="14">
        <f>CHOOSE(CONTROL!$C$42, 50.3017, 50.3017)*CHOOSE(CONTROL!$C$21, $C$9, 100%, $E$9)</f>
        <v>50.301699999999997</v>
      </c>
      <c r="H743" s="14">
        <f>CHOOSE(CONTROL!$C$42, 50.3749, 50.3749) * CHOOSE(CONTROL!$C$21, $C$9, 100%, $E$9)</f>
        <v>50.374899999999997</v>
      </c>
      <c r="I743" s="14">
        <f>CHOOSE(CONTROL!$C$42, 50.4541, 50.4541)* CHOOSE(CONTROL!$C$21, $C$9, 100%, $E$9)</f>
        <v>50.454099999999997</v>
      </c>
      <c r="J743" s="14">
        <f>CHOOSE(CONTROL!$C$42, 50.278, 50.278)* CHOOSE(CONTROL!$C$21, $C$9, 100%, $E$9)</f>
        <v>50.277999999999999</v>
      </c>
      <c r="K743" s="53">
        <f>CHOOSE(CONTROL!$C$42, 50.4502, 50.4502) * CHOOSE(CONTROL!$C$21, $C$9, 100%, $E$9)</f>
        <v>50.450200000000002</v>
      </c>
      <c r="L743" s="14">
        <f>CHOOSE(CONTROL!$C$42, 50.9619, 50.9619) * CHOOSE(CONTROL!$C$21, $C$9, 100%, $E$9)</f>
        <v>50.9619</v>
      </c>
      <c r="M743" s="14">
        <f>CHOOSE(CONTROL!$C$42, 49.2555, 49.2555) * CHOOSE(CONTROL!$C$21, $C$9, 100%, $E$9)</f>
        <v>49.255499999999998</v>
      </c>
      <c r="N743" s="14">
        <f>CHOOSE(CONTROL!$C$42, 49.2719, 49.2719) * CHOOSE(CONTROL!$C$21, $C$9, 100%, $E$9)</f>
        <v>49.271900000000002</v>
      </c>
      <c r="O743" s="14">
        <f>CHOOSE(CONTROL!$C$42, 49.3505, 49.3505) * CHOOSE(CONTROL!$C$21, $C$9, 100%, $E$9)</f>
        <v>49.350499999999997</v>
      </c>
      <c r="P743" s="14">
        <f>CHOOSE(CONTROL!$C$42, 49.425, 49.425) * CHOOSE(CONTROL!$C$21, $C$9, 100%, $E$9)</f>
        <v>49.424999999999997</v>
      </c>
      <c r="Q743" s="14">
        <f>CHOOSE(CONTROL!$C$42, 49.9452, 49.9452) * CHOOSE(CONTROL!$C$21, $C$9, 100%, $E$9)</f>
        <v>49.9452</v>
      </c>
      <c r="R743" s="14">
        <f>CHOOSE(CONTROL!$C$42, 50.657, 50.657) * CHOOSE(CONTROL!$C$21, $C$9, 100%, $E$9)</f>
        <v>50.656999999999996</v>
      </c>
      <c r="S743" s="14">
        <f>CHOOSE(CONTROL!$C$42, 48.3082, 48.3082) * CHOOSE(CONTROL!$C$21, $C$9, 100%, $E$9)</f>
        <v>48.308199999999999</v>
      </c>
      <c r="T7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7">
        <f>(1000*CHOOSE(CONTROL!$C$42, 695, 695)*CHOOSE(CONTROL!$C$42, 0.5599, 0.5599)*CHOOSE(CONTROL!$C$42, 30, 30))/1000000</f>
        <v>11.673914999999997</v>
      </c>
      <c r="V743" s="57">
        <f>(1000*CHOOSE(CONTROL!$C$42, 500, 500)*CHOOSE(CONTROL!$C$42, 0.275, 0.275)*CHOOSE(CONTROL!$C$42, 30, 30))/1000000</f>
        <v>4.125</v>
      </c>
      <c r="W743" s="57">
        <f>(1000*CHOOSE(CONTROL!$C$42, 0.1146, 0.1146)*CHOOSE(CONTROL!$C$42, 121.5, 121.5)*CHOOSE(CONTROL!$C$42, 30, 30))/1000000</f>
        <v>0.417717</v>
      </c>
      <c r="X743" s="57">
        <f>(30*0.1790888*100000/1000000)+(30*0.2374*100000/1000000)</f>
        <v>1.2494664</v>
      </c>
      <c r="Y743" s="57"/>
      <c r="Z743" s="14"/>
      <c r="AA743" s="56"/>
      <c r="AB743" s="50">
        <f>(B743*122.58+C743*297.941+D743*89.177+E743*40.302+F743*40+G743*160+H743*0+I743*100+J743*300)/(122.58+297.941+89.177+40.302+0+40+160+100+300)</f>
        <v>50.30938622469565</v>
      </c>
      <c r="AC743" s="45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49.323889928057554</v>
      </c>
    </row>
    <row r="744" spans="1:29" ht="15.75" x14ac:dyDescent="0.25">
      <c r="A744" s="32">
        <v>63554</v>
      </c>
      <c r="B744" s="14">
        <f>CHOOSE(CONTROL!$C$42, 53.7104, 53.7104) * CHOOSE(CONTROL!$C$21, $C$9, 100%, $E$9)</f>
        <v>53.7104</v>
      </c>
      <c r="C744" s="14">
        <f>CHOOSE(CONTROL!$C$42, 53.7154, 53.7154) * CHOOSE(CONTROL!$C$21, $C$9, 100%, $E$9)</f>
        <v>53.715400000000002</v>
      </c>
      <c r="D744" s="14">
        <f>CHOOSE(CONTROL!$C$42, 53.7792, 53.7792) * CHOOSE(CONTROL!$C$21, $C$9, 100%, $E$9)</f>
        <v>53.779200000000003</v>
      </c>
      <c r="E744" s="14">
        <f>CHOOSE(CONTROL!$C$42, 53.8133, 53.8133) * CHOOSE(CONTROL!$C$21, $C$9, 100%, $E$9)</f>
        <v>53.813299999999998</v>
      </c>
      <c r="F744" s="14">
        <f>CHOOSE(CONTROL!$C$42, 53.7147, 53.7147)*CHOOSE(CONTROL!$C$21, $C$9, 100%, $E$9)</f>
        <v>53.714700000000001</v>
      </c>
      <c r="G744" s="14">
        <f>CHOOSE(CONTROL!$C$42, 53.7319, 53.7319)*CHOOSE(CONTROL!$C$21, $C$9, 100%, $E$9)</f>
        <v>53.731900000000003</v>
      </c>
      <c r="H744" s="14">
        <f>CHOOSE(CONTROL!$C$42, 53.8025, 53.8025) * CHOOSE(CONTROL!$C$21, $C$9, 100%, $E$9)</f>
        <v>53.802500000000002</v>
      </c>
      <c r="I744" s="14">
        <f>CHOOSE(CONTROL!$C$42, 53.8925, 53.8925)* CHOOSE(CONTROL!$C$21, $C$9, 100%, $E$9)</f>
        <v>53.892499999999998</v>
      </c>
      <c r="J744" s="14">
        <f>CHOOSE(CONTROL!$C$42, 53.7077, 53.7077)* CHOOSE(CONTROL!$C$21, $C$9, 100%, $E$9)</f>
        <v>53.707700000000003</v>
      </c>
      <c r="K744" s="53">
        <f>CHOOSE(CONTROL!$C$42, 53.8886, 53.8886) * CHOOSE(CONTROL!$C$21, $C$9, 100%, $E$9)</f>
        <v>53.888599999999997</v>
      </c>
      <c r="L744" s="14">
        <f>CHOOSE(CONTROL!$C$42, 54.3895, 54.3895) * CHOOSE(CONTROL!$C$21, $C$9, 100%, $E$9)</f>
        <v>54.389499999999998</v>
      </c>
      <c r="M744" s="14">
        <f>CHOOSE(CONTROL!$C$42, 52.6149, 52.6149) * CHOOSE(CONTROL!$C$21, $C$9, 100%, $E$9)</f>
        <v>52.614899999999999</v>
      </c>
      <c r="N744" s="14">
        <f>CHOOSE(CONTROL!$C$42, 52.6318, 52.6318) * CHOOSE(CONTROL!$C$21, $C$9, 100%, $E$9)</f>
        <v>52.631799999999998</v>
      </c>
      <c r="O744" s="14">
        <f>CHOOSE(CONTROL!$C$42, 52.7078, 52.7078) * CHOOSE(CONTROL!$C$21, $C$9, 100%, $E$9)</f>
        <v>52.707799999999999</v>
      </c>
      <c r="P744" s="14">
        <f>CHOOSE(CONTROL!$C$42, 52.7926, 52.7926) * CHOOSE(CONTROL!$C$21, $C$9, 100%, $E$9)</f>
        <v>52.7926</v>
      </c>
      <c r="Q744" s="14">
        <f>CHOOSE(CONTROL!$C$42, 53.3025, 53.3025) * CHOOSE(CONTROL!$C$21, $C$9, 100%, $E$9)</f>
        <v>53.302500000000002</v>
      </c>
      <c r="R744" s="14">
        <f>CHOOSE(CONTROL!$C$42, 54.0228, 54.0228) * CHOOSE(CONTROL!$C$21, $C$9, 100%, $E$9)</f>
        <v>54.022799999999997</v>
      </c>
      <c r="S744" s="14">
        <f>CHOOSE(CONTROL!$C$42, 51.6017, 51.6017) * CHOOSE(CONTROL!$C$21, $C$9, 100%, $E$9)</f>
        <v>51.601700000000001</v>
      </c>
      <c r="T7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7">
        <f>(1000*CHOOSE(CONTROL!$C$42, 695, 695)*CHOOSE(CONTROL!$C$42, 0.5599, 0.5599)*CHOOSE(CONTROL!$C$42, 31, 31))/1000000</f>
        <v>12.063045499999998</v>
      </c>
      <c r="V744" s="57">
        <f>(1000*CHOOSE(CONTROL!$C$42, 500, 500)*CHOOSE(CONTROL!$C$42, 0.275, 0.275)*CHOOSE(CONTROL!$C$42, 31, 31))/1000000</f>
        <v>4.2625000000000002</v>
      </c>
      <c r="W744" s="57">
        <f>(1000*CHOOSE(CONTROL!$C$42, 0.1146, 0.1146)*CHOOSE(CONTROL!$C$42, 121.5, 121.5)*CHOOSE(CONTROL!$C$42, 31, 31))/1000000</f>
        <v>0.43164089999999994</v>
      </c>
      <c r="X744" s="57">
        <f>(31*0.1790888*100000/1000000)+(31*0.2374*100000/1000000)</f>
        <v>1.2911152800000001</v>
      </c>
      <c r="Y744" s="57"/>
      <c r="Z744" s="14"/>
      <c r="AA744" s="56"/>
      <c r="AB744" s="50">
        <f>(B744*122.58+C744*297.941+D744*89.177+E744*40.302+F744*40+G744*160+H744*0+I744*100+J744*300)/(122.58+297.941+89.177+40.302+0+40+160+100+300)</f>
        <v>53.738907963826094</v>
      </c>
      <c r="AC744" s="45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52.68354676258992</v>
      </c>
    </row>
    <row r="745" spans="1:29" ht="15.75" x14ac:dyDescent="0.25">
      <c r="A745" s="32">
        <v>63585</v>
      </c>
      <c r="B745" s="14">
        <f>CHOOSE(CONTROL!$C$42, 58.1092, 58.1092) * CHOOSE(CONTROL!$C$21, $C$9, 100%, $E$9)</f>
        <v>58.109200000000001</v>
      </c>
      <c r="C745" s="14">
        <f>CHOOSE(CONTROL!$C$42, 58.1143, 58.1143) * CHOOSE(CONTROL!$C$21, $C$9, 100%, $E$9)</f>
        <v>58.1143</v>
      </c>
      <c r="D745" s="14">
        <f>CHOOSE(CONTROL!$C$42, 58.1729, 58.1729) * CHOOSE(CONTROL!$C$21, $C$9, 100%, $E$9)</f>
        <v>58.172899999999998</v>
      </c>
      <c r="E745" s="14">
        <f>CHOOSE(CONTROL!$C$42, 58.207, 58.207) * CHOOSE(CONTROL!$C$21, $C$9, 100%, $E$9)</f>
        <v>58.207000000000001</v>
      </c>
      <c r="F745" s="14">
        <f>CHOOSE(CONTROL!$C$42, 58.1083, 58.1083)*CHOOSE(CONTROL!$C$21, $C$9, 100%, $E$9)</f>
        <v>58.1083</v>
      </c>
      <c r="G745" s="14">
        <f>CHOOSE(CONTROL!$C$42, 58.1247, 58.1247)*CHOOSE(CONTROL!$C$21, $C$9, 100%, $E$9)</f>
        <v>58.124699999999997</v>
      </c>
      <c r="H745" s="14">
        <f>CHOOSE(CONTROL!$C$42, 58.1962, 58.1962) * CHOOSE(CONTROL!$C$21, $C$9, 100%, $E$9)</f>
        <v>58.196199999999997</v>
      </c>
      <c r="I745" s="14">
        <f>CHOOSE(CONTROL!$C$42, 58.3014, 58.3014)* CHOOSE(CONTROL!$C$21, $C$9, 100%, $E$9)</f>
        <v>58.301400000000001</v>
      </c>
      <c r="J745" s="14">
        <f>CHOOSE(CONTROL!$C$42, 58.1013, 58.1013)* CHOOSE(CONTROL!$C$21, $C$9, 100%, $E$9)</f>
        <v>58.101300000000002</v>
      </c>
      <c r="K745" s="53">
        <f>CHOOSE(CONTROL!$C$42, 58.2975, 58.2975) * CHOOSE(CONTROL!$C$21, $C$9, 100%, $E$9)</f>
        <v>58.297499999999999</v>
      </c>
      <c r="L745" s="14">
        <f>CHOOSE(CONTROL!$C$42, 58.7832, 58.7832) * CHOOSE(CONTROL!$C$21, $C$9, 100%, $E$9)</f>
        <v>58.783200000000001</v>
      </c>
      <c r="M745" s="14">
        <f>CHOOSE(CONTROL!$C$42, 56.9185, 56.9185) * CHOOSE(CONTROL!$C$21, $C$9, 100%, $E$9)</f>
        <v>56.918500000000002</v>
      </c>
      <c r="N745" s="14">
        <f>CHOOSE(CONTROL!$C$42, 56.9346, 56.9346) * CHOOSE(CONTROL!$C$21, $C$9, 100%, $E$9)</f>
        <v>56.934600000000003</v>
      </c>
      <c r="O745" s="14">
        <f>CHOOSE(CONTROL!$C$42, 57.0115, 57.0115) * CHOOSE(CONTROL!$C$21, $C$9, 100%, $E$9)</f>
        <v>57.011499999999998</v>
      </c>
      <c r="P745" s="14">
        <f>CHOOSE(CONTROL!$C$42, 57.111, 57.111) * CHOOSE(CONTROL!$C$21, $C$9, 100%, $E$9)</f>
        <v>57.110999999999997</v>
      </c>
      <c r="Q745" s="14">
        <f>CHOOSE(CONTROL!$C$42, 57.6062, 57.6062) * CHOOSE(CONTROL!$C$21, $C$9, 100%, $E$9)</f>
        <v>57.606200000000001</v>
      </c>
      <c r="R745" s="14">
        <f>CHOOSE(CONTROL!$C$42, 58.3372, 58.3372) * CHOOSE(CONTROL!$C$21, $C$9, 100%, $E$9)</f>
        <v>58.337200000000003</v>
      </c>
      <c r="S745" s="14">
        <f>CHOOSE(CONTROL!$C$42, 55.8286, 55.8286) * CHOOSE(CONTROL!$C$21, $C$9, 100%, $E$9)</f>
        <v>55.828600000000002</v>
      </c>
      <c r="T7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7">
        <f>(1000*CHOOSE(CONTROL!$C$42, 695, 695)*CHOOSE(CONTROL!$C$42, 0.5599, 0.5599)*CHOOSE(CONTROL!$C$42, 31, 31))/1000000</f>
        <v>12.063045499999998</v>
      </c>
      <c r="V745" s="57">
        <f>(1000*CHOOSE(CONTROL!$C$42, 500, 500)*CHOOSE(CONTROL!$C$42, 0.275, 0.275)*CHOOSE(CONTROL!$C$42, 31, 31))/1000000</f>
        <v>4.2625000000000002</v>
      </c>
      <c r="W745" s="57">
        <f>(1000*CHOOSE(CONTROL!$C$42, 0.1146, 0.1146)*CHOOSE(CONTROL!$C$42, 121.5, 121.5)*CHOOSE(CONTROL!$C$42, 31, 31))/1000000</f>
        <v>0.43164089999999994</v>
      </c>
      <c r="X745" s="57">
        <f>(31*0.1790888*100000/1000000)+(31*0.2374*100000/1000000)</f>
        <v>1.2911152800000001</v>
      </c>
      <c r="Y745" s="57"/>
      <c r="Z745" s="14"/>
      <c r="AA745" s="56"/>
      <c r="AB745" s="50">
        <f>(B745*122.58+C745*297.941+D745*89.177+E745*40.302+F745*40+G745*160+H745*0+I745*100+J745*300)/(122.58+297.941+89.177+40.302+0+40+160+100+300)</f>
        <v>58.135665747478264</v>
      </c>
      <c r="AC745" s="45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56.989275539568339</v>
      </c>
    </row>
    <row r="746" spans="1:29" ht="15.75" x14ac:dyDescent="0.25">
      <c r="A746" s="32">
        <v>63613</v>
      </c>
      <c r="B746" s="14">
        <f>CHOOSE(CONTROL!$C$42, 59.1435, 59.1435) * CHOOSE(CONTROL!$C$21, $C$9, 100%, $E$9)</f>
        <v>59.143500000000003</v>
      </c>
      <c r="C746" s="14">
        <f>CHOOSE(CONTROL!$C$42, 59.1485, 59.1485) * CHOOSE(CONTROL!$C$21, $C$9, 100%, $E$9)</f>
        <v>59.148499999999999</v>
      </c>
      <c r="D746" s="14">
        <f>CHOOSE(CONTROL!$C$42, 59.2071, 59.2071) * CHOOSE(CONTROL!$C$21, $C$9, 100%, $E$9)</f>
        <v>59.207099999999997</v>
      </c>
      <c r="E746" s="14">
        <f>CHOOSE(CONTROL!$C$42, 59.2412, 59.2412) * CHOOSE(CONTROL!$C$21, $C$9, 100%, $E$9)</f>
        <v>59.241199999999999</v>
      </c>
      <c r="F746" s="14">
        <f>CHOOSE(CONTROL!$C$42, 59.1425, 59.1425)*CHOOSE(CONTROL!$C$21, $C$9, 100%, $E$9)</f>
        <v>59.142499999999998</v>
      </c>
      <c r="G746" s="14">
        <f>CHOOSE(CONTROL!$C$42, 59.1589, 59.1589)*CHOOSE(CONTROL!$C$21, $C$9, 100%, $E$9)</f>
        <v>59.158900000000003</v>
      </c>
      <c r="H746" s="14">
        <f>CHOOSE(CONTROL!$C$42, 59.2304, 59.2304) * CHOOSE(CONTROL!$C$21, $C$9, 100%, $E$9)</f>
        <v>59.230400000000003</v>
      </c>
      <c r="I746" s="14">
        <f>CHOOSE(CONTROL!$C$42, 59.3389, 59.3389)* CHOOSE(CONTROL!$C$21, $C$9, 100%, $E$9)</f>
        <v>59.338900000000002</v>
      </c>
      <c r="J746" s="14">
        <f>CHOOSE(CONTROL!$C$42, 59.1355, 59.1355)* CHOOSE(CONTROL!$C$21, $C$9, 100%, $E$9)</f>
        <v>59.1355</v>
      </c>
      <c r="K746" s="53">
        <f>CHOOSE(CONTROL!$C$42, 59.335, 59.335) * CHOOSE(CONTROL!$C$21, $C$9, 100%, $E$9)</f>
        <v>59.335000000000001</v>
      </c>
      <c r="L746" s="14">
        <f>CHOOSE(CONTROL!$C$42, 59.8174, 59.8174) * CHOOSE(CONTROL!$C$21, $C$9, 100%, $E$9)</f>
        <v>59.817399999999999</v>
      </c>
      <c r="M746" s="14">
        <f>CHOOSE(CONTROL!$C$42, 57.9316, 57.9316) * CHOOSE(CONTROL!$C$21, $C$9, 100%, $E$9)</f>
        <v>57.931600000000003</v>
      </c>
      <c r="N746" s="14">
        <f>CHOOSE(CONTROL!$C$42, 57.9476, 57.9476) * CHOOSE(CONTROL!$C$21, $C$9, 100%, $E$9)</f>
        <v>57.947600000000001</v>
      </c>
      <c r="O746" s="14">
        <f>CHOOSE(CONTROL!$C$42, 58.0245, 58.0245) * CHOOSE(CONTROL!$C$21, $C$9, 100%, $E$9)</f>
        <v>58.024500000000003</v>
      </c>
      <c r="P746" s="14">
        <f>CHOOSE(CONTROL!$C$42, 58.1271, 58.1271) * CHOOSE(CONTROL!$C$21, $C$9, 100%, $E$9)</f>
        <v>58.127099999999999</v>
      </c>
      <c r="Q746" s="14">
        <f>CHOOSE(CONTROL!$C$42, 58.6192, 58.6192) * CHOOSE(CONTROL!$C$21, $C$9, 100%, $E$9)</f>
        <v>58.619199999999999</v>
      </c>
      <c r="R746" s="14">
        <f>CHOOSE(CONTROL!$C$42, 59.3528, 59.3528) * CHOOSE(CONTROL!$C$21, $C$9, 100%, $E$9)</f>
        <v>59.352800000000002</v>
      </c>
      <c r="S746" s="14">
        <f>CHOOSE(CONTROL!$C$42, 56.8224, 56.8224) * CHOOSE(CONTROL!$C$21, $C$9, 100%, $E$9)</f>
        <v>56.822400000000002</v>
      </c>
      <c r="T7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7">
        <f>(1000*CHOOSE(CONTROL!$C$42, 695, 695)*CHOOSE(CONTROL!$C$42, 0.5599, 0.5599)*CHOOSE(CONTROL!$C$42, 28, 28))/1000000</f>
        <v>10.895653999999999</v>
      </c>
      <c r="V746" s="57">
        <f>(1000*CHOOSE(CONTROL!$C$42, 500, 500)*CHOOSE(CONTROL!$C$42, 0.275, 0.275)*CHOOSE(CONTROL!$C$42, 28, 28))/1000000</f>
        <v>3.85</v>
      </c>
      <c r="W746" s="57">
        <f>(1000*CHOOSE(CONTROL!$C$42, 0.1146, 0.1146)*CHOOSE(CONTROL!$C$42, 121.5, 121.5)*CHOOSE(CONTROL!$C$42, 28, 28))/1000000</f>
        <v>0.38986920000000003</v>
      </c>
      <c r="X746" s="57">
        <f>(28*0.1790888*100000/1000000)+(28*0.2374*100000/1000000)</f>
        <v>1.16616864</v>
      </c>
      <c r="Y746" s="57"/>
      <c r="Z746" s="14"/>
      <c r="AA746" s="56"/>
      <c r="AB746" s="50">
        <f>(B746*122.58+C746*297.941+D746*89.177+E746*40.302+F746*40+G746*160+H746*0+I746*100+J746*300)/(122.58+297.941+89.177+40.302+0+40+160+100+300)</f>
        <v>59.170163363130442</v>
      </c>
      <c r="AC746" s="45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58.002756115107921</v>
      </c>
    </row>
    <row r="747" spans="1:29" ht="15.75" x14ac:dyDescent="0.25">
      <c r="A747" s="32">
        <v>63644</v>
      </c>
      <c r="B747" s="14">
        <f>CHOOSE(CONTROL!$C$42, 57.4646, 57.4646) * CHOOSE(CONTROL!$C$21, $C$9, 100%, $E$9)</f>
        <v>57.464599999999997</v>
      </c>
      <c r="C747" s="14">
        <f>CHOOSE(CONTROL!$C$42, 57.4697, 57.4697) * CHOOSE(CONTROL!$C$21, $C$9, 100%, $E$9)</f>
        <v>57.469700000000003</v>
      </c>
      <c r="D747" s="14">
        <f>CHOOSE(CONTROL!$C$42, 57.5283, 57.5283) * CHOOSE(CONTROL!$C$21, $C$9, 100%, $E$9)</f>
        <v>57.528300000000002</v>
      </c>
      <c r="E747" s="14">
        <f>CHOOSE(CONTROL!$C$42, 57.5624, 57.5624) * CHOOSE(CONTROL!$C$21, $C$9, 100%, $E$9)</f>
        <v>57.562399999999997</v>
      </c>
      <c r="F747" s="14">
        <f>CHOOSE(CONTROL!$C$42, 57.4632, 57.4632)*CHOOSE(CONTROL!$C$21, $C$9, 100%, $E$9)</f>
        <v>57.463200000000001</v>
      </c>
      <c r="G747" s="14">
        <f>CHOOSE(CONTROL!$C$42, 57.4794, 57.4794)*CHOOSE(CONTROL!$C$21, $C$9, 100%, $E$9)</f>
        <v>57.479399999999998</v>
      </c>
      <c r="H747" s="14">
        <f>CHOOSE(CONTROL!$C$42, 57.5516, 57.5516) * CHOOSE(CONTROL!$C$21, $C$9, 100%, $E$9)</f>
        <v>57.551600000000001</v>
      </c>
      <c r="I747" s="14">
        <f>CHOOSE(CONTROL!$C$42, 57.6548, 57.6548)* CHOOSE(CONTROL!$C$21, $C$9, 100%, $E$9)</f>
        <v>57.654800000000002</v>
      </c>
      <c r="J747" s="14">
        <f>CHOOSE(CONTROL!$C$42, 57.4562, 57.4562)* CHOOSE(CONTROL!$C$21, $C$9, 100%, $E$9)</f>
        <v>57.456200000000003</v>
      </c>
      <c r="K747" s="53">
        <f>CHOOSE(CONTROL!$C$42, 57.6509, 57.6509) * CHOOSE(CONTROL!$C$21, $C$9, 100%, $E$9)</f>
        <v>57.6509</v>
      </c>
      <c r="L747" s="14">
        <f>CHOOSE(CONTROL!$C$42, 58.1386, 58.1386) * CHOOSE(CONTROL!$C$21, $C$9, 100%, $E$9)</f>
        <v>58.138599999999997</v>
      </c>
      <c r="M747" s="14">
        <f>CHOOSE(CONTROL!$C$42, 56.2866, 56.2866) * CHOOSE(CONTROL!$C$21, $C$9, 100%, $E$9)</f>
        <v>56.2866</v>
      </c>
      <c r="N747" s="14">
        <f>CHOOSE(CONTROL!$C$42, 56.3025, 56.3025) * CHOOSE(CONTROL!$C$21, $C$9, 100%, $E$9)</f>
        <v>56.302500000000002</v>
      </c>
      <c r="O747" s="14">
        <f>CHOOSE(CONTROL!$C$42, 56.3801, 56.3801) * CHOOSE(CONTROL!$C$21, $C$9, 100%, $E$9)</f>
        <v>56.380099999999999</v>
      </c>
      <c r="P747" s="14">
        <f>CHOOSE(CONTROL!$C$42, 56.4776, 56.4776) * CHOOSE(CONTROL!$C$21, $C$9, 100%, $E$9)</f>
        <v>56.477600000000002</v>
      </c>
      <c r="Q747" s="14">
        <f>CHOOSE(CONTROL!$C$42, 56.9748, 56.9748) * CHOOSE(CONTROL!$C$21, $C$9, 100%, $E$9)</f>
        <v>56.974800000000002</v>
      </c>
      <c r="R747" s="14">
        <f>CHOOSE(CONTROL!$C$42, 57.7042, 57.7042) * CHOOSE(CONTROL!$C$21, $C$9, 100%, $E$9)</f>
        <v>57.7042</v>
      </c>
      <c r="S747" s="14">
        <f>CHOOSE(CONTROL!$C$42, 55.2092, 55.2092) * CHOOSE(CONTROL!$C$21, $C$9, 100%, $E$9)</f>
        <v>55.209200000000003</v>
      </c>
      <c r="T7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7">
        <f>(1000*CHOOSE(CONTROL!$C$42, 695, 695)*CHOOSE(CONTROL!$C$42, 0.5599, 0.5599)*CHOOSE(CONTROL!$C$42, 31, 31))/1000000</f>
        <v>12.063045499999998</v>
      </c>
      <c r="V747" s="57">
        <f>(1000*CHOOSE(CONTROL!$C$42, 500, 500)*CHOOSE(CONTROL!$C$42, 0.275, 0.275)*CHOOSE(CONTROL!$C$42, 31, 31))/1000000</f>
        <v>4.2625000000000002</v>
      </c>
      <c r="W747" s="57">
        <f>(1000*CHOOSE(CONTROL!$C$42, 0.1146, 0.1146)*CHOOSE(CONTROL!$C$42, 121.5, 121.5)*CHOOSE(CONTROL!$C$42, 31, 31))/1000000</f>
        <v>0.43164089999999994</v>
      </c>
      <c r="X747" s="57">
        <f>(31*0.1790888*100000/1000000)+(31*0.2374*100000/1000000)</f>
        <v>1.2911152800000001</v>
      </c>
      <c r="Y747" s="57"/>
      <c r="Z747" s="14"/>
      <c r="AA747" s="56"/>
      <c r="AB747" s="50">
        <f>(B747*122.58+C747*297.941+D747*89.177+E747*40.302+F747*40+G747*160+H747*0+I747*100+J747*300)/(122.58+297.941+89.177+40.302+0+40+160+100+300)</f>
        <v>57.490646617043481</v>
      </c>
      <c r="AC747" s="45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56.357374820143889</v>
      </c>
    </row>
    <row r="748" spans="1:29" ht="15.75" x14ac:dyDescent="0.25">
      <c r="A748" s="32">
        <v>63674</v>
      </c>
      <c r="B748" s="14">
        <f>CHOOSE(CONTROL!$C$42, 57.2937, 57.2937) * CHOOSE(CONTROL!$C$21, $C$9, 100%, $E$9)</f>
        <v>57.293700000000001</v>
      </c>
      <c r="C748" s="14">
        <f>CHOOSE(CONTROL!$C$42, 57.2982, 57.2982) * CHOOSE(CONTROL!$C$21, $C$9, 100%, $E$9)</f>
        <v>57.298200000000001</v>
      </c>
      <c r="D748" s="14">
        <f>CHOOSE(CONTROL!$C$42, 57.5063, 57.5063) * CHOOSE(CONTROL!$C$21, $C$9, 100%, $E$9)</f>
        <v>57.506300000000003</v>
      </c>
      <c r="E748" s="14">
        <f>CHOOSE(CONTROL!$C$42, 57.5385, 57.5385) * CHOOSE(CONTROL!$C$21, $C$9, 100%, $E$9)</f>
        <v>57.538499999999999</v>
      </c>
      <c r="F748" s="14">
        <f>CHOOSE(CONTROL!$C$42, 57.2811, 57.2811)*CHOOSE(CONTROL!$C$21, $C$9, 100%, $E$9)</f>
        <v>57.281100000000002</v>
      </c>
      <c r="G748" s="14">
        <f>CHOOSE(CONTROL!$C$42, 57.297, 57.297)*CHOOSE(CONTROL!$C$21, $C$9, 100%, $E$9)</f>
        <v>57.296999999999997</v>
      </c>
      <c r="H748" s="14">
        <f>CHOOSE(CONTROL!$C$42, 57.5282, 57.5282) * CHOOSE(CONTROL!$C$21, $C$9, 100%, $E$9)</f>
        <v>57.528199999999998</v>
      </c>
      <c r="I748" s="14">
        <f>CHOOSE(CONTROL!$C$42, 57.4826, 57.4826)* CHOOSE(CONTROL!$C$21, $C$9, 100%, $E$9)</f>
        <v>57.482599999999998</v>
      </c>
      <c r="J748" s="14">
        <f>CHOOSE(CONTROL!$C$42, 57.2741, 57.2741)* CHOOSE(CONTROL!$C$21, $C$9, 100%, $E$9)</f>
        <v>57.274099999999997</v>
      </c>
      <c r="K748" s="53">
        <f>CHOOSE(CONTROL!$C$42, 57.4787, 57.4787) * CHOOSE(CONTROL!$C$21, $C$9, 100%, $E$9)</f>
        <v>57.478700000000003</v>
      </c>
      <c r="L748" s="14">
        <f>CHOOSE(CONTROL!$C$42, 58.1152, 58.1152) * CHOOSE(CONTROL!$C$21, $C$9, 100%, $E$9)</f>
        <v>58.115200000000002</v>
      </c>
      <c r="M748" s="14">
        <f>CHOOSE(CONTROL!$C$42, 56.1083, 56.1083) * CHOOSE(CONTROL!$C$21, $C$9, 100%, $E$9)</f>
        <v>56.1083</v>
      </c>
      <c r="N748" s="14">
        <f>CHOOSE(CONTROL!$C$42, 56.1239, 56.1239) * CHOOSE(CONTROL!$C$21, $C$9, 100%, $E$9)</f>
        <v>56.123899999999999</v>
      </c>
      <c r="O748" s="14">
        <f>CHOOSE(CONTROL!$C$42, 56.3572, 56.3572) * CHOOSE(CONTROL!$C$21, $C$9, 100%, $E$9)</f>
        <v>56.357199999999999</v>
      </c>
      <c r="P748" s="14">
        <f>CHOOSE(CONTROL!$C$42, 56.309, 56.309) * CHOOSE(CONTROL!$C$21, $C$9, 100%, $E$9)</f>
        <v>56.308999999999997</v>
      </c>
      <c r="Q748" s="14">
        <f>CHOOSE(CONTROL!$C$42, 56.9519, 56.9519) * CHOOSE(CONTROL!$C$21, $C$9, 100%, $E$9)</f>
        <v>56.951900000000002</v>
      </c>
      <c r="R748" s="14">
        <f>CHOOSE(CONTROL!$C$42, 57.6813, 57.6813) * CHOOSE(CONTROL!$C$21, $C$9, 100%, $E$9)</f>
        <v>57.6813</v>
      </c>
      <c r="S748" s="14">
        <f>CHOOSE(CONTROL!$C$42, 55.0443, 55.0443) * CHOOSE(CONTROL!$C$21, $C$9, 100%, $E$9)</f>
        <v>55.0443</v>
      </c>
      <c r="T7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7">
        <f>(1000*CHOOSE(CONTROL!$C$42, 695, 695)*CHOOSE(CONTROL!$C$42, 0.5599, 0.5599)*CHOOSE(CONTROL!$C$42, 30, 30))/1000000</f>
        <v>11.673914999999997</v>
      </c>
      <c r="V748" s="57">
        <f>(1000*CHOOSE(CONTROL!$C$42, 500, 500)*CHOOSE(CONTROL!$C$42, 0.275, 0.275)*CHOOSE(CONTROL!$C$42, 30, 30))/1000000</f>
        <v>4.125</v>
      </c>
      <c r="W748" s="57">
        <f>(1000*CHOOSE(CONTROL!$C$42, 0.1146, 0.1146)*CHOOSE(CONTROL!$C$42, 121.5, 121.5)*CHOOSE(CONTROL!$C$42, 30, 30))/1000000</f>
        <v>0.417717</v>
      </c>
      <c r="X748" s="57">
        <f>(30*0.1790888*245000/1000000)+(30*0.2374*100000/1000000)</f>
        <v>2.0285026799999999</v>
      </c>
      <c r="Y748" s="57"/>
      <c r="Z748" s="14"/>
      <c r="AA748" s="56"/>
      <c r="AB748" s="50">
        <f>(B748*141.293+C748*267.993+D748*115.016+E748*89.698+F748*40+G748*185+H748*0+I748*100+J748*300)/(141.293+267.993+115.016+89.698+0+40+185+100+300)</f>
        <v>57.342717708232449</v>
      </c>
      <c r="AC748" s="45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56.250886330935252</v>
      </c>
    </row>
    <row r="749" spans="1:29" ht="15.75" x14ac:dyDescent="0.25">
      <c r="A749" s="32">
        <v>63705</v>
      </c>
      <c r="B749" s="14">
        <f>CHOOSE(CONTROL!$C$42, 57.8007, 57.8007) * CHOOSE(CONTROL!$C$21, $C$9, 100%, $E$9)</f>
        <v>57.800699999999999</v>
      </c>
      <c r="C749" s="14">
        <f>CHOOSE(CONTROL!$C$42, 57.8088, 57.8088) * CHOOSE(CONTROL!$C$21, $C$9, 100%, $E$9)</f>
        <v>57.808799999999998</v>
      </c>
      <c r="D749" s="14">
        <f>CHOOSE(CONTROL!$C$42, 58.0137, 58.0137) * CHOOSE(CONTROL!$C$21, $C$9, 100%, $E$9)</f>
        <v>58.0137</v>
      </c>
      <c r="E749" s="14">
        <f>CHOOSE(CONTROL!$C$42, 58.0452, 58.0452) * CHOOSE(CONTROL!$C$21, $C$9, 100%, $E$9)</f>
        <v>58.045200000000001</v>
      </c>
      <c r="F749" s="14">
        <f>CHOOSE(CONTROL!$C$42, 57.7869, 57.7869)*CHOOSE(CONTROL!$C$21, $C$9, 100%, $E$9)</f>
        <v>57.786900000000003</v>
      </c>
      <c r="G749" s="14">
        <f>CHOOSE(CONTROL!$C$42, 57.8033, 57.8033)*CHOOSE(CONTROL!$C$21, $C$9, 100%, $E$9)</f>
        <v>57.8033</v>
      </c>
      <c r="H749" s="14">
        <f>CHOOSE(CONTROL!$C$42, 58.0338, 58.0338) * CHOOSE(CONTROL!$C$21, $C$9, 100%, $E$9)</f>
        <v>58.033799999999999</v>
      </c>
      <c r="I749" s="14">
        <f>CHOOSE(CONTROL!$C$42, 57.9898, 57.9898)* CHOOSE(CONTROL!$C$21, $C$9, 100%, $E$9)</f>
        <v>57.989800000000002</v>
      </c>
      <c r="J749" s="14">
        <f>CHOOSE(CONTROL!$C$42, 57.7799, 57.7799)* CHOOSE(CONTROL!$C$21, $C$9, 100%, $E$9)</f>
        <v>57.779899999999998</v>
      </c>
      <c r="K749" s="53">
        <f>CHOOSE(CONTROL!$C$42, 57.9859, 57.9859) * CHOOSE(CONTROL!$C$21, $C$9, 100%, $E$9)</f>
        <v>57.985900000000001</v>
      </c>
      <c r="L749" s="14">
        <f>CHOOSE(CONTROL!$C$42, 58.6208, 58.6208) * CHOOSE(CONTROL!$C$21, $C$9, 100%, $E$9)</f>
        <v>58.620800000000003</v>
      </c>
      <c r="M749" s="14">
        <f>CHOOSE(CONTROL!$C$42, 56.6037, 56.6037) * CHOOSE(CONTROL!$C$21, $C$9, 100%, $E$9)</f>
        <v>56.603700000000003</v>
      </c>
      <c r="N749" s="14">
        <f>CHOOSE(CONTROL!$C$42, 56.6198, 56.6198) * CHOOSE(CONTROL!$C$21, $C$9, 100%, $E$9)</f>
        <v>56.619799999999998</v>
      </c>
      <c r="O749" s="14">
        <f>CHOOSE(CONTROL!$C$42, 56.8524, 56.8524) * CHOOSE(CONTROL!$C$21, $C$9, 100%, $E$9)</f>
        <v>56.852400000000003</v>
      </c>
      <c r="P749" s="14">
        <f>CHOOSE(CONTROL!$C$42, 56.8058, 56.8058) * CHOOSE(CONTROL!$C$21, $C$9, 100%, $E$9)</f>
        <v>56.805799999999998</v>
      </c>
      <c r="Q749" s="14">
        <f>CHOOSE(CONTROL!$C$42, 57.4471, 57.4471) * CHOOSE(CONTROL!$C$21, $C$9, 100%, $E$9)</f>
        <v>57.447099999999999</v>
      </c>
      <c r="R749" s="14">
        <f>CHOOSE(CONTROL!$C$42, 58.1778, 58.1778) * CHOOSE(CONTROL!$C$21, $C$9, 100%, $E$9)</f>
        <v>58.177799999999998</v>
      </c>
      <c r="S749" s="14">
        <f>CHOOSE(CONTROL!$C$42, 55.5301, 55.5301) * CHOOSE(CONTROL!$C$21, $C$9, 100%, $E$9)</f>
        <v>55.530099999999997</v>
      </c>
      <c r="T7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7">
        <f>(1000*CHOOSE(CONTROL!$C$42, 695, 695)*CHOOSE(CONTROL!$C$42, 0.5599, 0.5599)*CHOOSE(CONTROL!$C$42, 31, 31))/1000000</f>
        <v>12.063045499999998</v>
      </c>
      <c r="V749" s="57">
        <f>(1000*CHOOSE(CONTROL!$C$42, 500, 500)*CHOOSE(CONTROL!$C$42, 0.275, 0.275)*CHOOSE(CONTROL!$C$42, 31, 31))/1000000</f>
        <v>4.2625000000000002</v>
      </c>
      <c r="W749" s="57">
        <f>(1000*CHOOSE(CONTROL!$C$42, 0.1146, 0.1146)*CHOOSE(CONTROL!$C$42, 121.5, 121.5)*CHOOSE(CONTROL!$C$42, 31, 31))/1000000</f>
        <v>0.43164089999999994</v>
      </c>
      <c r="X749" s="57">
        <f>(31*0.1790888*245000/1000000)+(31*0.2374*100000/1000000)</f>
        <v>2.0961194359999999</v>
      </c>
      <c r="Y749" s="57"/>
      <c r="Z749" s="14"/>
      <c r="AA749" s="56"/>
      <c r="AB749" s="50">
        <f>(B749*194.205+C749*267.466+D749*133.845+E749*53.484+F749*40+G749*185+H749*0+I749*100+J749*300)/(194.205+267.466+133.845+53.484+0+40+185+100+300)</f>
        <v>57.844931787755115</v>
      </c>
      <c r="AC749" s="45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56.746425899280581</v>
      </c>
    </row>
    <row r="750" spans="1:29" ht="15.75" x14ac:dyDescent="0.25">
      <c r="A750" s="32">
        <v>63735</v>
      </c>
      <c r="B750" s="14">
        <f>CHOOSE(CONTROL!$C$42, 59.44, 59.44) * CHOOSE(CONTROL!$C$21, $C$9, 100%, $E$9)</f>
        <v>59.44</v>
      </c>
      <c r="C750" s="14">
        <f>CHOOSE(CONTROL!$C$42, 59.448, 59.448) * CHOOSE(CONTROL!$C$21, $C$9, 100%, $E$9)</f>
        <v>59.448</v>
      </c>
      <c r="D750" s="14">
        <f>CHOOSE(CONTROL!$C$42, 59.653, 59.653) * CHOOSE(CONTROL!$C$21, $C$9, 100%, $E$9)</f>
        <v>59.652999999999999</v>
      </c>
      <c r="E750" s="14">
        <f>CHOOSE(CONTROL!$C$42, 59.6844, 59.6844) * CHOOSE(CONTROL!$C$21, $C$9, 100%, $E$9)</f>
        <v>59.684399999999997</v>
      </c>
      <c r="F750" s="14">
        <f>CHOOSE(CONTROL!$C$42, 59.4265, 59.4265)*CHOOSE(CONTROL!$C$21, $C$9, 100%, $E$9)</f>
        <v>59.426499999999997</v>
      </c>
      <c r="G750" s="14">
        <f>CHOOSE(CONTROL!$C$42, 59.4431, 59.4431)*CHOOSE(CONTROL!$C$21, $C$9, 100%, $E$9)</f>
        <v>59.443100000000001</v>
      </c>
      <c r="H750" s="14">
        <f>CHOOSE(CONTROL!$C$42, 59.6731, 59.6731) * CHOOSE(CONTROL!$C$21, $C$9, 100%, $E$9)</f>
        <v>59.673099999999998</v>
      </c>
      <c r="I750" s="14">
        <f>CHOOSE(CONTROL!$C$42, 59.6342, 59.6342)* CHOOSE(CONTROL!$C$21, $C$9, 100%, $E$9)</f>
        <v>59.6342</v>
      </c>
      <c r="J750" s="14">
        <f>CHOOSE(CONTROL!$C$42, 59.4195, 59.4195)* CHOOSE(CONTROL!$C$21, $C$9, 100%, $E$9)</f>
        <v>59.419499999999999</v>
      </c>
      <c r="K750" s="53">
        <f>CHOOSE(CONTROL!$C$42, 59.6303, 59.6303) * CHOOSE(CONTROL!$C$21, $C$9, 100%, $E$9)</f>
        <v>59.630299999999998</v>
      </c>
      <c r="L750" s="14">
        <f>CHOOSE(CONTROL!$C$42, 60.2601, 60.2601) * CHOOSE(CONTROL!$C$21, $C$9, 100%, $E$9)</f>
        <v>60.260100000000001</v>
      </c>
      <c r="M750" s="14">
        <f>CHOOSE(CONTROL!$C$42, 58.2098, 58.2098) * CHOOSE(CONTROL!$C$21, $C$9, 100%, $E$9)</f>
        <v>58.209800000000001</v>
      </c>
      <c r="N750" s="14">
        <f>CHOOSE(CONTROL!$C$42, 58.2259, 58.2259) * CHOOSE(CONTROL!$C$21, $C$9, 100%, $E$9)</f>
        <v>58.225900000000003</v>
      </c>
      <c r="O750" s="14">
        <f>CHOOSE(CONTROL!$C$42, 58.4581, 58.4581) * CHOOSE(CONTROL!$C$21, $C$9, 100%, $E$9)</f>
        <v>58.458100000000002</v>
      </c>
      <c r="P750" s="14">
        <f>CHOOSE(CONTROL!$C$42, 58.4164, 58.4164) * CHOOSE(CONTROL!$C$21, $C$9, 100%, $E$9)</f>
        <v>58.416400000000003</v>
      </c>
      <c r="Q750" s="14">
        <f>CHOOSE(CONTROL!$C$42, 59.0528, 59.0528) * CHOOSE(CONTROL!$C$21, $C$9, 100%, $E$9)</f>
        <v>59.052799999999998</v>
      </c>
      <c r="R750" s="14">
        <f>CHOOSE(CONTROL!$C$42, 59.7874, 59.7874) * CHOOSE(CONTROL!$C$21, $C$9, 100%, $E$9)</f>
        <v>59.787399999999998</v>
      </c>
      <c r="S750" s="14">
        <f>CHOOSE(CONTROL!$C$42, 57.1052, 57.1052) * CHOOSE(CONTROL!$C$21, $C$9, 100%, $E$9)</f>
        <v>57.105200000000004</v>
      </c>
      <c r="T7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7">
        <f>(1000*CHOOSE(CONTROL!$C$42, 695, 695)*CHOOSE(CONTROL!$C$42, 0.5599, 0.5599)*CHOOSE(CONTROL!$C$42, 30, 30))/1000000</f>
        <v>11.673914999999997</v>
      </c>
      <c r="V750" s="57">
        <f>(1000*CHOOSE(CONTROL!$C$42, 500, 500)*CHOOSE(CONTROL!$C$42, 0.275, 0.275)*CHOOSE(CONTROL!$C$42, 30, 30))/1000000</f>
        <v>4.125</v>
      </c>
      <c r="W750" s="57">
        <f>(1000*CHOOSE(CONTROL!$C$42, 0.1146, 0.1146)*CHOOSE(CONTROL!$C$42, 121.5, 121.5)*CHOOSE(CONTROL!$C$42, 30, 30))/1000000</f>
        <v>0.417717</v>
      </c>
      <c r="X750" s="57">
        <f>(30*0.1790888*245000/1000000)+(30*0.2374*100000/1000000)</f>
        <v>2.0285026799999999</v>
      </c>
      <c r="Y750" s="57"/>
      <c r="Z750" s="14"/>
      <c r="AA750" s="56"/>
      <c r="AB750" s="50">
        <f>(B750*194.205+C750*267.466+D750*133.845+E750*53.484+F750*40+G750*185+H750*0+I750*100+J750*300)/(194.205+267.466+133.845+53.484+0+40+185+100+300)</f>
        <v>59.484759578178959</v>
      </c>
      <c r="AC750" s="45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58.352992086330936</v>
      </c>
    </row>
    <row r="751" spans="1:29" ht="15.75" x14ac:dyDescent="0.25">
      <c r="A751" s="32">
        <v>63766</v>
      </c>
      <c r="B751" s="14">
        <f>CHOOSE(CONTROL!$C$42, 58.2999, 58.2999) * CHOOSE(CONTROL!$C$21, $C$9, 100%, $E$9)</f>
        <v>58.299900000000001</v>
      </c>
      <c r="C751" s="14">
        <f>CHOOSE(CONTROL!$C$42, 58.3079, 58.3079) * CHOOSE(CONTROL!$C$21, $C$9, 100%, $E$9)</f>
        <v>58.307899999999997</v>
      </c>
      <c r="D751" s="14">
        <f>CHOOSE(CONTROL!$C$42, 58.5129, 58.5129) * CHOOSE(CONTROL!$C$21, $C$9, 100%, $E$9)</f>
        <v>58.512900000000002</v>
      </c>
      <c r="E751" s="14">
        <f>CHOOSE(CONTROL!$C$42, 58.5443, 58.5443) * CHOOSE(CONTROL!$C$21, $C$9, 100%, $E$9)</f>
        <v>58.5443</v>
      </c>
      <c r="F751" s="14">
        <f>CHOOSE(CONTROL!$C$42, 58.2868, 58.2868)*CHOOSE(CONTROL!$C$21, $C$9, 100%, $E$9)</f>
        <v>58.286799999999999</v>
      </c>
      <c r="G751" s="14">
        <f>CHOOSE(CONTROL!$C$42, 58.3035, 58.3035)*CHOOSE(CONTROL!$C$21, $C$9, 100%, $E$9)</f>
        <v>58.3035</v>
      </c>
      <c r="H751" s="14">
        <f>CHOOSE(CONTROL!$C$42, 58.533, 58.533) * CHOOSE(CONTROL!$C$21, $C$9, 100%, $E$9)</f>
        <v>58.533000000000001</v>
      </c>
      <c r="I751" s="14">
        <f>CHOOSE(CONTROL!$C$42, 58.4905, 58.4905)* CHOOSE(CONTROL!$C$21, $C$9, 100%, $E$9)</f>
        <v>58.490499999999997</v>
      </c>
      <c r="J751" s="14">
        <f>CHOOSE(CONTROL!$C$42, 58.2798, 58.2798)* CHOOSE(CONTROL!$C$21, $C$9, 100%, $E$9)</f>
        <v>58.279800000000002</v>
      </c>
      <c r="K751" s="53">
        <f>CHOOSE(CONTROL!$C$42, 58.4866, 58.4866) * CHOOSE(CONTROL!$C$21, $C$9, 100%, $E$9)</f>
        <v>58.486600000000003</v>
      </c>
      <c r="L751" s="14">
        <f>CHOOSE(CONTROL!$C$42, 59.12, 59.12) * CHOOSE(CONTROL!$C$21, $C$9, 100%, $E$9)</f>
        <v>59.12</v>
      </c>
      <c r="M751" s="14">
        <f>CHOOSE(CONTROL!$C$42, 57.0934, 57.0934) * CHOOSE(CONTROL!$C$21, $C$9, 100%, $E$9)</f>
        <v>57.093400000000003</v>
      </c>
      <c r="N751" s="14">
        <f>CHOOSE(CONTROL!$C$42, 57.1097, 57.1097) * CHOOSE(CONTROL!$C$21, $C$9, 100%, $E$9)</f>
        <v>57.109699999999997</v>
      </c>
      <c r="O751" s="14">
        <f>CHOOSE(CONTROL!$C$42, 57.3414, 57.3414) * CHOOSE(CONTROL!$C$21, $C$9, 100%, $E$9)</f>
        <v>57.3414</v>
      </c>
      <c r="P751" s="14">
        <f>CHOOSE(CONTROL!$C$42, 57.2962, 57.2962) * CHOOSE(CONTROL!$C$21, $C$9, 100%, $E$9)</f>
        <v>57.296199999999999</v>
      </c>
      <c r="Q751" s="14">
        <f>CHOOSE(CONTROL!$C$42, 57.9361, 57.9361) * CHOOSE(CONTROL!$C$21, $C$9, 100%, $E$9)</f>
        <v>57.936100000000003</v>
      </c>
      <c r="R751" s="14">
        <f>CHOOSE(CONTROL!$C$42, 58.6679, 58.6679) * CHOOSE(CONTROL!$C$21, $C$9, 100%, $E$9)</f>
        <v>58.667900000000003</v>
      </c>
      <c r="S751" s="14">
        <f>CHOOSE(CONTROL!$C$42, 56.0097, 56.0097) * CHOOSE(CONTROL!$C$21, $C$9, 100%, $E$9)</f>
        <v>56.009700000000002</v>
      </c>
      <c r="T7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7">
        <f>(1000*CHOOSE(CONTROL!$C$42, 695, 695)*CHOOSE(CONTROL!$C$42, 0.5599, 0.5599)*CHOOSE(CONTROL!$C$42, 31, 31))/1000000</f>
        <v>12.063045499999998</v>
      </c>
      <c r="V751" s="57">
        <f>(1000*CHOOSE(CONTROL!$C$42, 500, 500)*CHOOSE(CONTROL!$C$42, 0.275, 0.275)*CHOOSE(CONTROL!$C$42, 31, 31))/1000000</f>
        <v>4.2625000000000002</v>
      </c>
      <c r="W751" s="57">
        <f>(1000*CHOOSE(CONTROL!$C$42, 0.1146, 0.1146)*CHOOSE(CONTROL!$C$42, 121.5, 121.5)*CHOOSE(CONTROL!$C$42, 31, 31))/1000000</f>
        <v>0.43164089999999994</v>
      </c>
      <c r="X751" s="57">
        <f>(31*0.1790888*245000/1000000)+(31*0.2374*100000/1000000)</f>
        <v>2.0961194359999999</v>
      </c>
      <c r="Y751" s="57"/>
      <c r="Z751" s="14"/>
      <c r="AA751" s="56"/>
      <c r="AB751" s="50">
        <f>(B751*194.205+C751*267.466+D751*133.845+E751*53.484+F751*40+G751*185+H751*0+I751*100+J751*300)/(194.205+267.466+133.845+53.484+0+40+185+100+300)</f>
        <v>58.344556359968607</v>
      </c>
      <c r="AC751" s="45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57.23592086330936</v>
      </c>
    </row>
    <row r="752" spans="1:29" ht="15.75" x14ac:dyDescent="0.25">
      <c r="A752" s="32">
        <v>63797</v>
      </c>
      <c r="B752" s="14">
        <f>CHOOSE(CONTROL!$C$42, 55.4207, 55.4207) * CHOOSE(CONTROL!$C$21, $C$9, 100%, $E$9)</f>
        <v>55.420699999999997</v>
      </c>
      <c r="C752" s="14">
        <f>CHOOSE(CONTROL!$C$42, 55.4288, 55.4288) * CHOOSE(CONTROL!$C$21, $C$9, 100%, $E$9)</f>
        <v>55.428800000000003</v>
      </c>
      <c r="D752" s="14">
        <f>CHOOSE(CONTROL!$C$42, 55.6337, 55.6337) * CHOOSE(CONTROL!$C$21, $C$9, 100%, $E$9)</f>
        <v>55.633699999999997</v>
      </c>
      <c r="E752" s="14">
        <f>CHOOSE(CONTROL!$C$42, 55.6652, 55.6652) * CHOOSE(CONTROL!$C$21, $C$9, 100%, $E$9)</f>
        <v>55.665199999999999</v>
      </c>
      <c r="F752" s="14">
        <f>CHOOSE(CONTROL!$C$42, 55.4079, 55.4079)*CHOOSE(CONTROL!$C$21, $C$9, 100%, $E$9)</f>
        <v>55.407899999999998</v>
      </c>
      <c r="G752" s="14">
        <f>CHOOSE(CONTROL!$C$42, 55.4246, 55.4246)*CHOOSE(CONTROL!$C$21, $C$9, 100%, $E$9)</f>
        <v>55.424599999999998</v>
      </c>
      <c r="H752" s="14">
        <f>CHOOSE(CONTROL!$C$42, 55.6538, 55.6538) * CHOOSE(CONTROL!$C$21, $C$9, 100%, $E$9)</f>
        <v>55.653799999999997</v>
      </c>
      <c r="I752" s="14">
        <f>CHOOSE(CONTROL!$C$42, 55.6024, 55.6024)* CHOOSE(CONTROL!$C$21, $C$9, 100%, $E$9)</f>
        <v>55.602400000000003</v>
      </c>
      <c r="J752" s="14">
        <f>CHOOSE(CONTROL!$C$42, 55.4009, 55.4009)* CHOOSE(CONTROL!$C$21, $C$9, 100%, $E$9)</f>
        <v>55.4009</v>
      </c>
      <c r="K752" s="53">
        <f>CHOOSE(CONTROL!$C$42, 55.5985, 55.5985) * CHOOSE(CONTROL!$C$21, $C$9, 100%, $E$9)</f>
        <v>55.598500000000001</v>
      </c>
      <c r="L752" s="14">
        <f>CHOOSE(CONTROL!$C$42, 56.2408, 56.2408) * CHOOSE(CONTROL!$C$21, $C$9, 100%, $E$9)</f>
        <v>56.2408</v>
      </c>
      <c r="M752" s="14">
        <f>CHOOSE(CONTROL!$C$42, 54.2735, 54.2735) * CHOOSE(CONTROL!$C$21, $C$9, 100%, $E$9)</f>
        <v>54.273499999999999</v>
      </c>
      <c r="N752" s="14">
        <f>CHOOSE(CONTROL!$C$42, 54.2898, 54.2898) * CHOOSE(CONTROL!$C$21, $C$9, 100%, $E$9)</f>
        <v>54.2898</v>
      </c>
      <c r="O752" s="14">
        <f>CHOOSE(CONTROL!$C$42, 54.5212, 54.5212) * CHOOSE(CONTROL!$C$21, $C$9, 100%, $E$9)</f>
        <v>54.5212</v>
      </c>
      <c r="P752" s="14">
        <f>CHOOSE(CONTROL!$C$42, 54.4674, 54.4674) * CHOOSE(CONTROL!$C$21, $C$9, 100%, $E$9)</f>
        <v>54.467399999999998</v>
      </c>
      <c r="Q752" s="14">
        <f>CHOOSE(CONTROL!$C$42, 55.1159, 55.1159) * CHOOSE(CONTROL!$C$21, $C$9, 100%, $E$9)</f>
        <v>55.115900000000003</v>
      </c>
      <c r="R752" s="14">
        <f>CHOOSE(CONTROL!$C$42, 55.8407, 55.8407) * CHOOSE(CONTROL!$C$21, $C$9, 100%, $E$9)</f>
        <v>55.840699999999998</v>
      </c>
      <c r="S752" s="14">
        <f>CHOOSE(CONTROL!$C$42, 53.2432, 53.2432) * CHOOSE(CONTROL!$C$21, $C$9, 100%, $E$9)</f>
        <v>53.243200000000002</v>
      </c>
      <c r="T7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7">
        <f>(1000*CHOOSE(CONTROL!$C$42, 695, 695)*CHOOSE(CONTROL!$C$42, 0.5599, 0.5599)*CHOOSE(CONTROL!$C$42, 31, 31))/1000000</f>
        <v>12.063045499999998</v>
      </c>
      <c r="V752" s="57">
        <f>(1000*CHOOSE(CONTROL!$C$42, 500, 500)*CHOOSE(CONTROL!$C$42, 0.275, 0.275)*CHOOSE(CONTROL!$C$42, 31, 31))/1000000</f>
        <v>4.2625000000000002</v>
      </c>
      <c r="W752" s="57">
        <f>(1000*CHOOSE(CONTROL!$C$42, 0.1146, 0.1146)*CHOOSE(CONTROL!$C$42, 121.5, 121.5)*CHOOSE(CONTROL!$C$42, 31, 31))/1000000</f>
        <v>0.43164089999999994</v>
      </c>
      <c r="X752" s="57">
        <f>(31*0.1790888*245000/1000000)+(31*0.2374*100000/1000000)</f>
        <v>2.0961194359999999</v>
      </c>
      <c r="Y752" s="57"/>
      <c r="Z752" s="14"/>
      <c r="AA752" s="56"/>
      <c r="AB752" s="50">
        <f>(B752*194.205+C752*267.466+D752*133.845+E752*53.484+F752*40+G752*185+H752*0+I752*100+J752*300)/(194.205+267.466+133.845+53.484+0+40+185+100+300)</f>
        <v>55.464806591522759</v>
      </c>
      <c r="AC752" s="45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54.414604316546765</v>
      </c>
    </row>
    <row r="753" spans="1:29" ht="15.75" x14ac:dyDescent="0.25">
      <c r="A753" s="32">
        <v>63827</v>
      </c>
      <c r="B753" s="14">
        <f>CHOOSE(CONTROL!$C$42, 51.9026, 51.9026) * CHOOSE(CONTROL!$C$21, $C$9, 100%, $E$9)</f>
        <v>51.9026</v>
      </c>
      <c r="C753" s="14">
        <f>CHOOSE(CONTROL!$C$42, 51.9106, 51.9106) * CHOOSE(CONTROL!$C$21, $C$9, 100%, $E$9)</f>
        <v>51.910600000000002</v>
      </c>
      <c r="D753" s="14">
        <f>CHOOSE(CONTROL!$C$42, 52.1156, 52.1156) * CHOOSE(CONTROL!$C$21, $C$9, 100%, $E$9)</f>
        <v>52.115600000000001</v>
      </c>
      <c r="E753" s="14">
        <f>CHOOSE(CONTROL!$C$42, 52.147, 52.147) * CHOOSE(CONTROL!$C$21, $C$9, 100%, $E$9)</f>
        <v>52.146999999999998</v>
      </c>
      <c r="F753" s="14">
        <f>CHOOSE(CONTROL!$C$42, 51.8897, 51.8897)*CHOOSE(CONTROL!$C$21, $C$9, 100%, $E$9)</f>
        <v>51.889699999999998</v>
      </c>
      <c r="G753" s="14">
        <f>CHOOSE(CONTROL!$C$42, 51.9064, 51.9064)*CHOOSE(CONTROL!$C$21, $C$9, 100%, $E$9)</f>
        <v>51.906399999999998</v>
      </c>
      <c r="H753" s="14">
        <f>CHOOSE(CONTROL!$C$42, 52.1357, 52.1357) * CHOOSE(CONTROL!$C$21, $C$9, 100%, $E$9)</f>
        <v>52.1357</v>
      </c>
      <c r="I753" s="14">
        <f>CHOOSE(CONTROL!$C$42, 52.0732, 52.0732)* CHOOSE(CONTROL!$C$21, $C$9, 100%, $E$9)</f>
        <v>52.0732</v>
      </c>
      <c r="J753" s="14">
        <f>CHOOSE(CONTROL!$C$42, 51.8827, 51.8827)* CHOOSE(CONTROL!$C$21, $C$9, 100%, $E$9)</f>
        <v>51.8827</v>
      </c>
      <c r="K753" s="53">
        <f>CHOOSE(CONTROL!$C$42, 52.0693, 52.0693) * CHOOSE(CONTROL!$C$21, $C$9, 100%, $E$9)</f>
        <v>52.069299999999998</v>
      </c>
      <c r="L753" s="14">
        <f>CHOOSE(CONTROL!$C$42, 52.7227, 52.7227) * CHOOSE(CONTROL!$C$21, $C$9, 100%, $E$9)</f>
        <v>52.722700000000003</v>
      </c>
      <c r="M753" s="14">
        <f>CHOOSE(CONTROL!$C$42, 50.8274, 50.8274) * CHOOSE(CONTROL!$C$21, $C$9, 100%, $E$9)</f>
        <v>50.827399999999997</v>
      </c>
      <c r="N753" s="14">
        <f>CHOOSE(CONTROL!$C$42, 50.8437, 50.8437) * CHOOSE(CONTROL!$C$21, $C$9, 100%, $E$9)</f>
        <v>50.843699999999998</v>
      </c>
      <c r="O753" s="14">
        <f>CHOOSE(CONTROL!$C$42, 51.0751, 51.0751) * CHOOSE(CONTROL!$C$21, $C$9, 100%, $E$9)</f>
        <v>51.075099999999999</v>
      </c>
      <c r="P753" s="14">
        <f>CHOOSE(CONTROL!$C$42, 51.0107, 51.0107) * CHOOSE(CONTROL!$C$21, $C$9, 100%, $E$9)</f>
        <v>51.0107</v>
      </c>
      <c r="Q753" s="14">
        <f>CHOOSE(CONTROL!$C$42, 51.6698, 51.6698) * CHOOSE(CONTROL!$C$21, $C$9, 100%, $E$9)</f>
        <v>51.669800000000002</v>
      </c>
      <c r="R753" s="14">
        <f>CHOOSE(CONTROL!$C$42, 52.386, 52.386) * CHOOSE(CONTROL!$C$21, $C$9, 100%, $E$9)</f>
        <v>52.386000000000003</v>
      </c>
      <c r="S753" s="14">
        <f>CHOOSE(CONTROL!$C$42, 49.8625, 49.8625) * CHOOSE(CONTROL!$C$21, $C$9, 100%, $E$9)</f>
        <v>49.862499999999997</v>
      </c>
      <c r="T7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7">
        <f>(1000*CHOOSE(CONTROL!$C$42, 695, 695)*CHOOSE(CONTROL!$C$42, 0.5599, 0.5599)*CHOOSE(CONTROL!$C$42, 30, 30))/1000000</f>
        <v>11.673914999999997</v>
      </c>
      <c r="V753" s="57">
        <f>(1000*CHOOSE(CONTROL!$C$42, 500, 500)*CHOOSE(CONTROL!$C$42, 0.275, 0.275)*CHOOSE(CONTROL!$C$42, 30, 30))/1000000</f>
        <v>4.125</v>
      </c>
      <c r="W753" s="57">
        <f>(1000*CHOOSE(CONTROL!$C$42, 0.1146, 0.1146)*CHOOSE(CONTROL!$C$42, 121.5, 121.5)*CHOOSE(CONTROL!$C$42, 30, 30))/1000000</f>
        <v>0.417717</v>
      </c>
      <c r="X753" s="57">
        <f>(30*0.1790888*245000/1000000)+(30*0.2374*100000/1000000)</f>
        <v>2.0285026799999999</v>
      </c>
      <c r="Y753" s="57"/>
      <c r="Z753" s="14"/>
      <c r="AA753" s="56"/>
      <c r="AB753" s="50">
        <f>(B753*194.205+C753*267.466+D753*133.845+E753*53.484+F753*40+G753*185+H753*0+I753*100+J753*300)/(194.205+267.466+133.845+53.484+0+40+185+100+300)</f>
        <v>51.945768918838311</v>
      </c>
      <c r="AC753" s="45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50.966979136690647</v>
      </c>
    </row>
    <row r="754" spans="1:29" ht="15.75" x14ac:dyDescent="0.25">
      <c r="A754" s="32">
        <v>63858</v>
      </c>
      <c r="B754" s="14">
        <f>CHOOSE(CONTROL!$C$42, 50.8472, 50.8472) * CHOOSE(CONTROL!$C$21, $C$9, 100%, $E$9)</f>
        <v>50.847200000000001</v>
      </c>
      <c r="C754" s="14">
        <f>CHOOSE(CONTROL!$C$42, 50.8525, 50.8525) * CHOOSE(CONTROL!$C$21, $C$9, 100%, $E$9)</f>
        <v>50.852499999999999</v>
      </c>
      <c r="D754" s="14">
        <f>CHOOSE(CONTROL!$C$42, 51.0625, 51.0625) * CHOOSE(CONTROL!$C$21, $C$9, 100%, $E$9)</f>
        <v>51.0625</v>
      </c>
      <c r="E754" s="14">
        <f>CHOOSE(CONTROL!$C$42, 51.0916, 51.0916) * CHOOSE(CONTROL!$C$21, $C$9, 100%, $E$9)</f>
        <v>51.0916</v>
      </c>
      <c r="F754" s="14">
        <f>CHOOSE(CONTROL!$C$42, 50.8364, 50.8364)*CHOOSE(CONTROL!$C$21, $C$9, 100%, $E$9)</f>
        <v>50.836399999999998</v>
      </c>
      <c r="G754" s="14">
        <f>CHOOSE(CONTROL!$C$42, 50.8528, 50.8528)*CHOOSE(CONTROL!$C$21, $C$9, 100%, $E$9)</f>
        <v>50.852800000000002</v>
      </c>
      <c r="H754" s="14">
        <f>CHOOSE(CONTROL!$C$42, 51.0821, 51.0821) * CHOOSE(CONTROL!$C$21, $C$9, 100%, $E$9)</f>
        <v>51.082099999999997</v>
      </c>
      <c r="I754" s="14">
        <f>CHOOSE(CONTROL!$C$42, 51.0163, 51.0163)* CHOOSE(CONTROL!$C$21, $C$9, 100%, $E$9)</f>
        <v>51.016300000000001</v>
      </c>
      <c r="J754" s="14">
        <f>CHOOSE(CONTROL!$C$42, 50.8294, 50.8294)* CHOOSE(CONTROL!$C$21, $C$9, 100%, $E$9)</f>
        <v>50.8294</v>
      </c>
      <c r="K754" s="53">
        <f>CHOOSE(CONTROL!$C$42, 51.0124, 51.0124) * CHOOSE(CONTROL!$C$21, $C$9, 100%, $E$9)</f>
        <v>51.0124</v>
      </c>
      <c r="L754" s="14">
        <f>CHOOSE(CONTROL!$C$42, 51.6691, 51.6691) * CHOOSE(CONTROL!$C$21, $C$9, 100%, $E$9)</f>
        <v>51.6691</v>
      </c>
      <c r="M754" s="14">
        <f>CHOOSE(CONTROL!$C$42, 49.7957, 49.7957) * CHOOSE(CONTROL!$C$21, $C$9, 100%, $E$9)</f>
        <v>49.795699999999997</v>
      </c>
      <c r="N754" s="14">
        <f>CHOOSE(CONTROL!$C$42, 49.8117, 49.8117) * CHOOSE(CONTROL!$C$21, $C$9, 100%, $E$9)</f>
        <v>49.811700000000002</v>
      </c>
      <c r="O754" s="14">
        <f>CHOOSE(CONTROL!$C$42, 50.0431, 50.0431) * CHOOSE(CONTROL!$C$21, $C$9, 100%, $E$9)</f>
        <v>50.043100000000003</v>
      </c>
      <c r="P754" s="14">
        <f>CHOOSE(CONTROL!$C$42, 49.9756, 49.9756) * CHOOSE(CONTROL!$C$21, $C$9, 100%, $E$9)</f>
        <v>49.9756</v>
      </c>
      <c r="Q754" s="14">
        <f>CHOOSE(CONTROL!$C$42, 50.6378, 50.6378) * CHOOSE(CONTROL!$C$21, $C$9, 100%, $E$9)</f>
        <v>50.637799999999999</v>
      </c>
      <c r="R754" s="14">
        <f>CHOOSE(CONTROL!$C$42, 51.3514, 51.3514) * CHOOSE(CONTROL!$C$21, $C$9, 100%, $E$9)</f>
        <v>51.351399999999998</v>
      </c>
      <c r="S754" s="14">
        <f>CHOOSE(CONTROL!$C$42, 48.8502, 48.8502) * CHOOSE(CONTROL!$C$21, $C$9, 100%, $E$9)</f>
        <v>48.850200000000001</v>
      </c>
      <c r="T7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7">
        <f>(1000*CHOOSE(CONTROL!$C$42, 695, 695)*CHOOSE(CONTROL!$C$42, 0.5599, 0.5599)*CHOOSE(CONTROL!$C$42, 31, 31))/1000000</f>
        <v>12.063045499999998</v>
      </c>
      <c r="V754" s="57">
        <f>(1000*CHOOSE(CONTROL!$C$42, 500, 500)*CHOOSE(CONTROL!$C$42, 0.275, 0.275)*CHOOSE(CONTROL!$C$42, 31, 31))/1000000</f>
        <v>4.2625000000000002</v>
      </c>
      <c r="W754" s="57">
        <f>(1000*CHOOSE(CONTROL!$C$42, 0.1146, 0.1146)*CHOOSE(CONTROL!$C$42, 121.5, 121.5)*CHOOSE(CONTROL!$C$42, 31, 31))/1000000</f>
        <v>0.43164089999999994</v>
      </c>
      <c r="X754" s="57">
        <f>(31*0.1790888*245000/1000000)+(31*0.2374*100000/1000000)</f>
        <v>2.0961194359999999</v>
      </c>
      <c r="Y754" s="57"/>
      <c r="Z754" s="14"/>
      <c r="AA754" s="56"/>
      <c r="AB754" s="50">
        <f>(B754*131.881+C754*277.167+D754*79.08+E754*125.872+F754*40+G754*185+H754*0+I754*100+J754*300)/(131.881+277.167+79.08+125.872+0+40+185+100+300)</f>
        <v>50.896781941807909</v>
      </c>
      <c r="AC754" s="45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49.934636690647487</v>
      </c>
    </row>
    <row r="755" spans="1:29" ht="15.75" x14ac:dyDescent="0.25">
      <c r="A755" s="32">
        <v>63888</v>
      </c>
      <c r="B755" s="14">
        <f>CHOOSE(CONTROL!$C$42, 52.1861, 52.1861) * CHOOSE(CONTROL!$C$21, $C$9, 100%, $E$9)</f>
        <v>52.186100000000003</v>
      </c>
      <c r="C755" s="14">
        <f>CHOOSE(CONTROL!$C$42, 52.1912, 52.1912) * CHOOSE(CONTROL!$C$21, $C$9, 100%, $E$9)</f>
        <v>52.191200000000002</v>
      </c>
      <c r="D755" s="14">
        <f>CHOOSE(CONTROL!$C$42, 52.255, 52.255) * CHOOSE(CONTROL!$C$21, $C$9, 100%, $E$9)</f>
        <v>52.255000000000003</v>
      </c>
      <c r="E755" s="14">
        <f>CHOOSE(CONTROL!$C$42, 52.2891, 52.2891) * CHOOSE(CONTROL!$C$21, $C$9, 100%, $E$9)</f>
        <v>52.289099999999998</v>
      </c>
      <c r="F755" s="14">
        <f>CHOOSE(CONTROL!$C$42, 52.1883, 52.1883)*CHOOSE(CONTROL!$C$21, $C$9, 100%, $E$9)</f>
        <v>52.188299999999998</v>
      </c>
      <c r="G755" s="14">
        <f>CHOOSE(CONTROL!$C$42, 52.205, 52.205)*CHOOSE(CONTROL!$C$21, $C$9, 100%, $E$9)</f>
        <v>52.204999999999998</v>
      </c>
      <c r="H755" s="14">
        <f>CHOOSE(CONTROL!$C$42, 52.2783, 52.2783) * CHOOSE(CONTROL!$C$21, $C$9, 100%, $E$9)</f>
        <v>52.278300000000002</v>
      </c>
      <c r="I755" s="14">
        <f>CHOOSE(CONTROL!$C$42, 52.3634, 52.3634)* CHOOSE(CONTROL!$C$21, $C$9, 100%, $E$9)</f>
        <v>52.363399999999999</v>
      </c>
      <c r="J755" s="14">
        <f>CHOOSE(CONTROL!$C$42, 52.1813, 52.1813)* CHOOSE(CONTROL!$C$21, $C$9, 100%, $E$9)</f>
        <v>52.1813</v>
      </c>
      <c r="K755" s="53">
        <f>CHOOSE(CONTROL!$C$42, 52.3595, 52.3595) * CHOOSE(CONTROL!$C$21, $C$9, 100%, $E$9)</f>
        <v>52.359499999999997</v>
      </c>
      <c r="L755" s="14">
        <f>CHOOSE(CONTROL!$C$42, 52.8653, 52.8653) * CHOOSE(CONTROL!$C$21, $C$9, 100%, $E$9)</f>
        <v>52.865299999999998</v>
      </c>
      <c r="M755" s="14">
        <f>CHOOSE(CONTROL!$C$42, 51.1199, 51.1199) * CHOOSE(CONTROL!$C$21, $C$9, 100%, $E$9)</f>
        <v>51.119900000000001</v>
      </c>
      <c r="N755" s="14">
        <f>CHOOSE(CONTROL!$C$42, 51.1362, 51.1362) * CHOOSE(CONTROL!$C$21, $C$9, 100%, $E$9)</f>
        <v>51.136200000000002</v>
      </c>
      <c r="O755" s="14">
        <f>CHOOSE(CONTROL!$C$42, 51.2148, 51.2148) * CHOOSE(CONTROL!$C$21, $C$9, 100%, $E$9)</f>
        <v>51.214799999999997</v>
      </c>
      <c r="P755" s="14">
        <f>CHOOSE(CONTROL!$C$42, 51.295, 51.295) * CHOOSE(CONTROL!$C$21, $C$9, 100%, $E$9)</f>
        <v>51.295000000000002</v>
      </c>
      <c r="Q755" s="14">
        <f>CHOOSE(CONTROL!$C$42, 51.8095, 51.8095) * CHOOSE(CONTROL!$C$21, $C$9, 100%, $E$9)</f>
        <v>51.8095</v>
      </c>
      <c r="R755" s="14">
        <f>CHOOSE(CONTROL!$C$42, 52.526, 52.526) * CHOOSE(CONTROL!$C$21, $C$9, 100%, $E$9)</f>
        <v>52.526000000000003</v>
      </c>
      <c r="S755" s="14">
        <f>CHOOSE(CONTROL!$C$42, 50.1371, 50.1371) * CHOOSE(CONTROL!$C$21, $C$9, 100%, $E$9)</f>
        <v>50.137099999999997</v>
      </c>
      <c r="T7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7">
        <f>(1000*CHOOSE(CONTROL!$C$42, 695, 695)*CHOOSE(CONTROL!$C$42, 0.5599, 0.5599)*CHOOSE(CONTROL!$C$42, 30, 30))/1000000</f>
        <v>11.673914999999997</v>
      </c>
      <c r="V755" s="57">
        <f>(1000*CHOOSE(CONTROL!$C$42, 500, 500)*CHOOSE(CONTROL!$C$42, 0.275, 0.275)*CHOOSE(CONTROL!$C$42, 30, 30))/1000000</f>
        <v>4.125</v>
      </c>
      <c r="W755" s="57">
        <f>(1000*CHOOSE(CONTROL!$C$42, 0.1146, 0.1146)*CHOOSE(CONTROL!$C$42, 121.5, 121.5)*CHOOSE(CONTROL!$C$42, 30, 30))/1000000</f>
        <v>0.417717</v>
      </c>
      <c r="X755" s="57">
        <f>(30*0.1790888*100000/1000000)+(30*0.2374*100000/1000000)</f>
        <v>1.2494664</v>
      </c>
      <c r="Y755" s="57"/>
      <c r="Z755" s="14"/>
      <c r="AA755" s="56"/>
      <c r="AB755" s="50">
        <f>(B755*122.58+C755*297.941+D755*89.177+E755*40.302+F755*40+G755*160+H755*0+I755*100+J755*300)/(122.58+297.941+89.177+40.302+0+40+160+100+300)</f>
        <v>52.21324513078261</v>
      </c>
      <c r="AC755" s="45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51.189044604316543</v>
      </c>
    </row>
    <row r="756" spans="1:29" ht="15.75" x14ac:dyDescent="0.25">
      <c r="A756" s="32">
        <v>63919</v>
      </c>
      <c r="B756" s="14">
        <f>CHOOSE(CONTROL!$C$42, 55.7435, 55.7435) * CHOOSE(CONTROL!$C$21, $C$9, 100%, $E$9)</f>
        <v>55.743499999999997</v>
      </c>
      <c r="C756" s="14">
        <f>CHOOSE(CONTROL!$C$42, 55.7485, 55.7485) * CHOOSE(CONTROL!$C$21, $C$9, 100%, $E$9)</f>
        <v>55.7485</v>
      </c>
      <c r="D756" s="14">
        <f>CHOOSE(CONTROL!$C$42, 55.8123, 55.8123) * CHOOSE(CONTROL!$C$21, $C$9, 100%, $E$9)</f>
        <v>55.8123</v>
      </c>
      <c r="E756" s="14">
        <f>CHOOSE(CONTROL!$C$42, 55.8464, 55.8464) * CHOOSE(CONTROL!$C$21, $C$9, 100%, $E$9)</f>
        <v>55.846400000000003</v>
      </c>
      <c r="F756" s="14">
        <f>CHOOSE(CONTROL!$C$42, 55.7478, 55.7478)*CHOOSE(CONTROL!$C$21, $C$9, 100%, $E$9)</f>
        <v>55.747799999999998</v>
      </c>
      <c r="G756" s="14">
        <f>CHOOSE(CONTROL!$C$42, 55.765, 55.765)*CHOOSE(CONTROL!$C$21, $C$9, 100%, $E$9)</f>
        <v>55.765000000000001</v>
      </c>
      <c r="H756" s="14">
        <f>CHOOSE(CONTROL!$C$42, 55.8356, 55.8356) * CHOOSE(CONTROL!$C$21, $C$9, 100%, $E$9)</f>
        <v>55.835599999999999</v>
      </c>
      <c r="I756" s="14">
        <f>CHOOSE(CONTROL!$C$42, 55.9319, 55.9319)* CHOOSE(CONTROL!$C$21, $C$9, 100%, $E$9)</f>
        <v>55.931899999999999</v>
      </c>
      <c r="J756" s="14">
        <f>CHOOSE(CONTROL!$C$42, 55.7408, 55.7408)* CHOOSE(CONTROL!$C$21, $C$9, 100%, $E$9)</f>
        <v>55.7408</v>
      </c>
      <c r="K756" s="53">
        <f>CHOOSE(CONTROL!$C$42, 55.928, 55.928) * CHOOSE(CONTROL!$C$21, $C$9, 100%, $E$9)</f>
        <v>55.927999999999997</v>
      </c>
      <c r="L756" s="14">
        <f>CHOOSE(CONTROL!$C$42, 56.4226, 56.4226) * CHOOSE(CONTROL!$C$21, $C$9, 100%, $E$9)</f>
        <v>56.422600000000003</v>
      </c>
      <c r="M756" s="14">
        <f>CHOOSE(CONTROL!$C$42, 54.6064, 54.6064) * CHOOSE(CONTROL!$C$21, $C$9, 100%, $E$9)</f>
        <v>54.606400000000001</v>
      </c>
      <c r="N756" s="14">
        <f>CHOOSE(CONTROL!$C$42, 54.6232, 54.6232) * CHOOSE(CONTROL!$C$21, $C$9, 100%, $E$9)</f>
        <v>54.623199999999997</v>
      </c>
      <c r="O756" s="14">
        <f>CHOOSE(CONTROL!$C$42, 54.6993, 54.6993) * CHOOSE(CONTROL!$C$21, $C$9, 100%, $E$9)</f>
        <v>54.699300000000001</v>
      </c>
      <c r="P756" s="14">
        <f>CHOOSE(CONTROL!$C$42, 54.7902, 54.7902) * CHOOSE(CONTROL!$C$21, $C$9, 100%, $E$9)</f>
        <v>54.790199999999999</v>
      </c>
      <c r="Q756" s="14">
        <f>CHOOSE(CONTROL!$C$42, 55.294, 55.294) * CHOOSE(CONTROL!$C$21, $C$9, 100%, $E$9)</f>
        <v>55.293999999999997</v>
      </c>
      <c r="R756" s="14">
        <f>CHOOSE(CONTROL!$C$42, 56.0192, 56.0192) * CHOOSE(CONTROL!$C$21, $C$9, 100%, $E$9)</f>
        <v>56.019199999999998</v>
      </c>
      <c r="S756" s="14">
        <f>CHOOSE(CONTROL!$C$42, 53.5553, 53.5553) * CHOOSE(CONTROL!$C$21, $C$9, 100%, $E$9)</f>
        <v>53.555300000000003</v>
      </c>
      <c r="T7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7">
        <f>(1000*CHOOSE(CONTROL!$C$42, 695, 695)*CHOOSE(CONTROL!$C$42, 0.5599, 0.5599)*CHOOSE(CONTROL!$C$42, 31, 31))/1000000</f>
        <v>12.063045499999998</v>
      </c>
      <c r="V756" s="57">
        <f>(1000*CHOOSE(CONTROL!$C$42, 500, 500)*CHOOSE(CONTROL!$C$42, 0.275, 0.275)*CHOOSE(CONTROL!$C$42, 31, 31))/1000000</f>
        <v>4.2625000000000002</v>
      </c>
      <c r="W756" s="57">
        <f>(1000*CHOOSE(CONTROL!$C$42, 0.1146, 0.1146)*CHOOSE(CONTROL!$C$42, 121.5, 121.5)*CHOOSE(CONTROL!$C$42, 31, 31))/1000000</f>
        <v>0.43164089999999994</v>
      </c>
      <c r="X756" s="57">
        <f>(31*0.1790888*100000/1000000)+(31*0.2374*100000/1000000)</f>
        <v>1.2911152800000001</v>
      </c>
      <c r="Y756" s="57"/>
      <c r="Z756" s="14"/>
      <c r="AA756" s="56"/>
      <c r="AB756" s="50">
        <f>(B756*122.58+C756*297.941+D756*89.177+E756*40.302+F756*40+G756*160+H756*0+I756*100+J756*300)/(122.58+297.941+89.177+40.302+0+40+160+100+300)</f>
        <v>55.772555789913042</v>
      </c>
      <c r="AC756" s="45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54.675918705035976</v>
      </c>
    </row>
    <row r="757" spans="1:29" ht="15.75" x14ac:dyDescent="0.25">
      <c r="A757" s="32">
        <v>63950</v>
      </c>
      <c r="B757" s="14">
        <f>CHOOSE(CONTROL!$C$42, 60.3088, 60.3088) * CHOOSE(CONTROL!$C$21, $C$9, 100%, $E$9)</f>
        <v>60.308799999999998</v>
      </c>
      <c r="C757" s="14">
        <f>CHOOSE(CONTROL!$C$42, 60.3139, 60.3139) * CHOOSE(CONTROL!$C$21, $C$9, 100%, $E$9)</f>
        <v>60.313899999999997</v>
      </c>
      <c r="D757" s="14">
        <f>CHOOSE(CONTROL!$C$42, 60.3725, 60.3725) * CHOOSE(CONTROL!$C$21, $C$9, 100%, $E$9)</f>
        <v>60.372500000000002</v>
      </c>
      <c r="E757" s="14">
        <f>CHOOSE(CONTROL!$C$42, 60.4066, 60.4066) * CHOOSE(CONTROL!$C$21, $C$9, 100%, $E$9)</f>
        <v>60.406599999999997</v>
      </c>
      <c r="F757" s="14">
        <f>CHOOSE(CONTROL!$C$42, 60.3079, 60.3079)*CHOOSE(CONTROL!$C$21, $C$9, 100%, $E$9)</f>
        <v>60.307899999999997</v>
      </c>
      <c r="G757" s="14">
        <f>CHOOSE(CONTROL!$C$42, 60.3243, 60.3243)*CHOOSE(CONTROL!$C$21, $C$9, 100%, $E$9)</f>
        <v>60.324300000000001</v>
      </c>
      <c r="H757" s="14">
        <f>CHOOSE(CONTROL!$C$42, 60.3958, 60.3958) * CHOOSE(CONTROL!$C$21, $C$9, 100%, $E$9)</f>
        <v>60.395800000000001</v>
      </c>
      <c r="I757" s="14">
        <f>CHOOSE(CONTROL!$C$42, 60.508, 60.508)* CHOOSE(CONTROL!$C$21, $C$9, 100%, $E$9)</f>
        <v>60.508000000000003</v>
      </c>
      <c r="J757" s="14">
        <f>CHOOSE(CONTROL!$C$42, 60.3009, 60.3009)* CHOOSE(CONTROL!$C$21, $C$9, 100%, $E$9)</f>
        <v>60.300899999999999</v>
      </c>
      <c r="K757" s="53">
        <f>CHOOSE(CONTROL!$C$42, 60.5041, 60.5041) * CHOOSE(CONTROL!$C$21, $C$9, 100%, $E$9)</f>
        <v>60.504100000000001</v>
      </c>
      <c r="L757" s="14">
        <f>CHOOSE(CONTROL!$C$42, 60.9828, 60.9828) * CHOOSE(CONTROL!$C$21, $C$9, 100%, $E$9)</f>
        <v>60.982799999999997</v>
      </c>
      <c r="M757" s="14">
        <f>CHOOSE(CONTROL!$C$42, 59.0731, 59.0731) * CHOOSE(CONTROL!$C$21, $C$9, 100%, $E$9)</f>
        <v>59.073099999999997</v>
      </c>
      <c r="N757" s="14">
        <f>CHOOSE(CONTROL!$C$42, 59.0892, 59.0892) * CHOOSE(CONTROL!$C$21, $C$9, 100%, $E$9)</f>
        <v>59.089199999999998</v>
      </c>
      <c r="O757" s="14">
        <f>CHOOSE(CONTROL!$C$42, 59.166, 59.166) * CHOOSE(CONTROL!$C$21, $C$9, 100%, $E$9)</f>
        <v>59.165999999999997</v>
      </c>
      <c r="P757" s="14">
        <f>CHOOSE(CONTROL!$C$42, 59.2722, 59.2722) * CHOOSE(CONTROL!$C$21, $C$9, 100%, $E$9)</f>
        <v>59.272199999999998</v>
      </c>
      <c r="Q757" s="14">
        <f>CHOOSE(CONTROL!$C$42, 59.7607, 59.7607) * CHOOSE(CONTROL!$C$21, $C$9, 100%, $E$9)</f>
        <v>59.7607</v>
      </c>
      <c r="R757" s="14">
        <f>CHOOSE(CONTROL!$C$42, 60.4971, 60.4971) * CHOOSE(CONTROL!$C$21, $C$9, 100%, $E$9)</f>
        <v>60.497100000000003</v>
      </c>
      <c r="S757" s="14">
        <f>CHOOSE(CONTROL!$C$42, 57.9422, 57.9422) * CHOOSE(CONTROL!$C$21, $C$9, 100%, $E$9)</f>
        <v>57.9422</v>
      </c>
      <c r="T7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7">
        <f>(1000*CHOOSE(CONTROL!$C$42, 695, 695)*CHOOSE(CONTROL!$C$42, 0.5599, 0.5599)*CHOOSE(CONTROL!$C$42, 31, 31))/1000000</f>
        <v>12.063045499999998</v>
      </c>
      <c r="V757" s="57">
        <f>(1000*CHOOSE(CONTROL!$C$42, 500, 500)*CHOOSE(CONTROL!$C$42, 0.275, 0.275)*CHOOSE(CONTROL!$C$42, 31, 31))/1000000</f>
        <v>4.2625000000000002</v>
      </c>
      <c r="W757" s="57">
        <f>(1000*CHOOSE(CONTROL!$C$42, 0.1146, 0.1146)*CHOOSE(CONTROL!$C$42, 121.5, 121.5)*CHOOSE(CONTROL!$C$42, 31, 31))/1000000</f>
        <v>0.43164089999999994</v>
      </c>
      <c r="X757" s="57">
        <f>(31*0.1790888*100000/1000000)+(31*0.2374*100000/1000000)</f>
        <v>1.2911152800000001</v>
      </c>
      <c r="Y757" s="57"/>
      <c r="Z757" s="14"/>
      <c r="AA757" s="56"/>
      <c r="AB757" s="50">
        <f>(B757*122.58+C757*297.941+D757*89.177+E757*40.302+F757*40+G757*160+H757*0+I757*100+J757*300)/(122.58+297.941+89.177+40.302+0+40+160+100+300)</f>
        <v>60.335874443130436</v>
      </c>
      <c r="AC757" s="45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59.144779856115115</v>
      </c>
    </row>
    <row r="758" spans="1:29" ht="15.75" x14ac:dyDescent="0.25">
      <c r="A758" s="32">
        <v>63978</v>
      </c>
      <c r="B758" s="14">
        <f>CHOOSE(CONTROL!$C$42, 61.3823, 61.3823) * CHOOSE(CONTROL!$C$21, $C$9, 100%, $E$9)</f>
        <v>61.382300000000001</v>
      </c>
      <c r="C758" s="14">
        <f>CHOOSE(CONTROL!$C$42, 61.3873, 61.3873) * CHOOSE(CONTROL!$C$21, $C$9, 100%, $E$9)</f>
        <v>61.387300000000003</v>
      </c>
      <c r="D758" s="14">
        <f>CHOOSE(CONTROL!$C$42, 61.4459, 61.4459) * CHOOSE(CONTROL!$C$21, $C$9, 100%, $E$9)</f>
        <v>61.445900000000002</v>
      </c>
      <c r="E758" s="14">
        <f>CHOOSE(CONTROL!$C$42, 61.48, 61.48) * CHOOSE(CONTROL!$C$21, $C$9, 100%, $E$9)</f>
        <v>61.48</v>
      </c>
      <c r="F758" s="14">
        <f>CHOOSE(CONTROL!$C$42, 61.3813, 61.3813)*CHOOSE(CONTROL!$C$21, $C$9, 100%, $E$9)</f>
        <v>61.381300000000003</v>
      </c>
      <c r="G758" s="14">
        <f>CHOOSE(CONTROL!$C$42, 61.3977, 61.3977)*CHOOSE(CONTROL!$C$21, $C$9, 100%, $E$9)</f>
        <v>61.3977</v>
      </c>
      <c r="H758" s="14">
        <f>CHOOSE(CONTROL!$C$42, 61.4692, 61.4692) * CHOOSE(CONTROL!$C$21, $C$9, 100%, $E$9)</f>
        <v>61.469200000000001</v>
      </c>
      <c r="I758" s="14">
        <f>CHOOSE(CONTROL!$C$42, 61.5847, 61.5847)* CHOOSE(CONTROL!$C$21, $C$9, 100%, $E$9)</f>
        <v>61.584699999999998</v>
      </c>
      <c r="J758" s="14">
        <f>CHOOSE(CONTROL!$C$42, 61.3743, 61.3743)* CHOOSE(CONTROL!$C$21, $C$9, 100%, $E$9)</f>
        <v>61.374299999999998</v>
      </c>
      <c r="K758" s="53">
        <f>CHOOSE(CONTROL!$C$42, 61.5808, 61.5808) * CHOOSE(CONTROL!$C$21, $C$9, 100%, $E$9)</f>
        <v>61.580800000000004</v>
      </c>
      <c r="L758" s="14">
        <f>CHOOSE(CONTROL!$C$42, 62.0562, 62.0562) * CHOOSE(CONTROL!$C$21, $C$9, 100%, $E$9)</f>
        <v>62.056199999999997</v>
      </c>
      <c r="M758" s="14">
        <f>CHOOSE(CONTROL!$C$42, 60.1245, 60.1245) * CHOOSE(CONTROL!$C$21, $C$9, 100%, $E$9)</f>
        <v>60.124499999999998</v>
      </c>
      <c r="N758" s="14">
        <f>CHOOSE(CONTROL!$C$42, 60.1405, 60.1405) * CHOOSE(CONTROL!$C$21, $C$9, 100%, $E$9)</f>
        <v>60.140500000000003</v>
      </c>
      <c r="O758" s="14">
        <f>CHOOSE(CONTROL!$C$42, 60.2175, 60.2175) * CHOOSE(CONTROL!$C$21, $C$9, 100%, $E$9)</f>
        <v>60.217500000000001</v>
      </c>
      <c r="P758" s="14">
        <f>CHOOSE(CONTROL!$C$42, 60.3268, 60.3268) * CHOOSE(CONTROL!$C$21, $C$9, 100%, $E$9)</f>
        <v>60.326799999999999</v>
      </c>
      <c r="Q758" s="14">
        <f>CHOOSE(CONTROL!$C$42, 60.8122, 60.8122) * CHOOSE(CONTROL!$C$21, $C$9, 100%, $E$9)</f>
        <v>60.812199999999997</v>
      </c>
      <c r="R758" s="14">
        <f>CHOOSE(CONTROL!$C$42, 61.5512, 61.5512) * CHOOSE(CONTROL!$C$21, $C$9, 100%, $E$9)</f>
        <v>61.551200000000001</v>
      </c>
      <c r="S758" s="14">
        <f>CHOOSE(CONTROL!$C$42, 58.9737, 58.9737) * CHOOSE(CONTROL!$C$21, $C$9, 100%, $E$9)</f>
        <v>58.973700000000001</v>
      </c>
      <c r="T7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7">
        <f>(1000*CHOOSE(CONTROL!$C$42, 695, 695)*CHOOSE(CONTROL!$C$42, 0.5599, 0.5599)*CHOOSE(CONTROL!$C$42, 28, 28))/1000000</f>
        <v>10.895653999999999</v>
      </c>
      <c r="V758" s="57">
        <f>(1000*CHOOSE(CONTROL!$C$42, 500, 500)*CHOOSE(CONTROL!$C$42, 0.275, 0.275)*CHOOSE(CONTROL!$C$42, 28, 28))/1000000</f>
        <v>3.85</v>
      </c>
      <c r="W758" s="57">
        <f>(1000*CHOOSE(CONTROL!$C$42, 0.1146, 0.1146)*CHOOSE(CONTROL!$C$42, 121.5, 121.5)*CHOOSE(CONTROL!$C$42, 28, 28))/1000000</f>
        <v>0.38986920000000003</v>
      </c>
      <c r="X758" s="57">
        <f>(28*0.1790888*100000/1000000)+(28*0.2374*100000/1000000)</f>
        <v>1.16616864</v>
      </c>
      <c r="Y758" s="57"/>
      <c r="Z758" s="14"/>
      <c r="AA758" s="56"/>
      <c r="AB758" s="50">
        <f>(B758*122.58+C758*297.941+D758*89.177+E758*40.302+F758*40+G758*160+H758*0+I758*100+J758*300)/(122.58+297.941+89.177+40.302+0+40+160+100+300)</f>
        <v>61.409572058782608</v>
      </c>
      <c r="AC758" s="45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60.196679856115104</v>
      </c>
    </row>
    <row r="759" spans="1:29" ht="15.75" x14ac:dyDescent="0.25">
      <c r="A759" s="32">
        <v>64009</v>
      </c>
      <c r="B759" s="14">
        <f>CHOOSE(CONTROL!$C$42, 59.6398, 59.6398) * CHOOSE(CONTROL!$C$21, $C$9, 100%, $E$9)</f>
        <v>59.639800000000001</v>
      </c>
      <c r="C759" s="14">
        <f>CHOOSE(CONTROL!$C$42, 59.6449, 59.6449) * CHOOSE(CONTROL!$C$21, $C$9, 100%, $E$9)</f>
        <v>59.6449</v>
      </c>
      <c r="D759" s="14">
        <f>CHOOSE(CONTROL!$C$42, 59.7035, 59.7035) * CHOOSE(CONTROL!$C$21, $C$9, 100%, $E$9)</f>
        <v>59.703499999999998</v>
      </c>
      <c r="E759" s="14">
        <f>CHOOSE(CONTROL!$C$42, 59.7376, 59.7376) * CHOOSE(CONTROL!$C$21, $C$9, 100%, $E$9)</f>
        <v>59.7376</v>
      </c>
      <c r="F759" s="14">
        <f>CHOOSE(CONTROL!$C$42, 59.6384, 59.6384)*CHOOSE(CONTROL!$C$21, $C$9, 100%, $E$9)</f>
        <v>59.638399999999997</v>
      </c>
      <c r="G759" s="14">
        <f>CHOOSE(CONTROL!$C$42, 59.6547, 59.6547)*CHOOSE(CONTROL!$C$21, $C$9, 100%, $E$9)</f>
        <v>59.654699999999998</v>
      </c>
      <c r="H759" s="14">
        <f>CHOOSE(CONTROL!$C$42, 59.7268, 59.7268) * CHOOSE(CONTROL!$C$21, $C$9, 100%, $E$9)</f>
        <v>59.726799999999997</v>
      </c>
      <c r="I759" s="14">
        <f>CHOOSE(CONTROL!$C$42, 59.8369, 59.8369)* CHOOSE(CONTROL!$C$21, $C$9, 100%, $E$9)</f>
        <v>59.8369</v>
      </c>
      <c r="J759" s="14">
        <f>CHOOSE(CONTROL!$C$42, 59.6314, 59.6314)* CHOOSE(CONTROL!$C$21, $C$9, 100%, $E$9)</f>
        <v>59.631399999999999</v>
      </c>
      <c r="K759" s="53">
        <f>CHOOSE(CONTROL!$C$42, 59.833, 59.833) * CHOOSE(CONTROL!$C$21, $C$9, 100%, $E$9)</f>
        <v>59.832999999999998</v>
      </c>
      <c r="L759" s="14">
        <f>CHOOSE(CONTROL!$C$42, 60.3138, 60.3138) * CHOOSE(CONTROL!$C$21, $C$9, 100%, $E$9)</f>
        <v>60.313800000000001</v>
      </c>
      <c r="M759" s="14">
        <f>CHOOSE(CONTROL!$C$42, 58.4173, 58.4173) * CHOOSE(CONTROL!$C$21, $C$9, 100%, $E$9)</f>
        <v>58.417299999999997</v>
      </c>
      <c r="N759" s="14">
        <f>CHOOSE(CONTROL!$C$42, 58.4332, 58.4332) * CHOOSE(CONTROL!$C$21, $C$9, 100%, $E$9)</f>
        <v>58.433199999999999</v>
      </c>
      <c r="O759" s="14">
        <f>CHOOSE(CONTROL!$C$42, 58.5108, 58.5108) * CHOOSE(CONTROL!$C$21, $C$9, 100%, $E$9)</f>
        <v>58.510800000000003</v>
      </c>
      <c r="P759" s="14">
        <f>CHOOSE(CONTROL!$C$42, 58.6149, 58.6149) * CHOOSE(CONTROL!$C$21, $C$9, 100%, $E$9)</f>
        <v>58.614899999999999</v>
      </c>
      <c r="Q759" s="14">
        <f>CHOOSE(CONTROL!$C$42, 59.1055, 59.1055) * CHOOSE(CONTROL!$C$21, $C$9, 100%, $E$9)</f>
        <v>59.105499999999999</v>
      </c>
      <c r="R759" s="14">
        <f>CHOOSE(CONTROL!$C$42, 59.8402, 59.8402) * CHOOSE(CONTROL!$C$21, $C$9, 100%, $E$9)</f>
        <v>59.840200000000003</v>
      </c>
      <c r="S759" s="14">
        <f>CHOOSE(CONTROL!$C$42, 57.2994, 57.2994) * CHOOSE(CONTROL!$C$21, $C$9, 100%, $E$9)</f>
        <v>57.299399999999999</v>
      </c>
      <c r="T7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7">
        <f>(1000*CHOOSE(CONTROL!$C$42, 695, 695)*CHOOSE(CONTROL!$C$42, 0.5599, 0.5599)*CHOOSE(CONTROL!$C$42, 31, 31))/1000000</f>
        <v>12.063045499999998</v>
      </c>
      <c r="V759" s="57">
        <f>(1000*CHOOSE(CONTROL!$C$42, 500, 500)*CHOOSE(CONTROL!$C$42, 0.275, 0.275)*CHOOSE(CONTROL!$C$42, 31, 31))/1000000</f>
        <v>4.2625000000000002</v>
      </c>
      <c r="W759" s="57">
        <f>(1000*CHOOSE(CONTROL!$C$42, 0.1146, 0.1146)*CHOOSE(CONTROL!$C$42, 121.5, 121.5)*CHOOSE(CONTROL!$C$42, 31, 31))/1000000</f>
        <v>0.43164089999999994</v>
      </c>
      <c r="X759" s="57">
        <f>(31*0.1790888*100000/1000000)+(31*0.2374*100000/1000000)</f>
        <v>1.2911152800000001</v>
      </c>
      <c r="Y759" s="57"/>
      <c r="Z759" s="14"/>
      <c r="AA759" s="56"/>
      <c r="AB759" s="50">
        <f>(B759*122.58+C759*297.941+D759*89.177+E759*40.302+F759*40+G759*160+H759*0+I759*100+J759*300)/(122.58+297.941+89.177+40.302+0+40+160+100+300)</f>
        <v>59.666460530086944</v>
      </c>
      <c r="AC759" s="45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58.489024460431651</v>
      </c>
    </row>
    <row r="760" spans="1:29" ht="15.75" x14ac:dyDescent="0.25">
      <c r="A760" s="32">
        <v>64039</v>
      </c>
      <c r="B760" s="14">
        <f>CHOOSE(CONTROL!$C$42, 59.4625, 59.4625) * CHOOSE(CONTROL!$C$21, $C$9, 100%, $E$9)</f>
        <v>59.462499999999999</v>
      </c>
      <c r="C760" s="14">
        <f>CHOOSE(CONTROL!$C$42, 59.467, 59.467) * CHOOSE(CONTROL!$C$21, $C$9, 100%, $E$9)</f>
        <v>59.466999999999999</v>
      </c>
      <c r="D760" s="14">
        <f>CHOOSE(CONTROL!$C$42, 59.6751, 59.6751) * CHOOSE(CONTROL!$C$21, $C$9, 100%, $E$9)</f>
        <v>59.6751</v>
      </c>
      <c r="E760" s="14">
        <f>CHOOSE(CONTROL!$C$42, 59.7072, 59.7072) * CHOOSE(CONTROL!$C$21, $C$9, 100%, $E$9)</f>
        <v>59.7072</v>
      </c>
      <c r="F760" s="14">
        <f>CHOOSE(CONTROL!$C$42, 59.4498, 59.4498)*CHOOSE(CONTROL!$C$21, $C$9, 100%, $E$9)</f>
        <v>59.449800000000003</v>
      </c>
      <c r="G760" s="14">
        <f>CHOOSE(CONTROL!$C$42, 59.4658, 59.4658)*CHOOSE(CONTROL!$C$21, $C$9, 100%, $E$9)</f>
        <v>59.465800000000002</v>
      </c>
      <c r="H760" s="14">
        <f>CHOOSE(CONTROL!$C$42, 59.697, 59.697) * CHOOSE(CONTROL!$C$21, $C$9, 100%, $E$9)</f>
        <v>59.697000000000003</v>
      </c>
      <c r="I760" s="14">
        <f>CHOOSE(CONTROL!$C$42, 59.6582, 59.6582)* CHOOSE(CONTROL!$C$21, $C$9, 100%, $E$9)</f>
        <v>59.658200000000001</v>
      </c>
      <c r="J760" s="14">
        <f>CHOOSE(CONTROL!$C$42, 59.4428, 59.4428)* CHOOSE(CONTROL!$C$21, $C$9, 100%, $E$9)</f>
        <v>59.442799999999998</v>
      </c>
      <c r="K760" s="53">
        <f>CHOOSE(CONTROL!$C$42, 59.6543, 59.6543) * CHOOSE(CONTROL!$C$21, $C$9, 100%, $E$9)</f>
        <v>59.654299999999999</v>
      </c>
      <c r="L760" s="14">
        <f>CHOOSE(CONTROL!$C$42, 60.284, 60.284) * CHOOSE(CONTROL!$C$21, $C$9, 100%, $E$9)</f>
        <v>60.283999999999999</v>
      </c>
      <c r="M760" s="14">
        <f>CHOOSE(CONTROL!$C$42, 58.2326, 58.2326) * CHOOSE(CONTROL!$C$21, $C$9, 100%, $E$9)</f>
        <v>58.232599999999998</v>
      </c>
      <c r="N760" s="14">
        <f>CHOOSE(CONTROL!$C$42, 58.2482, 58.2482) * CHOOSE(CONTROL!$C$21, $C$9, 100%, $E$9)</f>
        <v>58.248199999999997</v>
      </c>
      <c r="O760" s="14">
        <f>CHOOSE(CONTROL!$C$42, 58.4815, 58.4815) * CHOOSE(CONTROL!$C$21, $C$9, 100%, $E$9)</f>
        <v>58.481499999999997</v>
      </c>
      <c r="P760" s="14">
        <f>CHOOSE(CONTROL!$C$42, 58.4398, 58.4398) * CHOOSE(CONTROL!$C$21, $C$9, 100%, $E$9)</f>
        <v>58.439799999999998</v>
      </c>
      <c r="Q760" s="14">
        <f>CHOOSE(CONTROL!$C$42, 59.0762, 59.0762) * CHOOSE(CONTROL!$C$21, $C$9, 100%, $E$9)</f>
        <v>59.0762</v>
      </c>
      <c r="R760" s="14">
        <f>CHOOSE(CONTROL!$C$42, 59.8109, 59.8109) * CHOOSE(CONTROL!$C$21, $C$9, 100%, $E$9)</f>
        <v>59.810899999999997</v>
      </c>
      <c r="S760" s="14">
        <f>CHOOSE(CONTROL!$C$42, 57.1282, 57.1282) * CHOOSE(CONTROL!$C$21, $C$9, 100%, $E$9)</f>
        <v>57.1282</v>
      </c>
      <c r="T7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7">
        <f>(1000*CHOOSE(CONTROL!$C$42, 695, 695)*CHOOSE(CONTROL!$C$42, 0.5599, 0.5599)*CHOOSE(CONTROL!$C$42, 30, 30))/1000000</f>
        <v>11.673914999999997</v>
      </c>
      <c r="V760" s="57">
        <f>(1000*CHOOSE(CONTROL!$C$42, 500, 500)*CHOOSE(CONTROL!$C$42, 0.275, 0.275)*CHOOSE(CONTROL!$C$42, 30, 30))/1000000</f>
        <v>4.125</v>
      </c>
      <c r="W760" s="57">
        <f>(1000*CHOOSE(CONTROL!$C$42, 0.1146, 0.1146)*CHOOSE(CONTROL!$C$42, 121.5, 121.5)*CHOOSE(CONTROL!$C$42, 30, 30))/1000000</f>
        <v>0.417717</v>
      </c>
      <c r="X760" s="57">
        <f>(30*0.1790888*245000/1000000)+(30*0.2374*100000/1000000)</f>
        <v>2.0285026799999999</v>
      </c>
      <c r="Y760" s="57"/>
      <c r="Z760" s="14"/>
      <c r="AA760" s="56"/>
      <c r="AB760" s="50">
        <f>(B760*141.293+C760*267.993+D760*115.016+E760*89.698+F760*40+G760*185+H760*0+I760*100+J760*300)/(141.293+267.993+115.016+89.698+0+40+185+100+300)</f>
        <v>59.512031856900727</v>
      </c>
      <c r="AC760" s="45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58.376121582733816</v>
      </c>
    </row>
    <row r="761" spans="1:29" ht="15.75" x14ac:dyDescent="0.25">
      <c r="A761" s="32">
        <v>64070</v>
      </c>
      <c r="B761" s="14">
        <f>CHOOSE(CONTROL!$C$42, 59.9886, 59.9886) * CHOOSE(CONTROL!$C$21, $C$9, 100%, $E$9)</f>
        <v>59.988599999999998</v>
      </c>
      <c r="C761" s="14">
        <f>CHOOSE(CONTROL!$C$42, 59.9966, 59.9966) * CHOOSE(CONTROL!$C$21, $C$9, 100%, $E$9)</f>
        <v>59.996600000000001</v>
      </c>
      <c r="D761" s="14">
        <f>CHOOSE(CONTROL!$C$42, 60.2016, 60.2016) * CHOOSE(CONTROL!$C$21, $C$9, 100%, $E$9)</f>
        <v>60.201599999999999</v>
      </c>
      <c r="E761" s="14">
        <f>CHOOSE(CONTROL!$C$42, 60.2331, 60.2331) * CHOOSE(CONTROL!$C$21, $C$9, 100%, $E$9)</f>
        <v>60.2331</v>
      </c>
      <c r="F761" s="14">
        <f>CHOOSE(CONTROL!$C$42, 59.9748, 59.9748)*CHOOSE(CONTROL!$C$21, $C$9, 100%, $E$9)</f>
        <v>59.974800000000002</v>
      </c>
      <c r="G761" s="14">
        <f>CHOOSE(CONTROL!$C$42, 59.9912, 59.9912)*CHOOSE(CONTROL!$C$21, $C$9, 100%, $E$9)</f>
        <v>59.991199999999999</v>
      </c>
      <c r="H761" s="14">
        <f>CHOOSE(CONTROL!$C$42, 60.2217, 60.2217) * CHOOSE(CONTROL!$C$21, $C$9, 100%, $E$9)</f>
        <v>60.221699999999998</v>
      </c>
      <c r="I761" s="14">
        <f>CHOOSE(CONTROL!$C$42, 60.1845, 60.1845)* CHOOSE(CONTROL!$C$21, $C$9, 100%, $E$9)</f>
        <v>60.1845</v>
      </c>
      <c r="J761" s="14">
        <f>CHOOSE(CONTROL!$C$42, 59.9678, 59.9678)* CHOOSE(CONTROL!$C$21, $C$9, 100%, $E$9)</f>
        <v>59.967799999999997</v>
      </c>
      <c r="K761" s="53">
        <f>CHOOSE(CONTROL!$C$42, 60.1806, 60.1806) * CHOOSE(CONTROL!$C$21, $C$9, 100%, $E$9)</f>
        <v>60.180599999999998</v>
      </c>
      <c r="L761" s="14">
        <f>CHOOSE(CONTROL!$C$42, 60.8087, 60.8087) * CHOOSE(CONTROL!$C$21, $C$9, 100%, $E$9)</f>
        <v>60.808700000000002</v>
      </c>
      <c r="M761" s="14">
        <f>CHOOSE(CONTROL!$C$42, 58.7468, 58.7468) * CHOOSE(CONTROL!$C$21, $C$9, 100%, $E$9)</f>
        <v>58.7468</v>
      </c>
      <c r="N761" s="14">
        <f>CHOOSE(CONTROL!$C$42, 58.7629, 58.7629) * CHOOSE(CONTROL!$C$21, $C$9, 100%, $E$9)</f>
        <v>58.762900000000002</v>
      </c>
      <c r="O761" s="14">
        <f>CHOOSE(CONTROL!$C$42, 58.9955, 58.9955) * CHOOSE(CONTROL!$C$21, $C$9, 100%, $E$9)</f>
        <v>58.9955</v>
      </c>
      <c r="P761" s="14">
        <f>CHOOSE(CONTROL!$C$42, 58.9554, 58.9554) * CHOOSE(CONTROL!$C$21, $C$9, 100%, $E$9)</f>
        <v>58.955399999999997</v>
      </c>
      <c r="Q761" s="14">
        <f>CHOOSE(CONTROL!$C$42, 59.5902, 59.5902) * CHOOSE(CONTROL!$C$21, $C$9, 100%, $E$9)</f>
        <v>59.590200000000003</v>
      </c>
      <c r="R761" s="14">
        <f>CHOOSE(CONTROL!$C$42, 60.3262, 60.3262) * CHOOSE(CONTROL!$C$21, $C$9, 100%, $E$9)</f>
        <v>60.3262</v>
      </c>
      <c r="S761" s="14">
        <f>CHOOSE(CONTROL!$C$42, 57.6324, 57.6324) * CHOOSE(CONTROL!$C$21, $C$9, 100%, $E$9)</f>
        <v>57.632399999999997</v>
      </c>
      <c r="T7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7">
        <f>(1000*CHOOSE(CONTROL!$C$42, 695, 695)*CHOOSE(CONTROL!$C$42, 0.5599, 0.5599)*CHOOSE(CONTROL!$C$42, 31, 31))/1000000</f>
        <v>12.063045499999998</v>
      </c>
      <c r="V761" s="57">
        <f>(1000*CHOOSE(CONTROL!$C$42, 500, 500)*CHOOSE(CONTROL!$C$42, 0.275, 0.275)*CHOOSE(CONTROL!$C$42, 31, 31))/1000000</f>
        <v>4.2625000000000002</v>
      </c>
      <c r="W761" s="57">
        <f>(1000*CHOOSE(CONTROL!$C$42, 0.1146, 0.1146)*CHOOSE(CONTROL!$C$42, 121.5, 121.5)*CHOOSE(CONTROL!$C$42, 31, 31))/1000000</f>
        <v>0.43164089999999994</v>
      </c>
      <c r="X761" s="57">
        <f>(31*0.1790888*245000/1000000)+(31*0.2374*100000/1000000)</f>
        <v>2.0961194359999999</v>
      </c>
      <c r="Y761" s="57"/>
      <c r="Z761" s="14"/>
      <c r="AA761" s="56"/>
      <c r="AB761" s="50">
        <f>(B761*194.205+C761*267.466+D761*133.845+E761*53.484+F761*40+G761*185+H761*0+I761*100+J761*300)/(194.205+267.466+133.845+53.484+0+40+185+100+300)</f>
        <v>60.033344545525892</v>
      </c>
      <c r="AC761" s="45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58.89046115107913</v>
      </c>
    </row>
    <row r="762" spans="1:29" ht="15.75" x14ac:dyDescent="0.25">
      <c r="A762" s="32">
        <v>64100</v>
      </c>
      <c r="B762" s="14">
        <f>CHOOSE(CONTROL!$C$42, 61.6899, 61.6899) * CHOOSE(CONTROL!$C$21, $C$9, 100%, $E$9)</f>
        <v>61.689900000000002</v>
      </c>
      <c r="C762" s="14">
        <f>CHOOSE(CONTROL!$C$42, 61.6979, 61.6979) * CHOOSE(CONTROL!$C$21, $C$9, 100%, $E$9)</f>
        <v>61.697899999999997</v>
      </c>
      <c r="D762" s="14">
        <f>CHOOSE(CONTROL!$C$42, 61.9029, 61.9029) * CHOOSE(CONTROL!$C$21, $C$9, 100%, $E$9)</f>
        <v>61.902900000000002</v>
      </c>
      <c r="E762" s="14">
        <f>CHOOSE(CONTROL!$C$42, 61.9344, 61.9344) * CHOOSE(CONTROL!$C$21, $C$9, 100%, $E$9)</f>
        <v>61.934399999999997</v>
      </c>
      <c r="F762" s="14">
        <f>CHOOSE(CONTROL!$C$42, 61.6765, 61.6765)*CHOOSE(CONTROL!$C$21, $C$9, 100%, $E$9)</f>
        <v>61.676499999999997</v>
      </c>
      <c r="G762" s="14">
        <f>CHOOSE(CONTROL!$C$42, 61.693, 61.693)*CHOOSE(CONTROL!$C$21, $C$9, 100%, $E$9)</f>
        <v>61.692999999999998</v>
      </c>
      <c r="H762" s="14">
        <f>CHOOSE(CONTROL!$C$42, 61.923, 61.923) * CHOOSE(CONTROL!$C$21, $C$9, 100%, $E$9)</f>
        <v>61.923000000000002</v>
      </c>
      <c r="I762" s="14">
        <f>CHOOSE(CONTROL!$C$42, 61.8912, 61.8912)* CHOOSE(CONTROL!$C$21, $C$9, 100%, $E$9)</f>
        <v>61.891199999999998</v>
      </c>
      <c r="J762" s="14">
        <f>CHOOSE(CONTROL!$C$42, 61.6695, 61.6695)* CHOOSE(CONTROL!$C$21, $C$9, 100%, $E$9)</f>
        <v>61.669499999999999</v>
      </c>
      <c r="K762" s="53">
        <f>CHOOSE(CONTROL!$C$42, 61.8873, 61.8873) * CHOOSE(CONTROL!$C$21, $C$9, 100%, $E$9)</f>
        <v>61.887300000000003</v>
      </c>
      <c r="L762" s="14">
        <f>CHOOSE(CONTROL!$C$42, 62.51, 62.51) * CHOOSE(CONTROL!$C$21, $C$9, 100%, $E$9)</f>
        <v>62.51</v>
      </c>
      <c r="M762" s="14">
        <f>CHOOSE(CONTROL!$C$42, 60.4136, 60.4136) * CHOOSE(CONTROL!$C$21, $C$9, 100%, $E$9)</f>
        <v>60.413600000000002</v>
      </c>
      <c r="N762" s="14">
        <f>CHOOSE(CONTROL!$C$42, 60.4298, 60.4298) * CHOOSE(CONTROL!$C$21, $C$9, 100%, $E$9)</f>
        <v>60.4298</v>
      </c>
      <c r="O762" s="14">
        <f>CHOOSE(CONTROL!$C$42, 60.6619, 60.6619) * CHOOSE(CONTROL!$C$21, $C$9, 100%, $E$9)</f>
        <v>60.661900000000003</v>
      </c>
      <c r="P762" s="14">
        <f>CHOOSE(CONTROL!$C$42, 60.6269, 60.6269) * CHOOSE(CONTROL!$C$21, $C$9, 100%, $E$9)</f>
        <v>60.626899999999999</v>
      </c>
      <c r="Q762" s="14">
        <f>CHOOSE(CONTROL!$C$42, 61.2566, 61.2566) * CHOOSE(CONTROL!$C$21, $C$9, 100%, $E$9)</f>
        <v>61.256599999999999</v>
      </c>
      <c r="R762" s="14">
        <f>CHOOSE(CONTROL!$C$42, 61.9968, 61.9968) * CHOOSE(CONTROL!$C$21, $C$9, 100%, $E$9)</f>
        <v>61.9968</v>
      </c>
      <c r="S762" s="14">
        <f>CHOOSE(CONTROL!$C$42, 59.2672, 59.2672) * CHOOSE(CONTROL!$C$21, $C$9, 100%, $E$9)</f>
        <v>59.267200000000003</v>
      </c>
      <c r="T7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7">
        <f>(1000*CHOOSE(CONTROL!$C$42, 695, 695)*CHOOSE(CONTROL!$C$42, 0.5599, 0.5599)*CHOOSE(CONTROL!$C$42, 30, 30))/1000000</f>
        <v>11.673914999999997</v>
      </c>
      <c r="V762" s="57">
        <f>(1000*CHOOSE(CONTROL!$C$42, 500, 500)*CHOOSE(CONTROL!$C$42, 0.275, 0.275)*CHOOSE(CONTROL!$C$42, 30, 30))/1000000</f>
        <v>4.125</v>
      </c>
      <c r="W762" s="57">
        <f>(1000*CHOOSE(CONTROL!$C$42, 0.1146, 0.1146)*CHOOSE(CONTROL!$C$42, 121.5, 121.5)*CHOOSE(CONTROL!$C$42, 30, 30))/1000000</f>
        <v>0.417717</v>
      </c>
      <c r="X762" s="57">
        <f>(30*0.1790888*245000/1000000)+(30*0.2374*100000/1000000)</f>
        <v>2.0285026799999999</v>
      </c>
      <c r="Y762" s="57"/>
      <c r="Z762" s="14"/>
      <c r="AA762" s="56"/>
      <c r="AB762" s="50">
        <f>(B762*194.205+C762*267.466+D762*133.845+E762*53.484+F762*40+G762*185+H762*0+I762*100+J762*300)/(194.205+267.466+133.845+53.484+0+40+185+100+300)</f>
        <v>61.735247763736261</v>
      </c>
      <c r="AC762" s="45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60.557761870503612</v>
      </c>
    </row>
    <row r="763" spans="1:29" ht="15.75" x14ac:dyDescent="0.25">
      <c r="A763" s="32">
        <v>64131</v>
      </c>
      <c r="B763" s="14">
        <f>CHOOSE(CONTROL!$C$42, 60.5066, 60.5066) * CHOOSE(CONTROL!$C$21, $C$9, 100%, $E$9)</f>
        <v>60.506599999999999</v>
      </c>
      <c r="C763" s="14">
        <f>CHOOSE(CONTROL!$C$42, 60.5147, 60.5147) * CHOOSE(CONTROL!$C$21, $C$9, 100%, $E$9)</f>
        <v>60.514699999999998</v>
      </c>
      <c r="D763" s="14">
        <f>CHOOSE(CONTROL!$C$42, 60.7196, 60.7196) * CHOOSE(CONTROL!$C$21, $C$9, 100%, $E$9)</f>
        <v>60.7196</v>
      </c>
      <c r="E763" s="14">
        <f>CHOOSE(CONTROL!$C$42, 60.7511, 60.7511) * CHOOSE(CONTROL!$C$21, $C$9, 100%, $E$9)</f>
        <v>60.751100000000001</v>
      </c>
      <c r="F763" s="14">
        <f>CHOOSE(CONTROL!$C$42, 60.4936, 60.4936)*CHOOSE(CONTROL!$C$21, $C$9, 100%, $E$9)</f>
        <v>60.493600000000001</v>
      </c>
      <c r="G763" s="14">
        <f>CHOOSE(CONTROL!$C$42, 60.5102, 60.5102)*CHOOSE(CONTROL!$C$21, $C$9, 100%, $E$9)</f>
        <v>60.510199999999998</v>
      </c>
      <c r="H763" s="14">
        <f>CHOOSE(CONTROL!$C$42, 60.7397, 60.7397) * CHOOSE(CONTROL!$C$21, $C$9, 100%, $E$9)</f>
        <v>60.739699999999999</v>
      </c>
      <c r="I763" s="14">
        <f>CHOOSE(CONTROL!$C$42, 60.7042, 60.7042)* CHOOSE(CONTROL!$C$21, $C$9, 100%, $E$9)</f>
        <v>60.7042</v>
      </c>
      <c r="J763" s="14">
        <f>CHOOSE(CONTROL!$C$42, 60.4866, 60.4866)* CHOOSE(CONTROL!$C$21, $C$9, 100%, $E$9)</f>
        <v>60.486600000000003</v>
      </c>
      <c r="K763" s="53">
        <f>CHOOSE(CONTROL!$C$42, 60.7003, 60.7003) * CHOOSE(CONTROL!$C$21, $C$9, 100%, $E$9)</f>
        <v>60.700299999999999</v>
      </c>
      <c r="L763" s="14">
        <f>CHOOSE(CONTROL!$C$42, 61.3267, 61.3267) * CHOOSE(CONTROL!$C$21, $C$9, 100%, $E$9)</f>
        <v>61.326700000000002</v>
      </c>
      <c r="M763" s="14">
        <f>CHOOSE(CONTROL!$C$42, 59.255, 59.255) * CHOOSE(CONTROL!$C$21, $C$9, 100%, $E$9)</f>
        <v>59.255000000000003</v>
      </c>
      <c r="N763" s="14">
        <f>CHOOSE(CONTROL!$C$42, 59.2713, 59.2713) * CHOOSE(CONTROL!$C$21, $C$9, 100%, $E$9)</f>
        <v>59.271299999999997</v>
      </c>
      <c r="O763" s="14">
        <f>CHOOSE(CONTROL!$C$42, 59.5029, 59.5029) * CHOOSE(CONTROL!$C$21, $C$9, 100%, $E$9)</f>
        <v>59.502899999999997</v>
      </c>
      <c r="P763" s="14">
        <f>CHOOSE(CONTROL!$C$42, 59.4644, 59.4644) * CHOOSE(CONTROL!$C$21, $C$9, 100%, $E$9)</f>
        <v>59.464399999999998</v>
      </c>
      <c r="Q763" s="14">
        <f>CHOOSE(CONTROL!$C$42, 60.0976, 60.0976) * CHOOSE(CONTROL!$C$21, $C$9, 100%, $E$9)</f>
        <v>60.0976</v>
      </c>
      <c r="R763" s="14">
        <f>CHOOSE(CONTROL!$C$42, 60.8349, 60.8349) * CHOOSE(CONTROL!$C$21, $C$9, 100%, $E$9)</f>
        <v>60.834899999999998</v>
      </c>
      <c r="S763" s="14">
        <f>CHOOSE(CONTROL!$C$42, 58.1302, 58.1302) * CHOOSE(CONTROL!$C$21, $C$9, 100%, $E$9)</f>
        <v>58.130200000000002</v>
      </c>
      <c r="T7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7">
        <f>(1000*CHOOSE(CONTROL!$C$42, 695, 695)*CHOOSE(CONTROL!$C$42, 0.5599, 0.5599)*CHOOSE(CONTROL!$C$42, 31, 31))/1000000</f>
        <v>12.063045499999998</v>
      </c>
      <c r="V763" s="57">
        <f>(1000*CHOOSE(CONTROL!$C$42, 500, 500)*CHOOSE(CONTROL!$C$42, 0.275, 0.275)*CHOOSE(CONTROL!$C$42, 31, 31))/1000000</f>
        <v>4.2625000000000002</v>
      </c>
      <c r="W763" s="57">
        <f>(1000*CHOOSE(CONTROL!$C$42, 0.1146, 0.1146)*CHOOSE(CONTROL!$C$42, 121.5, 121.5)*CHOOSE(CONTROL!$C$42, 31, 31))/1000000</f>
        <v>0.43164089999999994</v>
      </c>
      <c r="X763" s="57">
        <f>(31*0.1790888*245000/1000000)+(31*0.2374*100000/1000000)</f>
        <v>2.0961194359999999</v>
      </c>
      <c r="Y763" s="57"/>
      <c r="Z763" s="14"/>
      <c r="AA763" s="56"/>
      <c r="AB763" s="50">
        <f>(B763*194.205+C763*267.466+D763*133.845+E763*53.484+F763*40+G763*185+H763*0+I763*100+J763*300)/(194.205+267.466+133.845+53.484+0+40+185+100+300)</f>
        <v>60.551857690423859</v>
      </c>
      <c r="AC763" s="45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59.398425179856119</v>
      </c>
    </row>
    <row r="764" spans="1:29" ht="15.75" x14ac:dyDescent="0.25">
      <c r="A764" s="32">
        <v>64162</v>
      </c>
      <c r="B764" s="14">
        <f>CHOOSE(CONTROL!$C$42, 57.5185, 57.5185) * CHOOSE(CONTROL!$C$21, $C$9, 100%, $E$9)</f>
        <v>57.518500000000003</v>
      </c>
      <c r="C764" s="14">
        <f>CHOOSE(CONTROL!$C$42, 57.5265, 57.5265) * CHOOSE(CONTROL!$C$21, $C$9, 100%, $E$9)</f>
        <v>57.526499999999999</v>
      </c>
      <c r="D764" s="14">
        <f>CHOOSE(CONTROL!$C$42, 57.7315, 57.7315) * CHOOSE(CONTROL!$C$21, $C$9, 100%, $E$9)</f>
        <v>57.731499999999997</v>
      </c>
      <c r="E764" s="14">
        <f>CHOOSE(CONTROL!$C$42, 57.763, 57.763) * CHOOSE(CONTROL!$C$21, $C$9, 100%, $E$9)</f>
        <v>57.762999999999998</v>
      </c>
      <c r="F764" s="14">
        <f>CHOOSE(CONTROL!$C$42, 57.5057, 57.5057)*CHOOSE(CONTROL!$C$21, $C$9, 100%, $E$9)</f>
        <v>57.505699999999997</v>
      </c>
      <c r="G764" s="14">
        <f>CHOOSE(CONTROL!$C$42, 57.5224, 57.5224)*CHOOSE(CONTROL!$C$21, $C$9, 100%, $E$9)</f>
        <v>57.522399999999998</v>
      </c>
      <c r="H764" s="14">
        <f>CHOOSE(CONTROL!$C$42, 57.7516, 57.7516) * CHOOSE(CONTROL!$C$21, $C$9, 100%, $E$9)</f>
        <v>57.751600000000003</v>
      </c>
      <c r="I764" s="14">
        <f>CHOOSE(CONTROL!$C$42, 57.7067, 57.7067)* CHOOSE(CONTROL!$C$21, $C$9, 100%, $E$9)</f>
        <v>57.706699999999998</v>
      </c>
      <c r="J764" s="14">
        <f>CHOOSE(CONTROL!$C$42, 57.4987, 57.4987)* CHOOSE(CONTROL!$C$21, $C$9, 100%, $E$9)</f>
        <v>57.498699999999999</v>
      </c>
      <c r="K764" s="53">
        <f>CHOOSE(CONTROL!$C$42, 57.7028, 57.7028) * CHOOSE(CONTROL!$C$21, $C$9, 100%, $E$9)</f>
        <v>57.702800000000003</v>
      </c>
      <c r="L764" s="14">
        <f>CHOOSE(CONTROL!$C$42, 58.3386, 58.3386) * CHOOSE(CONTROL!$C$21, $C$9, 100%, $E$9)</f>
        <v>58.3386</v>
      </c>
      <c r="M764" s="14">
        <f>CHOOSE(CONTROL!$C$42, 56.3283, 56.3283) * CHOOSE(CONTROL!$C$21, $C$9, 100%, $E$9)</f>
        <v>56.328299999999999</v>
      </c>
      <c r="N764" s="14">
        <f>CHOOSE(CONTROL!$C$42, 56.3446, 56.3446) * CHOOSE(CONTROL!$C$21, $C$9, 100%, $E$9)</f>
        <v>56.3446</v>
      </c>
      <c r="O764" s="14">
        <f>CHOOSE(CONTROL!$C$42, 56.576, 56.576) * CHOOSE(CONTROL!$C$21, $C$9, 100%, $E$9)</f>
        <v>56.576000000000001</v>
      </c>
      <c r="P764" s="14">
        <f>CHOOSE(CONTROL!$C$42, 56.5285, 56.5285) * CHOOSE(CONTROL!$C$21, $C$9, 100%, $E$9)</f>
        <v>56.528500000000001</v>
      </c>
      <c r="Q764" s="14">
        <f>CHOOSE(CONTROL!$C$42, 57.1707, 57.1707) * CHOOSE(CONTROL!$C$21, $C$9, 100%, $E$9)</f>
        <v>57.170699999999997</v>
      </c>
      <c r="R764" s="14">
        <f>CHOOSE(CONTROL!$C$42, 57.9006, 57.9006) * CHOOSE(CONTROL!$C$21, $C$9, 100%, $E$9)</f>
        <v>57.900599999999997</v>
      </c>
      <c r="S764" s="14">
        <f>CHOOSE(CONTROL!$C$42, 55.2589, 55.2589) * CHOOSE(CONTROL!$C$21, $C$9, 100%, $E$9)</f>
        <v>55.258899999999997</v>
      </c>
      <c r="T7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7">
        <f>(1000*CHOOSE(CONTROL!$C$42, 695, 695)*CHOOSE(CONTROL!$C$42, 0.5599, 0.5599)*CHOOSE(CONTROL!$C$42, 31, 31))/1000000</f>
        <v>12.063045499999998</v>
      </c>
      <c r="V764" s="57">
        <f>(1000*CHOOSE(CONTROL!$C$42, 500, 500)*CHOOSE(CONTROL!$C$42, 0.275, 0.275)*CHOOSE(CONTROL!$C$42, 31, 31))/1000000</f>
        <v>4.2625000000000002</v>
      </c>
      <c r="W764" s="57">
        <f>(1000*CHOOSE(CONTROL!$C$42, 0.1146, 0.1146)*CHOOSE(CONTROL!$C$42, 121.5, 121.5)*CHOOSE(CONTROL!$C$42, 31, 31))/1000000</f>
        <v>0.43164089999999994</v>
      </c>
      <c r="X764" s="57">
        <f>(31*0.1790888*245000/1000000)+(31*0.2374*100000/1000000)</f>
        <v>2.0961194359999999</v>
      </c>
      <c r="Y764" s="57"/>
      <c r="Z764" s="14"/>
      <c r="AA764" s="56"/>
      <c r="AB764" s="50">
        <f>(B764*194.205+C764*267.466+D764*133.845+E764*53.484+F764*40+G764*185+H764*0+I764*100+J764*300)/(194.205+267.466+133.845+53.484+0+40+185+100+300)</f>
        <v>57.563095801412871</v>
      </c>
      <c r="AC764" s="45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56.470310791366899</v>
      </c>
    </row>
    <row r="765" spans="1:29" ht="15.75" x14ac:dyDescent="0.25">
      <c r="A765" s="32">
        <v>64192</v>
      </c>
      <c r="B765" s="14">
        <f>CHOOSE(CONTROL!$C$42, 53.8672, 53.8672) * CHOOSE(CONTROL!$C$21, $C$9, 100%, $E$9)</f>
        <v>53.867199999999997</v>
      </c>
      <c r="C765" s="14">
        <f>CHOOSE(CONTROL!$C$42, 53.8752, 53.8752) * CHOOSE(CONTROL!$C$21, $C$9, 100%, $E$9)</f>
        <v>53.8752</v>
      </c>
      <c r="D765" s="14">
        <f>CHOOSE(CONTROL!$C$42, 54.0802, 54.0802) * CHOOSE(CONTROL!$C$21, $C$9, 100%, $E$9)</f>
        <v>54.080199999999998</v>
      </c>
      <c r="E765" s="14">
        <f>CHOOSE(CONTROL!$C$42, 54.1116, 54.1116) * CHOOSE(CONTROL!$C$21, $C$9, 100%, $E$9)</f>
        <v>54.111600000000003</v>
      </c>
      <c r="F765" s="14">
        <f>CHOOSE(CONTROL!$C$42, 53.8543, 53.8543)*CHOOSE(CONTROL!$C$21, $C$9, 100%, $E$9)</f>
        <v>53.854300000000002</v>
      </c>
      <c r="G765" s="14">
        <f>CHOOSE(CONTROL!$C$42, 53.871, 53.871)*CHOOSE(CONTROL!$C$21, $C$9, 100%, $E$9)</f>
        <v>53.871000000000002</v>
      </c>
      <c r="H765" s="14">
        <f>CHOOSE(CONTROL!$C$42, 54.1002, 54.1002) * CHOOSE(CONTROL!$C$21, $C$9, 100%, $E$9)</f>
        <v>54.100200000000001</v>
      </c>
      <c r="I765" s="14">
        <f>CHOOSE(CONTROL!$C$42, 54.0439, 54.0439)* CHOOSE(CONTROL!$C$21, $C$9, 100%, $E$9)</f>
        <v>54.043900000000001</v>
      </c>
      <c r="J765" s="14">
        <f>CHOOSE(CONTROL!$C$42, 53.8473, 53.8473)* CHOOSE(CONTROL!$C$21, $C$9, 100%, $E$9)</f>
        <v>53.847299999999997</v>
      </c>
      <c r="K765" s="53">
        <f>CHOOSE(CONTROL!$C$42, 54.04, 54.04) * CHOOSE(CONTROL!$C$21, $C$9, 100%, $E$9)</f>
        <v>54.04</v>
      </c>
      <c r="L765" s="14">
        <f>CHOOSE(CONTROL!$C$42, 54.6872, 54.6872) * CHOOSE(CONTROL!$C$21, $C$9, 100%, $E$9)</f>
        <v>54.687199999999997</v>
      </c>
      <c r="M765" s="14">
        <f>CHOOSE(CONTROL!$C$42, 52.7517, 52.7517) * CHOOSE(CONTROL!$C$21, $C$9, 100%, $E$9)</f>
        <v>52.7517</v>
      </c>
      <c r="N765" s="14">
        <f>CHOOSE(CONTROL!$C$42, 52.768, 52.768) * CHOOSE(CONTROL!$C$21, $C$9, 100%, $E$9)</f>
        <v>52.768000000000001</v>
      </c>
      <c r="O765" s="14">
        <f>CHOOSE(CONTROL!$C$42, 52.9995, 52.9995) * CHOOSE(CONTROL!$C$21, $C$9, 100%, $E$9)</f>
        <v>52.999499999999998</v>
      </c>
      <c r="P765" s="14">
        <f>CHOOSE(CONTROL!$C$42, 52.941, 52.941) * CHOOSE(CONTROL!$C$21, $C$9, 100%, $E$9)</f>
        <v>52.941000000000003</v>
      </c>
      <c r="Q765" s="14">
        <f>CHOOSE(CONTROL!$C$42, 53.5942, 53.5942) * CHOOSE(CONTROL!$C$21, $C$9, 100%, $E$9)</f>
        <v>53.594200000000001</v>
      </c>
      <c r="R765" s="14">
        <f>CHOOSE(CONTROL!$C$42, 54.3151, 54.3151) * CHOOSE(CONTROL!$C$21, $C$9, 100%, $E$9)</f>
        <v>54.315100000000001</v>
      </c>
      <c r="S765" s="14">
        <f>CHOOSE(CONTROL!$C$42, 51.7503, 51.7503) * CHOOSE(CONTROL!$C$21, $C$9, 100%, $E$9)</f>
        <v>51.750300000000003</v>
      </c>
      <c r="T7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7">
        <f>(1000*CHOOSE(CONTROL!$C$42, 695, 695)*CHOOSE(CONTROL!$C$42, 0.5599, 0.5599)*CHOOSE(CONTROL!$C$42, 30, 30))/1000000</f>
        <v>11.673914999999997</v>
      </c>
      <c r="V765" s="57">
        <f>(1000*CHOOSE(CONTROL!$C$42, 500, 500)*CHOOSE(CONTROL!$C$42, 0.275, 0.275)*CHOOSE(CONTROL!$C$42, 30, 30))/1000000</f>
        <v>4.125</v>
      </c>
      <c r="W765" s="57">
        <f>(1000*CHOOSE(CONTROL!$C$42, 0.1146, 0.1146)*CHOOSE(CONTROL!$C$42, 121.5, 121.5)*CHOOSE(CONTROL!$C$42, 30, 30))/1000000</f>
        <v>0.417717</v>
      </c>
      <c r="X765" s="57">
        <f>(30*0.1790888*245000/1000000)+(30*0.2374*100000/1000000)</f>
        <v>2.0285026799999999</v>
      </c>
      <c r="Y765" s="57"/>
      <c r="Z765" s="14"/>
      <c r="AA765" s="56"/>
      <c r="AB765" s="50">
        <f>(B765*194.205+C765*267.466+D765*133.845+E765*53.484+F765*40+G765*185+H765*0+I765*100+J765*300)/(194.205+267.466+133.845+53.484+0+40+185+100+300)</f>
        <v>53.910847725745683</v>
      </c>
      <c r="AC765" s="45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52.892187769784172</v>
      </c>
    </row>
    <row r="766" spans="1:29" ht="15.75" x14ac:dyDescent="0.25">
      <c r="A766" s="32">
        <v>64223</v>
      </c>
      <c r="B766" s="14">
        <f>CHOOSE(CONTROL!$C$42, 52.7719, 52.7719) * CHOOSE(CONTROL!$C$21, $C$9, 100%, $E$9)</f>
        <v>52.771900000000002</v>
      </c>
      <c r="C766" s="14">
        <f>CHOOSE(CONTROL!$C$42, 52.7772, 52.7772) * CHOOSE(CONTROL!$C$21, $C$9, 100%, $E$9)</f>
        <v>52.777200000000001</v>
      </c>
      <c r="D766" s="14">
        <f>CHOOSE(CONTROL!$C$42, 52.9872, 52.9872) * CHOOSE(CONTROL!$C$21, $C$9, 100%, $E$9)</f>
        <v>52.987200000000001</v>
      </c>
      <c r="E766" s="14">
        <f>CHOOSE(CONTROL!$C$42, 53.0163, 53.0163) * CHOOSE(CONTROL!$C$21, $C$9, 100%, $E$9)</f>
        <v>53.016300000000001</v>
      </c>
      <c r="F766" s="14">
        <f>CHOOSE(CONTROL!$C$42, 52.7611, 52.7611)*CHOOSE(CONTROL!$C$21, $C$9, 100%, $E$9)</f>
        <v>52.761099999999999</v>
      </c>
      <c r="G766" s="14">
        <f>CHOOSE(CONTROL!$C$42, 52.7775, 52.7775)*CHOOSE(CONTROL!$C$21, $C$9, 100%, $E$9)</f>
        <v>52.777500000000003</v>
      </c>
      <c r="H766" s="14">
        <f>CHOOSE(CONTROL!$C$42, 53.0068, 53.0068) * CHOOSE(CONTROL!$C$21, $C$9, 100%, $E$9)</f>
        <v>53.006799999999998</v>
      </c>
      <c r="I766" s="14">
        <f>CHOOSE(CONTROL!$C$42, 52.947, 52.947)* CHOOSE(CONTROL!$C$21, $C$9, 100%, $E$9)</f>
        <v>52.947000000000003</v>
      </c>
      <c r="J766" s="14">
        <f>CHOOSE(CONTROL!$C$42, 52.7541, 52.7541)* CHOOSE(CONTROL!$C$21, $C$9, 100%, $E$9)</f>
        <v>52.754100000000001</v>
      </c>
      <c r="K766" s="53">
        <f>CHOOSE(CONTROL!$C$42, 52.9431, 52.9431) * CHOOSE(CONTROL!$C$21, $C$9, 100%, $E$9)</f>
        <v>52.943100000000001</v>
      </c>
      <c r="L766" s="14">
        <f>CHOOSE(CONTROL!$C$42, 53.5938, 53.5938) * CHOOSE(CONTROL!$C$21, $C$9, 100%, $E$9)</f>
        <v>53.593800000000002</v>
      </c>
      <c r="M766" s="14">
        <f>CHOOSE(CONTROL!$C$42, 51.6809, 51.6809) * CHOOSE(CONTROL!$C$21, $C$9, 100%, $E$9)</f>
        <v>51.680900000000001</v>
      </c>
      <c r="N766" s="14">
        <f>CHOOSE(CONTROL!$C$42, 51.6969, 51.6969) * CHOOSE(CONTROL!$C$21, $C$9, 100%, $E$9)</f>
        <v>51.696899999999999</v>
      </c>
      <c r="O766" s="14">
        <f>CHOOSE(CONTROL!$C$42, 51.9284, 51.9284) * CHOOSE(CONTROL!$C$21, $C$9, 100%, $E$9)</f>
        <v>51.928400000000003</v>
      </c>
      <c r="P766" s="14">
        <f>CHOOSE(CONTROL!$C$42, 51.8666, 51.8666) * CHOOSE(CONTROL!$C$21, $C$9, 100%, $E$9)</f>
        <v>51.866599999999998</v>
      </c>
      <c r="Q766" s="14">
        <f>CHOOSE(CONTROL!$C$42, 52.5231, 52.5231) * CHOOSE(CONTROL!$C$21, $C$9, 100%, $E$9)</f>
        <v>52.523099999999999</v>
      </c>
      <c r="R766" s="14">
        <f>CHOOSE(CONTROL!$C$42, 53.2414, 53.2414) * CHOOSE(CONTROL!$C$21, $C$9, 100%, $E$9)</f>
        <v>53.241399999999999</v>
      </c>
      <c r="S766" s="14">
        <f>CHOOSE(CONTROL!$C$42, 50.6996, 50.6996) * CHOOSE(CONTROL!$C$21, $C$9, 100%, $E$9)</f>
        <v>50.699599999999997</v>
      </c>
      <c r="T7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7">
        <f>(1000*CHOOSE(CONTROL!$C$42, 695, 695)*CHOOSE(CONTROL!$C$42, 0.5599, 0.5599)*CHOOSE(CONTROL!$C$42, 31, 31))/1000000</f>
        <v>12.063045499999998</v>
      </c>
      <c r="V766" s="57">
        <f>(1000*CHOOSE(CONTROL!$C$42, 500, 500)*CHOOSE(CONTROL!$C$42, 0.275, 0.275)*CHOOSE(CONTROL!$C$42, 31, 31))/1000000</f>
        <v>4.2625000000000002</v>
      </c>
      <c r="W766" s="57">
        <f>(1000*CHOOSE(CONTROL!$C$42, 0.1146, 0.1146)*CHOOSE(CONTROL!$C$42, 121.5, 121.5)*CHOOSE(CONTROL!$C$42, 31, 31))/1000000</f>
        <v>0.43164089999999994</v>
      </c>
      <c r="X766" s="57">
        <f>(31*0.1790888*245000/1000000)+(31*0.2374*100000/1000000)</f>
        <v>2.0961194359999999</v>
      </c>
      <c r="Y766" s="57"/>
      <c r="Z766" s="14"/>
      <c r="AA766" s="56"/>
      <c r="AB766" s="50">
        <f>(B766*131.881+C766*277.167+D766*79.08+E766*125.872+F766*40+G766*185+H766*0+I766*100+J766*300)/(131.881+277.167+79.08+125.872+0+40+185+100+300)</f>
        <v>52.821966203309117</v>
      </c>
      <c r="AC766" s="45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51.82071654676259</v>
      </c>
    </row>
    <row r="767" spans="1:29" ht="15.75" x14ac:dyDescent="0.25">
      <c r="A767" s="32">
        <v>64253</v>
      </c>
      <c r="B767" s="14">
        <f>CHOOSE(CONTROL!$C$42, 54.1615, 54.1615) * CHOOSE(CONTROL!$C$21, $C$9, 100%, $E$9)</f>
        <v>54.161499999999997</v>
      </c>
      <c r="C767" s="14">
        <f>CHOOSE(CONTROL!$C$42, 54.1666, 54.1666) * CHOOSE(CONTROL!$C$21, $C$9, 100%, $E$9)</f>
        <v>54.166600000000003</v>
      </c>
      <c r="D767" s="14">
        <f>CHOOSE(CONTROL!$C$42, 54.2304, 54.2304) * CHOOSE(CONTROL!$C$21, $C$9, 100%, $E$9)</f>
        <v>54.230400000000003</v>
      </c>
      <c r="E767" s="14">
        <f>CHOOSE(CONTROL!$C$42, 54.2645, 54.2645) * CHOOSE(CONTROL!$C$21, $C$9, 100%, $E$9)</f>
        <v>54.264499999999998</v>
      </c>
      <c r="F767" s="14">
        <f>CHOOSE(CONTROL!$C$42, 54.1637, 54.1637)*CHOOSE(CONTROL!$C$21, $C$9, 100%, $E$9)</f>
        <v>54.163699999999999</v>
      </c>
      <c r="G767" s="14">
        <f>CHOOSE(CONTROL!$C$42, 54.1804, 54.1804)*CHOOSE(CONTROL!$C$21, $C$9, 100%, $E$9)</f>
        <v>54.180399999999999</v>
      </c>
      <c r="H767" s="14">
        <f>CHOOSE(CONTROL!$C$42, 54.2537, 54.2537) * CHOOSE(CONTROL!$C$21, $C$9, 100%, $E$9)</f>
        <v>54.253700000000002</v>
      </c>
      <c r="I767" s="14">
        <f>CHOOSE(CONTROL!$C$42, 54.345, 54.345)* CHOOSE(CONTROL!$C$21, $C$9, 100%, $E$9)</f>
        <v>54.344999999999999</v>
      </c>
      <c r="J767" s="14">
        <f>CHOOSE(CONTROL!$C$42, 54.1567, 54.1567)* CHOOSE(CONTROL!$C$21, $C$9, 100%, $E$9)</f>
        <v>54.156700000000001</v>
      </c>
      <c r="K767" s="53">
        <f>CHOOSE(CONTROL!$C$42, 54.3411, 54.3411) * CHOOSE(CONTROL!$C$21, $C$9, 100%, $E$9)</f>
        <v>54.341099999999997</v>
      </c>
      <c r="L767" s="14">
        <f>CHOOSE(CONTROL!$C$42, 54.8407, 54.8407) * CHOOSE(CONTROL!$C$21, $C$9, 100%, $E$9)</f>
        <v>54.840699999999998</v>
      </c>
      <c r="M767" s="14">
        <f>CHOOSE(CONTROL!$C$42, 53.0548, 53.0548) * CHOOSE(CONTROL!$C$21, $C$9, 100%, $E$9)</f>
        <v>53.0548</v>
      </c>
      <c r="N767" s="14">
        <f>CHOOSE(CONTROL!$C$42, 53.0711, 53.0711) * CHOOSE(CONTROL!$C$21, $C$9, 100%, $E$9)</f>
        <v>53.071100000000001</v>
      </c>
      <c r="O767" s="14">
        <f>CHOOSE(CONTROL!$C$42, 53.1497, 53.1497) * CHOOSE(CONTROL!$C$21, $C$9, 100%, $E$9)</f>
        <v>53.149700000000003</v>
      </c>
      <c r="P767" s="14">
        <f>CHOOSE(CONTROL!$C$42, 53.2359, 53.2359) * CHOOSE(CONTROL!$C$21, $C$9, 100%, $E$9)</f>
        <v>53.235900000000001</v>
      </c>
      <c r="Q767" s="14">
        <f>CHOOSE(CONTROL!$C$42, 53.7444, 53.7444) * CHOOSE(CONTROL!$C$21, $C$9, 100%, $E$9)</f>
        <v>53.744399999999999</v>
      </c>
      <c r="R767" s="14">
        <f>CHOOSE(CONTROL!$C$42, 54.4658, 54.4658) * CHOOSE(CONTROL!$C$21, $C$9, 100%, $E$9)</f>
        <v>54.465800000000002</v>
      </c>
      <c r="S767" s="14">
        <f>CHOOSE(CONTROL!$C$42, 52.0352, 52.0352) * CHOOSE(CONTROL!$C$21, $C$9, 100%, $E$9)</f>
        <v>52.035200000000003</v>
      </c>
      <c r="T7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7">
        <f>(1000*CHOOSE(CONTROL!$C$42, 695, 695)*CHOOSE(CONTROL!$C$42, 0.5599, 0.5599)*CHOOSE(CONTROL!$C$42, 30, 30))/1000000</f>
        <v>11.673914999999997</v>
      </c>
      <c r="V767" s="57">
        <f>(1000*CHOOSE(CONTROL!$C$42, 500, 500)*CHOOSE(CONTROL!$C$42, 0.275, 0.275)*CHOOSE(CONTROL!$C$42, 30, 30))/1000000</f>
        <v>4.125</v>
      </c>
      <c r="W767" s="57">
        <f>(1000*CHOOSE(CONTROL!$C$42, 0.1146, 0.1146)*CHOOSE(CONTROL!$C$42, 121.5, 121.5)*CHOOSE(CONTROL!$C$42, 30, 30))/1000000</f>
        <v>0.417717</v>
      </c>
      <c r="X767" s="57">
        <f>(30*0.1790888*100000/1000000)+(30*0.2374*100000/1000000)</f>
        <v>1.2494664</v>
      </c>
      <c r="Y767" s="57"/>
      <c r="Z767" s="14"/>
      <c r="AA767" s="56"/>
      <c r="AB767" s="50">
        <f>(B767*122.58+C767*297.941+D767*89.177+E767*40.302+F767*40+G767*160+H767*0+I767*100+J767*300)/(122.58+297.941+89.177+40.302+0+40+160+100+300)</f>
        <v>54.189184261217385</v>
      </c>
      <c r="AC767" s="45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53.124807913669073</v>
      </c>
    </row>
    <row r="768" spans="1:29" ht="15.75" x14ac:dyDescent="0.25">
      <c r="A768" s="32">
        <v>64284</v>
      </c>
      <c r="B768" s="14">
        <f>CHOOSE(CONTROL!$C$42, 57.8535, 57.8535) * CHOOSE(CONTROL!$C$21, $C$9, 100%, $E$9)</f>
        <v>57.853499999999997</v>
      </c>
      <c r="C768" s="14">
        <f>CHOOSE(CONTROL!$C$42, 57.8586, 57.8586) * CHOOSE(CONTROL!$C$21, $C$9, 100%, $E$9)</f>
        <v>57.858600000000003</v>
      </c>
      <c r="D768" s="14">
        <f>CHOOSE(CONTROL!$C$42, 57.9224, 57.9224) * CHOOSE(CONTROL!$C$21, $C$9, 100%, $E$9)</f>
        <v>57.922400000000003</v>
      </c>
      <c r="E768" s="14">
        <f>CHOOSE(CONTROL!$C$42, 57.9565, 57.9565) * CHOOSE(CONTROL!$C$21, $C$9, 100%, $E$9)</f>
        <v>57.956499999999998</v>
      </c>
      <c r="F768" s="14">
        <f>CHOOSE(CONTROL!$C$42, 57.8578, 57.8578)*CHOOSE(CONTROL!$C$21, $C$9, 100%, $E$9)</f>
        <v>57.857799999999997</v>
      </c>
      <c r="G768" s="14">
        <f>CHOOSE(CONTROL!$C$42, 57.8751, 57.8751)*CHOOSE(CONTROL!$C$21, $C$9, 100%, $E$9)</f>
        <v>57.875100000000003</v>
      </c>
      <c r="H768" s="14">
        <f>CHOOSE(CONTROL!$C$42, 57.9457, 57.9457) * CHOOSE(CONTROL!$C$21, $C$9, 100%, $E$9)</f>
        <v>57.945700000000002</v>
      </c>
      <c r="I768" s="14">
        <f>CHOOSE(CONTROL!$C$42, 58.0486, 58.0486)* CHOOSE(CONTROL!$C$21, $C$9, 100%, $E$9)</f>
        <v>58.0486</v>
      </c>
      <c r="J768" s="14">
        <f>CHOOSE(CONTROL!$C$42, 57.8508, 57.8508)* CHOOSE(CONTROL!$C$21, $C$9, 100%, $E$9)</f>
        <v>57.8508</v>
      </c>
      <c r="K768" s="53">
        <f>CHOOSE(CONTROL!$C$42, 58.0447, 58.0447) * CHOOSE(CONTROL!$C$21, $C$9, 100%, $E$9)</f>
        <v>58.044699999999999</v>
      </c>
      <c r="L768" s="14">
        <f>CHOOSE(CONTROL!$C$42, 58.5327, 58.5327) * CHOOSE(CONTROL!$C$21, $C$9, 100%, $E$9)</f>
        <v>58.532699999999998</v>
      </c>
      <c r="M768" s="14">
        <f>CHOOSE(CONTROL!$C$42, 56.6732, 56.6732) * CHOOSE(CONTROL!$C$21, $C$9, 100%, $E$9)</f>
        <v>56.673200000000001</v>
      </c>
      <c r="N768" s="14">
        <f>CHOOSE(CONTROL!$C$42, 56.6901, 56.6901) * CHOOSE(CONTROL!$C$21, $C$9, 100%, $E$9)</f>
        <v>56.690100000000001</v>
      </c>
      <c r="O768" s="14">
        <f>CHOOSE(CONTROL!$C$42, 56.7661, 56.7661) * CHOOSE(CONTROL!$C$21, $C$9, 100%, $E$9)</f>
        <v>56.766100000000002</v>
      </c>
      <c r="P768" s="14">
        <f>CHOOSE(CONTROL!$C$42, 56.8634, 56.8634) * CHOOSE(CONTROL!$C$21, $C$9, 100%, $E$9)</f>
        <v>56.863399999999999</v>
      </c>
      <c r="Q768" s="14">
        <f>CHOOSE(CONTROL!$C$42, 57.3608, 57.3608) * CHOOSE(CONTROL!$C$21, $C$9, 100%, $E$9)</f>
        <v>57.360799999999998</v>
      </c>
      <c r="R768" s="14">
        <f>CHOOSE(CONTROL!$C$42, 58.0912, 58.0912) * CHOOSE(CONTROL!$C$21, $C$9, 100%, $E$9)</f>
        <v>58.091200000000001</v>
      </c>
      <c r="S768" s="14">
        <f>CHOOSE(CONTROL!$C$42, 55.5829, 55.5829) * CHOOSE(CONTROL!$C$21, $C$9, 100%, $E$9)</f>
        <v>55.582900000000002</v>
      </c>
      <c r="T7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7">
        <f>(1000*CHOOSE(CONTROL!$C$42, 695, 695)*CHOOSE(CONTROL!$C$42, 0.5599, 0.5599)*CHOOSE(CONTROL!$C$42, 31, 31))/1000000</f>
        <v>12.063045499999998</v>
      </c>
      <c r="V768" s="57">
        <f>(1000*CHOOSE(CONTROL!$C$42, 500, 500)*CHOOSE(CONTROL!$C$42, 0.275, 0.275)*CHOOSE(CONTROL!$C$42, 31, 31))/1000000</f>
        <v>4.2625000000000002</v>
      </c>
      <c r="W768" s="57">
        <f>(1000*CHOOSE(CONTROL!$C$42, 0.1146, 0.1146)*CHOOSE(CONTROL!$C$42, 121.5, 121.5)*CHOOSE(CONTROL!$C$42, 31, 31))/1000000</f>
        <v>0.43164089999999994</v>
      </c>
      <c r="X768" s="57">
        <f>(31*0.1790888*100000/1000000)+(31*0.2374*100000/1000000)</f>
        <v>1.2911152800000001</v>
      </c>
      <c r="Y768" s="57"/>
      <c r="Z768" s="14"/>
      <c r="AA768" s="56"/>
      <c r="AB768" s="50">
        <f>(B768*122.58+C768*297.941+D768*89.177+E768*40.302+F768*40+G768*160+H768*0+I768*100+J768*300)/(122.58+297.941+89.177+40.302+0+40+160+100+300)</f>
        <v>57.883189478608699</v>
      </c>
      <c r="AC768" s="45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56.743645323741021</v>
      </c>
    </row>
    <row r="769" spans="1:29" ht="15.75" x14ac:dyDescent="0.25">
      <c r="A769" s="32">
        <v>64315</v>
      </c>
      <c r="B769" s="14">
        <f>CHOOSE(CONTROL!$C$42, 62.5918, 62.5918) * CHOOSE(CONTROL!$C$21, $C$9, 100%, $E$9)</f>
        <v>62.591799999999999</v>
      </c>
      <c r="C769" s="14">
        <f>CHOOSE(CONTROL!$C$42, 62.5968, 62.5968) * CHOOSE(CONTROL!$C$21, $C$9, 100%, $E$9)</f>
        <v>62.596800000000002</v>
      </c>
      <c r="D769" s="14">
        <f>CHOOSE(CONTROL!$C$42, 62.6554, 62.6554) * CHOOSE(CONTROL!$C$21, $C$9, 100%, $E$9)</f>
        <v>62.6554</v>
      </c>
      <c r="E769" s="14">
        <f>CHOOSE(CONTROL!$C$42, 62.6895, 62.6895) * CHOOSE(CONTROL!$C$21, $C$9, 100%, $E$9)</f>
        <v>62.689500000000002</v>
      </c>
      <c r="F769" s="14">
        <f>CHOOSE(CONTROL!$C$42, 62.5909, 62.5909)*CHOOSE(CONTROL!$C$21, $C$9, 100%, $E$9)</f>
        <v>62.590899999999998</v>
      </c>
      <c r="G769" s="14">
        <f>CHOOSE(CONTROL!$C$42, 62.6073, 62.6073)*CHOOSE(CONTROL!$C$21, $C$9, 100%, $E$9)</f>
        <v>62.607300000000002</v>
      </c>
      <c r="H769" s="14">
        <f>CHOOSE(CONTROL!$C$42, 62.6787, 62.6787) * CHOOSE(CONTROL!$C$21, $C$9, 100%, $E$9)</f>
        <v>62.678699999999999</v>
      </c>
      <c r="I769" s="14">
        <f>CHOOSE(CONTROL!$C$42, 62.798, 62.798)* CHOOSE(CONTROL!$C$21, $C$9, 100%, $E$9)</f>
        <v>62.798000000000002</v>
      </c>
      <c r="J769" s="14">
        <f>CHOOSE(CONTROL!$C$42, 62.5839, 62.5839)* CHOOSE(CONTROL!$C$21, $C$9, 100%, $E$9)</f>
        <v>62.5839</v>
      </c>
      <c r="K769" s="53">
        <f>CHOOSE(CONTROL!$C$42, 62.7941, 62.7941) * CHOOSE(CONTROL!$C$21, $C$9, 100%, $E$9)</f>
        <v>62.7941</v>
      </c>
      <c r="L769" s="14">
        <f>CHOOSE(CONTROL!$C$42, 63.2657, 63.2657) * CHOOSE(CONTROL!$C$21, $C$9, 100%, $E$9)</f>
        <v>63.265700000000002</v>
      </c>
      <c r="M769" s="14">
        <f>CHOOSE(CONTROL!$C$42, 61.3093, 61.3093) * CHOOSE(CONTROL!$C$21, $C$9, 100%, $E$9)</f>
        <v>61.3093</v>
      </c>
      <c r="N769" s="14">
        <f>CHOOSE(CONTROL!$C$42, 61.3253, 61.3253) * CHOOSE(CONTROL!$C$21, $C$9, 100%, $E$9)</f>
        <v>61.325299999999999</v>
      </c>
      <c r="O769" s="14">
        <f>CHOOSE(CONTROL!$C$42, 61.4022, 61.4022) * CHOOSE(CONTROL!$C$21, $C$9, 100%, $E$9)</f>
        <v>61.402200000000001</v>
      </c>
      <c r="P769" s="14">
        <f>CHOOSE(CONTROL!$C$42, 61.5152, 61.5152) * CHOOSE(CONTROL!$C$21, $C$9, 100%, $E$9)</f>
        <v>61.5152</v>
      </c>
      <c r="Q769" s="14">
        <f>CHOOSE(CONTROL!$C$42, 61.9969, 61.9969) * CHOOSE(CONTROL!$C$21, $C$9, 100%, $E$9)</f>
        <v>61.996899999999997</v>
      </c>
      <c r="R769" s="14">
        <f>CHOOSE(CONTROL!$C$42, 62.7389, 62.7389) * CHOOSE(CONTROL!$C$21, $C$9, 100%, $E$9)</f>
        <v>62.738900000000001</v>
      </c>
      <c r="S769" s="14">
        <f>CHOOSE(CONTROL!$C$42, 60.1359, 60.1359) * CHOOSE(CONTROL!$C$21, $C$9, 100%, $E$9)</f>
        <v>60.135899999999999</v>
      </c>
      <c r="T7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7">
        <f>(1000*CHOOSE(CONTROL!$C$42, 695, 695)*CHOOSE(CONTROL!$C$42, 0.5599, 0.5599)*CHOOSE(CONTROL!$C$42, 31, 31))/1000000</f>
        <v>12.063045499999998</v>
      </c>
      <c r="V769" s="57">
        <f>(1000*CHOOSE(CONTROL!$C$42, 500, 500)*CHOOSE(CONTROL!$C$42, 0.275, 0.275)*CHOOSE(CONTROL!$C$42, 31, 31))/1000000</f>
        <v>4.2625000000000002</v>
      </c>
      <c r="W769" s="57">
        <f>(1000*CHOOSE(CONTROL!$C$42, 0.1146, 0.1146)*CHOOSE(CONTROL!$C$42, 121.5, 121.5)*CHOOSE(CONTROL!$C$42, 31, 31))/1000000</f>
        <v>0.43164089999999994</v>
      </c>
      <c r="X769" s="57">
        <f>(31*0.1790888*100000/1000000)+(31*0.2374*100000/1000000)</f>
        <v>1.2911152800000001</v>
      </c>
      <c r="Y769" s="57"/>
      <c r="Z769" s="14"/>
      <c r="AA769" s="56"/>
      <c r="AB769" s="50">
        <f>(B769*122.58+C769*297.941+D769*89.177+E769*40.302+F769*40+G769*160+H769*0+I769*100+J769*300)/(122.58+297.941+89.177+40.302+0+40+160+100+300)</f>
        <v>62.619445971826082</v>
      </c>
      <c r="AC769" s="45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61.381952517985603</v>
      </c>
    </row>
    <row r="770" spans="1:29" ht="15.75" x14ac:dyDescent="0.25">
      <c r="A770" s="32">
        <v>64344</v>
      </c>
      <c r="B770" s="14">
        <f>CHOOSE(CONTROL!$C$42, 63.7058, 63.7058) * CHOOSE(CONTROL!$C$21, $C$9, 100%, $E$9)</f>
        <v>63.705800000000004</v>
      </c>
      <c r="C770" s="14">
        <f>CHOOSE(CONTROL!$C$42, 63.7109, 63.7109) * CHOOSE(CONTROL!$C$21, $C$9, 100%, $E$9)</f>
        <v>63.710900000000002</v>
      </c>
      <c r="D770" s="14">
        <f>CHOOSE(CONTROL!$C$42, 63.7695, 63.7695) * CHOOSE(CONTROL!$C$21, $C$9, 100%, $E$9)</f>
        <v>63.769500000000001</v>
      </c>
      <c r="E770" s="14">
        <f>CHOOSE(CONTROL!$C$42, 63.8036, 63.8036) * CHOOSE(CONTROL!$C$21, $C$9, 100%, $E$9)</f>
        <v>63.803600000000003</v>
      </c>
      <c r="F770" s="14">
        <f>CHOOSE(CONTROL!$C$42, 63.7049, 63.7049)*CHOOSE(CONTROL!$C$21, $C$9, 100%, $E$9)</f>
        <v>63.704900000000002</v>
      </c>
      <c r="G770" s="14">
        <f>CHOOSE(CONTROL!$C$42, 63.7213, 63.7213)*CHOOSE(CONTROL!$C$21, $C$9, 100%, $E$9)</f>
        <v>63.721299999999999</v>
      </c>
      <c r="H770" s="14">
        <f>CHOOSE(CONTROL!$C$42, 63.7928, 63.7928) * CHOOSE(CONTROL!$C$21, $C$9, 100%, $E$9)</f>
        <v>63.7928</v>
      </c>
      <c r="I770" s="14">
        <f>CHOOSE(CONTROL!$C$42, 63.9156, 63.9156)* CHOOSE(CONTROL!$C$21, $C$9, 100%, $E$9)</f>
        <v>63.915599999999998</v>
      </c>
      <c r="J770" s="14">
        <f>CHOOSE(CONTROL!$C$42, 63.6979, 63.6979)* CHOOSE(CONTROL!$C$21, $C$9, 100%, $E$9)</f>
        <v>63.697899999999997</v>
      </c>
      <c r="K770" s="53">
        <f>CHOOSE(CONTROL!$C$42, 63.9117, 63.9117) * CHOOSE(CONTROL!$C$21, $C$9, 100%, $E$9)</f>
        <v>63.911700000000003</v>
      </c>
      <c r="L770" s="14">
        <f>CHOOSE(CONTROL!$C$42, 64.3798, 64.3798) * CHOOSE(CONTROL!$C$21, $C$9, 100%, $E$9)</f>
        <v>64.379800000000003</v>
      </c>
      <c r="M770" s="14">
        <f>CHOOSE(CONTROL!$C$42, 62.4005, 62.4005) * CHOOSE(CONTROL!$C$21, $C$9, 100%, $E$9)</f>
        <v>62.400500000000001</v>
      </c>
      <c r="N770" s="14">
        <f>CHOOSE(CONTROL!$C$42, 62.4165, 62.4165) * CHOOSE(CONTROL!$C$21, $C$9, 100%, $E$9)</f>
        <v>62.416499999999999</v>
      </c>
      <c r="O770" s="14">
        <f>CHOOSE(CONTROL!$C$42, 62.4934, 62.4934) * CHOOSE(CONTROL!$C$21, $C$9, 100%, $E$9)</f>
        <v>62.493400000000001</v>
      </c>
      <c r="P770" s="14">
        <f>CHOOSE(CONTROL!$C$42, 62.6097, 62.6097) * CHOOSE(CONTROL!$C$21, $C$9, 100%, $E$9)</f>
        <v>62.609699999999997</v>
      </c>
      <c r="Q770" s="14">
        <f>CHOOSE(CONTROL!$C$42, 63.0881, 63.0881) * CHOOSE(CONTROL!$C$21, $C$9, 100%, $E$9)</f>
        <v>63.088099999999997</v>
      </c>
      <c r="R770" s="14">
        <f>CHOOSE(CONTROL!$C$42, 63.8328, 63.8328) * CHOOSE(CONTROL!$C$21, $C$9, 100%, $E$9)</f>
        <v>63.832799999999999</v>
      </c>
      <c r="S770" s="14">
        <f>CHOOSE(CONTROL!$C$42, 61.2064, 61.2064) * CHOOSE(CONTROL!$C$21, $C$9, 100%, $E$9)</f>
        <v>61.206400000000002</v>
      </c>
      <c r="T77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7">
        <f>(1000*CHOOSE(CONTROL!$C$42, 695, 695)*CHOOSE(CONTROL!$C$42, 0.5599, 0.5599)*CHOOSE(CONTROL!$C$42, 29, 29))/1000000</f>
        <v>11.284784499999999</v>
      </c>
      <c r="V770" s="57">
        <f>(1000*CHOOSE(CONTROL!$C$42, 500, 500)*CHOOSE(CONTROL!$C$42, 0.275, 0.275)*CHOOSE(CONTROL!$C$42, 29, 29))/1000000</f>
        <v>3.9874999999999998</v>
      </c>
      <c r="W770" s="57">
        <f>(1000*CHOOSE(CONTROL!$C$42, 0.1146, 0.1146)*CHOOSE(CONTROL!$C$42, 121.5, 121.5)*CHOOSE(CONTROL!$C$42, 29, 29))/1000000</f>
        <v>0.40379309999999996</v>
      </c>
      <c r="X770" s="57">
        <f>(29*0.1790888*100000/1000000)+(29*0.2374*100000/1000000)</f>
        <v>1.2078175199999999</v>
      </c>
      <c r="Y770" s="57"/>
      <c r="Z770" s="14"/>
      <c r="AA770" s="56"/>
      <c r="AB770" s="50">
        <f>(B770*122.58+C770*297.941+D770*89.177+E770*40.302+F770*40+G770*160+H770*0+I770*100+J770*300)/(122.58+297.941+89.177+40.302+0+40+160+100+300)</f>
        <v>63.733796182260861</v>
      </c>
      <c r="AC770" s="45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62.473627338129496</v>
      </c>
    </row>
    <row r="771" spans="1:29" ht="15.75" x14ac:dyDescent="0.25">
      <c r="A771" s="32">
        <v>64375</v>
      </c>
      <c r="B771" s="14">
        <f>CHOOSE(CONTROL!$C$42, 61.8974, 61.8974) * CHOOSE(CONTROL!$C$21, $C$9, 100%, $E$9)</f>
        <v>61.897399999999998</v>
      </c>
      <c r="C771" s="14">
        <f>CHOOSE(CONTROL!$C$42, 61.9025, 61.9025) * CHOOSE(CONTROL!$C$21, $C$9, 100%, $E$9)</f>
        <v>61.902500000000003</v>
      </c>
      <c r="D771" s="14">
        <f>CHOOSE(CONTROL!$C$42, 61.9611, 61.9611) * CHOOSE(CONTROL!$C$21, $C$9, 100%, $E$9)</f>
        <v>61.961100000000002</v>
      </c>
      <c r="E771" s="14">
        <f>CHOOSE(CONTROL!$C$42, 61.9952, 61.9952) * CHOOSE(CONTROL!$C$21, $C$9, 100%, $E$9)</f>
        <v>61.995199999999997</v>
      </c>
      <c r="F771" s="14">
        <f>CHOOSE(CONTROL!$C$42, 61.896, 61.896)*CHOOSE(CONTROL!$C$21, $C$9, 100%, $E$9)</f>
        <v>61.896000000000001</v>
      </c>
      <c r="G771" s="14">
        <f>CHOOSE(CONTROL!$C$42, 61.9123, 61.9123)*CHOOSE(CONTROL!$C$21, $C$9, 100%, $E$9)</f>
        <v>61.912300000000002</v>
      </c>
      <c r="H771" s="14">
        <f>CHOOSE(CONTROL!$C$42, 61.9844, 61.9844) * CHOOSE(CONTROL!$C$21, $C$9, 100%, $E$9)</f>
        <v>61.984400000000001</v>
      </c>
      <c r="I771" s="14">
        <f>CHOOSE(CONTROL!$C$42, 62.1015, 62.1015)* CHOOSE(CONTROL!$C$21, $C$9, 100%, $E$9)</f>
        <v>62.101500000000001</v>
      </c>
      <c r="J771" s="14">
        <f>CHOOSE(CONTROL!$C$42, 61.889, 61.889)* CHOOSE(CONTROL!$C$21, $C$9, 100%, $E$9)</f>
        <v>61.889000000000003</v>
      </c>
      <c r="K771" s="53">
        <f>CHOOSE(CONTROL!$C$42, 62.0976, 62.0976) * CHOOSE(CONTROL!$C$21, $C$9, 100%, $E$9)</f>
        <v>62.0976</v>
      </c>
      <c r="L771" s="14">
        <f>CHOOSE(CONTROL!$C$42, 62.5714, 62.5714) * CHOOSE(CONTROL!$C$21, $C$9, 100%, $E$9)</f>
        <v>62.571399999999997</v>
      </c>
      <c r="M771" s="14">
        <f>CHOOSE(CONTROL!$C$42, 60.6286, 60.6286) * CHOOSE(CONTROL!$C$21, $C$9, 100%, $E$9)</f>
        <v>60.628599999999999</v>
      </c>
      <c r="N771" s="14">
        <f>CHOOSE(CONTROL!$C$42, 60.6446, 60.6446) * CHOOSE(CONTROL!$C$21, $C$9, 100%, $E$9)</f>
        <v>60.644599999999997</v>
      </c>
      <c r="O771" s="14">
        <f>CHOOSE(CONTROL!$C$42, 60.7221, 60.7221) * CHOOSE(CONTROL!$C$21, $C$9, 100%, $E$9)</f>
        <v>60.722099999999998</v>
      </c>
      <c r="P771" s="14">
        <f>CHOOSE(CONTROL!$C$42, 60.833, 60.833) * CHOOSE(CONTROL!$C$21, $C$9, 100%, $E$9)</f>
        <v>60.832999999999998</v>
      </c>
      <c r="Q771" s="14">
        <f>CHOOSE(CONTROL!$C$42, 61.3168, 61.3168) * CHOOSE(CONTROL!$C$21, $C$9, 100%, $E$9)</f>
        <v>61.316800000000001</v>
      </c>
      <c r="R771" s="14">
        <f>CHOOSE(CONTROL!$C$42, 62.0571, 62.0571) * CHOOSE(CONTROL!$C$21, $C$9, 100%, $E$9)</f>
        <v>62.057099999999998</v>
      </c>
      <c r="S771" s="14">
        <f>CHOOSE(CONTROL!$C$42, 59.4687, 59.4687) * CHOOSE(CONTROL!$C$21, $C$9, 100%, $E$9)</f>
        <v>59.468699999999998</v>
      </c>
      <c r="T7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7">
        <f>(1000*CHOOSE(CONTROL!$C$42, 695, 695)*CHOOSE(CONTROL!$C$42, 0.5599, 0.5599)*CHOOSE(CONTROL!$C$42, 31, 31))/1000000</f>
        <v>12.063045499999998</v>
      </c>
      <c r="V771" s="57">
        <f>(1000*CHOOSE(CONTROL!$C$42, 500, 500)*CHOOSE(CONTROL!$C$42, 0.275, 0.275)*CHOOSE(CONTROL!$C$42, 31, 31))/1000000</f>
        <v>4.2625000000000002</v>
      </c>
      <c r="W771" s="57">
        <f>(1000*CHOOSE(CONTROL!$C$42, 0.1146, 0.1146)*CHOOSE(CONTROL!$C$42, 121.5, 121.5)*CHOOSE(CONTROL!$C$42, 31, 31))/1000000</f>
        <v>0.43164089999999994</v>
      </c>
      <c r="X771" s="57">
        <f>(31*0.1790888*100000/1000000)+(31*0.2374*100000/1000000)</f>
        <v>1.2911152800000001</v>
      </c>
      <c r="Y771" s="57"/>
      <c r="Z771" s="14"/>
      <c r="AA771" s="56"/>
      <c r="AB771" s="50">
        <f>(B771*122.58+C771*297.941+D771*89.177+E771*40.302+F771*40+G771*160+H771*0+I771*100+J771*300)/(122.58+297.941+89.177+40.302+0+40+160+100+300)</f>
        <v>61.924669225739123</v>
      </c>
      <c r="AC771" s="45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60.701308633093525</v>
      </c>
    </row>
    <row r="772" spans="1:29" ht="15.75" x14ac:dyDescent="0.25">
      <c r="A772" s="32">
        <v>64405</v>
      </c>
      <c r="B772" s="14">
        <f>CHOOSE(CONTROL!$C$42, 61.7133, 61.7133) * CHOOSE(CONTROL!$C$21, $C$9, 100%, $E$9)</f>
        <v>61.713299999999997</v>
      </c>
      <c r="C772" s="14">
        <f>CHOOSE(CONTROL!$C$42, 61.7178, 61.7178) * CHOOSE(CONTROL!$C$21, $C$9, 100%, $E$9)</f>
        <v>61.717799999999997</v>
      </c>
      <c r="D772" s="14">
        <f>CHOOSE(CONTROL!$C$42, 61.9259, 61.9259) * CHOOSE(CONTROL!$C$21, $C$9, 100%, $E$9)</f>
        <v>61.925899999999999</v>
      </c>
      <c r="E772" s="14">
        <f>CHOOSE(CONTROL!$C$42, 61.958, 61.958) * CHOOSE(CONTROL!$C$21, $C$9, 100%, $E$9)</f>
        <v>61.957999999999998</v>
      </c>
      <c r="F772" s="14">
        <f>CHOOSE(CONTROL!$C$42, 61.7007, 61.7007)*CHOOSE(CONTROL!$C$21, $C$9, 100%, $E$9)</f>
        <v>61.700699999999998</v>
      </c>
      <c r="G772" s="14">
        <f>CHOOSE(CONTROL!$C$42, 61.7166, 61.7166)*CHOOSE(CONTROL!$C$21, $C$9, 100%, $E$9)</f>
        <v>61.7166</v>
      </c>
      <c r="H772" s="14">
        <f>CHOOSE(CONTROL!$C$42, 61.9478, 61.9478) * CHOOSE(CONTROL!$C$21, $C$9, 100%, $E$9)</f>
        <v>61.947800000000001</v>
      </c>
      <c r="I772" s="14">
        <f>CHOOSE(CONTROL!$C$42, 61.916, 61.916)* CHOOSE(CONTROL!$C$21, $C$9, 100%, $E$9)</f>
        <v>61.915999999999997</v>
      </c>
      <c r="J772" s="14">
        <f>CHOOSE(CONTROL!$C$42, 61.6937, 61.6937)* CHOOSE(CONTROL!$C$21, $C$9, 100%, $E$9)</f>
        <v>61.6937</v>
      </c>
      <c r="K772" s="53">
        <f>CHOOSE(CONTROL!$C$42, 61.9121, 61.9121) * CHOOSE(CONTROL!$C$21, $C$9, 100%, $E$9)</f>
        <v>61.912100000000002</v>
      </c>
      <c r="L772" s="14">
        <f>CHOOSE(CONTROL!$C$42, 62.5348, 62.5348) * CHOOSE(CONTROL!$C$21, $C$9, 100%, $E$9)</f>
        <v>62.534799999999997</v>
      </c>
      <c r="M772" s="14">
        <f>CHOOSE(CONTROL!$C$42, 60.4373, 60.4373) * CHOOSE(CONTROL!$C$21, $C$9, 100%, $E$9)</f>
        <v>60.4373</v>
      </c>
      <c r="N772" s="14">
        <f>CHOOSE(CONTROL!$C$42, 60.4529, 60.4529) * CHOOSE(CONTROL!$C$21, $C$9, 100%, $E$9)</f>
        <v>60.4529</v>
      </c>
      <c r="O772" s="14">
        <f>CHOOSE(CONTROL!$C$42, 60.6862, 60.6862) * CHOOSE(CONTROL!$C$21, $C$9, 100%, $E$9)</f>
        <v>60.686199999999999</v>
      </c>
      <c r="P772" s="14">
        <f>CHOOSE(CONTROL!$C$42, 60.6513, 60.6513) * CHOOSE(CONTROL!$C$21, $C$9, 100%, $E$9)</f>
        <v>60.651299999999999</v>
      </c>
      <c r="Q772" s="14">
        <f>CHOOSE(CONTROL!$C$42, 61.2809, 61.2809) * CHOOSE(CONTROL!$C$21, $C$9, 100%, $E$9)</f>
        <v>61.280900000000003</v>
      </c>
      <c r="R772" s="14">
        <f>CHOOSE(CONTROL!$C$42, 62.0211, 62.0211) * CHOOSE(CONTROL!$C$21, $C$9, 100%, $E$9)</f>
        <v>62.021099999999997</v>
      </c>
      <c r="S772" s="14">
        <f>CHOOSE(CONTROL!$C$42, 59.291, 59.291) * CHOOSE(CONTROL!$C$21, $C$9, 100%, $E$9)</f>
        <v>59.290999999999997</v>
      </c>
      <c r="T7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7">
        <f>(1000*CHOOSE(CONTROL!$C$42, 695, 695)*CHOOSE(CONTROL!$C$42, 0.5599, 0.5599)*CHOOSE(CONTROL!$C$42, 30, 30))/1000000</f>
        <v>11.673914999999997</v>
      </c>
      <c r="V772" s="57">
        <f>(1000*CHOOSE(CONTROL!$C$42, 500, 500)*CHOOSE(CONTROL!$C$42, 0.275, 0.275)*CHOOSE(CONTROL!$C$42, 30, 30))/1000000</f>
        <v>4.125</v>
      </c>
      <c r="W772" s="57">
        <f>(1000*CHOOSE(CONTROL!$C$42, 0.1146, 0.1146)*CHOOSE(CONTROL!$C$42, 121.5, 121.5)*CHOOSE(CONTROL!$C$42, 30, 30))/1000000</f>
        <v>0.417717</v>
      </c>
      <c r="X772" s="57">
        <f>(30*0.1790888*245000/1000000)+(30*0.2374*100000/1000000)</f>
        <v>2.0285026799999999</v>
      </c>
      <c r="Y772" s="57"/>
      <c r="Z772" s="14"/>
      <c r="AA772" s="56"/>
      <c r="AB772" s="50">
        <f>(B772*141.293+C772*267.993+D772*115.016+E772*89.698+F772*40+G772*185+H772*0+I772*100+J772*300)/(141.293+267.993+115.016+89.698+0+40+185+100+300)</f>
        <v>61.763424270137207</v>
      </c>
      <c r="AC772" s="45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60.581799999999994</v>
      </c>
    </row>
    <row r="773" spans="1:29" ht="15.75" x14ac:dyDescent="0.25">
      <c r="A773" s="32">
        <v>64436</v>
      </c>
      <c r="B773" s="14">
        <f>CHOOSE(CONTROL!$C$42, 62.2593, 62.2593) * CHOOSE(CONTROL!$C$21, $C$9, 100%, $E$9)</f>
        <v>62.259300000000003</v>
      </c>
      <c r="C773" s="14">
        <f>CHOOSE(CONTROL!$C$42, 62.2673, 62.2673) * CHOOSE(CONTROL!$C$21, $C$9, 100%, $E$9)</f>
        <v>62.267299999999999</v>
      </c>
      <c r="D773" s="14">
        <f>CHOOSE(CONTROL!$C$42, 62.4723, 62.4723) * CHOOSE(CONTROL!$C$21, $C$9, 100%, $E$9)</f>
        <v>62.472299999999997</v>
      </c>
      <c r="E773" s="14">
        <f>CHOOSE(CONTROL!$C$42, 62.5038, 62.5038) * CHOOSE(CONTROL!$C$21, $C$9, 100%, $E$9)</f>
        <v>62.503799999999998</v>
      </c>
      <c r="F773" s="14">
        <f>CHOOSE(CONTROL!$C$42, 62.2455, 62.2455)*CHOOSE(CONTROL!$C$21, $C$9, 100%, $E$9)</f>
        <v>62.2455</v>
      </c>
      <c r="G773" s="14">
        <f>CHOOSE(CONTROL!$C$42, 62.2619, 62.2619)*CHOOSE(CONTROL!$C$21, $C$9, 100%, $E$9)</f>
        <v>62.261899999999997</v>
      </c>
      <c r="H773" s="14">
        <f>CHOOSE(CONTROL!$C$42, 62.4924, 62.4924) * CHOOSE(CONTROL!$C$21, $C$9, 100%, $E$9)</f>
        <v>62.492400000000004</v>
      </c>
      <c r="I773" s="14">
        <f>CHOOSE(CONTROL!$C$42, 62.4623, 62.4623)* CHOOSE(CONTROL!$C$21, $C$9, 100%, $E$9)</f>
        <v>62.462299999999999</v>
      </c>
      <c r="J773" s="14">
        <f>CHOOSE(CONTROL!$C$42, 62.2385, 62.2385)* CHOOSE(CONTROL!$C$21, $C$9, 100%, $E$9)</f>
        <v>62.238500000000002</v>
      </c>
      <c r="K773" s="53">
        <f>CHOOSE(CONTROL!$C$42, 62.4584, 62.4584) * CHOOSE(CONTROL!$C$21, $C$9, 100%, $E$9)</f>
        <v>62.458399999999997</v>
      </c>
      <c r="L773" s="14">
        <f>CHOOSE(CONTROL!$C$42, 63.0794, 63.0794) * CHOOSE(CONTROL!$C$21, $C$9, 100%, $E$9)</f>
        <v>63.0794</v>
      </c>
      <c r="M773" s="14">
        <f>CHOOSE(CONTROL!$C$42, 60.971, 60.971) * CHOOSE(CONTROL!$C$21, $C$9, 100%, $E$9)</f>
        <v>60.970999999999997</v>
      </c>
      <c r="N773" s="14">
        <f>CHOOSE(CONTROL!$C$42, 60.987, 60.987) * CHOOSE(CONTROL!$C$21, $C$9, 100%, $E$9)</f>
        <v>60.987000000000002</v>
      </c>
      <c r="O773" s="14">
        <f>CHOOSE(CONTROL!$C$42, 61.2197, 61.2197) * CHOOSE(CONTROL!$C$21, $C$9, 100%, $E$9)</f>
        <v>61.219700000000003</v>
      </c>
      <c r="P773" s="14">
        <f>CHOOSE(CONTROL!$C$42, 61.1864, 61.1864) * CHOOSE(CONTROL!$C$21, $C$9, 100%, $E$9)</f>
        <v>61.186399999999999</v>
      </c>
      <c r="Q773" s="14">
        <f>CHOOSE(CONTROL!$C$42, 61.8144, 61.8144) * CHOOSE(CONTROL!$C$21, $C$9, 100%, $E$9)</f>
        <v>61.814399999999999</v>
      </c>
      <c r="R773" s="14">
        <f>CHOOSE(CONTROL!$C$42, 62.5559, 62.5559) * CHOOSE(CONTROL!$C$21, $C$9, 100%, $E$9)</f>
        <v>62.555900000000001</v>
      </c>
      <c r="S773" s="14">
        <f>CHOOSE(CONTROL!$C$42, 59.8143, 59.8143) * CHOOSE(CONTROL!$C$21, $C$9, 100%, $E$9)</f>
        <v>59.814300000000003</v>
      </c>
      <c r="T7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7">
        <f>(1000*CHOOSE(CONTROL!$C$42, 695, 695)*CHOOSE(CONTROL!$C$42, 0.5599, 0.5599)*CHOOSE(CONTROL!$C$42, 31, 31))/1000000</f>
        <v>12.063045499999998</v>
      </c>
      <c r="V773" s="57">
        <f>(1000*CHOOSE(CONTROL!$C$42, 500, 500)*CHOOSE(CONTROL!$C$42, 0.275, 0.275)*CHOOSE(CONTROL!$C$42, 31, 31))/1000000</f>
        <v>4.2625000000000002</v>
      </c>
      <c r="W773" s="57">
        <f>(1000*CHOOSE(CONTROL!$C$42, 0.1146, 0.1146)*CHOOSE(CONTROL!$C$42, 121.5, 121.5)*CHOOSE(CONTROL!$C$42, 31, 31))/1000000</f>
        <v>0.43164089999999994</v>
      </c>
      <c r="X773" s="57">
        <f>(31*0.1790888*245000/1000000)+(31*0.2374*100000/1000000)</f>
        <v>2.0961194359999999</v>
      </c>
      <c r="Y773" s="57"/>
      <c r="Z773" s="14"/>
      <c r="AA773" s="56"/>
      <c r="AB773" s="50">
        <f>(B773*194.205+C773*267.466+D773*133.845+E773*53.484+F773*40+G773*185+H773*0+I773*100+J773*300)/(194.205+267.466+133.845+53.484+0+40+185+100+300)</f>
        <v>62.304601845368921</v>
      </c>
      <c r="AC773" s="45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61.115633812949639</v>
      </c>
    </row>
    <row r="774" spans="1:29" ht="15.75" x14ac:dyDescent="0.25">
      <c r="A774" s="32">
        <v>64466</v>
      </c>
      <c r="B774" s="14">
        <f>CHOOSE(CONTROL!$C$42, 64.025, 64.025) * CHOOSE(CONTROL!$C$21, $C$9, 100%, $E$9)</f>
        <v>64.025000000000006</v>
      </c>
      <c r="C774" s="14">
        <f>CHOOSE(CONTROL!$C$42, 64.0331, 64.0331) * CHOOSE(CONTROL!$C$21, $C$9, 100%, $E$9)</f>
        <v>64.033100000000005</v>
      </c>
      <c r="D774" s="14">
        <f>CHOOSE(CONTROL!$C$42, 64.238, 64.238) * CHOOSE(CONTROL!$C$21, $C$9, 100%, $E$9)</f>
        <v>64.238</v>
      </c>
      <c r="E774" s="14">
        <f>CHOOSE(CONTROL!$C$42, 64.2695, 64.2695) * CHOOSE(CONTROL!$C$21, $C$9, 100%, $E$9)</f>
        <v>64.269499999999994</v>
      </c>
      <c r="F774" s="14">
        <f>CHOOSE(CONTROL!$C$42, 64.0116, 64.0116)*CHOOSE(CONTROL!$C$21, $C$9, 100%, $E$9)</f>
        <v>64.011600000000001</v>
      </c>
      <c r="G774" s="14">
        <f>CHOOSE(CONTROL!$C$42, 64.0281, 64.0281)*CHOOSE(CONTROL!$C$21, $C$9, 100%, $E$9)</f>
        <v>64.028099999999995</v>
      </c>
      <c r="H774" s="14">
        <f>CHOOSE(CONTROL!$C$42, 64.2581, 64.2581) * CHOOSE(CONTROL!$C$21, $C$9, 100%, $E$9)</f>
        <v>64.258099999999999</v>
      </c>
      <c r="I774" s="14">
        <f>CHOOSE(CONTROL!$C$42, 64.2336, 64.2336)* CHOOSE(CONTROL!$C$21, $C$9, 100%, $E$9)</f>
        <v>64.233599999999996</v>
      </c>
      <c r="J774" s="14">
        <f>CHOOSE(CONTROL!$C$42, 64.0046, 64.0046)* CHOOSE(CONTROL!$C$21, $C$9, 100%, $E$9)</f>
        <v>64.004599999999996</v>
      </c>
      <c r="K774" s="53">
        <f>CHOOSE(CONTROL!$C$42, 64.2297, 64.2297) * CHOOSE(CONTROL!$C$21, $C$9, 100%, $E$9)</f>
        <v>64.229699999999994</v>
      </c>
      <c r="L774" s="14">
        <f>CHOOSE(CONTROL!$C$42, 64.8451, 64.8451) * CHOOSE(CONTROL!$C$21, $C$9, 100%, $E$9)</f>
        <v>64.845100000000002</v>
      </c>
      <c r="M774" s="14">
        <f>CHOOSE(CONTROL!$C$42, 62.7009, 62.7009) * CHOOSE(CONTROL!$C$21, $C$9, 100%, $E$9)</f>
        <v>62.700899999999997</v>
      </c>
      <c r="N774" s="14">
        <f>CHOOSE(CONTROL!$C$42, 62.717, 62.717) * CHOOSE(CONTROL!$C$21, $C$9, 100%, $E$9)</f>
        <v>62.716999999999999</v>
      </c>
      <c r="O774" s="14">
        <f>CHOOSE(CONTROL!$C$42, 62.9492, 62.9492) * CHOOSE(CONTROL!$C$21, $C$9, 100%, $E$9)</f>
        <v>62.949199999999998</v>
      </c>
      <c r="P774" s="14">
        <f>CHOOSE(CONTROL!$C$42, 62.9212, 62.9212) * CHOOSE(CONTROL!$C$21, $C$9, 100%, $E$9)</f>
        <v>62.921199999999999</v>
      </c>
      <c r="Q774" s="14">
        <f>CHOOSE(CONTROL!$C$42, 63.5439, 63.5439) * CHOOSE(CONTROL!$C$21, $C$9, 100%, $E$9)</f>
        <v>63.543900000000001</v>
      </c>
      <c r="R774" s="14">
        <f>CHOOSE(CONTROL!$C$42, 64.2898, 64.2898) * CHOOSE(CONTROL!$C$21, $C$9, 100%, $E$9)</f>
        <v>64.2898</v>
      </c>
      <c r="S774" s="14">
        <f>CHOOSE(CONTROL!$C$42, 61.511, 61.511) * CHOOSE(CONTROL!$C$21, $C$9, 100%, $E$9)</f>
        <v>61.511000000000003</v>
      </c>
      <c r="T7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7">
        <f>(1000*CHOOSE(CONTROL!$C$42, 695, 695)*CHOOSE(CONTROL!$C$42, 0.5599, 0.5599)*CHOOSE(CONTROL!$C$42, 30, 30))/1000000</f>
        <v>11.673914999999997</v>
      </c>
      <c r="V774" s="57">
        <f>(1000*CHOOSE(CONTROL!$C$42, 500, 500)*CHOOSE(CONTROL!$C$42, 0.275, 0.275)*CHOOSE(CONTROL!$C$42, 30, 30))/1000000</f>
        <v>4.125</v>
      </c>
      <c r="W774" s="57">
        <f>(1000*CHOOSE(CONTROL!$C$42, 0.1146, 0.1146)*CHOOSE(CONTROL!$C$42, 121.5, 121.5)*CHOOSE(CONTROL!$C$42, 30, 30))/1000000</f>
        <v>0.417717</v>
      </c>
      <c r="X774" s="57">
        <f>(30*0.1790888*245000/1000000)+(30*0.2374*100000/1000000)</f>
        <v>2.0285026799999999</v>
      </c>
      <c r="Y774" s="57"/>
      <c r="Z774" s="14"/>
      <c r="AA774" s="56"/>
      <c r="AB774" s="50">
        <f>(B774*194.205+C774*267.466+D774*133.845+E774*53.484+F774*40+G774*185+H774*0+I774*100+J774*300)/(194.205+267.466+133.845+53.484+0+40+185+100+300)</f>
        <v>64.070941756357939</v>
      </c>
      <c r="AC774" s="45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62.846063309352523</v>
      </c>
    </row>
    <row r="775" spans="1:29" ht="15.75" x14ac:dyDescent="0.25">
      <c r="A775" s="32">
        <v>64497</v>
      </c>
      <c r="B775" s="14">
        <f>CHOOSE(CONTROL!$C$42, 62.797, 62.797) * CHOOSE(CONTROL!$C$21, $C$9, 100%, $E$9)</f>
        <v>62.796999999999997</v>
      </c>
      <c r="C775" s="14">
        <f>CHOOSE(CONTROL!$C$42, 62.805, 62.805) * CHOOSE(CONTROL!$C$21, $C$9, 100%, $E$9)</f>
        <v>62.805</v>
      </c>
      <c r="D775" s="14">
        <f>CHOOSE(CONTROL!$C$42, 63.01, 63.01) * CHOOSE(CONTROL!$C$21, $C$9, 100%, $E$9)</f>
        <v>63.01</v>
      </c>
      <c r="E775" s="14">
        <f>CHOOSE(CONTROL!$C$42, 63.0414, 63.0414) * CHOOSE(CONTROL!$C$21, $C$9, 100%, $E$9)</f>
        <v>63.041400000000003</v>
      </c>
      <c r="F775" s="14">
        <f>CHOOSE(CONTROL!$C$42, 62.7839, 62.7839)*CHOOSE(CONTROL!$C$21, $C$9, 100%, $E$9)</f>
        <v>62.783900000000003</v>
      </c>
      <c r="G775" s="14">
        <f>CHOOSE(CONTROL!$C$42, 62.8006, 62.8006)*CHOOSE(CONTROL!$C$21, $C$9, 100%, $E$9)</f>
        <v>62.800600000000003</v>
      </c>
      <c r="H775" s="14">
        <f>CHOOSE(CONTROL!$C$42, 63.0301, 63.0301) * CHOOSE(CONTROL!$C$21, $C$9, 100%, $E$9)</f>
        <v>63.030099999999997</v>
      </c>
      <c r="I775" s="14">
        <f>CHOOSE(CONTROL!$C$42, 63.0017, 63.0017)* CHOOSE(CONTROL!$C$21, $C$9, 100%, $E$9)</f>
        <v>63.0017</v>
      </c>
      <c r="J775" s="14">
        <f>CHOOSE(CONTROL!$C$42, 62.7769, 62.7769)* CHOOSE(CONTROL!$C$21, $C$9, 100%, $E$9)</f>
        <v>62.776899999999998</v>
      </c>
      <c r="K775" s="53">
        <f>CHOOSE(CONTROL!$C$42, 62.9978, 62.9978) * CHOOSE(CONTROL!$C$21, $C$9, 100%, $E$9)</f>
        <v>62.997799999999998</v>
      </c>
      <c r="L775" s="14">
        <f>CHOOSE(CONTROL!$C$42, 63.6171, 63.6171) * CHOOSE(CONTROL!$C$21, $C$9, 100%, $E$9)</f>
        <v>63.617100000000001</v>
      </c>
      <c r="M775" s="14">
        <f>CHOOSE(CONTROL!$C$42, 61.4984, 61.4984) * CHOOSE(CONTROL!$C$21, $C$9, 100%, $E$9)</f>
        <v>61.498399999999997</v>
      </c>
      <c r="N775" s="14">
        <f>CHOOSE(CONTROL!$C$42, 61.5147, 61.5147) * CHOOSE(CONTROL!$C$21, $C$9, 100%, $E$9)</f>
        <v>61.514699999999998</v>
      </c>
      <c r="O775" s="14">
        <f>CHOOSE(CONTROL!$C$42, 61.7463, 61.7463) * CHOOSE(CONTROL!$C$21, $C$9, 100%, $E$9)</f>
        <v>61.746299999999998</v>
      </c>
      <c r="P775" s="14">
        <f>CHOOSE(CONTROL!$C$42, 61.7146, 61.7146) * CHOOSE(CONTROL!$C$21, $C$9, 100%, $E$9)</f>
        <v>61.714599999999997</v>
      </c>
      <c r="Q775" s="14">
        <f>CHOOSE(CONTROL!$C$42, 62.341, 62.341) * CHOOSE(CONTROL!$C$21, $C$9, 100%, $E$9)</f>
        <v>62.341000000000001</v>
      </c>
      <c r="R775" s="14">
        <f>CHOOSE(CONTROL!$C$42, 63.0839, 63.0839) * CHOOSE(CONTROL!$C$21, $C$9, 100%, $E$9)</f>
        <v>63.0839</v>
      </c>
      <c r="S775" s="14">
        <f>CHOOSE(CONTROL!$C$42, 60.331, 60.331) * CHOOSE(CONTROL!$C$21, $C$9, 100%, $E$9)</f>
        <v>60.331000000000003</v>
      </c>
      <c r="T7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7">
        <f>(1000*CHOOSE(CONTROL!$C$42, 695, 695)*CHOOSE(CONTROL!$C$42, 0.5599, 0.5599)*CHOOSE(CONTROL!$C$42, 31, 31))/1000000</f>
        <v>12.063045499999998</v>
      </c>
      <c r="V775" s="57">
        <f>(1000*CHOOSE(CONTROL!$C$42, 500, 500)*CHOOSE(CONTROL!$C$42, 0.275, 0.275)*CHOOSE(CONTROL!$C$42, 31, 31))/1000000</f>
        <v>4.2625000000000002</v>
      </c>
      <c r="W775" s="57">
        <f>(1000*CHOOSE(CONTROL!$C$42, 0.1146, 0.1146)*CHOOSE(CONTROL!$C$42, 121.5, 121.5)*CHOOSE(CONTROL!$C$42, 31, 31))/1000000</f>
        <v>0.43164089999999994</v>
      </c>
      <c r="X775" s="57">
        <f>(31*0.1790888*245000/1000000)+(31*0.2374*100000/1000000)</f>
        <v>2.0961194359999999</v>
      </c>
      <c r="Y775" s="57"/>
      <c r="Z775" s="14"/>
      <c r="AA775" s="56"/>
      <c r="AB775" s="50">
        <f>(B775*194.205+C775*267.466+D775*133.845+E775*53.484+F775*40+G775*185+H775*0+I775*100+J775*300)/(194.205+267.466+133.845+53.484+0+40+185+100+300)</f>
        <v>62.842763110361062</v>
      </c>
      <c r="AC775" s="45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61.642803597122295</v>
      </c>
    </row>
    <row r="776" spans="1:29" ht="15.75" x14ac:dyDescent="0.25">
      <c r="A776" s="32">
        <v>64528</v>
      </c>
      <c r="B776" s="14">
        <f>CHOOSE(CONTROL!$C$42, 59.6957, 59.6957) * CHOOSE(CONTROL!$C$21, $C$9, 100%, $E$9)</f>
        <v>59.695700000000002</v>
      </c>
      <c r="C776" s="14">
        <f>CHOOSE(CONTROL!$C$42, 59.7037, 59.7037) * CHOOSE(CONTROL!$C$21, $C$9, 100%, $E$9)</f>
        <v>59.703699999999998</v>
      </c>
      <c r="D776" s="14">
        <f>CHOOSE(CONTROL!$C$42, 59.9087, 59.9087) * CHOOSE(CONTROL!$C$21, $C$9, 100%, $E$9)</f>
        <v>59.908700000000003</v>
      </c>
      <c r="E776" s="14">
        <f>CHOOSE(CONTROL!$C$42, 59.9401, 59.9401) * CHOOSE(CONTROL!$C$21, $C$9, 100%, $E$9)</f>
        <v>59.940100000000001</v>
      </c>
      <c r="F776" s="14">
        <f>CHOOSE(CONTROL!$C$42, 59.6829, 59.6829)*CHOOSE(CONTROL!$C$21, $C$9, 100%, $E$9)</f>
        <v>59.682899999999997</v>
      </c>
      <c r="G776" s="14">
        <f>CHOOSE(CONTROL!$C$42, 59.6996, 59.6996)*CHOOSE(CONTROL!$C$21, $C$9, 100%, $E$9)</f>
        <v>59.699599999999997</v>
      </c>
      <c r="H776" s="14">
        <f>CHOOSE(CONTROL!$C$42, 59.9288, 59.9288) * CHOOSE(CONTROL!$C$21, $C$9, 100%, $E$9)</f>
        <v>59.928800000000003</v>
      </c>
      <c r="I776" s="14">
        <f>CHOOSE(CONTROL!$C$42, 59.8907, 59.8907)* CHOOSE(CONTROL!$C$21, $C$9, 100%, $E$9)</f>
        <v>59.890700000000002</v>
      </c>
      <c r="J776" s="14">
        <f>CHOOSE(CONTROL!$C$42, 59.6759, 59.6759)* CHOOSE(CONTROL!$C$21, $C$9, 100%, $E$9)</f>
        <v>59.675899999999999</v>
      </c>
      <c r="K776" s="53">
        <f>CHOOSE(CONTROL!$C$42, 59.8868, 59.8868) * CHOOSE(CONTROL!$C$21, $C$9, 100%, $E$9)</f>
        <v>59.886800000000001</v>
      </c>
      <c r="L776" s="14">
        <f>CHOOSE(CONTROL!$C$42, 60.5158, 60.5158) * CHOOSE(CONTROL!$C$21, $C$9, 100%, $E$9)</f>
        <v>60.515799999999999</v>
      </c>
      <c r="M776" s="14">
        <f>CHOOSE(CONTROL!$C$42, 58.4608, 58.4608) * CHOOSE(CONTROL!$C$21, $C$9, 100%, $E$9)</f>
        <v>58.460799999999999</v>
      </c>
      <c r="N776" s="14">
        <f>CHOOSE(CONTROL!$C$42, 58.4772, 58.4772) * CHOOSE(CONTROL!$C$21, $C$9, 100%, $E$9)</f>
        <v>58.477200000000003</v>
      </c>
      <c r="O776" s="14">
        <f>CHOOSE(CONTROL!$C$42, 58.7086, 58.7086) * CHOOSE(CONTROL!$C$21, $C$9, 100%, $E$9)</f>
        <v>58.708599999999997</v>
      </c>
      <c r="P776" s="14">
        <f>CHOOSE(CONTROL!$C$42, 58.6676, 58.6676) * CHOOSE(CONTROL!$C$21, $C$9, 100%, $E$9)</f>
        <v>58.6676</v>
      </c>
      <c r="Q776" s="14">
        <f>CHOOSE(CONTROL!$C$42, 59.3033, 59.3033) * CHOOSE(CONTROL!$C$21, $C$9, 100%, $E$9)</f>
        <v>59.3033</v>
      </c>
      <c r="R776" s="14">
        <f>CHOOSE(CONTROL!$C$42, 60.0385, 60.0385) * CHOOSE(CONTROL!$C$21, $C$9, 100%, $E$9)</f>
        <v>60.038499999999999</v>
      </c>
      <c r="S776" s="14">
        <f>CHOOSE(CONTROL!$C$42, 57.351, 57.351) * CHOOSE(CONTROL!$C$21, $C$9, 100%, $E$9)</f>
        <v>57.350999999999999</v>
      </c>
      <c r="T7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7">
        <f>(1000*CHOOSE(CONTROL!$C$42, 695, 695)*CHOOSE(CONTROL!$C$42, 0.5599, 0.5599)*CHOOSE(CONTROL!$C$42, 31, 31))/1000000</f>
        <v>12.063045499999998</v>
      </c>
      <c r="V776" s="57">
        <f>(1000*CHOOSE(CONTROL!$C$42, 500, 500)*CHOOSE(CONTROL!$C$42, 0.275, 0.275)*CHOOSE(CONTROL!$C$42, 31, 31))/1000000</f>
        <v>4.2625000000000002</v>
      </c>
      <c r="W776" s="57">
        <f>(1000*CHOOSE(CONTROL!$C$42, 0.1146, 0.1146)*CHOOSE(CONTROL!$C$42, 121.5, 121.5)*CHOOSE(CONTROL!$C$42, 31, 31))/1000000</f>
        <v>0.43164089999999994</v>
      </c>
      <c r="X776" s="57">
        <f>(31*0.1790888*245000/1000000)+(31*0.2374*100000/1000000)</f>
        <v>2.0961194359999999</v>
      </c>
      <c r="Y776" s="57"/>
      <c r="Z776" s="14"/>
      <c r="AA776" s="56"/>
      <c r="AB776" s="50">
        <f>(B776*194.205+C776*267.466+D776*133.845+E776*53.484+F776*40+G776*185+H776*0+I776*100+J776*300)/(194.205+267.466+133.845+53.484+0+40+185+100+300)</f>
        <v>59.740825355259027</v>
      </c>
      <c r="AC776" s="45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58.603811510791367</v>
      </c>
    </row>
    <row r="777" spans="1:29" ht="15.75" x14ac:dyDescent="0.25">
      <c r="A777" s="32">
        <v>64558</v>
      </c>
      <c r="B777" s="14">
        <f>CHOOSE(CONTROL!$C$42, 55.9061, 55.9061) * CHOOSE(CONTROL!$C$21, $C$9, 100%, $E$9)</f>
        <v>55.906100000000002</v>
      </c>
      <c r="C777" s="14">
        <f>CHOOSE(CONTROL!$C$42, 55.9141, 55.9141) * CHOOSE(CONTROL!$C$21, $C$9, 100%, $E$9)</f>
        <v>55.914099999999998</v>
      </c>
      <c r="D777" s="14">
        <f>CHOOSE(CONTROL!$C$42, 56.1191, 56.1191) * CHOOSE(CONTROL!$C$21, $C$9, 100%, $E$9)</f>
        <v>56.119100000000003</v>
      </c>
      <c r="E777" s="14">
        <f>CHOOSE(CONTROL!$C$42, 56.1506, 56.1506) * CHOOSE(CONTROL!$C$21, $C$9, 100%, $E$9)</f>
        <v>56.150599999999997</v>
      </c>
      <c r="F777" s="14">
        <f>CHOOSE(CONTROL!$C$42, 55.8933, 55.8933)*CHOOSE(CONTROL!$C$21, $C$9, 100%, $E$9)</f>
        <v>55.893300000000004</v>
      </c>
      <c r="G777" s="14">
        <f>CHOOSE(CONTROL!$C$42, 55.9099, 55.9099)*CHOOSE(CONTROL!$C$21, $C$9, 100%, $E$9)</f>
        <v>55.9099</v>
      </c>
      <c r="H777" s="14">
        <f>CHOOSE(CONTROL!$C$42, 56.1392, 56.1392) * CHOOSE(CONTROL!$C$21, $C$9, 100%, $E$9)</f>
        <v>56.139200000000002</v>
      </c>
      <c r="I777" s="14">
        <f>CHOOSE(CONTROL!$C$42, 56.0892, 56.0892)* CHOOSE(CONTROL!$C$21, $C$9, 100%, $E$9)</f>
        <v>56.089199999999998</v>
      </c>
      <c r="J777" s="14">
        <f>CHOOSE(CONTROL!$C$42, 55.8863, 55.8863)* CHOOSE(CONTROL!$C$21, $C$9, 100%, $E$9)</f>
        <v>55.886299999999999</v>
      </c>
      <c r="K777" s="53">
        <f>CHOOSE(CONTROL!$C$42, 56.0854, 56.0854) * CHOOSE(CONTROL!$C$21, $C$9, 100%, $E$9)</f>
        <v>56.0854</v>
      </c>
      <c r="L777" s="14">
        <f>CHOOSE(CONTROL!$C$42, 56.7262, 56.7262) * CHOOSE(CONTROL!$C$21, $C$9, 100%, $E$9)</f>
        <v>56.726199999999999</v>
      </c>
      <c r="M777" s="14">
        <f>CHOOSE(CONTROL!$C$42, 54.7489, 54.7489) * CHOOSE(CONTROL!$C$21, $C$9, 100%, $E$9)</f>
        <v>54.748899999999999</v>
      </c>
      <c r="N777" s="14">
        <f>CHOOSE(CONTROL!$C$42, 54.7652, 54.7652) * CHOOSE(CONTROL!$C$21, $C$9, 100%, $E$9)</f>
        <v>54.7652</v>
      </c>
      <c r="O777" s="14">
        <f>CHOOSE(CONTROL!$C$42, 54.9966, 54.9966) * CHOOSE(CONTROL!$C$21, $C$9, 100%, $E$9)</f>
        <v>54.996600000000001</v>
      </c>
      <c r="P777" s="14">
        <f>CHOOSE(CONTROL!$C$42, 54.9443, 54.9443) * CHOOSE(CONTROL!$C$21, $C$9, 100%, $E$9)</f>
        <v>54.944299999999998</v>
      </c>
      <c r="Q777" s="14">
        <f>CHOOSE(CONTROL!$C$42, 55.5913, 55.5913) * CHOOSE(CONTROL!$C$21, $C$9, 100%, $E$9)</f>
        <v>55.591299999999997</v>
      </c>
      <c r="R777" s="14">
        <f>CHOOSE(CONTROL!$C$42, 56.3173, 56.3173) * CHOOSE(CONTROL!$C$21, $C$9, 100%, $E$9)</f>
        <v>56.317300000000003</v>
      </c>
      <c r="S777" s="14">
        <f>CHOOSE(CONTROL!$C$42, 53.7095, 53.7095) * CHOOSE(CONTROL!$C$21, $C$9, 100%, $E$9)</f>
        <v>53.709499999999998</v>
      </c>
      <c r="T7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7">
        <f>(1000*CHOOSE(CONTROL!$C$42, 695, 695)*CHOOSE(CONTROL!$C$42, 0.5599, 0.5599)*CHOOSE(CONTROL!$C$42, 30, 30))/1000000</f>
        <v>11.673914999999997</v>
      </c>
      <c r="V777" s="57">
        <f>(1000*CHOOSE(CONTROL!$C$42, 500, 500)*CHOOSE(CONTROL!$C$42, 0.275, 0.275)*CHOOSE(CONTROL!$C$42, 30, 30))/1000000</f>
        <v>4.125</v>
      </c>
      <c r="W777" s="57">
        <f>(1000*CHOOSE(CONTROL!$C$42, 0.1146, 0.1146)*CHOOSE(CONTROL!$C$42, 121.5, 121.5)*CHOOSE(CONTROL!$C$42, 30, 30))/1000000</f>
        <v>0.417717</v>
      </c>
      <c r="X777" s="57">
        <f>(30*0.1790888*245000/1000000)+(30*0.2374*100000/1000000)</f>
        <v>2.0285026799999999</v>
      </c>
      <c r="Y777" s="57"/>
      <c r="Z777" s="14"/>
      <c r="AA777" s="56"/>
      <c r="AB777" s="50">
        <f>(B777*194.205+C777*267.466+D777*133.845+E777*53.484+F777*40+G777*185+H777*0+I777*100+J777*300)/(194.205+267.466+133.845+53.484+0+40+185+100+300)</f>
        <v>55.950280966248037</v>
      </c>
      <c r="AC777" s="45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54.890220143884896</v>
      </c>
    </row>
    <row r="778" spans="1:29" ht="15.75" x14ac:dyDescent="0.25">
      <c r="A778" s="32">
        <v>64589</v>
      </c>
      <c r="B778" s="14">
        <f>CHOOSE(CONTROL!$C$42, 54.7695, 54.7695) * CHOOSE(CONTROL!$C$21, $C$9, 100%, $E$9)</f>
        <v>54.769500000000001</v>
      </c>
      <c r="C778" s="14">
        <f>CHOOSE(CONTROL!$C$42, 54.7748, 54.7748) * CHOOSE(CONTROL!$C$21, $C$9, 100%, $E$9)</f>
        <v>54.774799999999999</v>
      </c>
      <c r="D778" s="14">
        <f>CHOOSE(CONTROL!$C$42, 54.9847, 54.9847) * CHOOSE(CONTROL!$C$21, $C$9, 100%, $E$9)</f>
        <v>54.984699999999997</v>
      </c>
      <c r="E778" s="14">
        <f>CHOOSE(CONTROL!$C$42, 55.0139, 55.0139) * CHOOSE(CONTROL!$C$21, $C$9, 100%, $E$9)</f>
        <v>55.0139</v>
      </c>
      <c r="F778" s="14">
        <f>CHOOSE(CONTROL!$C$42, 54.7587, 54.7587)*CHOOSE(CONTROL!$C$21, $C$9, 100%, $E$9)</f>
        <v>54.758699999999997</v>
      </c>
      <c r="G778" s="14">
        <f>CHOOSE(CONTROL!$C$42, 54.775, 54.775)*CHOOSE(CONTROL!$C$21, $C$9, 100%, $E$9)</f>
        <v>54.774999999999999</v>
      </c>
      <c r="H778" s="14">
        <f>CHOOSE(CONTROL!$C$42, 55.0043, 55.0043) * CHOOSE(CONTROL!$C$21, $C$9, 100%, $E$9)</f>
        <v>55.004300000000001</v>
      </c>
      <c r="I778" s="14">
        <f>CHOOSE(CONTROL!$C$42, 54.9508, 54.9508)* CHOOSE(CONTROL!$C$21, $C$9, 100%, $E$9)</f>
        <v>54.950800000000001</v>
      </c>
      <c r="J778" s="14">
        <f>CHOOSE(CONTROL!$C$42, 54.7517, 54.7517)* CHOOSE(CONTROL!$C$21, $C$9, 100%, $E$9)</f>
        <v>54.7517</v>
      </c>
      <c r="K778" s="53">
        <f>CHOOSE(CONTROL!$C$42, 54.9469, 54.9469) * CHOOSE(CONTROL!$C$21, $C$9, 100%, $E$9)</f>
        <v>54.946899999999999</v>
      </c>
      <c r="L778" s="14">
        <f>CHOOSE(CONTROL!$C$42, 55.5913, 55.5913) * CHOOSE(CONTROL!$C$21, $C$9, 100%, $E$9)</f>
        <v>55.591299999999997</v>
      </c>
      <c r="M778" s="14">
        <f>CHOOSE(CONTROL!$C$42, 53.6376, 53.6376) * CHOOSE(CONTROL!$C$21, $C$9, 100%, $E$9)</f>
        <v>53.637599999999999</v>
      </c>
      <c r="N778" s="14">
        <f>CHOOSE(CONTROL!$C$42, 53.6536, 53.6536) * CHOOSE(CONTROL!$C$21, $C$9, 100%, $E$9)</f>
        <v>53.653599999999997</v>
      </c>
      <c r="O778" s="14">
        <f>CHOOSE(CONTROL!$C$42, 53.885, 53.885) * CHOOSE(CONTROL!$C$21, $C$9, 100%, $E$9)</f>
        <v>53.884999999999998</v>
      </c>
      <c r="P778" s="14">
        <f>CHOOSE(CONTROL!$C$42, 53.8292, 53.8292) * CHOOSE(CONTROL!$C$21, $C$9, 100%, $E$9)</f>
        <v>53.8292</v>
      </c>
      <c r="Q778" s="14">
        <f>CHOOSE(CONTROL!$C$42, 54.4797, 54.4797) * CHOOSE(CONTROL!$C$21, $C$9, 100%, $E$9)</f>
        <v>54.479700000000001</v>
      </c>
      <c r="R778" s="14">
        <f>CHOOSE(CONTROL!$C$42, 55.2029, 55.2029) * CHOOSE(CONTROL!$C$21, $C$9, 100%, $E$9)</f>
        <v>55.2029</v>
      </c>
      <c r="S778" s="14">
        <f>CHOOSE(CONTROL!$C$42, 52.619, 52.619) * CHOOSE(CONTROL!$C$21, $C$9, 100%, $E$9)</f>
        <v>52.619</v>
      </c>
      <c r="T7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7">
        <f>(1000*CHOOSE(CONTROL!$C$42, 695, 695)*CHOOSE(CONTROL!$C$42, 0.5599, 0.5599)*CHOOSE(CONTROL!$C$42, 31, 31))/1000000</f>
        <v>12.063045499999998</v>
      </c>
      <c r="V778" s="57">
        <f>(1000*CHOOSE(CONTROL!$C$42, 500, 500)*CHOOSE(CONTROL!$C$42, 0.275, 0.275)*CHOOSE(CONTROL!$C$42, 31, 31))/1000000</f>
        <v>4.2625000000000002</v>
      </c>
      <c r="W778" s="57">
        <f>(1000*CHOOSE(CONTROL!$C$42, 0.1146, 0.1146)*CHOOSE(CONTROL!$C$42, 121.5, 121.5)*CHOOSE(CONTROL!$C$42, 31, 31))/1000000</f>
        <v>0.43164089999999994</v>
      </c>
      <c r="X778" s="57">
        <f>(31*0.1790888*245000/1000000)+(31*0.2374*100000/1000000)</f>
        <v>2.0961194359999999</v>
      </c>
      <c r="Y778" s="57"/>
      <c r="Z778" s="14"/>
      <c r="AA778" s="56"/>
      <c r="AB778" s="50">
        <f>(B778*131.881+C778*277.167+D778*79.08+E778*125.872+F778*40+G778*185+H778*0+I778*100+J778*300)/(131.881+277.167+79.08+125.872+0+40+185+100+300)</f>
        <v>54.82004529289749</v>
      </c>
      <c r="AC778" s="45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53.778220143884887</v>
      </c>
    </row>
    <row r="779" spans="1:29" ht="15.75" x14ac:dyDescent="0.25">
      <c r="A779" s="32">
        <v>64619</v>
      </c>
      <c r="B779" s="14">
        <f>CHOOSE(CONTROL!$C$42, 56.2117, 56.2117) * CHOOSE(CONTROL!$C$21, $C$9, 100%, $E$9)</f>
        <v>56.2117</v>
      </c>
      <c r="C779" s="14">
        <f>CHOOSE(CONTROL!$C$42, 56.2167, 56.2167) * CHOOSE(CONTROL!$C$21, $C$9, 100%, $E$9)</f>
        <v>56.216700000000003</v>
      </c>
      <c r="D779" s="14">
        <f>CHOOSE(CONTROL!$C$42, 56.2806, 56.2806) * CHOOSE(CONTROL!$C$21, $C$9, 100%, $E$9)</f>
        <v>56.2806</v>
      </c>
      <c r="E779" s="14">
        <f>CHOOSE(CONTROL!$C$42, 56.3147, 56.3147) * CHOOSE(CONTROL!$C$21, $C$9, 100%, $E$9)</f>
        <v>56.314700000000002</v>
      </c>
      <c r="F779" s="14">
        <f>CHOOSE(CONTROL!$C$42, 56.2139, 56.2139)*CHOOSE(CONTROL!$C$21, $C$9, 100%, $E$9)</f>
        <v>56.213900000000002</v>
      </c>
      <c r="G779" s="14">
        <f>CHOOSE(CONTROL!$C$42, 56.2306, 56.2306)*CHOOSE(CONTROL!$C$21, $C$9, 100%, $E$9)</f>
        <v>56.230600000000003</v>
      </c>
      <c r="H779" s="14">
        <f>CHOOSE(CONTROL!$C$42, 56.3039, 56.3039) * CHOOSE(CONTROL!$C$21, $C$9, 100%, $E$9)</f>
        <v>56.303899999999999</v>
      </c>
      <c r="I779" s="14">
        <f>CHOOSE(CONTROL!$C$42, 56.4016, 56.4016)* CHOOSE(CONTROL!$C$21, $C$9, 100%, $E$9)</f>
        <v>56.401600000000002</v>
      </c>
      <c r="J779" s="14">
        <f>CHOOSE(CONTROL!$C$42, 56.2069, 56.2069)* CHOOSE(CONTROL!$C$21, $C$9, 100%, $E$9)</f>
        <v>56.206899999999997</v>
      </c>
      <c r="K779" s="53">
        <f>CHOOSE(CONTROL!$C$42, 56.3977, 56.3977) * CHOOSE(CONTROL!$C$21, $C$9, 100%, $E$9)</f>
        <v>56.3977</v>
      </c>
      <c r="L779" s="14">
        <f>CHOOSE(CONTROL!$C$42, 56.8909, 56.8909) * CHOOSE(CONTROL!$C$21, $C$9, 100%, $E$9)</f>
        <v>56.890900000000002</v>
      </c>
      <c r="M779" s="14">
        <f>CHOOSE(CONTROL!$C$42, 55.063, 55.063) * CHOOSE(CONTROL!$C$21, $C$9, 100%, $E$9)</f>
        <v>55.063000000000002</v>
      </c>
      <c r="N779" s="14">
        <f>CHOOSE(CONTROL!$C$42, 55.0793, 55.0793) * CHOOSE(CONTROL!$C$21, $C$9, 100%, $E$9)</f>
        <v>55.079300000000003</v>
      </c>
      <c r="O779" s="14">
        <f>CHOOSE(CONTROL!$C$42, 55.1579, 55.1579) * CHOOSE(CONTROL!$C$21, $C$9, 100%, $E$9)</f>
        <v>55.157899999999998</v>
      </c>
      <c r="P779" s="14">
        <f>CHOOSE(CONTROL!$C$42, 55.2502, 55.2502) * CHOOSE(CONTROL!$C$21, $C$9, 100%, $E$9)</f>
        <v>55.2502</v>
      </c>
      <c r="Q779" s="14">
        <f>CHOOSE(CONTROL!$C$42, 55.7526, 55.7526) * CHOOSE(CONTROL!$C$21, $C$9, 100%, $E$9)</f>
        <v>55.752600000000001</v>
      </c>
      <c r="R779" s="14">
        <f>CHOOSE(CONTROL!$C$42, 56.479, 56.479) * CHOOSE(CONTROL!$C$21, $C$9, 100%, $E$9)</f>
        <v>56.478999999999999</v>
      </c>
      <c r="S779" s="14">
        <f>CHOOSE(CONTROL!$C$42, 54.0053, 54.0053) * CHOOSE(CONTROL!$C$21, $C$9, 100%, $E$9)</f>
        <v>54.005299999999998</v>
      </c>
      <c r="T7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7">
        <f>(1000*CHOOSE(CONTROL!$C$42, 695, 695)*CHOOSE(CONTROL!$C$42, 0.5599, 0.5599)*CHOOSE(CONTROL!$C$42, 30, 30))/1000000</f>
        <v>11.673914999999997</v>
      </c>
      <c r="V779" s="57">
        <f>(1000*CHOOSE(CONTROL!$C$42, 500, 500)*CHOOSE(CONTROL!$C$42, 0.275, 0.275)*CHOOSE(CONTROL!$C$42, 30, 30))/1000000</f>
        <v>4.125</v>
      </c>
      <c r="W779" s="57">
        <f>(1000*CHOOSE(CONTROL!$C$42, 0.1146, 0.1146)*CHOOSE(CONTROL!$C$42, 121.5, 121.5)*CHOOSE(CONTROL!$C$42, 30, 30))/1000000</f>
        <v>0.417717</v>
      </c>
      <c r="X779" s="57">
        <f>(30*0.1790888*100000/1000000)+(30*0.2374*100000/1000000)</f>
        <v>1.2494664</v>
      </c>
      <c r="Y779" s="57"/>
      <c r="Z779" s="14"/>
      <c r="AA779" s="56"/>
      <c r="AB779" s="50">
        <f>(B779*122.58+C779*297.941+D779*89.177+E779*40.302+F779*40+G779*160+H779*0+I779*100+J779*300)/(122.58+297.941+89.177+40.302+0+40+160+100+300)</f>
        <v>56.239914875043482</v>
      </c>
      <c r="AC779" s="45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55.133885611510784</v>
      </c>
    </row>
    <row r="780" spans="1:29" ht="15.75" x14ac:dyDescent="0.25">
      <c r="A780" s="32">
        <v>64650</v>
      </c>
      <c r="B780" s="14">
        <f>CHOOSE(CONTROL!$C$42, 60.0435, 60.0435) * CHOOSE(CONTROL!$C$21, $C$9, 100%, $E$9)</f>
        <v>60.043500000000002</v>
      </c>
      <c r="C780" s="14">
        <f>CHOOSE(CONTROL!$C$42, 60.0486, 60.0486) * CHOOSE(CONTROL!$C$21, $C$9, 100%, $E$9)</f>
        <v>60.0486</v>
      </c>
      <c r="D780" s="14">
        <f>CHOOSE(CONTROL!$C$42, 60.1124, 60.1124) * CHOOSE(CONTROL!$C$21, $C$9, 100%, $E$9)</f>
        <v>60.112400000000001</v>
      </c>
      <c r="E780" s="14">
        <f>CHOOSE(CONTROL!$C$42, 60.1465, 60.1465) * CHOOSE(CONTROL!$C$21, $C$9, 100%, $E$9)</f>
        <v>60.146500000000003</v>
      </c>
      <c r="F780" s="14">
        <f>CHOOSE(CONTROL!$C$42, 60.0478, 60.0478)*CHOOSE(CONTROL!$C$21, $C$9, 100%, $E$9)</f>
        <v>60.047800000000002</v>
      </c>
      <c r="G780" s="14">
        <f>CHOOSE(CONTROL!$C$42, 60.065, 60.065)*CHOOSE(CONTROL!$C$21, $C$9, 100%, $E$9)</f>
        <v>60.064999999999998</v>
      </c>
      <c r="H780" s="14">
        <f>CHOOSE(CONTROL!$C$42, 60.1357, 60.1357) * CHOOSE(CONTROL!$C$21, $C$9, 100%, $E$9)</f>
        <v>60.1357</v>
      </c>
      <c r="I780" s="14">
        <f>CHOOSE(CONTROL!$C$42, 60.2454, 60.2454)* CHOOSE(CONTROL!$C$21, $C$9, 100%, $E$9)</f>
        <v>60.245399999999997</v>
      </c>
      <c r="J780" s="14">
        <f>CHOOSE(CONTROL!$C$42, 60.0408, 60.0408)* CHOOSE(CONTROL!$C$21, $C$9, 100%, $E$9)</f>
        <v>60.040799999999997</v>
      </c>
      <c r="K780" s="53">
        <f>CHOOSE(CONTROL!$C$42, 60.2416, 60.2416) * CHOOSE(CONTROL!$C$21, $C$9, 100%, $E$9)</f>
        <v>60.241599999999998</v>
      </c>
      <c r="L780" s="14">
        <f>CHOOSE(CONTROL!$C$42, 60.7227, 60.7227) * CHOOSE(CONTROL!$C$21, $C$9, 100%, $E$9)</f>
        <v>60.722700000000003</v>
      </c>
      <c r="M780" s="14">
        <f>CHOOSE(CONTROL!$C$42, 58.8183, 58.8183) * CHOOSE(CONTROL!$C$21, $C$9, 100%, $E$9)</f>
        <v>58.818300000000001</v>
      </c>
      <c r="N780" s="14">
        <f>CHOOSE(CONTROL!$C$42, 58.8352, 58.8352) * CHOOSE(CONTROL!$C$21, $C$9, 100%, $E$9)</f>
        <v>58.8352</v>
      </c>
      <c r="O780" s="14">
        <f>CHOOSE(CONTROL!$C$42, 58.9112, 58.9112) * CHOOSE(CONTROL!$C$21, $C$9, 100%, $E$9)</f>
        <v>58.911200000000001</v>
      </c>
      <c r="P780" s="14">
        <f>CHOOSE(CONTROL!$C$42, 59.015, 59.015) * CHOOSE(CONTROL!$C$21, $C$9, 100%, $E$9)</f>
        <v>59.015000000000001</v>
      </c>
      <c r="Q780" s="14">
        <f>CHOOSE(CONTROL!$C$42, 59.5059, 59.5059) * CHOOSE(CONTROL!$C$21, $C$9, 100%, $E$9)</f>
        <v>59.505899999999997</v>
      </c>
      <c r="R780" s="14">
        <f>CHOOSE(CONTROL!$C$42, 60.2417, 60.2417) * CHOOSE(CONTROL!$C$21, $C$9, 100%, $E$9)</f>
        <v>60.241700000000002</v>
      </c>
      <c r="S780" s="14">
        <f>CHOOSE(CONTROL!$C$42, 57.6873, 57.6873) * CHOOSE(CONTROL!$C$21, $C$9, 100%, $E$9)</f>
        <v>57.6873</v>
      </c>
      <c r="T7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7">
        <f>(1000*CHOOSE(CONTROL!$C$42, 695, 695)*CHOOSE(CONTROL!$C$42, 0.5599, 0.5599)*CHOOSE(CONTROL!$C$42, 31, 31))/1000000</f>
        <v>12.063045499999998</v>
      </c>
      <c r="V780" s="57">
        <f>(1000*CHOOSE(CONTROL!$C$42, 500, 500)*CHOOSE(CONTROL!$C$42, 0.275, 0.275)*CHOOSE(CONTROL!$C$42, 31, 31))/1000000</f>
        <v>4.2625000000000002</v>
      </c>
      <c r="W780" s="57">
        <f>(1000*CHOOSE(CONTROL!$C$42, 0.1146, 0.1146)*CHOOSE(CONTROL!$C$42, 121.5, 121.5)*CHOOSE(CONTROL!$C$42, 31, 31))/1000000</f>
        <v>0.43164089999999994</v>
      </c>
      <c r="X780" s="57">
        <f>(31*0.1790888*100000/1000000)+(31*0.2374*100000/1000000)</f>
        <v>1.2911152800000001</v>
      </c>
      <c r="Y780" s="57"/>
      <c r="Z780" s="14"/>
      <c r="AA780" s="56"/>
      <c r="AB780" s="50">
        <f>(B780*122.58+C780*297.941+D780*89.177+E780*40.302+F780*40+G780*160+H780*0+I780*100+J780*300)/(122.58+297.941+89.177+40.302+0+40+160+100+300)</f>
        <v>60.073766869913037</v>
      </c>
      <c r="AC780" s="45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58.889680575539572</v>
      </c>
    </row>
    <row r="781" spans="1:29" ht="15.75" x14ac:dyDescent="0.25">
      <c r="A781" s="32">
        <v>64681</v>
      </c>
      <c r="B781" s="14">
        <f>CHOOSE(CONTROL!$C$42, 64.9611, 64.9611) * CHOOSE(CONTROL!$C$21, $C$9, 100%, $E$9)</f>
        <v>64.961100000000002</v>
      </c>
      <c r="C781" s="14">
        <f>CHOOSE(CONTROL!$C$42, 64.9662, 64.9662) * CHOOSE(CONTROL!$C$21, $C$9, 100%, $E$9)</f>
        <v>64.966200000000001</v>
      </c>
      <c r="D781" s="14">
        <f>CHOOSE(CONTROL!$C$42, 65.0248, 65.0248) * CHOOSE(CONTROL!$C$21, $C$9, 100%, $E$9)</f>
        <v>65.024799999999999</v>
      </c>
      <c r="E781" s="14">
        <f>CHOOSE(CONTROL!$C$42, 65.0589, 65.0589) * CHOOSE(CONTROL!$C$21, $C$9, 100%, $E$9)</f>
        <v>65.058899999999994</v>
      </c>
      <c r="F781" s="14">
        <f>CHOOSE(CONTROL!$C$42, 64.9602, 64.9602)*CHOOSE(CONTROL!$C$21, $C$9, 100%, $E$9)</f>
        <v>64.9602</v>
      </c>
      <c r="G781" s="14">
        <f>CHOOSE(CONTROL!$C$42, 64.9766, 64.9766)*CHOOSE(CONTROL!$C$21, $C$9, 100%, $E$9)</f>
        <v>64.976600000000005</v>
      </c>
      <c r="H781" s="14">
        <f>CHOOSE(CONTROL!$C$42, 65.0481, 65.0481) * CHOOSE(CONTROL!$C$21, $C$9, 100%, $E$9)</f>
        <v>65.048100000000005</v>
      </c>
      <c r="I781" s="14">
        <f>CHOOSE(CONTROL!$C$42, 65.1748, 65.1748)* CHOOSE(CONTROL!$C$21, $C$9, 100%, $E$9)</f>
        <v>65.174800000000005</v>
      </c>
      <c r="J781" s="14">
        <f>CHOOSE(CONTROL!$C$42, 64.9532, 64.9532)* CHOOSE(CONTROL!$C$21, $C$9, 100%, $E$9)</f>
        <v>64.953199999999995</v>
      </c>
      <c r="K781" s="53">
        <f>CHOOSE(CONTROL!$C$42, 65.1709, 65.1709) * CHOOSE(CONTROL!$C$21, $C$9, 100%, $E$9)</f>
        <v>65.170900000000003</v>
      </c>
      <c r="L781" s="14">
        <f>CHOOSE(CONTROL!$C$42, 65.6351, 65.6351) * CHOOSE(CONTROL!$C$21, $C$9, 100%, $E$9)</f>
        <v>65.635099999999994</v>
      </c>
      <c r="M781" s="14">
        <f>CHOOSE(CONTROL!$C$42, 63.6301, 63.6301) * CHOOSE(CONTROL!$C$21, $C$9, 100%, $E$9)</f>
        <v>63.630099999999999</v>
      </c>
      <c r="N781" s="14">
        <f>CHOOSE(CONTROL!$C$42, 63.6461, 63.6461) * CHOOSE(CONTROL!$C$21, $C$9, 100%, $E$9)</f>
        <v>63.646099999999997</v>
      </c>
      <c r="O781" s="14">
        <f>CHOOSE(CONTROL!$C$42, 63.723, 63.723) * CHOOSE(CONTROL!$C$21, $C$9, 100%, $E$9)</f>
        <v>63.722999999999999</v>
      </c>
      <c r="P781" s="14">
        <f>CHOOSE(CONTROL!$C$42, 63.8431, 63.8431) * CHOOSE(CONTROL!$C$21, $C$9, 100%, $E$9)</f>
        <v>63.8431</v>
      </c>
      <c r="Q781" s="14">
        <f>CHOOSE(CONTROL!$C$42, 64.3177, 64.3177) * CHOOSE(CONTROL!$C$21, $C$9, 100%, $E$9)</f>
        <v>64.317700000000002</v>
      </c>
      <c r="R781" s="14">
        <f>CHOOSE(CONTROL!$C$42, 65.0655, 65.0655) * CHOOSE(CONTROL!$C$21, $C$9, 100%, $E$9)</f>
        <v>65.0655</v>
      </c>
      <c r="S781" s="14">
        <f>CHOOSE(CONTROL!$C$42, 62.4126, 62.4126) * CHOOSE(CONTROL!$C$21, $C$9, 100%, $E$9)</f>
        <v>62.412599999999998</v>
      </c>
      <c r="T7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7">
        <f>(1000*CHOOSE(CONTROL!$C$42, 695, 695)*CHOOSE(CONTROL!$C$42, 0.5599, 0.5599)*CHOOSE(CONTROL!$C$42, 31, 31))/1000000</f>
        <v>12.063045499999998</v>
      </c>
      <c r="V781" s="57">
        <f>(1000*CHOOSE(CONTROL!$C$42, 500, 500)*CHOOSE(CONTROL!$C$42, 0.275, 0.275)*CHOOSE(CONTROL!$C$42, 31, 31))/1000000</f>
        <v>4.2625000000000002</v>
      </c>
      <c r="W781" s="57">
        <f>(1000*CHOOSE(CONTROL!$C$42, 0.1146, 0.1146)*CHOOSE(CONTROL!$C$42, 121.5, 121.5)*CHOOSE(CONTROL!$C$42, 31, 31))/1000000</f>
        <v>0.43164089999999994</v>
      </c>
      <c r="X781" s="57">
        <f>(31*0.1790888*100000/1000000)+(31*0.2374*100000/1000000)</f>
        <v>1.2911152800000001</v>
      </c>
      <c r="Y781" s="57"/>
      <c r="Z781" s="14"/>
      <c r="AA781" s="56"/>
      <c r="AB781" s="50">
        <f>(B781*122.58+C781*297.941+D781*89.177+E781*40.302+F781*40+G781*160+H781*0+I781*100+J781*300)/(122.58+297.941+89.177+40.302+0+40+160+100+300)</f>
        <v>64.989435312695662</v>
      </c>
      <c r="AC781" s="45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63.703774100719414</v>
      </c>
    </row>
    <row r="782" spans="1:29" ht="15.75" x14ac:dyDescent="0.25">
      <c r="A782" s="32">
        <v>64709</v>
      </c>
      <c r="B782" s="14">
        <f>CHOOSE(CONTROL!$C$42, 66.1174, 66.1174) * CHOOSE(CONTROL!$C$21, $C$9, 100%, $E$9)</f>
        <v>66.117400000000004</v>
      </c>
      <c r="C782" s="14">
        <f>CHOOSE(CONTROL!$C$42, 66.1224, 66.1224) * CHOOSE(CONTROL!$C$21, $C$9, 100%, $E$9)</f>
        <v>66.122399999999999</v>
      </c>
      <c r="D782" s="14">
        <f>CHOOSE(CONTROL!$C$42, 66.181, 66.181) * CHOOSE(CONTROL!$C$21, $C$9, 100%, $E$9)</f>
        <v>66.180999999999997</v>
      </c>
      <c r="E782" s="14">
        <f>CHOOSE(CONTROL!$C$42, 66.2151, 66.2151) * CHOOSE(CONTROL!$C$21, $C$9, 100%, $E$9)</f>
        <v>66.215100000000007</v>
      </c>
      <c r="F782" s="14">
        <f>CHOOSE(CONTROL!$C$42, 66.1164, 66.1164)*CHOOSE(CONTROL!$C$21, $C$9, 100%, $E$9)</f>
        <v>66.116399999999999</v>
      </c>
      <c r="G782" s="14">
        <f>CHOOSE(CONTROL!$C$42, 66.1328, 66.1328)*CHOOSE(CONTROL!$C$21, $C$9, 100%, $E$9)</f>
        <v>66.132800000000003</v>
      </c>
      <c r="H782" s="14">
        <f>CHOOSE(CONTROL!$C$42, 66.2043, 66.2043) * CHOOSE(CONTROL!$C$21, $C$9, 100%, $E$9)</f>
        <v>66.204300000000003</v>
      </c>
      <c r="I782" s="14">
        <f>CHOOSE(CONTROL!$C$42, 66.3347, 66.3347)* CHOOSE(CONTROL!$C$21, $C$9, 100%, $E$9)</f>
        <v>66.334699999999998</v>
      </c>
      <c r="J782" s="14">
        <f>CHOOSE(CONTROL!$C$42, 66.1094, 66.1094)* CHOOSE(CONTROL!$C$21, $C$9, 100%, $E$9)</f>
        <v>66.109399999999994</v>
      </c>
      <c r="K782" s="53">
        <f>CHOOSE(CONTROL!$C$42, 66.3308, 66.3308) * CHOOSE(CONTROL!$C$21, $C$9, 100%, $E$9)</f>
        <v>66.330799999999996</v>
      </c>
      <c r="L782" s="14">
        <f>CHOOSE(CONTROL!$C$42, 66.7913, 66.7913) * CHOOSE(CONTROL!$C$21, $C$9, 100%, $E$9)</f>
        <v>66.791300000000007</v>
      </c>
      <c r="M782" s="14">
        <f>CHOOSE(CONTROL!$C$42, 64.7626, 64.7626) * CHOOSE(CONTROL!$C$21, $C$9, 100%, $E$9)</f>
        <v>64.762600000000006</v>
      </c>
      <c r="N782" s="14">
        <f>CHOOSE(CONTROL!$C$42, 64.7786, 64.7786) * CHOOSE(CONTROL!$C$21, $C$9, 100%, $E$9)</f>
        <v>64.778599999999997</v>
      </c>
      <c r="O782" s="14">
        <f>CHOOSE(CONTROL!$C$42, 64.8555, 64.8555) * CHOOSE(CONTROL!$C$21, $C$9, 100%, $E$9)</f>
        <v>64.855500000000006</v>
      </c>
      <c r="P782" s="14">
        <f>CHOOSE(CONTROL!$C$42, 64.9791, 64.9791) * CHOOSE(CONTROL!$C$21, $C$9, 100%, $E$9)</f>
        <v>64.979100000000003</v>
      </c>
      <c r="Q782" s="14">
        <f>CHOOSE(CONTROL!$C$42, 65.4502, 65.4502) * CHOOSE(CONTROL!$C$21, $C$9, 100%, $E$9)</f>
        <v>65.450199999999995</v>
      </c>
      <c r="R782" s="14">
        <f>CHOOSE(CONTROL!$C$42, 66.2009, 66.2009) * CHOOSE(CONTROL!$C$21, $C$9, 100%, $E$9)</f>
        <v>66.200900000000004</v>
      </c>
      <c r="S782" s="14">
        <f>CHOOSE(CONTROL!$C$42, 63.5236, 63.5236) * CHOOSE(CONTROL!$C$21, $C$9, 100%, $E$9)</f>
        <v>63.523600000000002</v>
      </c>
      <c r="T7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7">
        <f>(1000*CHOOSE(CONTROL!$C$42, 695, 695)*CHOOSE(CONTROL!$C$42, 0.5599, 0.5599)*CHOOSE(CONTROL!$C$42, 28, 28))/1000000</f>
        <v>10.895653999999999</v>
      </c>
      <c r="V782" s="57">
        <f>(1000*CHOOSE(CONTROL!$C$42, 500, 500)*CHOOSE(CONTROL!$C$42, 0.275, 0.275)*CHOOSE(CONTROL!$C$42, 28, 28))/1000000</f>
        <v>3.85</v>
      </c>
      <c r="W782" s="57">
        <f>(1000*CHOOSE(CONTROL!$C$42, 0.1146, 0.1146)*CHOOSE(CONTROL!$C$42, 121.5, 121.5)*CHOOSE(CONTROL!$C$42, 28, 28))/1000000</f>
        <v>0.38986920000000003</v>
      </c>
      <c r="X782" s="57">
        <f>(28*0.1790888*100000/1000000)+(28*0.2374*100000/1000000)</f>
        <v>1.16616864</v>
      </c>
      <c r="Y782" s="57"/>
      <c r="Z782" s="14"/>
      <c r="AA782" s="56"/>
      <c r="AB782" s="50">
        <f>(B782*122.58+C782*297.941+D782*89.177+E782*40.302+F782*40+G782*160+H782*0+I782*100+J782*300)/(122.58+297.941+89.177+40.302+0+40+160+100+300)</f>
        <v>66.145967710956512</v>
      </c>
      <c r="AC782" s="45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64.83677769784174</v>
      </c>
    </row>
    <row r="783" spans="1:29" ht="15.75" x14ac:dyDescent="0.25">
      <c r="A783" s="32">
        <v>64740</v>
      </c>
      <c r="B783" s="14">
        <f>CHOOSE(CONTROL!$C$42, 64.2405, 64.2405) * CHOOSE(CONTROL!$C$21, $C$9, 100%, $E$9)</f>
        <v>64.240499999999997</v>
      </c>
      <c r="C783" s="14">
        <f>CHOOSE(CONTROL!$C$42, 64.2456, 64.2456) * CHOOSE(CONTROL!$C$21, $C$9, 100%, $E$9)</f>
        <v>64.245599999999996</v>
      </c>
      <c r="D783" s="14">
        <f>CHOOSE(CONTROL!$C$42, 64.3042, 64.3042) * CHOOSE(CONTROL!$C$21, $C$9, 100%, $E$9)</f>
        <v>64.304199999999994</v>
      </c>
      <c r="E783" s="14">
        <f>CHOOSE(CONTROL!$C$42, 64.3383, 64.3383) * CHOOSE(CONTROL!$C$21, $C$9, 100%, $E$9)</f>
        <v>64.338300000000004</v>
      </c>
      <c r="F783" s="14">
        <f>CHOOSE(CONTROL!$C$42, 64.2391, 64.2391)*CHOOSE(CONTROL!$C$21, $C$9, 100%, $E$9)</f>
        <v>64.239099999999993</v>
      </c>
      <c r="G783" s="14">
        <f>CHOOSE(CONTROL!$C$42, 64.2553, 64.2553)*CHOOSE(CONTROL!$C$21, $C$9, 100%, $E$9)</f>
        <v>64.255300000000005</v>
      </c>
      <c r="H783" s="14">
        <f>CHOOSE(CONTROL!$C$42, 64.3275, 64.3275) * CHOOSE(CONTROL!$C$21, $C$9, 100%, $E$9)</f>
        <v>64.327500000000001</v>
      </c>
      <c r="I783" s="14">
        <f>CHOOSE(CONTROL!$C$42, 64.4519, 64.4519)* CHOOSE(CONTROL!$C$21, $C$9, 100%, $E$9)</f>
        <v>64.451899999999995</v>
      </c>
      <c r="J783" s="14">
        <f>CHOOSE(CONTROL!$C$42, 64.2321, 64.2321)* CHOOSE(CONTROL!$C$21, $C$9, 100%, $E$9)</f>
        <v>64.232100000000003</v>
      </c>
      <c r="K783" s="53">
        <f>CHOOSE(CONTROL!$C$42, 64.448, 64.448) * CHOOSE(CONTROL!$C$21, $C$9, 100%, $E$9)</f>
        <v>64.447999999999993</v>
      </c>
      <c r="L783" s="14">
        <f>CHOOSE(CONTROL!$C$42, 64.9145, 64.9145) * CHOOSE(CONTROL!$C$21, $C$9, 100%, $E$9)</f>
        <v>64.914500000000004</v>
      </c>
      <c r="M783" s="14">
        <f>CHOOSE(CONTROL!$C$42, 62.9237, 62.9237) * CHOOSE(CONTROL!$C$21, $C$9, 100%, $E$9)</f>
        <v>62.923699999999997</v>
      </c>
      <c r="N783" s="14">
        <f>CHOOSE(CONTROL!$C$42, 62.9396, 62.9396) * CHOOSE(CONTROL!$C$21, $C$9, 100%, $E$9)</f>
        <v>62.939599999999999</v>
      </c>
      <c r="O783" s="14">
        <f>CHOOSE(CONTROL!$C$42, 63.0172, 63.0172) * CHOOSE(CONTROL!$C$21, $C$9, 100%, $E$9)</f>
        <v>63.017200000000003</v>
      </c>
      <c r="P783" s="14">
        <f>CHOOSE(CONTROL!$C$42, 63.1351, 63.1351) * CHOOSE(CONTROL!$C$21, $C$9, 100%, $E$9)</f>
        <v>63.135100000000001</v>
      </c>
      <c r="Q783" s="14">
        <f>CHOOSE(CONTROL!$C$42, 63.6119, 63.6119) * CHOOSE(CONTROL!$C$21, $C$9, 100%, $E$9)</f>
        <v>63.611899999999999</v>
      </c>
      <c r="R783" s="14">
        <f>CHOOSE(CONTROL!$C$42, 64.3579, 64.3579) * CHOOSE(CONTROL!$C$21, $C$9, 100%, $E$9)</f>
        <v>64.357900000000001</v>
      </c>
      <c r="S783" s="14">
        <f>CHOOSE(CONTROL!$C$42, 61.7202, 61.7202) * CHOOSE(CONTROL!$C$21, $C$9, 100%, $E$9)</f>
        <v>61.720199999999998</v>
      </c>
      <c r="T7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7">
        <f>(1000*CHOOSE(CONTROL!$C$42, 695, 695)*CHOOSE(CONTROL!$C$42, 0.5599, 0.5599)*CHOOSE(CONTROL!$C$42, 31, 31))/1000000</f>
        <v>12.063045499999998</v>
      </c>
      <c r="V783" s="57">
        <f>(1000*CHOOSE(CONTROL!$C$42, 500, 500)*CHOOSE(CONTROL!$C$42, 0.275, 0.275)*CHOOSE(CONTROL!$C$42, 31, 31))/1000000</f>
        <v>4.2625000000000002</v>
      </c>
      <c r="W783" s="57">
        <f>(1000*CHOOSE(CONTROL!$C$42, 0.1146, 0.1146)*CHOOSE(CONTROL!$C$42, 121.5, 121.5)*CHOOSE(CONTROL!$C$42, 31, 31))/1000000</f>
        <v>0.43164089999999994</v>
      </c>
      <c r="X783" s="57">
        <f>(31*0.1790888*100000/1000000)+(31*0.2374*100000/1000000)</f>
        <v>1.2911152800000001</v>
      </c>
      <c r="Y783" s="57"/>
      <c r="Z783" s="14"/>
      <c r="AA783" s="56"/>
      <c r="AB783" s="50">
        <f>(B783*122.58+C783*297.941+D783*89.177+E783*40.302+F783*40+G783*160+H783*0+I783*100+J783*300)/(122.58+297.941+89.177+40.302+0+40+160+100+300)</f>
        <v>64.268390095304355</v>
      </c>
      <c r="AC783" s="45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62.997410071942454</v>
      </c>
    </row>
    <row r="784" spans="1:29" ht="15.75" x14ac:dyDescent="0.25">
      <c r="A784" s="32">
        <v>64770</v>
      </c>
      <c r="B784" s="14">
        <f>CHOOSE(CONTROL!$C$42, 64.0494, 64.0494) * CHOOSE(CONTROL!$C$21, $C$9, 100%, $E$9)</f>
        <v>64.049400000000006</v>
      </c>
      <c r="C784" s="14">
        <f>CHOOSE(CONTROL!$C$42, 64.0538, 64.0538) * CHOOSE(CONTROL!$C$21, $C$9, 100%, $E$9)</f>
        <v>64.053799999999995</v>
      </c>
      <c r="D784" s="14">
        <f>CHOOSE(CONTROL!$C$42, 64.262, 64.262) * CHOOSE(CONTROL!$C$21, $C$9, 100%, $E$9)</f>
        <v>64.262</v>
      </c>
      <c r="E784" s="14">
        <f>CHOOSE(CONTROL!$C$42, 64.2941, 64.2941) * CHOOSE(CONTROL!$C$21, $C$9, 100%, $E$9)</f>
        <v>64.2941</v>
      </c>
      <c r="F784" s="14">
        <f>CHOOSE(CONTROL!$C$42, 64.0367, 64.0367)*CHOOSE(CONTROL!$C$21, $C$9, 100%, $E$9)</f>
        <v>64.036699999999996</v>
      </c>
      <c r="G784" s="14">
        <f>CHOOSE(CONTROL!$C$42, 64.0527, 64.0527)*CHOOSE(CONTROL!$C$21, $C$9, 100%, $E$9)</f>
        <v>64.052700000000002</v>
      </c>
      <c r="H784" s="14">
        <f>CHOOSE(CONTROL!$C$42, 64.2839, 64.2839) * CHOOSE(CONTROL!$C$21, $C$9, 100%, $E$9)</f>
        <v>64.283900000000003</v>
      </c>
      <c r="I784" s="14">
        <f>CHOOSE(CONTROL!$C$42, 64.2594, 64.2594)* CHOOSE(CONTROL!$C$21, $C$9, 100%, $E$9)</f>
        <v>64.259399999999999</v>
      </c>
      <c r="J784" s="14">
        <f>CHOOSE(CONTROL!$C$42, 64.0297, 64.0297)* CHOOSE(CONTROL!$C$21, $C$9, 100%, $E$9)</f>
        <v>64.029700000000005</v>
      </c>
      <c r="K784" s="53">
        <f>CHOOSE(CONTROL!$C$42, 64.2555, 64.2555) * CHOOSE(CONTROL!$C$21, $C$9, 100%, $E$9)</f>
        <v>64.255499999999998</v>
      </c>
      <c r="L784" s="14">
        <f>CHOOSE(CONTROL!$C$42, 64.8709, 64.8709) * CHOOSE(CONTROL!$C$21, $C$9, 100%, $E$9)</f>
        <v>64.870900000000006</v>
      </c>
      <c r="M784" s="14">
        <f>CHOOSE(CONTROL!$C$42, 62.7255, 62.7255) * CHOOSE(CONTROL!$C$21, $C$9, 100%, $E$9)</f>
        <v>62.725499999999997</v>
      </c>
      <c r="N784" s="14">
        <f>CHOOSE(CONTROL!$C$42, 62.7411, 62.7411) * CHOOSE(CONTROL!$C$21, $C$9, 100%, $E$9)</f>
        <v>62.741100000000003</v>
      </c>
      <c r="O784" s="14">
        <f>CHOOSE(CONTROL!$C$42, 62.9744, 62.9744) * CHOOSE(CONTROL!$C$21, $C$9, 100%, $E$9)</f>
        <v>62.974400000000003</v>
      </c>
      <c r="P784" s="14">
        <f>CHOOSE(CONTROL!$C$42, 62.9465, 62.9465) * CHOOSE(CONTROL!$C$21, $C$9, 100%, $E$9)</f>
        <v>62.9465</v>
      </c>
      <c r="Q784" s="14">
        <f>CHOOSE(CONTROL!$C$42, 63.5691, 63.5691) * CHOOSE(CONTROL!$C$21, $C$9, 100%, $E$9)</f>
        <v>63.569099999999999</v>
      </c>
      <c r="R784" s="14">
        <f>CHOOSE(CONTROL!$C$42, 64.315, 64.315) * CHOOSE(CONTROL!$C$21, $C$9, 100%, $E$9)</f>
        <v>64.314999999999998</v>
      </c>
      <c r="S784" s="14">
        <f>CHOOSE(CONTROL!$C$42, 61.5357, 61.5357) * CHOOSE(CONTROL!$C$21, $C$9, 100%, $E$9)</f>
        <v>61.535699999999999</v>
      </c>
      <c r="T7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7">
        <f>(1000*CHOOSE(CONTROL!$C$42, 695, 695)*CHOOSE(CONTROL!$C$42, 0.5599, 0.5599)*CHOOSE(CONTROL!$C$42, 30, 30))/1000000</f>
        <v>11.673914999999997</v>
      </c>
      <c r="V784" s="57">
        <f>(1000*CHOOSE(CONTROL!$C$42, 500, 500)*CHOOSE(CONTROL!$C$42, 0.275, 0.275)*CHOOSE(CONTROL!$C$42, 30, 30))/1000000</f>
        <v>4.125</v>
      </c>
      <c r="W784" s="57">
        <f>(1000*CHOOSE(CONTROL!$C$42, 0.1146, 0.1146)*CHOOSE(CONTROL!$C$42, 121.5, 121.5)*CHOOSE(CONTROL!$C$42, 30, 30))/1000000</f>
        <v>0.417717</v>
      </c>
      <c r="X784" s="57">
        <f>(30*0.1790888*245000/1000000)+(30*0.2374*100000/1000000)</f>
        <v>2.0285026799999999</v>
      </c>
      <c r="Y784" s="57"/>
      <c r="Z784" s="14"/>
      <c r="AA784" s="56"/>
      <c r="AB784" s="50">
        <f>(B784*141.293+C784*267.993+D784*115.016+E784*89.698+F784*40+G784*185+H784*0+I784*100+J784*300)/(141.293+267.993+115.016+89.698+0+40+185+100+300)</f>
        <v>64.100064383696534</v>
      </c>
      <c r="AC784" s="45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62.871007194244605</v>
      </c>
    </row>
    <row r="785" spans="1:29" ht="15.75" x14ac:dyDescent="0.25">
      <c r="A785" s="32">
        <v>64801</v>
      </c>
      <c r="B785" s="14">
        <f>CHOOSE(CONTROL!$C$42, 64.616, 64.616) * CHOOSE(CONTROL!$C$21, $C$9, 100%, $E$9)</f>
        <v>64.616</v>
      </c>
      <c r="C785" s="14">
        <f>CHOOSE(CONTROL!$C$42, 64.624, 64.624) * CHOOSE(CONTROL!$C$21, $C$9, 100%, $E$9)</f>
        <v>64.623999999999995</v>
      </c>
      <c r="D785" s="14">
        <f>CHOOSE(CONTROL!$C$42, 64.829, 64.829) * CHOOSE(CONTROL!$C$21, $C$9, 100%, $E$9)</f>
        <v>64.828999999999994</v>
      </c>
      <c r="E785" s="14">
        <f>CHOOSE(CONTROL!$C$42, 64.8604, 64.8604) * CHOOSE(CONTROL!$C$21, $C$9, 100%, $E$9)</f>
        <v>64.860399999999998</v>
      </c>
      <c r="F785" s="14">
        <f>CHOOSE(CONTROL!$C$42, 64.6022, 64.6022)*CHOOSE(CONTROL!$C$21, $C$9, 100%, $E$9)</f>
        <v>64.602199999999996</v>
      </c>
      <c r="G785" s="14">
        <f>CHOOSE(CONTROL!$C$42, 64.6186, 64.6186)*CHOOSE(CONTROL!$C$21, $C$9, 100%, $E$9)</f>
        <v>64.618600000000001</v>
      </c>
      <c r="H785" s="14">
        <f>CHOOSE(CONTROL!$C$42, 64.8491, 64.8491) * CHOOSE(CONTROL!$C$21, $C$9, 100%, $E$9)</f>
        <v>64.849100000000007</v>
      </c>
      <c r="I785" s="14">
        <f>CHOOSE(CONTROL!$C$42, 64.8264, 64.8264)* CHOOSE(CONTROL!$C$21, $C$9, 100%, $E$9)</f>
        <v>64.826400000000007</v>
      </c>
      <c r="J785" s="14">
        <f>CHOOSE(CONTROL!$C$42, 64.5952, 64.5952)* CHOOSE(CONTROL!$C$21, $C$9, 100%, $E$9)</f>
        <v>64.595200000000006</v>
      </c>
      <c r="K785" s="53">
        <f>CHOOSE(CONTROL!$C$42, 64.8225, 64.8225) * CHOOSE(CONTROL!$C$21, $C$9, 100%, $E$9)</f>
        <v>64.822500000000005</v>
      </c>
      <c r="L785" s="14">
        <f>CHOOSE(CONTROL!$C$42, 65.4361, 65.4361) * CHOOSE(CONTROL!$C$21, $C$9, 100%, $E$9)</f>
        <v>65.436099999999996</v>
      </c>
      <c r="M785" s="14">
        <f>CHOOSE(CONTROL!$C$42, 63.2793, 63.2793) * CHOOSE(CONTROL!$C$21, $C$9, 100%, $E$9)</f>
        <v>63.279299999999999</v>
      </c>
      <c r="N785" s="14">
        <f>CHOOSE(CONTROL!$C$42, 63.2954, 63.2954) * CHOOSE(CONTROL!$C$21, $C$9, 100%, $E$9)</f>
        <v>63.295400000000001</v>
      </c>
      <c r="O785" s="14">
        <f>CHOOSE(CONTROL!$C$42, 63.5281, 63.5281) * CHOOSE(CONTROL!$C$21, $C$9, 100%, $E$9)</f>
        <v>63.528100000000002</v>
      </c>
      <c r="P785" s="14">
        <f>CHOOSE(CONTROL!$C$42, 63.5018, 63.5018) * CHOOSE(CONTROL!$C$21, $C$9, 100%, $E$9)</f>
        <v>63.501800000000003</v>
      </c>
      <c r="Q785" s="14">
        <f>CHOOSE(CONTROL!$C$42, 64.1228, 64.1228) * CHOOSE(CONTROL!$C$21, $C$9, 100%, $E$9)</f>
        <v>64.122799999999998</v>
      </c>
      <c r="R785" s="14">
        <f>CHOOSE(CONTROL!$C$42, 64.8701, 64.8701) * CHOOSE(CONTROL!$C$21, $C$9, 100%, $E$9)</f>
        <v>64.870099999999994</v>
      </c>
      <c r="S785" s="14">
        <f>CHOOSE(CONTROL!$C$42, 62.0789, 62.0789) * CHOOSE(CONTROL!$C$21, $C$9, 100%, $E$9)</f>
        <v>62.078899999999997</v>
      </c>
      <c r="T7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7">
        <f>(1000*CHOOSE(CONTROL!$C$42, 695, 695)*CHOOSE(CONTROL!$C$42, 0.5599, 0.5599)*CHOOSE(CONTROL!$C$42, 31, 31))/1000000</f>
        <v>12.063045499999998</v>
      </c>
      <c r="V785" s="57">
        <f>(1000*CHOOSE(CONTROL!$C$42, 500, 500)*CHOOSE(CONTROL!$C$42, 0.275, 0.275)*CHOOSE(CONTROL!$C$42, 31, 31))/1000000</f>
        <v>4.2625000000000002</v>
      </c>
      <c r="W785" s="57">
        <f>(1000*CHOOSE(CONTROL!$C$42, 0.1146, 0.1146)*CHOOSE(CONTROL!$C$42, 121.5, 121.5)*CHOOSE(CONTROL!$C$42, 31, 31))/1000000</f>
        <v>0.43164089999999994</v>
      </c>
      <c r="X785" s="57">
        <f>(31*0.1790888*245000/1000000)+(31*0.2374*100000/1000000)</f>
        <v>2.0961194359999999</v>
      </c>
      <c r="Y785" s="57"/>
      <c r="Z785" s="14"/>
      <c r="AA785" s="56"/>
      <c r="AB785" s="50">
        <f>(B785*194.205+C785*267.466+D785*133.845+E785*53.484+F785*40+G785*185+H785*0+I785*100+J785*300)/(194.205+267.466+133.845+53.484+0+40+185+100+300)</f>
        <v>64.661878494976463</v>
      </c>
      <c r="AC785" s="45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63.425006474820151</v>
      </c>
    </row>
    <row r="786" spans="1:29" ht="15.75" x14ac:dyDescent="0.25">
      <c r="A786" s="32">
        <v>64831</v>
      </c>
      <c r="B786" s="14">
        <f>CHOOSE(CONTROL!$C$42, 66.4486, 66.4486) * CHOOSE(CONTROL!$C$21, $C$9, 100%, $E$9)</f>
        <v>66.448599999999999</v>
      </c>
      <c r="C786" s="14">
        <f>CHOOSE(CONTROL!$C$42, 66.4566, 66.4566) * CHOOSE(CONTROL!$C$21, $C$9, 100%, $E$9)</f>
        <v>66.456599999999995</v>
      </c>
      <c r="D786" s="14">
        <f>CHOOSE(CONTROL!$C$42, 66.6616, 66.6616) * CHOOSE(CONTROL!$C$21, $C$9, 100%, $E$9)</f>
        <v>66.661600000000007</v>
      </c>
      <c r="E786" s="14">
        <f>CHOOSE(CONTROL!$C$42, 66.693, 66.693) * CHOOSE(CONTROL!$C$21, $C$9, 100%, $E$9)</f>
        <v>66.692999999999998</v>
      </c>
      <c r="F786" s="14">
        <f>CHOOSE(CONTROL!$C$42, 66.4351, 66.4351)*CHOOSE(CONTROL!$C$21, $C$9, 100%, $E$9)</f>
        <v>66.435100000000006</v>
      </c>
      <c r="G786" s="14">
        <f>CHOOSE(CONTROL!$C$42, 66.4516, 66.4516)*CHOOSE(CONTROL!$C$21, $C$9, 100%, $E$9)</f>
        <v>66.451599999999999</v>
      </c>
      <c r="H786" s="14">
        <f>CHOOSE(CONTROL!$C$42, 66.6817, 66.6817) * CHOOSE(CONTROL!$C$21, $C$9, 100%, $E$9)</f>
        <v>66.681700000000006</v>
      </c>
      <c r="I786" s="14">
        <f>CHOOSE(CONTROL!$C$42, 66.6647, 66.6647)* CHOOSE(CONTROL!$C$21, $C$9, 100%, $E$9)</f>
        <v>66.664699999999996</v>
      </c>
      <c r="J786" s="14">
        <f>CHOOSE(CONTROL!$C$42, 66.4281, 66.4281)* CHOOSE(CONTROL!$C$21, $C$9, 100%, $E$9)</f>
        <v>66.428100000000001</v>
      </c>
      <c r="K786" s="53">
        <f>CHOOSE(CONTROL!$C$42, 66.6608, 66.6608) * CHOOSE(CONTROL!$C$21, $C$9, 100%, $E$9)</f>
        <v>66.660799999999995</v>
      </c>
      <c r="L786" s="14">
        <f>CHOOSE(CONTROL!$C$42, 67.2687, 67.2687) * CHOOSE(CONTROL!$C$21, $C$9, 100%, $E$9)</f>
        <v>67.268699999999995</v>
      </c>
      <c r="M786" s="14">
        <f>CHOOSE(CONTROL!$C$42, 65.0747, 65.0747) * CHOOSE(CONTROL!$C$21, $C$9, 100%, $E$9)</f>
        <v>65.074700000000007</v>
      </c>
      <c r="N786" s="14">
        <f>CHOOSE(CONTROL!$C$42, 65.0909, 65.0909) * CHOOSE(CONTROL!$C$21, $C$9, 100%, $E$9)</f>
        <v>65.090900000000005</v>
      </c>
      <c r="O786" s="14">
        <f>CHOOSE(CONTROL!$C$42, 65.3231, 65.3231) * CHOOSE(CONTROL!$C$21, $C$9, 100%, $E$9)</f>
        <v>65.323099999999997</v>
      </c>
      <c r="P786" s="14">
        <f>CHOOSE(CONTROL!$C$42, 65.3024, 65.3024) * CHOOSE(CONTROL!$C$21, $C$9, 100%, $E$9)</f>
        <v>65.302400000000006</v>
      </c>
      <c r="Q786" s="14">
        <f>CHOOSE(CONTROL!$C$42, 65.9178, 65.9178) * CHOOSE(CONTROL!$C$21, $C$9, 100%, $E$9)</f>
        <v>65.9178</v>
      </c>
      <c r="R786" s="14">
        <f>CHOOSE(CONTROL!$C$42, 66.6696, 66.6696) * CHOOSE(CONTROL!$C$21, $C$9, 100%, $E$9)</f>
        <v>66.669600000000003</v>
      </c>
      <c r="S786" s="14">
        <f>CHOOSE(CONTROL!$C$42, 63.8398, 63.8398) * CHOOSE(CONTROL!$C$21, $C$9, 100%, $E$9)</f>
        <v>63.839799999999997</v>
      </c>
      <c r="T7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7">
        <f>(1000*CHOOSE(CONTROL!$C$42, 695, 695)*CHOOSE(CONTROL!$C$42, 0.5599, 0.5599)*CHOOSE(CONTROL!$C$42, 30, 30))/1000000</f>
        <v>11.673914999999997</v>
      </c>
      <c r="V786" s="57">
        <f>(1000*CHOOSE(CONTROL!$C$42, 500, 500)*CHOOSE(CONTROL!$C$42, 0.275, 0.275)*CHOOSE(CONTROL!$C$42, 30, 30))/1000000</f>
        <v>4.125</v>
      </c>
      <c r="W786" s="57">
        <f>(1000*CHOOSE(CONTROL!$C$42, 0.1146, 0.1146)*CHOOSE(CONTROL!$C$42, 121.5, 121.5)*CHOOSE(CONTROL!$C$42, 30, 30))/1000000</f>
        <v>0.417717</v>
      </c>
      <c r="X786" s="57">
        <f>(30*0.1790888*245000/1000000)+(30*0.2374*100000/1000000)</f>
        <v>2.0285026799999999</v>
      </c>
      <c r="Y786" s="57"/>
      <c r="Z786" s="14"/>
      <c r="AA786" s="56"/>
      <c r="AB786" s="50">
        <f>(B786*194.205+C786*267.466+D786*133.845+E786*53.484+F786*40+G786*185+H786*0+I786*100+J786*300)/(194.205+267.466+133.845+53.484+0+40+185+100+300)</f>
        <v>66.495064052276291</v>
      </c>
      <c r="AC786" s="45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65.220979136690659</v>
      </c>
    </row>
    <row r="787" spans="1:29" ht="15.75" x14ac:dyDescent="0.25">
      <c r="A787" s="32">
        <v>64862</v>
      </c>
      <c r="B787" s="14">
        <f>CHOOSE(CONTROL!$C$42, 65.174, 65.174) * CHOOSE(CONTROL!$C$21, $C$9, 100%, $E$9)</f>
        <v>65.174000000000007</v>
      </c>
      <c r="C787" s="14">
        <f>CHOOSE(CONTROL!$C$42, 65.182, 65.182) * CHOOSE(CONTROL!$C$21, $C$9, 100%, $E$9)</f>
        <v>65.182000000000002</v>
      </c>
      <c r="D787" s="14">
        <f>CHOOSE(CONTROL!$C$42, 65.387, 65.387) * CHOOSE(CONTROL!$C$21, $C$9, 100%, $E$9)</f>
        <v>65.387</v>
      </c>
      <c r="E787" s="14">
        <f>CHOOSE(CONTROL!$C$42, 65.4185, 65.4185) * CHOOSE(CONTROL!$C$21, $C$9, 100%, $E$9)</f>
        <v>65.418499999999995</v>
      </c>
      <c r="F787" s="14">
        <f>CHOOSE(CONTROL!$C$42, 65.161, 65.161)*CHOOSE(CONTROL!$C$21, $C$9, 100%, $E$9)</f>
        <v>65.161000000000001</v>
      </c>
      <c r="G787" s="14">
        <f>CHOOSE(CONTROL!$C$42, 65.1776, 65.1776)*CHOOSE(CONTROL!$C$21, $C$9, 100%, $E$9)</f>
        <v>65.177599999999998</v>
      </c>
      <c r="H787" s="14">
        <f>CHOOSE(CONTROL!$C$42, 65.4071, 65.4071) * CHOOSE(CONTROL!$C$21, $C$9, 100%, $E$9)</f>
        <v>65.4071</v>
      </c>
      <c r="I787" s="14">
        <f>CHOOSE(CONTROL!$C$42, 65.3862, 65.3862)* CHOOSE(CONTROL!$C$21, $C$9, 100%, $E$9)</f>
        <v>65.386200000000002</v>
      </c>
      <c r="J787" s="14">
        <f>CHOOSE(CONTROL!$C$42, 65.154, 65.154)* CHOOSE(CONTROL!$C$21, $C$9, 100%, $E$9)</f>
        <v>65.153999999999996</v>
      </c>
      <c r="K787" s="53">
        <f>CHOOSE(CONTROL!$C$42, 65.3823, 65.3823) * CHOOSE(CONTROL!$C$21, $C$9, 100%, $E$9)</f>
        <v>65.382300000000001</v>
      </c>
      <c r="L787" s="14">
        <f>CHOOSE(CONTROL!$C$42, 65.9941, 65.9941) * CHOOSE(CONTROL!$C$21, $C$9, 100%, $E$9)</f>
        <v>65.994100000000003</v>
      </c>
      <c r="M787" s="14">
        <f>CHOOSE(CONTROL!$C$42, 63.8267, 63.8267) * CHOOSE(CONTROL!$C$21, $C$9, 100%, $E$9)</f>
        <v>63.826700000000002</v>
      </c>
      <c r="N787" s="14">
        <f>CHOOSE(CONTROL!$C$42, 63.843, 63.843) * CHOOSE(CONTROL!$C$21, $C$9, 100%, $E$9)</f>
        <v>63.843000000000004</v>
      </c>
      <c r="O787" s="14">
        <f>CHOOSE(CONTROL!$C$42, 64.0746, 64.0746) * CHOOSE(CONTROL!$C$21, $C$9, 100%, $E$9)</f>
        <v>64.074600000000004</v>
      </c>
      <c r="P787" s="14">
        <f>CHOOSE(CONTROL!$C$42, 64.0501, 64.0501) * CHOOSE(CONTROL!$C$21, $C$9, 100%, $E$9)</f>
        <v>64.0501</v>
      </c>
      <c r="Q787" s="14">
        <f>CHOOSE(CONTROL!$C$42, 64.6693, 64.6693) * CHOOSE(CONTROL!$C$21, $C$9, 100%, $E$9)</f>
        <v>64.669300000000007</v>
      </c>
      <c r="R787" s="14">
        <f>CHOOSE(CONTROL!$C$42, 65.418, 65.418) * CHOOSE(CONTROL!$C$21, $C$9, 100%, $E$9)</f>
        <v>65.418000000000006</v>
      </c>
      <c r="S787" s="14">
        <f>CHOOSE(CONTROL!$C$42, 62.6151, 62.6151) * CHOOSE(CONTROL!$C$21, $C$9, 100%, $E$9)</f>
        <v>62.615099999999998</v>
      </c>
      <c r="T7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7">
        <f>(1000*CHOOSE(CONTROL!$C$42, 695, 695)*CHOOSE(CONTROL!$C$42, 0.5599, 0.5599)*CHOOSE(CONTROL!$C$42, 31, 31))/1000000</f>
        <v>12.063045499999998</v>
      </c>
      <c r="V787" s="57">
        <f>(1000*CHOOSE(CONTROL!$C$42, 500, 500)*CHOOSE(CONTROL!$C$42, 0.275, 0.275)*CHOOSE(CONTROL!$C$42, 31, 31))/1000000</f>
        <v>4.2625000000000002</v>
      </c>
      <c r="W787" s="57">
        <f>(1000*CHOOSE(CONTROL!$C$42, 0.1146, 0.1146)*CHOOSE(CONTROL!$C$42, 121.5, 121.5)*CHOOSE(CONTROL!$C$42, 31, 31))/1000000</f>
        <v>0.43164089999999994</v>
      </c>
      <c r="X787" s="57">
        <f>(31*0.1790888*245000/1000000)+(31*0.2374*100000/1000000)</f>
        <v>2.0961194359999999</v>
      </c>
      <c r="Y787" s="57"/>
      <c r="Z787" s="14"/>
      <c r="AA787" s="56"/>
      <c r="AB787" s="50">
        <f>(B787*194.205+C787*267.466+D787*133.845+E787*53.484+F787*40+G787*185+H787*0+I787*100+J787*300)/(194.205+267.466+133.845+53.484+0+40+185+100+300)</f>
        <v>65.220382693092617</v>
      </c>
      <c r="AC787" s="45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63.972139568345327</v>
      </c>
    </row>
    <row r="788" spans="1:29" ht="15.75" x14ac:dyDescent="0.25">
      <c r="A788" s="32">
        <v>64893</v>
      </c>
      <c r="B788" s="14">
        <f>CHOOSE(CONTROL!$C$42, 61.9553, 61.9553) * CHOOSE(CONTROL!$C$21, $C$9, 100%, $E$9)</f>
        <v>61.955300000000001</v>
      </c>
      <c r="C788" s="14">
        <f>CHOOSE(CONTROL!$C$42, 61.9633, 61.9633) * CHOOSE(CONTROL!$C$21, $C$9, 100%, $E$9)</f>
        <v>61.963299999999997</v>
      </c>
      <c r="D788" s="14">
        <f>CHOOSE(CONTROL!$C$42, 62.1683, 62.1683) * CHOOSE(CONTROL!$C$21, $C$9, 100%, $E$9)</f>
        <v>62.168300000000002</v>
      </c>
      <c r="E788" s="14">
        <f>CHOOSE(CONTROL!$C$42, 62.1998, 62.1998) * CHOOSE(CONTROL!$C$21, $C$9, 100%, $E$9)</f>
        <v>62.199800000000003</v>
      </c>
      <c r="F788" s="14">
        <f>CHOOSE(CONTROL!$C$42, 61.9425, 61.9425)*CHOOSE(CONTROL!$C$21, $C$9, 100%, $E$9)</f>
        <v>61.942500000000003</v>
      </c>
      <c r="G788" s="14">
        <f>CHOOSE(CONTROL!$C$42, 61.9592, 61.9592)*CHOOSE(CONTROL!$C$21, $C$9, 100%, $E$9)</f>
        <v>61.959200000000003</v>
      </c>
      <c r="H788" s="14">
        <f>CHOOSE(CONTROL!$C$42, 62.1884, 62.1884) * CHOOSE(CONTROL!$C$21, $C$9, 100%, $E$9)</f>
        <v>62.188400000000001</v>
      </c>
      <c r="I788" s="14">
        <f>CHOOSE(CONTROL!$C$42, 62.1574, 62.1574)* CHOOSE(CONTROL!$C$21, $C$9, 100%, $E$9)</f>
        <v>62.157400000000003</v>
      </c>
      <c r="J788" s="14">
        <f>CHOOSE(CONTROL!$C$42, 61.9355, 61.9355)* CHOOSE(CONTROL!$C$21, $C$9, 100%, $E$9)</f>
        <v>61.935499999999998</v>
      </c>
      <c r="K788" s="53">
        <f>CHOOSE(CONTROL!$C$42, 62.1535, 62.1535) * CHOOSE(CONTROL!$C$21, $C$9, 100%, $E$9)</f>
        <v>62.153500000000001</v>
      </c>
      <c r="L788" s="14">
        <f>CHOOSE(CONTROL!$C$42, 62.7754, 62.7754) * CHOOSE(CONTROL!$C$21, $C$9, 100%, $E$9)</f>
        <v>62.775399999999998</v>
      </c>
      <c r="M788" s="14">
        <f>CHOOSE(CONTROL!$C$42, 60.6742, 60.6742) * CHOOSE(CONTROL!$C$21, $C$9, 100%, $E$9)</f>
        <v>60.674199999999999</v>
      </c>
      <c r="N788" s="14">
        <f>CHOOSE(CONTROL!$C$42, 60.6905, 60.6905) * CHOOSE(CONTROL!$C$21, $C$9, 100%, $E$9)</f>
        <v>60.6905</v>
      </c>
      <c r="O788" s="14">
        <f>CHOOSE(CONTROL!$C$42, 60.9219, 60.9219) * CHOOSE(CONTROL!$C$21, $C$9, 100%, $E$9)</f>
        <v>60.921900000000001</v>
      </c>
      <c r="P788" s="14">
        <f>CHOOSE(CONTROL!$C$42, 60.8877, 60.8877) * CHOOSE(CONTROL!$C$21, $C$9, 100%, $E$9)</f>
        <v>60.887700000000002</v>
      </c>
      <c r="Q788" s="14">
        <f>CHOOSE(CONTROL!$C$42, 61.5166, 61.5166) * CHOOSE(CONTROL!$C$21, $C$9, 100%, $E$9)</f>
        <v>61.516599999999997</v>
      </c>
      <c r="R788" s="14">
        <f>CHOOSE(CONTROL!$C$42, 62.2574, 62.2574) * CHOOSE(CONTROL!$C$21, $C$9, 100%, $E$9)</f>
        <v>62.257399999999997</v>
      </c>
      <c r="S788" s="14">
        <f>CHOOSE(CONTROL!$C$42, 59.5222, 59.5222) * CHOOSE(CONTROL!$C$21, $C$9, 100%, $E$9)</f>
        <v>59.522199999999998</v>
      </c>
      <c r="T7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7">
        <f>(1000*CHOOSE(CONTROL!$C$42, 695, 695)*CHOOSE(CONTROL!$C$42, 0.5599, 0.5599)*CHOOSE(CONTROL!$C$42, 31, 31))/1000000</f>
        <v>12.063045499999998</v>
      </c>
      <c r="V788" s="57">
        <f>(1000*CHOOSE(CONTROL!$C$42, 500, 500)*CHOOSE(CONTROL!$C$42, 0.275, 0.275)*CHOOSE(CONTROL!$C$42, 31, 31))/1000000</f>
        <v>4.2625000000000002</v>
      </c>
      <c r="W788" s="57">
        <f>(1000*CHOOSE(CONTROL!$C$42, 0.1146, 0.1146)*CHOOSE(CONTROL!$C$42, 121.5, 121.5)*CHOOSE(CONTROL!$C$42, 31, 31))/1000000</f>
        <v>0.43164089999999994</v>
      </c>
      <c r="X788" s="57">
        <f>(31*0.1790888*245000/1000000)+(31*0.2374*100000/1000000)</f>
        <v>2.0961194359999999</v>
      </c>
      <c r="Y788" s="57"/>
      <c r="Z788" s="14"/>
      <c r="AA788" s="56"/>
      <c r="AB788" s="50">
        <f>(B788*194.205+C788*267.466+D788*133.845+E788*53.484+F788*40+G788*185+H788*0+I788*100+J788*300)/(194.205+267.466+133.845+53.484+0+40+185+100+300)</f>
        <v>62.000986853218215</v>
      </c>
      <c r="AC788" s="45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60.818124460431655</v>
      </c>
    </row>
    <row r="789" spans="1:29" ht="15.75" x14ac:dyDescent="0.25">
      <c r="A789" s="32">
        <v>64923</v>
      </c>
      <c r="B789" s="14">
        <f>CHOOSE(CONTROL!$C$42, 58.0223, 58.0223) * CHOOSE(CONTROL!$C$21, $C$9, 100%, $E$9)</f>
        <v>58.022300000000001</v>
      </c>
      <c r="C789" s="14">
        <f>CHOOSE(CONTROL!$C$42, 58.0303, 58.0303) * CHOOSE(CONTROL!$C$21, $C$9, 100%, $E$9)</f>
        <v>58.030299999999997</v>
      </c>
      <c r="D789" s="14">
        <f>CHOOSE(CONTROL!$C$42, 58.2353, 58.2353) * CHOOSE(CONTROL!$C$21, $C$9, 100%, $E$9)</f>
        <v>58.235300000000002</v>
      </c>
      <c r="E789" s="14">
        <f>CHOOSE(CONTROL!$C$42, 58.2667, 58.2667) * CHOOSE(CONTROL!$C$21, $C$9, 100%, $E$9)</f>
        <v>58.2667</v>
      </c>
      <c r="F789" s="14">
        <f>CHOOSE(CONTROL!$C$42, 58.0094, 58.0094)*CHOOSE(CONTROL!$C$21, $C$9, 100%, $E$9)</f>
        <v>58.009399999999999</v>
      </c>
      <c r="G789" s="14">
        <f>CHOOSE(CONTROL!$C$42, 58.0261, 58.0261)*CHOOSE(CONTROL!$C$21, $C$9, 100%, $E$9)</f>
        <v>58.0261</v>
      </c>
      <c r="H789" s="14">
        <f>CHOOSE(CONTROL!$C$42, 58.2554, 58.2554) * CHOOSE(CONTROL!$C$21, $C$9, 100%, $E$9)</f>
        <v>58.255400000000002</v>
      </c>
      <c r="I789" s="14">
        <f>CHOOSE(CONTROL!$C$42, 58.212, 58.212)* CHOOSE(CONTROL!$C$21, $C$9, 100%, $E$9)</f>
        <v>58.212000000000003</v>
      </c>
      <c r="J789" s="14">
        <f>CHOOSE(CONTROL!$C$42, 58.0024, 58.0024)* CHOOSE(CONTROL!$C$21, $C$9, 100%, $E$9)</f>
        <v>58.002400000000002</v>
      </c>
      <c r="K789" s="53">
        <f>CHOOSE(CONTROL!$C$42, 58.2081, 58.2081) * CHOOSE(CONTROL!$C$21, $C$9, 100%, $E$9)</f>
        <v>58.208100000000002</v>
      </c>
      <c r="L789" s="14">
        <f>CHOOSE(CONTROL!$C$42, 58.8424, 58.8424) * CHOOSE(CONTROL!$C$21, $C$9, 100%, $E$9)</f>
        <v>58.842399999999998</v>
      </c>
      <c r="M789" s="14">
        <f>CHOOSE(CONTROL!$C$42, 56.8217, 56.8217) * CHOOSE(CONTROL!$C$21, $C$9, 100%, $E$9)</f>
        <v>56.8217</v>
      </c>
      <c r="N789" s="14">
        <f>CHOOSE(CONTROL!$C$42, 56.838, 56.838) * CHOOSE(CONTROL!$C$21, $C$9, 100%, $E$9)</f>
        <v>56.838000000000001</v>
      </c>
      <c r="O789" s="14">
        <f>CHOOSE(CONTROL!$C$42, 57.0694, 57.0694) * CHOOSE(CONTROL!$C$21, $C$9, 100%, $E$9)</f>
        <v>57.069400000000002</v>
      </c>
      <c r="P789" s="14">
        <f>CHOOSE(CONTROL!$C$42, 57.0234, 57.0234) * CHOOSE(CONTROL!$C$21, $C$9, 100%, $E$9)</f>
        <v>57.023400000000002</v>
      </c>
      <c r="Q789" s="14">
        <f>CHOOSE(CONTROL!$C$42, 57.6641, 57.6641) * CHOOSE(CONTROL!$C$21, $C$9, 100%, $E$9)</f>
        <v>57.664099999999998</v>
      </c>
      <c r="R789" s="14">
        <f>CHOOSE(CONTROL!$C$42, 58.3953, 58.3953) * CHOOSE(CONTROL!$C$21, $C$9, 100%, $E$9)</f>
        <v>58.395299999999999</v>
      </c>
      <c r="S789" s="14">
        <f>CHOOSE(CONTROL!$C$42, 55.743, 55.743) * CHOOSE(CONTROL!$C$21, $C$9, 100%, $E$9)</f>
        <v>55.743000000000002</v>
      </c>
      <c r="T7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7">
        <f>(1000*CHOOSE(CONTROL!$C$42, 695, 695)*CHOOSE(CONTROL!$C$42, 0.5599, 0.5599)*CHOOSE(CONTROL!$C$42, 30, 30))/1000000</f>
        <v>11.673914999999997</v>
      </c>
      <c r="V789" s="57">
        <f>(1000*CHOOSE(CONTROL!$C$42, 500, 500)*CHOOSE(CONTROL!$C$42, 0.275, 0.275)*CHOOSE(CONTROL!$C$42, 30, 30))/1000000</f>
        <v>4.125</v>
      </c>
      <c r="W789" s="57">
        <f>(1000*CHOOSE(CONTROL!$C$42, 0.1146, 0.1146)*CHOOSE(CONTROL!$C$42, 121.5, 121.5)*CHOOSE(CONTROL!$C$42, 30, 30))/1000000</f>
        <v>0.417717</v>
      </c>
      <c r="X789" s="57">
        <f>(30*0.1790888*245000/1000000)+(30*0.2374*100000/1000000)</f>
        <v>2.0285026799999999</v>
      </c>
      <c r="Y789" s="57"/>
      <c r="Z789" s="14"/>
      <c r="AA789" s="56"/>
      <c r="AB789" s="50">
        <f>(B789*194.205+C789*267.466+D789*133.845+E789*53.484+F789*40+G789*185+H789*0+I789*100+J789*300)/(194.205+267.466+133.845+53.484+0+40+185+100+300)</f>
        <v>58.066968133908951</v>
      </c>
      <c r="AC789" s="45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56.963926618705038</v>
      </c>
    </row>
    <row r="790" spans="1:29" ht="15.75" x14ac:dyDescent="0.25">
      <c r="A790" s="32">
        <v>64954</v>
      </c>
      <c r="B790" s="14">
        <f>CHOOSE(CONTROL!$C$42, 56.8427, 56.8427) * CHOOSE(CONTROL!$C$21, $C$9, 100%, $E$9)</f>
        <v>56.842700000000001</v>
      </c>
      <c r="C790" s="14">
        <f>CHOOSE(CONTROL!$C$42, 56.848, 56.848) * CHOOSE(CONTROL!$C$21, $C$9, 100%, $E$9)</f>
        <v>56.847999999999999</v>
      </c>
      <c r="D790" s="14">
        <f>CHOOSE(CONTROL!$C$42, 57.0579, 57.0579) * CHOOSE(CONTROL!$C$21, $C$9, 100%, $E$9)</f>
        <v>57.057899999999997</v>
      </c>
      <c r="E790" s="14">
        <f>CHOOSE(CONTROL!$C$42, 57.087, 57.087) * CHOOSE(CONTROL!$C$21, $C$9, 100%, $E$9)</f>
        <v>57.087000000000003</v>
      </c>
      <c r="F790" s="14">
        <f>CHOOSE(CONTROL!$C$42, 56.8319, 56.8319)*CHOOSE(CONTROL!$C$21, $C$9, 100%, $E$9)</f>
        <v>56.831899999999997</v>
      </c>
      <c r="G790" s="14">
        <f>CHOOSE(CONTROL!$C$42, 56.8482, 56.8482)*CHOOSE(CONTROL!$C$21, $C$9, 100%, $E$9)</f>
        <v>56.848199999999999</v>
      </c>
      <c r="H790" s="14">
        <f>CHOOSE(CONTROL!$C$42, 57.0775, 57.0775) * CHOOSE(CONTROL!$C$21, $C$9, 100%, $E$9)</f>
        <v>57.077500000000001</v>
      </c>
      <c r="I790" s="14">
        <f>CHOOSE(CONTROL!$C$42, 57.0305, 57.0305)* CHOOSE(CONTROL!$C$21, $C$9, 100%, $E$9)</f>
        <v>57.030500000000004</v>
      </c>
      <c r="J790" s="14">
        <f>CHOOSE(CONTROL!$C$42, 56.8249, 56.8249)* CHOOSE(CONTROL!$C$21, $C$9, 100%, $E$9)</f>
        <v>56.8249</v>
      </c>
      <c r="K790" s="53">
        <f>CHOOSE(CONTROL!$C$42, 57.0266, 57.0266) * CHOOSE(CONTROL!$C$21, $C$9, 100%, $E$9)</f>
        <v>57.026600000000002</v>
      </c>
      <c r="L790" s="14">
        <f>CHOOSE(CONTROL!$C$42, 57.6645, 57.6645) * CHOOSE(CONTROL!$C$21, $C$9, 100%, $E$9)</f>
        <v>57.664499999999997</v>
      </c>
      <c r="M790" s="14">
        <f>CHOOSE(CONTROL!$C$42, 55.6683, 55.6683) * CHOOSE(CONTROL!$C$21, $C$9, 100%, $E$9)</f>
        <v>55.668300000000002</v>
      </c>
      <c r="N790" s="14">
        <f>CHOOSE(CONTROL!$C$42, 55.6843, 55.6843) * CHOOSE(CONTROL!$C$21, $C$9, 100%, $E$9)</f>
        <v>55.6843</v>
      </c>
      <c r="O790" s="14">
        <f>CHOOSE(CONTROL!$C$42, 55.9157, 55.9157) * CHOOSE(CONTROL!$C$21, $C$9, 100%, $E$9)</f>
        <v>55.915700000000001</v>
      </c>
      <c r="P790" s="14">
        <f>CHOOSE(CONTROL!$C$42, 55.8662, 55.8662) * CHOOSE(CONTROL!$C$21, $C$9, 100%, $E$9)</f>
        <v>55.866199999999999</v>
      </c>
      <c r="Q790" s="14">
        <f>CHOOSE(CONTROL!$C$42, 56.5104, 56.5104) * CHOOSE(CONTROL!$C$21, $C$9, 100%, $E$9)</f>
        <v>56.510399999999997</v>
      </c>
      <c r="R790" s="14">
        <f>CHOOSE(CONTROL!$C$42, 57.2387, 57.2387) * CHOOSE(CONTROL!$C$21, $C$9, 100%, $E$9)</f>
        <v>57.238700000000001</v>
      </c>
      <c r="S790" s="14">
        <f>CHOOSE(CONTROL!$C$42, 54.6112, 54.6112) * CHOOSE(CONTROL!$C$21, $C$9, 100%, $E$9)</f>
        <v>54.611199999999997</v>
      </c>
      <c r="T7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7">
        <f>(1000*CHOOSE(CONTROL!$C$42, 695, 695)*CHOOSE(CONTROL!$C$42, 0.5599, 0.5599)*CHOOSE(CONTROL!$C$42, 31, 31))/1000000</f>
        <v>12.063045499999998</v>
      </c>
      <c r="V790" s="57">
        <f>(1000*CHOOSE(CONTROL!$C$42, 500, 500)*CHOOSE(CONTROL!$C$42, 0.275, 0.275)*CHOOSE(CONTROL!$C$42, 31, 31))/1000000</f>
        <v>4.2625000000000002</v>
      </c>
      <c r="W790" s="57">
        <f>(1000*CHOOSE(CONTROL!$C$42, 0.1146, 0.1146)*CHOOSE(CONTROL!$C$42, 121.5, 121.5)*CHOOSE(CONTROL!$C$42, 31, 31))/1000000</f>
        <v>0.43164089999999994</v>
      </c>
      <c r="X790" s="57">
        <f>(31*0.1790888*245000/1000000)+(31*0.2374*100000/1000000)</f>
        <v>2.0961194359999999</v>
      </c>
      <c r="Y790" s="57"/>
      <c r="Z790" s="14"/>
      <c r="AA790" s="56"/>
      <c r="AB790" s="50">
        <f>(B790*131.881+C790*277.167+D790*79.08+E790*125.872+F790*40+G790*185+H790*0+I790*100+J790*300)/(131.881+277.167+79.08+125.872+0+40+185+100+300)</f>
        <v>56.893759750363195</v>
      </c>
      <c r="AC790" s="45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55.809826618705038</v>
      </c>
    </row>
    <row r="791" spans="1:29" ht="15.75" x14ac:dyDescent="0.25">
      <c r="A791" s="32">
        <v>64984</v>
      </c>
      <c r="B791" s="14">
        <f>CHOOSE(CONTROL!$C$42, 58.3395, 58.3395) * CHOOSE(CONTROL!$C$21, $C$9, 100%, $E$9)</f>
        <v>58.339500000000001</v>
      </c>
      <c r="C791" s="14">
        <f>CHOOSE(CONTROL!$C$42, 58.3445, 58.3445) * CHOOSE(CONTROL!$C$21, $C$9, 100%, $E$9)</f>
        <v>58.344499999999996</v>
      </c>
      <c r="D791" s="14">
        <f>CHOOSE(CONTROL!$C$42, 58.4084, 58.4084) * CHOOSE(CONTROL!$C$21, $C$9, 100%, $E$9)</f>
        <v>58.4084</v>
      </c>
      <c r="E791" s="14">
        <f>CHOOSE(CONTROL!$C$42, 58.4425, 58.4425) * CHOOSE(CONTROL!$C$21, $C$9, 100%, $E$9)</f>
        <v>58.442500000000003</v>
      </c>
      <c r="F791" s="14">
        <f>CHOOSE(CONTROL!$C$42, 58.3417, 58.3417)*CHOOSE(CONTROL!$C$21, $C$9, 100%, $E$9)</f>
        <v>58.341700000000003</v>
      </c>
      <c r="G791" s="14">
        <f>CHOOSE(CONTROL!$C$42, 58.3584, 58.3584)*CHOOSE(CONTROL!$C$21, $C$9, 100%, $E$9)</f>
        <v>58.358400000000003</v>
      </c>
      <c r="H791" s="14">
        <f>CHOOSE(CONTROL!$C$42, 58.4317, 58.4317) * CHOOSE(CONTROL!$C$21, $C$9, 100%, $E$9)</f>
        <v>58.431699999999999</v>
      </c>
      <c r="I791" s="14">
        <f>CHOOSE(CONTROL!$C$42, 58.5361, 58.5361)* CHOOSE(CONTROL!$C$21, $C$9, 100%, $E$9)</f>
        <v>58.536099999999998</v>
      </c>
      <c r="J791" s="14">
        <f>CHOOSE(CONTROL!$C$42, 58.3347, 58.3347)* CHOOSE(CONTROL!$C$21, $C$9, 100%, $E$9)</f>
        <v>58.334699999999998</v>
      </c>
      <c r="K791" s="53">
        <f>CHOOSE(CONTROL!$C$42, 58.5322, 58.5322) * CHOOSE(CONTROL!$C$21, $C$9, 100%, $E$9)</f>
        <v>58.532200000000003</v>
      </c>
      <c r="L791" s="14">
        <f>CHOOSE(CONTROL!$C$42, 59.0187, 59.0187) * CHOOSE(CONTROL!$C$21, $C$9, 100%, $E$9)</f>
        <v>59.018700000000003</v>
      </c>
      <c r="M791" s="14">
        <f>CHOOSE(CONTROL!$C$42, 57.1472, 57.1472) * CHOOSE(CONTROL!$C$21, $C$9, 100%, $E$9)</f>
        <v>57.147199999999998</v>
      </c>
      <c r="N791" s="14">
        <f>CHOOSE(CONTROL!$C$42, 57.1635, 57.1635) * CHOOSE(CONTROL!$C$21, $C$9, 100%, $E$9)</f>
        <v>57.163499999999999</v>
      </c>
      <c r="O791" s="14">
        <f>CHOOSE(CONTROL!$C$42, 57.2421, 57.2421) * CHOOSE(CONTROL!$C$21, $C$9, 100%, $E$9)</f>
        <v>57.242100000000001</v>
      </c>
      <c r="P791" s="14">
        <f>CHOOSE(CONTROL!$C$42, 57.3408, 57.3408) * CHOOSE(CONTROL!$C$21, $C$9, 100%, $E$9)</f>
        <v>57.340800000000002</v>
      </c>
      <c r="Q791" s="14">
        <f>CHOOSE(CONTROL!$C$42, 57.8368, 57.8368) * CHOOSE(CONTROL!$C$21, $C$9, 100%, $E$9)</f>
        <v>57.836799999999997</v>
      </c>
      <c r="R791" s="14">
        <f>CHOOSE(CONTROL!$C$42, 58.5684, 58.5684) * CHOOSE(CONTROL!$C$21, $C$9, 100%, $E$9)</f>
        <v>58.568399999999997</v>
      </c>
      <c r="S791" s="14">
        <f>CHOOSE(CONTROL!$C$42, 56.0499, 56.0499) * CHOOSE(CONTROL!$C$21, $C$9, 100%, $E$9)</f>
        <v>56.049900000000001</v>
      </c>
      <c r="T7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7">
        <f>(1000*CHOOSE(CONTROL!$C$42, 695, 695)*CHOOSE(CONTROL!$C$42, 0.5599, 0.5599)*CHOOSE(CONTROL!$C$42, 30, 30))/1000000</f>
        <v>11.673914999999997</v>
      </c>
      <c r="V791" s="57">
        <f>(1000*CHOOSE(CONTROL!$C$42, 500, 500)*CHOOSE(CONTROL!$C$42, 0.275, 0.275)*CHOOSE(CONTROL!$C$42, 30, 30))/1000000</f>
        <v>4.125</v>
      </c>
      <c r="W791" s="57">
        <f>(1000*CHOOSE(CONTROL!$C$42, 0.1146, 0.1146)*CHOOSE(CONTROL!$C$42, 121.5, 121.5)*CHOOSE(CONTROL!$C$42, 30, 30))/1000000</f>
        <v>0.417717</v>
      </c>
      <c r="X791" s="57">
        <f>(30*0.1790888*100000/1000000)+(30*0.2374*100000/1000000)</f>
        <v>1.2494664</v>
      </c>
      <c r="Y791" s="57"/>
      <c r="Z791" s="14"/>
      <c r="AA791" s="56"/>
      <c r="AB791" s="50">
        <f>(B791*122.58+C791*297.941+D791*89.177+E791*40.302+F791*40+G791*160+H791*0+I791*100+J791*300)/(122.58+297.941+89.177+40.302+0+40+160+100+300)</f>
        <v>58.368297483739127</v>
      </c>
      <c r="AC791" s="45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57.219006474820141</v>
      </c>
    </row>
    <row r="792" spans="1:29" ht="15.75" x14ac:dyDescent="0.25">
      <c r="A792" s="32">
        <v>65015</v>
      </c>
      <c r="B792" s="14">
        <f>CHOOSE(CONTROL!$C$42, 62.3164, 62.3164) * CHOOSE(CONTROL!$C$21, $C$9, 100%, $E$9)</f>
        <v>62.316400000000002</v>
      </c>
      <c r="C792" s="14">
        <f>CHOOSE(CONTROL!$C$42, 62.3215, 62.3215) * CHOOSE(CONTROL!$C$21, $C$9, 100%, $E$9)</f>
        <v>62.3215</v>
      </c>
      <c r="D792" s="14">
        <f>CHOOSE(CONTROL!$C$42, 62.3853, 62.3853) * CHOOSE(CONTROL!$C$21, $C$9, 100%, $E$9)</f>
        <v>62.385300000000001</v>
      </c>
      <c r="E792" s="14">
        <f>CHOOSE(CONTROL!$C$42, 62.4194, 62.4194) * CHOOSE(CONTROL!$C$21, $C$9, 100%, $E$9)</f>
        <v>62.419400000000003</v>
      </c>
      <c r="F792" s="14">
        <f>CHOOSE(CONTROL!$C$42, 62.3207, 62.3207)*CHOOSE(CONTROL!$C$21, $C$9, 100%, $E$9)</f>
        <v>62.320700000000002</v>
      </c>
      <c r="G792" s="14">
        <f>CHOOSE(CONTROL!$C$42, 62.3379, 62.3379)*CHOOSE(CONTROL!$C$21, $C$9, 100%, $E$9)</f>
        <v>62.337899999999998</v>
      </c>
      <c r="H792" s="14">
        <f>CHOOSE(CONTROL!$C$42, 62.4086, 62.4086) * CHOOSE(CONTROL!$C$21, $C$9, 100%, $E$9)</f>
        <v>62.4086</v>
      </c>
      <c r="I792" s="14">
        <f>CHOOSE(CONTROL!$C$42, 62.5254, 62.5254)* CHOOSE(CONTROL!$C$21, $C$9, 100%, $E$9)</f>
        <v>62.525399999999998</v>
      </c>
      <c r="J792" s="14">
        <f>CHOOSE(CONTROL!$C$42, 62.3137, 62.3137)* CHOOSE(CONTROL!$C$21, $C$9, 100%, $E$9)</f>
        <v>62.313699999999997</v>
      </c>
      <c r="K792" s="53">
        <f>CHOOSE(CONTROL!$C$42, 62.5215, 62.5215) * CHOOSE(CONTROL!$C$21, $C$9, 100%, $E$9)</f>
        <v>62.521500000000003</v>
      </c>
      <c r="L792" s="14">
        <f>CHOOSE(CONTROL!$C$42, 62.9956, 62.9956) * CHOOSE(CONTROL!$C$21, $C$9, 100%, $E$9)</f>
        <v>62.995600000000003</v>
      </c>
      <c r="M792" s="14">
        <f>CHOOSE(CONTROL!$C$42, 61.0446, 61.0446) * CHOOSE(CONTROL!$C$21, $C$9, 100%, $E$9)</f>
        <v>61.044600000000003</v>
      </c>
      <c r="N792" s="14">
        <f>CHOOSE(CONTROL!$C$42, 61.0615, 61.0615) * CHOOSE(CONTROL!$C$21, $C$9, 100%, $E$9)</f>
        <v>61.061500000000002</v>
      </c>
      <c r="O792" s="14">
        <f>CHOOSE(CONTROL!$C$42, 61.1375, 61.1375) * CHOOSE(CONTROL!$C$21, $C$9, 100%, $E$9)</f>
        <v>61.137500000000003</v>
      </c>
      <c r="P792" s="14">
        <f>CHOOSE(CONTROL!$C$42, 61.2482, 61.2482) * CHOOSE(CONTROL!$C$21, $C$9, 100%, $E$9)</f>
        <v>61.248199999999997</v>
      </c>
      <c r="Q792" s="14">
        <f>CHOOSE(CONTROL!$C$42, 61.7322, 61.7322) * CHOOSE(CONTROL!$C$21, $C$9, 100%, $E$9)</f>
        <v>61.732199999999999</v>
      </c>
      <c r="R792" s="14">
        <f>CHOOSE(CONTROL!$C$42, 62.4736, 62.4736) * CHOOSE(CONTROL!$C$21, $C$9, 100%, $E$9)</f>
        <v>62.473599999999998</v>
      </c>
      <c r="S792" s="14">
        <f>CHOOSE(CONTROL!$C$42, 59.8713, 59.8713) * CHOOSE(CONTROL!$C$21, $C$9, 100%, $E$9)</f>
        <v>59.871299999999998</v>
      </c>
      <c r="T7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7">
        <f>(1000*CHOOSE(CONTROL!$C$42, 695, 695)*CHOOSE(CONTROL!$C$42, 0.5599, 0.5599)*CHOOSE(CONTROL!$C$42, 31, 31))/1000000</f>
        <v>12.063045499999998</v>
      </c>
      <c r="V792" s="57">
        <f>(1000*CHOOSE(CONTROL!$C$42, 500, 500)*CHOOSE(CONTROL!$C$42, 0.275, 0.275)*CHOOSE(CONTROL!$C$42, 31, 31))/1000000</f>
        <v>4.2625000000000002</v>
      </c>
      <c r="W792" s="57">
        <f>(1000*CHOOSE(CONTROL!$C$42, 0.1146, 0.1146)*CHOOSE(CONTROL!$C$42, 121.5, 121.5)*CHOOSE(CONTROL!$C$42, 31, 31))/1000000</f>
        <v>0.43164089999999994</v>
      </c>
      <c r="X792" s="57">
        <f>(31*0.1790888*100000/1000000)+(31*0.2374*100000/1000000)</f>
        <v>1.2911152800000001</v>
      </c>
      <c r="Y792" s="57"/>
      <c r="Z792" s="14"/>
      <c r="AA792" s="56"/>
      <c r="AB792" s="50">
        <f>(B792*122.58+C792*297.941+D792*89.177+E792*40.302+F792*40+G792*160+H792*0+I792*100+J792*300)/(122.58+297.941+89.177+40.302+0+40+160+100+300)</f>
        <v>62.347284261217396</v>
      </c>
      <c r="AC792" s="45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61.116973381294969</v>
      </c>
    </row>
    <row r="793" spans="1:29" ht="15.75" x14ac:dyDescent="0.25">
      <c r="A793" s="32">
        <v>65046</v>
      </c>
      <c r="B793" s="14">
        <f>CHOOSE(CONTROL!$C$42, 67.4202, 67.4202) * CHOOSE(CONTROL!$C$21, $C$9, 100%, $E$9)</f>
        <v>67.420199999999994</v>
      </c>
      <c r="C793" s="14">
        <f>CHOOSE(CONTROL!$C$42, 67.4252, 67.4252) * CHOOSE(CONTROL!$C$21, $C$9, 100%, $E$9)</f>
        <v>67.425200000000004</v>
      </c>
      <c r="D793" s="14">
        <f>CHOOSE(CONTROL!$C$42, 67.4839, 67.4839) * CHOOSE(CONTROL!$C$21, $C$9, 100%, $E$9)</f>
        <v>67.483900000000006</v>
      </c>
      <c r="E793" s="14">
        <f>CHOOSE(CONTROL!$C$42, 67.518, 67.518) * CHOOSE(CONTROL!$C$21, $C$9, 100%, $E$9)</f>
        <v>67.518000000000001</v>
      </c>
      <c r="F793" s="14">
        <f>CHOOSE(CONTROL!$C$42, 67.4193, 67.4193)*CHOOSE(CONTROL!$C$21, $C$9, 100%, $E$9)</f>
        <v>67.419300000000007</v>
      </c>
      <c r="G793" s="14">
        <f>CHOOSE(CONTROL!$C$42, 67.4357, 67.4357)*CHOOSE(CONTROL!$C$21, $C$9, 100%, $E$9)</f>
        <v>67.435699999999997</v>
      </c>
      <c r="H793" s="14">
        <f>CHOOSE(CONTROL!$C$42, 67.5072, 67.5072) * CHOOSE(CONTROL!$C$21, $C$9, 100%, $E$9)</f>
        <v>67.507199999999997</v>
      </c>
      <c r="I793" s="14">
        <f>CHOOSE(CONTROL!$C$42, 67.6416, 67.6416)* CHOOSE(CONTROL!$C$21, $C$9, 100%, $E$9)</f>
        <v>67.641599999999997</v>
      </c>
      <c r="J793" s="14">
        <f>CHOOSE(CONTROL!$C$42, 67.4123, 67.4123)* CHOOSE(CONTROL!$C$21, $C$9, 100%, $E$9)</f>
        <v>67.412300000000002</v>
      </c>
      <c r="K793" s="53">
        <f>CHOOSE(CONTROL!$C$42, 67.6377, 67.6377) * CHOOSE(CONTROL!$C$21, $C$9, 100%, $E$9)</f>
        <v>67.637699999999995</v>
      </c>
      <c r="L793" s="14">
        <f>CHOOSE(CONTROL!$C$42, 68.0942, 68.0942) * CHOOSE(CONTROL!$C$21, $C$9, 100%, $E$9)</f>
        <v>68.094200000000001</v>
      </c>
      <c r="M793" s="14">
        <f>CHOOSE(CONTROL!$C$42, 66.0388, 66.0388) * CHOOSE(CONTROL!$C$21, $C$9, 100%, $E$9)</f>
        <v>66.038799999999995</v>
      </c>
      <c r="N793" s="14">
        <f>CHOOSE(CONTROL!$C$42, 66.0548, 66.0548) * CHOOSE(CONTROL!$C$21, $C$9, 100%, $E$9)</f>
        <v>66.0548</v>
      </c>
      <c r="O793" s="14">
        <f>CHOOSE(CONTROL!$C$42, 66.1317, 66.1317) * CHOOSE(CONTROL!$C$21, $C$9, 100%, $E$9)</f>
        <v>66.131699999999995</v>
      </c>
      <c r="P793" s="14">
        <f>CHOOSE(CONTROL!$C$42, 66.2592, 66.2592) * CHOOSE(CONTROL!$C$21, $C$9, 100%, $E$9)</f>
        <v>66.259200000000007</v>
      </c>
      <c r="Q793" s="14">
        <f>CHOOSE(CONTROL!$C$42, 66.7264, 66.7264) * CHOOSE(CONTROL!$C$21, $C$9, 100%, $E$9)</f>
        <v>66.726399999999998</v>
      </c>
      <c r="R793" s="14">
        <f>CHOOSE(CONTROL!$C$42, 67.4802, 67.4802) * CHOOSE(CONTROL!$C$21, $C$9, 100%, $E$9)</f>
        <v>67.480199999999996</v>
      </c>
      <c r="S793" s="14">
        <f>CHOOSE(CONTROL!$C$42, 64.7755, 64.7755) * CHOOSE(CONTROL!$C$21, $C$9, 100%, $E$9)</f>
        <v>64.775499999999994</v>
      </c>
      <c r="T7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7">
        <f>(1000*CHOOSE(CONTROL!$C$42, 695, 695)*CHOOSE(CONTROL!$C$42, 0.5599, 0.5599)*CHOOSE(CONTROL!$C$42, 31, 31))/1000000</f>
        <v>12.063045499999998</v>
      </c>
      <c r="V793" s="57">
        <f>(1000*CHOOSE(CONTROL!$C$42, 500, 500)*CHOOSE(CONTROL!$C$42, 0.275, 0.275)*CHOOSE(CONTROL!$C$42, 31, 31))/1000000</f>
        <v>4.2625000000000002</v>
      </c>
      <c r="W793" s="57">
        <f>(1000*CHOOSE(CONTROL!$C$42, 0.1146, 0.1146)*CHOOSE(CONTROL!$C$42, 121.5, 121.5)*CHOOSE(CONTROL!$C$42, 31, 31))/1000000</f>
        <v>0.43164089999999994</v>
      </c>
      <c r="X793" s="57">
        <f>(31*0.1790888*100000/1000000)+(31*0.2374*100000/1000000)</f>
        <v>1.2911152800000001</v>
      </c>
      <c r="Y793" s="57"/>
      <c r="Z793" s="14"/>
      <c r="AA793" s="56"/>
      <c r="AB793" s="50">
        <f>(B793*122.58+C793*297.941+D793*89.177+E793*40.302+F793*40+G793*160+H793*0+I793*100+J793*300)/(122.58+297.941+89.177+40.302+0+40+160+100+300)</f>
        <v>67.449178970000006</v>
      </c>
      <c r="AC793" s="45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66.113538848920854</v>
      </c>
    </row>
    <row r="794" spans="1:29" ht="15.75" x14ac:dyDescent="0.25">
      <c r="A794" s="32">
        <v>65074</v>
      </c>
      <c r="B794" s="14">
        <f>CHOOSE(CONTROL!$C$42, 68.6202, 68.6202) * CHOOSE(CONTROL!$C$21, $C$9, 100%, $E$9)</f>
        <v>68.620199999999997</v>
      </c>
      <c r="C794" s="14">
        <f>CHOOSE(CONTROL!$C$42, 68.6253, 68.6253) * CHOOSE(CONTROL!$C$21, $C$9, 100%, $E$9)</f>
        <v>68.625299999999996</v>
      </c>
      <c r="D794" s="14">
        <f>CHOOSE(CONTROL!$C$42, 68.6839, 68.6839) * CHOOSE(CONTROL!$C$21, $C$9, 100%, $E$9)</f>
        <v>68.683899999999994</v>
      </c>
      <c r="E794" s="14">
        <f>CHOOSE(CONTROL!$C$42, 68.718, 68.718) * CHOOSE(CONTROL!$C$21, $C$9, 100%, $E$9)</f>
        <v>68.718000000000004</v>
      </c>
      <c r="F794" s="14">
        <f>CHOOSE(CONTROL!$C$42, 68.6193, 68.6193)*CHOOSE(CONTROL!$C$21, $C$9, 100%, $E$9)</f>
        <v>68.619299999999996</v>
      </c>
      <c r="G794" s="14">
        <f>CHOOSE(CONTROL!$C$42, 68.6356, 68.6356)*CHOOSE(CONTROL!$C$21, $C$9, 100%, $E$9)</f>
        <v>68.635599999999997</v>
      </c>
      <c r="H794" s="14">
        <f>CHOOSE(CONTROL!$C$42, 68.7072, 68.7072) * CHOOSE(CONTROL!$C$21, $C$9, 100%, $E$9)</f>
        <v>68.7072</v>
      </c>
      <c r="I794" s="14">
        <f>CHOOSE(CONTROL!$C$42, 68.8453, 68.8453)* CHOOSE(CONTROL!$C$21, $C$9, 100%, $E$9)</f>
        <v>68.845299999999995</v>
      </c>
      <c r="J794" s="14">
        <f>CHOOSE(CONTROL!$C$42, 68.6123, 68.6123)* CHOOSE(CONTROL!$C$21, $C$9, 100%, $E$9)</f>
        <v>68.612300000000005</v>
      </c>
      <c r="K794" s="53">
        <f>CHOOSE(CONTROL!$C$42, 68.8414, 68.8414) * CHOOSE(CONTROL!$C$21, $C$9, 100%, $E$9)</f>
        <v>68.841399999999993</v>
      </c>
      <c r="L794" s="14">
        <f>CHOOSE(CONTROL!$C$42, 69.2942, 69.2942) * CHOOSE(CONTROL!$C$21, $C$9, 100%, $E$9)</f>
        <v>69.294200000000004</v>
      </c>
      <c r="M794" s="14">
        <f>CHOOSE(CONTROL!$C$42, 67.2141, 67.2141) * CHOOSE(CONTROL!$C$21, $C$9, 100%, $E$9)</f>
        <v>67.214100000000002</v>
      </c>
      <c r="N794" s="14">
        <f>CHOOSE(CONTROL!$C$42, 67.2302, 67.2302) * CHOOSE(CONTROL!$C$21, $C$9, 100%, $E$9)</f>
        <v>67.230199999999996</v>
      </c>
      <c r="O794" s="14">
        <f>CHOOSE(CONTROL!$C$42, 67.3071, 67.3071) * CHOOSE(CONTROL!$C$21, $C$9, 100%, $E$9)</f>
        <v>67.307100000000005</v>
      </c>
      <c r="P794" s="14">
        <f>CHOOSE(CONTROL!$C$42, 67.4382, 67.4382) * CHOOSE(CONTROL!$C$21, $C$9, 100%, $E$9)</f>
        <v>67.438199999999995</v>
      </c>
      <c r="Q794" s="14">
        <f>CHOOSE(CONTROL!$C$42, 67.9018, 67.9018) * CHOOSE(CONTROL!$C$21, $C$9, 100%, $E$9)</f>
        <v>67.901799999999994</v>
      </c>
      <c r="R794" s="14">
        <f>CHOOSE(CONTROL!$C$42, 68.6586, 68.6586) * CHOOSE(CONTROL!$C$21, $C$9, 100%, $E$9)</f>
        <v>68.658600000000007</v>
      </c>
      <c r="S794" s="14">
        <f>CHOOSE(CONTROL!$C$42, 65.9286, 65.9286) * CHOOSE(CONTROL!$C$21, $C$9, 100%, $E$9)</f>
        <v>65.928600000000003</v>
      </c>
      <c r="T7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7">
        <f>(1000*CHOOSE(CONTROL!$C$42, 695, 695)*CHOOSE(CONTROL!$C$42, 0.5599, 0.5599)*CHOOSE(CONTROL!$C$42, 28, 28))/1000000</f>
        <v>10.895653999999999</v>
      </c>
      <c r="V794" s="57">
        <f>(1000*CHOOSE(CONTROL!$C$42, 500, 500)*CHOOSE(CONTROL!$C$42, 0.275, 0.275)*CHOOSE(CONTROL!$C$42, 28, 28))/1000000</f>
        <v>3.85</v>
      </c>
      <c r="W794" s="57">
        <f>(1000*CHOOSE(CONTROL!$C$42, 0.1146, 0.1146)*CHOOSE(CONTROL!$C$42, 121.5, 121.5)*CHOOSE(CONTROL!$C$42, 28, 28))/1000000</f>
        <v>0.38986920000000003</v>
      </c>
      <c r="X794" s="57">
        <f>(28*0.1790888*100000/1000000)+(28*0.2374*100000/1000000)</f>
        <v>1.16616864</v>
      </c>
      <c r="Y794" s="57"/>
      <c r="Z794" s="14"/>
      <c r="AA794" s="56"/>
      <c r="AB794" s="50">
        <f>(B794*122.58+C794*297.941+D794*89.177+E794*40.302+F794*40+G794*160+H794*0+I794*100+J794*300)/(122.58+297.941+89.177+40.302+0+40+160+100+300)</f>
        <v>68.649512704000003</v>
      </c>
      <c r="AC794" s="45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67.289422302158272</v>
      </c>
    </row>
    <row r="795" spans="1:29" ht="15.75" x14ac:dyDescent="0.25">
      <c r="A795" s="32">
        <v>65105</v>
      </c>
      <c r="B795" s="14">
        <f>CHOOSE(CONTROL!$C$42, 66.6723, 66.6723) * CHOOSE(CONTROL!$C$21, $C$9, 100%, $E$9)</f>
        <v>66.672300000000007</v>
      </c>
      <c r="C795" s="14">
        <f>CHOOSE(CONTROL!$C$42, 66.6774, 66.6774) * CHOOSE(CONTROL!$C$21, $C$9, 100%, $E$9)</f>
        <v>66.677400000000006</v>
      </c>
      <c r="D795" s="14">
        <f>CHOOSE(CONTROL!$C$42, 66.736, 66.736) * CHOOSE(CONTROL!$C$21, $C$9, 100%, $E$9)</f>
        <v>66.736000000000004</v>
      </c>
      <c r="E795" s="14">
        <f>CHOOSE(CONTROL!$C$42, 66.7701, 66.7701) * CHOOSE(CONTROL!$C$21, $C$9, 100%, $E$9)</f>
        <v>66.770099999999999</v>
      </c>
      <c r="F795" s="14">
        <f>CHOOSE(CONTROL!$C$42, 66.6709, 66.6709)*CHOOSE(CONTROL!$C$21, $C$9, 100%, $E$9)</f>
        <v>66.670900000000003</v>
      </c>
      <c r="G795" s="14">
        <f>CHOOSE(CONTROL!$C$42, 66.6871, 66.6871)*CHOOSE(CONTROL!$C$21, $C$9, 100%, $E$9)</f>
        <v>66.687100000000001</v>
      </c>
      <c r="H795" s="14">
        <f>CHOOSE(CONTROL!$C$42, 66.7593, 66.7593) * CHOOSE(CONTROL!$C$21, $C$9, 100%, $E$9)</f>
        <v>66.759299999999996</v>
      </c>
      <c r="I795" s="14">
        <f>CHOOSE(CONTROL!$C$42, 66.8913, 66.8913)* CHOOSE(CONTROL!$C$21, $C$9, 100%, $E$9)</f>
        <v>66.891300000000001</v>
      </c>
      <c r="J795" s="14">
        <f>CHOOSE(CONTROL!$C$42, 66.6639, 66.6639)* CHOOSE(CONTROL!$C$21, $C$9, 100%, $E$9)</f>
        <v>66.663899999999998</v>
      </c>
      <c r="K795" s="53">
        <f>CHOOSE(CONTROL!$C$42, 66.8874, 66.8874) * CHOOSE(CONTROL!$C$21, $C$9, 100%, $E$9)</f>
        <v>66.8874</v>
      </c>
      <c r="L795" s="14">
        <f>CHOOSE(CONTROL!$C$42, 67.3463, 67.3463) * CHOOSE(CONTROL!$C$21, $C$9, 100%, $E$9)</f>
        <v>67.346299999999999</v>
      </c>
      <c r="M795" s="14">
        <f>CHOOSE(CONTROL!$C$42, 65.3057, 65.3057) * CHOOSE(CONTROL!$C$21, $C$9, 100%, $E$9)</f>
        <v>65.305700000000002</v>
      </c>
      <c r="N795" s="14">
        <f>CHOOSE(CONTROL!$C$42, 65.3216, 65.3216) * CHOOSE(CONTROL!$C$21, $C$9, 100%, $E$9)</f>
        <v>65.321600000000004</v>
      </c>
      <c r="O795" s="14">
        <f>CHOOSE(CONTROL!$C$42, 65.3991, 65.3991) * CHOOSE(CONTROL!$C$21, $C$9, 100%, $E$9)</f>
        <v>65.399100000000004</v>
      </c>
      <c r="P795" s="14">
        <f>CHOOSE(CONTROL!$C$42, 65.5243, 65.5243) * CHOOSE(CONTROL!$C$21, $C$9, 100%, $E$9)</f>
        <v>65.524299999999997</v>
      </c>
      <c r="Q795" s="14">
        <f>CHOOSE(CONTROL!$C$42, 65.9938, 65.9938) * CHOOSE(CONTROL!$C$21, $C$9, 100%, $E$9)</f>
        <v>65.993799999999993</v>
      </c>
      <c r="R795" s="14">
        <f>CHOOSE(CONTROL!$C$42, 66.7458, 66.7458) * CHOOSE(CONTROL!$C$21, $C$9, 100%, $E$9)</f>
        <v>66.745800000000003</v>
      </c>
      <c r="S795" s="14">
        <f>CHOOSE(CONTROL!$C$42, 64.0569, 64.0569) * CHOOSE(CONTROL!$C$21, $C$9, 100%, $E$9)</f>
        <v>64.056899999999999</v>
      </c>
      <c r="T7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7">
        <f>(1000*CHOOSE(CONTROL!$C$42, 695, 695)*CHOOSE(CONTROL!$C$42, 0.5599, 0.5599)*CHOOSE(CONTROL!$C$42, 31, 31))/1000000</f>
        <v>12.063045499999998</v>
      </c>
      <c r="V795" s="57">
        <f>(1000*CHOOSE(CONTROL!$C$42, 500, 500)*CHOOSE(CONTROL!$C$42, 0.275, 0.275)*CHOOSE(CONTROL!$C$42, 31, 31))/1000000</f>
        <v>4.2625000000000002</v>
      </c>
      <c r="W795" s="57">
        <f>(1000*CHOOSE(CONTROL!$C$42, 0.1146, 0.1146)*CHOOSE(CONTROL!$C$42, 121.5, 121.5)*CHOOSE(CONTROL!$C$42, 31, 31))/1000000</f>
        <v>0.43164089999999994</v>
      </c>
      <c r="X795" s="57">
        <f>(31*0.1790888*100000/1000000)+(31*0.2374*100000/1000000)</f>
        <v>1.2911152800000001</v>
      </c>
      <c r="Y795" s="57"/>
      <c r="Z795" s="14"/>
      <c r="AA795" s="56"/>
      <c r="AB795" s="50">
        <f>(B795*122.58+C795*297.941+D795*89.177+E795*40.302+F795*40+G795*160+H795*0+I795*100+J795*300)/(122.58+297.941+89.177+40.302+0+40+160+100+300)</f>
        <v>66.700850964869574</v>
      </c>
      <c r="AC795" s="45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65.380400719424458</v>
      </c>
    </row>
    <row r="796" spans="1:29" ht="15.75" x14ac:dyDescent="0.25">
      <c r="A796" s="32">
        <v>65135</v>
      </c>
      <c r="B796" s="14">
        <f>CHOOSE(CONTROL!$C$42, 66.4739, 66.4739) * CHOOSE(CONTROL!$C$21, $C$9, 100%, $E$9)</f>
        <v>66.4739</v>
      </c>
      <c r="C796" s="14">
        <f>CHOOSE(CONTROL!$C$42, 66.4783, 66.4783) * CHOOSE(CONTROL!$C$21, $C$9, 100%, $E$9)</f>
        <v>66.478300000000004</v>
      </c>
      <c r="D796" s="14">
        <f>CHOOSE(CONTROL!$C$42, 66.6865, 66.6865) * CHOOSE(CONTROL!$C$21, $C$9, 100%, $E$9)</f>
        <v>66.686499999999995</v>
      </c>
      <c r="E796" s="14">
        <f>CHOOSE(CONTROL!$C$42, 66.7186, 66.7186) * CHOOSE(CONTROL!$C$21, $C$9, 100%, $E$9)</f>
        <v>66.718599999999995</v>
      </c>
      <c r="F796" s="14">
        <f>CHOOSE(CONTROL!$C$42, 66.4612, 66.4612)*CHOOSE(CONTROL!$C$21, $C$9, 100%, $E$9)</f>
        <v>66.461200000000005</v>
      </c>
      <c r="G796" s="14">
        <f>CHOOSE(CONTROL!$C$42, 66.4772, 66.4772)*CHOOSE(CONTROL!$C$21, $C$9, 100%, $E$9)</f>
        <v>66.477199999999996</v>
      </c>
      <c r="H796" s="14">
        <f>CHOOSE(CONTROL!$C$42, 66.7084, 66.7084) * CHOOSE(CONTROL!$C$21, $C$9, 100%, $E$9)</f>
        <v>66.708399999999997</v>
      </c>
      <c r="I796" s="14">
        <f>CHOOSE(CONTROL!$C$42, 66.6915, 66.6915)* CHOOSE(CONTROL!$C$21, $C$9, 100%, $E$9)</f>
        <v>66.691500000000005</v>
      </c>
      <c r="J796" s="14">
        <f>CHOOSE(CONTROL!$C$42, 66.4542, 66.4542)* CHOOSE(CONTROL!$C$21, $C$9, 100%, $E$9)</f>
        <v>66.4542</v>
      </c>
      <c r="K796" s="53">
        <f>CHOOSE(CONTROL!$C$42, 66.6876, 66.6876) * CHOOSE(CONTROL!$C$21, $C$9, 100%, $E$9)</f>
        <v>66.687600000000003</v>
      </c>
      <c r="L796" s="14">
        <f>CHOOSE(CONTROL!$C$42, 67.2954, 67.2954) * CHOOSE(CONTROL!$C$21, $C$9, 100%, $E$9)</f>
        <v>67.295400000000001</v>
      </c>
      <c r="M796" s="14">
        <f>CHOOSE(CONTROL!$C$42, 65.1003, 65.1003) * CHOOSE(CONTROL!$C$21, $C$9, 100%, $E$9)</f>
        <v>65.100300000000004</v>
      </c>
      <c r="N796" s="14">
        <f>CHOOSE(CONTROL!$C$42, 65.1159, 65.1159) * CHOOSE(CONTROL!$C$21, $C$9, 100%, $E$9)</f>
        <v>65.115899999999996</v>
      </c>
      <c r="O796" s="14">
        <f>CHOOSE(CONTROL!$C$42, 65.3492, 65.3492) * CHOOSE(CONTROL!$C$21, $C$9, 100%, $E$9)</f>
        <v>65.349199999999996</v>
      </c>
      <c r="P796" s="14">
        <f>CHOOSE(CONTROL!$C$42, 65.3286, 65.3286) * CHOOSE(CONTROL!$C$21, $C$9, 100%, $E$9)</f>
        <v>65.328599999999994</v>
      </c>
      <c r="Q796" s="14">
        <f>CHOOSE(CONTROL!$C$42, 65.9439, 65.9439) * CHOOSE(CONTROL!$C$21, $C$9, 100%, $E$9)</f>
        <v>65.943899999999999</v>
      </c>
      <c r="R796" s="14">
        <f>CHOOSE(CONTROL!$C$42, 66.6958, 66.6958) * CHOOSE(CONTROL!$C$21, $C$9, 100%, $E$9)</f>
        <v>66.695800000000006</v>
      </c>
      <c r="S796" s="14">
        <f>CHOOSE(CONTROL!$C$42, 63.8654, 63.8654) * CHOOSE(CONTROL!$C$21, $C$9, 100%, $E$9)</f>
        <v>63.865400000000001</v>
      </c>
      <c r="T7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7">
        <f>(1000*CHOOSE(CONTROL!$C$42, 695, 695)*CHOOSE(CONTROL!$C$42, 0.5599, 0.5599)*CHOOSE(CONTROL!$C$42, 30, 30))/1000000</f>
        <v>11.673914999999997</v>
      </c>
      <c r="V796" s="57">
        <f>(1000*CHOOSE(CONTROL!$C$42, 500, 500)*CHOOSE(CONTROL!$C$42, 0.275, 0.275)*CHOOSE(CONTROL!$C$42, 30, 30))/1000000</f>
        <v>4.125</v>
      </c>
      <c r="W796" s="57">
        <f>(1000*CHOOSE(CONTROL!$C$42, 0.1146, 0.1146)*CHOOSE(CONTROL!$C$42, 121.5, 121.5)*CHOOSE(CONTROL!$C$42, 30, 30))/1000000</f>
        <v>0.417717</v>
      </c>
      <c r="X796" s="57">
        <f>(30*0.1790888*245000/1000000)+(30*0.2374*100000/1000000)</f>
        <v>2.0285026799999999</v>
      </c>
      <c r="Y796" s="57"/>
      <c r="Z796" s="14"/>
      <c r="AA796" s="56"/>
      <c r="AB796" s="50">
        <f>(B796*141.293+C796*267.993+D796*115.016+E796*89.698+F796*40+G796*185+H796*0+I796*100+J796*300)/(141.293+267.993+115.016+89.698+0+40+185+100+300)</f>
        <v>66.52517778159806</v>
      </c>
      <c r="AC796" s="45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65.246857553956829</v>
      </c>
    </row>
    <row r="797" spans="1:29" ht="15.75" x14ac:dyDescent="0.25">
      <c r="A797" s="32">
        <v>65166</v>
      </c>
      <c r="B797" s="14">
        <f>CHOOSE(CONTROL!$C$42, 67.0619, 67.0619) * CHOOSE(CONTROL!$C$21, $C$9, 100%, $E$9)</f>
        <v>67.061899999999994</v>
      </c>
      <c r="C797" s="14">
        <f>CHOOSE(CONTROL!$C$42, 67.0699, 67.0699) * CHOOSE(CONTROL!$C$21, $C$9, 100%, $E$9)</f>
        <v>67.069900000000004</v>
      </c>
      <c r="D797" s="14">
        <f>CHOOSE(CONTROL!$C$42, 67.2749, 67.2749) * CHOOSE(CONTROL!$C$21, $C$9, 100%, $E$9)</f>
        <v>67.274900000000002</v>
      </c>
      <c r="E797" s="14">
        <f>CHOOSE(CONTROL!$C$42, 67.3063, 67.3063) * CHOOSE(CONTROL!$C$21, $C$9, 100%, $E$9)</f>
        <v>67.306299999999993</v>
      </c>
      <c r="F797" s="14">
        <f>CHOOSE(CONTROL!$C$42, 67.0481, 67.0481)*CHOOSE(CONTROL!$C$21, $C$9, 100%, $E$9)</f>
        <v>67.048100000000005</v>
      </c>
      <c r="G797" s="14">
        <f>CHOOSE(CONTROL!$C$42, 67.0645, 67.0645)*CHOOSE(CONTROL!$C$21, $C$9, 100%, $E$9)</f>
        <v>67.064499999999995</v>
      </c>
      <c r="H797" s="14">
        <f>CHOOSE(CONTROL!$C$42, 67.295, 67.295) * CHOOSE(CONTROL!$C$21, $C$9, 100%, $E$9)</f>
        <v>67.295000000000002</v>
      </c>
      <c r="I797" s="14">
        <f>CHOOSE(CONTROL!$C$42, 67.2799, 67.2799)* CHOOSE(CONTROL!$C$21, $C$9, 100%, $E$9)</f>
        <v>67.279899999999998</v>
      </c>
      <c r="J797" s="14">
        <f>CHOOSE(CONTROL!$C$42, 67.0411, 67.0411)* CHOOSE(CONTROL!$C$21, $C$9, 100%, $E$9)</f>
        <v>67.0411</v>
      </c>
      <c r="K797" s="53">
        <f>CHOOSE(CONTROL!$C$42, 67.2761, 67.2761) * CHOOSE(CONTROL!$C$21, $C$9, 100%, $E$9)</f>
        <v>67.2761</v>
      </c>
      <c r="L797" s="14">
        <f>CHOOSE(CONTROL!$C$42, 67.882, 67.882) * CHOOSE(CONTROL!$C$21, $C$9, 100%, $E$9)</f>
        <v>67.882000000000005</v>
      </c>
      <c r="M797" s="14">
        <f>CHOOSE(CONTROL!$C$42, 65.6751, 65.6751) * CHOOSE(CONTROL!$C$21, $C$9, 100%, $E$9)</f>
        <v>65.6751</v>
      </c>
      <c r="N797" s="14">
        <f>CHOOSE(CONTROL!$C$42, 65.6912, 65.6912) * CHOOSE(CONTROL!$C$21, $C$9, 100%, $E$9)</f>
        <v>65.691199999999995</v>
      </c>
      <c r="O797" s="14">
        <f>CHOOSE(CONTROL!$C$42, 65.9238, 65.9238) * CHOOSE(CONTROL!$C$21, $C$9, 100%, $E$9)</f>
        <v>65.9238</v>
      </c>
      <c r="P797" s="14">
        <f>CHOOSE(CONTROL!$C$42, 65.905, 65.905) * CHOOSE(CONTROL!$C$21, $C$9, 100%, $E$9)</f>
        <v>65.905000000000001</v>
      </c>
      <c r="Q797" s="14">
        <f>CHOOSE(CONTROL!$C$42, 66.5185, 66.5185) * CHOOSE(CONTROL!$C$21, $C$9, 100%, $E$9)</f>
        <v>66.518500000000003</v>
      </c>
      <c r="R797" s="14">
        <f>CHOOSE(CONTROL!$C$42, 67.2718, 67.2718) * CHOOSE(CONTROL!$C$21, $C$9, 100%, $E$9)</f>
        <v>67.271799999999999</v>
      </c>
      <c r="S797" s="14">
        <f>CHOOSE(CONTROL!$C$42, 64.4291, 64.4291) * CHOOSE(CONTROL!$C$21, $C$9, 100%, $E$9)</f>
        <v>64.429100000000005</v>
      </c>
      <c r="T7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7">
        <f>(1000*CHOOSE(CONTROL!$C$42, 695, 695)*CHOOSE(CONTROL!$C$42, 0.5599, 0.5599)*CHOOSE(CONTROL!$C$42, 31, 31))/1000000</f>
        <v>12.063045499999998</v>
      </c>
      <c r="V797" s="57">
        <f>(1000*CHOOSE(CONTROL!$C$42, 500, 500)*CHOOSE(CONTROL!$C$42, 0.275, 0.275)*CHOOSE(CONTROL!$C$42, 31, 31))/1000000</f>
        <v>4.2625000000000002</v>
      </c>
      <c r="W797" s="57">
        <f>(1000*CHOOSE(CONTROL!$C$42, 0.1146, 0.1146)*CHOOSE(CONTROL!$C$42, 121.5, 121.5)*CHOOSE(CONTROL!$C$42, 31, 31))/1000000</f>
        <v>0.43164089999999994</v>
      </c>
      <c r="X797" s="57">
        <f>(31*0.1790888*245000/1000000)+(31*0.2374*100000/1000000)</f>
        <v>2.0961194359999999</v>
      </c>
      <c r="Y797" s="57"/>
      <c r="Z797" s="14"/>
      <c r="AA797" s="56"/>
      <c r="AB797" s="50">
        <f>(B797*194.205+C797*267.466+D797*133.845+E797*53.484+F797*40+G797*185+H797*0+I797*100+J797*300)/(194.205+267.466+133.845+53.484+0+40+185+100+300)</f>
        <v>67.108375041287275</v>
      </c>
      <c r="AC797" s="45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65.821825899280569</v>
      </c>
    </row>
    <row r="798" spans="1:29" ht="15.75" x14ac:dyDescent="0.25">
      <c r="A798" s="32">
        <v>65196</v>
      </c>
      <c r="B798" s="14">
        <f>CHOOSE(CONTROL!$C$42, 68.9638, 68.9638) * CHOOSE(CONTROL!$C$21, $C$9, 100%, $E$9)</f>
        <v>68.963800000000006</v>
      </c>
      <c r="C798" s="14">
        <f>CHOOSE(CONTROL!$C$42, 68.9719, 68.9719) * CHOOSE(CONTROL!$C$21, $C$9, 100%, $E$9)</f>
        <v>68.971900000000005</v>
      </c>
      <c r="D798" s="14">
        <f>CHOOSE(CONTROL!$C$42, 69.1768, 69.1768) * CHOOSE(CONTROL!$C$21, $C$9, 100%, $E$9)</f>
        <v>69.1768</v>
      </c>
      <c r="E798" s="14">
        <f>CHOOSE(CONTROL!$C$42, 69.2083, 69.2083) * CHOOSE(CONTROL!$C$21, $C$9, 100%, $E$9)</f>
        <v>69.208299999999994</v>
      </c>
      <c r="F798" s="14">
        <f>CHOOSE(CONTROL!$C$42, 68.9504, 68.9504)*CHOOSE(CONTROL!$C$21, $C$9, 100%, $E$9)</f>
        <v>68.950400000000002</v>
      </c>
      <c r="G798" s="14">
        <f>CHOOSE(CONTROL!$C$42, 68.9669, 68.9669)*CHOOSE(CONTROL!$C$21, $C$9, 100%, $E$9)</f>
        <v>68.966899999999995</v>
      </c>
      <c r="H798" s="14">
        <f>CHOOSE(CONTROL!$C$42, 69.1969, 69.1969) * CHOOSE(CONTROL!$C$21, $C$9, 100%, $E$9)</f>
        <v>69.196899999999999</v>
      </c>
      <c r="I798" s="14">
        <f>CHOOSE(CONTROL!$C$42, 69.1879, 69.1879)* CHOOSE(CONTROL!$C$21, $C$9, 100%, $E$9)</f>
        <v>69.187899999999999</v>
      </c>
      <c r="J798" s="14">
        <f>CHOOSE(CONTROL!$C$42, 68.9434, 68.9434)* CHOOSE(CONTROL!$C$21, $C$9, 100%, $E$9)</f>
        <v>68.943399999999997</v>
      </c>
      <c r="K798" s="53">
        <f>CHOOSE(CONTROL!$C$42, 69.184, 69.184) * CHOOSE(CONTROL!$C$21, $C$9, 100%, $E$9)</f>
        <v>69.183999999999997</v>
      </c>
      <c r="L798" s="14">
        <f>CHOOSE(CONTROL!$C$42, 69.7839, 69.7839) * CHOOSE(CONTROL!$C$21, $C$9, 100%, $E$9)</f>
        <v>69.783900000000003</v>
      </c>
      <c r="M798" s="14">
        <f>CHOOSE(CONTROL!$C$42, 67.5385, 67.5385) * CHOOSE(CONTROL!$C$21, $C$9, 100%, $E$9)</f>
        <v>67.538499999999999</v>
      </c>
      <c r="N798" s="14">
        <f>CHOOSE(CONTROL!$C$42, 67.5547, 67.5547) * CHOOSE(CONTROL!$C$21, $C$9, 100%, $E$9)</f>
        <v>67.554699999999997</v>
      </c>
      <c r="O798" s="14">
        <f>CHOOSE(CONTROL!$C$42, 67.7868, 67.7868) * CHOOSE(CONTROL!$C$21, $C$9, 100%, $E$9)</f>
        <v>67.786799999999999</v>
      </c>
      <c r="P798" s="14">
        <f>CHOOSE(CONTROL!$C$42, 67.7737, 67.7737) * CHOOSE(CONTROL!$C$21, $C$9, 100%, $E$9)</f>
        <v>67.773700000000005</v>
      </c>
      <c r="Q798" s="14">
        <f>CHOOSE(CONTROL!$C$42, 68.3815, 68.3815) * CHOOSE(CONTROL!$C$21, $C$9, 100%, $E$9)</f>
        <v>68.381500000000003</v>
      </c>
      <c r="R798" s="14">
        <f>CHOOSE(CONTROL!$C$42, 69.1395, 69.1395) * CHOOSE(CONTROL!$C$21, $C$9, 100%, $E$9)</f>
        <v>69.139499999999998</v>
      </c>
      <c r="S798" s="14">
        <f>CHOOSE(CONTROL!$C$42, 66.2567, 66.2567) * CHOOSE(CONTROL!$C$21, $C$9, 100%, $E$9)</f>
        <v>66.256699999999995</v>
      </c>
      <c r="T7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7">
        <f>(1000*CHOOSE(CONTROL!$C$42, 695, 695)*CHOOSE(CONTROL!$C$42, 0.5599, 0.5599)*CHOOSE(CONTROL!$C$42, 30, 30))/1000000</f>
        <v>11.673914999999997</v>
      </c>
      <c r="V798" s="57">
        <f>(1000*CHOOSE(CONTROL!$C$42, 500, 500)*CHOOSE(CONTROL!$C$42, 0.275, 0.275)*CHOOSE(CONTROL!$C$42, 30, 30))/1000000</f>
        <v>4.125</v>
      </c>
      <c r="W798" s="57">
        <f>(1000*CHOOSE(CONTROL!$C$42, 0.1146, 0.1146)*CHOOSE(CONTROL!$C$42, 121.5, 121.5)*CHOOSE(CONTROL!$C$42, 30, 30))/1000000</f>
        <v>0.417717</v>
      </c>
      <c r="X798" s="57">
        <f>(30*0.1790888*245000/1000000)+(30*0.2374*100000/1000000)</f>
        <v>2.0285026799999999</v>
      </c>
      <c r="Y798" s="57"/>
      <c r="Z798" s="14"/>
      <c r="AA798" s="56"/>
      <c r="AB798" s="50">
        <f>(B798*194.205+C798*267.466+D798*133.845+E798*53.484+F798*40+G798*185+H798*0+I798*100+J798*300)/(194.205+267.466+133.845+53.484+0+40+185+100+300)</f>
        <v>69.010958396860289</v>
      </c>
      <c r="AC798" s="45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67.685812949640294</v>
      </c>
    </row>
    <row r="799" spans="1:29" ht="15.75" x14ac:dyDescent="0.25">
      <c r="A799" s="32">
        <v>65227</v>
      </c>
      <c r="B799" s="14">
        <f>CHOOSE(CONTROL!$C$42, 67.641, 67.641) * CHOOSE(CONTROL!$C$21, $C$9, 100%, $E$9)</f>
        <v>67.641000000000005</v>
      </c>
      <c r="C799" s="14">
        <f>CHOOSE(CONTROL!$C$42, 67.649, 67.649) * CHOOSE(CONTROL!$C$21, $C$9, 100%, $E$9)</f>
        <v>67.649000000000001</v>
      </c>
      <c r="D799" s="14">
        <f>CHOOSE(CONTROL!$C$42, 67.854, 67.854) * CHOOSE(CONTROL!$C$21, $C$9, 100%, $E$9)</f>
        <v>67.853999999999999</v>
      </c>
      <c r="E799" s="14">
        <f>CHOOSE(CONTROL!$C$42, 67.8855, 67.8855) * CHOOSE(CONTROL!$C$21, $C$9, 100%, $E$9)</f>
        <v>67.885499999999993</v>
      </c>
      <c r="F799" s="14">
        <f>CHOOSE(CONTROL!$C$42, 67.628, 67.628)*CHOOSE(CONTROL!$C$21, $C$9, 100%, $E$9)</f>
        <v>67.628</v>
      </c>
      <c r="G799" s="14">
        <f>CHOOSE(CONTROL!$C$42, 67.6446, 67.6446)*CHOOSE(CONTROL!$C$21, $C$9, 100%, $E$9)</f>
        <v>67.644599999999997</v>
      </c>
      <c r="H799" s="14">
        <f>CHOOSE(CONTROL!$C$42, 67.8741, 67.8741) * CHOOSE(CONTROL!$C$21, $C$9, 100%, $E$9)</f>
        <v>67.874099999999999</v>
      </c>
      <c r="I799" s="14">
        <f>CHOOSE(CONTROL!$C$42, 67.8609, 67.8609)* CHOOSE(CONTROL!$C$21, $C$9, 100%, $E$9)</f>
        <v>67.860900000000001</v>
      </c>
      <c r="J799" s="14">
        <f>CHOOSE(CONTROL!$C$42, 67.621, 67.621)* CHOOSE(CONTROL!$C$21, $C$9, 100%, $E$9)</f>
        <v>67.620999999999995</v>
      </c>
      <c r="K799" s="53">
        <f>CHOOSE(CONTROL!$C$42, 67.857, 67.857) * CHOOSE(CONTROL!$C$21, $C$9, 100%, $E$9)</f>
        <v>67.856999999999999</v>
      </c>
      <c r="L799" s="14">
        <f>CHOOSE(CONTROL!$C$42, 68.4611, 68.4611) * CHOOSE(CONTROL!$C$21, $C$9, 100%, $E$9)</f>
        <v>68.461100000000002</v>
      </c>
      <c r="M799" s="14">
        <f>CHOOSE(CONTROL!$C$42, 66.2432, 66.2432) * CHOOSE(CONTROL!$C$21, $C$9, 100%, $E$9)</f>
        <v>66.243200000000002</v>
      </c>
      <c r="N799" s="14">
        <f>CHOOSE(CONTROL!$C$42, 66.2594, 66.2594) * CHOOSE(CONTROL!$C$21, $C$9, 100%, $E$9)</f>
        <v>66.259399999999999</v>
      </c>
      <c r="O799" s="14">
        <f>CHOOSE(CONTROL!$C$42, 66.4911, 66.4911) * CHOOSE(CONTROL!$C$21, $C$9, 100%, $E$9)</f>
        <v>66.491100000000003</v>
      </c>
      <c r="P799" s="14">
        <f>CHOOSE(CONTROL!$C$42, 66.474, 66.474) * CHOOSE(CONTROL!$C$21, $C$9, 100%, $E$9)</f>
        <v>66.474000000000004</v>
      </c>
      <c r="Q799" s="14">
        <f>CHOOSE(CONTROL!$C$42, 67.0858, 67.0858) * CHOOSE(CONTROL!$C$21, $C$9, 100%, $E$9)</f>
        <v>67.085800000000006</v>
      </c>
      <c r="R799" s="14">
        <f>CHOOSE(CONTROL!$C$42, 67.8405, 67.8405) * CHOOSE(CONTROL!$C$21, $C$9, 100%, $E$9)</f>
        <v>67.840500000000006</v>
      </c>
      <c r="S799" s="14">
        <f>CHOOSE(CONTROL!$C$42, 64.9856, 64.9856) * CHOOSE(CONTROL!$C$21, $C$9, 100%, $E$9)</f>
        <v>64.985600000000005</v>
      </c>
      <c r="T7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7">
        <f>(1000*CHOOSE(CONTROL!$C$42, 695, 695)*CHOOSE(CONTROL!$C$42, 0.5599, 0.5599)*CHOOSE(CONTROL!$C$42, 31, 31))/1000000</f>
        <v>12.063045499999998</v>
      </c>
      <c r="V799" s="57">
        <f>(1000*CHOOSE(CONTROL!$C$42, 500, 500)*CHOOSE(CONTROL!$C$42, 0.275, 0.275)*CHOOSE(CONTROL!$C$42, 31, 31))/1000000</f>
        <v>4.2625000000000002</v>
      </c>
      <c r="W799" s="57">
        <f>(1000*CHOOSE(CONTROL!$C$42, 0.1146, 0.1146)*CHOOSE(CONTROL!$C$42, 121.5, 121.5)*CHOOSE(CONTROL!$C$42, 31, 31))/1000000</f>
        <v>0.43164089999999994</v>
      </c>
      <c r="X799" s="57">
        <f>(31*0.1790888*245000/1000000)+(31*0.2374*100000/1000000)</f>
        <v>2.0961194359999999</v>
      </c>
      <c r="Y799" s="57"/>
      <c r="Z799" s="14"/>
      <c r="AA799" s="56"/>
      <c r="AB799" s="50">
        <f>(B799*194.205+C799*267.466+D799*133.845+E799*53.484+F799*40+G799*185+H799*0+I799*100+J799*300)/(194.205+267.466+133.845+53.484+0+40+185+100+300)</f>
        <v>67.687987088697014</v>
      </c>
      <c r="AC799" s="45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66.389698561151079</v>
      </c>
    </row>
    <row r="800" spans="1:29" ht="15.75" x14ac:dyDescent="0.25">
      <c r="A800" s="32">
        <v>65258</v>
      </c>
      <c r="B800" s="14">
        <f>CHOOSE(CONTROL!$C$42, 64.3005, 64.3005) * CHOOSE(CONTROL!$C$21, $C$9, 100%, $E$9)</f>
        <v>64.3005</v>
      </c>
      <c r="C800" s="14">
        <f>CHOOSE(CONTROL!$C$42, 64.3085, 64.3085) * CHOOSE(CONTROL!$C$21, $C$9, 100%, $E$9)</f>
        <v>64.308499999999995</v>
      </c>
      <c r="D800" s="14">
        <f>CHOOSE(CONTROL!$C$42, 64.5135, 64.5135) * CHOOSE(CONTROL!$C$21, $C$9, 100%, $E$9)</f>
        <v>64.513499999999993</v>
      </c>
      <c r="E800" s="14">
        <f>CHOOSE(CONTROL!$C$42, 64.5449, 64.5449) * CHOOSE(CONTROL!$C$21, $C$9, 100%, $E$9)</f>
        <v>64.544899999999998</v>
      </c>
      <c r="F800" s="14">
        <f>CHOOSE(CONTROL!$C$42, 64.2876, 64.2876)*CHOOSE(CONTROL!$C$21, $C$9, 100%, $E$9)</f>
        <v>64.287599999999998</v>
      </c>
      <c r="G800" s="14">
        <f>CHOOSE(CONTROL!$C$42, 64.3043, 64.3043)*CHOOSE(CONTROL!$C$21, $C$9, 100%, $E$9)</f>
        <v>64.304299999999998</v>
      </c>
      <c r="H800" s="14">
        <f>CHOOSE(CONTROL!$C$42, 64.5336, 64.5336) * CHOOSE(CONTROL!$C$21, $C$9, 100%, $E$9)</f>
        <v>64.533600000000007</v>
      </c>
      <c r="I800" s="14">
        <f>CHOOSE(CONTROL!$C$42, 64.5099, 64.5099)* CHOOSE(CONTROL!$C$21, $C$9, 100%, $E$9)</f>
        <v>64.509900000000002</v>
      </c>
      <c r="J800" s="14">
        <f>CHOOSE(CONTROL!$C$42, 64.2806, 64.2806)* CHOOSE(CONTROL!$C$21, $C$9, 100%, $E$9)</f>
        <v>64.280600000000007</v>
      </c>
      <c r="K800" s="53">
        <f>CHOOSE(CONTROL!$C$42, 64.506, 64.506) * CHOOSE(CONTROL!$C$21, $C$9, 100%, $E$9)</f>
        <v>64.506</v>
      </c>
      <c r="L800" s="14">
        <f>CHOOSE(CONTROL!$C$42, 65.1206, 65.1206) * CHOOSE(CONTROL!$C$21, $C$9, 100%, $E$9)</f>
        <v>65.120599999999996</v>
      </c>
      <c r="M800" s="14">
        <f>CHOOSE(CONTROL!$C$42, 62.9713, 62.9713) * CHOOSE(CONTROL!$C$21, $C$9, 100%, $E$9)</f>
        <v>62.971299999999999</v>
      </c>
      <c r="N800" s="14">
        <f>CHOOSE(CONTROL!$C$42, 62.9876, 62.9876) * CHOOSE(CONTROL!$C$21, $C$9, 100%, $E$9)</f>
        <v>62.9876</v>
      </c>
      <c r="O800" s="14">
        <f>CHOOSE(CONTROL!$C$42, 63.219, 63.219) * CHOOSE(CONTROL!$C$21, $C$9, 100%, $E$9)</f>
        <v>63.219000000000001</v>
      </c>
      <c r="P800" s="14">
        <f>CHOOSE(CONTROL!$C$42, 63.1918, 63.1918) * CHOOSE(CONTROL!$C$21, $C$9, 100%, $E$9)</f>
        <v>63.191800000000001</v>
      </c>
      <c r="Q800" s="14">
        <f>CHOOSE(CONTROL!$C$42, 63.8137, 63.8137) * CHOOSE(CONTROL!$C$21, $C$9, 100%, $E$9)</f>
        <v>63.813699999999997</v>
      </c>
      <c r="R800" s="14">
        <f>CHOOSE(CONTROL!$C$42, 64.5602, 64.5602) * CHOOSE(CONTROL!$C$21, $C$9, 100%, $E$9)</f>
        <v>64.560199999999995</v>
      </c>
      <c r="S800" s="14">
        <f>CHOOSE(CONTROL!$C$42, 61.7757, 61.7757) * CHOOSE(CONTROL!$C$21, $C$9, 100%, $E$9)</f>
        <v>61.775700000000001</v>
      </c>
      <c r="T8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7">
        <f>(1000*CHOOSE(CONTROL!$C$42, 695, 695)*CHOOSE(CONTROL!$C$42, 0.5599, 0.5599)*CHOOSE(CONTROL!$C$42, 31, 31))/1000000</f>
        <v>12.063045499999998</v>
      </c>
      <c r="V800" s="57">
        <f>(1000*CHOOSE(CONTROL!$C$42, 500, 500)*CHOOSE(CONTROL!$C$42, 0.275, 0.275)*CHOOSE(CONTROL!$C$42, 31, 31))/1000000</f>
        <v>4.2625000000000002</v>
      </c>
      <c r="W800" s="57">
        <f>(1000*CHOOSE(CONTROL!$C$42, 0.1146, 0.1146)*CHOOSE(CONTROL!$C$42, 121.5, 121.5)*CHOOSE(CONTROL!$C$42, 31, 31))/1000000</f>
        <v>0.43164089999999994</v>
      </c>
      <c r="X800" s="57">
        <f>(31*0.1790888*245000/1000000)+(31*0.2374*100000/1000000)</f>
        <v>2.0961194359999999</v>
      </c>
      <c r="Y800" s="57"/>
      <c r="Z800" s="14"/>
      <c r="AA800" s="56"/>
      <c r="AB800" s="50">
        <f>(B800*194.205+C800*267.466+D800*133.845+E800*53.484+F800*40+G800*185+H800*0+I800*100+J800*300)/(194.205+267.466+133.845+53.484+0+40+185+100+300)</f>
        <v>64.346714444740982</v>
      </c>
      <c r="AC800" s="45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63.116231654676255</v>
      </c>
    </row>
    <row r="801" spans="1:29" ht="15.75" x14ac:dyDescent="0.25">
      <c r="A801" s="32">
        <v>65288</v>
      </c>
      <c r="B801" s="14">
        <f>CHOOSE(CONTROL!$C$42, 60.2185, 60.2185) * CHOOSE(CONTROL!$C$21, $C$9, 100%, $E$9)</f>
        <v>60.218499999999999</v>
      </c>
      <c r="C801" s="14">
        <f>CHOOSE(CONTROL!$C$42, 60.2266, 60.2266) * CHOOSE(CONTROL!$C$21, $C$9, 100%, $E$9)</f>
        <v>60.226599999999998</v>
      </c>
      <c r="D801" s="14">
        <f>CHOOSE(CONTROL!$C$42, 60.4315, 60.4315) * CHOOSE(CONTROL!$C$21, $C$9, 100%, $E$9)</f>
        <v>60.4315</v>
      </c>
      <c r="E801" s="14">
        <f>CHOOSE(CONTROL!$C$42, 60.463, 60.463) * CHOOSE(CONTROL!$C$21, $C$9, 100%, $E$9)</f>
        <v>60.463000000000001</v>
      </c>
      <c r="F801" s="14">
        <f>CHOOSE(CONTROL!$C$42, 60.2057, 60.2057)*CHOOSE(CONTROL!$C$21, $C$9, 100%, $E$9)</f>
        <v>60.2057</v>
      </c>
      <c r="G801" s="14">
        <f>CHOOSE(CONTROL!$C$42, 60.2224, 60.2224)*CHOOSE(CONTROL!$C$21, $C$9, 100%, $E$9)</f>
        <v>60.2224</v>
      </c>
      <c r="H801" s="14">
        <f>CHOOSE(CONTROL!$C$42, 60.4516, 60.4516) * CHOOSE(CONTROL!$C$21, $C$9, 100%, $E$9)</f>
        <v>60.451599999999999</v>
      </c>
      <c r="I801" s="14">
        <f>CHOOSE(CONTROL!$C$42, 60.4152, 60.4152)* CHOOSE(CONTROL!$C$21, $C$9, 100%, $E$9)</f>
        <v>60.415199999999999</v>
      </c>
      <c r="J801" s="14">
        <f>CHOOSE(CONTROL!$C$42, 60.1987, 60.1987)* CHOOSE(CONTROL!$C$21, $C$9, 100%, $E$9)</f>
        <v>60.198700000000002</v>
      </c>
      <c r="K801" s="53">
        <f>CHOOSE(CONTROL!$C$42, 60.4113, 60.4113) * CHOOSE(CONTROL!$C$21, $C$9, 100%, $E$9)</f>
        <v>60.411299999999997</v>
      </c>
      <c r="L801" s="14">
        <f>CHOOSE(CONTROL!$C$42, 61.0386, 61.0386) * CHOOSE(CONTROL!$C$21, $C$9, 100%, $E$9)</f>
        <v>61.038600000000002</v>
      </c>
      <c r="M801" s="14">
        <f>CHOOSE(CONTROL!$C$42, 58.973, 58.973) * CHOOSE(CONTROL!$C$21, $C$9, 100%, $E$9)</f>
        <v>58.972999999999999</v>
      </c>
      <c r="N801" s="14">
        <f>CHOOSE(CONTROL!$C$42, 58.9893, 58.9893) * CHOOSE(CONTROL!$C$21, $C$9, 100%, $E$9)</f>
        <v>58.9893</v>
      </c>
      <c r="O801" s="14">
        <f>CHOOSE(CONTROL!$C$42, 59.2207, 59.2207) * CHOOSE(CONTROL!$C$21, $C$9, 100%, $E$9)</f>
        <v>59.220700000000001</v>
      </c>
      <c r="P801" s="14">
        <f>CHOOSE(CONTROL!$C$42, 59.1813, 59.1813) * CHOOSE(CONTROL!$C$21, $C$9, 100%, $E$9)</f>
        <v>59.1813</v>
      </c>
      <c r="Q801" s="14">
        <f>CHOOSE(CONTROL!$C$42, 59.8154, 59.8154) * CHOOSE(CONTROL!$C$21, $C$9, 100%, $E$9)</f>
        <v>59.815399999999997</v>
      </c>
      <c r="R801" s="14">
        <f>CHOOSE(CONTROL!$C$42, 60.552, 60.552) * CHOOSE(CONTROL!$C$21, $C$9, 100%, $E$9)</f>
        <v>60.552</v>
      </c>
      <c r="S801" s="14">
        <f>CHOOSE(CONTROL!$C$42, 57.8534, 57.8534) * CHOOSE(CONTROL!$C$21, $C$9, 100%, $E$9)</f>
        <v>57.853400000000001</v>
      </c>
      <c r="T8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7">
        <f>(1000*CHOOSE(CONTROL!$C$42, 695, 695)*CHOOSE(CONTROL!$C$42, 0.5599, 0.5599)*CHOOSE(CONTROL!$C$42, 30, 30))/1000000</f>
        <v>11.673914999999997</v>
      </c>
      <c r="V801" s="57">
        <f>(1000*CHOOSE(CONTROL!$C$42, 500, 500)*CHOOSE(CONTROL!$C$42, 0.275, 0.275)*CHOOSE(CONTROL!$C$42, 30, 30))/1000000</f>
        <v>4.125</v>
      </c>
      <c r="W801" s="57">
        <f>(1000*CHOOSE(CONTROL!$C$42, 0.1146, 0.1146)*CHOOSE(CONTROL!$C$42, 121.5, 121.5)*CHOOSE(CONTROL!$C$42, 30, 30))/1000000</f>
        <v>0.417717</v>
      </c>
      <c r="X801" s="57">
        <f>(30*0.1790888*245000/1000000)+(30*0.2374*100000/1000000)</f>
        <v>2.0285026799999999</v>
      </c>
      <c r="Y801" s="57"/>
      <c r="Z801" s="14"/>
      <c r="AA801" s="56"/>
      <c r="AB801" s="50">
        <f>(B801*194.205+C801*267.466+D801*133.845+E801*53.484+F801*40+G801*185+H801*0+I801*100+J801*300)/(194.205+267.466+133.845+53.484+0+40+185+100+300)</f>
        <v>60.263783985557303</v>
      </c>
      <c r="AC801" s="45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59.116176258992809</v>
      </c>
    </row>
    <row r="802" spans="1:29" ht="15.75" x14ac:dyDescent="0.25">
      <c r="A802" s="32">
        <v>65319</v>
      </c>
      <c r="B802" s="14">
        <f>CHOOSE(CONTROL!$C$42, 58.9943, 58.9943) * CHOOSE(CONTROL!$C$21, $C$9, 100%, $E$9)</f>
        <v>58.994300000000003</v>
      </c>
      <c r="C802" s="14">
        <f>CHOOSE(CONTROL!$C$42, 58.9997, 58.9997) * CHOOSE(CONTROL!$C$21, $C$9, 100%, $E$9)</f>
        <v>58.999699999999997</v>
      </c>
      <c r="D802" s="14">
        <f>CHOOSE(CONTROL!$C$42, 59.2096, 59.2096) * CHOOSE(CONTROL!$C$21, $C$9, 100%, $E$9)</f>
        <v>59.209600000000002</v>
      </c>
      <c r="E802" s="14">
        <f>CHOOSE(CONTROL!$C$42, 59.2387, 59.2387) * CHOOSE(CONTROL!$C$21, $C$9, 100%, $E$9)</f>
        <v>59.238700000000001</v>
      </c>
      <c r="F802" s="14">
        <f>CHOOSE(CONTROL!$C$42, 58.9836, 58.9836)*CHOOSE(CONTROL!$C$21, $C$9, 100%, $E$9)</f>
        <v>58.983600000000003</v>
      </c>
      <c r="G802" s="14">
        <f>CHOOSE(CONTROL!$C$42, 58.9999, 58.9999)*CHOOSE(CONTROL!$C$21, $C$9, 100%, $E$9)</f>
        <v>58.999899999999997</v>
      </c>
      <c r="H802" s="14">
        <f>CHOOSE(CONTROL!$C$42, 59.2292, 59.2292) * CHOOSE(CONTROL!$C$21, $C$9, 100%, $E$9)</f>
        <v>59.229199999999999</v>
      </c>
      <c r="I802" s="14">
        <f>CHOOSE(CONTROL!$C$42, 59.1889, 59.1889)* CHOOSE(CONTROL!$C$21, $C$9, 100%, $E$9)</f>
        <v>59.188899999999997</v>
      </c>
      <c r="J802" s="14">
        <f>CHOOSE(CONTROL!$C$42, 58.9766, 58.9766)* CHOOSE(CONTROL!$C$21, $C$9, 100%, $E$9)</f>
        <v>58.976599999999998</v>
      </c>
      <c r="K802" s="53">
        <f>CHOOSE(CONTROL!$C$42, 59.185, 59.185) * CHOOSE(CONTROL!$C$21, $C$9, 100%, $E$9)</f>
        <v>59.185000000000002</v>
      </c>
      <c r="L802" s="14">
        <f>CHOOSE(CONTROL!$C$42, 59.8162, 59.8162) * CHOOSE(CONTROL!$C$21, $C$9, 100%, $E$9)</f>
        <v>59.816200000000002</v>
      </c>
      <c r="M802" s="14">
        <f>CHOOSE(CONTROL!$C$42, 57.7759, 57.7759) * CHOOSE(CONTROL!$C$21, $C$9, 100%, $E$9)</f>
        <v>57.7759</v>
      </c>
      <c r="N802" s="14">
        <f>CHOOSE(CONTROL!$C$42, 57.7919, 57.7919) * CHOOSE(CONTROL!$C$21, $C$9, 100%, $E$9)</f>
        <v>57.791899999999998</v>
      </c>
      <c r="O802" s="14">
        <f>CHOOSE(CONTROL!$C$42, 58.0233, 58.0233) * CHOOSE(CONTROL!$C$21, $C$9, 100%, $E$9)</f>
        <v>58.023299999999999</v>
      </c>
      <c r="P802" s="14">
        <f>CHOOSE(CONTROL!$C$42, 57.9802, 57.9802) * CHOOSE(CONTROL!$C$21, $C$9, 100%, $E$9)</f>
        <v>57.980200000000004</v>
      </c>
      <c r="Q802" s="14">
        <f>CHOOSE(CONTROL!$C$42, 58.618, 58.618) * CHOOSE(CONTROL!$C$21, $C$9, 100%, $E$9)</f>
        <v>58.618000000000002</v>
      </c>
      <c r="R802" s="14">
        <f>CHOOSE(CONTROL!$C$42, 59.3516, 59.3516) * CHOOSE(CONTROL!$C$21, $C$9, 100%, $E$9)</f>
        <v>59.351599999999998</v>
      </c>
      <c r="S802" s="14">
        <f>CHOOSE(CONTROL!$C$42, 56.6787, 56.6787) * CHOOSE(CONTROL!$C$21, $C$9, 100%, $E$9)</f>
        <v>56.678699999999999</v>
      </c>
      <c r="T8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7">
        <f>(1000*CHOOSE(CONTROL!$C$42, 695, 695)*CHOOSE(CONTROL!$C$42, 0.5599, 0.5599)*CHOOSE(CONTROL!$C$42, 31, 31))/1000000</f>
        <v>12.063045499999998</v>
      </c>
      <c r="V802" s="57">
        <f>(1000*CHOOSE(CONTROL!$C$42, 500, 500)*CHOOSE(CONTROL!$C$42, 0.275, 0.275)*CHOOSE(CONTROL!$C$42, 31, 31))/1000000</f>
        <v>4.2625000000000002</v>
      </c>
      <c r="W802" s="57">
        <f>(1000*CHOOSE(CONTROL!$C$42, 0.1146, 0.1146)*CHOOSE(CONTROL!$C$42, 121.5, 121.5)*CHOOSE(CONTROL!$C$42, 31, 31))/1000000</f>
        <v>0.43164089999999994</v>
      </c>
      <c r="X802" s="57">
        <f>(31*0.1790888*245000/1000000)+(31*0.2374*100000/1000000)</f>
        <v>2.0961194359999999</v>
      </c>
      <c r="Y802" s="57"/>
      <c r="Z802" s="14"/>
      <c r="AA802" s="56"/>
      <c r="AB802" s="50">
        <f>(B802*131.881+C802*277.167+D802*79.08+E802*125.872+F802*40+G802*185+H802*0+I802*100+J802*300)/(131.881+277.167+79.08+125.872+0+40+185+100+300)</f>
        <v>59.045989864891034</v>
      </c>
      <c r="AC802" s="45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57.918347482014383</v>
      </c>
    </row>
    <row r="803" spans="1:29" ht="15.75" x14ac:dyDescent="0.25">
      <c r="A803" s="32">
        <v>65349</v>
      </c>
      <c r="B803" s="14">
        <f>CHOOSE(CONTROL!$C$42, 60.5479, 60.5479) * CHOOSE(CONTROL!$C$21, $C$9, 100%, $E$9)</f>
        <v>60.547899999999998</v>
      </c>
      <c r="C803" s="14">
        <f>CHOOSE(CONTROL!$C$42, 60.5529, 60.5529) * CHOOSE(CONTROL!$C$21, $C$9, 100%, $E$9)</f>
        <v>60.552900000000001</v>
      </c>
      <c r="D803" s="14">
        <f>CHOOSE(CONTROL!$C$42, 60.6167, 60.6167) * CHOOSE(CONTROL!$C$21, $C$9, 100%, $E$9)</f>
        <v>60.616700000000002</v>
      </c>
      <c r="E803" s="14">
        <f>CHOOSE(CONTROL!$C$42, 60.6508, 60.6508) * CHOOSE(CONTROL!$C$21, $C$9, 100%, $E$9)</f>
        <v>60.650799999999997</v>
      </c>
      <c r="F803" s="14">
        <f>CHOOSE(CONTROL!$C$42, 60.5501, 60.5501)*CHOOSE(CONTROL!$C$21, $C$9, 100%, $E$9)</f>
        <v>60.5501</v>
      </c>
      <c r="G803" s="14">
        <f>CHOOSE(CONTROL!$C$42, 60.5668, 60.5668)*CHOOSE(CONTROL!$C$21, $C$9, 100%, $E$9)</f>
        <v>60.566800000000001</v>
      </c>
      <c r="H803" s="14">
        <f>CHOOSE(CONTROL!$C$42, 60.64, 60.64) * CHOOSE(CONTROL!$C$21, $C$9, 100%, $E$9)</f>
        <v>60.64</v>
      </c>
      <c r="I803" s="14">
        <f>CHOOSE(CONTROL!$C$42, 60.7514, 60.7514)* CHOOSE(CONTROL!$C$21, $C$9, 100%, $E$9)</f>
        <v>60.751399999999997</v>
      </c>
      <c r="J803" s="14">
        <f>CHOOSE(CONTROL!$C$42, 60.5431, 60.5431)* CHOOSE(CONTROL!$C$21, $C$9, 100%, $E$9)</f>
        <v>60.543100000000003</v>
      </c>
      <c r="K803" s="53">
        <f>CHOOSE(CONTROL!$C$42, 60.7475, 60.7475) * CHOOSE(CONTROL!$C$21, $C$9, 100%, $E$9)</f>
        <v>60.747500000000002</v>
      </c>
      <c r="L803" s="14">
        <f>CHOOSE(CONTROL!$C$42, 61.227, 61.227) * CHOOSE(CONTROL!$C$21, $C$9, 100%, $E$9)</f>
        <v>61.226999999999997</v>
      </c>
      <c r="M803" s="14">
        <f>CHOOSE(CONTROL!$C$42, 59.3103, 59.3103) * CHOOSE(CONTROL!$C$21, $C$9, 100%, $E$9)</f>
        <v>59.310299999999998</v>
      </c>
      <c r="N803" s="14">
        <f>CHOOSE(CONTROL!$C$42, 59.3266, 59.3266) * CHOOSE(CONTROL!$C$21, $C$9, 100%, $E$9)</f>
        <v>59.326599999999999</v>
      </c>
      <c r="O803" s="14">
        <f>CHOOSE(CONTROL!$C$42, 59.4052, 59.4052) * CHOOSE(CONTROL!$C$21, $C$9, 100%, $E$9)</f>
        <v>59.405200000000001</v>
      </c>
      <c r="P803" s="14">
        <f>CHOOSE(CONTROL!$C$42, 59.5106, 59.5106) * CHOOSE(CONTROL!$C$21, $C$9, 100%, $E$9)</f>
        <v>59.510599999999997</v>
      </c>
      <c r="Q803" s="14">
        <f>CHOOSE(CONTROL!$C$42, 59.9999, 59.9999) * CHOOSE(CONTROL!$C$21, $C$9, 100%, $E$9)</f>
        <v>59.999899999999997</v>
      </c>
      <c r="R803" s="14">
        <f>CHOOSE(CONTROL!$C$42, 60.7369, 60.7369) * CHOOSE(CONTROL!$C$21, $C$9, 100%, $E$9)</f>
        <v>60.736899999999999</v>
      </c>
      <c r="S803" s="14">
        <f>CHOOSE(CONTROL!$C$42, 58.1719, 58.1719) * CHOOSE(CONTROL!$C$21, $C$9, 100%, $E$9)</f>
        <v>58.171900000000001</v>
      </c>
      <c r="T8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7">
        <f>(1000*CHOOSE(CONTROL!$C$42, 695, 695)*CHOOSE(CONTROL!$C$42, 0.5599, 0.5599)*CHOOSE(CONTROL!$C$42, 30, 30))/1000000</f>
        <v>11.673914999999997</v>
      </c>
      <c r="V803" s="57">
        <f>(1000*CHOOSE(CONTROL!$C$42, 500, 500)*CHOOSE(CONTROL!$C$42, 0.275, 0.275)*CHOOSE(CONTROL!$C$42, 30, 30))/1000000</f>
        <v>4.125</v>
      </c>
      <c r="W803" s="57">
        <f>(1000*CHOOSE(CONTROL!$C$42, 0.1146, 0.1146)*CHOOSE(CONTROL!$C$42, 121.5, 121.5)*CHOOSE(CONTROL!$C$42, 30, 30))/1000000</f>
        <v>0.417717</v>
      </c>
      <c r="X803" s="57">
        <f>(30*0.1790888*100000/1000000)+(30*0.2374*100000/1000000)</f>
        <v>1.2494664</v>
      </c>
      <c r="Y803" s="57"/>
      <c r="Z803" s="14"/>
      <c r="AA803" s="56"/>
      <c r="AB803" s="50">
        <f>(B803*122.58+C803*297.941+D803*89.177+E803*40.302+F803*40+G803*160+H803*0+I803*100+J803*300)/(122.58+297.941+89.177+40.302+0+40+160+100+300)</f>
        <v>60.577286224695655</v>
      </c>
      <c r="AC803" s="45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59.383070503597118</v>
      </c>
    </row>
    <row r="804" spans="1:29" ht="15.75" x14ac:dyDescent="0.25">
      <c r="A804" s="32">
        <v>65380</v>
      </c>
      <c r="B804" s="14">
        <f>CHOOSE(CONTROL!$C$42, 64.6753, 64.6753) * CHOOSE(CONTROL!$C$21, $C$9, 100%, $E$9)</f>
        <v>64.675299999999993</v>
      </c>
      <c r="C804" s="14">
        <f>CHOOSE(CONTROL!$C$42, 64.6804, 64.6804) * CHOOSE(CONTROL!$C$21, $C$9, 100%, $E$9)</f>
        <v>64.680400000000006</v>
      </c>
      <c r="D804" s="14">
        <f>CHOOSE(CONTROL!$C$42, 64.7442, 64.7442) * CHOOSE(CONTROL!$C$21, $C$9, 100%, $E$9)</f>
        <v>64.744200000000006</v>
      </c>
      <c r="E804" s="14">
        <f>CHOOSE(CONTROL!$C$42, 64.7783, 64.7783) * CHOOSE(CONTROL!$C$21, $C$9, 100%, $E$9)</f>
        <v>64.778300000000002</v>
      </c>
      <c r="F804" s="14">
        <f>CHOOSE(CONTROL!$C$42, 64.6796, 64.6796)*CHOOSE(CONTROL!$C$21, $C$9, 100%, $E$9)</f>
        <v>64.679599999999994</v>
      </c>
      <c r="G804" s="14">
        <f>CHOOSE(CONTROL!$C$42, 64.6968, 64.6968)*CHOOSE(CONTROL!$C$21, $C$9, 100%, $E$9)</f>
        <v>64.696799999999996</v>
      </c>
      <c r="H804" s="14">
        <f>CHOOSE(CONTROL!$C$42, 64.7675, 64.7675) * CHOOSE(CONTROL!$C$21, $C$9, 100%, $E$9)</f>
        <v>64.767499999999998</v>
      </c>
      <c r="I804" s="14">
        <f>CHOOSE(CONTROL!$C$42, 64.8918, 64.8918)* CHOOSE(CONTROL!$C$21, $C$9, 100%, $E$9)</f>
        <v>64.891800000000003</v>
      </c>
      <c r="J804" s="14">
        <f>CHOOSE(CONTROL!$C$42, 64.6726, 64.6726)* CHOOSE(CONTROL!$C$21, $C$9, 100%, $E$9)</f>
        <v>64.672600000000003</v>
      </c>
      <c r="K804" s="53">
        <f>CHOOSE(CONTROL!$C$42, 64.8879, 64.8879) * CHOOSE(CONTROL!$C$21, $C$9, 100%, $E$9)</f>
        <v>64.887900000000002</v>
      </c>
      <c r="L804" s="14">
        <f>CHOOSE(CONTROL!$C$42, 65.3545, 65.3545) * CHOOSE(CONTROL!$C$21, $C$9, 100%, $E$9)</f>
        <v>65.354500000000002</v>
      </c>
      <c r="M804" s="14">
        <f>CHOOSE(CONTROL!$C$42, 63.3552, 63.3552) * CHOOSE(CONTROL!$C$21, $C$9, 100%, $E$9)</f>
        <v>63.355200000000004</v>
      </c>
      <c r="N804" s="14">
        <f>CHOOSE(CONTROL!$C$42, 63.3721, 63.3721) * CHOOSE(CONTROL!$C$21, $C$9, 100%, $E$9)</f>
        <v>63.372100000000003</v>
      </c>
      <c r="O804" s="14">
        <f>CHOOSE(CONTROL!$C$42, 63.4481, 63.4481) * CHOOSE(CONTROL!$C$21, $C$9, 100%, $E$9)</f>
        <v>63.448099999999997</v>
      </c>
      <c r="P804" s="14">
        <f>CHOOSE(CONTROL!$C$42, 63.5659, 63.5659) * CHOOSE(CONTROL!$C$21, $C$9, 100%, $E$9)</f>
        <v>63.565899999999999</v>
      </c>
      <c r="Q804" s="14">
        <f>CHOOSE(CONTROL!$C$42, 64.0428, 64.0428) * CHOOSE(CONTROL!$C$21, $C$9, 100%, $E$9)</f>
        <v>64.0428</v>
      </c>
      <c r="R804" s="14">
        <f>CHOOSE(CONTROL!$C$42, 64.79, 64.79) * CHOOSE(CONTROL!$C$21, $C$9, 100%, $E$9)</f>
        <v>64.790000000000006</v>
      </c>
      <c r="S804" s="14">
        <f>CHOOSE(CONTROL!$C$42, 62.138, 62.138) * CHOOSE(CONTROL!$C$21, $C$9, 100%, $E$9)</f>
        <v>62.137999999999998</v>
      </c>
      <c r="T8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7">
        <f>(1000*CHOOSE(CONTROL!$C$42, 695, 695)*CHOOSE(CONTROL!$C$42, 0.5599, 0.5599)*CHOOSE(CONTROL!$C$42, 31, 31))/1000000</f>
        <v>12.063045499999998</v>
      </c>
      <c r="V804" s="57">
        <f>(1000*CHOOSE(CONTROL!$C$42, 500, 500)*CHOOSE(CONTROL!$C$42, 0.275, 0.275)*CHOOSE(CONTROL!$C$42, 31, 31))/1000000</f>
        <v>4.2625000000000002</v>
      </c>
      <c r="W804" s="57">
        <f>(1000*CHOOSE(CONTROL!$C$42, 0.1146, 0.1146)*CHOOSE(CONTROL!$C$42, 121.5, 121.5)*CHOOSE(CONTROL!$C$42, 31, 31))/1000000</f>
        <v>0.43164089999999994</v>
      </c>
      <c r="X804" s="57">
        <f>(31*0.1790888*100000/1000000)+(31*0.2374*100000/1000000)</f>
        <v>1.2911152800000001</v>
      </c>
      <c r="Y804" s="57"/>
      <c r="Z804" s="14"/>
      <c r="AA804" s="56"/>
      <c r="AB804" s="50">
        <f>(B804*122.58+C804*297.941+D804*89.177+E804*40.302+F804*40+G804*160+H804*0+I804*100+J804*300)/(122.58+297.941+89.177+40.302+0+40+160+100+300)</f>
        <v>64.706836435130427</v>
      </c>
      <c r="AC804" s="45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63.428594964028782</v>
      </c>
    </row>
    <row r="805" spans="1:29" ht="15.75" x14ac:dyDescent="0.25">
      <c r="A805" s="32">
        <v>65411</v>
      </c>
      <c r="B805" s="14">
        <f>CHOOSE(CONTROL!$C$42, 69.9723, 69.9723) * CHOOSE(CONTROL!$C$21, $C$9, 100%, $E$9)</f>
        <v>69.972300000000004</v>
      </c>
      <c r="C805" s="14">
        <f>CHOOSE(CONTROL!$C$42, 69.9774, 69.9774) * CHOOSE(CONTROL!$C$21, $C$9, 100%, $E$9)</f>
        <v>69.977400000000003</v>
      </c>
      <c r="D805" s="14">
        <f>CHOOSE(CONTROL!$C$42, 70.036, 70.036) * CHOOSE(CONTROL!$C$21, $C$9, 100%, $E$9)</f>
        <v>70.036000000000001</v>
      </c>
      <c r="E805" s="14">
        <f>CHOOSE(CONTROL!$C$42, 70.0701, 70.0701) * CHOOSE(CONTROL!$C$21, $C$9, 100%, $E$9)</f>
        <v>70.070099999999996</v>
      </c>
      <c r="F805" s="14">
        <f>CHOOSE(CONTROL!$C$42, 69.9715, 69.9715)*CHOOSE(CONTROL!$C$21, $C$9, 100%, $E$9)</f>
        <v>69.971500000000006</v>
      </c>
      <c r="G805" s="14">
        <f>CHOOSE(CONTROL!$C$42, 69.9878, 69.9878)*CHOOSE(CONTROL!$C$21, $C$9, 100%, $E$9)</f>
        <v>69.987799999999993</v>
      </c>
      <c r="H805" s="14">
        <f>CHOOSE(CONTROL!$C$42, 70.0593, 70.0593) * CHOOSE(CONTROL!$C$21, $C$9, 100%, $E$9)</f>
        <v>70.059299999999993</v>
      </c>
      <c r="I805" s="14">
        <f>CHOOSE(CONTROL!$C$42, 70.2017, 70.2017)* CHOOSE(CONTROL!$C$21, $C$9, 100%, $E$9)</f>
        <v>70.201700000000002</v>
      </c>
      <c r="J805" s="14">
        <f>CHOOSE(CONTROL!$C$42, 69.9645, 69.9645)* CHOOSE(CONTROL!$C$21, $C$9, 100%, $E$9)</f>
        <v>69.964500000000001</v>
      </c>
      <c r="K805" s="53">
        <f>CHOOSE(CONTROL!$C$42, 70.1978, 70.1978) * CHOOSE(CONTROL!$C$21, $C$9, 100%, $E$9)</f>
        <v>70.197800000000001</v>
      </c>
      <c r="L805" s="14">
        <f>CHOOSE(CONTROL!$C$42, 70.6463, 70.6463) * CHOOSE(CONTROL!$C$21, $C$9, 100%, $E$9)</f>
        <v>70.646299999999997</v>
      </c>
      <c r="M805" s="14">
        <f>CHOOSE(CONTROL!$C$42, 68.5386, 68.5386) * CHOOSE(CONTROL!$C$21, $C$9, 100%, $E$9)</f>
        <v>68.538600000000002</v>
      </c>
      <c r="N805" s="14">
        <f>CHOOSE(CONTROL!$C$42, 68.5547, 68.5547) * CHOOSE(CONTROL!$C$21, $C$9, 100%, $E$9)</f>
        <v>68.554699999999997</v>
      </c>
      <c r="O805" s="14">
        <f>CHOOSE(CONTROL!$C$42, 68.6315, 68.6315) * CHOOSE(CONTROL!$C$21, $C$9, 100%, $E$9)</f>
        <v>68.631500000000003</v>
      </c>
      <c r="P805" s="14">
        <f>CHOOSE(CONTROL!$C$42, 68.7667, 68.7667) * CHOOSE(CONTROL!$C$21, $C$9, 100%, $E$9)</f>
        <v>68.7667</v>
      </c>
      <c r="Q805" s="14">
        <f>CHOOSE(CONTROL!$C$42, 69.2262, 69.2262) * CHOOSE(CONTROL!$C$21, $C$9, 100%, $E$9)</f>
        <v>69.226200000000006</v>
      </c>
      <c r="R805" s="14">
        <f>CHOOSE(CONTROL!$C$42, 69.9863, 69.9863) * CHOOSE(CONTROL!$C$21, $C$9, 100%, $E$9)</f>
        <v>69.9863</v>
      </c>
      <c r="S805" s="14">
        <f>CHOOSE(CONTROL!$C$42, 67.2279, 67.2279) * CHOOSE(CONTROL!$C$21, $C$9, 100%, $E$9)</f>
        <v>67.227900000000005</v>
      </c>
      <c r="T8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7">
        <f>(1000*CHOOSE(CONTROL!$C$42, 695, 695)*CHOOSE(CONTROL!$C$42, 0.5599, 0.5599)*CHOOSE(CONTROL!$C$42, 31, 31))/1000000</f>
        <v>12.063045499999998</v>
      </c>
      <c r="V805" s="57">
        <f>(1000*CHOOSE(CONTROL!$C$42, 500, 500)*CHOOSE(CONTROL!$C$42, 0.275, 0.275)*CHOOSE(CONTROL!$C$42, 31, 31))/1000000</f>
        <v>4.2625000000000002</v>
      </c>
      <c r="W805" s="57">
        <f>(1000*CHOOSE(CONTROL!$C$42, 0.1146, 0.1146)*CHOOSE(CONTROL!$C$42, 121.5, 121.5)*CHOOSE(CONTROL!$C$42, 31, 31))/1000000</f>
        <v>0.43164089999999994</v>
      </c>
      <c r="X805" s="57">
        <f>(31*0.1790888*100000/1000000)+(31*0.2374*100000/1000000)</f>
        <v>1.2911152800000001</v>
      </c>
      <c r="Y805" s="57"/>
      <c r="Z805" s="14"/>
      <c r="AA805" s="56"/>
      <c r="AB805" s="50">
        <f>(B805*122.58+C805*297.941+D805*89.177+E805*40.302+F805*40+G805*160+H805*0+I805*100+J805*300)/(122.58+297.941+89.177+40.302+0+40+160+100+300)</f>
        <v>70.002030095304335</v>
      </c>
      <c r="AC805" s="45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68.614452517985612</v>
      </c>
    </row>
    <row r="806" spans="1:29" ht="15.75" x14ac:dyDescent="0.25">
      <c r="A806" s="32">
        <v>65439</v>
      </c>
      <c r="B806" s="14">
        <f>CHOOSE(CONTROL!$C$42, 71.2178, 71.2178) * CHOOSE(CONTROL!$C$21, $C$9, 100%, $E$9)</f>
        <v>71.217799999999997</v>
      </c>
      <c r="C806" s="14">
        <f>CHOOSE(CONTROL!$C$42, 71.2228, 71.2228) * CHOOSE(CONTROL!$C$21, $C$9, 100%, $E$9)</f>
        <v>71.222800000000007</v>
      </c>
      <c r="D806" s="14">
        <f>CHOOSE(CONTROL!$C$42, 71.2815, 71.2815) * CHOOSE(CONTROL!$C$21, $C$9, 100%, $E$9)</f>
        <v>71.281499999999994</v>
      </c>
      <c r="E806" s="14">
        <f>CHOOSE(CONTROL!$C$42, 71.3156, 71.3156) * CHOOSE(CONTROL!$C$21, $C$9, 100%, $E$9)</f>
        <v>71.315600000000003</v>
      </c>
      <c r="F806" s="14">
        <f>CHOOSE(CONTROL!$C$42, 71.2169, 71.2169)*CHOOSE(CONTROL!$C$21, $C$9, 100%, $E$9)</f>
        <v>71.216899999999995</v>
      </c>
      <c r="G806" s="14">
        <f>CHOOSE(CONTROL!$C$42, 71.2332, 71.2332)*CHOOSE(CONTROL!$C$21, $C$9, 100%, $E$9)</f>
        <v>71.233199999999997</v>
      </c>
      <c r="H806" s="14">
        <f>CHOOSE(CONTROL!$C$42, 71.3048, 71.3048) * CHOOSE(CONTROL!$C$21, $C$9, 100%, $E$9)</f>
        <v>71.3048</v>
      </c>
      <c r="I806" s="14">
        <f>CHOOSE(CONTROL!$C$42, 71.4511, 71.4511)* CHOOSE(CONTROL!$C$21, $C$9, 100%, $E$9)</f>
        <v>71.451099999999997</v>
      </c>
      <c r="J806" s="14">
        <f>CHOOSE(CONTROL!$C$42, 71.2099, 71.2099)* CHOOSE(CONTROL!$C$21, $C$9, 100%, $E$9)</f>
        <v>71.209900000000005</v>
      </c>
      <c r="K806" s="53">
        <f>CHOOSE(CONTROL!$C$42, 71.4472, 71.4472) * CHOOSE(CONTROL!$C$21, $C$9, 100%, $E$9)</f>
        <v>71.447199999999995</v>
      </c>
      <c r="L806" s="14">
        <f>CHOOSE(CONTROL!$C$42, 71.8918, 71.8918) * CHOOSE(CONTROL!$C$21, $C$9, 100%, $E$9)</f>
        <v>71.891800000000003</v>
      </c>
      <c r="M806" s="14">
        <f>CHOOSE(CONTROL!$C$42, 69.7585, 69.7585) * CHOOSE(CONTROL!$C$21, $C$9, 100%, $E$9)</f>
        <v>69.758499999999998</v>
      </c>
      <c r="N806" s="14">
        <f>CHOOSE(CONTROL!$C$42, 69.7746, 69.7746) * CHOOSE(CONTROL!$C$21, $C$9, 100%, $E$9)</f>
        <v>69.774600000000007</v>
      </c>
      <c r="O806" s="14">
        <f>CHOOSE(CONTROL!$C$42, 69.8515, 69.8515) * CHOOSE(CONTROL!$C$21, $C$9, 100%, $E$9)</f>
        <v>69.851500000000001</v>
      </c>
      <c r="P806" s="14">
        <f>CHOOSE(CONTROL!$C$42, 69.9904, 69.9904) * CHOOSE(CONTROL!$C$21, $C$9, 100%, $E$9)</f>
        <v>69.990399999999994</v>
      </c>
      <c r="Q806" s="14">
        <f>CHOOSE(CONTROL!$C$42, 70.4462, 70.4462) * CHOOSE(CONTROL!$C$21, $C$9, 100%, $E$9)</f>
        <v>70.446200000000005</v>
      </c>
      <c r="R806" s="14">
        <f>CHOOSE(CONTROL!$C$42, 71.2093, 71.2093) * CHOOSE(CONTROL!$C$21, $C$9, 100%, $E$9)</f>
        <v>71.209299999999999</v>
      </c>
      <c r="S806" s="14">
        <f>CHOOSE(CONTROL!$C$42, 68.4246, 68.4246) * CHOOSE(CONTROL!$C$21, $C$9, 100%, $E$9)</f>
        <v>68.424599999999998</v>
      </c>
      <c r="T8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7">
        <f>(1000*CHOOSE(CONTROL!$C$42, 695, 695)*CHOOSE(CONTROL!$C$42, 0.5599, 0.5599)*CHOOSE(CONTROL!$C$42, 28, 28))/1000000</f>
        <v>10.895653999999999</v>
      </c>
      <c r="V806" s="57">
        <f>(1000*CHOOSE(CONTROL!$C$42, 500, 500)*CHOOSE(CONTROL!$C$42, 0.275, 0.275)*CHOOSE(CONTROL!$C$42, 28, 28))/1000000</f>
        <v>3.85</v>
      </c>
      <c r="W806" s="57">
        <f>(1000*CHOOSE(CONTROL!$C$42, 0.1146, 0.1146)*CHOOSE(CONTROL!$C$42, 121.5, 121.5)*CHOOSE(CONTROL!$C$42, 28, 28))/1000000</f>
        <v>0.38986920000000003</v>
      </c>
      <c r="X806" s="57">
        <f>(28*0.1790888*100000/1000000)+(28*0.2374*100000/1000000)</f>
        <v>1.16616864</v>
      </c>
      <c r="Y806" s="57"/>
      <c r="Z806" s="14"/>
      <c r="AA806" s="56"/>
      <c r="AB806" s="50">
        <f>(B806*122.58+C806*297.941+D806*89.177+E806*40.302+F806*40+G806*160+H806*0+I806*100+J806*300)/(122.58+297.941+89.177+40.302+0+40+160+100+300)</f>
        <v>71.247799839565218</v>
      </c>
      <c r="AC806" s="45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69.834944604316547</v>
      </c>
    </row>
    <row r="807" spans="1:29" ht="15.75" x14ac:dyDescent="0.25">
      <c r="A807" s="32">
        <v>65470</v>
      </c>
      <c r="B807" s="14">
        <f>CHOOSE(CONTROL!$C$42, 69.1961, 69.1961) * CHOOSE(CONTROL!$C$21, $C$9, 100%, $E$9)</f>
        <v>69.196100000000001</v>
      </c>
      <c r="C807" s="14">
        <f>CHOOSE(CONTROL!$C$42, 69.2012, 69.2012) * CHOOSE(CONTROL!$C$21, $C$9, 100%, $E$9)</f>
        <v>69.2012</v>
      </c>
      <c r="D807" s="14">
        <f>CHOOSE(CONTROL!$C$42, 69.2598, 69.2598) * CHOOSE(CONTROL!$C$21, $C$9, 100%, $E$9)</f>
        <v>69.259799999999998</v>
      </c>
      <c r="E807" s="14">
        <f>CHOOSE(CONTROL!$C$42, 69.2939, 69.2939) * CHOOSE(CONTROL!$C$21, $C$9, 100%, $E$9)</f>
        <v>69.293899999999994</v>
      </c>
      <c r="F807" s="14">
        <f>CHOOSE(CONTROL!$C$42, 69.1947, 69.1947)*CHOOSE(CONTROL!$C$21, $C$9, 100%, $E$9)</f>
        <v>69.194699999999997</v>
      </c>
      <c r="G807" s="14">
        <f>CHOOSE(CONTROL!$C$42, 69.2109, 69.2109)*CHOOSE(CONTROL!$C$21, $C$9, 100%, $E$9)</f>
        <v>69.210899999999995</v>
      </c>
      <c r="H807" s="14">
        <f>CHOOSE(CONTROL!$C$42, 69.2831, 69.2831) * CHOOSE(CONTROL!$C$21, $C$9, 100%, $E$9)</f>
        <v>69.283100000000005</v>
      </c>
      <c r="I807" s="14">
        <f>CHOOSE(CONTROL!$C$42, 69.4231, 69.4231)* CHOOSE(CONTROL!$C$21, $C$9, 100%, $E$9)</f>
        <v>69.423100000000005</v>
      </c>
      <c r="J807" s="14">
        <f>CHOOSE(CONTROL!$C$42, 69.1877, 69.1877)* CHOOSE(CONTROL!$C$21, $C$9, 100%, $E$9)</f>
        <v>69.187700000000007</v>
      </c>
      <c r="K807" s="53">
        <f>CHOOSE(CONTROL!$C$42, 69.4192, 69.4192) * CHOOSE(CONTROL!$C$21, $C$9, 100%, $E$9)</f>
        <v>69.419200000000004</v>
      </c>
      <c r="L807" s="14">
        <f>CHOOSE(CONTROL!$C$42, 69.8701, 69.8701) * CHOOSE(CONTROL!$C$21, $C$9, 100%, $E$9)</f>
        <v>69.870099999999994</v>
      </c>
      <c r="M807" s="14">
        <f>CHOOSE(CONTROL!$C$42, 67.7778, 67.7778) * CHOOSE(CONTROL!$C$21, $C$9, 100%, $E$9)</f>
        <v>67.777799999999999</v>
      </c>
      <c r="N807" s="14">
        <f>CHOOSE(CONTROL!$C$42, 67.7937, 67.7937) * CHOOSE(CONTROL!$C$21, $C$9, 100%, $E$9)</f>
        <v>67.793700000000001</v>
      </c>
      <c r="O807" s="14">
        <f>CHOOSE(CONTROL!$C$42, 67.8712, 67.8712) * CHOOSE(CONTROL!$C$21, $C$9, 100%, $E$9)</f>
        <v>67.871200000000002</v>
      </c>
      <c r="P807" s="14">
        <f>CHOOSE(CONTROL!$C$42, 68.0041, 68.0041) * CHOOSE(CONTROL!$C$21, $C$9, 100%, $E$9)</f>
        <v>68.004099999999994</v>
      </c>
      <c r="Q807" s="14">
        <f>CHOOSE(CONTROL!$C$42, 68.4659, 68.4659) * CHOOSE(CONTROL!$C$21, $C$9, 100%, $E$9)</f>
        <v>68.465900000000005</v>
      </c>
      <c r="R807" s="14">
        <f>CHOOSE(CONTROL!$C$42, 69.2241, 69.2241) * CHOOSE(CONTROL!$C$21, $C$9, 100%, $E$9)</f>
        <v>69.224100000000007</v>
      </c>
      <c r="S807" s="14">
        <f>CHOOSE(CONTROL!$C$42, 66.482, 66.482) * CHOOSE(CONTROL!$C$21, $C$9, 100%, $E$9)</f>
        <v>66.481999999999999</v>
      </c>
      <c r="T8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7">
        <f>(1000*CHOOSE(CONTROL!$C$42, 695, 695)*CHOOSE(CONTROL!$C$42, 0.5599, 0.5599)*CHOOSE(CONTROL!$C$42, 31, 31))/1000000</f>
        <v>12.063045499999998</v>
      </c>
      <c r="V807" s="57">
        <f>(1000*CHOOSE(CONTROL!$C$42, 500, 500)*CHOOSE(CONTROL!$C$42, 0.275, 0.275)*CHOOSE(CONTROL!$C$42, 31, 31))/1000000</f>
        <v>4.2625000000000002</v>
      </c>
      <c r="W807" s="57">
        <f>(1000*CHOOSE(CONTROL!$C$42, 0.1146, 0.1146)*CHOOSE(CONTROL!$C$42, 121.5, 121.5)*CHOOSE(CONTROL!$C$42, 31, 31))/1000000</f>
        <v>0.43164089999999994</v>
      </c>
      <c r="X807" s="57">
        <f>(31*0.1790888*100000/1000000)+(31*0.2374*100000/1000000)</f>
        <v>1.2911152800000001</v>
      </c>
      <c r="Y807" s="57"/>
      <c r="Z807" s="14"/>
      <c r="AA807" s="56"/>
      <c r="AB807" s="50">
        <f>(B807*122.58+C807*297.941+D807*89.177+E807*40.302+F807*40+G807*160+H807*0+I807*100+J807*300)/(122.58+297.941+89.177+40.302+0+40+160+100+300)</f>
        <v>69.225346617043485</v>
      </c>
      <c r="AC807" s="45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67.853608633093529</v>
      </c>
    </row>
    <row r="808" spans="1:29" ht="15.75" x14ac:dyDescent="0.25">
      <c r="A808" s="32">
        <v>65500</v>
      </c>
      <c r="B808" s="14">
        <f>CHOOSE(CONTROL!$C$42, 68.9902, 68.9902) * CHOOSE(CONTROL!$C$21, $C$9, 100%, $E$9)</f>
        <v>68.990200000000002</v>
      </c>
      <c r="C808" s="14">
        <f>CHOOSE(CONTROL!$C$42, 68.9946, 68.9946) * CHOOSE(CONTROL!$C$21, $C$9, 100%, $E$9)</f>
        <v>68.994600000000005</v>
      </c>
      <c r="D808" s="14">
        <f>CHOOSE(CONTROL!$C$42, 69.2028, 69.2028) * CHOOSE(CONTROL!$C$21, $C$9, 100%, $E$9)</f>
        <v>69.202799999999996</v>
      </c>
      <c r="E808" s="14">
        <f>CHOOSE(CONTROL!$C$42, 69.2349, 69.2349) * CHOOSE(CONTROL!$C$21, $C$9, 100%, $E$9)</f>
        <v>69.234899999999996</v>
      </c>
      <c r="F808" s="14">
        <f>CHOOSE(CONTROL!$C$42, 68.9775, 68.9775)*CHOOSE(CONTROL!$C$21, $C$9, 100%, $E$9)</f>
        <v>68.977500000000006</v>
      </c>
      <c r="G808" s="14">
        <f>CHOOSE(CONTROL!$C$42, 68.9934, 68.9934)*CHOOSE(CONTROL!$C$21, $C$9, 100%, $E$9)</f>
        <v>68.993399999999994</v>
      </c>
      <c r="H808" s="14">
        <f>CHOOSE(CONTROL!$C$42, 69.2246, 69.2246) * CHOOSE(CONTROL!$C$21, $C$9, 100%, $E$9)</f>
        <v>69.224599999999995</v>
      </c>
      <c r="I808" s="14">
        <f>CHOOSE(CONTROL!$C$42, 69.2157, 69.2157)* CHOOSE(CONTROL!$C$21, $C$9, 100%, $E$9)</f>
        <v>69.215699999999998</v>
      </c>
      <c r="J808" s="14">
        <f>CHOOSE(CONTROL!$C$42, 68.9705, 68.9705)* CHOOSE(CONTROL!$C$21, $C$9, 100%, $E$9)</f>
        <v>68.970500000000001</v>
      </c>
      <c r="K808" s="53">
        <f>CHOOSE(CONTROL!$C$42, 69.2118, 69.2118) * CHOOSE(CONTROL!$C$21, $C$9, 100%, $E$9)</f>
        <v>69.211799999999997</v>
      </c>
      <c r="L808" s="14">
        <f>CHOOSE(CONTROL!$C$42, 69.8116, 69.8116) * CHOOSE(CONTROL!$C$21, $C$9, 100%, $E$9)</f>
        <v>69.811599999999999</v>
      </c>
      <c r="M808" s="14">
        <f>CHOOSE(CONTROL!$C$42, 67.565, 67.565) * CHOOSE(CONTROL!$C$21, $C$9, 100%, $E$9)</f>
        <v>67.564999999999998</v>
      </c>
      <c r="N808" s="14">
        <f>CHOOSE(CONTROL!$C$42, 67.5807, 67.5807) * CHOOSE(CONTROL!$C$21, $C$9, 100%, $E$9)</f>
        <v>67.580699999999993</v>
      </c>
      <c r="O808" s="14">
        <f>CHOOSE(CONTROL!$C$42, 67.814, 67.814) * CHOOSE(CONTROL!$C$21, $C$9, 100%, $E$9)</f>
        <v>67.813999999999993</v>
      </c>
      <c r="P808" s="14">
        <f>CHOOSE(CONTROL!$C$42, 67.8009, 67.8009) * CHOOSE(CONTROL!$C$21, $C$9, 100%, $E$9)</f>
        <v>67.800899999999999</v>
      </c>
      <c r="Q808" s="14">
        <f>CHOOSE(CONTROL!$C$42, 68.4087, 68.4087) * CHOOSE(CONTROL!$C$21, $C$9, 100%, $E$9)</f>
        <v>68.408699999999996</v>
      </c>
      <c r="R808" s="14">
        <f>CHOOSE(CONTROL!$C$42, 69.1667, 69.1667) * CHOOSE(CONTROL!$C$21, $C$9, 100%, $E$9)</f>
        <v>69.166700000000006</v>
      </c>
      <c r="S808" s="14">
        <f>CHOOSE(CONTROL!$C$42, 66.2833, 66.2833) * CHOOSE(CONTROL!$C$21, $C$9, 100%, $E$9)</f>
        <v>66.283299999999997</v>
      </c>
      <c r="T8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7">
        <f>(1000*CHOOSE(CONTROL!$C$42, 695, 695)*CHOOSE(CONTROL!$C$42, 0.5599, 0.5599)*CHOOSE(CONTROL!$C$42, 30, 30))/1000000</f>
        <v>11.673914999999997</v>
      </c>
      <c r="V808" s="57">
        <f>(1000*CHOOSE(CONTROL!$C$42, 500, 500)*CHOOSE(CONTROL!$C$42, 0.275, 0.275)*CHOOSE(CONTROL!$C$42, 30, 30))/1000000</f>
        <v>4.125</v>
      </c>
      <c r="W808" s="57">
        <f>(1000*CHOOSE(CONTROL!$C$42, 0.1146, 0.1146)*CHOOSE(CONTROL!$C$42, 121.5, 121.5)*CHOOSE(CONTROL!$C$42, 30, 30))/1000000</f>
        <v>0.417717</v>
      </c>
      <c r="X808" s="57">
        <f>(30*0.1790888*245000/1000000)+(30*0.2374*100000/1000000)</f>
        <v>2.0285026799999999</v>
      </c>
      <c r="Y808" s="57"/>
      <c r="Z808" s="14"/>
      <c r="AA808" s="56"/>
      <c r="AB808" s="50">
        <f>(B808*141.293+C808*267.993+D808*115.016+E808*89.698+F808*40+G808*185+H808*0+I808*100+J808*300)/(141.293+267.993+115.016+89.698+0+40+185+100+300)</f>
        <v>69.042100461178364</v>
      </c>
      <c r="AC808" s="45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67.712702158273373</v>
      </c>
    </row>
    <row r="809" spans="1:29" ht="15.75" x14ac:dyDescent="0.25">
      <c r="A809" s="32">
        <v>65531</v>
      </c>
      <c r="B809" s="14">
        <f>CHOOSE(CONTROL!$C$42, 69.6004, 69.6004) * CHOOSE(CONTROL!$C$21, $C$9, 100%, $E$9)</f>
        <v>69.600399999999993</v>
      </c>
      <c r="C809" s="14">
        <f>CHOOSE(CONTROL!$C$42, 69.6084, 69.6084) * CHOOSE(CONTROL!$C$21, $C$9, 100%, $E$9)</f>
        <v>69.608400000000003</v>
      </c>
      <c r="D809" s="14">
        <f>CHOOSE(CONTROL!$C$42, 69.8134, 69.8134) * CHOOSE(CONTROL!$C$21, $C$9, 100%, $E$9)</f>
        <v>69.813400000000001</v>
      </c>
      <c r="E809" s="14">
        <f>CHOOSE(CONTROL!$C$42, 69.8448, 69.8448) * CHOOSE(CONTROL!$C$21, $C$9, 100%, $E$9)</f>
        <v>69.844800000000006</v>
      </c>
      <c r="F809" s="14">
        <f>CHOOSE(CONTROL!$C$42, 69.5866, 69.5866)*CHOOSE(CONTROL!$C$21, $C$9, 100%, $E$9)</f>
        <v>69.586600000000004</v>
      </c>
      <c r="G809" s="14">
        <f>CHOOSE(CONTROL!$C$42, 69.603, 69.603)*CHOOSE(CONTROL!$C$21, $C$9, 100%, $E$9)</f>
        <v>69.602999999999994</v>
      </c>
      <c r="H809" s="14">
        <f>CHOOSE(CONTROL!$C$42, 69.8335, 69.8335) * CHOOSE(CONTROL!$C$21, $C$9, 100%, $E$9)</f>
        <v>69.833500000000001</v>
      </c>
      <c r="I809" s="14">
        <f>CHOOSE(CONTROL!$C$42, 69.8264, 69.8264)* CHOOSE(CONTROL!$C$21, $C$9, 100%, $E$9)</f>
        <v>69.826400000000007</v>
      </c>
      <c r="J809" s="14">
        <f>CHOOSE(CONTROL!$C$42, 69.5796, 69.5796)* CHOOSE(CONTROL!$C$21, $C$9, 100%, $E$9)</f>
        <v>69.579599999999999</v>
      </c>
      <c r="K809" s="53">
        <f>CHOOSE(CONTROL!$C$42, 69.8225, 69.8225) * CHOOSE(CONTROL!$C$21, $C$9, 100%, $E$9)</f>
        <v>69.822500000000005</v>
      </c>
      <c r="L809" s="14">
        <f>CHOOSE(CONTROL!$C$42, 70.4205, 70.4205) * CHOOSE(CONTROL!$C$21, $C$9, 100%, $E$9)</f>
        <v>70.420500000000004</v>
      </c>
      <c r="M809" s="14">
        <f>CHOOSE(CONTROL!$C$42, 68.1616, 68.1616) * CHOOSE(CONTROL!$C$21, $C$9, 100%, $E$9)</f>
        <v>68.161600000000007</v>
      </c>
      <c r="N809" s="14">
        <f>CHOOSE(CONTROL!$C$42, 68.1777, 68.1777) * CHOOSE(CONTROL!$C$21, $C$9, 100%, $E$9)</f>
        <v>68.177700000000002</v>
      </c>
      <c r="O809" s="14">
        <f>CHOOSE(CONTROL!$C$42, 68.4103, 68.4103) * CHOOSE(CONTROL!$C$21, $C$9, 100%, $E$9)</f>
        <v>68.410300000000007</v>
      </c>
      <c r="P809" s="14">
        <f>CHOOSE(CONTROL!$C$42, 68.3991, 68.3991) * CHOOSE(CONTROL!$C$21, $C$9, 100%, $E$9)</f>
        <v>68.399100000000004</v>
      </c>
      <c r="Q809" s="14">
        <f>CHOOSE(CONTROL!$C$42, 69.005, 69.005) * CHOOSE(CONTROL!$C$21, $C$9, 100%, $E$9)</f>
        <v>69.004999999999995</v>
      </c>
      <c r="R809" s="14">
        <f>CHOOSE(CONTROL!$C$42, 69.7645, 69.7645) * CHOOSE(CONTROL!$C$21, $C$9, 100%, $E$9)</f>
        <v>69.764499999999998</v>
      </c>
      <c r="S809" s="14">
        <f>CHOOSE(CONTROL!$C$42, 66.8684, 66.8684) * CHOOSE(CONTROL!$C$21, $C$9, 100%, $E$9)</f>
        <v>66.868399999999994</v>
      </c>
      <c r="T8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7">
        <f>(1000*CHOOSE(CONTROL!$C$42, 695, 695)*CHOOSE(CONTROL!$C$42, 0.5599, 0.5599)*CHOOSE(CONTROL!$C$42, 31, 31))/1000000</f>
        <v>12.063045499999998</v>
      </c>
      <c r="V809" s="57">
        <f>(1000*CHOOSE(CONTROL!$C$42, 500, 500)*CHOOSE(CONTROL!$C$42, 0.275, 0.275)*CHOOSE(CONTROL!$C$42, 31, 31))/1000000</f>
        <v>4.2625000000000002</v>
      </c>
      <c r="W809" s="57">
        <f>(1000*CHOOSE(CONTROL!$C$42, 0.1146, 0.1146)*CHOOSE(CONTROL!$C$42, 121.5, 121.5)*CHOOSE(CONTROL!$C$42, 31, 31))/1000000</f>
        <v>0.43164089999999994</v>
      </c>
      <c r="X809" s="57">
        <f>(31*0.1790888*245000/1000000)+(31*0.2374*100000/1000000)</f>
        <v>2.0961194359999999</v>
      </c>
      <c r="Y809" s="57"/>
      <c r="Z809" s="14"/>
      <c r="AA809" s="56"/>
      <c r="AB809" s="50">
        <f>(B809*194.205+C809*267.466+D809*133.845+E809*53.484+F809*40+G809*185+H809*0+I809*100+J809*300)/(194.205+267.466+133.845+53.484+0+40+185+100+300)</f>
        <v>69.647502984772373</v>
      </c>
      <c r="AC809" s="45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68.309419424460444</v>
      </c>
    </row>
    <row r="810" spans="1:29" ht="15.75" x14ac:dyDescent="0.25">
      <c r="A810" s="32">
        <v>65561</v>
      </c>
      <c r="B810" s="14">
        <f>CHOOSE(CONTROL!$C$42, 71.5743, 71.5743) * CHOOSE(CONTROL!$C$21, $C$9, 100%, $E$9)</f>
        <v>71.574299999999994</v>
      </c>
      <c r="C810" s="14">
        <f>CHOOSE(CONTROL!$C$42, 71.5824, 71.5824) * CHOOSE(CONTROL!$C$21, $C$9, 100%, $E$9)</f>
        <v>71.582400000000007</v>
      </c>
      <c r="D810" s="14">
        <f>CHOOSE(CONTROL!$C$42, 71.7873, 71.7873) * CHOOSE(CONTROL!$C$21, $C$9, 100%, $E$9)</f>
        <v>71.787300000000002</v>
      </c>
      <c r="E810" s="14">
        <f>CHOOSE(CONTROL!$C$42, 71.8188, 71.8188) * CHOOSE(CONTROL!$C$21, $C$9, 100%, $E$9)</f>
        <v>71.818799999999996</v>
      </c>
      <c r="F810" s="14">
        <f>CHOOSE(CONTROL!$C$42, 71.5609, 71.5609)*CHOOSE(CONTROL!$C$21, $C$9, 100%, $E$9)</f>
        <v>71.560900000000004</v>
      </c>
      <c r="G810" s="14">
        <f>CHOOSE(CONTROL!$C$42, 71.5774, 71.5774)*CHOOSE(CONTROL!$C$21, $C$9, 100%, $E$9)</f>
        <v>71.577399999999997</v>
      </c>
      <c r="H810" s="14">
        <f>CHOOSE(CONTROL!$C$42, 71.8074, 71.8074) * CHOOSE(CONTROL!$C$21, $C$9, 100%, $E$9)</f>
        <v>71.807400000000001</v>
      </c>
      <c r="I810" s="14">
        <f>CHOOSE(CONTROL!$C$42, 71.8065, 71.8065)* CHOOSE(CONTROL!$C$21, $C$9, 100%, $E$9)</f>
        <v>71.8065</v>
      </c>
      <c r="J810" s="14">
        <f>CHOOSE(CONTROL!$C$42, 71.5539, 71.5539)* CHOOSE(CONTROL!$C$21, $C$9, 100%, $E$9)</f>
        <v>71.553899999999999</v>
      </c>
      <c r="K810" s="53">
        <f>CHOOSE(CONTROL!$C$42, 71.8027, 71.8027) * CHOOSE(CONTROL!$C$21, $C$9, 100%, $E$9)</f>
        <v>71.802700000000002</v>
      </c>
      <c r="L810" s="14">
        <f>CHOOSE(CONTROL!$C$42, 72.3944, 72.3944) * CHOOSE(CONTROL!$C$21, $C$9, 100%, $E$9)</f>
        <v>72.394400000000005</v>
      </c>
      <c r="M810" s="14">
        <f>CHOOSE(CONTROL!$C$42, 70.0955, 70.0955) * CHOOSE(CONTROL!$C$21, $C$9, 100%, $E$9)</f>
        <v>70.095500000000001</v>
      </c>
      <c r="N810" s="14">
        <f>CHOOSE(CONTROL!$C$42, 70.1117, 70.1117) * CHOOSE(CONTROL!$C$21, $C$9, 100%, $E$9)</f>
        <v>70.111699999999999</v>
      </c>
      <c r="O810" s="14">
        <f>CHOOSE(CONTROL!$C$42, 70.3438, 70.3438) * CHOOSE(CONTROL!$C$21, $C$9, 100%, $E$9)</f>
        <v>70.343800000000002</v>
      </c>
      <c r="P810" s="14">
        <f>CHOOSE(CONTROL!$C$42, 70.3385, 70.3385) * CHOOSE(CONTROL!$C$21, $C$9, 100%, $E$9)</f>
        <v>70.338499999999996</v>
      </c>
      <c r="Q810" s="14">
        <f>CHOOSE(CONTROL!$C$42, 70.9385, 70.9385) * CHOOSE(CONTROL!$C$21, $C$9, 100%, $E$9)</f>
        <v>70.938500000000005</v>
      </c>
      <c r="R810" s="14">
        <f>CHOOSE(CONTROL!$C$42, 71.7029, 71.7029) * CHOOSE(CONTROL!$C$21, $C$9, 100%, $E$9)</f>
        <v>71.7029</v>
      </c>
      <c r="S810" s="14">
        <f>CHOOSE(CONTROL!$C$42, 68.7651, 68.7651) * CHOOSE(CONTROL!$C$21, $C$9, 100%, $E$9)</f>
        <v>68.765100000000004</v>
      </c>
      <c r="T8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7">
        <f>(1000*CHOOSE(CONTROL!$C$42, 695, 695)*CHOOSE(CONTROL!$C$42, 0.5599, 0.5599)*CHOOSE(CONTROL!$C$42, 30, 30))/1000000</f>
        <v>11.673914999999997</v>
      </c>
      <c r="V810" s="57">
        <f>(1000*CHOOSE(CONTROL!$C$42, 500, 500)*CHOOSE(CONTROL!$C$42, 0.275, 0.275)*CHOOSE(CONTROL!$C$42, 30, 30))/1000000</f>
        <v>4.125</v>
      </c>
      <c r="W810" s="57">
        <f>(1000*CHOOSE(CONTROL!$C$42, 0.1146, 0.1146)*CHOOSE(CONTROL!$C$42, 121.5, 121.5)*CHOOSE(CONTROL!$C$42, 30, 30))/1000000</f>
        <v>0.417717</v>
      </c>
      <c r="X810" s="57">
        <f>(30*0.1790888*245000/1000000)+(30*0.2374*100000/1000000)</f>
        <v>2.0285026799999999</v>
      </c>
      <c r="Y810" s="57"/>
      <c r="Z810" s="14"/>
      <c r="AA810" s="56"/>
      <c r="AB810" s="50">
        <f>(B810*194.205+C810*267.466+D810*133.845+E810*53.484+F810*40+G810*185+H810*0+I810*100+J810*300)/(194.205+267.466+133.845+53.484+0+40+185+100+300)</f>
        <v>71.622094189638929</v>
      </c>
      <c r="AC810" s="45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70.243935251798561</v>
      </c>
    </row>
    <row r="811" spans="1:29" ht="15.75" x14ac:dyDescent="0.25">
      <c r="A811" s="32">
        <v>65592</v>
      </c>
      <c r="B811" s="14">
        <f>CHOOSE(CONTROL!$C$42, 70.2014, 70.2014) * CHOOSE(CONTROL!$C$21, $C$9, 100%, $E$9)</f>
        <v>70.201400000000007</v>
      </c>
      <c r="C811" s="14">
        <f>CHOOSE(CONTROL!$C$42, 70.2095, 70.2095) * CHOOSE(CONTROL!$C$21, $C$9, 100%, $E$9)</f>
        <v>70.209500000000006</v>
      </c>
      <c r="D811" s="14">
        <f>CHOOSE(CONTROL!$C$42, 70.4144, 70.4144) * CHOOSE(CONTROL!$C$21, $C$9, 100%, $E$9)</f>
        <v>70.414400000000001</v>
      </c>
      <c r="E811" s="14">
        <f>CHOOSE(CONTROL!$C$42, 70.4459, 70.4459) * CHOOSE(CONTROL!$C$21, $C$9, 100%, $E$9)</f>
        <v>70.445899999999995</v>
      </c>
      <c r="F811" s="14">
        <f>CHOOSE(CONTROL!$C$42, 70.1884, 70.1884)*CHOOSE(CONTROL!$C$21, $C$9, 100%, $E$9)</f>
        <v>70.188400000000001</v>
      </c>
      <c r="G811" s="14">
        <f>CHOOSE(CONTROL!$C$42, 70.205, 70.205)*CHOOSE(CONTROL!$C$21, $C$9, 100%, $E$9)</f>
        <v>70.204999999999998</v>
      </c>
      <c r="H811" s="14">
        <f>CHOOSE(CONTROL!$C$42, 70.4345, 70.4345) * CHOOSE(CONTROL!$C$21, $C$9, 100%, $E$9)</f>
        <v>70.4345</v>
      </c>
      <c r="I811" s="14">
        <f>CHOOSE(CONTROL!$C$42, 70.4293, 70.4293)* CHOOSE(CONTROL!$C$21, $C$9, 100%, $E$9)</f>
        <v>70.429299999999998</v>
      </c>
      <c r="J811" s="14">
        <f>CHOOSE(CONTROL!$C$42, 70.1814, 70.1814)* CHOOSE(CONTROL!$C$21, $C$9, 100%, $E$9)</f>
        <v>70.181399999999996</v>
      </c>
      <c r="K811" s="53">
        <f>CHOOSE(CONTROL!$C$42, 70.4255, 70.4255) * CHOOSE(CONTROL!$C$21, $C$9, 100%, $E$9)</f>
        <v>70.4255</v>
      </c>
      <c r="L811" s="14">
        <f>CHOOSE(CONTROL!$C$42, 71.0215, 71.0215) * CHOOSE(CONTROL!$C$21, $C$9, 100%, $E$9)</f>
        <v>71.021500000000003</v>
      </c>
      <c r="M811" s="14">
        <f>CHOOSE(CONTROL!$C$42, 68.7511, 68.7511) * CHOOSE(CONTROL!$C$21, $C$9, 100%, $E$9)</f>
        <v>68.751099999999994</v>
      </c>
      <c r="N811" s="14">
        <f>CHOOSE(CONTROL!$C$42, 68.7674, 68.7674) * CHOOSE(CONTROL!$C$21, $C$9, 100%, $E$9)</f>
        <v>68.767399999999995</v>
      </c>
      <c r="O811" s="14">
        <f>CHOOSE(CONTROL!$C$42, 68.9991, 68.9991) * CHOOSE(CONTROL!$C$21, $C$9, 100%, $E$9)</f>
        <v>68.999099999999999</v>
      </c>
      <c r="P811" s="14">
        <f>CHOOSE(CONTROL!$C$42, 68.9896, 68.9896) * CHOOSE(CONTROL!$C$21, $C$9, 100%, $E$9)</f>
        <v>68.989599999999996</v>
      </c>
      <c r="Q811" s="14">
        <f>CHOOSE(CONTROL!$C$42, 69.5938, 69.5938) * CHOOSE(CONTROL!$C$21, $C$9, 100%, $E$9)</f>
        <v>69.593800000000002</v>
      </c>
      <c r="R811" s="14">
        <f>CHOOSE(CONTROL!$C$42, 70.3548, 70.3548) * CHOOSE(CONTROL!$C$21, $C$9, 100%, $E$9)</f>
        <v>70.354799999999997</v>
      </c>
      <c r="S811" s="14">
        <f>CHOOSE(CONTROL!$C$42, 67.4459, 67.4459) * CHOOSE(CONTROL!$C$21, $C$9, 100%, $E$9)</f>
        <v>67.445899999999995</v>
      </c>
      <c r="T8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7">
        <f>(1000*CHOOSE(CONTROL!$C$42, 695, 695)*CHOOSE(CONTROL!$C$42, 0.5599, 0.5599)*CHOOSE(CONTROL!$C$42, 31, 31))/1000000</f>
        <v>12.063045499999998</v>
      </c>
      <c r="V811" s="57">
        <f>(1000*CHOOSE(CONTROL!$C$42, 500, 500)*CHOOSE(CONTROL!$C$42, 0.275, 0.275)*CHOOSE(CONTROL!$C$42, 31, 31))/1000000</f>
        <v>4.2625000000000002</v>
      </c>
      <c r="W811" s="57">
        <f>(1000*CHOOSE(CONTROL!$C$42, 0.1146, 0.1146)*CHOOSE(CONTROL!$C$42, 121.5, 121.5)*CHOOSE(CONTROL!$C$42, 31, 31))/1000000</f>
        <v>0.43164089999999994</v>
      </c>
      <c r="X811" s="57">
        <f>(31*0.1790888*245000/1000000)+(31*0.2374*100000/1000000)</f>
        <v>2.0961194359999999</v>
      </c>
      <c r="Y811" s="57"/>
      <c r="Z811" s="14"/>
      <c r="AA811" s="56"/>
      <c r="AB811" s="50">
        <f>(B811*194.205+C811*267.466+D811*133.845+E811*53.484+F811*40+G811*185+H811*0+I811*100+J811*300)/(194.205+267.466+133.845+53.484+0+40+185+100+300)</f>
        <v>70.249036026373616</v>
      </c>
      <c r="AC811" s="45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68.898757553956841</v>
      </c>
    </row>
    <row r="812" spans="1:29" ht="15.75" x14ac:dyDescent="0.25">
      <c r="A812" s="32">
        <v>65623</v>
      </c>
      <c r="B812" s="14">
        <f>CHOOSE(CONTROL!$C$42, 66.7344, 66.7344) * CHOOSE(CONTROL!$C$21, $C$9, 100%, $E$9)</f>
        <v>66.734399999999994</v>
      </c>
      <c r="C812" s="14">
        <f>CHOOSE(CONTROL!$C$42, 66.7424, 66.7424) * CHOOSE(CONTROL!$C$21, $C$9, 100%, $E$9)</f>
        <v>66.742400000000004</v>
      </c>
      <c r="D812" s="14">
        <f>CHOOSE(CONTROL!$C$42, 66.9474, 66.9474) * CHOOSE(CONTROL!$C$21, $C$9, 100%, $E$9)</f>
        <v>66.947400000000002</v>
      </c>
      <c r="E812" s="14">
        <f>CHOOSE(CONTROL!$C$42, 66.9789, 66.9789) * CHOOSE(CONTROL!$C$21, $C$9, 100%, $E$9)</f>
        <v>66.978899999999996</v>
      </c>
      <c r="F812" s="14">
        <f>CHOOSE(CONTROL!$C$42, 66.7216, 66.7216)*CHOOSE(CONTROL!$C$21, $C$9, 100%, $E$9)</f>
        <v>66.721599999999995</v>
      </c>
      <c r="G812" s="14">
        <f>CHOOSE(CONTROL!$C$42, 66.7383, 66.7383)*CHOOSE(CONTROL!$C$21, $C$9, 100%, $E$9)</f>
        <v>66.738299999999995</v>
      </c>
      <c r="H812" s="14">
        <f>CHOOSE(CONTROL!$C$42, 66.9675, 66.9675) * CHOOSE(CONTROL!$C$21, $C$9, 100%, $E$9)</f>
        <v>66.967500000000001</v>
      </c>
      <c r="I812" s="14">
        <f>CHOOSE(CONTROL!$C$42, 66.9515, 66.9515)* CHOOSE(CONTROL!$C$21, $C$9, 100%, $E$9)</f>
        <v>66.951499999999996</v>
      </c>
      <c r="J812" s="14">
        <f>CHOOSE(CONTROL!$C$42, 66.7146, 66.7146)* CHOOSE(CONTROL!$C$21, $C$9, 100%, $E$9)</f>
        <v>66.714600000000004</v>
      </c>
      <c r="K812" s="53">
        <f>CHOOSE(CONTROL!$C$42, 66.9476, 66.9476) * CHOOSE(CONTROL!$C$21, $C$9, 100%, $E$9)</f>
        <v>66.947599999999994</v>
      </c>
      <c r="L812" s="14">
        <f>CHOOSE(CONTROL!$C$42, 67.5545, 67.5545) * CHOOSE(CONTROL!$C$21, $C$9, 100%, $E$9)</f>
        <v>67.554500000000004</v>
      </c>
      <c r="M812" s="14">
        <f>CHOOSE(CONTROL!$C$42, 65.3554, 65.3554) * CHOOSE(CONTROL!$C$21, $C$9, 100%, $E$9)</f>
        <v>65.355400000000003</v>
      </c>
      <c r="N812" s="14">
        <f>CHOOSE(CONTROL!$C$42, 65.3717, 65.3717) * CHOOSE(CONTROL!$C$21, $C$9, 100%, $E$9)</f>
        <v>65.371700000000004</v>
      </c>
      <c r="O812" s="14">
        <f>CHOOSE(CONTROL!$C$42, 65.6031, 65.6031) * CHOOSE(CONTROL!$C$21, $C$9, 100%, $E$9)</f>
        <v>65.603099999999998</v>
      </c>
      <c r="P812" s="14">
        <f>CHOOSE(CONTROL!$C$42, 65.5832, 65.5832) * CHOOSE(CONTROL!$C$21, $C$9, 100%, $E$9)</f>
        <v>65.583200000000005</v>
      </c>
      <c r="Q812" s="14">
        <f>CHOOSE(CONTROL!$C$42, 66.1978, 66.1978) * CHOOSE(CONTROL!$C$21, $C$9, 100%, $E$9)</f>
        <v>66.197800000000001</v>
      </c>
      <c r="R812" s="14">
        <f>CHOOSE(CONTROL!$C$42, 66.9503, 66.9503) * CHOOSE(CONTROL!$C$21, $C$9, 100%, $E$9)</f>
        <v>66.950299999999999</v>
      </c>
      <c r="S812" s="14">
        <f>CHOOSE(CONTROL!$C$42, 64.1145, 64.1145) * CHOOSE(CONTROL!$C$21, $C$9, 100%, $E$9)</f>
        <v>64.114500000000007</v>
      </c>
      <c r="T8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7">
        <f>(1000*CHOOSE(CONTROL!$C$42, 695, 695)*CHOOSE(CONTROL!$C$42, 0.5599, 0.5599)*CHOOSE(CONTROL!$C$42, 31, 31))/1000000</f>
        <v>12.063045499999998</v>
      </c>
      <c r="V812" s="57">
        <f>(1000*CHOOSE(CONTROL!$C$42, 500, 500)*CHOOSE(CONTROL!$C$42, 0.275, 0.275)*CHOOSE(CONTROL!$C$42, 31, 31))/1000000</f>
        <v>4.2625000000000002</v>
      </c>
      <c r="W812" s="57">
        <f>(1000*CHOOSE(CONTROL!$C$42, 0.1146, 0.1146)*CHOOSE(CONTROL!$C$42, 121.5, 121.5)*CHOOSE(CONTROL!$C$42, 31, 31))/1000000</f>
        <v>0.43164089999999994</v>
      </c>
      <c r="X812" s="57">
        <f>(31*0.1790888*245000/1000000)+(31*0.2374*100000/1000000)</f>
        <v>2.0961194359999999</v>
      </c>
      <c r="Y812" s="57"/>
      <c r="Z812" s="14"/>
      <c r="AA812" s="56"/>
      <c r="AB812" s="50">
        <f>(B812*194.205+C812*267.466+D812*133.845+E812*53.484+F812*40+G812*185+H812*0+I812*100+J812*300)/(194.205+267.466+133.845+53.484+0+40+185+100+300)</f>
        <v>66.78126424725275</v>
      </c>
      <c r="AC812" s="45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65.501382014388497</v>
      </c>
    </row>
    <row r="813" spans="1:29" ht="15.75" x14ac:dyDescent="0.25">
      <c r="A813" s="32">
        <v>65653</v>
      </c>
      <c r="B813" s="14">
        <f>CHOOSE(CONTROL!$C$42, 62.498, 62.498) * CHOOSE(CONTROL!$C$21, $C$9, 100%, $E$9)</f>
        <v>62.497999999999998</v>
      </c>
      <c r="C813" s="14">
        <f>CHOOSE(CONTROL!$C$42, 62.506, 62.506) * CHOOSE(CONTROL!$C$21, $C$9, 100%, $E$9)</f>
        <v>62.506</v>
      </c>
      <c r="D813" s="14">
        <f>CHOOSE(CONTROL!$C$42, 62.711, 62.711) * CHOOSE(CONTROL!$C$21, $C$9, 100%, $E$9)</f>
        <v>62.710999999999999</v>
      </c>
      <c r="E813" s="14">
        <f>CHOOSE(CONTROL!$C$42, 62.7424, 62.7424) * CHOOSE(CONTROL!$C$21, $C$9, 100%, $E$9)</f>
        <v>62.742400000000004</v>
      </c>
      <c r="F813" s="14">
        <f>CHOOSE(CONTROL!$C$42, 62.4851, 62.4851)*CHOOSE(CONTROL!$C$21, $C$9, 100%, $E$9)</f>
        <v>62.485100000000003</v>
      </c>
      <c r="G813" s="14">
        <f>CHOOSE(CONTROL!$C$42, 62.5018, 62.5018)*CHOOSE(CONTROL!$C$21, $C$9, 100%, $E$9)</f>
        <v>62.501800000000003</v>
      </c>
      <c r="H813" s="14">
        <f>CHOOSE(CONTROL!$C$42, 62.7311, 62.7311) * CHOOSE(CONTROL!$C$21, $C$9, 100%, $E$9)</f>
        <v>62.731099999999998</v>
      </c>
      <c r="I813" s="14">
        <f>CHOOSE(CONTROL!$C$42, 62.7017, 62.7017)* CHOOSE(CONTROL!$C$21, $C$9, 100%, $E$9)</f>
        <v>62.701700000000002</v>
      </c>
      <c r="J813" s="14">
        <f>CHOOSE(CONTROL!$C$42, 62.4781, 62.4781)* CHOOSE(CONTROL!$C$21, $C$9, 100%, $E$9)</f>
        <v>62.478099999999998</v>
      </c>
      <c r="K813" s="53">
        <f>CHOOSE(CONTROL!$C$42, 62.6979, 62.6979) * CHOOSE(CONTROL!$C$21, $C$9, 100%, $E$9)</f>
        <v>62.697899999999997</v>
      </c>
      <c r="L813" s="14">
        <f>CHOOSE(CONTROL!$C$42, 63.3181, 63.3181) * CHOOSE(CONTROL!$C$21, $C$9, 100%, $E$9)</f>
        <v>63.318100000000001</v>
      </c>
      <c r="M813" s="14">
        <f>CHOOSE(CONTROL!$C$42, 61.2057, 61.2057) * CHOOSE(CONTROL!$C$21, $C$9, 100%, $E$9)</f>
        <v>61.2057</v>
      </c>
      <c r="N813" s="14">
        <f>CHOOSE(CONTROL!$C$42, 61.222, 61.222) * CHOOSE(CONTROL!$C$21, $C$9, 100%, $E$9)</f>
        <v>61.222000000000001</v>
      </c>
      <c r="O813" s="14">
        <f>CHOOSE(CONTROL!$C$42, 61.4534, 61.4534) * CHOOSE(CONTROL!$C$21, $C$9, 100%, $E$9)</f>
        <v>61.453400000000002</v>
      </c>
      <c r="P813" s="14">
        <f>CHOOSE(CONTROL!$C$42, 61.4209, 61.4209) * CHOOSE(CONTROL!$C$21, $C$9, 100%, $E$9)</f>
        <v>61.420900000000003</v>
      </c>
      <c r="Q813" s="14">
        <f>CHOOSE(CONTROL!$C$42, 62.0481, 62.0481) * CHOOSE(CONTROL!$C$21, $C$9, 100%, $E$9)</f>
        <v>62.048099999999998</v>
      </c>
      <c r="R813" s="14">
        <f>CHOOSE(CONTROL!$C$42, 62.7903, 62.7903) * CHOOSE(CONTROL!$C$21, $C$9, 100%, $E$9)</f>
        <v>62.790300000000002</v>
      </c>
      <c r="S813" s="14">
        <f>CHOOSE(CONTROL!$C$42, 60.0437, 60.0437) * CHOOSE(CONTROL!$C$21, $C$9, 100%, $E$9)</f>
        <v>60.043700000000001</v>
      </c>
      <c r="T8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7">
        <f>(1000*CHOOSE(CONTROL!$C$42, 695, 695)*CHOOSE(CONTROL!$C$42, 0.5599, 0.5599)*CHOOSE(CONTROL!$C$42, 30, 30))/1000000</f>
        <v>11.673914999999997</v>
      </c>
      <c r="V813" s="57">
        <f>(1000*CHOOSE(CONTROL!$C$42, 500, 500)*CHOOSE(CONTROL!$C$42, 0.275, 0.275)*CHOOSE(CONTROL!$C$42, 30, 30))/1000000</f>
        <v>4.125</v>
      </c>
      <c r="W813" s="57">
        <f>(1000*CHOOSE(CONTROL!$C$42, 0.1146, 0.1146)*CHOOSE(CONTROL!$C$42, 121.5, 121.5)*CHOOSE(CONTROL!$C$42, 30, 30))/1000000</f>
        <v>0.417717</v>
      </c>
      <c r="X813" s="57">
        <f>(30*0.1790888*245000/1000000)+(30*0.2374*100000/1000000)</f>
        <v>2.0285026799999999</v>
      </c>
      <c r="Y813" s="57"/>
      <c r="Z813" s="14"/>
      <c r="AA813" s="56"/>
      <c r="AB813" s="50">
        <f>(B813*194.205+C813*267.466+D813*133.845+E813*53.484+F813*40+G813*185+H813*0+I813*100+J813*300)/(194.205+267.466+133.845+53.484+0+40+185+100+300)</f>
        <v>62.543767035007839</v>
      </c>
      <c r="AC813" s="45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61.349869064748198</v>
      </c>
    </row>
    <row r="814" spans="1:29" ht="15.75" x14ac:dyDescent="0.25">
      <c r="A814" s="32">
        <v>65684</v>
      </c>
      <c r="B814" s="14">
        <f>CHOOSE(CONTROL!$C$42, 61.2275, 61.2275) * CHOOSE(CONTROL!$C$21, $C$9, 100%, $E$9)</f>
        <v>61.227499999999999</v>
      </c>
      <c r="C814" s="14">
        <f>CHOOSE(CONTROL!$C$42, 61.2328, 61.2328) * CHOOSE(CONTROL!$C$21, $C$9, 100%, $E$9)</f>
        <v>61.232799999999997</v>
      </c>
      <c r="D814" s="14">
        <f>CHOOSE(CONTROL!$C$42, 61.4427, 61.4427) * CHOOSE(CONTROL!$C$21, $C$9, 100%, $E$9)</f>
        <v>61.442700000000002</v>
      </c>
      <c r="E814" s="14">
        <f>CHOOSE(CONTROL!$C$42, 61.4719, 61.4719) * CHOOSE(CONTROL!$C$21, $C$9, 100%, $E$9)</f>
        <v>61.471899999999998</v>
      </c>
      <c r="F814" s="14">
        <f>CHOOSE(CONTROL!$C$42, 61.2167, 61.2167)*CHOOSE(CONTROL!$C$21, $C$9, 100%, $E$9)</f>
        <v>61.216700000000003</v>
      </c>
      <c r="G814" s="14">
        <f>CHOOSE(CONTROL!$C$42, 61.2331, 61.2331)*CHOOSE(CONTROL!$C$21, $C$9, 100%, $E$9)</f>
        <v>61.2331</v>
      </c>
      <c r="H814" s="14">
        <f>CHOOSE(CONTROL!$C$42, 61.4623, 61.4623) * CHOOSE(CONTROL!$C$21, $C$9, 100%, $E$9)</f>
        <v>61.462299999999999</v>
      </c>
      <c r="I814" s="14">
        <f>CHOOSE(CONTROL!$C$42, 61.4291, 61.4291)* CHOOSE(CONTROL!$C$21, $C$9, 100%, $E$9)</f>
        <v>61.429099999999998</v>
      </c>
      <c r="J814" s="14">
        <f>CHOOSE(CONTROL!$C$42, 61.2097, 61.2097)* CHOOSE(CONTROL!$C$21, $C$9, 100%, $E$9)</f>
        <v>61.209699999999998</v>
      </c>
      <c r="K814" s="53">
        <f>CHOOSE(CONTROL!$C$42, 61.4252, 61.4252) * CHOOSE(CONTROL!$C$21, $C$9, 100%, $E$9)</f>
        <v>61.425199999999997</v>
      </c>
      <c r="L814" s="14">
        <f>CHOOSE(CONTROL!$C$42, 62.0493, 62.0493) * CHOOSE(CONTROL!$C$21, $C$9, 100%, $E$9)</f>
        <v>62.049300000000002</v>
      </c>
      <c r="M814" s="14">
        <f>CHOOSE(CONTROL!$C$42, 59.9632, 59.9632) * CHOOSE(CONTROL!$C$21, $C$9, 100%, $E$9)</f>
        <v>59.963200000000001</v>
      </c>
      <c r="N814" s="14">
        <f>CHOOSE(CONTROL!$C$42, 59.9793, 59.9793) * CHOOSE(CONTROL!$C$21, $C$9, 100%, $E$9)</f>
        <v>59.979300000000002</v>
      </c>
      <c r="O814" s="14">
        <f>CHOOSE(CONTROL!$C$42, 60.2107, 60.2107) * CHOOSE(CONTROL!$C$21, $C$9, 100%, $E$9)</f>
        <v>60.210700000000003</v>
      </c>
      <c r="P814" s="14">
        <f>CHOOSE(CONTROL!$C$42, 60.1743, 60.1743) * CHOOSE(CONTROL!$C$21, $C$9, 100%, $E$9)</f>
        <v>60.174300000000002</v>
      </c>
      <c r="Q814" s="14">
        <f>CHOOSE(CONTROL!$C$42, 60.8054, 60.8054) * CHOOSE(CONTROL!$C$21, $C$9, 100%, $E$9)</f>
        <v>60.805399999999999</v>
      </c>
      <c r="R814" s="14">
        <f>CHOOSE(CONTROL!$C$42, 61.5444, 61.5444) * CHOOSE(CONTROL!$C$21, $C$9, 100%, $E$9)</f>
        <v>61.544400000000003</v>
      </c>
      <c r="S814" s="14">
        <f>CHOOSE(CONTROL!$C$42, 58.8245, 58.8245) * CHOOSE(CONTROL!$C$21, $C$9, 100%, $E$9)</f>
        <v>58.8245</v>
      </c>
      <c r="T8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7">
        <f>(1000*CHOOSE(CONTROL!$C$42, 695, 695)*CHOOSE(CONTROL!$C$42, 0.5599, 0.5599)*CHOOSE(CONTROL!$C$42, 31, 31))/1000000</f>
        <v>12.063045499999998</v>
      </c>
      <c r="V814" s="57">
        <f>(1000*CHOOSE(CONTROL!$C$42, 500, 500)*CHOOSE(CONTROL!$C$42, 0.275, 0.275)*CHOOSE(CONTROL!$C$42, 31, 31))/1000000</f>
        <v>4.2625000000000002</v>
      </c>
      <c r="W814" s="57">
        <f>(1000*CHOOSE(CONTROL!$C$42, 0.1146, 0.1146)*CHOOSE(CONTROL!$C$42, 121.5, 121.5)*CHOOSE(CONTROL!$C$42, 31, 31))/1000000</f>
        <v>0.43164089999999994</v>
      </c>
      <c r="X814" s="57">
        <f>(31*0.1790888*245000/1000000)+(31*0.2374*100000/1000000)</f>
        <v>2.0961194359999999</v>
      </c>
      <c r="Y814" s="57"/>
      <c r="Z814" s="14"/>
      <c r="AA814" s="56"/>
      <c r="AB814" s="50">
        <f>(B814*131.881+C814*277.167+D814*79.08+E814*125.872+F814*40+G814*185+H814*0+I814*100+J814*300)/(131.881+277.167+79.08+125.872+0+40+185+100+300)</f>
        <v>61.279698642372885</v>
      </c>
      <c r="AC814" s="45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60.106676978417269</v>
      </c>
    </row>
    <row r="815" spans="1:29" ht="15.75" x14ac:dyDescent="0.25">
      <c r="A815" s="32">
        <v>65714</v>
      </c>
      <c r="B815" s="14">
        <f>CHOOSE(CONTROL!$C$42, 62.8398, 62.8398) * CHOOSE(CONTROL!$C$21, $C$9, 100%, $E$9)</f>
        <v>62.839799999999997</v>
      </c>
      <c r="C815" s="14">
        <f>CHOOSE(CONTROL!$C$42, 62.8449, 62.8449) * CHOOSE(CONTROL!$C$21, $C$9, 100%, $E$9)</f>
        <v>62.844900000000003</v>
      </c>
      <c r="D815" s="14">
        <f>CHOOSE(CONTROL!$C$42, 62.9087, 62.9087) * CHOOSE(CONTROL!$C$21, $C$9, 100%, $E$9)</f>
        <v>62.908700000000003</v>
      </c>
      <c r="E815" s="14">
        <f>CHOOSE(CONTROL!$C$42, 62.9428, 62.9428) * CHOOSE(CONTROL!$C$21, $C$9, 100%, $E$9)</f>
        <v>62.942799999999998</v>
      </c>
      <c r="F815" s="14">
        <f>CHOOSE(CONTROL!$C$42, 62.8421, 62.8421)*CHOOSE(CONTROL!$C$21, $C$9, 100%, $E$9)</f>
        <v>62.842100000000002</v>
      </c>
      <c r="G815" s="14">
        <f>CHOOSE(CONTROL!$C$42, 62.8587, 62.8587)*CHOOSE(CONTROL!$C$21, $C$9, 100%, $E$9)</f>
        <v>62.858699999999999</v>
      </c>
      <c r="H815" s="14">
        <f>CHOOSE(CONTROL!$C$42, 62.932, 62.932) * CHOOSE(CONTROL!$C$21, $C$9, 100%, $E$9)</f>
        <v>62.932000000000002</v>
      </c>
      <c r="I815" s="14">
        <f>CHOOSE(CONTROL!$C$42, 63.0505, 63.0505)* CHOOSE(CONTROL!$C$21, $C$9, 100%, $E$9)</f>
        <v>63.0505</v>
      </c>
      <c r="J815" s="14">
        <f>CHOOSE(CONTROL!$C$42, 62.8351, 62.8351)* CHOOSE(CONTROL!$C$21, $C$9, 100%, $E$9)</f>
        <v>62.835099999999997</v>
      </c>
      <c r="K815" s="53">
        <f>CHOOSE(CONTROL!$C$42, 63.0466, 63.0466) * CHOOSE(CONTROL!$C$21, $C$9, 100%, $E$9)</f>
        <v>63.046599999999998</v>
      </c>
      <c r="L815" s="14">
        <f>CHOOSE(CONTROL!$C$42, 63.519, 63.519) * CHOOSE(CONTROL!$C$21, $C$9, 100%, $E$9)</f>
        <v>63.518999999999998</v>
      </c>
      <c r="M815" s="14">
        <f>CHOOSE(CONTROL!$C$42, 61.5553, 61.5553) * CHOOSE(CONTROL!$C$21, $C$9, 100%, $E$9)</f>
        <v>61.555300000000003</v>
      </c>
      <c r="N815" s="14">
        <f>CHOOSE(CONTROL!$C$42, 61.5716, 61.5716) * CHOOSE(CONTROL!$C$21, $C$9, 100%, $E$9)</f>
        <v>61.571599999999997</v>
      </c>
      <c r="O815" s="14">
        <f>CHOOSE(CONTROL!$C$42, 61.6503, 61.6503) * CHOOSE(CONTROL!$C$21, $C$9, 100%, $E$9)</f>
        <v>61.650300000000001</v>
      </c>
      <c r="P815" s="14">
        <f>CHOOSE(CONTROL!$C$42, 61.7625, 61.7625) * CHOOSE(CONTROL!$C$21, $C$9, 100%, $E$9)</f>
        <v>61.762500000000003</v>
      </c>
      <c r="Q815" s="14">
        <f>CHOOSE(CONTROL!$C$42, 62.245, 62.245) * CHOOSE(CONTROL!$C$21, $C$9, 100%, $E$9)</f>
        <v>62.244999999999997</v>
      </c>
      <c r="R815" s="14">
        <f>CHOOSE(CONTROL!$C$42, 62.9876, 62.9876) * CHOOSE(CONTROL!$C$21, $C$9, 100%, $E$9)</f>
        <v>62.9876</v>
      </c>
      <c r="S815" s="14">
        <f>CHOOSE(CONTROL!$C$42, 60.3742, 60.3742) * CHOOSE(CONTROL!$C$21, $C$9, 100%, $E$9)</f>
        <v>60.374200000000002</v>
      </c>
      <c r="T8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7">
        <f>(1000*CHOOSE(CONTROL!$C$42, 695, 695)*CHOOSE(CONTROL!$C$42, 0.5599, 0.5599)*CHOOSE(CONTROL!$C$42, 30, 30))/1000000</f>
        <v>11.673914999999997</v>
      </c>
      <c r="V815" s="57">
        <f>(1000*CHOOSE(CONTROL!$C$42, 500, 500)*CHOOSE(CONTROL!$C$42, 0.275, 0.275)*CHOOSE(CONTROL!$C$42, 30, 30))/1000000</f>
        <v>4.125</v>
      </c>
      <c r="W815" s="57">
        <f>(1000*CHOOSE(CONTROL!$C$42, 0.1146, 0.1146)*CHOOSE(CONTROL!$C$42, 121.5, 121.5)*CHOOSE(CONTROL!$C$42, 30, 30))/1000000</f>
        <v>0.417717</v>
      </c>
      <c r="X815" s="57">
        <f>(30*0.1790888*100000/1000000)+(30*0.2374*100000/1000000)</f>
        <v>1.2494664</v>
      </c>
      <c r="Y815" s="57"/>
      <c r="Z815" s="14"/>
      <c r="AA815" s="56"/>
      <c r="AB815" s="50">
        <f>(B815*122.58+C815*297.941+D815*89.177+E815*40.302+F815*40+G815*160+H815*0+I815*100+J815*300)/(122.58+297.941+89.177+40.302+0+40+160+100+300)</f>
        <v>62.869879043826089</v>
      </c>
      <c r="AC815" s="45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61.62910863309353</v>
      </c>
    </row>
    <row r="816" spans="1:29" ht="15.75" x14ac:dyDescent="0.25">
      <c r="A816" s="32">
        <v>65745</v>
      </c>
      <c r="B816" s="14">
        <f>CHOOSE(CONTROL!$C$42, 67.1236, 67.1236) * CHOOSE(CONTROL!$C$21, $C$9, 100%, $E$9)</f>
        <v>67.123599999999996</v>
      </c>
      <c r="C816" s="14">
        <f>CHOOSE(CONTROL!$C$42, 67.1286, 67.1286) * CHOOSE(CONTROL!$C$21, $C$9, 100%, $E$9)</f>
        <v>67.128600000000006</v>
      </c>
      <c r="D816" s="14">
        <f>CHOOSE(CONTROL!$C$42, 67.1924, 67.1924) * CHOOSE(CONTROL!$C$21, $C$9, 100%, $E$9)</f>
        <v>67.192400000000006</v>
      </c>
      <c r="E816" s="14">
        <f>CHOOSE(CONTROL!$C$42, 67.2265, 67.2265) * CHOOSE(CONTROL!$C$21, $C$9, 100%, $E$9)</f>
        <v>67.226500000000001</v>
      </c>
      <c r="F816" s="14">
        <f>CHOOSE(CONTROL!$C$42, 67.1279, 67.1279)*CHOOSE(CONTROL!$C$21, $C$9, 100%, $E$9)</f>
        <v>67.127899999999997</v>
      </c>
      <c r="G816" s="14">
        <f>CHOOSE(CONTROL!$C$42, 67.1451, 67.1451)*CHOOSE(CONTROL!$C$21, $C$9, 100%, $E$9)</f>
        <v>67.145099999999999</v>
      </c>
      <c r="H816" s="14">
        <f>CHOOSE(CONTROL!$C$42, 67.2157, 67.2157) * CHOOSE(CONTROL!$C$21, $C$9, 100%, $E$9)</f>
        <v>67.215699999999998</v>
      </c>
      <c r="I816" s="14">
        <f>CHOOSE(CONTROL!$C$42, 67.3477, 67.3477)* CHOOSE(CONTROL!$C$21, $C$9, 100%, $E$9)</f>
        <v>67.347700000000003</v>
      </c>
      <c r="J816" s="14">
        <f>CHOOSE(CONTROL!$C$42, 67.1209, 67.1209)* CHOOSE(CONTROL!$C$21, $C$9, 100%, $E$9)</f>
        <v>67.120900000000006</v>
      </c>
      <c r="K816" s="53">
        <f>CHOOSE(CONTROL!$C$42, 67.3438, 67.3438) * CHOOSE(CONTROL!$C$21, $C$9, 100%, $E$9)</f>
        <v>67.343800000000002</v>
      </c>
      <c r="L816" s="14">
        <f>CHOOSE(CONTROL!$C$42, 67.8027, 67.8027) * CHOOSE(CONTROL!$C$21, $C$9, 100%, $E$9)</f>
        <v>67.802700000000002</v>
      </c>
      <c r="M816" s="14">
        <f>CHOOSE(CONTROL!$C$42, 65.7533, 65.7533) * CHOOSE(CONTROL!$C$21, $C$9, 100%, $E$9)</f>
        <v>65.753299999999996</v>
      </c>
      <c r="N816" s="14">
        <f>CHOOSE(CONTROL!$C$42, 65.7701, 65.7701) * CHOOSE(CONTROL!$C$21, $C$9, 100%, $E$9)</f>
        <v>65.770099999999999</v>
      </c>
      <c r="O816" s="14">
        <f>CHOOSE(CONTROL!$C$42, 65.8462, 65.8462) * CHOOSE(CONTROL!$C$21, $C$9, 100%, $E$9)</f>
        <v>65.846199999999996</v>
      </c>
      <c r="P816" s="14">
        <f>CHOOSE(CONTROL!$C$42, 65.9713, 65.9713) * CHOOSE(CONTROL!$C$21, $C$9, 100%, $E$9)</f>
        <v>65.971299999999999</v>
      </c>
      <c r="Q816" s="14">
        <f>CHOOSE(CONTROL!$C$42, 66.4409, 66.4409) * CHOOSE(CONTROL!$C$21, $C$9, 100%, $E$9)</f>
        <v>66.440899999999999</v>
      </c>
      <c r="R816" s="14">
        <f>CHOOSE(CONTROL!$C$42, 67.194, 67.194) * CHOOSE(CONTROL!$C$21, $C$9, 100%, $E$9)</f>
        <v>67.194000000000003</v>
      </c>
      <c r="S816" s="14">
        <f>CHOOSE(CONTROL!$C$42, 64.4905, 64.4905) * CHOOSE(CONTROL!$C$21, $C$9, 100%, $E$9)</f>
        <v>64.490499999999997</v>
      </c>
      <c r="T8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7">
        <f>(1000*CHOOSE(CONTROL!$C$42, 695, 695)*CHOOSE(CONTROL!$C$42, 0.5599, 0.5599)*CHOOSE(CONTROL!$C$42, 31, 31))/1000000</f>
        <v>12.063045499999998</v>
      </c>
      <c r="V816" s="57">
        <f>(1000*CHOOSE(CONTROL!$C$42, 500, 500)*CHOOSE(CONTROL!$C$42, 0.275, 0.275)*CHOOSE(CONTROL!$C$42, 31, 31))/1000000</f>
        <v>4.2625000000000002</v>
      </c>
      <c r="W816" s="57">
        <f>(1000*CHOOSE(CONTROL!$C$42, 0.1146, 0.1146)*CHOOSE(CONTROL!$C$42, 121.5, 121.5)*CHOOSE(CONTROL!$C$42, 31, 31))/1000000</f>
        <v>0.43164089999999994</v>
      </c>
      <c r="X816" s="57">
        <f>(31*0.1790888*100000/1000000)+(31*0.2374*100000/1000000)</f>
        <v>1.2911152800000001</v>
      </c>
      <c r="Y816" s="57"/>
      <c r="Z816" s="14"/>
      <c r="AA816" s="56"/>
      <c r="AB816" s="50">
        <f>(B816*122.58+C816*297.941+D816*89.177+E816*40.302+F816*40+G816*160+H816*0+I816*100+J816*300)/(122.58+297.941+89.177+40.302+0+40+160+100+300)</f>
        <v>67.155760137739136</v>
      </c>
      <c r="AC816" s="45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65.827739568345322</v>
      </c>
    </row>
    <row r="817" spans="1:29" ht="15.75" x14ac:dyDescent="0.25">
      <c r="A817" s="32">
        <v>65776</v>
      </c>
      <c r="B817" s="14">
        <f>CHOOSE(CONTROL!$C$42, 72.6211, 72.6211) * CHOOSE(CONTROL!$C$21, $C$9, 100%, $E$9)</f>
        <v>72.621099999999998</v>
      </c>
      <c r="C817" s="14">
        <f>CHOOSE(CONTROL!$C$42, 72.6262, 72.6262) * CHOOSE(CONTROL!$C$21, $C$9, 100%, $E$9)</f>
        <v>72.626199999999997</v>
      </c>
      <c r="D817" s="14">
        <f>CHOOSE(CONTROL!$C$42, 72.6848, 72.6848) * CHOOSE(CONTROL!$C$21, $C$9, 100%, $E$9)</f>
        <v>72.684799999999996</v>
      </c>
      <c r="E817" s="14">
        <f>CHOOSE(CONTROL!$C$42, 72.7189, 72.7189) * CHOOSE(CONTROL!$C$21, $C$9, 100%, $E$9)</f>
        <v>72.718900000000005</v>
      </c>
      <c r="F817" s="14">
        <f>CHOOSE(CONTROL!$C$42, 72.6202, 72.6202)*CHOOSE(CONTROL!$C$21, $C$9, 100%, $E$9)</f>
        <v>72.620199999999997</v>
      </c>
      <c r="G817" s="14">
        <f>CHOOSE(CONTROL!$C$42, 72.6366, 72.6366)*CHOOSE(CONTROL!$C$21, $C$9, 100%, $E$9)</f>
        <v>72.636600000000001</v>
      </c>
      <c r="H817" s="14">
        <f>CHOOSE(CONTROL!$C$42, 72.7081, 72.7081) * CHOOSE(CONTROL!$C$21, $C$9, 100%, $E$9)</f>
        <v>72.708100000000002</v>
      </c>
      <c r="I817" s="14">
        <f>CHOOSE(CONTROL!$C$42, 72.8588, 72.8588)* CHOOSE(CONTROL!$C$21, $C$9, 100%, $E$9)</f>
        <v>72.858800000000002</v>
      </c>
      <c r="J817" s="14">
        <f>CHOOSE(CONTROL!$C$42, 72.6132, 72.6132)* CHOOSE(CONTROL!$C$21, $C$9, 100%, $E$9)</f>
        <v>72.613200000000006</v>
      </c>
      <c r="K817" s="53">
        <f>CHOOSE(CONTROL!$C$42, 72.8549, 72.8549) * CHOOSE(CONTROL!$C$21, $C$9, 100%, $E$9)</f>
        <v>72.854900000000001</v>
      </c>
      <c r="L817" s="14">
        <f>CHOOSE(CONTROL!$C$42, 73.2951, 73.2951) * CHOOSE(CONTROL!$C$21, $C$9, 100%, $E$9)</f>
        <v>73.295100000000005</v>
      </c>
      <c r="M817" s="14">
        <f>CHOOSE(CONTROL!$C$42, 71.1331, 71.1331) * CHOOSE(CONTROL!$C$21, $C$9, 100%, $E$9)</f>
        <v>71.133099999999999</v>
      </c>
      <c r="N817" s="14">
        <f>CHOOSE(CONTROL!$C$42, 71.1492, 71.1492) * CHOOSE(CONTROL!$C$21, $C$9, 100%, $E$9)</f>
        <v>71.149199999999993</v>
      </c>
      <c r="O817" s="14">
        <f>CHOOSE(CONTROL!$C$42, 71.2261, 71.2261) * CHOOSE(CONTROL!$C$21, $C$9, 100%, $E$9)</f>
        <v>71.226100000000002</v>
      </c>
      <c r="P817" s="14">
        <f>CHOOSE(CONTROL!$C$42, 71.3692, 71.3692) * CHOOSE(CONTROL!$C$21, $C$9, 100%, $E$9)</f>
        <v>71.369200000000006</v>
      </c>
      <c r="Q817" s="14">
        <f>CHOOSE(CONTROL!$C$42, 71.8208, 71.8208) * CHOOSE(CONTROL!$C$21, $C$9, 100%, $E$9)</f>
        <v>71.820800000000006</v>
      </c>
      <c r="R817" s="14">
        <f>CHOOSE(CONTROL!$C$42, 72.5873, 72.5873) * CHOOSE(CONTROL!$C$21, $C$9, 100%, $E$9)</f>
        <v>72.587299999999999</v>
      </c>
      <c r="S817" s="14">
        <f>CHOOSE(CONTROL!$C$42, 69.7731, 69.7731) * CHOOSE(CONTROL!$C$21, $C$9, 100%, $E$9)</f>
        <v>69.773099999999999</v>
      </c>
      <c r="T8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7">
        <f>(1000*CHOOSE(CONTROL!$C$42, 695, 695)*CHOOSE(CONTROL!$C$42, 0.5599, 0.5599)*CHOOSE(CONTROL!$C$42, 31, 31))/1000000</f>
        <v>12.063045499999998</v>
      </c>
      <c r="V817" s="57">
        <f>(1000*CHOOSE(CONTROL!$C$42, 500, 500)*CHOOSE(CONTROL!$C$42, 0.275, 0.275)*CHOOSE(CONTROL!$C$42, 31, 31))/1000000</f>
        <v>4.2625000000000002</v>
      </c>
      <c r="W817" s="57">
        <f>(1000*CHOOSE(CONTROL!$C$42, 0.1146, 0.1146)*CHOOSE(CONTROL!$C$42, 121.5, 121.5)*CHOOSE(CONTROL!$C$42, 31, 31))/1000000</f>
        <v>0.43164089999999994</v>
      </c>
      <c r="X817" s="57">
        <f>(31*0.1790888*100000/1000000)+(31*0.2374*100000/1000000)</f>
        <v>1.2911152800000001</v>
      </c>
      <c r="Y817" s="57"/>
      <c r="Z817" s="14"/>
      <c r="AA817" s="56"/>
      <c r="AB817" s="50">
        <f>(B817*122.58+C817*297.941+D817*89.177+E817*40.302+F817*40+G817*160+H817*0+I817*100+J817*300)/(122.58+297.941+89.177+40.302+0+40+160+100+300)</f>
        <v>72.651522269217395</v>
      </c>
      <c r="AC817" s="45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71.210148920863304</v>
      </c>
    </row>
    <row r="818" spans="1:29" ht="15.75" x14ac:dyDescent="0.25">
      <c r="A818" s="32">
        <v>65805</v>
      </c>
      <c r="B818" s="14">
        <f>CHOOSE(CONTROL!$C$42, 73.9137, 73.9137) * CHOOSE(CONTROL!$C$21, $C$9, 100%, $E$9)</f>
        <v>73.913700000000006</v>
      </c>
      <c r="C818" s="14">
        <f>CHOOSE(CONTROL!$C$42, 73.9188, 73.9188) * CHOOSE(CONTROL!$C$21, $C$9, 100%, $E$9)</f>
        <v>73.918800000000005</v>
      </c>
      <c r="D818" s="14">
        <f>CHOOSE(CONTROL!$C$42, 73.9774, 73.9774) * CHOOSE(CONTROL!$C$21, $C$9, 100%, $E$9)</f>
        <v>73.977400000000003</v>
      </c>
      <c r="E818" s="14">
        <f>CHOOSE(CONTROL!$C$42, 74.0115, 74.0115) * CHOOSE(CONTROL!$C$21, $C$9, 100%, $E$9)</f>
        <v>74.011499999999998</v>
      </c>
      <c r="F818" s="14">
        <f>CHOOSE(CONTROL!$C$42, 73.9128, 73.9128)*CHOOSE(CONTROL!$C$21, $C$9, 100%, $E$9)</f>
        <v>73.912800000000004</v>
      </c>
      <c r="G818" s="14">
        <f>CHOOSE(CONTROL!$C$42, 73.9292, 73.9292)*CHOOSE(CONTROL!$C$21, $C$9, 100%, $E$9)</f>
        <v>73.929199999999994</v>
      </c>
      <c r="H818" s="14">
        <f>CHOOSE(CONTROL!$C$42, 74.0007, 74.0007) * CHOOSE(CONTROL!$C$21, $C$9, 100%, $E$9)</f>
        <v>74.000699999999995</v>
      </c>
      <c r="I818" s="14">
        <f>CHOOSE(CONTROL!$C$42, 74.1554, 74.1554)* CHOOSE(CONTROL!$C$21, $C$9, 100%, $E$9)</f>
        <v>74.1554</v>
      </c>
      <c r="J818" s="14">
        <f>CHOOSE(CONTROL!$C$42, 73.9058, 73.9058)* CHOOSE(CONTROL!$C$21, $C$9, 100%, $E$9)</f>
        <v>73.905799999999999</v>
      </c>
      <c r="K818" s="53">
        <f>CHOOSE(CONTROL!$C$42, 74.1516, 74.1516) * CHOOSE(CONTROL!$C$21, $C$9, 100%, $E$9)</f>
        <v>74.151600000000002</v>
      </c>
      <c r="L818" s="14">
        <f>CHOOSE(CONTROL!$C$42, 74.5877, 74.5877) * CHOOSE(CONTROL!$C$21, $C$9, 100%, $E$9)</f>
        <v>74.587699999999998</v>
      </c>
      <c r="M818" s="14">
        <f>CHOOSE(CONTROL!$C$42, 72.3992, 72.3992) * CHOOSE(CONTROL!$C$21, $C$9, 100%, $E$9)</f>
        <v>72.399199999999993</v>
      </c>
      <c r="N818" s="14">
        <f>CHOOSE(CONTROL!$C$42, 72.4153, 72.4153) * CHOOSE(CONTROL!$C$21, $C$9, 100%, $E$9)</f>
        <v>72.415300000000002</v>
      </c>
      <c r="O818" s="14">
        <f>CHOOSE(CONTROL!$C$42, 72.4922, 72.4922) * CHOOSE(CONTROL!$C$21, $C$9, 100%, $E$9)</f>
        <v>72.492199999999997</v>
      </c>
      <c r="P818" s="14">
        <f>CHOOSE(CONTROL!$C$42, 72.6392, 72.6392) * CHOOSE(CONTROL!$C$21, $C$9, 100%, $E$9)</f>
        <v>72.639200000000002</v>
      </c>
      <c r="Q818" s="14">
        <f>CHOOSE(CONTROL!$C$42, 73.0869, 73.0869) * CHOOSE(CONTROL!$C$21, $C$9, 100%, $E$9)</f>
        <v>73.0869</v>
      </c>
      <c r="R818" s="14">
        <f>CHOOSE(CONTROL!$C$42, 73.8566, 73.8566) * CHOOSE(CONTROL!$C$21, $C$9, 100%, $E$9)</f>
        <v>73.8566</v>
      </c>
      <c r="S818" s="14">
        <f>CHOOSE(CONTROL!$C$42, 71.0152, 71.0152) * CHOOSE(CONTROL!$C$21, $C$9, 100%, $E$9)</f>
        <v>71.015199999999993</v>
      </c>
      <c r="T81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7">
        <f>(1000*CHOOSE(CONTROL!$C$42, 695, 695)*CHOOSE(CONTROL!$C$42, 0.5599, 0.5599)*CHOOSE(CONTROL!$C$42, 29, 29))/1000000</f>
        <v>11.284784499999999</v>
      </c>
      <c r="V818" s="57">
        <f>(1000*CHOOSE(CONTROL!$C$42, 500, 500)*CHOOSE(CONTROL!$C$42, 0.275, 0.275)*CHOOSE(CONTROL!$C$42, 29, 29))/1000000</f>
        <v>3.9874999999999998</v>
      </c>
      <c r="W818" s="57">
        <f>(1000*CHOOSE(CONTROL!$C$42, 0.1146, 0.1146)*CHOOSE(CONTROL!$C$42, 121.5, 121.5)*CHOOSE(CONTROL!$C$42, 29, 29))/1000000</f>
        <v>0.40379309999999996</v>
      </c>
      <c r="X818" s="57">
        <f>(29*0.1790888*100000/1000000)+(29*0.2374*100000/1000000)</f>
        <v>1.2078175199999999</v>
      </c>
      <c r="Y818" s="57"/>
      <c r="Z818" s="14"/>
      <c r="AA818" s="56"/>
      <c r="AB818" s="50">
        <f>(B818*122.58+C818*297.941+D818*89.177+E818*40.302+F818*40+G818*160+H818*0+I818*100+J818*300)/(122.58+297.941+89.177+40.302+0+40+160+100+300)</f>
        <v>73.944470095304354</v>
      </c>
      <c r="AC818" s="45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72.476810071942438</v>
      </c>
    </row>
    <row r="819" spans="1:29" ht="15.75" x14ac:dyDescent="0.25">
      <c r="A819" s="32">
        <v>65836</v>
      </c>
      <c r="B819" s="14">
        <f>CHOOSE(CONTROL!$C$42, 71.8155, 71.8155) * CHOOSE(CONTROL!$C$21, $C$9, 100%, $E$9)</f>
        <v>71.8155</v>
      </c>
      <c r="C819" s="14">
        <f>CHOOSE(CONTROL!$C$42, 71.8206, 71.8206) * CHOOSE(CONTROL!$C$21, $C$9, 100%, $E$9)</f>
        <v>71.820599999999999</v>
      </c>
      <c r="D819" s="14">
        <f>CHOOSE(CONTROL!$C$42, 71.8792, 71.8792) * CHOOSE(CONTROL!$C$21, $C$9, 100%, $E$9)</f>
        <v>71.879199999999997</v>
      </c>
      <c r="E819" s="14">
        <f>CHOOSE(CONTROL!$C$42, 71.9133, 71.9133) * CHOOSE(CONTROL!$C$21, $C$9, 100%, $E$9)</f>
        <v>71.913300000000007</v>
      </c>
      <c r="F819" s="14">
        <f>CHOOSE(CONTROL!$C$42, 71.8141, 71.8141)*CHOOSE(CONTROL!$C$21, $C$9, 100%, $E$9)</f>
        <v>71.814099999999996</v>
      </c>
      <c r="G819" s="14">
        <f>CHOOSE(CONTROL!$C$42, 71.8303, 71.8303)*CHOOSE(CONTROL!$C$21, $C$9, 100%, $E$9)</f>
        <v>71.830299999999994</v>
      </c>
      <c r="H819" s="14">
        <f>CHOOSE(CONTROL!$C$42, 71.9025, 71.9025) * CHOOSE(CONTROL!$C$21, $C$9, 100%, $E$9)</f>
        <v>71.902500000000003</v>
      </c>
      <c r="I819" s="14">
        <f>CHOOSE(CONTROL!$C$42, 72.0507, 72.0507)* CHOOSE(CONTROL!$C$21, $C$9, 100%, $E$9)</f>
        <v>72.050700000000006</v>
      </c>
      <c r="J819" s="14">
        <f>CHOOSE(CONTROL!$C$42, 71.8071, 71.8071)* CHOOSE(CONTROL!$C$21, $C$9, 100%, $E$9)</f>
        <v>71.807100000000005</v>
      </c>
      <c r="K819" s="53">
        <f>CHOOSE(CONTROL!$C$42, 72.0468, 72.0468) * CHOOSE(CONTROL!$C$21, $C$9, 100%, $E$9)</f>
        <v>72.046800000000005</v>
      </c>
      <c r="L819" s="14">
        <f>CHOOSE(CONTROL!$C$42, 72.4895, 72.4895) * CHOOSE(CONTROL!$C$21, $C$9, 100%, $E$9)</f>
        <v>72.489500000000007</v>
      </c>
      <c r="M819" s="14">
        <f>CHOOSE(CONTROL!$C$42, 70.3435, 70.3435) * CHOOSE(CONTROL!$C$21, $C$9, 100%, $E$9)</f>
        <v>70.343500000000006</v>
      </c>
      <c r="N819" s="14">
        <f>CHOOSE(CONTROL!$C$42, 70.3594, 70.3594) * CHOOSE(CONTROL!$C$21, $C$9, 100%, $E$9)</f>
        <v>70.359399999999994</v>
      </c>
      <c r="O819" s="14">
        <f>CHOOSE(CONTROL!$C$42, 70.437, 70.437) * CHOOSE(CONTROL!$C$21, $C$9, 100%, $E$9)</f>
        <v>70.436999999999998</v>
      </c>
      <c r="P819" s="14">
        <f>CHOOSE(CONTROL!$C$42, 70.5777, 70.5777) * CHOOSE(CONTROL!$C$21, $C$9, 100%, $E$9)</f>
        <v>70.577699999999993</v>
      </c>
      <c r="Q819" s="14">
        <f>CHOOSE(CONTROL!$C$42, 71.0317, 71.0317) * CHOOSE(CONTROL!$C$21, $C$9, 100%, $E$9)</f>
        <v>71.031700000000001</v>
      </c>
      <c r="R819" s="14">
        <f>CHOOSE(CONTROL!$C$42, 71.7962, 71.7962) * CHOOSE(CONTROL!$C$21, $C$9, 100%, $E$9)</f>
        <v>71.796199999999999</v>
      </c>
      <c r="S819" s="14">
        <f>CHOOSE(CONTROL!$C$42, 68.999, 68.999) * CHOOSE(CONTROL!$C$21, $C$9, 100%, $E$9)</f>
        <v>68.998999999999995</v>
      </c>
      <c r="T8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7">
        <f>(1000*CHOOSE(CONTROL!$C$42, 695, 695)*CHOOSE(CONTROL!$C$42, 0.5599, 0.5599)*CHOOSE(CONTROL!$C$42, 31, 31))/1000000</f>
        <v>12.063045499999998</v>
      </c>
      <c r="V819" s="57">
        <f>(1000*CHOOSE(CONTROL!$C$42, 500, 500)*CHOOSE(CONTROL!$C$42, 0.275, 0.275)*CHOOSE(CONTROL!$C$42, 31, 31))/1000000</f>
        <v>4.2625000000000002</v>
      </c>
      <c r="W819" s="57">
        <f>(1000*CHOOSE(CONTROL!$C$42, 0.1146, 0.1146)*CHOOSE(CONTROL!$C$42, 121.5, 121.5)*CHOOSE(CONTROL!$C$42, 31, 31))/1000000</f>
        <v>0.43164089999999994</v>
      </c>
      <c r="X819" s="57">
        <f>(31*0.1790888*100000/1000000)+(31*0.2374*100000/1000000)</f>
        <v>1.2911152800000001</v>
      </c>
      <c r="Y819" s="57"/>
      <c r="Z819" s="14"/>
      <c r="AA819" s="56"/>
      <c r="AB819" s="50">
        <f>(B819*122.58+C819*297.941+D819*89.177+E819*40.302+F819*40+G819*160+H819*0+I819*100+J819*300)/(122.58+297.941+89.177+40.302+0+40+160+100+300)</f>
        <v>71.845459660521726</v>
      </c>
      <c r="AC819" s="45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70.420490647482012</v>
      </c>
    </row>
    <row r="820" spans="1:29" ht="15.75" x14ac:dyDescent="0.25">
      <c r="A820" s="32">
        <v>65866</v>
      </c>
      <c r="B820" s="14">
        <f>CHOOSE(CONTROL!$C$42, 71.6017, 71.6017) * CHOOSE(CONTROL!$C$21, $C$9, 100%, $E$9)</f>
        <v>71.601699999999994</v>
      </c>
      <c r="C820" s="14">
        <f>CHOOSE(CONTROL!$C$42, 71.6062, 71.6062) * CHOOSE(CONTROL!$C$21, $C$9, 100%, $E$9)</f>
        <v>71.606200000000001</v>
      </c>
      <c r="D820" s="14">
        <f>CHOOSE(CONTROL!$C$42, 71.8143, 71.8143) * CHOOSE(CONTROL!$C$21, $C$9, 100%, $E$9)</f>
        <v>71.814300000000003</v>
      </c>
      <c r="E820" s="14">
        <f>CHOOSE(CONTROL!$C$42, 71.8464, 71.8464) * CHOOSE(CONTROL!$C$21, $C$9, 100%, $E$9)</f>
        <v>71.846400000000003</v>
      </c>
      <c r="F820" s="14">
        <f>CHOOSE(CONTROL!$C$42, 71.589, 71.589)*CHOOSE(CONTROL!$C$21, $C$9, 100%, $E$9)</f>
        <v>71.588999999999999</v>
      </c>
      <c r="G820" s="14">
        <f>CHOOSE(CONTROL!$C$42, 71.605, 71.605)*CHOOSE(CONTROL!$C$21, $C$9, 100%, $E$9)</f>
        <v>71.605000000000004</v>
      </c>
      <c r="H820" s="14">
        <f>CHOOSE(CONTROL!$C$42, 71.8362, 71.8362) * CHOOSE(CONTROL!$C$21, $C$9, 100%, $E$9)</f>
        <v>71.836200000000005</v>
      </c>
      <c r="I820" s="14">
        <f>CHOOSE(CONTROL!$C$42, 71.8354, 71.8354)* CHOOSE(CONTROL!$C$21, $C$9, 100%, $E$9)</f>
        <v>71.835400000000007</v>
      </c>
      <c r="J820" s="14">
        <f>CHOOSE(CONTROL!$C$42, 71.582, 71.582)* CHOOSE(CONTROL!$C$21, $C$9, 100%, $E$9)</f>
        <v>71.581999999999994</v>
      </c>
      <c r="K820" s="53">
        <f>CHOOSE(CONTROL!$C$42, 71.8315, 71.8315) * CHOOSE(CONTROL!$C$21, $C$9, 100%, $E$9)</f>
        <v>71.831500000000005</v>
      </c>
      <c r="L820" s="14">
        <f>CHOOSE(CONTROL!$C$42, 72.4232, 72.4232) * CHOOSE(CONTROL!$C$21, $C$9, 100%, $E$9)</f>
        <v>72.423199999999994</v>
      </c>
      <c r="M820" s="14">
        <f>CHOOSE(CONTROL!$C$42, 70.1231, 70.1231) * CHOOSE(CONTROL!$C$21, $C$9, 100%, $E$9)</f>
        <v>70.123099999999994</v>
      </c>
      <c r="N820" s="14">
        <f>CHOOSE(CONTROL!$C$42, 70.1387, 70.1387) * CHOOSE(CONTROL!$C$21, $C$9, 100%, $E$9)</f>
        <v>70.1387</v>
      </c>
      <c r="O820" s="14">
        <f>CHOOSE(CONTROL!$C$42, 70.372, 70.372) * CHOOSE(CONTROL!$C$21, $C$9, 100%, $E$9)</f>
        <v>70.372</v>
      </c>
      <c r="P820" s="14">
        <f>CHOOSE(CONTROL!$C$42, 70.3668, 70.3668) * CHOOSE(CONTROL!$C$21, $C$9, 100%, $E$9)</f>
        <v>70.366799999999998</v>
      </c>
      <c r="Q820" s="14">
        <f>CHOOSE(CONTROL!$C$42, 70.9667, 70.9667) * CHOOSE(CONTROL!$C$21, $C$9, 100%, $E$9)</f>
        <v>70.966700000000003</v>
      </c>
      <c r="R820" s="14">
        <f>CHOOSE(CONTROL!$C$42, 71.7311, 71.7311) * CHOOSE(CONTROL!$C$21, $C$9, 100%, $E$9)</f>
        <v>71.731099999999998</v>
      </c>
      <c r="S820" s="14">
        <f>CHOOSE(CONTROL!$C$42, 68.7928, 68.7928) * CHOOSE(CONTROL!$C$21, $C$9, 100%, $E$9)</f>
        <v>68.7928</v>
      </c>
      <c r="T8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7">
        <f>(1000*CHOOSE(CONTROL!$C$42, 695, 695)*CHOOSE(CONTROL!$C$42, 0.5599, 0.5599)*CHOOSE(CONTROL!$C$42, 30, 30))/1000000</f>
        <v>11.673914999999997</v>
      </c>
      <c r="V820" s="57">
        <f>(1000*CHOOSE(CONTROL!$C$42, 500, 500)*CHOOSE(CONTROL!$C$42, 0.275, 0.275)*CHOOSE(CONTROL!$C$42, 30, 30))/1000000</f>
        <v>4.125</v>
      </c>
      <c r="W820" s="57">
        <f>(1000*CHOOSE(CONTROL!$C$42, 0.1146, 0.1146)*CHOOSE(CONTROL!$C$42, 121.5, 121.5)*CHOOSE(CONTROL!$C$42, 30, 30))/1000000</f>
        <v>0.417717</v>
      </c>
      <c r="X820" s="57">
        <f>(30*0.1790888*245000/1000000)+(30*0.2374*100000/1000000)</f>
        <v>2.0285026799999999</v>
      </c>
      <c r="Y820" s="57"/>
      <c r="Z820" s="14"/>
      <c r="AA820" s="56"/>
      <c r="AB820" s="50">
        <f>(B820*141.293+C820*267.993+D820*115.016+E820*89.698+F820*40+G820*185+H820*0+I820*100+J820*300)/(141.293+267.993+115.016+89.698+0+40+185+100+300)</f>
        <v>71.654298846408395</v>
      </c>
      <c r="AC820" s="45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70.271873381294967</v>
      </c>
    </row>
    <row r="821" spans="1:29" ht="15.75" x14ac:dyDescent="0.25">
      <c r="A821" s="32">
        <v>65897</v>
      </c>
      <c r="B821" s="14">
        <f>CHOOSE(CONTROL!$C$42, 72.235, 72.235) * CHOOSE(CONTROL!$C$21, $C$9, 100%, $E$9)</f>
        <v>72.234999999999999</v>
      </c>
      <c r="C821" s="14">
        <f>CHOOSE(CONTROL!$C$42, 72.243, 72.243) * CHOOSE(CONTROL!$C$21, $C$9, 100%, $E$9)</f>
        <v>72.242999999999995</v>
      </c>
      <c r="D821" s="14">
        <f>CHOOSE(CONTROL!$C$42, 72.448, 72.448) * CHOOSE(CONTROL!$C$21, $C$9, 100%, $E$9)</f>
        <v>72.447999999999993</v>
      </c>
      <c r="E821" s="14">
        <f>CHOOSE(CONTROL!$C$42, 72.4794, 72.4794) * CHOOSE(CONTROL!$C$21, $C$9, 100%, $E$9)</f>
        <v>72.479399999999998</v>
      </c>
      <c r="F821" s="14">
        <f>CHOOSE(CONTROL!$C$42, 72.2212, 72.2212)*CHOOSE(CONTROL!$C$21, $C$9, 100%, $E$9)</f>
        <v>72.221199999999996</v>
      </c>
      <c r="G821" s="14">
        <f>CHOOSE(CONTROL!$C$42, 72.2376, 72.2376)*CHOOSE(CONTROL!$C$21, $C$9, 100%, $E$9)</f>
        <v>72.2376</v>
      </c>
      <c r="H821" s="14">
        <f>CHOOSE(CONTROL!$C$42, 72.4681, 72.4681) * CHOOSE(CONTROL!$C$21, $C$9, 100%, $E$9)</f>
        <v>72.468100000000007</v>
      </c>
      <c r="I821" s="14">
        <f>CHOOSE(CONTROL!$C$42, 72.4693, 72.4693)* CHOOSE(CONTROL!$C$21, $C$9, 100%, $E$9)</f>
        <v>72.469300000000004</v>
      </c>
      <c r="J821" s="14">
        <f>CHOOSE(CONTROL!$C$42, 72.2142, 72.2142)* CHOOSE(CONTROL!$C$21, $C$9, 100%, $E$9)</f>
        <v>72.214200000000005</v>
      </c>
      <c r="K821" s="53">
        <f>CHOOSE(CONTROL!$C$42, 72.4654, 72.4654) * CHOOSE(CONTROL!$C$21, $C$9, 100%, $E$9)</f>
        <v>72.465400000000002</v>
      </c>
      <c r="L821" s="14">
        <f>CHOOSE(CONTROL!$C$42, 73.0551, 73.0551) * CHOOSE(CONTROL!$C$21, $C$9, 100%, $E$9)</f>
        <v>73.055099999999996</v>
      </c>
      <c r="M821" s="14">
        <f>CHOOSE(CONTROL!$C$42, 70.7422, 70.7422) * CHOOSE(CONTROL!$C$21, $C$9, 100%, $E$9)</f>
        <v>70.742199999999997</v>
      </c>
      <c r="N821" s="14">
        <f>CHOOSE(CONTROL!$C$42, 70.7583, 70.7583) * CHOOSE(CONTROL!$C$21, $C$9, 100%, $E$9)</f>
        <v>70.758300000000006</v>
      </c>
      <c r="O821" s="14">
        <f>CHOOSE(CONTROL!$C$42, 70.9909, 70.9909) * CHOOSE(CONTROL!$C$21, $C$9, 100%, $E$9)</f>
        <v>70.990899999999996</v>
      </c>
      <c r="P821" s="14">
        <f>CHOOSE(CONTROL!$C$42, 70.9876, 70.9876) * CHOOSE(CONTROL!$C$21, $C$9, 100%, $E$9)</f>
        <v>70.9876</v>
      </c>
      <c r="Q821" s="14">
        <f>CHOOSE(CONTROL!$C$42, 71.5856, 71.5856) * CHOOSE(CONTROL!$C$21, $C$9, 100%, $E$9)</f>
        <v>71.585599999999999</v>
      </c>
      <c r="R821" s="14">
        <f>CHOOSE(CONTROL!$C$42, 72.3516, 72.3516) * CHOOSE(CONTROL!$C$21, $C$9, 100%, $E$9)</f>
        <v>72.351600000000005</v>
      </c>
      <c r="S821" s="14">
        <f>CHOOSE(CONTROL!$C$42, 69.4, 69.4) * CHOOSE(CONTROL!$C$21, $C$9, 100%, $E$9)</f>
        <v>69.400000000000006</v>
      </c>
      <c r="T8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7">
        <f>(1000*CHOOSE(CONTROL!$C$42, 695, 695)*CHOOSE(CONTROL!$C$42, 0.5599, 0.5599)*CHOOSE(CONTROL!$C$42, 31, 31))/1000000</f>
        <v>12.063045499999998</v>
      </c>
      <c r="V821" s="57">
        <f>(1000*CHOOSE(CONTROL!$C$42, 500, 500)*CHOOSE(CONTROL!$C$42, 0.275, 0.275)*CHOOSE(CONTROL!$C$42, 31, 31))/1000000</f>
        <v>4.2625000000000002</v>
      </c>
      <c r="W821" s="57">
        <f>(1000*CHOOSE(CONTROL!$C$42, 0.1146, 0.1146)*CHOOSE(CONTROL!$C$42, 121.5, 121.5)*CHOOSE(CONTROL!$C$42, 31, 31))/1000000</f>
        <v>0.43164089999999994</v>
      </c>
      <c r="X821" s="57">
        <f>(31*0.1790888*245000/1000000)+(31*0.2374*100000/1000000)</f>
        <v>2.0961194359999999</v>
      </c>
      <c r="Y821" s="57"/>
      <c r="Z821" s="14"/>
      <c r="AA821" s="56"/>
      <c r="AB821" s="50">
        <f>(B821*194.205+C821*267.466+D821*133.845+E821*53.484+F821*40+G821*185+H821*0+I821*100+J821*300)/(194.205+267.466+133.845+53.484+0+40+185+100+300)</f>
        <v>72.282754476138138</v>
      </c>
      <c r="AC821" s="45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70.891156115107918</v>
      </c>
    </row>
    <row r="822" spans="1:29" ht="15.75" x14ac:dyDescent="0.25">
      <c r="A822" s="32">
        <v>65927</v>
      </c>
      <c r="B822" s="14">
        <f>CHOOSE(CONTROL!$C$42, 74.2837, 74.2837) * CHOOSE(CONTROL!$C$21, $C$9, 100%, $E$9)</f>
        <v>74.283699999999996</v>
      </c>
      <c r="C822" s="14">
        <f>CHOOSE(CONTROL!$C$42, 74.2917, 74.2917) * CHOOSE(CONTROL!$C$21, $C$9, 100%, $E$9)</f>
        <v>74.291700000000006</v>
      </c>
      <c r="D822" s="14">
        <f>CHOOSE(CONTROL!$C$42, 74.4967, 74.4967) * CHOOSE(CONTROL!$C$21, $C$9, 100%, $E$9)</f>
        <v>74.496700000000004</v>
      </c>
      <c r="E822" s="14">
        <f>CHOOSE(CONTROL!$C$42, 74.5281, 74.5281) * CHOOSE(CONTROL!$C$21, $C$9, 100%, $E$9)</f>
        <v>74.528099999999995</v>
      </c>
      <c r="F822" s="14">
        <f>CHOOSE(CONTROL!$C$42, 74.2702, 74.2702)*CHOOSE(CONTROL!$C$21, $C$9, 100%, $E$9)</f>
        <v>74.270200000000003</v>
      </c>
      <c r="G822" s="14">
        <f>CHOOSE(CONTROL!$C$42, 74.2867, 74.2867)*CHOOSE(CONTROL!$C$21, $C$9, 100%, $E$9)</f>
        <v>74.286699999999996</v>
      </c>
      <c r="H822" s="14">
        <f>CHOOSE(CONTROL!$C$42, 74.5168, 74.5168) * CHOOSE(CONTROL!$C$21, $C$9, 100%, $E$9)</f>
        <v>74.516800000000003</v>
      </c>
      <c r="I822" s="14">
        <f>CHOOSE(CONTROL!$C$42, 74.5244, 74.5244)* CHOOSE(CONTROL!$C$21, $C$9, 100%, $E$9)</f>
        <v>74.5244</v>
      </c>
      <c r="J822" s="14">
        <f>CHOOSE(CONTROL!$C$42, 74.2632, 74.2632)* CHOOSE(CONTROL!$C$21, $C$9, 100%, $E$9)</f>
        <v>74.263199999999998</v>
      </c>
      <c r="K822" s="53">
        <f>CHOOSE(CONTROL!$C$42, 74.5205, 74.5205) * CHOOSE(CONTROL!$C$21, $C$9, 100%, $E$9)</f>
        <v>74.520499999999998</v>
      </c>
      <c r="L822" s="14">
        <f>CHOOSE(CONTROL!$C$42, 75.1038, 75.1038) * CHOOSE(CONTROL!$C$21, $C$9, 100%, $E$9)</f>
        <v>75.103800000000007</v>
      </c>
      <c r="M822" s="14">
        <f>CHOOSE(CONTROL!$C$42, 72.7493, 72.7493) * CHOOSE(CONTROL!$C$21, $C$9, 100%, $E$9)</f>
        <v>72.749300000000005</v>
      </c>
      <c r="N822" s="14">
        <f>CHOOSE(CONTROL!$C$42, 72.7655, 72.7655) * CHOOSE(CONTROL!$C$21, $C$9, 100%, $E$9)</f>
        <v>72.765500000000003</v>
      </c>
      <c r="O822" s="14">
        <f>CHOOSE(CONTROL!$C$42, 72.9977, 72.9977) * CHOOSE(CONTROL!$C$21, $C$9, 100%, $E$9)</f>
        <v>72.997699999999995</v>
      </c>
      <c r="P822" s="14">
        <f>CHOOSE(CONTROL!$C$42, 73.0005, 73.0005) * CHOOSE(CONTROL!$C$21, $C$9, 100%, $E$9)</f>
        <v>73.000500000000002</v>
      </c>
      <c r="Q822" s="14">
        <f>CHOOSE(CONTROL!$C$42, 73.5924, 73.5924) * CHOOSE(CONTROL!$C$21, $C$9, 100%, $E$9)</f>
        <v>73.592399999999998</v>
      </c>
      <c r="R822" s="14">
        <f>CHOOSE(CONTROL!$C$42, 74.3634, 74.3634) * CHOOSE(CONTROL!$C$21, $C$9, 100%, $E$9)</f>
        <v>74.363399999999999</v>
      </c>
      <c r="S822" s="14">
        <f>CHOOSE(CONTROL!$C$42, 71.3686, 71.3686) * CHOOSE(CONTROL!$C$21, $C$9, 100%, $E$9)</f>
        <v>71.368600000000001</v>
      </c>
      <c r="T8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7">
        <f>(1000*CHOOSE(CONTROL!$C$42, 695, 695)*CHOOSE(CONTROL!$C$42, 0.5599, 0.5599)*CHOOSE(CONTROL!$C$42, 30, 30))/1000000</f>
        <v>11.673914999999997</v>
      </c>
      <c r="V822" s="57">
        <f>(1000*CHOOSE(CONTROL!$C$42, 500, 500)*CHOOSE(CONTROL!$C$42, 0.275, 0.275)*CHOOSE(CONTROL!$C$42, 30, 30))/1000000</f>
        <v>4.125</v>
      </c>
      <c r="W822" s="57">
        <f>(1000*CHOOSE(CONTROL!$C$42, 0.1146, 0.1146)*CHOOSE(CONTROL!$C$42, 121.5, 121.5)*CHOOSE(CONTROL!$C$42, 30, 30))/1000000</f>
        <v>0.417717</v>
      </c>
      <c r="X822" s="57">
        <f>(30*0.1790888*245000/1000000)+(30*0.2374*100000/1000000)</f>
        <v>2.0285026799999999</v>
      </c>
      <c r="Y822" s="57"/>
      <c r="Z822" s="14"/>
      <c r="AA822" s="56"/>
      <c r="AB822" s="50">
        <f>(B822*194.205+C822*267.466+D822*133.845+E822*53.484+F822*40+G822*185+H822*0+I822*100+J822*300)/(194.205+267.466+133.845+53.484+0+40+185+100+300)</f>
        <v>74.332094978492933</v>
      </c>
      <c r="AC822" s="45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72.898960431654686</v>
      </c>
    </row>
    <row r="823" spans="1:29" ht="15.75" x14ac:dyDescent="0.25">
      <c r="A823" s="32">
        <v>65958</v>
      </c>
      <c r="B823" s="14">
        <f>CHOOSE(CONTROL!$C$42, 72.8588, 72.8588) * CHOOSE(CONTROL!$C$21, $C$9, 100%, $E$9)</f>
        <v>72.858800000000002</v>
      </c>
      <c r="C823" s="14">
        <f>CHOOSE(CONTROL!$C$42, 72.8668, 72.8668) * CHOOSE(CONTROL!$C$21, $C$9, 100%, $E$9)</f>
        <v>72.866799999999998</v>
      </c>
      <c r="D823" s="14">
        <f>CHOOSE(CONTROL!$C$42, 73.0718, 73.0718) * CHOOSE(CONTROL!$C$21, $C$9, 100%, $E$9)</f>
        <v>73.071799999999996</v>
      </c>
      <c r="E823" s="14">
        <f>CHOOSE(CONTROL!$C$42, 73.1033, 73.1033) * CHOOSE(CONTROL!$C$21, $C$9, 100%, $E$9)</f>
        <v>73.103300000000004</v>
      </c>
      <c r="F823" s="14">
        <f>CHOOSE(CONTROL!$C$42, 72.8458, 72.8458)*CHOOSE(CONTROL!$C$21, $C$9, 100%, $E$9)</f>
        <v>72.845799999999997</v>
      </c>
      <c r="G823" s="14">
        <f>CHOOSE(CONTROL!$C$42, 72.8624, 72.8624)*CHOOSE(CONTROL!$C$21, $C$9, 100%, $E$9)</f>
        <v>72.862399999999994</v>
      </c>
      <c r="H823" s="14">
        <f>CHOOSE(CONTROL!$C$42, 73.0919, 73.0919) * CHOOSE(CONTROL!$C$21, $C$9, 100%, $E$9)</f>
        <v>73.091899999999995</v>
      </c>
      <c r="I823" s="14">
        <f>CHOOSE(CONTROL!$C$42, 73.095, 73.095)* CHOOSE(CONTROL!$C$21, $C$9, 100%, $E$9)</f>
        <v>73.094999999999999</v>
      </c>
      <c r="J823" s="14">
        <f>CHOOSE(CONTROL!$C$42, 72.8388, 72.8388)* CHOOSE(CONTROL!$C$21, $C$9, 100%, $E$9)</f>
        <v>72.838800000000006</v>
      </c>
      <c r="K823" s="53">
        <f>CHOOSE(CONTROL!$C$42, 73.0911, 73.0911) * CHOOSE(CONTROL!$C$21, $C$9, 100%, $E$9)</f>
        <v>73.091099999999997</v>
      </c>
      <c r="L823" s="14">
        <f>CHOOSE(CONTROL!$C$42, 73.6789, 73.6789) * CHOOSE(CONTROL!$C$21, $C$9, 100%, $E$9)</f>
        <v>73.678899999999999</v>
      </c>
      <c r="M823" s="14">
        <f>CHOOSE(CONTROL!$C$42, 71.354, 71.354) * CHOOSE(CONTROL!$C$21, $C$9, 100%, $E$9)</f>
        <v>71.353999999999999</v>
      </c>
      <c r="N823" s="14">
        <f>CHOOSE(CONTROL!$C$42, 71.3703, 71.3703) * CHOOSE(CONTROL!$C$21, $C$9, 100%, $E$9)</f>
        <v>71.3703</v>
      </c>
      <c r="O823" s="14">
        <f>CHOOSE(CONTROL!$C$42, 71.602, 71.602) * CHOOSE(CONTROL!$C$21, $C$9, 100%, $E$9)</f>
        <v>71.602000000000004</v>
      </c>
      <c r="P823" s="14">
        <f>CHOOSE(CONTROL!$C$42, 71.6005, 71.6005) * CHOOSE(CONTROL!$C$21, $C$9, 100%, $E$9)</f>
        <v>71.600499999999997</v>
      </c>
      <c r="Q823" s="14">
        <f>CHOOSE(CONTROL!$C$42, 72.1967, 72.1967) * CHOOSE(CONTROL!$C$21, $C$9, 100%, $E$9)</f>
        <v>72.196700000000007</v>
      </c>
      <c r="R823" s="14">
        <f>CHOOSE(CONTROL!$C$42, 72.9642, 72.9642) * CHOOSE(CONTROL!$C$21, $C$9, 100%, $E$9)</f>
        <v>72.964200000000005</v>
      </c>
      <c r="S823" s="14">
        <f>CHOOSE(CONTROL!$C$42, 69.9994, 69.9994) * CHOOSE(CONTROL!$C$21, $C$9, 100%, $E$9)</f>
        <v>69.999399999999994</v>
      </c>
      <c r="T8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7">
        <f>(1000*CHOOSE(CONTROL!$C$42, 695, 695)*CHOOSE(CONTROL!$C$42, 0.5599, 0.5599)*CHOOSE(CONTROL!$C$42, 31, 31))/1000000</f>
        <v>12.063045499999998</v>
      </c>
      <c r="V823" s="57">
        <f>(1000*CHOOSE(CONTROL!$C$42, 500, 500)*CHOOSE(CONTROL!$C$42, 0.275, 0.275)*CHOOSE(CONTROL!$C$42, 31, 31))/1000000</f>
        <v>4.2625000000000002</v>
      </c>
      <c r="W823" s="57">
        <f>(1000*CHOOSE(CONTROL!$C$42, 0.1146, 0.1146)*CHOOSE(CONTROL!$C$42, 121.5, 121.5)*CHOOSE(CONTROL!$C$42, 31, 31))/1000000</f>
        <v>0.43164089999999994</v>
      </c>
      <c r="X823" s="57">
        <f>(31*0.1790888*245000/1000000)+(31*0.2374*100000/1000000)</f>
        <v>2.0961194359999999</v>
      </c>
      <c r="Y823" s="57"/>
      <c r="Z823" s="14"/>
      <c r="AA823" s="56"/>
      <c r="AB823" s="50">
        <f>(B823*194.205+C823*267.466+D823*133.845+E823*53.484+F823*40+G823*185+H823*0+I823*100+J823*300)/(194.205+267.466+133.845+53.484+0+40+185+100+300)</f>
        <v>72.907066523547883</v>
      </c>
      <c r="AC823" s="45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71.502808633093537</v>
      </c>
    </row>
    <row r="824" spans="1:29" ht="15.75" x14ac:dyDescent="0.25">
      <c r="A824" s="32">
        <v>65989</v>
      </c>
      <c r="B824" s="14">
        <f>CHOOSE(CONTROL!$C$42, 69.2605, 69.2605) * CHOOSE(CONTROL!$C$21, $C$9, 100%, $E$9)</f>
        <v>69.260499999999993</v>
      </c>
      <c r="C824" s="14">
        <f>CHOOSE(CONTROL!$C$42, 69.2685, 69.2685) * CHOOSE(CONTROL!$C$21, $C$9, 100%, $E$9)</f>
        <v>69.268500000000003</v>
      </c>
      <c r="D824" s="14">
        <f>CHOOSE(CONTROL!$C$42, 69.4735, 69.4735) * CHOOSE(CONTROL!$C$21, $C$9, 100%, $E$9)</f>
        <v>69.473500000000001</v>
      </c>
      <c r="E824" s="14">
        <f>CHOOSE(CONTROL!$C$42, 69.505, 69.505) * CHOOSE(CONTROL!$C$21, $C$9, 100%, $E$9)</f>
        <v>69.504999999999995</v>
      </c>
      <c r="F824" s="14">
        <f>CHOOSE(CONTROL!$C$42, 69.2477, 69.2477)*CHOOSE(CONTROL!$C$21, $C$9, 100%, $E$9)</f>
        <v>69.247699999999995</v>
      </c>
      <c r="G824" s="14">
        <f>CHOOSE(CONTROL!$C$42, 69.2644, 69.2644)*CHOOSE(CONTROL!$C$21, $C$9, 100%, $E$9)</f>
        <v>69.264399999999995</v>
      </c>
      <c r="H824" s="14">
        <f>CHOOSE(CONTROL!$C$42, 69.4936, 69.4936) * CHOOSE(CONTROL!$C$21, $C$9, 100%, $E$9)</f>
        <v>69.493600000000001</v>
      </c>
      <c r="I824" s="14">
        <f>CHOOSE(CONTROL!$C$42, 69.4855, 69.4855)* CHOOSE(CONTROL!$C$21, $C$9, 100%, $E$9)</f>
        <v>69.485500000000002</v>
      </c>
      <c r="J824" s="14">
        <f>CHOOSE(CONTROL!$C$42, 69.2407, 69.2407)* CHOOSE(CONTROL!$C$21, $C$9, 100%, $E$9)</f>
        <v>69.240700000000004</v>
      </c>
      <c r="K824" s="53">
        <f>CHOOSE(CONTROL!$C$42, 69.4816, 69.4816) * CHOOSE(CONTROL!$C$21, $C$9, 100%, $E$9)</f>
        <v>69.4816</v>
      </c>
      <c r="L824" s="14">
        <f>CHOOSE(CONTROL!$C$42, 70.0806, 70.0806) * CHOOSE(CONTROL!$C$21, $C$9, 100%, $E$9)</f>
        <v>70.080600000000004</v>
      </c>
      <c r="M824" s="14">
        <f>CHOOSE(CONTROL!$C$42, 67.8297, 67.8297) * CHOOSE(CONTROL!$C$21, $C$9, 100%, $E$9)</f>
        <v>67.829700000000003</v>
      </c>
      <c r="N824" s="14">
        <f>CHOOSE(CONTROL!$C$42, 67.846, 67.846) * CHOOSE(CONTROL!$C$21, $C$9, 100%, $E$9)</f>
        <v>67.846000000000004</v>
      </c>
      <c r="O824" s="14">
        <f>CHOOSE(CONTROL!$C$42, 68.0774, 68.0774) * CHOOSE(CONTROL!$C$21, $C$9, 100%, $E$9)</f>
        <v>68.077399999999997</v>
      </c>
      <c r="P824" s="14">
        <f>CHOOSE(CONTROL!$C$42, 68.0652, 68.0652) * CHOOSE(CONTROL!$C$21, $C$9, 100%, $E$9)</f>
        <v>68.065200000000004</v>
      </c>
      <c r="Q824" s="14">
        <f>CHOOSE(CONTROL!$C$42, 68.6721, 68.6721) * CHOOSE(CONTROL!$C$21, $C$9, 100%, $E$9)</f>
        <v>68.6721</v>
      </c>
      <c r="R824" s="14">
        <f>CHOOSE(CONTROL!$C$42, 69.4308, 69.4308) * CHOOSE(CONTROL!$C$21, $C$9, 100%, $E$9)</f>
        <v>69.430800000000005</v>
      </c>
      <c r="S824" s="14">
        <f>CHOOSE(CONTROL!$C$42, 66.5418, 66.5418) * CHOOSE(CONTROL!$C$21, $C$9, 100%, $E$9)</f>
        <v>66.541799999999995</v>
      </c>
      <c r="T8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7">
        <f>(1000*CHOOSE(CONTROL!$C$42, 695, 695)*CHOOSE(CONTROL!$C$42, 0.5599, 0.5599)*CHOOSE(CONTROL!$C$42, 31, 31))/1000000</f>
        <v>12.063045499999998</v>
      </c>
      <c r="V824" s="57">
        <f>(1000*CHOOSE(CONTROL!$C$42, 500, 500)*CHOOSE(CONTROL!$C$42, 0.275, 0.275)*CHOOSE(CONTROL!$C$42, 31, 31))/1000000</f>
        <v>4.2625000000000002</v>
      </c>
      <c r="W824" s="57">
        <f>(1000*CHOOSE(CONTROL!$C$42, 0.1146, 0.1146)*CHOOSE(CONTROL!$C$42, 121.5, 121.5)*CHOOSE(CONTROL!$C$42, 31, 31))/1000000</f>
        <v>0.43164089999999994</v>
      </c>
      <c r="X824" s="57">
        <f>(31*0.1790888*245000/1000000)+(31*0.2374*100000/1000000)</f>
        <v>2.0961194359999999</v>
      </c>
      <c r="Y824" s="57"/>
      <c r="Z824" s="14"/>
      <c r="AA824" s="56"/>
      <c r="AB824" s="50">
        <f>(B824*194.205+C824*267.466+D824*133.845+E824*53.484+F824*40+G824*185+H824*0+I824*100+J824*300)/(194.205+267.466+133.845+53.484+0+40+185+100+300)</f>
        <v>69.307984341444282</v>
      </c>
      <c r="AC824" s="45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67.976789928057556</v>
      </c>
    </row>
    <row r="825" spans="1:29" ht="15.75" x14ac:dyDescent="0.25">
      <c r="A825" s="32">
        <v>66019</v>
      </c>
      <c r="B825" s="14">
        <f>CHOOSE(CONTROL!$C$42, 64.8637, 64.8637) * CHOOSE(CONTROL!$C$21, $C$9, 100%, $E$9)</f>
        <v>64.863699999999994</v>
      </c>
      <c r="C825" s="14">
        <f>CHOOSE(CONTROL!$C$42, 64.8717, 64.8717) * CHOOSE(CONTROL!$C$21, $C$9, 100%, $E$9)</f>
        <v>64.871700000000004</v>
      </c>
      <c r="D825" s="14">
        <f>CHOOSE(CONTROL!$C$42, 65.0767, 65.0767) * CHOOSE(CONTROL!$C$21, $C$9, 100%, $E$9)</f>
        <v>65.076700000000002</v>
      </c>
      <c r="E825" s="14">
        <f>CHOOSE(CONTROL!$C$42, 65.1081, 65.1081) * CHOOSE(CONTROL!$C$21, $C$9, 100%, $E$9)</f>
        <v>65.108099999999993</v>
      </c>
      <c r="F825" s="14">
        <f>CHOOSE(CONTROL!$C$42, 64.8508, 64.8508)*CHOOSE(CONTROL!$C$21, $C$9, 100%, $E$9)</f>
        <v>64.850800000000007</v>
      </c>
      <c r="G825" s="14">
        <f>CHOOSE(CONTROL!$C$42, 64.8675, 64.8675)*CHOOSE(CONTROL!$C$21, $C$9, 100%, $E$9)</f>
        <v>64.867500000000007</v>
      </c>
      <c r="H825" s="14">
        <f>CHOOSE(CONTROL!$C$42, 65.0968, 65.0968) * CHOOSE(CONTROL!$C$21, $C$9, 100%, $E$9)</f>
        <v>65.096800000000002</v>
      </c>
      <c r="I825" s="14">
        <f>CHOOSE(CONTROL!$C$42, 65.0749, 65.0749)* CHOOSE(CONTROL!$C$21, $C$9, 100%, $E$9)</f>
        <v>65.0749</v>
      </c>
      <c r="J825" s="14">
        <f>CHOOSE(CONTROL!$C$42, 64.8438, 64.8438)* CHOOSE(CONTROL!$C$21, $C$9, 100%, $E$9)</f>
        <v>64.843800000000002</v>
      </c>
      <c r="K825" s="53">
        <f>CHOOSE(CONTROL!$C$42, 65.071, 65.071) * CHOOSE(CONTROL!$C$21, $C$9, 100%, $E$9)</f>
        <v>65.070999999999998</v>
      </c>
      <c r="L825" s="14">
        <f>CHOOSE(CONTROL!$C$42, 65.6838, 65.6838) * CHOOSE(CONTROL!$C$21, $C$9, 100%, $E$9)</f>
        <v>65.683800000000005</v>
      </c>
      <c r="M825" s="14">
        <f>CHOOSE(CONTROL!$C$42, 63.5229, 63.5229) * CHOOSE(CONTROL!$C$21, $C$9, 100%, $E$9)</f>
        <v>63.5229</v>
      </c>
      <c r="N825" s="14">
        <f>CHOOSE(CONTROL!$C$42, 63.5393, 63.5393) * CHOOSE(CONTROL!$C$21, $C$9, 100%, $E$9)</f>
        <v>63.539299999999997</v>
      </c>
      <c r="O825" s="14">
        <f>CHOOSE(CONTROL!$C$42, 63.7707, 63.7707) * CHOOSE(CONTROL!$C$21, $C$9, 100%, $E$9)</f>
        <v>63.770699999999998</v>
      </c>
      <c r="P825" s="14">
        <f>CHOOSE(CONTROL!$C$42, 63.7452, 63.7452) * CHOOSE(CONTROL!$C$21, $C$9, 100%, $E$9)</f>
        <v>63.745199999999997</v>
      </c>
      <c r="Q825" s="14">
        <f>CHOOSE(CONTROL!$C$42, 64.3654, 64.3654) * CHOOSE(CONTROL!$C$21, $C$9, 100%, $E$9)</f>
        <v>64.365399999999994</v>
      </c>
      <c r="R825" s="14">
        <f>CHOOSE(CONTROL!$C$42, 65.1133, 65.1133) * CHOOSE(CONTROL!$C$21, $C$9, 100%, $E$9)</f>
        <v>65.113299999999995</v>
      </c>
      <c r="S825" s="14">
        <f>CHOOSE(CONTROL!$C$42, 62.3169, 62.3169) * CHOOSE(CONTROL!$C$21, $C$9, 100%, $E$9)</f>
        <v>62.316899999999997</v>
      </c>
      <c r="T8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7">
        <f>(1000*CHOOSE(CONTROL!$C$42, 695, 695)*CHOOSE(CONTROL!$C$42, 0.5599, 0.5599)*CHOOSE(CONTROL!$C$42, 30, 30))/1000000</f>
        <v>11.673914999999997</v>
      </c>
      <c r="V825" s="57">
        <f>(1000*CHOOSE(CONTROL!$C$42, 500, 500)*CHOOSE(CONTROL!$C$42, 0.275, 0.275)*CHOOSE(CONTROL!$C$42, 30, 30))/1000000</f>
        <v>4.125</v>
      </c>
      <c r="W825" s="57">
        <f>(1000*CHOOSE(CONTROL!$C$42, 0.1146, 0.1146)*CHOOSE(CONTROL!$C$42, 121.5, 121.5)*CHOOSE(CONTROL!$C$42, 30, 30))/1000000</f>
        <v>0.417717</v>
      </c>
      <c r="X825" s="57">
        <f>(30*0.1790888*245000/1000000)+(30*0.2374*100000/1000000)</f>
        <v>2.0285026799999999</v>
      </c>
      <c r="Y825" s="57"/>
      <c r="Z825" s="14"/>
      <c r="AA825" s="56"/>
      <c r="AB825" s="50">
        <f>(B825*194.205+C825*267.466+D825*133.845+E825*53.484+F825*40+G825*185+H825*0+I825*100+J825*300)/(194.205+267.466+133.845+53.484+0+40+185+100+300)</f>
        <v>64.910055732025114</v>
      </c>
      <c r="AC825" s="45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63.6681417266187</v>
      </c>
    </row>
    <row r="826" spans="1:29" ht="15.75" x14ac:dyDescent="0.25">
      <c r="A826" s="32">
        <v>66050</v>
      </c>
      <c r="B826" s="14">
        <f>CHOOSE(CONTROL!$C$42, 63.5452, 63.5452) * CHOOSE(CONTROL!$C$21, $C$9, 100%, $E$9)</f>
        <v>63.545200000000001</v>
      </c>
      <c r="C826" s="14">
        <f>CHOOSE(CONTROL!$C$42, 63.5505, 63.5505) * CHOOSE(CONTROL!$C$21, $C$9, 100%, $E$9)</f>
        <v>63.5505</v>
      </c>
      <c r="D826" s="14">
        <f>CHOOSE(CONTROL!$C$42, 63.7604, 63.7604) * CHOOSE(CONTROL!$C$21, $C$9, 100%, $E$9)</f>
        <v>63.760399999999997</v>
      </c>
      <c r="E826" s="14">
        <f>CHOOSE(CONTROL!$C$42, 63.7896, 63.7896) * CHOOSE(CONTROL!$C$21, $C$9, 100%, $E$9)</f>
        <v>63.7896</v>
      </c>
      <c r="F826" s="14">
        <f>CHOOSE(CONTROL!$C$42, 63.5344, 63.5344)*CHOOSE(CONTROL!$C$21, $C$9, 100%, $E$9)</f>
        <v>63.534399999999998</v>
      </c>
      <c r="G826" s="14">
        <f>CHOOSE(CONTROL!$C$42, 63.5507, 63.5507)*CHOOSE(CONTROL!$C$21, $C$9, 100%, $E$9)</f>
        <v>63.550699999999999</v>
      </c>
      <c r="H826" s="14">
        <f>CHOOSE(CONTROL!$C$42, 63.78, 63.78) * CHOOSE(CONTROL!$C$21, $C$9, 100%, $E$9)</f>
        <v>63.78</v>
      </c>
      <c r="I826" s="14">
        <f>CHOOSE(CONTROL!$C$42, 63.754, 63.754)* CHOOSE(CONTROL!$C$21, $C$9, 100%, $E$9)</f>
        <v>63.753999999999998</v>
      </c>
      <c r="J826" s="14">
        <f>CHOOSE(CONTROL!$C$42, 63.5274, 63.5274)* CHOOSE(CONTROL!$C$21, $C$9, 100%, $E$9)</f>
        <v>63.5274</v>
      </c>
      <c r="K826" s="53">
        <f>CHOOSE(CONTROL!$C$42, 63.7501, 63.7501) * CHOOSE(CONTROL!$C$21, $C$9, 100%, $E$9)</f>
        <v>63.750100000000003</v>
      </c>
      <c r="L826" s="14">
        <f>CHOOSE(CONTROL!$C$42, 64.367, 64.367) * CHOOSE(CONTROL!$C$21, $C$9, 100%, $E$9)</f>
        <v>64.367000000000004</v>
      </c>
      <c r="M826" s="14">
        <f>CHOOSE(CONTROL!$C$42, 62.2334, 62.2334) * CHOOSE(CONTROL!$C$21, $C$9, 100%, $E$9)</f>
        <v>62.233400000000003</v>
      </c>
      <c r="N826" s="14">
        <f>CHOOSE(CONTROL!$C$42, 62.2495, 62.2495) * CHOOSE(CONTROL!$C$21, $C$9, 100%, $E$9)</f>
        <v>62.249499999999998</v>
      </c>
      <c r="O826" s="14">
        <f>CHOOSE(CONTROL!$C$42, 62.4809, 62.4809) * CHOOSE(CONTROL!$C$21, $C$9, 100%, $E$9)</f>
        <v>62.480899999999998</v>
      </c>
      <c r="P826" s="14">
        <f>CHOOSE(CONTROL!$C$42, 62.4515, 62.4515) * CHOOSE(CONTROL!$C$21, $C$9, 100%, $E$9)</f>
        <v>62.451500000000003</v>
      </c>
      <c r="Q826" s="14">
        <f>CHOOSE(CONTROL!$C$42, 63.0756, 63.0756) * CHOOSE(CONTROL!$C$21, $C$9, 100%, $E$9)</f>
        <v>63.075600000000001</v>
      </c>
      <c r="R826" s="14">
        <f>CHOOSE(CONTROL!$C$42, 63.8203, 63.8203) * CHOOSE(CONTROL!$C$21, $C$9, 100%, $E$9)</f>
        <v>63.820300000000003</v>
      </c>
      <c r="S826" s="14">
        <f>CHOOSE(CONTROL!$C$42, 61.0516, 61.0516) * CHOOSE(CONTROL!$C$21, $C$9, 100%, $E$9)</f>
        <v>61.051600000000001</v>
      </c>
      <c r="T8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7">
        <f>(1000*CHOOSE(CONTROL!$C$42, 695, 695)*CHOOSE(CONTROL!$C$42, 0.5599, 0.5599)*CHOOSE(CONTROL!$C$42, 31, 31))/1000000</f>
        <v>12.063045499999998</v>
      </c>
      <c r="V826" s="57">
        <f>(1000*CHOOSE(CONTROL!$C$42, 500, 500)*CHOOSE(CONTROL!$C$42, 0.275, 0.275)*CHOOSE(CONTROL!$C$42, 31, 31))/1000000</f>
        <v>4.2625000000000002</v>
      </c>
      <c r="W826" s="57">
        <f>(1000*CHOOSE(CONTROL!$C$42, 0.1146, 0.1146)*CHOOSE(CONTROL!$C$42, 121.5, 121.5)*CHOOSE(CONTROL!$C$42, 31, 31))/1000000</f>
        <v>0.43164089999999994</v>
      </c>
      <c r="X826" s="57">
        <f>(31*0.1790888*245000/1000000)+(31*0.2374*100000/1000000)</f>
        <v>2.0961194359999999</v>
      </c>
      <c r="Y826" s="57"/>
      <c r="Z826" s="14"/>
      <c r="AA826" s="56"/>
      <c r="AB826" s="50">
        <f>(B826*131.881+C826*277.167+D826*79.08+E826*125.872+F826*40+G826*185+H826*0+I826*100+J826*300)/(131.881+277.167+79.08+125.872+0+40+185+100+300)</f>
        <v>63.597964824778053</v>
      </c>
      <c r="AC826" s="45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62.377884172661872</v>
      </c>
    </row>
    <row r="827" spans="1:29" ht="15.75" x14ac:dyDescent="0.25">
      <c r="A827" s="32">
        <v>66080</v>
      </c>
      <c r="B827" s="14">
        <f>CHOOSE(CONTROL!$C$42, 65.2186, 65.2186) * CHOOSE(CONTROL!$C$21, $C$9, 100%, $E$9)</f>
        <v>65.218599999999995</v>
      </c>
      <c r="C827" s="14">
        <f>CHOOSE(CONTROL!$C$42, 65.2236, 65.2236) * CHOOSE(CONTROL!$C$21, $C$9, 100%, $E$9)</f>
        <v>65.223600000000005</v>
      </c>
      <c r="D827" s="14">
        <f>CHOOSE(CONTROL!$C$42, 65.2874, 65.2874) * CHOOSE(CONTROL!$C$21, $C$9, 100%, $E$9)</f>
        <v>65.287400000000005</v>
      </c>
      <c r="E827" s="14">
        <f>CHOOSE(CONTROL!$C$42, 65.3216, 65.3216) * CHOOSE(CONTROL!$C$21, $C$9, 100%, $E$9)</f>
        <v>65.321600000000004</v>
      </c>
      <c r="F827" s="14">
        <f>CHOOSE(CONTROL!$C$42, 65.2208, 65.2208)*CHOOSE(CONTROL!$C$21, $C$9, 100%, $E$9)</f>
        <v>65.220799999999997</v>
      </c>
      <c r="G827" s="14">
        <f>CHOOSE(CONTROL!$C$42, 65.2375, 65.2375)*CHOOSE(CONTROL!$C$21, $C$9, 100%, $E$9)</f>
        <v>65.237499999999997</v>
      </c>
      <c r="H827" s="14">
        <f>CHOOSE(CONTROL!$C$42, 65.3108, 65.3108) * CHOOSE(CONTROL!$C$21, $C$9, 100%, $E$9)</f>
        <v>65.3108</v>
      </c>
      <c r="I827" s="14">
        <f>CHOOSE(CONTROL!$C$42, 65.4367, 65.4367)* CHOOSE(CONTROL!$C$21, $C$9, 100%, $E$9)</f>
        <v>65.436700000000002</v>
      </c>
      <c r="J827" s="14">
        <f>CHOOSE(CONTROL!$C$42, 65.2138, 65.2138)* CHOOSE(CONTROL!$C$21, $C$9, 100%, $E$9)</f>
        <v>65.213800000000006</v>
      </c>
      <c r="K827" s="53">
        <f>CHOOSE(CONTROL!$C$42, 65.4328, 65.4328) * CHOOSE(CONTROL!$C$21, $C$9, 100%, $E$9)</f>
        <v>65.4328</v>
      </c>
      <c r="L827" s="14">
        <f>CHOOSE(CONTROL!$C$42, 65.8978, 65.8978) * CHOOSE(CONTROL!$C$21, $C$9, 100%, $E$9)</f>
        <v>65.897800000000004</v>
      </c>
      <c r="M827" s="14">
        <f>CHOOSE(CONTROL!$C$42, 63.8853, 63.8853) * CHOOSE(CONTROL!$C$21, $C$9, 100%, $E$9)</f>
        <v>63.885300000000001</v>
      </c>
      <c r="N827" s="14">
        <f>CHOOSE(CONTROL!$C$42, 63.9016, 63.9016) * CHOOSE(CONTROL!$C$21, $C$9, 100%, $E$9)</f>
        <v>63.901600000000002</v>
      </c>
      <c r="O827" s="14">
        <f>CHOOSE(CONTROL!$C$42, 63.9803, 63.9803) * CHOOSE(CONTROL!$C$21, $C$9, 100%, $E$9)</f>
        <v>63.9803</v>
      </c>
      <c r="P827" s="14">
        <f>CHOOSE(CONTROL!$C$42, 64.0996, 64.0996) * CHOOSE(CONTROL!$C$21, $C$9, 100%, $E$9)</f>
        <v>64.099599999999995</v>
      </c>
      <c r="Q827" s="14">
        <f>CHOOSE(CONTROL!$C$42, 64.575, 64.575) * CHOOSE(CONTROL!$C$21, $C$9, 100%, $E$9)</f>
        <v>64.575000000000003</v>
      </c>
      <c r="R827" s="14">
        <f>CHOOSE(CONTROL!$C$42, 65.3234, 65.3234) * CHOOSE(CONTROL!$C$21, $C$9, 100%, $E$9)</f>
        <v>65.323400000000007</v>
      </c>
      <c r="S827" s="14">
        <f>CHOOSE(CONTROL!$C$42, 62.66, 62.66) * CHOOSE(CONTROL!$C$21, $C$9, 100%, $E$9)</f>
        <v>62.66</v>
      </c>
      <c r="T8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7">
        <f>(1000*CHOOSE(CONTROL!$C$42, 695, 695)*CHOOSE(CONTROL!$C$42, 0.5599, 0.5599)*CHOOSE(CONTROL!$C$42, 30, 30))/1000000</f>
        <v>11.673914999999997</v>
      </c>
      <c r="V827" s="57">
        <f>(1000*CHOOSE(CONTROL!$C$42, 500, 500)*CHOOSE(CONTROL!$C$42, 0.275, 0.275)*CHOOSE(CONTROL!$C$42, 30, 30))/1000000</f>
        <v>4.125</v>
      </c>
      <c r="W827" s="57">
        <f>(1000*CHOOSE(CONTROL!$C$42, 0.1146, 0.1146)*CHOOSE(CONTROL!$C$42, 121.5, 121.5)*CHOOSE(CONTROL!$C$42, 30, 30))/1000000</f>
        <v>0.417717</v>
      </c>
      <c r="X827" s="57">
        <f>(30*0.1790888*100000/1000000)+(30*0.2374*100000/1000000)</f>
        <v>1.2494664</v>
      </c>
      <c r="Y827" s="57"/>
      <c r="Z827" s="14"/>
      <c r="AA827" s="56"/>
      <c r="AB827" s="50">
        <f>(B827*122.58+C827*297.941+D827*89.177+E827*40.302+F827*40+G827*160+H827*0+I827*100+J827*300)/(122.58+297.941+89.177+40.302+0+40+160+100+300)</f>
        <v>65.249259294434779</v>
      </c>
      <c r="AC827" s="45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63.960130215827334</v>
      </c>
    </row>
    <row r="828" spans="1:29" ht="15.75" x14ac:dyDescent="0.25">
      <c r="A828" s="32">
        <v>66111</v>
      </c>
      <c r="B828" s="14">
        <f>CHOOSE(CONTROL!$C$42, 69.6645, 69.6645) * CHOOSE(CONTROL!$C$21, $C$9, 100%, $E$9)</f>
        <v>69.664500000000004</v>
      </c>
      <c r="C828" s="14">
        <f>CHOOSE(CONTROL!$C$42, 69.6696, 69.6696) * CHOOSE(CONTROL!$C$21, $C$9, 100%, $E$9)</f>
        <v>69.669600000000003</v>
      </c>
      <c r="D828" s="14">
        <f>CHOOSE(CONTROL!$C$42, 69.7334, 69.7334) * CHOOSE(CONTROL!$C$21, $C$9, 100%, $E$9)</f>
        <v>69.733400000000003</v>
      </c>
      <c r="E828" s="14">
        <f>CHOOSE(CONTROL!$C$42, 69.7675, 69.7675) * CHOOSE(CONTROL!$C$21, $C$9, 100%, $E$9)</f>
        <v>69.767499999999998</v>
      </c>
      <c r="F828" s="14">
        <f>CHOOSE(CONTROL!$C$42, 69.6688, 69.6688)*CHOOSE(CONTROL!$C$21, $C$9, 100%, $E$9)</f>
        <v>69.668800000000005</v>
      </c>
      <c r="G828" s="14">
        <f>CHOOSE(CONTROL!$C$42, 69.686, 69.686)*CHOOSE(CONTROL!$C$21, $C$9, 100%, $E$9)</f>
        <v>69.686000000000007</v>
      </c>
      <c r="H828" s="14">
        <f>CHOOSE(CONTROL!$C$42, 69.7567, 69.7567) * CHOOSE(CONTROL!$C$21, $C$9, 100%, $E$9)</f>
        <v>69.756699999999995</v>
      </c>
      <c r="I828" s="14">
        <f>CHOOSE(CONTROL!$C$42, 69.8966, 69.8966)* CHOOSE(CONTROL!$C$21, $C$9, 100%, $E$9)</f>
        <v>69.896600000000007</v>
      </c>
      <c r="J828" s="14">
        <f>CHOOSE(CONTROL!$C$42, 69.6618, 69.6618)* CHOOSE(CONTROL!$C$21, $C$9, 100%, $E$9)</f>
        <v>69.661799999999999</v>
      </c>
      <c r="K828" s="53">
        <f>CHOOSE(CONTROL!$C$42, 69.8927, 69.8927) * CHOOSE(CONTROL!$C$21, $C$9, 100%, $E$9)</f>
        <v>69.892700000000005</v>
      </c>
      <c r="L828" s="14">
        <f>CHOOSE(CONTROL!$C$42, 70.3437, 70.3437) * CHOOSE(CONTROL!$C$21, $C$9, 100%, $E$9)</f>
        <v>70.343699999999998</v>
      </c>
      <c r="M828" s="14">
        <f>CHOOSE(CONTROL!$C$42, 68.2422, 68.2422) * CHOOSE(CONTROL!$C$21, $C$9, 100%, $E$9)</f>
        <v>68.242199999999997</v>
      </c>
      <c r="N828" s="14">
        <f>CHOOSE(CONTROL!$C$42, 68.259, 68.259) * CHOOSE(CONTROL!$C$21, $C$9, 100%, $E$9)</f>
        <v>68.259</v>
      </c>
      <c r="O828" s="14">
        <f>CHOOSE(CONTROL!$C$42, 68.3351, 68.3351) * CHOOSE(CONTROL!$C$21, $C$9, 100%, $E$9)</f>
        <v>68.335099999999997</v>
      </c>
      <c r="P828" s="14">
        <f>CHOOSE(CONTROL!$C$42, 68.4678, 68.4678) * CHOOSE(CONTROL!$C$21, $C$9, 100%, $E$9)</f>
        <v>68.467799999999997</v>
      </c>
      <c r="Q828" s="14">
        <f>CHOOSE(CONTROL!$C$42, 68.9298, 68.9298) * CHOOSE(CONTROL!$C$21, $C$9, 100%, $E$9)</f>
        <v>68.9298</v>
      </c>
      <c r="R828" s="14">
        <f>CHOOSE(CONTROL!$C$42, 69.6891, 69.6891) * CHOOSE(CONTROL!$C$21, $C$9, 100%, $E$9)</f>
        <v>69.689099999999996</v>
      </c>
      <c r="S828" s="14">
        <f>CHOOSE(CONTROL!$C$42, 66.9321, 66.9321) * CHOOSE(CONTROL!$C$21, $C$9, 100%, $E$9)</f>
        <v>66.932100000000005</v>
      </c>
      <c r="T8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7">
        <f>(1000*CHOOSE(CONTROL!$C$42, 695, 695)*CHOOSE(CONTROL!$C$42, 0.5599, 0.5599)*CHOOSE(CONTROL!$C$42, 31, 31))/1000000</f>
        <v>12.063045499999998</v>
      </c>
      <c r="V828" s="57">
        <f>(1000*CHOOSE(CONTROL!$C$42, 500, 500)*CHOOSE(CONTROL!$C$42, 0.275, 0.275)*CHOOSE(CONTROL!$C$42, 31, 31))/1000000</f>
        <v>4.2625000000000002</v>
      </c>
      <c r="W828" s="57">
        <f>(1000*CHOOSE(CONTROL!$C$42, 0.1146, 0.1146)*CHOOSE(CONTROL!$C$42, 121.5, 121.5)*CHOOSE(CONTROL!$C$42, 31, 31))/1000000</f>
        <v>0.43164089999999994</v>
      </c>
      <c r="X828" s="57">
        <f>(31*0.1790888*100000/1000000)+(31*0.2374*100000/1000000)</f>
        <v>1.2911152800000001</v>
      </c>
      <c r="Y828" s="57"/>
      <c r="Z828" s="14"/>
      <c r="AA828" s="56"/>
      <c r="AB828" s="50">
        <f>(B828*122.58+C828*297.941+D828*89.177+E828*40.302+F828*40+G828*160+H828*0+I828*100+J828*300)/(122.58+297.941+89.177+40.302+0+40+160+100+300)</f>
        <v>69.697392956869564</v>
      </c>
      <c r="AC828" s="45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68.317733093525177</v>
      </c>
    </row>
    <row r="829" spans="1:29" ht="15.75" x14ac:dyDescent="0.25">
      <c r="A829" s="32">
        <v>66142</v>
      </c>
      <c r="B829" s="14">
        <f>CHOOSE(CONTROL!$C$42, 75.3702, 75.3702) * CHOOSE(CONTROL!$C$21, $C$9, 100%, $E$9)</f>
        <v>75.370199999999997</v>
      </c>
      <c r="C829" s="14">
        <f>CHOOSE(CONTROL!$C$42, 75.3753, 75.3753) * CHOOSE(CONTROL!$C$21, $C$9, 100%, $E$9)</f>
        <v>75.375299999999996</v>
      </c>
      <c r="D829" s="14">
        <f>CHOOSE(CONTROL!$C$42, 75.4339, 75.4339) * CHOOSE(CONTROL!$C$21, $C$9, 100%, $E$9)</f>
        <v>75.433899999999994</v>
      </c>
      <c r="E829" s="14">
        <f>CHOOSE(CONTROL!$C$42, 75.468, 75.468) * CHOOSE(CONTROL!$C$21, $C$9, 100%, $E$9)</f>
        <v>75.468000000000004</v>
      </c>
      <c r="F829" s="14">
        <f>CHOOSE(CONTROL!$C$42, 75.3693, 75.3693)*CHOOSE(CONTROL!$C$21, $C$9, 100%, $E$9)</f>
        <v>75.369299999999996</v>
      </c>
      <c r="G829" s="14">
        <f>CHOOSE(CONTROL!$C$42, 75.3857, 75.3857)*CHOOSE(CONTROL!$C$21, $C$9, 100%, $E$9)</f>
        <v>75.3857</v>
      </c>
      <c r="H829" s="14">
        <f>CHOOSE(CONTROL!$C$42, 75.4572, 75.4572) * CHOOSE(CONTROL!$C$21, $C$9, 100%, $E$9)</f>
        <v>75.4572</v>
      </c>
      <c r="I829" s="14">
        <f>CHOOSE(CONTROL!$C$42, 75.6165, 75.6165)* CHOOSE(CONTROL!$C$21, $C$9, 100%, $E$9)</f>
        <v>75.616500000000002</v>
      </c>
      <c r="J829" s="14">
        <f>CHOOSE(CONTROL!$C$42, 75.3623, 75.3623)* CHOOSE(CONTROL!$C$21, $C$9, 100%, $E$9)</f>
        <v>75.362300000000005</v>
      </c>
      <c r="K829" s="53">
        <f>CHOOSE(CONTROL!$C$42, 75.6126, 75.6126) * CHOOSE(CONTROL!$C$21, $C$9, 100%, $E$9)</f>
        <v>75.6126</v>
      </c>
      <c r="L829" s="14">
        <f>CHOOSE(CONTROL!$C$42, 76.0442, 76.0442) * CHOOSE(CONTROL!$C$21, $C$9, 100%, $E$9)</f>
        <v>76.044200000000004</v>
      </c>
      <c r="M829" s="14">
        <f>CHOOSE(CONTROL!$C$42, 73.8259, 73.8259) * CHOOSE(CONTROL!$C$21, $C$9, 100%, $E$9)</f>
        <v>73.825900000000004</v>
      </c>
      <c r="N829" s="14">
        <f>CHOOSE(CONTROL!$C$42, 73.8419, 73.8419) * CHOOSE(CONTROL!$C$21, $C$9, 100%, $E$9)</f>
        <v>73.841899999999995</v>
      </c>
      <c r="O829" s="14">
        <f>CHOOSE(CONTROL!$C$42, 73.9188, 73.9188) * CHOOSE(CONTROL!$C$21, $C$9, 100%, $E$9)</f>
        <v>73.918800000000005</v>
      </c>
      <c r="P829" s="14">
        <f>CHOOSE(CONTROL!$C$42, 74.0702, 74.0702) * CHOOSE(CONTROL!$C$21, $C$9, 100%, $E$9)</f>
        <v>74.0702</v>
      </c>
      <c r="Q829" s="14">
        <f>CHOOSE(CONTROL!$C$42, 74.5135, 74.5135) * CHOOSE(CONTROL!$C$21, $C$9, 100%, $E$9)</f>
        <v>74.513499999999993</v>
      </c>
      <c r="R829" s="14">
        <f>CHOOSE(CONTROL!$C$42, 75.2868, 75.2868) * CHOOSE(CONTROL!$C$21, $C$9, 100%, $E$9)</f>
        <v>75.286799999999999</v>
      </c>
      <c r="S829" s="14">
        <f>CHOOSE(CONTROL!$C$42, 72.4147, 72.4147) * CHOOSE(CONTROL!$C$21, $C$9, 100%, $E$9)</f>
        <v>72.414699999999996</v>
      </c>
      <c r="T8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7">
        <f>(1000*CHOOSE(CONTROL!$C$42, 695, 695)*CHOOSE(CONTROL!$C$42, 0.5599, 0.5599)*CHOOSE(CONTROL!$C$42, 31, 31))/1000000</f>
        <v>12.063045499999998</v>
      </c>
      <c r="V829" s="57">
        <f>(1000*CHOOSE(CONTROL!$C$42, 500, 500)*CHOOSE(CONTROL!$C$42, 0.275, 0.275)*CHOOSE(CONTROL!$C$42, 31, 31))/1000000</f>
        <v>4.2625000000000002</v>
      </c>
      <c r="W829" s="57">
        <f>(1000*CHOOSE(CONTROL!$C$42, 0.1146, 0.1146)*CHOOSE(CONTROL!$C$42, 121.5, 121.5)*CHOOSE(CONTROL!$C$42, 31, 31))/1000000</f>
        <v>0.43164089999999994</v>
      </c>
      <c r="X829" s="57">
        <f>(31*0.1790888*100000/1000000)+(31*0.2374*100000/1000000)</f>
        <v>1.2911152800000001</v>
      </c>
      <c r="Y829" s="57"/>
      <c r="Z829" s="14"/>
      <c r="AA829" s="56"/>
      <c r="AB829" s="50">
        <f>(B829*122.58+C829*297.941+D829*89.177+E829*40.302+F829*40+G829*160+H829*0+I829*100+J829*300)/(122.58+297.941+89.177+40.302+0+40+160+100+300)</f>
        <v>75.401370095304344</v>
      </c>
      <c r="AC829" s="45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73.904077697841728</v>
      </c>
    </row>
    <row r="830" spans="1:29" ht="15.75" x14ac:dyDescent="0.25">
      <c r="A830" s="32">
        <v>66170</v>
      </c>
      <c r="B830" s="14">
        <f>CHOOSE(CONTROL!$C$42, 76.7117, 76.7117) * CHOOSE(CONTROL!$C$21, $C$9, 100%, $E$9)</f>
        <v>76.711699999999993</v>
      </c>
      <c r="C830" s="14">
        <f>CHOOSE(CONTROL!$C$42, 76.7168, 76.7168) * CHOOSE(CONTROL!$C$21, $C$9, 100%, $E$9)</f>
        <v>76.716800000000006</v>
      </c>
      <c r="D830" s="14">
        <f>CHOOSE(CONTROL!$C$42, 76.7754, 76.7754) * CHOOSE(CONTROL!$C$21, $C$9, 100%, $E$9)</f>
        <v>76.775400000000005</v>
      </c>
      <c r="E830" s="14">
        <f>CHOOSE(CONTROL!$C$42, 76.8095, 76.8095) * CHOOSE(CONTROL!$C$21, $C$9, 100%, $E$9)</f>
        <v>76.8095</v>
      </c>
      <c r="F830" s="14">
        <f>CHOOSE(CONTROL!$C$42, 76.7108, 76.7108)*CHOOSE(CONTROL!$C$21, $C$9, 100%, $E$9)</f>
        <v>76.710800000000006</v>
      </c>
      <c r="G830" s="14">
        <f>CHOOSE(CONTROL!$C$42, 76.7272, 76.7272)*CHOOSE(CONTROL!$C$21, $C$9, 100%, $E$9)</f>
        <v>76.727199999999996</v>
      </c>
      <c r="H830" s="14">
        <f>CHOOSE(CONTROL!$C$42, 76.7987, 76.7987) * CHOOSE(CONTROL!$C$21, $C$9, 100%, $E$9)</f>
        <v>76.798699999999997</v>
      </c>
      <c r="I830" s="14">
        <f>CHOOSE(CONTROL!$C$42, 76.9622, 76.9622)* CHOOSE(CONTROL!$C$21, $C$9, 100%, $E$9)</f>
        <v>76.962199999999996</v>
      </c>
      <c r="J830" s="14">
        <f>CHOOSE(CONTROL!$C$42, 76.7038, 76.7038)* CHOOSE(CONTROL!$C$21, $C$9, 100%, $E$9)</f>
        <v>76.703800000000001</v>
      </c>
      <c r="K830" s="53">
        <f>CHOOSE(CONTROL!$C$42, 76.9583, 76.9583) * CHOOSE(CONTROL!$C$21, $C$9, 100%, $E$9)</f>
        <v>76.958299999999994</v>
      </c>
      <c r="L830" s="14">
        <f>CHOOSE(CONTROL!$C$42, 77.3857, 77.3857) * CHOOSE(CONTROL!$C$21, $C$9, 100%, $E$9)</f>
        <v>77.3857</v>
      </c>
      <c r="M830" s="14">
        <f>CHOOSE(CONTROL!$C$42, 75.1399, 75.1399) * CHOOSE(CONTROL!$C$21, $C$9, 100%, $E$9)</f>
        <v>75.139899999999997</v>
      </c>
      <c r="N830" s="14">
        <f>CHOOSE(CONTROL!$C$42, 75.1559, 75.1559) * CHOOSE(CONTROL!$C$21, $C$9, 100%, $E$9)</f>
        <v>75.155900000000003</v>
      </c>
      <c r="O830" s="14">
        <f>CHOOSE(CONTROL!$C$42, 75.2328, 75.2328) * CHOOSE(CONTROL!$C$21, $C$9, 100%, $E$9)</f>
        <v>75.232799999999997</v>
      </c>
      <c r="P830" s="14">
        <f>CHOOSE(CONTROL!$C$42, 75.3882, 75.3882) * CHOOSE(CONTROL!$C$21, $C$9, 100%, $E$9)</f>
        <v>75.388199999999998</v>
      </c>
      <c r="Q830" s="14">
        <f>CHOOSE(CONTROL!$C$42, 75.8275, 75.8275) * CHOOSE(CONTROL!$C$21, $C$9, 100%, $E$9)</f>
        <v>75.827500000000001</v>
      </c>
      <c r="R830" s="14">
        <f>CHOOSE(CONTROL!$C$42, 76.6041, 76.6041) * CHOOSE(CONTROL!$C$21, $C$9, 100%, $E$9)</f>
        <v>76.604100000000003</v>
      </c>
      <c r="S830" s="14">
        <f>CHOOSE(CONTROL!$C$42, 73.7038, 73.7038) * CHOOSE(CONTROL!$C$21, $C$9, 100%, $E$9)</f>
        <v>73.703800000000001</v>
      </c>
      <c r="T8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7">
        <f>(1000*CHOOSE(CONTROL!$C$42, 695, 695)*CHOOSE(CONTROL!$C$42, 0.5599, 0.5599)*CHOOSE(CONTROL!$C$42, 28, 28))/1000000</f>
        <v>10.895653999999999</v>
      </c>
      <c r="V830" s="57">
        <f>(1000*CHOOSE(CONTROL!$C$42, 500, 500)*CHOOSE(CONTROL!$C$42, 0.275, 0.275)*CHOOSE(CONTROL!$C$42, 28, 28))/1000000</f>
        <v>3.85</v>
      </c>
      <c r="W830" s="57">
        <f>(1000*CHOOSE(CONTROL!$C$42, 0.1146, 0.1146)*CHOOSE(CONTROL!$C$42, 121.5, 121.5)*CHOOSE(CONTROL!$C$42, 28, 28))/1000000</f>
        <v>0.38986920000000003</v>
      </c>
      <c r="X830" s="57">
        <f>(28*0.1790888*100000/1000000)+(28*0.2374*100000/1000000)</f>
        <v>1.16616864</v>
      </c>
      <c r="Y830" s="57"/>
      <c r="Z830" s="14"/>
      <c r="AA830" s="56"/>
      <c r="AB830" s="50">
        <f>(B830*122.58+C830*297.941+D830*89.177+E830*40.302+F830*40+G830*160+H830*0+I830*100+J830*300)/(122.58+297.941+89.177+40.302+0+40+160+100+300)</f>
        <v>76.74323531269566</v>
      </c>
      <c r="AC830" s="45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75.218653237410066</v>
      </c>
    </row>
    <row r="831" spans="1:29" ht="15.75" x14ac:dyDescent="0.25">
      <c r="A831" s="32">
        <v>66201</v>
      </c>
      <c r="B831" s="14">
        <f>CHOOSE(CONTROL!$C$42, 74.5341, 74.5341) * CHOOSE(CONTROL!$C$21, $C$9, 100%, $E$9)</f>
        <v>74.534099999999995</v>
      </c>
      <c r="C831" s="14">
        <f>CHOOSE(CONTROL!$C$42, 74.5392, 74.5392) * CHOOSE(CONTROL!$C$21, $C$9, 100%, $E$9)</f>
        <v>74.539199999999994</v>
      </c>
      <c r="D831" s="14">
        <f>CHOOSE(CONTROL!$C$42, 74.5978, 74.5978) * CHOOSE(CONTROL!$C$21, $C$9, 100%, $E$9)</f>
        <v>74.597800000000007</v>
      </c>
      <c r="E831" s="14">
        <f>CHOOSE(CONTROL!$C$42, 74.6319, 74.6319) * CHOOSE(CONTROL!$C$21, $C$9, 100%, $E$9)</f>
        <v>74.631900000000002</v>
      </c>
      <c r="F831" s="14">
        <f>CHOOSE(CONTROL!$C$42, 74.5327, 74.5327)*CHOOSE(CONTROL!$C$21, $C$9, 100%, $E$9)</f>
        <v>74.532700000000006</v>
      </c>
      <c r="G831" s="14">
        <f>CHOOSE(CONTROL!$C$42, 74.5489, 74.5489)*CHOOSE(CONTROL!$C$21, $C$9, 100%, $E$9)</f>
        <v>74.548900000000003</v>
      </c>
      <c r="H831" s="14">
        <f>CHOOSE(CONTROL!$C$42, 74.6211, 74.6211) * CHOOSE(CONTROL!$C$21, $C$9, 100%, $E$9)</f>
        <v>74.621099999999998</v>
      </c>
      <c r="I831" s="14">
        <f>CHOOSE(CONTROL!$C$42, 74.7778, 74.7778)* CHOOSE(CONTROL!$C$21, $C$9, 100%, $E$9)</f>
        <v>74.777799999999999</v>
      </c>
      <c r="J831" s="14">
        <f>CHOOSE(CONTROL!$C$42, 74.5257, 74.5257)* CHOOSE(CONTROL!$C$21, $C$9, 100%, $E$9)</f>
        <v>74.525700000000001</v>
      </c>
      <c r="K831" s="53">
        <f>CHOOSE(CONTROL!$C$42, 74.7739, 74.7739) * CHOOSE(CONTROL!$C$21, $C$9, 100%, $E$9)</f>
        <v>74.773899999999998</v>
      </c>
      <c r="L831" s="14">
        <f>CHOOSE(CONTROL!$C$42, 75.2081, 75.2081) * CHOOSE(CONTROL!$C$21, $C$9, 100%, $E$9)</f>
        <v>75.208100000000002</v>
      </c>
      <c r="M831" s="14">
        <f>CHOOSE(CONTROL!$C$42, 73.0064, 73.0064) * CHOOSE(CONTROL!$C$21, $C$9, 100%, $E$9)</f>
        <v>73.006399999999999</v>
      </c>
      <c r="N831" s="14">
        <f>CHOOSE(CONTROL!$C$42, 73.0223, 73.0223) * CHOOSE(CONTROL!$C$21, $C$9, 100%, $E$9)</f>
        <v>73.022300000000001</v>
      </c>
      <c r="O831" s="14">
        <f>CHOOSE(CONTROL!$C$42, 73.0998, 73.0998) * CHOOSE(CONTROL!$C$21, $C$9, 100%, $E$9)</f>
        <v>73.099800000000002</v>
      </c>
      <c r="P831" s="14">
        <f>CHOOSE(CONTROL!$C$42, 73.2487, 73.2487) * CHOOSE(CONTROL!$C$21, $C$9, 100%, $E$9)</f>
        <v>73.248699999999999</v>
      </c>
      <c r="Q831" s="14">
        <f>CHOOSE(CONTROL!$C$42, 73.6945, 73.6945) * CHOOSE(CONTROL!$C$21, $C$9, 100%, $E$9)</f>
        <v>73.694500000000005</v>
      </c>
      <c r="R831" s="14">
        <f>CHOOSE(CONTROL!$C$42, 74.4658, 74.4658) * CHOOSE(CONTROL!$C$21, $C$9, 100%, $E$9)</f>
        <v>74.465800000000002</v>
      </c>
      <c r="S831" s="14">
        <f>CHOOSE(CONTROL!$C$42, 71.6113, 71.6113) * CHOOSE(CONTROL!$C$21, $C$9, 100%, $E$9)</f>
        <v>71.6113</v>
      </c>
      <c r="T8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7">
        <f>(1000*CHOOSE(CONTROL!$C$42, 695, 695)*CHOOSE(CONTROL!$C$42, 0.5599, 0.5599)*CHOOSE(CONTROL!$C$42, 31, 31))/1000000</f>
        <v>12.063045499999998</v>
      </c>
      <c r="V831" s="57">
        <f>(1000*CHOOSE(CONTROL!$C$42, 500, 500)*CHOOSE(CONTROL!$C$42, 0.275, 0.275)*CHOOSE(CONTROL!$C$42, 31, 31))/1000000</f>
        <v>4.2625000000000002</v>
      </c>
      <c r="W831" s="57">
        <f>(1000*CHOOSE(CONTROL!$C$42, 0.1146, 0.1146)*CHOOSE(CONTROL!$C$42, 121.5, 121.5)*CHOOSE(CONTROL!$C$42, 31, 31))/1000000</f>
        <v>0.43164089999999994</v>
      </c>
      <c r="X831" s="57">
        <f>(31*0.1790888*100000/1000000)+(31*0.2374*100000/1000000)</f>
        <v>1.2911152800000001</v>
      </c>
      <c r="Y831" s="57"/>
      <c r="Z831" s="14"/>
      <c r="AA831" s="56"/>
      <c r="AB831" s="50">
        <f>(B831*122.58+C831*297.941+D831*89.177+E831*40.302+F831*40+G831*160+H831*0+I831*100+J831*300)/(122.58+297.941+89.177+40.302+0+40+160+100+300)</f>
        <v>74.564798790956516</v>
      </c>
      <c r="AC831" s="45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73.084510791366924</v>
      </c>
    </row>
    <row r="832" spans="1:29" ht="15.75" x14ac:dyDescent="0.25">
      <c r="A832" s="32">
        <v>66231</v>
      </c>
      <c r="B832" s="14">
        <f>CHOOSE(CONTROL!$C$42, 74.3121, 74.3121) * CHOOSE(CONTROL!$C$21, $C$9, 100%, $E$9)</f>
        <v>74.312100000000001</v>
      </c>
      <c r="C832" s="14">
        <f>CHOOSE(CONTROL!$C$42, 74.3166, 74.3166) * CHOOSE(CONTROL!$C$21, $C$9, 100%, $E$9)</f>
        <v>74.316599999999994</v>
      </c>
      <c r="D832" s="14">
        <f>CHOOSE(CONTROL!$C$42, 74.5247, 74.5247) * CHOOSE(CONTROL!$C$21, $C$9, 100%, $E$9)</f>
        <v>74.524699999999996</v>
      </c>
      <c r="E832" s="14">
        <f>CHOOSE(CONTROL!$C$42, 74.5568, 74.5568) * CHOOSE(CONTROL!$C$21, $C$9, 100%, $E$9)</f>
        <v>74.556799999999996</v>
      </c>
      <c r="F832" s="14">
        <f>CHOOSE(CONTROL!$C$42, 74.2995, 74.2995)*CHOOSE(CONTROL!$C$21, $C$9, 100%, $E$9)</f>
        <v>74.299499999999995</v>
      </c>
      <c r="G832" s="14">
        <f>CHOOSE(CONTROL!$C$42, 74.3154, 74.3154)*CHOOSE(CONTROL!$C$21, $C$9, 100%, $E$9)</f>
        <v>74.315399999999997</v>
      </c>
      <c r="H832" s="14">
        <f>CHOOSE(CONTROL!$C$42, 74.5466, 74.5466) * CHOOSE(CONTROL!$C$21, $C$9, 100%, $E$9)</f>
        <v>74.546599999999998</v>
      </c>
      <c r="I832" s="14">
        <f>CHOOSE(CONTROL!$C$42, 74.5543, 74.5543)* CHOOSE(CONTROL!$C$21, $C$9, 100%, $E$9)</f>
        <v>74.554299999999998</v>
      </c>
      <c r="J832" s="14">
        <f>CHOOSE(CONTROL!$C$42, 74.2925, 74.2925)* CHOOSE(CONTROL!$C$21, $C$9, 100%, $E$9)</f>
        <v>74.292500000000004</v>
      </c>
      <c r="K832" s="53">
        <f>CHOOSE(CONTROL!$C$42, 74.5504, 74.5504) * CHOOSE(CONTROL!$C$21, $C$9, 100%, $E$9)</f>
        <v>74.550399999999996</v>
      </c>
      <c r="L832" s="14">
        <f>CHOOSE(CONTROL!$C$42, 75.1336, 75.1336) * CHOOSE(CONTROL!$C$21, $C$9, 100%, $E$9)</f>
        <v>75.133600000000001</v>
      </c>
      <c r="M832" s="14">
        <f>CHOOSE(CONTROL!$C$42, 72.778, 72.778) * CHOOSE(CONTROL!$C$21, $C$9, 100%, $E$9)</f>
        <v>72.778000000000006</v>
      </c>
      <c r="N832" s="14">
        <f>CHOOSE(CONTROL!$C$42, 72.7936, 72.7936) * CHOOSE(CONTROL!$C$21, $C$9, 100%, $E$9)</f>
        <v>72.793599999999998</v>
      </c>
      <c r="O832" s="14">
        <f>CHOOSE(CONTROL!$C$42, 73.0269, 73.0269) * CHOOSE(CONTROL!$C$21, $C$9, 100%, $E$9)</f>
        <v>73.026899999999998</v>
      </c>
      <c r="P832" s="14">
        <f>CHOOSE(CONTROL!$C$42, 73.0298, 73.0298) * CHOOSE(CONTROL!$C$21, $C$9, 100%, $E$9)</f>
        <v>73.029799999999994</v>
      </c>
      <c r="Q832" s="14">
        <f>CHOOSE(CONTROL!$C$42, 73.6216, 73.6216) * CHOOSE(CONTROL!$C$21, $C$9, 100%, $E$9)</f>
        <v>73.621600000000001</v>
      </c>
      <c r="R832" s="14">
        <f>CHOOSE(CONTROL!$C$42, 74.3927, 74.3927) * CHOOSE(CONTROL!$C$21, $C$9, 100%, $E$9)</f>
        <v>74.392700000000005</v>
      </c>
      <c r="S832" s="14">
        <f>CHOOSE(CONTROL!$C$42, 71.3972, 71.3972) * CHOOSE(CONTROL!$C$21, $C$9, 100%, $E$9)</f>
        <v>71.397199999999998</v>
      </c>
      <c r="T8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7">
        <f>(1000*CHOOSE(CONTROL!$C$42, 695, 695)*CHOOSE(CONTROL!$C$42, 0.5599, 0.5599)*CHOOSE(CONTROL!$C$42, 30, 30))/1000000</f>
        <v>11.673914999999997</v>
      </c>
      <c r="V832" s="57">
        <f>(1000*CHOOSE(CONTROL!$C$42, 500, 500)*CHOOSE(CONTROL!$C$42, 0.275, 0.275)*CHOOSE(CONTROL!$C$42, 30, 30))/1000000</f>
        <v>4.125</v>
      </c>
      <c r="W832" s="57">
        <f>(1000*CHOOSE(CONTROL!$C$42, 0.1146, 0.1146)*CHOOSE(CONTROL!$C$42, 121.5, 121.5)*CHOOSE(CONTROL!$C$42, 30, 30))/1000000</f>
        <v>0.417717</v>
      </c>
      <c r="X832" s="57">
        <f>(30*0.1790888*245000/1000000)+(30*0.2374*100000/1000000)</f>
        <v>2.0285026799999999</v>
      </c>
      <c r="Y832" s="57"/>
      <c r="Z832" s="14"/>
      <c r="AA832" s="56"/>
      <c r="AB832" s="50">
        <f>(B832*141.293+C832*267.993+D832*115.016+E832*89.698+F832*40+G832*185+H832*0+I832*100+J832*300)/(141.293+267.993+115.016+89.698+0+40+185+100+300)</f>
        <v>74.365412325020174</v>
      </c>
      <c r="AC832" s="45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72.92793884892086</v>
      </c>
    </row>
    <row r="833" spans="1:29" ht="15.75" x14ac:dyDescent="0.25">
      <c r="A833" s="32">
        <v>66262</v>
      </c>
      <c r="B833" s="14">
        <f>CHOOSE(CONTROL!$C$42, 74.9693, 74.9693) * CHOOSE(CONTROL!$C$21, $C$9, 100%, $E$9)</f>
        <v>74.969300000000004</v>
      </c>
      <c r="C833" s="14">
        <f>CHOOSE(CONTROL!$C$42, 74.9774, 74.9774) * CHOOSE(CONTROL!$C$21, $C$9, 100%, $E$9)</f>
        <v>74.977400000000003</v>
      </c>
      <c r="D833" s="14">
        <f>CHOOSE(CONTROL!$C$42, 75.1823, 75.1823) * CHOOSE(CONTROL!$C$21, $C$9, 100%, $E$9)</f>
        <v>75.182299999999998</v>
      </c>
      <c r="E833" s="14">
        <f>CHOOSE(CONTROL!$C$42, 75.2138, 75.2138) * CHOOSE(CONTROL!$C$21, $C$9, 100%, $E$9)</f>
        <v>75.213800000000006</v>
      </c>
      <c r="F833" s="14">
        <f>CHOOSE(CONTROL!$C$42, 74.9555, 74.9555)*CHOOSE(CONTROL!$C$21, $C$9, 100%, $E$9)</f>
        <v>74.955500000000001</v>
      </c>
      <c r="G833" s="14">
        <f>CHOOSE(CONTROL!$C$42, 74.9719, 74.9719)*CHOOSE(CONTROL!$C$21, $C$9, 100%, $E$9)</f>
        <v>74.971900000000005</v>
      </c>
      <c r="H833" s="14">
        <f>CHOOSE(CONTROL!$C$42, 75.2024, 75.2024) * CHOOSE(CONTROL!$C$21, $C$9, 100%, $E$9)</f>
        <v>75.202399999999997</v>
      </c>
      <c r="I833" s="14">
        <f>CHOOSE(CONTROL!$C$42, 75.2122, 75.2122)* CHOOSE(CONTROL!$C$21, $C$9, 100%, $E$9)</f>
        <v>75.212199999999996</v>
      </c>
      <c r="J833" s="14">
        <f>CHOOSE(CONTROL!$C$42, 74.9485, 74.9485)* CHOOSE(CONTROL!$C$21, $C$9, 100%, $E$9)</f>
        <v>74.948499999999996</v>
      </c>
      <c r="K833" s="53">
        <f>CHOOSE(CONTROL!$C$42, 75.2083, 75.2083) * CHOOSE(CONTROL!$C$21, $C$9, 100%, $E$9)</f>
        <v>75.208299999999994</v>
      </c>
      <c r="L833" s="14">
        <f>CHOOSE(CONTROL!$C$42, 75.7894, 75.7894) * CHOOSE(CONTROL!$C$21, $C$9, 100%, $E$9)</f>
        <v>75.789400000000001</v>
      </c>
      <c r="M833" s="14">
        <f>CHOOSE(CONTROL!$C$42, 73.4206, 73.4206) * CHOOSE(CONTROL!$C$21, $C$9, 100%, $E$9)</f>
        <v>73.420599999999993</v>
      </c>
      <c r="N833" s="14">
        <f>CHOOSE(CONTROL!$C$42, 73.4366, 73.4366) * CHOOSE(CONTROL!$C$21, $C$9, 100%, $E$9)</f>
        <v>73.436599999999999</v>
      </c>
      <c r="O833" s="14">
        <f>CHOOSE(CONTROL!$C$42, 73.6693, 73.6693) * CHOOSE(CONTROL!$C$21, $C$9, 100%, $E$9)</f>
        <v>73.669300000000007</v>
      </c>
      <c r="P833" s="14">
        <f>CHOOSE(CONTROL!$C$42, 73.6742, 73.6742) * CHOOSE(CONTROL!$C$21, $C$9, 100%, $E$9)</f>
        <v>73.674199999999999</v>
      </c>
      <c r="Q833" s="14">
        <f>CHOOSE(CONTROL!$C$42, 74.264, 74.264) * CHOOSE(CONTROL!$C$21, $C$9, 100%, $E$9)</f>
        <v>74.263999999999996</v>
      </c>
      <c r="R833" s="14">
        <f>CHOOSE(CONTROL!$C$42, 75.0366, 75.0366) * CHOOSE(CONTROL!$C$21, $C$9, 100%, $E$9)</f>
        <v>75.036600000000007</v>
      </c>
      <c r="S833" s="14">
        <f>CHOOSE(CONTROL!$C$42, 72.0274, 72.0274) * CHOOSE(CONTROL!$C$21, $C$9, 100%, $E$9)</f>
        <v>72.0274</v>
      </c>
      <c r="T8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7">
        <f>(1000*CHOOSE(CONTROL!$C$42, 695, 695)*CHOOSE(CONTROL!$C$42, 0.5599, 0.5599)*CHOOSE(CONTROL!$C$42, 31, 31))/1000000</f>
        <v>12.063045499999998</v>
      </c>
      <c r="V833" s="57">
        <f>(1000*CHOOSE(CONTROL!$C$42, 500, 500)*CHOOSE(CONTROL!$C$42, 0.275, 0.275)*CHOOSE(CONTROL!$C$42, 31, 31))/1000000</f>
        <v>4.2625000000000002</v>
      </c>
      <c r="W833" s="57">
        <f>(1000*CHOOSE(CONTROL!$C$42, 0.1146, 0.1146)*CHOOSE(CONTROL!$C$42, 121.5, 121.5)*CHOOSE(CONTROL!$C$42, 31, 31))/1000000</f>
        <v>0.43164089999999994</v>
      </c>
      <c r="X833" s="57">
        <f>(31*0.1790888*245000/1000000)+(31*0.2374*100000/1000000)</f>
        <v>2.0961194359999999</v>
      </c>
      <c r="Y833" s="57"/>
      <c r="Z833" s="14"/>
      <c r="AA833" s="56"/>
      <c r="AB833" s="50">
        <f>(B833*194.205+C833*267.466+D833*133.845+E833*53.484+F833*40+G833*185+H833*0+I833*100+J833*300)/(194.205+267.466+133.845+53.484+0+40+185+100+300)</f>
        <v>75.017754707692319</v>
      </c>
      <c r="AC833" s="45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73.570730215827339</v>
      </c>
    </row>
    <row r="834" spans="1:29" ht="15.75" x14ac:dyDescent="0.25">
      <c r="A834" s="32">
        <v>66292</v>
      </c>
      <c r="B834" s="14">
        <f>CHOOSE(CONTROL!$C$42, 77.0956, 77.0956) * CHOOSE(CONTROL!$C$21, $C$9, 100%, $E$9)</f>
        <v>77.095600000000005</v>
      </c>
      <c r="C834" s="14">
        <f>CHOOSE(CONTROL!$C$42, 77.1036, 77.1036) * CHOOSE(CONTROL!$C$21, $C$9, 100%, $E$9)</f>
        <v>77.1036</v>
      </c>
      <c r="D834" s="14">
        <f>CHOOSE(CONTROL!$C$42, 77.3086, 77.3086) * CHOOSE(CONTROL!$C$21, $C$9, 100%, $E$9)</f>
        <v>77.308599999999998</v>
      </c>
      <c r="E834" s="14">
        <f>CHOOSE(CONTROL!$C$42, 77.3401, 77.3401) * CHOOSE(CONTROL!$C$21, $C$9, 100%, $E$9)</f>
        <v>77.340100000000007</v>
      </c>
      <c r="F834" s="14">
        <f>CHOOSE(CONTROL!$C$42, 77.0822, 77.0822)*CHOOSE(CONTROL!$C$21, $C$9, 100%, $E$9)</f>
        <v>77.0822</v>
      </c>
      <c r="G834" s="14">
        <f>CHOOSE(CONTROL!$C$42, 77.0987, 77.0987)*CHOOSE(CONTROL!$C$21, $C$9, 100%, $E$9)</f>
        <v>77.098699999999994</v>
      </c>
      <c r="H834" s="14">
        <f>CHOOSE(CONTROL!$C$42, 77.3287, 77.3287) * CHOOSE(CONTROL!$C$21, $C$9, 100%, $E$9)</f>
        <v>77.328699999999998</v>
      </c>
      <c r="I834" s="14">
        <f>CHOOSE(CONTROL!$C$42, 77.3451, 77.3451)* CHOOSE(CONTROL!$C$21, $C$9, 100%, $E$9)</f>
        <v>77.345100000000002</v>
      </c>
      <c r="J834" s="14">
        <f>CHOOSE(CONTROL!$C$42, 77.0752, 77.0752)* CHOOSE(CONTROL!$C$21, $C$9, 100%, $E$9)</f>
        <v>77.075199999999995</v>
      </c>
      <c r="K834" s="53">
        <f>CHOOSE(CONTROL!$C$42, 77.3412, 77.3412) * CHOOSE(CONTROL!$C$21, $C$9, 100%, $E$9)</f>
        <v>77.341200000000001</v>
      </c>
      <c r="L834" s="14">
        <f>CHOOSE(CONTROL!$C$42, 77.9157, 77.9157) * CHOOSE(CONTROL!$C$21, $C$9, 100%, $E$9)</f>
        <v>77.915700000000001</v>
      </c>
      <c r="M834" s="14">
        <f>CHOOSE(CONTROL!$C$42, 75.5036, 75.5036) * CHOOSE(CONTROL!$C$21, $C$9, 100%, $E$9)</f>
        <v>75.503600000000006</v>
      </c>
      <c r="N834" s="14">
        <f>CHOOSE(CONTROL!$C$42, 75.5198, 75.5198) * CHOOSE(CONTROL!$C$21, $C$9, 100%, $E$9)</f>
        <v>75.519800000000004</v>
      </c>
      <c r="O834" s="14">
        <f>CHOOSE(CONTROL!$C$42, 75.752, 75.752) * CHOOSE(CONTROL!$C$21, $C$9, 100%, $E$9)</f>
        <v>75.751999999999995</v>
      </c>
      <c r="P834" s="14">
        <f>CHOOSE(CONTROL!$C$42, 75.7633, 75.7633) * CHOOSE(CONTROL!$C$21, $C$9, 100%, $E$9)</f>
        <v>75.763300000000001</v>
      </c>
      <c r="Q834" s="14">
        <f>CHOOSE(CONTROL!$C$42, 76.3467, 76.3467) * CHOOSE(CONTROL!$C$21, $C$9, 100%, $E$9)</f>
        <v>76.346699999999998</v>
      </c>
      <c r="R834" s="14">
        <f>CHOOSE(CONTROL!$C$42, 77.1245, 77.1245) * CHOOSE(CONTROL!$C$21, $C$9, 100%, $E$9)</f>
        <v>77.124499999999998</v>
      </c>
      <c r="S834" s="14">
        <f>CHOOSE(CONTROL!$C$42, 74.0705, 74.0705) * CHOOSE(CONTROL!$C$21, $C$9, 100%, $E$9)</f>
        <v>74.070499999999996</v>
      </c>
      <c r="T8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7">
        <f>(1000*CHOOSE(CONTROL!$C$42, 695, 695)*CHOOSE(CONTROL!$C$42, 0.5599, 0.5599)*CHOOSE(CONTROL!$C$42, 30, 30))/1000000</f>
        <v>11.673914999999997</v>
      </c>
      <c r="V834" s="57">
        <f>(1000*CHOOSE(CONTROL!$C$42, 500, 500)*CHOOSE(CONTROL!$C$42, 0.275, 0.275)*CHOOSE(CONTROL!$C$42, 30, 30))/1000000</f>
        <v>4.125</v>
      </c>
      <c r="W834" s="57">
        <f>(1000*CHOOSE(CONTROL!$C$42, 0.1146, 0.1146)*CHOOSE(CONTROL!$C$42, 121.5, 121.5)*CHOOSE(CONTROL!$C$42, 30, 30))/1000000</f>
        <v>0.417717</v>
      </c>
      <c r="X834" s="57">
        <f>(30*0.1790888*245000/1000000)+(30*0.2374*100000/1000000)</f>
        <v>2.0285026799999999</v>
      </c>
      <c r="Y834" s="57"/>
      <c r="Z834" s="14"/>
      <c r="AA834" s="56"/>
      <c r="AB834" s="50">
        <f>(B834*194.205+C834*267.466+D834*133.845+E834*53.484+F834*40+G834*185+H834*0+I834*100+J834*300)/(194.205+267.466+133.845+53.484+0+40+185+100+300)</f>
        <v>77.144731123233896</v>
      </c>
      <c r="AC834" s="45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75.654483453237418</v>
      </c>
    </row>
    <row r="835" spans="1:29" ht="15.75" x14ac:dyDescent="0.25">
      <c r="A835" s="32">
        <v>66323</v>
      </c>
      <c r="B835" s="14">
        <f>CHOOSE(CONTROL!$C$42, 75.6168, 75.6168) * CHOOSE(CONTROL!$C$21, $C$9, 100%, $E$9)</f>
        <v>75.616799999999998</v>
      </c>
      <c r="C835" s="14">
        <f>CHOOSE(CONTROL!$C$42, 75.6248, 75.6248) * CHOOSE(CONTROL!$C$21, $C$9, 100%, $E$9)</f>
        <v>75.624799999999993</v>
      </c>
      <c r="D835" s="14">
        <f>CHOOSE(CONTROL!$C$42, 75.8298, 75.8298) * CHOOSE(CONTROL!$C$21, $C$9, 100%, $E$9)</f>
        <v>75.829800000000006</v>
      </c>
      <c r="E835" s="14">
        <f>CHOOSE(CONTROL!$C$42, 75.8612, 75.8612) * CHOOSE(CONTROL!$C$21, $C$9, 100%, $E$9)</f>
        <v>75.861199999999997</v>
      </c>
      <c r="F835" s="14">
        <f>CHOOSE(CONTROL!$C$42, 75.6037, 75.6037)*CHOOSE(CONTROL!$C$21, $C$9, 100%, $E$9)</f>
        <v>75.603700000000003</v>
      </c>
      <c r="G835" s="14">
        <f>CHOOSE(CONTROL!$C$42, 75.6204, 75.6204)*CHOOSE(CONTROL!$C$21, $C$9, 100%, $E$9)</f>
        <v>75.620400000000004</v>
      </c>
      <c r="H835" s="14">
        <f>CHOOSE(CONTROL!$C$42, 75.8499, 75.8499) * CHOOSE(CONTROL!$C$21, $C$9, 100%, $E$9)</f>
        <v>75.849900000000005</v>
      </c>
      <c r="I835" s="14">
        <f>CHOOSE(CONTROL!$C$42, 75.8616, 75.8616)* CHOOSE(CONTROL!$C$21, $C$9, 100%, $E$9)</f>
        <v>75.861599999999996</v>
      </c>
      <c r="J835" s="14">
        <f>CHOOSE(CONTROL!$C$42, 75.5967, 75.5967)* CHOOSE(CONTROL!$C$21, $C$9, 100%, $E$9)</f>
        <v>75.596699999999998</v>
      </c>
      <c r="K835" s="53">
        <f>CHOOSE(CONTROL!$C$42, 75.8577, 75.8577) * CHOOSE(CONTROL!$C$21, $C$9, 100%, $E$9)</f>
        <v>75.857699999999994</v>
      </c>
      <c r="L835" s="14">
        <f>CHOOSE(CONTROL!$C$42, 76.4369, 76.4369) * CHOOSE(CONTROL!$C$21, $C$9, 100%, $E$9)</f>
        <v>76.436899999999994</v>
      </c>
      <c r="M835" s="14">
        <f>CHOOSE(CONTROL!$C$42, 74.0555, 74.0555) * CHOOSE(CONTROL!$C$21, $C$9, 100%, $E$9)</f>
        <v>74.055499999999995</v>
      </c>
      <c r="N835" s="14">
        <f>CHOOSE(CONTROL!$C$42, 74.0718, 74.0718) * CHOOSE(CONTROL!$C$21, $C$9, 100%, $E$9)</f>
        <v>74.071799999999996</v>
      </c>
      <c r="O835" s="14">
        <f>CHOOSE(CONTROL!$C$42, 74.3034, 74.3034) * CHOOSE(CONTROL!$C$21, $C$9, 100%, $E$9)</f>
        <v>74.303399999999996</v>
      </c>
      <c r="P835" s="14">
        <f>CHOOSE(CONTROL!$C$42, 74.3103, 74.3103) * CHOOSE(CONTROL!$C$21, $C$9, 100%, $E$9)</f>
        <v>74.310299999999998</v>
      </c>
      <c r="Q835" s="14">
        <f>CHOOSE(CONTROL!$C$42, 74.8981, 74.8981) * CHOOSE(CONTROL!$C$21, $C$9, 100%, $E$9)</f>
        <v>74.898099999999999</v>
      </c>
      <c r="R835" s="14">
        <f>CHOOSE(CONTROL!$C$42, 75.6724, 75.6724) * CHOOSE(CONTROL!$C$21, $C$9, 100%, $E$9)</f>
        <v>75.672399999999996</v>
      </c>
      <c r="S835" s="14">
        <f>CHOOSE(CONTROL!$C$42, 72.6495, 72.6495) * CHOOSE(CONTROL!$C$21, $C$9, 100%, $E$9)</f>
        <v>72.649500000000003</v>
      </c>
      <c r="T8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7">
        <f>(1000*CHOOSE(CONTROL!$C$42, 695, 695)*CHOOSE(CONTROL!$C$42, 0.5599, 0.5599)*CHOOSE(CONTROL!$C$42, 31, 31))/1000000</f>
        <v>12.063045499999998</v>
      </c>
      <c r="V835" s="57">
        <f>(1000*CHOOSE(CONTROL!$C$42, 500, 500)*CHOOSE(CONTROL!$C$42, 0.275, 0.275)*CHOOSE(CONTROL!$C$42, 31, 31))/1000000</f>
        <v>4.2625000000000002</v>
      </c>
      <c r="W835" s="57">
        <f>(1000*CHOOSE(CONTROL!$C$42, 0.1146, 0.1146)*CHOOSE(CONTROL!$C$42, 121.5, 121.5)*CHOOSE(CONTROL!$C$42, 31, 31))/1000000</f>
        <v>0.43164089999999994</v>
      </c>
      <c r="X835" s="57">
        <f>(31*0.1790888*245000/1000000)+(31*0.2374*100000/1000000)</f>
        <v>2.0961194359999999</v>
      </c>
      <c r="Y835" s="57"/>
      <c r="Z835" s="14"/>
      <c r="AA835" s="56"/>
      <c r="AB835" s="50">
        <f>(B835*194.205+C835*267.466+D835*133.845+E835*53.484+F835*40+G835*185+H835*0+I835*100+J835*300)/(194.205+267.466+133.845+53.484+0+40+185+100+300)</f>
        <v>75.665710677080057</v>
      </c>
      <c r="AC835" s="45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74.205457553956833</v>
      </c>
    </row>
    <row r="836" spans="1:29" ht="15.75" x14ac:dyDescent="0.25">
      <c r="A836" s="32">
        <v>66354</v>
      </c>
      <c r="B836" s="14">
        <f>CHOOSE(CONTROL!$C$42, 71.8822, 71.8822) * CHOOSE(CONTROL!$C$21, $C$9, 100%, $E$9)</f>
        <v>71.882199999999997</v>
      </c>
      <c r="C836" s="14">
        <f>CHOOSE(CONTROL!$C$42, 71.8903, 71.8903) * CHOOSE(CONTROL!$C$21, $C$9, 100%, $E$9)</f>
        <v>71.890299999999996</v>
      </c>
      <c r="D836" s="14">
        <f>CHOOSE(CONTROL!$C$42, 72.0952, 72.0952) * CHOOSE(CONTROL!$C$21, $C$9, 100%, $E$9)</f>
        <v>72.095200000000006</v>
      </c>
      <c r="E836" s="14">
        <f>CHOOSE(CONTROL!$C$42, 72.1267, 72.1267) * CHOOSE(CONTROL!$C$21, $C$9, 100%, $E$9)</f>
        <v>72.1267</v>
      </c>
      <c r="F836" s="14">
        <f>CHOOSE(CONTROL!$C$42, 71.8694, 71.8694)*CHOOSE(CONTROL!$C$21, $C$9, 100%, $E$9)</f>
        <v>71.869399999999999</v>
      </c>
      <c r="G836" s="14">
        <f>CHOOSE(CONTROL!$C$42, 71.8861, 71.8861)*CHOOSE(CONTROL!$C$21, $C$9, 100%, $E$9)</f>
        <v>71.886099999999999</v>
      </c>
      <c r="H836" s="14">
        <f>CHOOSE(CONTROL!$C$42, 72.1153, 72.1153) * CHOOSE(CONTROL!$C$21, $C$9, 100%, $E$9)</f>
        <v>72.115300000000005</v>
      </c>
      <c r="I836" s="14">
        <f>CHOOSE(CONTROL!$C$42, 72.1154, 72.1154)* CHOOSE(CONTROL!$C$21, $C$9, 100%, $E$9)</f>
        <v>72.115399999999994</v>
      </c>
      <c r="J836" s="14">
        <f>CHOOSE(CONTROL!$C$42, 71.8624, 71.8624)* CHOOSE(CONTROL!$C$21, $C$9, 100%, $E$9)</f>
        <v>71.862399999999994</v>
      </c>
      <c r="K836" s="53">
        <f>CHOOSE(CONTROL!$C$42, 72.1115, 72.1115) * CHOOSE(CONTROL!$C$21, $C$9, 100%, $E$9)</f>
        <v>72.111500000000007</v>
      </c>
      <c r="L836" s="14">
        <f>CHOOSE(CONTROL!$C$42, 72.7023, 72.7023) * CHOOSE(CONTROL!$C$21, $C$9, 100%, $E$9)</f>
        <v>72.702299999999994</v>
      </c>
      <c r="M836" s="14">
        <f>CHOOSE(CONTROL!$C$42, 70.3977, 70.3977) * CHOOSE(CONTROL!$C$21, $C$9, 100%, $E$9)</f>
        <v>70.3977</v>
      </c>
      <c r="N836" s="14">
        <f>CHOOSE(CONTROL!$C$42, 70.4141, 70.4141) * CHOOSE(CONTROL!$C$21, $C$9, 100%, $E$9)</f>
        <v>70.414100000000005</v>
      </c>
      <c r="O836" s="14">
        <f>CHOOSE(CONTROL!$C$42, 70.6454, 70.6454) * CHOOSE(CONTROL!$C$21, $C$9, 100%, $E$9)</f>
        <v>70.645399999999995</v>
      </c>
      <c r="P836" s="14">
        <f>CHOOSE(CONTROL!$C$42, 70.6411, 70.6411) * CHOOSE(CONTROL!$C$21, $C$9, 100%, $E$9)</f>
        <v>70.641099999999994</v>
      </c>
      <c r="Q836" s="14">
        <f>CHOOSE(CONTROL!$C$42, 71.2401, 71.2401) * CHOOSE(CONTROL!$C$21, $C$9, 100%, $E$9)</f>
        <v>71.240099999999998</v>
      </c>
      <c r="R836" s="14">
        <f>CHOOSE(CONTROL!$C$42, 72.0052, 72.0052) * CHOOSE(CONTROL!$C$21, $C$9, 100%, $E$9)</f>
        <v>72.005200000000002</v>
      </c>
      <c r="S836" s="14">
        <f>CHOOSE(CONTROL!$C$42, 69.061, 69.061) * CHOOSE(CONTROL!$C$21, $C$9, 100%, $E$9)</f>
        <v>69.061000000000007</v>
      </c>
      <c r="T8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7">
        <f>(1000*CHOOSE(CONTROL!$C$42, 695, 695)*CHOOSE(CONTROL!$C$42, 0.5599, 0.5599)*CHOOSE(CONTROL!$C$42, 31, 31))/1000000</f>
        <v>12.063045499999998</v>
      </c>
      <c r="V836" s="57">
        <f>(1000*CHOOSE(CONTROL!$C$42, 500, 500)*CHOOSE(CONTROL!$C$42, 0.275, 0.275)*CHOOSE(CONTROL!$C$42, 31, 31))/1000000</f>
        <v>4.2625000000000002</v>
      </c>
      <c r="W836" s="57">
        <f>(1000*CHOOSE(CONTROL!$C$42, 0.1146, 0.1146)*CHOOSE(CONTROL!$C$42, 121.5, 121.5)*CHOOSE(CONTROL!$C$42, 31, 31))/1000000</f>
        <v>0.43164089999999994</v>
      </c>
      <c r="X836" s="57">
        <f>(31*0.1790888*245000/1000000)+(31*0.2374*100000/1000000)</f>
        <v>2.0961194359999999</v>
      </c>
      <c r="Y836" s="57"/>
      <c r="Z836" s="14"/>
      <c r="AA836" s="56"/>
      <c r="AB836" s="50">
        <f>(B836*194.205+C836*267.466+D836*133.845+E836*53.484+F836*40+G836*185+H836*0+I836*100+J836*300)/(194.205+267.466+133.845+53.484+0+40+185+100+300)</f>
        <v>71.930348977707993</v>
      </c>
      <c r="AC836" s="45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70.54593237410073</v>
      </c>
    </row>
    <row r="837" spans="1:29" ht="15.75" x14ac:dyDescent="0.25">
      <c r="A837" s="32">
        <v>66384</v>
      </c>
      <c r="B837" s="14">
        <f>CHOOSE(CONTROL!$C$42, 67.319, 67.319) * CHOOSE(CONTROL!$C$21, $C$9, 100%, $E$9)</f>
        <v>67.319000000000003</v>
      </c>
      <c r="C837" s="14">
        <f>CHOOSE(CONTROL!$C$42, 67.327, 67.327) * CHOOSE(CONTROL!$C$21, $C$9, 100%, $E$9)</f>
        <v>67.326999999999998</v>
      </c>
      <c r="D837" s="14">
        <f>CHOOSE(CONTROL!$C$42, 67.532, 67.532) * CHOOSE(CONTROL!$C$21, $C$9, 100%, $E$9)</f>
        <v>67.531999999999996</v>
      </c>
      <c r="E837" s="14">
        <f>CHOOSE(CONTROL!$C$42, 67.5634, 67.5634) * CHOOSE(CONTROL!$C$21, $C$9, 100%, $E$9)</f>
        <v>67.563400000000001</v>
      </c>
      <c r="F837" s="14">
        <f>CHOOSE(CONTROL!$C$42, 67.3061, 67.3061)*CHOOSE(CONTROL!$C$21, $C$9, 100%, $E$9)</f>
        <v>67.306100000000001</v>
      </c>
      <c r="G837" s="14">
        <f>CHOOSE(CONTROL!$C$42, 67.3228, 67.3228)*CHOOSE(CONTROL!$C$21, $C$9, 100%, $E$9)</f>
        <v>67.322800000000001</v>
      </c>
      <c r="H837" s="14">
        <f>CHOOSE(CONTROL!$C$42, 67.5521, 67.5521) * CHOOSE(CONTROL!$C$21, $C$9, 100%, $E$9)</f>
        <v>67.552099999999996</v>
      </c>
      <c r="I837" s="14">
        <f>CHOOSE(CONTROL!$C$42, 67.5379, 67.5379)* CHOOSE(CONTROL!$C$21, $C$9, 100%, $E$9)</f>
        <v>67.537899999999993</v>
      </c>
      <c r="J837" s="14">
        <f>CHOOSE(CONTROL!$C$42, 67.2991, 67.2991)* CHOOSE(CONTROL!$C$21, $C$9, 100%, $E$9)</f>
        <v>67.299099999999996</v>
      </c>
      <c r="K837" s="53">
        <f>CHOOSE(CONTROL!$C$42, 67.534, 67.534) * CHOOSE(CONTROL!$C$21, $C$9, 100%, $E$9)</f>
        <v>67.534000000000006</v>
      </c>
      <c r="L837" s="14">
        <f>CHOOSE(CONTROL!$C$42, 68.1391, 68.1391) * CHOOSE(CONTROL!$C$21, $C$9, 100%, $E$9)</f>
        <v>68.139099999999999</v>
      </c>
      <c r="M837" s="14">
        <f>CHOOSE(CONTROL!$C$42, 65.9279, 65.9279) * CHOOSE(CONTROL!$C$21, $C$9, 100%, $E$9)</f>
        <v>65.927899999999994</v>
      </c>
      <c r="N837" s="14">
        <f>CHOOSE(CONTROL!$C$42, 65.9442, 65.9442) * CHOOSE(CONTROL!$C$21, $C$9, 100%, $E$9)</f>
        <v>65.944199999999995</v>
      </c>
      <c r="O837" s="14">
        <f>CHOOSE(CONTROL!$C$42, 66.1757, 66.1757) * CHOOSE(CONTROL!$C$21, $C$9, 100%, $E$9)</f>
        <v>66.175700000000006</v>
      </c>
      <c r="P837" s="14">
        <f>CHOOSE(CONTROL!$C$42, 66.1576, 66.1576) * CHOOSE(CONTROL!$C$21, $C$9, 100%, $E$9)</f>
        <v>66.157600000000002</v>
      </c>
      <c r="Q837" s="14">
        <f>CHOOSE(CONTROL!$C$42, 66.7704, 66.7704) * CHOOSE(CONTROL!$C$21, $C$9, 100%, $E$9)</f>
        <v>66.770399999999995</v>
      </c>
      <c r="R837" s="14">
        <f>CHOOSE(CONTROL!$C$42, 67.5243, 67.5243) * CHOOSE(CONTROL!$C$21, $C$9, 100%, $E$9)</f>
        <v>67.524299999999997</v>
      </c>
      <c r="S837" s="14">
        <f>CHOOSE(CONTROL!$C$42, 64.6762, 64.6762) * CHOOSE(CONTROL!$C$21, $C$9, 100%, $E$9)</f>
        <v>64.676199999999994</v>
      </c>
      <c r="T8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7">
        <f>(1000*CHOOSE(CONTROL!$C$42, 695, 695)*CHOOSE(CONTROL!$C$42, 0.5599, 0.5599)*CHOOSE(CONTROL!$C$42, 30, 30))/1000000</f>
        <v>11.673914999999997</v>
      </c>
      <c r="V837" s="57">
        <f>(1000*CHOOSE(CONTROL!$C$42, 500, 500)*CHOOSE(CONTROL!$C$42, 0.275, 0.275)*CHOOSE(CONTROL!$C$42, 30, 30))/1000000</f>
        <v>4.125</v>
      </c>
      <c r="W837" s="57">
        <f>(1000*CHOOSE(CONTROL!$C$42, 0.1146, 0.1146)*CHOOSE(CONTROL!$C$42, 121.5, 121.5)*CHOOSE(CONTROL!$C$42, 30, 30))/1000000</f>
        <v>0.417717</v>
      </c>
      <c r="X837" s="57">
        <f>(30*0.1790888*245000/1000000)+(30*0.2374*100000/1000000)</f>
        <v>2.0285026799999999</v>
      </c>
      <c r="Y837" s="57"/>
      <c r="Z837" s="14"/>
      <c r="AA837" s="56"/>
      <c r="AB837" s="50">
        <f>(B837*194.205+C837*267.466+D837*133.845+E837*53.484+F837*40+G837*185+H837*0+I837*100+J837*300)/(194.205+267.466+133.845+53.484+0+40+185+100+300)</f>
        <v>67.365960127629506</v>
      </c>
      <c r="AC837" s="45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66.074200719424468</v>
      </c>
    </row>
    <row r="838" spans="1:29" ht="15.75" x14ac:dyDescent="0.25">
      <c r="A838" s="32">
        <v>66415</v>
      </c>
      <c r="B838" s="14">
        <f>CHOOSE(CONTROL!$C$42, 65.9506, 65.9506) * CHOOSE(CONTROL!$C$21, $C$9, 100%, $E$9)</f>
        <v>65.950599999999994</v>
      </c>
      <c r="C838" s="14">
        <f>CHOOSE(CONTROL!$C$42, 65.9559, 65.9559) * CHOOSE(CONTROL!$C$21, $C$9, 100%, $E$9)</f>
        <v>65.9559</v>
      </c>
      <c r="D838" s="14">
        <f>CHOOSE(CONTROL!$C$42, 66.1659, 66.1659) * CHOOSE(CONTROL!$C$21, $C$9, 100%, $E$9)</f>
        <v>66.165899999999993</v>
      </c>
      <c r="E838" s="14">
        <f>CHOOSE(CONTROL!$C$42, 66.195, 66.195) * CHOOSE(CONTROL!$C$21, $C$9, 100%, $E$9)</f>
        <v>66.194999999999993</v>
      </c>
      <c r="F838" s="14">
        <f>CHOOSE(CONTROL!$C$42, 65.9398, 65.9398)*CHOOSE(CONTROL!$C$21, $C$9, 100%, $E$9)</f>
        <v>65.939800000000005</v>
      </c>
      <c r="G838" s="14">
        <f>CHOOSE(CONTROL!$C$42, 65.9562, 65.9562)*CHOOSE(CONTROL!$C$21, $C$9, 100%, $E$9)</f>
        <v>65.956199999999995</v>
      </c>
      <c r="H838" s="14">
        <f>CHOOSE(CONTROL!$C$42, 66.1855, 66.1855) * CHOOSE(CONTROL!$C$21, $C$9, 100%, $E$9)</f>
        <v>66.185500000000005</v>
      </c>
      <c r="I838" s="14">
        <f>CHOOSE(CONTROL!$C$42, 66.167, 66.167)* CHOOSE(CONTROL!$C$21, $C$9, 100%, $E$9)</f>
        <v>66.167000000000002</v>
      </c>
      <c r="J838" s="14">
        <f>CHOOSE(CONTROL!$C$42, 65.9328, 65.9328)* CHOOSE(CONTROL!$C$21, $C$9, 100%, $E$9)</f>
        <v>65.9328</v>
      </c>
      <c r="K838" s="53">
        <f>CHOOSE(CONTROL!$C$42, 66.1631, 66.1631) * CHOOSE(CONTROL!$C$21, $C$9, 100%, $E$9)</f>
        <v>66.1631</v>
      </c>
      <c r="L838" s="14">
        <f>CHOOSE(CONTROL!$C$42, 66.7725, 66.7725) * CHOOSE(CONTROL!$C$21, $C$9, 100%, $E$9)</f>
        <v>66.772499999999994</v>
      </c>
      <c r="M838" s="14">
        <f>CHOOSE(CONTROL!$C$42, 64.5896, 64.5896) * CHOOSE(CONTROL!$C$21, $C$9, 100%, $E$9)</f>
        <v>64.589600000000004</v>
      </c>
      <c r="N838" s="14">
        <f>CHOOSE(CONTROL!$C$42, 64.6056, 64.6056) * CHOOSE(CONTROL!$C$21, $C$9, 100%, $E$9)</f>
        <v>64.605599999999995</v>
      </c>
      <c r="O838" s="14">
        <f>CHOOSE(CONTROL!$C$42, 64.8371, 64.8371) * CHOOSE(CONTROL!$C$21, $C$9, 100%, $E$9)</f>
        <v>64.837100000000007</v>
      </c>
      <c r="P838" s="14">
        <f>CHOOSE(CONTROL!$C$42, 64.8149, 64.8149) * CHOOSE(CONTROL!$C$21, $C$9, 100%, $E$9)</f>
        <v>64.814899999999994</v>
      </c>
      <c r="Q838" s="14">
        <f>CHOOSE(CONTROL!$C$42, 65.4318, 65.4318) * CHOOSE(CONTROL!$C$21, $C$9, 100%, $E$9)</f>
        <v>65.431799999999996</v>
      </c>
      <c r="R838" s="14">
        <f>CHOOSE(CONTROL!$C$42, 66.1823, 66.1823) * CHOOSE(CONTROL!$C$21, $C$9, 100%, $E$9)</f>
        <v>66.182299999999998</v>
      </c>
      <c r="S838" s="14">
        <f>CHOOSE(CONTROL!$C$42, 63.363, 63.363) * CHOOSE(CONTROL!$C$21, $C$9, 100%, $E$9)</f>
        <v>63.363</v>
      </c>
      <c r="T8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7">
        <f>(1000*CHOOSE(CONTROL!$C$42, 695, 695)*CHOOSE(CONTROL!$C$42, 0.5599, 0.5599)*CHOOSE(CONTROL!$C$42, 31, 31))/1000000</f>
        <v>12.063045499999998</v>
      </c>
      <c r="V838" s="57">
        <f>(1000*CHOOSE(CONTROL!$C$42, 500, 500)*CHOOSE(CONTROL!$C$42, 0.275, 0.275)*CHOOSE(CONTROL!$C$42, 31, 31))/1000000</f>
        <v>4.2625000000000002</v>
      </c>
      <c r="W838" s="57">
        <f>(1000*CHOOSE(CONTROL!$C$42, 0.1146, 0.1146)*CHOOSE(CONTROL!$C$42, 121.5, 121.5)*CHOOSE(CONTROL!$C$42, 31, 31))/1000000</f>
        <v>0.43164089999999994</v>
      </c>
      <c r="X838" s="57">
        <f>(31*0.1790888*245000/1000000)+(31*0.2374*100000/1000000)</f>
        <v>2.0961194359999999</v>
      </c>
      <c r="Y838" s="57"/>
      <c r="Z838" s="14"/>
      <c r="AA838" s="56"/>
      <c r="AB838" s="50">
        <f>(B838*131.881+C838*277.167+D838*79.08+E838*125.872+F838*40+G838*185+H838*0+I838*100+J838*300)/(131.881+277.167+79.08+125.872+0+40+185+100+300)</f>
        <v>66.003999536642439</v>
      </c>
      <c r="AC838" s="45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64.735114388489208</v>
      </c>
    </row>
    <row r="839" spans="1:29" ht="15.75" x14ac:dyDescent="0.25">
      <c r="A839" s="32">
        <v>66445</v>
      </c>
      <c r="B839" s="14">
        <f>CHOOSE(CONTROL!$C$42, 67.6874, 67.6874) * CHOOSE(CONTROL!$C$21, $C$9, 100%, $E$9)</f>
        <v>67.687399999999997</v>
      </c>
      <c r="C839" s="14">
        <f>CHOOSE(CONTROL!$C$42, 67.6924, 67.6924) * CHOOSE(CONTROL!$C$21, $C$9, 100%, $E$9)</f>
        <v>67.692400000000006</v>
      </c>
      <c r="D839" s="14">
        <f>CHOOSE(CONTROL!$C$42, 67.7563, 67.7563) * CHOOSE(CONTROL!$C$21, $C$9, 100%, $E$9)</f>
        <v>67.756299999999996</v>
      </c>
      <c r="E839" s="14">
        <f>CHOOSE(CONTROL!$C$42, 67.7904, 67.7904) * CHOOSE(CONTROL!$C$21, $C$9, 100%, $E$9)</f>
        <v>67.790400000000005</v>
      </c>
      <c r="F839" s="14">
        <f>CHOOSE(CONTROL!$C$42, 67.6896, 67.6896)*CHOOSE(CONTROL!$C$21, $C$9, 100%, $E$9)</f>
        <v>67.689599999999999</v>
      </c>
      <c r="G839" s="14">
        <f>CHOOSE(CONTROL!$C$42, 67.7063, 67.7063)*CHOOSE(CONTROL!$C$21, $C$9, 100%, $E$9)</f>
        <v>67.706299999999999</v>
      </c>
      <c r="H839" s="14">
        <f>CHOOSE(CONTROL!$C$42, 67.7796, 67.7796) * CHOOSE(CONTROL!$C$21, $C$9, 100%, $E$9)</f>
        <v>67.779600000000002</v>
      </c>
      <c r="I839" s="14">
        <f>CHOOSE(CONTROL!$C$42, 67.9133, 67.9133)* CHOOSE(CONTROL!$C$21, $C$9, 100%, $E$9)</f>
        <v>67.913300000000007</v>
      </c>
      <c r="J839" s="14">
        <f>CHOOSE(CONTROL!$C$42, 67.6826, 67.6826)* CHOOSE(CONTROL!$C$21, $C$9, 100%, $E$9)</f>
        <v>67.682599999999994</v>
      </c>
      <c r="K839" s="53">
        <f>CHOOSE(CONTROL!$C$42, 67.9094, 67.9094) * CHOOSE(CONTROL!$C$21, $C$9, 100%, $E$9)</f>
        <v>67.909400000000005</v>
      </c>
      <c r="L839" s="14">
        <f>CHOOSE(CONTROL!$C$42, 68.3666, 68.3666) * CHOOSE(CONTROL!$C$21, $C$9, 100%, $E$9)</f>
        <v>68.366600000000005</v>
      </c>
      <c r="M839" s="14">
        <f>CHOOSE(CONTROL!$C$42, 66.3035, 66.3035) * CHOOSE(CONTROL!$C$21, $C$9, 100%, $E$9)</f>
        <v>66.3035</v>
      </c>
      <c r="N839" s="14">
        <f>CHOOSE(CONTROL!$C$42, 66.3199, 66.3199) * CHOOSE(CONTROL!$C$21, $C$9, 100%, $E$9)</f>
        <v>66.319900000000004</v>
      </c>
      <c r="O839" s="14">
        <f>CHOOSE(CONTROL!$C$42, 66.3985, 66.3985) * CHOOSE(CONTROL!$C$21, $C$9, 100%, $E$9)</f>
        <v>66.398499999999999</v>
      </c>
      <c r="P839" s="14">
        <f>CHOOSE(CONTROL!$C$42, 66.5253, 66.5253) * CHOOSE(CONTROL!$C$21, $C$9, 100%, $E$9)</f>
        <v>66.525300000000001</v>
      </c>
      <c r="Q839" s="14">
        <f>CHOOSE(CONTROL!$C$42, 66.9932, 66.9932) * CHOOSE(CONTROL!$C$21, $C$9, 100%, $E$9)</f>
        <v>66.993200000000002</v>
      </c>
      <c r="R839" s="14">
        <f>CHOOSE(CONTROL!$C$42, 67.7477, 67.7477) * CHOOSE(CONTROL!$C$21, $C$9, 100%, $E$9)</f>
        <v>67.747699999999995</v>
      </c>
      <c r="S839" s="14">
        <f>CHOOSE(CONTROL!$C$42, 65.0323, 65.0323) * CHOOSE(CONTROL!$C$21, $C$9, 100%, $E$9)</f>
        <v>65.032300000000006</v>
      </c>
      <c r="T8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7">
        <f>(1000*CHOOSE(CONTROL!$C$42, 695, 695)*CHOOSE(CONTROL!$C$42, 0.5599, 0.5599)*CHOOSE(CONTROL!$C$42, 30, 30))/1000000</f>
        <v>11.673914999999997</v>
      </c>
      <c r="V839" s="57">
        <f>(1000*CHOOSE(CONTROL!$C$42, 500, 500)*CHOOSE(CONTROL!$C$42, 0.275, 0.275)*CHOOSE(CONTROL!$C$42, 30, 30))/1000000</f>
        <v>4.125</v>
      </c>
      <c r="W839" s="57">
        <f>(1000*CHOOSE(CONTROL!$C$42, 0.1146, 0.1146)*CHOOSE(CONTROL!$C$42, 121.5, 121.5)*CHOOSE(CONTROL!$C$42, 30, 30))/1000000</f>
        <v>0.417717</v>
      </c>
      <c r="X839" s="57">
        <f>(30*0.1790888*100000/1000000)+(30*0.2374*100000/1000000)</f>
        <v>1.2494664</v>
      </c>
      <c r="Y839" s="57"/>
      <c r="Z839" s="14"/>
      <c r="AA839" s="56"/>
      <c r="AB839" s="50">
        <f>(B839*122.58+C839*297.941+D839*89.177+E839*40.302+F839*40+G839*160+H839*0+I839*100+J839*300)/(122.58+297.941+89.177+40.302+0+40+160+100+300)</f>
        <v>67.71874530982609</v>
      </c>
      <c r="AC839" s="45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66.379415107913658</v>
      </c>
    </row>
    <row r="840" spans="1:29" ht="15.75" x14ac:dyDescent="0.25">
      <c r="A840" s="32">
        <v>66476</v>
      </c>
      <c r="B840" s="14">
        <f>CHOOSE(CONTROL!$C$42, 72.3016, 72.3016) * CHOOSE(CONTROL!$C$21, $C$9, 100%, $E$9)</f>
        <v>72.301599999999993</v>
      </c>
      <c r="C840" s="14">
        <f>CHOOSE(CONTROL!$C$42, 72.3067, 72.3067) * CHOOSE(CONTROL!$C$21, $C$9, 100%, $E$9)</f>
        <v>72.306700000000006</v>
      </c>
      <c r="D840" s="14">
        <f>CHOOSE(CONTROL!$C$42, 72.3705, 72.3705) * CHOOSE(CONTROL!$C$21, $C$9, 100%, $E$9)</f>
        <v>72.370500000000007</v>
      </c>
      <c r="E840" s="14">
        <f>CHOOSE(CONTROL!$C$42, 72.4046, 72.4046) * CHOOSE(CONTROL!$C$21, $C$9, 100%, $E$9)</f>
        <v>72.404600000000002</v>
      </c>
      <c r="F840" s="14">
        <f>CHOOSE(CONTROL!$C$42, 72.3059, 72.3059)*CHOOSE(CONTROL!$C$21, $C$9, 100%, $E$9)</f>
        <v>72.305899999999994</v>
      </c>
      <c r="G840" s="14">
        <f>CHOOSE(CONTROL!$C$42, 72.3231, 72.3231)*CHOOSE(CONTROL!$C$21, $C$9, 100%, $E$9)</f>
        <v>72.323099999999997</v>
      </c>
      <c r="H840" s="14">
        <f>CHOOSE(CONTROL!$C$42, 72.3938, 72.3938) * CHOOSE(CONTROL!$C$21, $C$9, 100%, $E$9)</f>
        <v>72.393799999999999</v>
      </c>
      <c r="I840" s="14">
        <f>CHOOSE(CONTROL!$C$42, 72.5419, 72.5419)* CHOOSE(CONTROL!$C$21, $C$9, 100%, $E$9)</f>
        <v>72.541899999999998</v>
      </c>
      <c r="J840" s="14">
        <f>CHOOSE(CONTROL!$C$42, 72.2989, 72.2989)* CHOOSE(CONTROL!$C$21, $C$9, 100%, $E$9)</f>
        <v>72.298900000000003</v>
      </c>
      <c r="K840" s="53">
        <f>CHOOSE(CONTROL!$C$42, 72.5381, 72.5381) * CHOOSE(CONTROL!$C$21, $C$9, 100%, $E$9)</f>
        <v>72.5381</v>
      </c>
      <c r="L840" s="14">
        <f>CHOOSE(CONTROL!$C$42, 72.9808, 72.9808) * CHOOSE(CONTROL!$C$21, $C$9, 100%, $E$9)</f>
        <v>72.980800000000002</v>
      </c>
      <c r="M840" s="14">
        <f>CHOOSE(CONTROL!$C$42, 70.8253, 70.8253) * CHOOSE(CONTROL!$C$21, $C$9, 100%, $E$9)</f>
        <v>70.825299999999999</v>
      </c>
      <c r="N840" s="14">
        <f>CHOOSE(CONTROL!$C$42, 70.8421, 70.8421) * CHOOSE(CONTROL!$C$21, $C$9, 100%, $E$9)</f>
        <v>70.842100000000002</v>
      </c>
      <c r="O840" s="14">
        <f>CHOOSE(CONTROL!$C$42, 70.9182, 70.9182) * CHOOSE(CONTROL!$C$21, $C$9, 100%, $E$9)</f>
        <v>70.918199999999999</v>
      </c>
      <c r="P840" s="14">
        <f>CHOOSE(CONTROL!$C$42, 71.0588, 71.0588) * CHOOSE(CONTROL!$C$21, $C$9, 100%, $E$9)</f>
        <v>71.058800000000005</v>
      </c>
      <c r="Q840" s="14">
        <f>CHOOSE(CONTROL!$C$42, 71.5129, 71.5129) * CHOOSE(CONTROL!$C$21, $C$9, 100%, $E$9)</f>
        <v>71.512900000000002</v>
      </c>
      <c r="R840" s="14">
        <f>CHOOSE(CONTROL!$C$42, 72.2787, 72.2787) * CHOOSE(CONTROL!$C$21, $C$9, 100%, $E$9)</f>
        <v>72.278700000000001</v>
      </c>
      <c r="S840" s="14">
        <f>CHOOSE(CONTROL!$C$42, 69.4661, 69.4661) * CHOOSE(CONTROL!$C$21, $C$9, 100%, $E$9)</f>
        <v>69.466099999999997</v>
      </c>
      <c r="T8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7">
        <f>(1000*CHOOSE(CONTROL!$C$42, 695, 695)*CHOOSE(CONTROL!$C$42, 0.5599, 0.5599)*CHOOSE(CONTROL!$C$42, 31, 31))/1000000</f>
        <v>12.063045499999998</v>
      </c>
      <c r="V840" s="57">
        <f>(1000*CHOOSE(CONTROL!$C$42, 500, 500)*CHOOSE(CONTROL!$C$42, 0.275, 0.275)*CHOOSE(CONTROL!$C$42, 31, 31))/1000000</f>
        <v>4.2625000000000002</v>
      </c>
      <c r="W840" s="57">
        <f>(1000*CHOOSE(CONTROL!$C$42, 0.1146, 0.1146)*CHOOSE(CONTROL!$C$42, 121.5, 121.5)*CHOOSE(CONTROL!$C$42, 31, 31))/1000000</f>
        <v>0.43164089999999994</v>
      </c>
      <c r="X840" s="57">
        <f>(31*0.1790888*100000/1000000)+(31*0.2374*100000/1000000)</f>
        <v>1.2911152800000001</v>
      </c>
      <c r="Y840" s="57"/>
      <c r="Z840" s="14"/>
      <c r="AA840" s="56"/>
      <c r="AB840" s="50">
        <f>(B840*122.58+C840*297.941+D840*89.177+E840*40.302+F840*40+G840*160+H840*0+I840*100+J840*300)/(122.58+297.941+89.177+40.302+0+40+160+100+300)</f>
        <v>72.335206000347839</v>
      </c>
      <c r="AC840" s="45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70.901969784172664</v>
      </c>
    </row>
    <row r="841" spans="1:29" ht="15.75" x14ac:dyDescent="0.25">
      <c r="A841" s="32">
        <v>66507</v>
      </c>
      <c r="B841" s="14">
        <f>CHOOSE(CONTROL!$C$42, 78.2233, 78.2233) * CHOOSE(CONTROL!$C$21, $C$9, 100%, $E$9)</f>
        <v>78.223299999999995</v>
      </c>
      <c r="C841" s="14">
        <f>CHOOSE(CONTROL!$C$42, 78.2284, 78.2284) * CHOOSE(CONTROL!$C$21, $C$9, 100%, $E$9)</f>
        <v>78.228399999999993</v>
      </c>
      <c r="D841" s="14">
        <f>CHOOSE(CONTROL!$C$42, 78.287, 78.287) * CHOOSE(CONTROL!$C$21, $C$9, 100%, $E$9)</f>
        <v>78.287000000000006</v>
      </c>
      <c r="E841" s="14">
        <f>CHOOSE(CONTROL!$C$42, 78.3211, 78.3211) * CHOOSE(CONTROL!$C$21, $C$9, 100%, $E$9)</f>
        <v>78.321100000000001</v>
      </c>
      <c r="F841" s="14">
        <f>CHOOSE(CONTROL!$C$42, 78.2225, 78.2225)*CHOOSE(CONTROL!$C$21, $C$9, 100%, $E$9)</f>
        <v>78.222499999999997</v>
      </c>
      <c r="G841" s="14">
        <f>CHOOSE(CONTROL!$C$42, 78.2388, 78.2388)*CHOOSE(CONTROL!$C$21, $C$9, 100%, $E$9)</f>
        <v>78.238799999999998</v>
      </c>
      <c r="H841" s="14">
        <f>CHOOSE(CONTROL!$C$42, 78.3103, 78.3103) * CHOOSE(CONTROL!$C$21, $C$9, 100%, $E$9)</f>
        <v>78.310299999999998</v>
      </c>
      <c r="I841" s="14">
        <f>CHOOSE(CONTROL!$C$42, 78.4786, 78.4786)* CHOOSE(CONTROL!$C$21, $C$9, 100%, $E$9)</f>
        <v>78.4786</v>
      </c>
      <c r="J841" s="14">
        <f>CHOOSE(CONTROL!$C$42, 78.2155, 78.2155)* CHOOSE(CONTROL!$C$21, $C$9, 100%, $E$9)</f>
        <v>78.215500000000006</v>
      </c>
      <c r="K841" s="53">
        <f>CHOOSE(CONTROL!$C$42, 78.4747, 78.4747) * CHOOSE(CONTROL!$C$21, $C$9, 100%, $E$9)</f>
        <v>78.474699999999999</v>
      </c>
      <c r="L841" s="14">
        <f>CHOOSE(CONTROL!$C$42, 78.8973, 78.8973) * CHOOSE(CONTROL!$C$21, $C$9, 100%, $E$9)</f>
        <v>78.897300000000001</v>
      </c>
      <c r="M841" s="14">
        <f>CHOOSE(CONTROL!$C$42, 76.6206, 76.6206) * CHOOSE(CONTROL!$C$21, $C$9, 100%, $E$9)</f>
        <v>76.620599999999996</v>
      </c>
      <c r="N841" s="14">
        <f>CHOOSE(CONTROL!$C$42, 76.6366, 76.6366) * CHOOSE(CONTROL!$C$21, $C$9, 100%, $E$9)</f>
        <v>76.636600000000001</v>
      </c>
      <c r="O841" s="14">
        <f>CHOOSE(CONTROL!$C$42, 76.7135, 76.7135) * CHOOSE(CONTROL!$C$21, $C$9, 100%, $E$9)</f>
        <v>76.713499999999996</v>
      </c>
      <c r="P841" s="14">
        <f>CHOOSE(CONTROL!$C$42, 76.8734, 76.8734) * CHOOSE(CONTROL!$C$21, $C$9, 100%, $E$9)</f>
        <v>76.873400000000004</v>
      </c>
      <c r="Q841" s="14">
        <f>CHOOSE(CONTROL!$C$42, 77.3082, 77.3082) * CHOOSE(CONTROL!$C$21, $C$9, 100%, $E$9)</f>
        <v>77.308199999999999</v>
      </c>
      <c r="R841" s="14">
        <f>CHOOSE(CONTROL!$C$42, 78.0885, 78.0885) * CHOOSE(CONTROL!$C$21, $C$9, 100%, $E$9)</f>
        <v>78.088499999999996</v>
      </c>
      <c r="S841" s="14">
        <f>CHOOSE(CONTROL!$C$42, 75.1563, 75.1563) * CHOOSE(CONTROL!$C$21, $C$9, 100%, $E$9)</f>
        <v>75.156300000000002</v>
      </c>
      <c r="T8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7">
        <f>(1000*CHOOSE(CONTROL!$C$42, 695, 695)*CHOOSE(CONTROL!$C$42, 0.5599, 0.5599)*CHOOSE(CONTROL!$C$42, 31, 31))/1000000</f>
        <v>12.063045499999998</v>
      </c>
      <c r="V841" s="57">
        <f>(1000*CHOOSE(CONTROL!$C$42, 500, 500)*CHOOSE(CONTROL!$C$42, 0.275, 0.275)*CHOOSE(CONTROL!$C$42, 31, 31))/1000000</f>
        <v>4.2625000000000002</v>
      </c>
      <c r="W841" s="57">
        <f>(1000*CHOOSE(CONTROL!$C$42, 0.1146, 0.1146)*CHOOSE(CONTROL!$C$42, 121.5, 121.5)*CHOOSE(CONTROL!$C$42, 31, 31))/1000000</f>
        <v>0.43164089999999994</v>
      </c>
      <c r="X841" s="57">
        <f>(31*0.1790888*100000/1000000)+(31*0.2374*100000/1000000)</f>
        <v>1.2911152800000001</v>
      </c>
      <c r="Y841" s="57"/>
      <c r="Z841" s="14"/>
      <c r="AA841" s="56"/>
      <c r="AB841" s="50">
        <f>(B841*122.58+C841*297.941+D841*89.177+E841*40.302+F841*40+G841*160+H841*0+I841*100+J841*300)/(122.58+297.941+89.177+40.302+0+40+160+100+300)</f>
        <v>78.255282269217403</v>
      </c>
      <c r="AC841" s="45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76.700000719424452</v>
      </c>
    </row>
    <row r="842" spans="1:29" ht="15.75" x14ac:dyDescent="0.25">
      <c r="A842" s="32">
        <v>66535</v>
      </c>
      <c r="B842" s="14">
        <f>CHOOSE(CONTROL!$C$42, 79.6157, 79.6157) * CHOOSE(CONTROL!$C$21, $C$9, 100%, $E$9)</f>
        <v>79.615700000000004</v>
      </c>
      <c r="C842" s="14">
        <f>CHOOSE(CONTROL!$C$42, 79.6207, 79.6207) * CHOOSE(CONTROL!$C$21, $C$9, 100%, $E$9)</f>
        <v>79.620699999999999</v>
      </c>
      <c r="D842" s="14">
        <f>CHOOSE(CONTROL!$C$42, 79.6793, 79.6793) * CHOOSE(CONTROL!$C$21, $C$9, 100%, $E$9)</f>
        <v>79.679299999999998</v>
      </c>
      <c r="E842" s="14">
        <f>CHOOSE(CONTROL!$C$42, 79.7134, 79.7134) * CHOOSE(CONTROL!$C$21, $C$9, 100%, $E$9)</f>
        <v>79.713399999999993</v>
      </c>
      <c r="F842" s="14">
        <f>CHOOSE(CONTROL!$C$42, 79.6147, 79.6147)*CHOOSE(CONTROL!$C$21, $C$9, 100%, $E$9)</f>
        <v>79.614699999999999</v>
      </c>
      <c r="G842" s="14">
        <f>CHOOSE(CONTROL!$C$42, 79.6311, 79.6311)*CHOOSE(CONTROL!$C$21, $C$9, 100%, $E$9)</f>
        <v>79.631100000000004</v>
      </c>
      <c r="H842" s="14">
        <f>CHOOSE(CONTROL!$C$42, 79.7026, 79.7026) * CHOOSE(CONTROL!$C$21, $C$9, 100%, $E$9)</f>
        <v>79.702600000000004</v>
      </c>
      <c r="I842" s="14">
        <f>CHOOSE(CONTROL!$C$42, 79.8752, 79.8752)* CHOOSE(CONTROL!$C$21, $C$9, 100%, $E$9)</f>
        <v>79.875200000000007</v>
      </c>
      <c r="J842" s="14">
        <f>CHOOSE(CONTROL!$C$42, 79.6077, 79.6077)* CHOOSE(CONTROL!$C$21, $C$9, 100%, $E$9)</f>
        <v>79.607699999999994</v>
      </c>
      <c r="K842" s="53">
        <f>CHOOSE(CONTROL!$C$42, 79.8714, 79.8714) * CHOOSE(CONTROL!$C$21, $C$9, 100%, $E$9)</f>
        <v>79.871399999999994</v>
      </c>
      <c r="L842" s="14">
        <f>CHOOSE(CONTROL!$C$42, 80.2896, 80.2896) * CHOOSE(CONTROL!$C$21, $C$9, 100%, $E$9)</f>
        <v>80.289599999999993</v>
      </c>
      <c r="M842" s="14">
        <f>CHOOSE(CONTROL!$C$42, 77.9843, 77.9843) * CHOOSE(CONTROL!$C$21, $C$9, 100%, $E$9)</f>
        <v>77.984300000000005</v>
      </c>
      <c r="N842" s="14">
        <f>CHOOSE(CONTROL!$C$42, 78.0004, 78.0004) * CHOOSE(CONTROL!$C$21, $C$9, 100%, $E$9)</f>
        <v>78.000399999999999</v>
      </c>
      <c r="O842" s="14">
        <f>CHOOSE(CONTROL!$C$42, 78.0773, 78.0773) * CHOOSE(CONTROL!$C$21, $C$9, 100%, $E$9)</f>
        <v>78.077299999999994</v>
      </c>
      <c r="P842" s="14">
        <f>CHOOSE(CONTROL!$C$42, 78.2414, 78.2414) * CHOOSE(CONTROL!$C$21, $C$9, 100%, $E$9)</f>
        <v>78.241399999999999</v>
      </c>
      <c r="Q842" s="14">
        <f>CHOOSE(CONTROL!$C$42, 78.672, 78.672) * CHOOSE(CONTROL!$C$21, $C$9, 100%, $E$9)</f>
        <v>78.671999999999997</v>
      </c>
      <c r="R842" s="14">
        <f>CHOOSE(CONTROL!$C$42, 79.4557, 79.4557) * CHOOSE(CONTROL!$C$21, $C$9, 100%, $E$9)</f>
        <v>79.455699999999993</v>
      </c>
      <c r="S842" s="14">
        <f>CHOOSE(CONTROL!$C$42, 76.4942, 76.4942) * CHOOSE(CONTROL!$C$21, $C$9, 100%, $E$9)</f>
        <v>76.494200000000006</v>
      </c>
      <c r="T8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7">
        <f>(1000*CHOOSE(CONTROL!$C$42, 695, 695)*CHOOSE(CONTROL!$C$42, 0.5599, 0.5599)*CHOOSE(CONTROL!$C$42, 28, 28))/1000000</f>
        <v>10.895653999999999</v>
      </c>
      <c r="V842" s="57">
        <f>(1000*CHOOSE(CONTROL!$C$42, 500, 500)*CHOOSE(CONTROL!$C$42, 0.275, 0.275)*CHOOSE(CONTROL!$C$42, 28, 28))/1000000</f>
        <v>3.85</v>
      </c>
      <c r="W842" s="57">
        <f>(1000*CHOOSE(CONTROL!$C$42, 0.1146, 0.1146)*CHOOSE(CONTROL!$C$42, 121.5, 121.5)*CHOOSE(CONTROL!$C$42, 28, 28))/1000000</f>
        <v>0.38986920000000003</v>
      </c>
      <c r="X842" s="57">
        <f>(28*0.1790888*100000/1000000)+(28*0.2374*100000/1000000)</f>
        <v>1.16616864</v>
      </c>
      <c r="Y842" s="57"/>
      <c r="Z842" s="14"/>
      <c r="AA842" s="56"/>
      <c r="AB842" s="50">
        <f>(B842*122.58+C842*297.941+D842*89.177+E842*40.302+F842*40+G842*160+H842*0+I842*100+J842*300)/(122.58+297.941+89.177+40.302+0+40+160+100+300)</f>
        <v>79.647937276173906</v>
      </c>
      <c r="AC842" s="45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78.064370503597118</v>
      </c>
    </row>
    <row r="843" spans="1:29" ht="15.75" x14ac:dyDescent="0.25">
      <c r="A843" s="32">
        <v>66566</v>
      </c>
      <c r="B843" s="14">
        <f>CHOOSE(CONTROL!$C$42, 77.3556, 77.3556) * CHOOSE(CONTROL!$C$21, $C$9, 100%, $E$9)</f>
        <v>77.355599999999995</v>
      </c>
      <c r="C843" s="14">
        <f>CHOOSE(CONTROL!$C$42, 77.3607, 77.3607) * CHOOSE(CONTROL!$C$21, $C$9, 100%, $E$9)</f>
        <v>77.360699999999994</v>
      </c>
      <c r="D843" s="14">
        <f>CHOOSE(CONTROL!$C$42, 77.4193, 77.4193) * CHOOSE(CONTROL!$C$21, $C$9, 100%, $E$9)</f>
        <v>77.419300000000007</v>
      </c>
      <c r="E843" s="14">
        <f>CHOOSE(CONTROL!$C$42, 77.4534, 77.4534) * CHOOSE(CONTROL!$C$21, $C$9, 100%, $E$9)</f>
        <v>77.453400000000002</v>
      </c>
      <c r="F843" s="14">
        <f>CHOOSE(CONTROL!$C$42, 77.3542, 77.3542)*CHOOSE(CONTROL!$C$21, $C$9, 100%, $E$9)</f>
        <v>77.354200000000006</v>
      </c>
      <c r="G843" s="14">
        <f>CHOOSE(CONTROL!$C$42, 77.3704, 77.3704)*CHOOSE(CONTROL!$C$21, $C$9, 100%, $E$9)</f>
        <v>77.370400000000004</v>
      </c>
      <c r="H843" s="14">
        <f>CHOOSE(CONTROL!$C$42, 77.4426, 77.4426) * CHOOSE(CONTROL!$C$21, $C$9, 100%, $E$9)</f>
        <v>77.442599999999999</v>
      </c>
      <c r="I843" s="14">
        <f>CHOOSE(CONTROL!$C$42, 77.6081, 77.6081)* CHOOSE(CONTROL!$C$21, $C$9, 100%, $E$9)</f>
        <v>77.608099999999993</v>
      </c>
      <c r="J843" s="14">
        <f>CHOOSE(CONTROL!$C$42, 77.3472, 77.3472)* CHOOSE(CONTROL!$C$21, $C$9, 100%, $E$9)</f>
        <v>77.347200000000001</v>
      </c>
      <c r="K843" s="53">
        <f>CHOOSE(CONTROL!$C$42, 77.6042, 77.6042) * CHOOSE(CONTROL!$C$21, $C$9, 100%, $E$9)</f>
        <v>77.604200000000006</v>
      </c>
      <c r="L843" s="14">
        <f>CHOOSE(CONTROL!$C$42, 78.0296, 78.0296) * CHOOSE(CONTROL!$C$21, $C$9, 100%, $E$9)</f>
        <v>78.029600000000002</v>
      </c>
      <c r="M843" s="14">
        <f>CHOOSE(CONTROL!$C$42, 75.7701, 75.7701) * CHOOSE(CONTROL!$C$21, $C$9, 100%, $E$9)</f>
        <v>75.770099999999999</v>
      </c>
      <c r="N843" s="14">
        <f>CHOOSE(CONTROL!$C$42, 75.786, 75.786) * CHOOSE(CONTROL!$C$21, $C$9, 100%, $E$9)</f>
        <v>75.786000000000001</v>
      </c>
      <c r="O843" s="14">
        <f>CHOOSE(CONTROL!$C$42, 75.8635, 75.8635) * CHOOSE(CONTROL!$C$21, $C$9, 100%, $E$9)</f>
        <v>75.863500000000002</v>
      </c>
      <c r="P843" s="14">
        <f>CHOOSE(CONTROL!$C$42, 76.0209, 76.0209) * CHOOSE(CONTROL!$C$21, $C$9, 100%, $E$9)</f>
        <v>76.020899999999997</v>
      </c>
      <c r="Q843" s="14">
        <f>CHOOSE(CONTROL!$C$42, 76.4582, 76.4582) * CHOOSE(CONTROL!$C$21, $C$9, 100%, $E$9)</f>
        <v>76.458200000000005</v>
      </c>
      <c r="R843" s="14">
        <f>CHOOSE(CONTROL!$C$42, 77.2364, 77.2364) * CHOOSE(CONTROL!$C$21, $C$9, 100%, $E$9)</f>
        <v>77.236400000000003</v>
      </c>
      <c r="S843" s="14">
        <f>CHOOSE(CONTROL!$C$42, 74.3224, 74.3224) * CHOOSE(CONTROL!$C$21, $C$9, 100%, $E$9)</f>
        <v>74.322400000000002</v>
      </c>
      <c r="T8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7">
        <f>(1000*CHOOSE(CONTROL!$C$42, 695, 695)*CHOOSE(CONTROL!$C$42, 0.5599, 0.5599)*CHOOSE(CONTROL!$C$42, 31, 31))/1000000</f>
        <v>12.063045499999998</v>
      </c>
      <c r="V843" s="57">
        <f>(1000*CHOOSE(CONTROL!$C$42, 500, 500)*CHOOSE(CONTROL!$C$42, 0.275, 0.275)*CHOOSE(CONTROL!$C$42, 31, 31))/1000000</f>
        <v>4.2625000000000002</v>
      </c>
      <c r="W843" s="57">
        <f>(1000*CHOOSE(CONTROL!$C$42, 0.1146, 0.1146)*CHOOSE(CONTROL!$C$42, 121.5, 121.5)*CHOOSE(CONTROL!$C$42, 31, 31))/1000000</f>
        <v>0.43164089999999994</v>
      </c>
      <c r="X843" s="57">
        <f>(31*0.1790888*100000/1000000)+(31*0.2374*100000/1000000)</f>
        <v>1.2911152800000001</v>
      </c>
      <c r="Y843" s="57"/>
      <c r="Z843" s="14"/>
      <c r="AA843" s="56"/>
      <c r="AB843" s="50">
        <f>(B843*122.58+C843*297.941+D843*89.177+E843*40.302+F843*40+G843*160+H843*0+I843*100+J843*300)/(122.58+297.941+89.177+40.302+0+40+160+100+300)</f>
        <v>77.387064008347821</v>
      </c>
      <c r="AC843" s="45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75.849433812949627</v>
      </c>
    </row>
    <row r="844" spans="1:29" ht="15.75" x14ac:dyDescent="0.25">
      <c r="A844" s="32">
        <v>66596</v>
      </c>
      <c r="B844" s="14">
        <f>CHOOSE(CONTROL!$C$42, 77.1252, 77.1252) * CHOOSE(CONTROL!$C$21, $C$9, 100%, $E$9)</f>
        <v>77.125200000000007</v>
      </c>
      <c r="C844" s="14">
        <f>CHOOSE(CONTROL!$C$42, 77.1297, 77.1297) * CHOOSE(CONTROL!$C$21, $C$9, 100%, $E$9)</f>
        <v>77.1297</v>
      </c>
      <c r="D844" s="14">
        <f>CHOOSE(CONTROL!$C$42, 77.3378, 77.3378) * CHOOSE(CONTROL!$C$21, $C$9, 100%, $E$9)</f>
        <v>77.337800000000001</v>
      </c>
      <c r="E844" s="14">
        <f>CHOOSE(CONTROL!$C$42, 77.3699, 77.3699) * CHOOSE(CONTROL!$C$21, $C$9, 100%, $E$9)</f>
        <v>77.369900000000001</v>
      </c>
      <c r="F844" s="14">
        <f>CHOOSE(CONTROL!$C$42, 77.1125, 77.1125)*CHOOSE(CONTROL!$C$21, $C$9, 100%, $E$9)</f>
        <v>77.112499999999997</v>
      </c>
      <c r="G844" s="14">
        <f>CHOOSE(CONTROL!$C$42, 77.1285, 77.1285)*CHOOSE(CONTROL!$C$21, $C$9, 100%, $E$9)</f>
        <v>77.128500000000003</v>
      </c>
      <c r="H844" s="14">
        <f>CHOOSE(CONTROL!$C$42, 77.3597, 77.3597) * CHOOSE(CONTROL!$C$21, $C$9, 100%, $E$9)</f>
        <v>77.359700000000004</v>
      </c>
      <c r="I844" s="14">
        <f>CHOOSE(CONTROL!$C$42, 77.3762, 77.3762)* CHOOSE(CONTROL!$C$21, $C$9, 100%, $E$9)</f>
        <v>77.376199999999997</v>
      </c>
      <c r="J844" s="14">
        <f>CHOOSE(CONTROL!$C$42, 77.1055, 77.1055)* CHOOSE(CONTROL!$C$21, $C$9, 100%, $E$9)</f>
        <v>77.105500000000006</v>
      </c>
      <c r="K844" s="53">
        <f>CHOOSE(CONTROL!$C$42, 77.3723, 77.3723) * CHOOSE(CONTROL!$C$21, $C$9, 100%, $E$9)</f>
        <v>77.372299999999996</v>
      </c>
      <c r="L844" s="14">
        <f>CHOOSE(CONTROL!$C$42, 77.9467, 77.9467) * CHOOSE(CONTROL!$C$21, $C$9, 100%, $E$9)</f>
        <v>77.946700000000007</v>
      </c>
      <c r="M844" s="14">
        <f>CHOOSE(CONTROL!$C$42, 75.5334, 75.5334) * CHOOSE(CONTROL!$C$21, $C$9, 100%, $E$9)</f>
        <v>75.5334</v>
      </c>
      <c r="N844" s="14">
        <f>CHOOSE(CONTROL!$C$42, 75.549, 75.549) * CHOOSE(CONTROL!$C$21, $C$9, 100%, $E$9)</f>
        <v>75.549000000000007</v>
      </c>
      <c r="O844" s="14">
        <f>CHOOSE(CONTROL!$C$42, 75.7823, 75.7823) * CHOOSE(CONTROL!$C$21, $C$9, 100%, $E$9)</f>
        <v>75.782300000000006</v>
      </c>
      <c r="P844" s="14">
        <f>CHOOSE(CONTROL!$C$42, 75.7937, 75.7937) * CHOOSE(CONTROL!$C$21, $C$9, 100%, $E$9)</f>
        <v>75.793700000000001</v>
      </c>
      <c r="Q844" s="14">
        <f>CHOOSE(CONTROL!$C$42, 76.377, 76.377) * CHOOSE(CONTROL!$C$21, $C$9, 100%, $E$9)</f>
        <v>76.376999999999995</v>
      </c>
      <c r="R844" s="14">
        <f>CHOOSE(CONTROL!$C$42, 77.155, 77.155) * CHOOSE(CONTROL!$C$21, $C$9, 100%, $E$9)</f>
        <v>77.155000000000001</v>
      </c>
      <c r="S844" s="14">
        <f>CHOOSE(CONTROL!$C$42, 74.1003, 74.1003) * CHOOSE(CONTROL!$C$21, $C$9, 100%, $E$9)</f>
        <v>74.100300000000004</v>
      </c>
      <c r="T8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7">
        <f>(1000*CHOOSE(CONTROL!$C$42, 695, 695)*CHOOSE(CONTROL!$C$42, 0.5599, 0.5599)*CHOOSE(CONTROL!$C$42, 30, 30))/1000000</f>
        <v>11.673914999999997</v>
      </c>
      <c r="V844" s="57">
        <f>(1000*CHOOSE(CONTROL!$C$42, 500, 500)*CHOOSE(CONTROL!$C$42, 0.275, 0.275)*CHOOSE(CONTROL!$C$42, 30, 30))/1000000</f>
        <v>4.125</v>
      </c>
      <c r="W844" s="57">
        <f>(1000*CHOOSE(CONTROL!$C$42, 0.1146, 0.1146)*CHOOSE(CONTROL!$C$42, 121.5, 121.5)*CHOOSE(CONTROL!$C$42, 30, 30))/1000000</f>
        <v>0.417717</v>
      </c>
      <c r="X844" s="57">
        <f>(30*0.1790888*245000/1000000)+(30*0.2374*100000/1000000)</f>
        <v>2.0285026799999999</v>
      </c>
      <c r="Y844" s="57"/>
      <c r="Z844" s="14"/>
      <c r="AA844" s="56"/>
      <c r="AB844" s="50">
        <f>(B844*141.293+C844*267.993+D844*115.016+E844*89.698+F844*40+G844*185+H844*0+I844*100+J844*300)/(141.293+267.993+115.016+89.698+0+40+185+100+300)</f>
        <v>77.179195133736897</v>
      </c>
      <c r="AC844" s="45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75.6845618705036</v>
      </c>
    </row>
    <row r="845" spans="1:29" ht="15.75" x14ac:dyDescent="0.25">
      <c r="A845" s="32">
        <v>66627</v>
      </c>
      <c r="B845" s="14">
        <f>CHOOSE(CONTROL!$C$42, 77.8072, 77.8072) * CHOOSE(CONTROL!$C$21, $C$9, 100%, $E$9)</f>
        <v>77.807199999999995</v>
      </c>
      <c r="C845" s="14">
        <f>CHOOSE(CONTROL!$C$42, 77.8152, 77.8152) * CHOOSE(CONTROL!$C$21, $C$9, 100%, $E$9)</f>
        <v>77.815200000000004</v>
      </c>
      <c r="D845" s="14">
        <f>CHOOSE(CONTROL!$C$42, 78.0202, 78.0202) * CHOOSE(CONTROL!$C$21, $C$9, 100%, $E$9)</f>
        <v>78.020200000000003</v>
      </c>
      <c r="E845" s="14">
        <f>CHOOSE(CONTROL!$C$42, 78.0517, 78.0517) * CHOOSE(CONTROL!$C$21, $C$9, 100%, $E$9)</f>
        <v>78.051699999999997</v>
      </c>
      <c r="F845" s="14">
        <f>CHOOSE(CONTROL!$C$42, 77.7934, 77.7934)*CHOOSE(CONTROL!$C$21, $C$9, 100%, $E$9)</f>
        <v>77.793400000000005</v>
      </c>
      <c r="G845" s="14">
        <f>CHOOSE(CONTROL!$C$42, 77.8098, 77.8098)*CHOOSE(CONTROL!$C$21, $C$9, 100%, $E$9)</f>
        <v>77.809799999999996</v>
      </c>
      <c r="H845" s="14">
        <f>CHOOSE(CONTROL!$C$42, 78.0403, 78.0403) * CHOOSE(CONTROL!$C$21, $C$9, 100%, $E$9)</f>
        <v>78.040300000000002</v>
      </c>
      <c r="I845" s="14">
        <f>CHOOSE(CONTROL!$C$42, 78.0589, 78.0589)* CHOOSE(CONTROL!$C$21, $C$9, 100%, $E$9)</f>
        <v>78.058899999999994</v>
      </c>
      <c r="J845" s="14">
        <f>CHOOSE(CONTROL!$C$42, 77.7864, 77.7864)* CHOOSE(CONTROL!$C$21, $C$9, 100%, $E$9)</f>
        <v>77.7864</v>
      </c>
      <c r="K845" s="53">
        <f>CHOOSE(CONTROL!$C$42, 78.055, 78.055) * CHOOSE(CONTROL!$C$21, $C$9, 100%, $E$9)</f>
        <v>78.055000000000007</v>
      </c>
      <c r="L845" s="14">
        <f>CHOOSE(CONTROL!$C$42, 78.6273, 78.6273) * CHOOSE(CONTROL!$C$21, $C$9, 100%, $E$9)</f>
        <v>78.627300000000005</v>
      </c>
      <c r="M845" s="14">
        <f>CHOOSE(CONTROL!$C$42, 76.2003, 76.2003) * CHOOSE(CONTROL!$C$21, $C$9, 100%, $E$9)</f>
        <v>76.200299999999999</v>
      </c>
      <c r="N845" s="14">
        <f>CHOOSE(CONTROL!$C$42, 76.2164, 76.2164) * CHOOSE(CONTROL!$C$21, $C$9, 100%, $E$9)</f>
        <v>76.216399999999993</v>
      </c>
      <c r="O845" s="14">
        <f>CHOOSE(CONTROL!$C$42, 76.449, 76.449) * CHOOSE(CONTROL!$C$21, $C$9, 100%, $E$9)</f>
        <v>76.448999999999998</v>
      </c>
      <c r="P845" s="14">
        <f>CHOOSE(CONTROL!$C$42, 76.4624, 76.4624) * CHOOSE(CONTROL!$C$21, $C$9, 100%, $E$9)</f>
        <v>76.462400000000002</v>
      </c>
      <c r="Q845" s="14">
        <f>CHOOSE(CONTROL!$C$42, 77.0437, 77.0437) * CHOOSE(CONTROL!$C$21, $C$9, 100%, $E$9)</f>
        <v>77.043700000000001</v>
      </c>
      <c r="R845" s="14">
        <f>CHOOSE(CONTROL!$C$42, 77.8233, 77.8233) * CHOOSE(CONTROL!$C$21, $C$9, 100%, $E$9)</f>
        <v>77.823300000000003</v>
      </c>
      <c r="S845" s="14">
        <f>CHOOSE(CONTROL!$C$42, 74.7543, 74.7543) * CHOOSE(CONTROL!$C$21, $C$9, 100%, $E$9)</f>
        <v>74.754300000000001</v>
      </c>
      <c r="T8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7">
        <f>(1000*CHOOSE(CONTROL!$C$42, 695, 695)*CHOOSE(CONTROL!$C$42, 0.5599, 0.5599)*CHOOSE(CONTROL!$C$42, 31, 31))/1000000</f>
        <v>12.063045499999998</v>
      </c>
      <c r="V845" s="57">
        <f>(1000*CHOOSE(CONTROL!$C$42, 500, 500)*CHOOSE(CONTROL!$C$42, 0.275, 0.275)*CHOOSE(CONTROL!$C$42, 31, 31))/1000000</f>
        <v>4.2625000000000002</v>
      </c>
      <c r="W845" s="57">
        <f>(1000*CHOOSE(CONTROL!$C$42, 0.1146, 0.1146)*CHOOSE(CONTROL!$C$42, 121.5, 121.5)*CHOOSE(CONTROL!$C$42, 31, 31))/1000000</f>
        <v>0.43164089999999994</v>
      </c>
      <c r="X845" s="57">
        <f>(31*0.1790888*245000/1000000)+(31*0.2374*100000/1000000)</f>
        <v>2.0961194359999999</v>
      </c>
      <c r="Y845" s="57"/>
      <c r="Z845" s="14"/>
      <c r="AA845" s="56"/>
      <c r="AB845" s="50">
        <f>(B845*194.205+C845*267.466+D845*133.845+E845*53.484+F845*40+G845*185+H845*0+I845*100+J845*300)/(194.205+267.466+133.845+53.484+0+40+185+100+300)</f>
        <v>77.856324451334373</v>
      </c>
      <c r="AC845" s="45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76.351658992805753</v>
      </c>
    </row>
    <row r="846" spans="1:29" ht="15.75" x14ac:dyDescent="0.25">
      <c r="A846" s="32">
        <v>66657</v>
      </c>
      <c r="B846" s="14">
        <f>CHOOSE(CONTROL!$C$42, 80.014, 80.014) * CHOOSE(CONTROL!$C$21, $C$9, 100%, $E$9)</f>
        <v>80.013999999999996</v>
      </c>
      <c r="C846" s="14">
        <f>CHOOSE(CONTROL!$C$42, 80.022, 80.022) * CHOOSE(CONTROL!$C$21, $C$9, 100%, $E$9)</f>
        <v>80.022000000000006</v>
      </c>
      <c r="D846" s="14">
        <f>CHOOSE(CONTROL!$C$42, 80.227, 80.227) * CHOOSE(CONTROL!$C$21, $C$9, 100%, $E$9)</f>
        <v>80.227000000000004</v>
      </c>
      <c r="E846" s="14">
        <f>CHOOSE(CONTROL!$C$42, 80.2584, 80.2584) * CHOOSE(CONTROL!$C$21, $C$9, 100%, $E$9)</f>
        <v>80.258399999999995</v>
      </c>
      <c r="F846" s="14">
        <f>CHOOSE(CONTROL!$C$42, 80.0005, 80.0005)*CHOOSE(CONTROL!$C$21, $C$9, 100%, $E$9)</f>
        <v>80.000500000000002</v>
      </c>
      <c r="G846" s="14">
        <f>CHOOSE(CONTROL!$C$42, 80.017, 80.017)*CHOOSE(CONTROL!$C$21, $C$9, 100%, $E$9)</f>
        <v>80.016999999999996</v>
      </c>
      <c r="H846" s="14">
        <f>CHOOSE(CONTROL!$C$42, 80.2471, 80.2471) * CHOOSE(CONTROL!$C$21, $C$9, 100%, $E$9)</f>
        <v>80.247100000000003</v>
      </c>
      <c r="I846" s="14">
        <f>CHOOSE(CONTROL!$C$42, 80.2726, 80.2726)* CHOOSE(CONTROL!$C$21, $C$9, 100%, $E$9)</f>
        <v>80.272599999999997</v>
      </c>
      <c r="J846" s="14">
        <f>CHOOSE(CONTROL!$C$42, 79.9935, 79.9935)* CHOOSE(CONTROL!$C$21, $C$9, 100%, $E$9)</f>
        <v>79.993499999999997</v>
      </c>
      <c r="K846" s="53">
        <f>CHOOSE(CONTROL!$C$42, 80.2687, 80.2687) * CHOOSE(CONTROL!$C$21, $C$9, 100%, $E$9)</f>
        <v>80.268699999999995</v>
      </c>
      <c r="L846" s="14">
        <f>CHOOSE(CONTROL!$C$42, 80.8341, 80.8341) * CHOOSE(CONTROL!$C$21, $C$9, 100%, $E$9)</f>
        <v>80.834100000000007</v>
      </c>
      <c r="M846" s="14">
        <f>CHOOSE(CONTROL!$C$42, 78.3622, 78.3622) * CHOOSE(CONTROL!$C$21, $C$9, 100%, $E$9)</f>
        <v>78.362200000000001</v>
      </c>
      <c r="N846" s="14">
        <f>CHOOSE(CONTROL!$C$42, 78.3784, 78.3784) * CHOOSE(CONTROL!$C$21, $C$9, 100%, $E$9)</f>
        <v>78.378399999999999</v>
      </c>
      <c r="O846" s="14">
        <f>CHOOSE(CONTROL!$C$42, 78.6105, 78.6105) * CHOOSE(CONTROL!$C$21, $C$9, 100%, $E$9)</f>
        <v>78.610500000000002</v>
      </c>
      <c r="P846" s="14">
        <f>CHOOSE(CONTROL!$C$42, 78.6306, 78.6306) * CHOOSE(CONTROL!$C$21, $C$9, 100%, $E$9)</f>
        <v>78.630600000000001</v>
      </c>
      <c r="Q846" s="14">
        <f>CHOOSE(CONTROL!$C$42, 79.2052, 79.2052) * CHOOSE(CONTROL!$C$21, $C$9, 100%, $E$9)</f>
        <v>79.205200000000005</v>
      </c>
      <c r="R846" s="14">
        <f>CHOOSE(CONTROL!$C$42, 79.9903, 79.9903) * CHOOSE(CONTROL!$C$21, $C$9, 100%, $E$9)</f>
        <v>79.990300000000005</v>
      </c>
      <c r="S846" s="14">
        <f>CHOOSE(CONTROL!$C$42, 76.8748, 76.8748) * CHOOSE(CONTROL!$C$21, $C$9, 100%, $E$9)</f>
        <v>76.874799999999993</v>
      </c>
      <c r="T8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7">
        <f>(1000*CHOOSE(CONTROL!$C$42, 695, 695)*CHOOSE(CONTROL!$C$42, 0.5599, 0.5599)*CHOOSE(CONTROL!$C$42, 30, 30))/1000000</f>
        <v>11.673914999999997</v>
      </c>
      <c r="V846" s="57">
        <f>(1000*CHOOSE(CONTROL!$C$42, 500, 500)*CHOOSE(CONTROL!$C$42, 0.275, 0.275)*CHOOSE(CONTROL!$C$42, 30, 30))/1000000</f>
        <v>4.125</v>
      </c>
      <c r="W846" s="57">
        <f>(1000*CHOOSE(CONTROL!$C$42, 0.1146, 0.1146)*CHOOSE(CONTROL!$C$42, 121.5, 121.5)*CHOOSE(CONTROL!$C$42, 30, 30))/1000000</f>
        <v>0.417717</v>
      </c>
      <c r="X846" s="57">
        <f>(30*0.1790888*245000/1000000)+(30*0.2374*100000/1000000)</f>
        <v>2.0285026799999999</v>
      </c>
      <c r="Y846" s="57"/>
      <c r="Z846" s="14"/>
      <c r="AA846" s="56"/>
      <c r="AB846" s="50">
        <f>(B846*194.205+C846*267.466+D846*133.845+E846*53.484+F846*40+G846*185+H846*0+I846*100+J846*300)/(194.205+267.466+133.845+53.484+0+40+185+100+300)</f>
        <v>80.063800002040821</v>
      </c>
      <c r="AC846" s="45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78.514289928057536</v>
      </c>
    </row>
    <row r="847" spans="1:29" ht="15.75" x14ac:dyDescent="0.25">
      <c r="A847" s="32">
        <v>66688</v>
      </c>
      <c r="B847" s="14">
        <f>CHOOSE(CONTROL!$C$42, 78.4791, 78.4791) * CHOOSE(CONTROL!$C$21, $C$9, 100%, $E$9)</f>
        <v>78.479100000000003</v>
      </c>
      <c r="C847" s="14">
        <f>CHOOSE(CONTROL!$C$42, 78.4872, 78.4872) * CHOOSE(CONTROL!$C$21, $C$9, 100%, $E$9)</f>
        <v>78.487200000000001</v>
      </c>
      <c r="D847" s="14">
        <f>CHOOSE(CONTROL!$C$42, 78.6921, 78.6921) * CHOOSE(CONTROL!$C$21, $C$9, 100%, $E$9)</f>
        <v>78.692099999999996</v>
      </c>
      <c r="E847" s="14">
        <f>CHOOSE(CONTROL!$C$42, 78.7236, 78.7236) * CHOOSE(CONTROL!$C$21, $C$9, 100%, $E$9)</f>
        <v>78.723600000000005</v>
      </c>
      <c r="F847" s="14">
        <f>CHOOSE(CONTROL!$C$42, 78.4661, 78.4661)*CHOOSE(CONTROL!$C$21, $C$9, 100%, $E$9)</f>
        <v>78.466099999999997</v>
      </c>
      <c r="G847" s="14">
        <f>CHOOSE(CONTROL!$C$42, 78.4827, 78.4827)*CHOOSE(CONTROL!$C$21, $C$9, 100%, $E$9)</f>
        <v>78.482699999999994</v>
      </c>
      <c r="H847" s="14">
        <f>CHOOSE(CONTROL!$C$42, 78.7122, 78.7122) * CHOOSE(CONTROL!$C$21, $C$9, 100%, $E$9)</f>
        <v>78.712199999999996</v>
      </c>
      <c r="I847" s="14">
        <f>CHOOSE(CONTROL!$C$42, 78.733, 78.733)* CHOOSE(CONTROL!$C$21, $C$9, 100%, $E$9)</f>
        <v>78.733000000000004</v>
      </c>
      <c r="J847" s="14">
        <f>CHOOSE(CONTROL!$C$42, 78.4591, 78.4591)* CHOOSE(CONTROL!$C$21, $C$9, 100%, $E$9)</f>
        <v>78.459100000000007</v>
      </c>
      <c r="K847" s="53">
        <f>CHOOSE(CONTROL!$C$42, 78.7291, 78.7291) * CHOOSE(CONTROL!$C$21, $C$9, 100%, $E$9)</f>
        <v>78.729100000000003</v>
      </c>
      <c r="L847" s="14">
        <f>CHOOSE(CONTROL!$C$42, 79.2992, 79.2992) * CHOOSE(CONTROL!$C$21, $C$9, 100%, $E$9)</f>
        <v>79.299199999999999</v>
      </c>
      <c r="M847" s="14">
        <f>CHOOSE(CONTROL!$C$42, 76.8592, 76.8592) * CHOOSE(CONTROL!$C$21, $C$9, 100%, $E$9)</f>
        <v>76.859200000000001</v>
      </c>
      <c r="N847" s="14">
        <f>CHOOSE(CONTROL!$C$42, 76.8755, 76.8755) * CHOOSE(CONTROL!$C$21, $C$9, 100%, $E$9)</f>
        <v>76.875500000000002</v>
      </c>
      <c r="O847" s="14">
        <f>CHOOSE(CONTROL!$C$42, 77.1072, 77.1072) * CHOOSE(CONTROL!$C$21, $C$9, 100%, $E$9)</f>
        <v>77.107200000000006</v>
      </c>
      <c r="P847" s="14">
        <f>CHOOSE(CONTROL!$C$42, 77.1226, 77.1226) * CHOOSE(CONTROL!$C$21, $C$9, 100%, $E$9)</f>
        <v>77.122600000000006</v>
      </c>
      <c r="Q847" s="14">
        <f>CHOOSE(CONTROL!$C$42, 77.7019, 77.7019) * CHOOSE(CONTROL!$C$21, $C$9, 100%, $E$9)</f>
        <v>77.701899999999995</v>
      </c>
      <c r="R847" s="14">
        <f>CHOOSE(CONTROL!$C$42, 78.4831, 78.4831) * CHOOSE(CONTROL!$C$21, $C$9, 100%, $E$9)</f>
        <v>78.483099999999993</v>
      </c>
      <c r="S847" s="14">
        <f>CHOOSE(CONTROL!$C$42, 75.4, 75.4) * CHOOSE(CONTROL!$C$21, $C$9, 100%, $E$9)</f>
        <v>75.400000000000006</v>
      </c>
      <c r="T8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7">
        <f>(1000*CHOOSE(CONTROL!$C$42, 695, 695)*CHOOSE(CONTROL!$C$42, 0.5599, 0.5599)*CHOOSE(CONTROL!$C$42, 31, 31))/1000000</f>
        <v>12.063045499999998</v>
      </c>
      <c r="V847" s="57">
        <f>(1000*CHOOSE(CONTROL!$C$42, 500, 500)*CHOOSE(CONTROL!$C$42, 0.275, 0.275)*CHOOSE(CONTROL!$C$42, 31, 31))/1000000</f>
        <v>4.2625000000000002</v>
      </c>
      <c r="W847" s="57">
        <f>(1000*CHOOSE(CONTROL!$C$42, 0.1146, 0.1146)*CHOOSE(CONTROL!$C$42, 121.5, 121.5)*CHOOSE(CONTROL!$C$42, 31, 31))/1000000</f>
        <v>0.43164089999999994</v>
      </c>
      <c r="X847" s="57">
        <f>(31*0.1790888*245000/1000000)+(31*0.2374*100000/1000000)</f>
        <v>2.0961194359999999</v>
      </c>
      <c r="Y847" s="57"/>
      <c r="Z847" s="14"/>
      <c r="AA847" s="56"/>
      <c r="AB847" s="50">
        <f>(B847*194.205+C847*267.466+D847*133.845+E847*53.484+F847*40+G847*185+H847*0+I847*100+J847*300)/(194.205+267.466+133.845+53.484+0+40+185+100+300)</f>
        <v>78.528776842700168</v>
      </c>
      <c r="AC847" s="45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77.010440287769782</v>
      </c>
    </row>
    <row r="848" spans="1:29" ht="15.75" x14ac:dyDescent="0.25">
      <c r="A848" s="32">
        <v>66719</v>
      </c>
      <c r="B848" s="14">
        <f>CHOOSE(CONTROL!$C$42, 74.6032, 74.6032) * CHOOSE(CONTROL!$C$21, $C$9, 100%, $E$9)</f>
        <v>74.603200000000001</v>
      </c>
      <c r="C848" s="14">
        <f>CHOOSE(CONTROL!$C$42, 74.6113, 74.6113) * CHOOSE(CONTROL!$C$21, $C$9, 100%, $E$9)</f>
        <v>74.6113</v>
      </c>
      <c r="D848" s="14">
        <f>CHOOSE(CONTROL!$C$42, 74.8162, 74.8162) * CHOOSE(CONTROL!$C$21, $C$9, 100%, $E$9)</f>
        <v>74.816199999999995</v>
      </c>
      <c r="E848" s="14">
        <f>CHOOSE(CONTROL!$C$42, 74.8477, 74.8477) * CHOOSE(CONTROL!$C$21, $C$9, 100%, $E$9)</f>
        <v>74.847700000000003</v>
      </c>
      <c r="F848" s="14">
        <f>CHOOSE(CONTROL!$C$42, 74.5904, 74.5904)*CHOOSE(CONTROL!$C$21, $C$9, 100%, $E$9)</f>
        <v>74.590400000000002</v>
      </c>
      <c r="G848" s="14">
        <f>CHOOSE(CONTROL!$C$42, 74.6071, 74.6071)*CHOOSE(CONTROL!$C$21, $C$9, 100%, $E$9)</f>
        <v>74.607100000000003</v>
      </c>
      <c r="H848" s="14">
        <f>CHOOSE(CONTROL!$C$42, 74.8363, 74.8363) * CHOOSE(CONTROL!$C$21, $C$9, 100%, $E$9)</f>
        <v>74.836299999999994</v>
      </c>
      <c r="I848" s="14">
        <f>CHOOSE(CONTROL!$C$42, 74.8449, 74.8449)* CHOOSE(CONTROL!$C$21, $C$9, 100%, $E$9)</f>
        <v>74.844899999999996</v>
      </c>
      <c r="J848" s="14">
        <f>CHOOSE(CONTROL!$C$42, 74.5834, 74.5834)* CHOOSE(CONTROL!$C$21, $C$9, 100%, $E$9)</f>
        <v>74.583399999999997</v>
      </c>
      <c r="K848" s="53">
        <f>CHOOSE(CONTROL!$C$42, 74.841, 74.841) * CHOOSE(CONTROL!$C$21, $C$9, 100%, $E$9)</f>
        <v>74.840999999999994</v>
      </c>
      <c r="L848" s="14">
        <f>CHOOSE(CONTROL!$C$42, 75.4233, 75.4233) * CHOOSE(CONTROL!$C$21, $C$9, 100%, $E$9)</f>
        <v>75.423299999999998</v>
      </c>
      <c r="M848" s="14">
        <f>CHOOSE(CONTROL!$C$42, 73.063, 73.063) * CHOOSE(CONTROL!$C$21, $C$9, 100%, $E$9)</f>
        <v>73.063000000000002</v>
      </c>
      <c r="N848" s="14">
        <f>CHOOSE(CONTROL!$C$42, 73.0793, 73.0793) * CHOOSE(CONTROL!$C$21, $C$9, 100%, $E$9)</f>
        <v>73.079300000000003</v>
      </c>
      <c r="O848" s="14">
        <f>CHOOSE(CONTROL!$C$42, 73.3107, 73.3107) * CHOOSE(CONTROL!$C$21, $C$9, 100%, $E$9)</f>
        <v>73.310699999999997</v>
      </c>
      <c r="P848" s="14">
        <f>CHOOSE(CONTROL!$C$42, 73.3145, 73.3145) * CHOOSE(CONTROL!$C$21, $C$9, 100%, $E$9)</f>
        <v>73.314499999999995</v>
      </c>
      <c r="Q848" s="14">
        <f>CHOOSE(CONTROL!$C$42, 73.9054, 73.9054) * CHOOSE(CONTROL!$C$21, $C$9, 100%, $E$9)</f>
        <v>73.9054</v>
      </c>
      <c r="R848" s="14">
        <f>CHOOSE(CONTROL!$C$42, 74.6772, 74.6772) * CHOOSE(CONTROL!$C$21, $C$9, 100%, $E$9)</f>
        <v>74.677199999999999</v>
      </c>
      <c r="S848" s="14">
        <f>CHOOSE(CONTROL!$C$42, 71.6756, 71.6756) * CHOOSE(CONTROL!$C$21, $C$9, 100%, $E$9)</f>
        <v>71.675600000000003</v>
      </c>
      <c r="T8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7">
        <f>(1000*CHOOSE(CONTROL!$C$42, 695, 695)*CHOOSE(CONTROL!$C$42, 0.5599, 0.5599)*CHOOSE(CONTROL!$C$42, 31, 31))/1000000</f>
        <v>12.063045499999998</v>
      </c>
      <c r="V848" s="57">
        <f>(1000*CHOOSE(CONTROL!$C$42, 500, 500)*CHOOSE(CONTROL!$C$42, 0.275, 0.275)*CHOOSE(CONTROL!$C$42, 31, 31))/1000000</f>
        <v>4.2625000000000002</v>
      </c>
      <c r="W848" s="57">
        <f>(1000*CHOOSE(CONTROL!$C$42, 0.1146, 0.1146)*CHOOSE(CONTROL!$C$42, 121.5, 121.5)*CHOOSE(CONTROL!$C$42, 31, 31))/1000000</f>
        <v>0.43164089999999994</v>
      </c>
      <c r="X848" s="57">
        <f>(31*0.1790888*245000/1000000)+(31*0.2374*100000/1000000)</f>
        <v>2.0961194359999999</v>
      </c>
      <c r="Y848" s="57"/>
      <c r="Z848" s="14"/>
      <c r="AA848" s="56"/>
      <c r="AB848" s="50">
        <f>(B848*194.205+C848*267.466+D848*133.845+E848*53.484+F848*40+G848*185+H848*0+I848*100+J848*300)/(194.205+267.466+133.845+53.484+0+40+185+100+300)</f>
        <v>74.652016167660918</v>
      </c>
      <c r="AC848" s="45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73.212392086330922</v>
      </c>
    </row>
    <row r="849" spans="1:29" ht="15.75" x14ac:dyDescent="0.25">
      <c r="A849" s="32">
        <v>66749</v>
      </c>
      <c r="B849" s="14">
        <f>CHOOSE(CONTROL!$C$42, 69.8672, 69.8672) * CHOOSE(CONTROL!$C$21, $C$9, 100%, $E$9)</f>
        <v>69.867199999999997</v>
      </c>
      <c r="C849" s="14">
        <f>CHOOSE(CONTROL!$C$42, 69.8752, 69.8752) * CHOOSE(CONTROL!$C$21, $C$9, 100%, $E$9)</f>
        <v>69.875200000000007</v>
      </c>
      <c r="D849" s="14">
        <f>CHOOSE(CONTROL!$C$42, 70.0802, 70.0802) * CHOOSE(CONTROL!$C$21, $C$9, 100%, $E$9)</f>
        <v>70.080200000000005</v>
      </c>
      <c r="E849" s="14">
        <f>CHOOSE(CONTROL!$C$42, 70.1117, 70.1117) * CHOOSE(CONTROL!$C$21, $C$9, 100%, $E$9)</f>
        <v>70.111699999999999</v>
      </c>
      <c r="F849" s="14">
        <f>CHOOSE(CONTROL!$C$42, 69.8544, 69.8544)*CHOOSE(CONTROL!$C$21, $C$9, 100%, $E$9)</f>
        <v>69.854399999999998</v>
      </c>
      <c r="G849" s="14">
        <f>CHOOSE(CONTROL!$C$42, 69.8711, 69.8711)*CHOOSE(CONTROL!$C$21, $C$9, 100%, $E$9)</f>
        <v>69.871099999999998</v>
      </c>
      <c r="H849" s="14">
        <f>CHOOSE(CONTROL!$C$42, 70.1003, 70.1003) * CHOOSE(CONTROL!$C$21, $C$9, 100%, $E$9)</f>
        <v>70.100300000000004</v>
      </c>
      <c r="I849" s="14">
        <f>CHOOSE(CONTROL!$C$42, 70.0941, 70.0941)* CHOOSE(CONTROL!$C$21, $C$9, 100%, $E$9)</f>
        <v>70.094099999999997</v>
      </c>
      <c r="J849" s="14">
        <f>CHOOSE(CONTROL!$C$42, 69.8474, 69.8474)* CHOOSE(CONTROL!$C$21, $C$9, 100%, $E$9)</f>
        <v>69.847399999999993</v>
      </c>
      <c r="K849" s="53">
        <f>CHOOSE(CONTROL!$C$42, 70.0902, 70.0902) * CHOOSE(CONTROL!$C$21, $C$9, 100%, $E$9)</f>
        <v>70.090199999999996</v>
      </c>
      <c r="L849" s="14">
        <f>CHOOSE(CONTROL!$C$42, 70.6873, 70.6873) * CHOOSE(CONTROL!$C$21, $C$9, 100%, $E$9)</f>
        <v>70.687299999999993</v>
      </c>
      <c r="M849" s="14">
        <f>CHOOSE(CONTROL!$C$42, 68.4239, 68.4239) * CHOOSE(CONTROL!$C$21, $C$9, 100%, $E$9)</f>
        <v>68.423900000000003</v>
      </c>
      <c r="N849" s="14">
        <f>CHOOSE(CONTROL!$C$42, 68.4403, 68.4403) * CHOOSE(CONTROL!$C$21, $C$9, 100%, $E$9)</f>
        <v>68.440299999999993</v>
      </c>
      <c r="O849" s="14">
        <f>CHOOSE(CONTROL!$C$42, 68.6717, 68.6717) * CHOOSE(CONTROL!$C$21, $C$9, 100%, $E$9)</f>
        <v>68.671700000000001</v>
      </c>
      <c r="P849" s="14">
        <f>CHOOSE(CONTROL!$C$42, 68.6613, 68.6613) * CHOOSE(CONTROL!$C$21, $C$9, 100%, $E$9)</f>
        <v>68.661299999999997</v>
      </c>
      <c r="Q849" s="14">
        <f>CHOOSE(CONTROL!$C$42, 69.2664, 69.2664) * CHOOSE(CONTROL!$C$21, $C$9, 100%, $E$9)</f>
        <v>69.266400000000004</v>
      </c>
      <c r="R849" s="14">
        <f>CHOOSE(CONTROL!$C$42, 70.0266, 70.0266) * CHOOSE(CONTROL!$C$21, $C$9, 100%, $E$9)</f>
        <v>70.026600000000002</v>
      </c>
      <c r="S849" s="14">
        <f>CHOOSE(CONTROL!$C$42, 67.1248, 67.1248) * CHOOSE(CONTROL!$C$21, $C$9, 100%, $E$9)</f>
        <v>67.124799999999993</v>
      </c>
      <c r="T8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7">
        <f>(1000*CHOOSE(CONTROL!$C$42, 695, 695)*CHOOSE(CONTROL!$C$42, 0.5599, 0.5599)*CHOOSE(CONTROL!$C$42, 30, 30))/1000000</f>
        <v>11.673914999999997</v>
      </c>
      <c r="V849" s="57">
        <f>(1000*CHOOSE(CONTROL!$C$42, 500, 500)*CHOOSE(CONTROL!$C$42, 0.275, 0.275)*CHOOSE(CONTROL!$C$42, 30, 30))/1000000</f>
        <v>4.125</v>
      </c>
      <c r="W849" s="57">
        <f>(1000*CHOOSE(CONTROL!$C$42, 0.1146, 0.1146)*CHOOSE(CONTROL!$C$42, 121.5, 121.5)*CHOOSE(CONTROL!$C$42, 30, 30))/1000000</f>
        <v>0.417717</v>
      </c>
      <c r="X849" s="57">
        <f>(30*0.1790888*245000/1000000)+(30*0.2374*100000/1000000)</f>
        <v>2.0285026799999999</v>
      </c>
      <c r="Y849" s="57"/>
      <c r="Z849" s="14"/>
      <c r="AA849" s="56"/>
      <c r="AB849" s="50">
        <f>(B849*194.205+C849*267.466+D849*133.845+E849*53.484+F849*40+G849*185+H849*0+I849*100+J849*300)/(194.205+267.466+133.845+53.484+0+40+185+100+300)</f>
        <v>69.91483347802199</v>
      </c>
      <c r="AC849" s="45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68.571314388489199</v>
      </c>
    </row>
    <row r="850" spans="1:29" ht="15.75" x14ac:dyDescent="0.25">
      <c r="A850" s="32">
        <v>66780</v>
      </c>
      <c r="B850" s="14">
        <f>CHOOSE(CONTROL!$C$42, 68.4471, 68.4471) * CHOOSE(CONTROL!$C$21, $C$9, 100%, $E$9)</f>
        <v>68.447100000000006</v>
      </c>
      <c r="C850" s="14">
        <f>CHOOSE(CONTROL!$C$42, 68.4524, 68.4524) * CHOOSE(CONTROL!$C$21, $C$9, 100%, $E$9)</f>
        <v>68.452399999999997</v>
      </c>
      <c r="D850" s="14">
        <f>CHOOSE(CONTROL!$C$42, 68.6624, 68.6624) * CHOOSE(CONTROL!$C$21, $C$9, 100%, $E$9)</f>
        <v>68.662400000000005</v>
      </c>
      <c r="E850" s="14">
        <f>CHOOSE(CONTROL!$C$42, 68.6915, 68.6915) * CHOOSE(CONTROL!$C$21, $C$9, 100%, $E$9)</f>
        <v>68.691500000000005</v>
      </c>
      <c r="F850" s="14">
        <f>CHOOSE(CONTROL!$C$42, 68.4363, 68.4363)*CHOOSE(CONTROL!$C$21, $C$9, 100%, $E$9)</f>
        <v>68.436300000000003</v>
      </c>
      <c r="G850" s="14">
        <f>CHOOSE(CONTROL!$C$42, 68.4527, 68.4527)*CHOOSE(CONTROL!$C$21, $C$9, 100%, $E$9)</f>
        <v>68.452699999999993</v>
      </c>
      <c r="H850" s="14">
        <f>CHOOSE(CONTROL!$C$42, 68.682, 68.682) * CHOOSE(CONTROL!$C$21, $C$9, 100%, $E$9)</f>
        <v>68.682000000000002</v>
      </c>
      <c r="I850" s="14">
        <f>CHOOSE(CONTROL!$C$42, 68.6713, 68.6713)* CHOOSE(CONTROL!$C$21, $C$9, 100%, $E$9)</f>
        <v>68.671300000000002</v>
      </c>
      <c r="J850" s="14">
        <f>CHOOSE(CONTROL!$C$42, 68.4293, 68.4293)* CHOOSE(CONTROL!$C$21, $C$9, 100%, $E$9)</f>
        <v>68.429299999999998</v>
      </c>
      <c r="K850" s="53">
        <f>CHOOSE(CONTROL!$C$42, 68.6674, 68.6674) * CHOOSE(CONTROL!$C$21, $C$9, 100%, $E$9)</f>
        <v>68.667400000000001</v>
      </c>
      <c r="L850" s="14">
        <f>CHOOSE(CONTROL!$C$42, 69.269, 69.269) * CHOOSE(CONTROL!$C$21, $C$9, 100%, $E$9)</f>
        <v>69.269000000000005</v>
      </c>
      <c r="M850" s="14">
        <f>CHOOSE(CONTROL!$C$42, 67.035, 67.035) * CHOOSE(CONTROL!$C$21, $C$9, 100%, $E$9)</f>
        <v>67.034999999999997</v>
      </c>
      <c r="N850" s="14">
        <f>CHOOSE(CONTROL!$C$42, 67.051, 67.051) * CHOOSE(CONTROL!$C$21, $C$9, 100%, $E$9)</f>
        <v>67.051000000000002</v>
      </c>
      <c r="O850" s="14">
        <f>CHOOSE(CONTROL!$C$42, 67.2824, 67.2824) * CHOOSE(CONTROL!$C$21, $C$9, 100%, $E$9)</f>
        <v>67.282399999999996</v>
      </c>
      <c r="P850" s="14">
        <f>CHOOSE(CONTROL!$C$42, 67.2677, 67.2677) * CHOOSE(CONTROL!$C$21, $C$9, 100%, $E$9)</f>
        <v>67.267700000000005</v>
      </c>
      <c r="Q850" s="14">
        <f>CHOOSE(CONTROL!$C$42, 67.8771, 67.8771) * CHOOSE(CONTROL!$C$21, $C$9, 100%, $E$9)</f>
        <v>67.877099999999999</v>
      </c>
      <c r="R850" s="14">
        <f>CHOOSE(CONTROL!$C$42, 68.6338, 68.6338) * CHOOSE(CONTROL!$C$21, $C$9, 100%, $E$9)</f>
        <v>68.633799999999994</v>
      </c>
      <c r="S850" s="14">
        <f>CHOOSE(CONTROL!$C$42, 65.7619, 65.7619) * CHOOSE(CONTROL!$C$21, $C$9, 100%, $E$9)</f>
        <v>65.761899999999997</v>
      </c>
      <c r="T8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7">
        <f>(1000*CHOOSE(CONTROL!$C$42, 695, 695)*CHOOSE(CONTROL!$C$42, 0.5599, 0.5599)*CHOOSE(CONTROL!$C$42, 31, 31))/1000000</f>
        <v>12.063045499999998</v>
      </c>
      <c r="V850" s="57">
        <f>(1000*CHOOSE(CONTROL!$C$42, 500, 500)*CHOOSE(CONTROL!$C$42, 0.275, 0.275)*CHOOSE(CONTROL!$C$42, 31, 31))/1000000</f>
        <v>4.2625000000000002</v>
      </c>
      <c r="W850" s="57">
        <f>(1000*CHOOSE(CONTROL!$C$42, 0.1146, 0.1146)*CHOOSE(CONTROL!$C$42, 121.5, 121.5)*CHOOSE(CONTROL!$C$42, 31, 31))/1000000</f>
        <v>0.43164089999999994</v>
      </c>
      <c r="X850" s="57">
        <f>(31*0.1790888*245000/1000000)+(31*0.2374*100000/1000000)</f>
        <v>2.0961194359999999</v>
      </c>
      <c r="Y850" s="57"/>
      <c r="Z850" s="14"/>
      <c r="AA850" s="56"/>
      <c r="AB850" s="50">
        <f>(B850*131.881+C850*277.167+D850*79.08+E850*125.872+F850*40+G850*185+H850*0+I850*100+J850*300)/(131.881+277.167+79.08+125.872+0+40+185+100+300)</f>
        <v>68.501129076594026</v>
      </c>
      <c r="AC850" s="45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67.181533812949638</v>
      </c>
    </row>
    <row r="851" spans="1:29" ht="15.75" x14ac:dyDescent="0.25">
      <c r="A851" s="32">
        <v>66810</v>
      </c>
      <c r="B851" s="14">
        <f>CHOOSE(CONTROL!$C$42, 70.2497, 70.2497) * CHOOSE(CONTROL!$C$21, $C$9, 100%, $E$9)</f>
        <v>70.249700000000004</v>
      </c>
      <c r="C851" s="14">
        <f>CHOOSE(CONTROL!$C$42, 70.2547, 70.2547) * CHOOSE(CONTROL!$C$21, $C$9, 100%, $E$9)</f>
        <v>70.2547</v>
      </c>
      <c r="D851" s="14">
        <f>CHOOSE(CONTROL!$C$42, 70.3185, 70.3185) * CHOOSE(CONTROL!$C$21, $C$9, 100%, $E$9)</f>
        <v>70.3185</v>
      </c>
      <c r="E851" s="14">
        <f>CHOOSE(CONTROL!$C$42, 70.3526, 70.3526) * CHOOSE(CONTROL!$C$21, $C$9, 100%, $E$9)</f>
        <v>70.352599999999995</v>
      </c>
      <c r="F851" s="14">
        <f>CHOOSE(CONTROL!$C$42, 70.2519, 70.2519)*CHOOSE(CONTROL!$C$21, $C$9, 100%, $E$9)</f>
        <v>70.251900000000006</v>
      </c>
      <c r="G851" s="14">
        <f>CHOOSE(CONTROL!$C$42, 70.2686, 70.2686)*CHOOSE(CONTROL!$C$21, $C$9, 100%, $E$9)</f>
        <v>70.268600000000006</v>
      </c>
      <c r="H851" s="14">
        <f>CHOOSE(CONTROL!$C$42, 70.3418, 70.3418) * CHOOSE(CONTROL!$C$21, $C$9, 100%, $E$9)</f>
        <v>70.341800000000006</v>
      </c>
      <c r="I851" s="14">
        <f>CHOOSE(CONTROL!$C$42, 70.4836, 70.4836)* CHOOSE(CONTROL!$C$21, $C$9, 100%, $E$9)</f>
        <v>70.483599999999996</v>
      </c>
      <c r="J851" s="14">
        <f>CHOOSE(CONTROL!$C$42, 70.2449, 70.2449)* CHOOSE(CONTROL!$C$21, $C$9, 100%, $E$9)</f>
        <v>70.244900000000001</v>
      </c>
      <c r="K851" s="53">
        <f>CHOOSE(CONTROL!$C$42, 70.4797, 70.4797) * CHOOSE(CONTROL!$C$21, $C$9, 100%, $E$9)</f>
        <v>70.479699999999994</v>
      </c>
      <c r="L851" s="14">
        <f>CHOOSE(CONTROL!$C$42, 70.9288, 70.9288) * CHOOSE(CONTROL!$C$21, $C$9, 100%, $E$9)</f>
        <v>70.928799999999995</v>
      </c>
      <c r="M851" s="14">
        <f>CHOOSE(CONTROL!$C$42, 68.8133, 68.8133) * CHOOSE(CONTROL!$C$21, $C$9, 100%, $E$9)</f>
        <v>68.813299999999998</v>
      </c>
      <c r="N851" s="14">
        <f>CHOOSE(CONTROL!$C$42, 68.8296, 68.8296) * CHOOSE(CONTROL!$C$21, $C$9, 100%, $E$9)</f>
        <v>68.829599999999999</v>
      </c>
      <c r="O851" s="14">
        <f>CHOOSE(CONTROL!$C$42, 68.9083, 68.9083) * CHOOSE(CONTROL!$C$21, $C$9, 100%, $E$9)</f>
        <v>68.908299999999997</v>
      </c>
      <c r="P851" s="14">
        <f>CHOOSE(CONTROL!$C$42, 69.0427, 69.0427) * CHOOSE(CONTROL!$C$21, $C$9, 100%, $E$9)</f>
        <v>69.042699999999996</v>
      </c>
      <c r="Q851" s="14">
        <f>CHOOSE(CONTROL!$C$42, 69.503, 69.503) * CHOOSE(CONTROL!$C$21, $C$9, 100%, $E$9)</f>
        <v>69.503</v>
      </c>
      <c r="R851" s="14">
        <f>CHOOSE(CONTROL!$C$42, 70.2637, 70.2637) * CHOOSE(CONTROL!$C$21, $C$9, 100%, $E$9)</f>
        <v>70.2637</v>
      </c>
      <c r="S851" s="14">
        <f>CHOOSE(CONTROL!$C$42, 67.4944, 67.4944) * CHOOSE(CONTROL!$C$21, $C$9, 100%, $E$9)</f>
        <v>67.494399999999999</v>
      </c>
      <c r="T8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7">
        <f>(1000*CHOOSE(CONTROL!$C$42, 695, 695)*CHOOSE(CONTROL!$C$42, 0.5599, 0.5599)*CHOOSE(CONTROL!$C$42, 30, 30))/1000000</f>
        <v>11.673914999999997</v>
      </c>
      <c r="V851" s="57">
        <f>(1000*CHOOSE(CONTROL!$C$42, 500, 500)*CHOOSE(CONTROL!$C$42, 0.275, 0.275)*CHOOSE(CONTROL!$C$42, 30, 30))/1000000</f>
        <v>4.125</v>
      </c>
      <c r="W851" s="57">
        <f>(1000*CHOOSE(CONTROL!$C$42, 0.1146, 0.1146)*CHOOSE(CONTROL!$C$42, 121.5, 121.5)*CHOOSE(CONTROL!$C$42, 30, 30))/1000000</f>
        <v>0.417717</v>
      </c>
      <c r="X851" s="57">
        <f>(30*0.1790888*100000/1000000)+(30*0.2374*100000/1000000)</f>
        <v>1.2494664</v>
      </c>
      <c r="Y851" s="57"/>
      <c r="Z851" s="14"/>
      <c r="AA851" s="56"/>
      <c r="AB851" s="50">
        <f>(B851*122.58+C851*297.941+D851*89.177+E851*40.302+F851*40+G851*160+H851*0+I851*100+J851*300)/(122.58+297.941+89.177+40.302+0+40+160+100+300)</f>
        <v>70.28172970295654</v>
      </c>
      <c r="AC851" s="45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68.890302877697835</v>
      </c>
    </row>
    <row r="852" spans="1:29" ht="15.75" x14ac:dyDescent="0.25">
      <c r="A852" s="32">
        <v>66841</v>
      </c>
      <c r="B852" s="14">
        <f>CHOOSE(CONTROL!$C$42, 75.0386, 75.0386) * CHOOSE(CONTROL!$C$21, $C$9, 100%, $E$9)</f>
        <v>75.038600000000002</v>
      </c>
      <c r="C852" s="14">
        <f>CHOOSE(CONTROL!$C$42, 75.0437, 75.0437) * CHOOSE(CONTROL!$C$21, $C$9, 100%, $E$9)</f>
        <v>75.043700000000001</v>
      </c>
      <c r="D852" s="14">
        <f>CHOOSE(CONTROL!$C$42, 75.1075, 75.1075) * CHOOSE(CONTROL!$C$21, $C$9, 100%, $E$9)</f>
        <v>75.107500000000002</v>
      </c>
      <c r="E852" s="14">
        <f>CHOOSE(CONTROL!$C$42, 75.1416, 75.1416) * CHOOSE(CONTROL!$C$21, $C$9, 100%, $E$9)</f>
        <v>75.141599999999997</v>
      </c>
      <c r="F852" s="14">
        <f>CHOOSE(CONTROL!$C$42, 75.0429, 75.0429)*CHOOSE(CONTROL!$C$21, $C$9, 100%, $E$9)</f>
        <v>75.042900000000003</v>
      </c>
      <c r="G852" s="14">
        <f>CHOOSE(CONTROL!$C$42, 75.0601, 75.0601)*CHOOSE(CONTROL!$C$21, $C$9, 100%, $E$9)</f>
        <v>75.060100000000006</v>
      </c>
      <c r="H852" s="14">
        <f>CHOOSE(CONTROL!$C$42, 75.1308, 75.1308) * CHOOSE(CONTROL!$C$21, $C$9, 100%, $E$9)</f>
        <v>75.130799999999994</v>
      </c>
      <c r="I852" s="14">
        <f>CHOOSE(CONTROL!$C$42, 75.2875, 75.2875)* CHOOSE(CONTROL!$C$21, $C$9, 100%, $E$9)</f>
        <v>75.287499999999994</v>
      </c>
      <c r="J852" s="14">
        <f>CHOOSE(CONTROL!$C$42, 75.0359, 75.0359)* CHOOSE(CONTROL!$C$21, $C$9, 100%, $E$9)</f>
        <v>75.035899999999998</v>
      </c>
      <c r="K852" s="53">
        <f>CHOOSE(CONTROL!$C$42, 75.2836, 75.2836) * CHOOSE(CONTROL!$C$21, $C$9, 100%, $E$9)</f>
        <v>75.283600000000007</v>
      </c>
      <c r="L852" s="14">
        <f>CHOOSE(CONTROL!$C$42, 75.7178, 75.7178) * CHOOSE(CONTROL!$C$21, $C$9, 100%, $E$9)</f>
        <v>75.717799999999997</v>
      </c>
      <c r="M852" s="14">
        <f>CHOOSE(CONTROL!$C$42, 73.5062, 73.5062) * CHOOSE(CONTROL!$C$21, $C$9, 100%, $E$9)</f>
        <v>73.506200000000007</v>
      </c>
      <c r="N852" s="14">
        <f>CHOOSE(CONTROL!$C$42, 73.523, 73.523) * CHOOSE(CONTROL!$C$21, $C$9, 100%, $E$9)</f>
        <v>73.522999999999996</v>
      </c>
      <c r="O852" s="14">
        <f>CHOOSE(CONTROL!$C$42, 73.5991, 73.5991) * CHOOSE(CONTROL!$C$21, $C$9, 100%, $E$9)</f>
        <v>73.599100000000007</v>
      </c>
      <c r="P852" s="14">
        <f>CHOOSE(CONTROL!$C$42, 73.7479, 73.7479) * CHOOSE(CONTROL!$C$21, $C$9, 100%, $E$9)</f>
        <v>73.747900000000001</v>
      </c>
      <c r="Q852" s="14">
        <f>CHOOSE(CONTROL!$C$42, 74.1938, 74.1938) * CHOOSE(CONTROL!$C$21, $C$9, 100%, $E$9)</f>
        <v>74.193799999999996</v>
      </c>
      <c r="R852" s="14">
        <f>CHOOSE(CONTROL!$C$42, 74.9663, 74.9663) * CHOOSE(CONTROL!$C$21, $C$9, 100%, $E$9)</f>
        <v>74.966300000000004</v>
      </c>
      <c r="S852" s="14">
        <f>CHOOSE(CONTROL!$C$42, 72.096, 72.096) * CHOOSE(CONTROL!$C$21, $C$9, 100%, $E$9)</f>
        <v>72.096000000000004</v>
      </c>
      <c r="T8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7">
        <f>(1000*CHOOSE(CONTROL!$C$42, 695, 695)*CHOOSE(CONTROL!$C$42, 0.5599, 0.5599)*CHOOSE(CONTROL!$C$42, 31, 31))/1000000</f>
        <v>12.063045499999998</v>
      </c>
      <c r="V852" s="57">
        <f>(1000*CHOOSE(CONTROL!$C$42, 500, 500)*CHOOSE(CONTROL!$C$42, 0.275, 0.275)*CHOOSE(CONTROL!$C$42, 31, 31))/1000000</f>
        <v>4.2625000000000002</v>
      </c>
      <c r="W852" s="57">
        <f>(1000*CHOOSE(CONTROL!$C$42, 0.1146, 0.1146)*CHOOSE(CONTROL!$C$42, 121.5, 121.5)*CHOOSE(CONTROL!$C$42, 31, 31))/1000000</f>
        <v>0.43164089999999994</v>
      </c>
      <c r="X852" s="57">
        <f>(31*0.1790888*100000/1000000)+(31*0.2374*100000/1000000)</f>
        <v>1.2911152800000001</v>
      </c>
      <c r="Y852" s="57"/>
      <c r="Z852" s="14"/>
      <c r="AA852" s="56"/>
      <c r="AB852" s="50">
        <f>(B852*122.58+C852*297.941+D852*89.177+E852*40.302+F852*40+G852*160+H852*0+I852*100+J852*300)/(122.58+297.941+89.177+40.302+0+40+160+100+300)</f>
        <v>75.072953826434798</v>
      </c>
      <c r="AC852" s="45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73.584049640287773</v>
      </c>
    </row>
    <row r="853" spans="1:29" ht="15.75" x14ac:dyDescent="0.25">
      <c r="A853" s="32">
        <v>66872</v>
      </c>
      <c r="B853" s="14">
        <f>CHOOSE(CONTROL!$C$42, 81.1845, 81.1845) * CHOOSE(CONTROL!$C$21, $C$9, 100%, $E$9)</f>
        <v>81.1845</v>
      </c>
      <c r="C853" s="14">
        <f>CHOOSE(CONTROL!$C$42, 81.1896, 81.1896) * CHOOSE(CONTROL!$C$21, $C$9, 100%, $E$9)</f>
        <v>81.189599999999999</v>
      </c>
      <c r="D853" s="14">
        <f>CHOOSE(CONTROL!$C$42, 81.2482, 81.2482) * CHOOSE(CONTROL!$C$21, $C$9, 100%, $E$9)</f>
        <v>81.248199999999997</v>
      </c>
      <c r="E853" s="14">
        <f>CHOOSE(CONTROL!$C$42, 81.2823, 81.2823) * CHOOSE(CONTROL!$C$21, $C$9, 100%, $E$9)</f>
        <v>81.282300000000006</v>
      </c>
      <c r="F853" s="14">
        <f>CHOOSE(CONTROL!$C$42, 81.1836, 81.1836)*CHOOSE(CONTROL!$C$21, $C$9, 100%, $E$9)</f>
        <v>81.183599999999998</v>
      </c>
      <c r="G853" s="14">
        <f>CHOOSE(CONTROL!$C$42, 81.2, 81.2)*CHOOSE(CONTROL!$C$21, $C$9, 100%, $E$9)</f>
        <v>81.2</v>
      </c>
      <c r="H853" s="14">
        <f>CHOOSE(CONTROL!$C$42, 81.2715, 81.2715) * CHOOSE(CONTROL!$C$21, $C$9, 100%, $E$9)</f>
        <v>81.271500000000003</v>
      </c>
      <c r="I853" s="14">
        <f>CHOOSE(CONTROL!$C$42, 81.449, 81.449)* CHOOSE(CONTROL!$C$21, $C$9, 100%, $E$9)</f>
        <v>81.448999999999998</v>
      </c>
      <c r="J853" s="14">
        <f>CHOOSE(CONTROL!$C$42, 81.1766, 81.1766)* CHOOSE(CONTROL!$C$21, $C$9, 100%, $E$9)</f>
        <v>81.176599999999993</v>
      </c>
      <c r="K853" s="53">
        <f>CHOOSE(CONTROL!$C$42, 81.4451, 81.4451) * CHOOSE(CONTROL!$C$21, $C$9, 100%, $E$9)</f>
        <v>81.445099999999996</v>
      </c>
      <c r="L853" s="14">
        <f>CHOOSE(CONTROL!$C$42, 81.8585, 81.8585) * CHOOSE(CONTROL!$C$21, $C$9, 100%, $E$9)</f>
        <v>81.858500000000006</v>
      </c>
      <c r="M853" s="14">
        <f>CHOOSE(CONTROL!$C$42, 79.5211, 79.5211) * CHOOSE(CONTROL!$C$21, $C$9, 100%, $E$9)</f>
        <v>79.521100000000004</v>
      </c>
      <c r="N853" s="14">
        <f>CHOOSE(CONTROL!$C$42, 79.5371, 79.5371) * CHOOSE(CONTROL!$C$21, $C$9, 100%, $E$9)</f>
        <v>79.537099999999995</v>
      </c>
      <c r="O853" s="14">
        <f>CHOOSE(CONTROL!$C$42, 79.614, 79.614) * CHOOSE(CONTROL!$C$21, $C$9, 100%, $E$9)</f>
        <v>79.614000000000004</v>
      </c>
      <c r="P853" s="14">
        <f>CHOOSE(CONTROL!$C$42, 79.7828, 79.7828) * CHOOSE(CONTROL!$C$21, $C$9, 100%, $E$9)</f>
        <v>79.782799999999995</v>
      </c>
      <c r="Q853" s="14">
        <f>CHOOSE(CONTROL!$C$42, 80.2087, 80.2087) * CHOOSE(CONTROL!$C$21, $C$9, 100%, $E$9)</f>
        <v>80.208699999999993</v>
      </c>
      <c r="R853" s="14">
        <f>CHOOSE(CONTROL!$C$42, 80.9962, 80.9962) * CHOOSE(CONTROL!$C$21, $C$9, 100%, $E$9)</f>
        <v>80.996200000000002</v>
      </c>
      <c r="S853" s="14">
        <f>CHOOSE(CONTROL!$C$42, 78.0017, 78.0017) * CHOOSE(CONTROL!$C$21, $C$9, 100%, $E$9)</f>
        <v>78.0017</v>
      </c>
      <c r="T8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7">
        <f>(1000*CHOOSE(CONTROL!$C$42, 695, 695)*CHOOSE(CONTROL!$C$42, 0.5599, 0.5599)*CHOOSE(CONTROL!$C$42, 31, 31))/1000000</f>
        <v>12.063045499999998</v>
      </c>
      <c r="V853" s="57">
        <f>(1000*CHOOSE(CONTROL!$C$42, 500, 500)*CHOOSE(CONTROL!$C$42, 0.275, 0.275)*CHOOSE(CONTROL!$C$42, 31, 31))/1000000</f>
        <v>4.2625000000000002</v>
      </c>
      <c r="W853" s="57">
        <f>(1000*CHOOSE(CONTROL!$C$42, 0.1146, 0.1146)*CHOOSE(CONTROL!$C$42, 121.5, 121.5)*CHOOSE(CONTROL!$C$42, 31, 31))/1000000</f>
        <v>0.43164089999999994</v>
      </c>
      <c r="X853" s="57">
        <f>(31*0.1790888*100000/1000000)+(31*0.2374*100000/1000000)</f>
        <v>1.2911152800000001</v>
      </c>
      <c r="Y853" s="57"/>
      <c r="Z853" s="14"/>
      <c r="AA853" s="56"/>
      <c r="AB853" s="50">
        <f>(B853*122.58+C853*297.941+D853*89.177+E853*40.302+F853*40+G853*160+H853*0+I853*100+J853*300)/(122.58+297.941+89.177+40.302+0+40+160+100+300)</f>
        <v>81.217252704000003</v>
      </c>
      <c r="AC853" s="45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79.601781294964027</v>
      </c>
    </row>
    <row r="854" spans="1:29" ht="15.75" x14ac:dyDescent="0.25">
      <c r="A854" s="32">
        <v>66900</v>
      </c>
      <c r="B854" s="14">
        <f>CHOOSE(CONTROL!$C$42, 82.6295, 82.6295) * CHOOSE(CONTROL!$C$21, $C$9, 100%, $E$9)</f>
        <v>82.629499999999993</v>
      </c>
      <c r="C854" s="14">
        <f>CHOOSE(CONTROL!$C$42, 82.6346, 82.6346) * CHOOSE(CONTROL!$C$21, $C$9, 100%, $E$9)</f>
        <v>82.634600000000006</v>
      </c>
      <c r="D854" s="14">
        <f>CHOOSE(CONTROL!$C$42, 82.6932, 82.6932) * CHOOSE(CONTROL!$C$21, $C$9, 100%, $E$9)</f>
        <v>82.693200000000004</v>
      </c>
      <c r="E854" s="14">
        <f>CHOOSE(CONTROL!$C$42, 82.7273, 82.7273) * CHOOSE(CONTROL!$C$21, $C$9, 100%, $E$9)</f>
        <v>82.7273</v>
      </c>
      <c r="F854" s="14">
        <f>CHOOSE(CONTROL!$C$42, 82.6286, 82.6286)*CHOOSE(CONTROL!$C$21, $C$9, 100%, $E$9)</f>
        <v>82.628600000000006</v>
      </c>
      <c r="G854" s="14">
        <f>CHOOSE(CONTROL!$C$42, 82.645, 82.645)*CHOOSE(CONTROL!$C$21, $C$9, 100%, $E$9)</f>
        <v>82.644999999999996</v>
      </c>
      <c r="H854" s="14">
        <f>CHOOSE(CONTROL!$C$42, 82.7165, 82.7165) * CHOOSE(CONTROL!$C$21, $C$9, 100%, $E$9)</f>
        <v>82.716499999999996</v>
      </c>
      <c r="I854" s="14">
        <f>CHOOSE(CONTROL!$C$42, 82.8986, 82.8986)* CHOOSE(CONTROL!$C$21, $C$9, 100%, $E$9)</f>
        <v>82.898600000000002</v>
      </c>
      <c r="J854" s="14">
        <f>CHOOSE(CONTROL!$C$42, 82.6216, 82.6216)* CHOOSE(CONTROL!$C$21, $C$9, 100%, $E$9)</f>
        <v>82.621600000000001</v>
      </c>
      <c r="K854" s="53">
        <f>CHOOSE(CONTROL!$C$42, 82.8947, 82.8947) * CHOOSE(CONTROL!$C$21, $C$9, 100%, $E$9)</f>
        <v>82.8947</v>
      </c>
      <c r="L854" s="14">
        <f>CHOOSE(CONTROL!$C$42, 83.3035, 83.3035) * CHOOSE(CONTROL!$C$21, $C$9, 100%, $E$9)</f>
        <v>83.3035</v>
      </c>
      <c r="M854" s="14">
        <f>CHOOSE(CONTROL!$C$42, 80.9365, 80.9365) * CHOOSE(CONTROL!$C$21, $C$9, 100%, $E$9)</f>
        <v>80.936499999999995</v>
      </c>
      <c r="N854" s="14">
        <f>CHOOSE(CONTROL!$C$42, 80.9525, 80.9525) * CHOOSE(CONTROL!$C$21, $C$9, 100%, $E$9)</f>
        <v>80.952500000000001</v>
      </c>
      <c r="O854" s="14">
        <f>CHOOSE(CONTROL!$C$42, 81.0294, 81.0294) * CHOOSE(CONTROL!$C$21, $C$9, 100%, $E$9)</f>
        <v>81.029399999999995</v>
      </c>
      <c r="P854" s="14">
        <f>CHOOSE(CONTROL!$C$42, 81.2026, 81.2026) * CHOOSE(CONTROL!$C$21, $C$9, 100%, $E$9)</f>
        <v>81.202600000000004</v>
      </c>
      <c r="Q854" s="14">
        <f>CHOOSE(CONTROL!$C$42, 81.6241, 81.6241) * CHOOSE(CONTROL!$C$21, $C$9, 100%, $E$9)</f>
        <v>81.624099999999999</v>
      </c>
      <c r="R854" s="14">
        <f>CHOOSE(CONTROL!$C$42, 82.4152, 82.4152) * CHOOSE(CONTROL!$C$21, $C$9, 100%, $E$9)</f>
        <v>82.415199999999999</v>
      </c>
      <c r="S854" s="14">
        <f>CHOOSE(CONTROL!$C$42, 79.3902, 79.3902) * CHOOSE(CONTROL!$C$21, $C$9, 100%, $E$9)</f>
        <v>79.390199999999993</v>
      </c>
      <c r="T8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7">
        <f>(1000*CHOOSE(CONTROL!$C$42, 695, 695)*CHOOSE(CONTROL!$C$42, 0.5599, 0.5599)*CHOOSE(CONTROL!$C$42, 28, 28))/1000000</f>
        <v>10.895653999999999</v>
      </c>
      <c r="V854" s="57">
        <f>(1000*CHOOSE(CONTROL!$C$42, 500, 500)*CHOOSE(CONTROL!$C$42, 0.275, 0.275)*CHOOSE(CONTROL!$C$42, 28, 28))/1000000</f>
        <v>3.85</v>
      </c>
      <c r="W854" s="57">
        <f>(1000*CHOOSE(CONTROL!$C$42, 0.1146, 0.1146)*CHOOSE(CONTROL!$C$42, 121.5, 121.5)*CHOOSE(CONTROL!$C$42, 28, 28))/1000000</f>
        <v>0.38986920000000003</v>
      </c>
      <c r="X854" s="57">
        <f>(28*0.1790888*100000/1000000)+(28*0.2374*100000/1000000)</f>
        <v>1.16616864</v>
      </c>
      <c r="Y854" s="57"/>
      <c r="Z854" s="14"/>
      <c r="AA854" s="56"/>
      <c r="AB854" s="50">
        <f>(B854*122.58+C854*297.941+D854*89.177+E854*40.302+F854*40+G854*160+H854*0+I854*100+J854*300)/(122.58+297.941+89.177+40.302+0+40+160+100+300)</f>
        <v>82.662652703999996</v>
      </c>
      <c r="AC854" s="45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81.017814388489214</v>
      </c>
    </row>
    <row r="855" spans="1:29" ht="15.75" x14ac:dyDescent="0.25">
      <c r="A855" s="32">
        <v>66931</v>
      </c>
      <c r="B855" s="14">
        <f>CHOOSE(CONTROL!$C$42, 80.2839, 80.2839) * CHOOSE(CONTROL!$C$21, $C$9, 100%, $E$9)</f>
        <v>80.283900000000003</v>
      </c>
      <c r="C855" s="14">
        <f>CHOOSE(CONTROL!$C$42, 80.289, 80.289) * CHOOSE(CONTROL!$C$21, $C$9, 100%, $E$9)</f>
        <v>80.289000000000001</v>
      </c>
      <c r="D855" s="14">
        <f>CHOOSE(CONTROL!$C$42, 80.3476, 80.3476) * CHOOSE(CONTROL!$C$21, $C$9, 100%, $E$9)</f>
        <v>80.3476</v>
      </c>
      <c r="E855" s="14">
        <f>CHOOSE(CONTROL!$C$42, 80.3817, 80.3817) * CHOOSE(CONTROL!$C$21, $C$9, 100%, $E$9)</f>
        <v>80.381699999999995</v>
      </c>
      <c r="F855" s="14">
        <f>CHOOSE(CONTROL!$C$42, 80.2825, 80.2825)*CHOOSE(CONTROL!$C$21, $C$9, 100%, $E$9)</f>
        <v>80.282499999999999</v>
      </c>
      <c r="G855" s="14">
        <f>CHOOSE(CONTROL!$C$42, 80.2987, 80.2987)*CHOOSE(CONTROL!$C$21, $C$9, 100%, $E$9)</f>
        <v>80.298699999999997</v>
      </c>
      <c r="H855" s="14">
        <f>CHOOSE(CONTROL!$C$42, 80.3709, 80.3709) * CHOOSE(CONTROL!$C$21, $C$9, 100%, $E$9)</f>
        <v>80.370900000000006</v>
      </c>
      <c r="I855" s="14">
        <f>CHOOSE(CONTROL!$C$42, 80.5456, 80.5456)* CHOOSE(CONTROL!$C$21, $C$9, 100%, $E$9)</f>
        <v>80.545599999999993</v>
      </c>
      <c r="J855" s="14">
        <f>CHOOSE(CONTROL!$C$42, 80.2755, 80.2755)* CHOOSE(CONTROL!$C$21, $C$9, 100%, $E$9)</f>
        <v>80.275499999999994</v>
      </c>
      <c r="K855" s="53">
        <f>CHOOSE(CONTROL!$C$42, 80.5417, 80.5417) * CHOOSE(CONTROL!$C$21, $C$9, 100%, $E$9)</f>
        <v>80.541700000000006</v>
      </c>
      <c r="L855" s="14">
        <f>CHOOSE(CONTROL!$C$42, 80.9579, 80.9579) * CHOOSE(CONTROL!$C$21, $C$9, 100%, $E$9)</f>
        <v>80.957899999999995</v>
      </c>
      <c r="M855" s="14">
        <f>CHOOSE(CONTROL!$C$42, 78.6384, 78.6384) * CHOOSE(CONTROL!$C$21, $C$9, 100%, $E$9)</f>
        <v>78.638400000000004</v>
      </c>
      <c r="N855" s="14">
        <f>CHOOSE(CONTROL!$C$42, 78.6543, 78.6543) * CHOOSE(CONTROL!$C$21, $C$9, 100%, $E$9)</f>
        <v>78.654300000000006</v>
      </c>
      <c r="O855" s="14">
        <f>CHOOSE(CONTROL!$C$42, 78.7318, 78.7318) * CHOOSE(CONTROL!$C$21, $C$9, 100%, $E$9)</f>
        <v>78.731800000000007</v>
      </c>
      <c r="P855" s="14">
        <f>CHOOSE(CONTROL!$C$42, 78.898, 78.898) * CHOOSE(CONTROL!$C$21, $C$9, 100%, $E$9)</f>
        <v>78.897999999999996</v>
      </c>
      <c r="Q855" s="14">
        <f>CHOOSE(CONTROL!$C$42, 79.3265, 79.3265) * CHOOSE(CONTROL!$C$21, $C$9, 100%, $E$9)</f>
        <v>79.326499999999996</v>
      </c>
      <c r="R855" s="14">
        <f>CHOOSE(CONTROL!$C$42, 80.1118, 80.1118) * CHOOSE(CONTROL!$C$21, $C$9, 100%, $E$9)</f>
        <v>80.111800000000002</v>
      </c>
      <c r="S855" s="14">
        <f>CHOOSE(CONTROL!$C$42, 77.1363, 77.1363) * CHOOSE(CONTROL!$C$21, $C$9, 100%, $E$9)</f>
        <v>77.136300000000006</v>
      </c>
      <c r="T8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7">
        <f>(1000*CHOOSE(CONTROL!$C$42, 695, 695)*CHOOSE(CONTROL!$C$42, 0.5599, 0.5599)*CHOOSE(CONTROL!$C$42, 31, 31))/1000000</f>
        <v>12.063045499999998</v>
      </c>
      <c r="V855" s="57">
        <f>(1000*CHOOSE(CONTROL!$C$42, 500, 500)*CHOOSE(CONTROL!$C$42, 0.275, 0.275)*CHOOSE(CONTROL!$C$42, 31, 31))/1000000</f>
        <v>4.2625000000000002</v>
      </c>
      <c r="W855" s="57">
        <f>(1000*CHOOSE(CONTROL!$C$42, 0.1146, 0.1146)*CHOOSE(CONTROL!$C$42, 121.5, 121.5)*CHOOSE(CONTROL!$C$42, 31, 31))/1000000</f>
        <v>0.43164089999999994</v>
      </c>
      <c r="X855" s="57">
        <f>(31*0.1790888*100000/1000000)+(31*0.2374*100000/1000000)</f>
        <v>1.2911152800000001</v>
      </c>
      <c r="Y855" s="57"/>
      <c r="Z855" s="14"/>
      <c r="AA855" s="56"/>
      <c r="AB855" s="50">
        <f>(B855*122.58+C855*297.941+D855*89.177+E855*40.302+F855*40+G855*160+H855*0+I855*100+J855*300)/(122.58+297.941+89.177+40.302+0+40+160+100+300)</f>
        <v>80.316164008347826</v>
      </c>
      <c r="AC855" s="45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78.719000000000008</v>
      </c>
    </row>
    <row r="856" spans="1:29" ht="15.75" x14ac:dyDescent="0.25">
      <c r="A856" s="32">
        <v>66961</v>
      </c>
      <c r="B856" s="14">
        <f>CHOOSE(CONTROL!$C$42, 80.0447, 80.0447) * CHOOSE(CONTROL!$C$21, $C$9, 100%, $E$9)</f>
        <v>80.044700000000006</v>
      </c>
      <c r="C856" s="14">
        <f>CHOOSE(CONTROL!$C$42, 80.0492, 80.0492) * CHOOSE(CONTROL!$C$21, $C$9, 100%, $E$9)</f>
        <v>80.049199999999999</v>
      </c>
      <c r="D856" s="14">
        <f>CHOOSE(CONTROL!$C$42, 80.2573, 80.2573) * CHOOSE(CONTROL!$C$21, $C$9, 100%, $E$9)</f>
        <v>80.257300000000001</v>
      </c>
      <c r="E856" s="14">
        <f>CHOOSE(CONTROL!$C$42, 80.2894, 80.2894) * CHOOSE(CONTROL!$C$21, $C$9, 100%, $E$9)</f>
        <v>80.289400000000001</v>
      </c>
      <c r="F856" s="14">
        <f>CHOOSE(CONTROL!$C$42, 80.0321, 80.0321)*CHOOSE(CONTROL!$C$21, $C$9, 100%, $E$9)</f>
        <v>80.0321</v>
      </c>
      <c r="G856" s="14">
        <f>CHOOSE(CONTROL!$C$42, 80.048, 80.048)*CHOOSE(CONTROL!$C$21, $C$9, 100%, $E$9)</f>
        <v>80.048000000000002</v>
      </c>
      <c r="H856" s="14">
        <f>CHOOSE(CONTROL!$C$42, 80.2792, 80.2792) * CHOOSE(CONTROL!$C$21, $C$9, 100%, $E$9)</f>
        <v>80.279200000000003</v>
      </c>
      <c r="I856" s="14">
        <f>CHOOSE(CONTROL!$C$42, 80.3049, 80.3049)* CHOOSE(CONTROL!$C$21, $C$9, 100%, $E$9)</f>
        <v>80.304900000000004</v>
      </c>
      <c r="J856" s="14">
        <f>CHOOSE(CONTROL!$C$42, 80.0251, 80.0251)* CHOOSE(CONTROL!$C$21, $C$9, 100%, $E$9)</f>
        <v>80.025099999999995</v>
      </c>
      <c r="K856" s="53">
        <f>CHOOSE(CONTROL!$C$42, 80.301, 80.301) * CHOOSE(CONTROL!$C$21, $C$9, 100%, $E$9)</f>
        <v>80.301000000000002</v>
      </c>
      <c r="L856" s="14">
        <f>CHOOSE(CONTROL!$C$42, 80.8662, 80.8662) * CHOOSE(CONTROL!$C$21, $C$9, 100%, $E$9)</f>
        <v>80.866200000000006</v>
      </c>
      <c r="M856" s="14">
        <f>CHOOSE(CONTROL!$C$42, 78.3931, 78.3931) * CHOOSE(CONTROL!$C$21, $C$9, 100%, $E$9)</f>
        <v>78.393100000000004</v>
      </c>
      <c r="N856" s="14">
        <f>CHOOSE(CONTROL!$C$42, 78.4087, 78.4087) * CHOOSE(CONTROL!$C$21, $C$9, 100%, $E$9)</f>
        <v>78.408699999999996</v>
      </c>
      <c r="O856" s="14">
        <f>CHOOSE(CONTROL!$C$42, 78.642, 78.642) * CHOOSE(CONTROL!$C$21, $C$9, 100%, $E$9)</f>
        <v>78.641999999999996</v>
      </c>
      <c r="P856" s="14">
        <f>CHOOSE(CONTROL!$C$42, 78.6622, 78.6622) * CHOOSE(CONTROL!$C$21, $C$9, 100%, $E$9)</f>
        <v>78.662199999999999</v>
      </c>
      <c r="Q856" s="14">
        <f>CHOOSE(CONTROL!$C$42, 79.2367, 79.2367) * CHOOSE(CONTROL!$C$21, $C$9, 100%, $E$9)</f>
        <v>79.236699999999999</v>
      </c>
      <c r="R856" s="14">
        <f>CHOOSE(CONTROL!$C$42, 80.0218, 80.0218) * CHOOSE(CONTROL!$C$21, $C$9, 100%, $E$9)</f>
        <v>80.021799999999999</v>
      </c>
      <c r="S856" s="14">
        <f>CHOOSE(CONTROL!$C$42, 76.9057, 76.9057) * CHOOSE(CONTROL!$C$21, $C$9, 100%, $E$9)</f>
        <v>76.905699999999996</v>
      </c>
      <c r="T8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7">
        <f>(1000*CHOOSE(CONTROL!$C$42, 695, 695)*CHOOSE(CONTROL!$C$42, 0.5599, 0.5599)*CHOOSE(CONTROL!$C$42, 30, 30))/1000000</f>
        <v>11.673914999999997</v>
      </c>
      <c r="V856" s="57">
        <f>(1000*CHOOSE(CONTROL!$C$42, 500, 500)*CHOOSE(CONTROL!$C$42, 0.275, 0.275)*CHOOSE(CONTROL!$C$42, 30, 30))/1000000</f>
        <v>4.125</v>
      </c>
      <c r="W856" s="57">
        <f>(1000*CHOOSE(CONTROL!$C$42, 0.1146, 0.1146)*CHOOSE(CONTROL!$C$42, 121.5, 121.5)*CHOOSE(CONTROL!$C$42, 30, 30))/1000000</f>
        <v>0.417717</v>
      </c>
      <c r="X856" s="57">
        <f>(30*0.1790888*245000/1000000)+(30*0.2374*100000/1000000)</f>
        <v>2.0285026799999999</v>
      </c>
      <c r="Y856" s="57"/>
      <c r="Z856" s="14"/>
      <c r="AA856" s="56"/>
      <c r="AB856" s="50">
        <f>(B856*141.293+C856*267.993+D856*115.016+E856*89.698+F856*40+G856*185+H856*0+I856*100+J856*300)/(141.293+267.993+115.016+89.698+0+40+185+100+300)</f>
        <v>80.099465109523805</v>
      </c>
      <c r="AC856" s="45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78.545528057553966</v>
      </c>
    </row>
    <row r="857" spans="1:29" ht="15.75" x14ac:dyDescent="0.25">
      <c r="A857" s="32">
        <v>66992</v>
      </c>
      <c r="B857" s="14">
        <f>CHOOSE(CONTROL!$C$42, 80.7525, 80.7525) * CHOOSE(CONTROL!$C$21, $C$9, 100%, $E$9)</f>
        <v>80.752499999999998</v>
      </c>
      <c r="C857" s="14">
        <f>CHOOSE(CONTROL!$C$42, 80.7605, 80.7605) * CHOOSE(CONTROL!$C$21, $C$9, 100%, $E$9)</f>
        <v>80.760499999999993</v>
      </c>
      <c r="D857" s="14">
        <f>CHOOSE(CONTROL!$C$42, 80.9655, 80.9655) * CHOOSE(CONTROL!$C$21, $C$9, 100%, $E$9)</f>
        <v>80.965500000000006</v>
      </c>
      <c r="E857" s="14">
        <f>CHOOSE(CONTROL!$C$42, 80.997, 80.997) * CHOOSE(CONTROL!$C$21, $C$9, 100%, $E$9)</f>
        <v>80.997</v>
      </c>
      <c r="F857" s="14">
        <f>CHOOSE(CONTROL!$C$42, 80.7387, 80.7387)*CHOOSE(CONTROL!$C$21, $C$9, 100%, $E$9)</f>
        <v>80.738699999999994</v>
      </c>
      <c r="G857" s="14">
        <f>CHOOSE(CONTROL!$C$42, 80.7551, 80.7551)*CHOOSE(CONTROL!$C$21, $C$9, 100%, $E$9)</f>
        <v>80.755099999999999</v>
      </c>
      <c r="H857" s="14">
        <f>CHOOSE(CONTROL!$C$42, 80.9856, 80.9856) * CHOOSE(CONTROL!$C$21, $C$9, 100%, $E$9)</f>
        <v>80.985600000000005</v>
      </c>
      <c r="I857" s="14">
        <f>CHOOSE(CONTROL!$C$42, 81.0135, 81.0135)* CHOOSE(CONTROL!$C$21, $C$9, 100%, $E$9)</f>
        <v>81.013499999999993</v>
      </c>
      <c r="J857" s="14">
        <f>CHOOSE(CONTROL!$C$42, 80.7317, 80.7317)* CHOOSE(CONTROL!$C$21, $C$9, 100%, $E$9)</f>
        <v>80.731700000000004</v>
      </c>
      <c r="K857" s="53">
        <f>CHOOSE(CONTROL!$C$42, 81.0096, 81.0096) * CHOOSE(CONTROL!$C$21, $C$9, 100%, $E$9)</f>
        <v>81.009600000000006</v>
      </c>
      <c r="L857" s="14">
        <f>CHOOSE(CONTROL!$C$42, 81.5726, 81.5726) * CHOOSE(CONTROL!$C$21, $C$9, 100%, $E$9)</f>
        <v>81.572599999999994</v>
      </c>
      <c r="M857" s="14">
        <f>CHOOSE(CONTROL!$C$42, 79.0853, 79.0853) * CHOOSE(CONTROL!$C$21, $C$9, 100%, $E$9)</f>
        <v>79.085300000000004</v>
      </c>
      <c r="N857" s="14">
        <f>CHOOSE(CONTROL!$C$42, 79.1013, 79.1013) * CHOOSE(CONTROL!$C$21, $C$9, 100%, $E$9)</f>
        <v>79.101299999999995</v>
      </c>
      <c r="O857" s="14">
        <f>CHOOSE(CONTROL!$C$42, 79.334, 79.334) * CHOOSE(CONTROL!$C$21, $C$9, 100%, $E$9)</f>
        <v>79.334000000000003</v>
      </c>
      <c r="P857" s="14">
        <f>CHOOSE(CONTROL!$C$42, 79.3562, 79.3562) * CHOOSE(CONTROL!$C$21, $C$9, 100%, $E$9)</f>
        <v>79.356200000000001</v>
      </c>
      <c r="Q857" s="14">
        <f>CHOOSE(CONTROL!$C$42, 79.9287, 79.9287) * CHOOSE(CONTROL!$C$21, $C$9, 100%, $E$9)</f>
        <v>79.928700000000006</v>
      </c>
      <c r="R857" s="14">
        <f>CHOOSE(CONTROL!$C$42, 80.7155, 80.7155) * CHOOSE(CONTROL!$C$21, $C$9, 100%, $E$9)</f>
        <v>80.715500000000006</v>
      </c>
      <c r="S857" s="14">
        <f>CHOOSE(CONTROL!$C$42, 77.5845, 77.5845) * CHOOSE(CONTROL!$C$21, $C$9, 100%, $E$9)</f>
        <v>77.584500000000006</v>
      </c>
      <c r="T8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7">
        <f>(1000*CHOOSE(CONTROL!$C$42, 695, 695)*CHOOSE(CONTROL!$C$42, 0.5599, 0.5599)*CHOOSE(CONTROL!$C$42, 31, 31))/1000000</f>
        <v>12.063045499999998</v>
      </c>
      <c r="V857" s="57">
        <f>(1000*CHOOSE(CONTROL!$C$42, 500, 500)*CHOOSE(CONTROL!$C$42, 0.275, 0.275)*CHOOSE(CONTROL!$C$42, 31, 31))/1000000</f>
        <v>4.2625000000000002</v>
      </c>
      <c r="W857" s="57">
        <f>(1000*CHOOSE(CONTROL!$C$42, 0.1146, 0.1146)*CHOOSE(CONTROL!$C$42, 121.5, 121.5)*CHOOSE(CONTROL!$C$42, 31, 31))/1000000</f>
        <v>0.43164089999999994</v>
      </c>
      <c r="X857" s="57">
        <f>(31*0.1790888*245000/1000000)+(31*0.2374*100000/1000000)</f>
        <v>2.0961194359999999</v>
      </c>
      <c r="Y857" s="57"/>
      <c r="Z857" s="14"/>
      <c r="AA857" s="56"/>
      <c r="AB857" s="50">
        <f>(B857*194.205+C857*267.466+D857*133.845+E857*53.484+F857*40+G857*185+H857*0+I857*100+J857*300)/(194.205+267.466+133.845+53.484+0+40+185+100+300)</f>
        <v>80.802354435635792</v>
      </c>
      <c r="AC857" s="45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79.237919424460443</v>
      </c>
    </row>
    <row r="858" spans="1:29" ht="15.75" x14ac:dyDescent="0.25">
      <c r="A858" s="32">
        <v>67022</v>
      </c>
      <c r="B858" s="14">
        <f>CHOOSE(CONTROL!$C$42, 83.0428, 83.0428) * CHOOSE(CONTROL!$C$21, $C$9, 100%, $E$9)</f>
        <v>83.0428</v>
      </c>
      <c r="C858" s="14">
        <f>CHOOSE(CONTROL!$C$42, 83.0509, 83.0509) * CHOOSE(CONTROL!$C$21, $C$9, 100%, $E$9)</f>
        <v>83.050899999999999</v>
      </c>
      <c r="D858" s="14">
        <f>CHOOSE(CONTROL!$C$42, 83.2558, 83.2558) * CHOOSE(CONTROL!$C$21, $C$9, 100%, $E$9)</f>
        <v>83.255799999999994</v>
      </c>
      <c r="E858" s="14">
        <f>CHOOSE(CONTROL!$C$42, 83.2873, 83.2873) * CHOOSE(CONTROL!$C$21, $C$9, 100%, $E$9)</f>
        <v>83.287300000000002</v>
      </c>
      <c r="F858" s="14">
        <f>CHOOSE(CONTROL!$C$42, 83.0294, 83.0294)*CHOOSE(CONTROL!$C$21, $C$9, 100%, $E$9)</f>
        <v>83.029399999999995</v>
      </c>
      <c r="G858" s="14">
        <f>CHOOSE(CONTROL!$C$42, 83.0459, 83.0459)*CHOOSE(CONTROL!$C$21, $C$9, 100%, $E$9)</f>
        <v>83.045900000000003</v>
      </c>
      <c r="H858" s="14">
        <f>CHOOSE(CONTROL!$C$42, 83.2759, 83.2759) * CHOOSE(CONTROL!$C$21, $C$9, 100%, $E$9)</f>
        <v>83.275899999999993</v>
      </c>
      <c r="I858" s="14">
        <f>CHOOSE(CONTROL!$C$42, 83.311, 83.311)* CHOOSE(CONTROL!$C$21, $C$9, 100%, $E$9)</f>
        <v>83.311000000000007</v>
      </c>
      <c r="J858" s="14">
        <f>CHOOSE(CONTROL!$C$42, 83.0224, 83.0224)* CHOOSE(CONTROL!$C$21, $C$9, 100%, $E$9)</f>
        <v>83.022400000000005</v>
      </c>
      <c r="K858" s="53">
        <f>CHOOSE(CONTROL!$C$42, 83.3071, 83.3071) * CHOOSE(CONTROL!$C$21, $C$9, 100%, $E$9)</f>
        <v>83.307100000000005</v>
      </c>
      <c r="L858" s="14">
        <f>CHOOSE(CONTROL!$C$42, 83.8629, 83.8629) * CHOOSE(CONTROL!$C$21, $C$9, 100%, $E$9)</f>
        <v>83.862899999999996</v>
      </c>
      <c r="M858" s="14">
        <f>CHOOSE(CONTROL!$C$42, 81.329, 81.329) * CHOOSE(CONTROL!$C$21, $C$9, 100%, $E$9)</f>
        <v>81.328999999999994</v>
      </c>
      <c r="N858" s="14">
        <f>CHOOSE(CONTROL!$C$42, 81.3452, 81.3452) * CHOOSE(CONTROL!$C$21, $C$9, 100%, $E$9)</f>
        <v>81.345200000000006</v>
      </c>
      <c r="O858" s="14">
        <f>CHOOSE(CONTROL!$C$42, 81.5774, 81.5774) * CHOOSE(CONTROL!$C$21, $C$9, 100%, $E$9)</f>
        <v>81.577399999999997</v>
      </c>
      <c r="P858" s="14">
        <f>CHOOSE(CONTROL!$C$42, 81.6065, 81.6065) * CHOOSE(CONTROL!$C$21, $C$9, 100%, $E$9)</f>
        <v>81.606499999999997</v>
      </c>
      <c r="Q858" s="14">
        <f>CHOOSE(CONTROL!$C$42, 82.1721, 82.1721) * CHOOSE(CONTROL!$C$21, $C$9, 100%, $E$9)</f>
        <v>82.1721</v>
      </c>
      <c r="R858" s="14">
        <f>CHOOSE(CONTROL!$C$42, 82.9645, 82.9645) * CHOOSE(CONTROL!$C$21, $C$9, 100%, $E$9)</f>
        <v>82.964500000000001</v>
      </c>
      <c r="S858" s="14">
        <f>CHOOSE(CONTROL!$C$42, 79.7852, 79.7852) * CHOOSE(CONTROL!$C$21, $C$9, 100%, $E$9)</f>
        <v>79.785200000000003</v>
      </c>
      <c r="T8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7">
        <f>(1000*CHOOSE(CONTROL!$C$42, 695, 695)*CHOOSE(CONTROL!$C$42, 0.5599, 0.5599)*CHOOSE(CONTROL!$C$42, 30, 30))/1000000</f>
        <v>11.673914999999997</v>
      </c>
      <c r="V858" s="57">
        <f>(1000*CHOOSE(CONTROL!$C$42, 500, 500)*CHOOSE(CONTROL!$C$42, 0.275, 0.275)*CHOOSE(CONTROL!$C$42, 30, 30))/1000000</f>
        <v>4.125</v>
      </c>
      <c r="W858" s="57">
        <f>(1000*CHOOSE(CONTROL!$C$42, 0.1146, 0.1146)*CHOOSE(CONTROL!$C$42, 121.5, 121.5)*CHOOSE(CONTROL!$C$42, 30, 30))/1000000</f>
        <v>0.417717</v>
      </c>
      <c r="X858" s="57">
        <f>(30*0.1790888*245000/1000000)+(30*0.2374*100000/1000000)</f>
        <v>2.0285026799999999</v>
      </c>
      <c r="Y858" s="57"/>
      <c r="Z858" s="14"/>
      <c r="AA858" s="56"/>
      <c r="AB858" s="50">
        <f>(B858*194.205+C858*267.466+D858*133.845+E858*53.484+F858*40+G858*185+H858*0+I858*100+J858*300)/(194.205+267.466+133.845+53.484+0+40+185+100+300)</f>
        <v>83.093419935321819</v>
      </c>
      <c r="AC858" s="45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81.482444604316541</v>
      </c>
    </row>
    <row r="859" spans="1:29" ht="15.75" x14ac:dyDescent="0.25">
      <c r="A859" s="32">
        <v>67053</v>
      </c>
      <c r="B859" s="14">
        <f>CHOOSE(CONTROL!$C$42, 81.4499, 81.4499) * CHOOSE(CONTROL!$C$21, $C$9, 100%, $E$9)</f>
        <v>81.4499</v>
      </c>
      <c r="C859" s="14">
        <f>CHOOSE(CONTROL!$C$42, 81.4579, 81.4579) * CHOOSE(CONTROL!$C$21, $C$9, 100%, $E$9)</f>
        <v>81.457899999999995</v>
      </c>
      <c r="D859" s="14">
        <f>CHOOSE(CONTROL!$C$42, 81.6629, 81.6629) * CHOOSE(CONTROL!$C$21, $C$9, 100%, $E$9)</f>
        <v>81.662899999999993</v>
      </c>
      <c r="E859" s="14">
        <f>CHOOSE(CONTROL!$C$42, 81.6944, 81.6944) * CHOOSE(CONTROL!$C$21, $C$9, 100%, $E$9)</f>
        <v>81.694400000000002</v>
      </c>
      <c r="F859" s="14">
        <f>CHOOSE(CONTROL!$C$42, 81.4369, 81.4369)*CHOOSE(CONTROL!$C$21, $C$9, 100%, $E$9)</f>
        <v>81.436899999999994</v>
      </c>
      <c r="G859" s="14">
        <f>CHOOSE(CONTROL!$C$42, 81.4535, 81.4535)*CHOOSE(CONTROL!$C$21, $C$9, 100%, $E$9)</f>
        <v>81.453500000000005</v>
      </c>
      <c r="H859" s="14">
        <f>CHOOSE(CONTROL!$C$42, 81.683, 81.683) * CHOOSE(CONTROL!$C$21, $C$9, 100%, $E$9)</f>
        <v>81.683000000000007</v>
      </c>
      <c r="I859" s="14">
        <f>CHOOSE(CONTROL!$C$42, 81.713, 81.713)* CHOOSE(CONTROL!$C$21, $C$9, 100%, $E$9)</f>
        <v>81.712999999999994</v>
      </c>
      <c r="J859" s="14">
        <f>CHOOSE(CONTROL!$C$42, 81.4299, 81.4299)* CHOOSE(CONTROL!$C$21, $C$9, 100%, $E$9)</f>
        <v>81.429900000000004</v>
      </c>
      <c r="K859" s="53">
        <f>CHOOSE(CONTROL!$C$42, 81.7091, 81.7091) * CHOOSE(CONTROL!$C$21, $C$9, 100%, $E$9)</f>
        <v>81.709100000000007</v>
      </c>
      <c r="L859" s="14">
        <f>CHOOSE(CONTROL!$C$42, 82.27, 82.27) * CHOOSE(CONTROL!$C$21, $C$9, 100%, $E$9)</f>
        <v>82.27</v>
      </c>
      <c r="M859" s="14">
        <f>CHOOSE(CONTROL!$C$42, 79.7691, 79.7691) * CHOOSE(CONTROL!$C$21, $C$9, 100%, $E$9)</f>
        <v>79.769099999999995</v>
      </c>
      <c r="N859" s="14">
        <f>CHOOSE(CONTROL!$C$42, 79.7854, 79.7854) * CHOOSE(CONTROL!$C$21, $C$9, 100%, $E$9)</f>
        <v>79.785399999999996</v>
      </c>
      <c r="O859" s="14">
        <f>CHOOSE(CONTROL!$C$42, 80.0171, 80.0171) * CHOOSE(CONTROL!$C$21, $C$9, 100%, $E$9)</f>
        <v>80.017099999999999</v>
      </c>
      <c r="P859" s="14">
        <f>CHOOSE(CONTROL!$C$42, 80.0414, 80.0414) * CHOOSE(CONTROL!$C$21, $C$9, 100%, $E$9)</f>
        <v>80.041399999999996</v>
      </c>
      <c r="Q859" s="14">
        <f>CHOOSE(CONTROL!$C$42, 80.6118, 80.6118) * CHOOSE(CONTROL!$C$21, $C$9, 100%, $E$9)</f>
        <v>80.611800000000002</v>
      </c>
      <c r="R859" s="14">
        <f>CHOOSE(CONTROL!$C$42, 81.4003, 81.4003) * CHOOSE(CONTROL!$C$21, $C$9, 100%, $E$9)</f>
        <v>81.400300000000001</v>
      </c>
      <c r="S859" s="14">
        <f>CHOOSE(CONTROL!$C$42, 78.2546, 78.2546) * CHOOSE(CONTROL!$C$21, $C$9, 100%, $E$9)</f>
        <v>78.254599999999996</v>
      </c>
      <c r="T8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7">
        <f>(1000*CHOOSE(CONTROL!$C$42, 695, 695)*CHOOSE(CONTROL!$C$42, 0.5599, 0.5599)*CHOOSE(CONTROL!$C$42, 31, 31))/1000000</f>
        <v>12.063045499999998</v>
      </c>
      <c r="V859" s="57">
        <f>(1000*CHOOSE(CONTROL!$C$42, 500, 500)*CHOOSE(CONTROL!$C$42, 0.275, 0.275)*CHOOSE(CONTROL!$C$42, 31, 31))/1000000</f>
        <v>4.2625000000000002</v>
      </c>
      <c r="W859" s="57">
        <f>(1000*CHOOSE(CONTROL!$C$42, 0.1146, 0.1146)*CHOOSE(CONTROL!$C$42, 121.5, 121.5)*CHOOSE(CONTROL!$C$42, 31, 31))/1000000</f>
        <v>0.43164089999999994</v>
      </c>
      <c r="X859" s="57">
        <f>(31*0.1790888*245000/1000000)+(31*0.2374*100000/1000000)</f>
        <v>2.0961194359999999</v>
      </c>
      <c r="Y859" s="57"/>
      <c r="Z859" s="14"/>
      <c r="AA859" s="56"/>
      <c r="AB859" s="50">
        <f>(B859*194.205+C859*267.466+D859*133.845+E859*53.484+F859*40+G859*185+H859*0+I859*100+J859*300)/(194.205+267.466+133.845+53.484+0+40+185+100+300)</f>
        <v>81.500277983516483</v>
      </c>
      <c r="AC859" s="45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79.921620863309357</v>
      </c>
    </row>
    <row r="860" spans="1:29" ht="15.75" x14ac:dyDescent="0.25">
      <c r="A860" s="32">
        <v>67084</v>
      </c>
      <c r="B860" s="14">
        <f>CHOOSE(CONTROL!$C$42, 77.4273, 77.4273) * CHOOSE(CONTROL!$C$21, $C$9, 100%, $E$9)</f>
        <v>77.427300000000002</v>
      </c>
      <c r="C860" s="14">
        <f>CHOOSE(CONTROL!$C$42, 77.4353, 77.4353) * CHOOSE(CONTROL!$C$21, $C$9, 100%, $E$9)</f>
        <v>77.435299999999998</v>
      </c>
      <c r="D860" s="14">
        <f>CHOOSE(CONTROL!$C$42, 77.6403, 77.6403) * CHOOSE(CONTROL!$C$21, $C$9, 100%, $E$9)</f>
        <v>77.640299999999996</v>
      </c>
      <c r="E860" s="14">
        <f>CHOOSE(CONTROL!$C$42, 77.6717, 77.6717) * CHOOSE(CONTROL!$C$21, $C$9, 100%, $E$9)</f>
        <v>77.671700000000001</v>
      </c>
      <c r="F860" s="14">
        <f>CHOOSE(CONTROL!$C$42, 77.4144, 77.4144)*CHOOSE(CONTROL!$C$21, $C$9, 100%, $E$9)</f>
        <v>77.414400000000001</v>
      </c>
      <c r="G860" s="14">
        <f>CHOOSE(CONTROL!$C$42, 77.4311, 77.4311)*CHOOSE(CONTROL!$C$21, $C$9, 100%, $E$9)</f>
        <v>77.431100000000001</v>
      </c>
      <c r="H860" s="14">
        <f>CHOOSE(CONTROL!$C$42, 77.6604, 77.6604) * CHOOSE(CONTROL!$C$21, $C$9, 100%, $E$9)</f>
        <v>77.660399999999996</v>
      </c>
      <c r="I860" s="14">
        <f>CHOOSE(CONTROL!$C$42, 77.6778, 77.6778)* CHOOSE(CONTROL!$C$21, $C$9, 100%, $E$9)</f>
        <v>77.677800000000005</v>
      </c>
      <c r="J860" s="14">
        <f>CHOOSE(CONTROL!$C$42, 77.4074, 77.4074)* CHOOSE(CONTROL!$C$21, $C$9, 100%, $E$9)</f>
        <v>77.407399999999996</v>
      </c>
      <c r="K860" s="53">
        <f>CHOOSE(CONTROL!$C$42, 77.6739, 77.6739) * CHOOSE(CONTROL!$C$21, $C$9, 100%, $E$9)</f>
        <v>77.673900000000003</v>
      </c>
      <c r="L860" s="14">
        <f>CHOOSE(CONTROL!$C$42, 78.2474, 78.2474) * CHOOSE(CONTROL!$C$21, $C$9, 100%, $E$9)</f>
        <v>78.247399999999999</v>
      </c>
      <c r="M860" s="14">
        <f>CHOOSE(CONTROL!$C$42, 75.8291, 75.8291) * CHOOSE(CONTROL!$C$21, $C$9, 100%, $E$9)</f>
        <v>75.829099999999997</v>
      </c>
      <c r="N860" s="14">
        <f>CHOOSE(CONTROL!$C$42, 75.8454, 75.8454) * CHOOSE(CONTROL!$C$21, $C$9, 100%, $E$9)</f>
        <v>75.845399999999998</v>
      </c>
      <c r="O860" s="14">
        <f>CHOOSE(CONTROL!$C$42, 76.0768, 76.0768) * CHOOSE(CONTROL!$C$21, $C$9, 100%, $E$9)</f>
        <v>76.076800000000006</v>
      </c>
      <c r="P860" s="14">
        <f>CHOOSE(CONTROL!$C$42, 76.0891, 76.0891) * CHOOSE(CONTROL!$C$21, $C$9, 100%, $E$9)</f>
        <v>76.089100000000002</v>
      </c>
      <c r="Q860" s="14">
        <f>CHOOSE(CONTROL!$C$42, 76.6715, 76.6715) * CHOOSE(CONTROL!$C$21, $C$9, 100%, $E$9)</f>
        <v>76.671499999999995</v>
      </c>
      <c r="R860" s="14">
        <f>CHOOSE(CONTROL!$C$42, 77.4502, 77.4502) * CHOOSE(CONTROL!$C$21, $C$9, 100%, $E$9)</f>
        <v>77.450199999999995</v>
      </c>
      <c r="S860" s="14">
        <f>CHOOSE(CONTROL!$C$42, 74.3892, 74.3892) * CHOOSE(CONTROL!$C$21, $C$9, 100%, $E$9)</f>
        <v>74.389200000000002</v>
      </c>
      <c r="T8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7">
        <f>(1000*CHOOSE(CONTROL!$C$42, 695, 695)*CHOOSE(CONTROL!$C$42, 0.5599, 0.5599)*CHOOSE(CONTROL!$C$42, 31, 31))/1000000</f>
        <v>12.063045499999998</v>
      </c>
      <c r="V860" s="57">
        <f>(1000*CHOOSE(CONTROL!$C$42, 500, 500)*CHOOSE(CONTROL!$C$42, 0.275, 0.275)*CHOOSE(CONTROL!$C$42, 31, 31))/1000000</f>
        <v>4.2625000000000002</v>
      </c>
      <c r="W860" s="57">
        <f>(1000*CHOOSE(CONTROL!$C$42, 0.1146, 0.1146)*CHOOSE(CONTROL!$C$42, 121.5, 121.5)*CHOOSE(CONTROL!$C$42, 31, 31))/1000000</f>
        <v>0.43164089999999994</v>
      </c>
      <c r="X860" s="57">
        <f>(31*0.1790888*245000/1000000)+(31*0.2374*100000/1000000)</f>
        <v>2.0961194359999999</v>
      </c>
      <c r="Y860" s="57"/>
      <c r="Z860" s="14"/>
      <c r="AA860" s="56"/>
      <c r="AB860" s="50">
        <f>(B860*194.205+C860*267.466+D860*133.845+E860*53.484+F860*40+G860*185+H860*0+I860*100+J860*300)/(194.205+267.466+133.845+53.484+0+40+185+100+300)</f>
        <v>77.476740504395607</v>
      </c>
      <c r="AC860" s="45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75.979715107913677</v>
      </c>
    </row>
    <row r="861" spans="1:29" ht="15.75" x14ac:dyDescent="0.25">
      <c r="A861" s="32">
        <v>67114</v>
      </c>
      <c r="B861" s="14">
        <f>CHOOSE(CONTROL!$C$42, 72.5119, 72.5119) * CHOOSE(CONTROL!$C$21, $C$9, 100%, $E$9)</f>
        <v>72.511899999999997</v>
      </c>
      <c r="C861" s="14">
        <f>CHOOSE(CONTROL!$C$42, 72.52, 72.52) * CHOOSE(CONTROL!$C$21, $C$9, 100%, $E$9)</f>
        <v>72.52</v>
      </c>
      <c r="D861" s="14">
        <f>CHOOSE(CONTROL!$C$42, 72.7249, 72.7249) * CHOOSE(CONTROL!$C$21, $C$9, 100%, $E$9)</f>
        <v>72.724900000000005</v>
      </c>
      <c r="E861" s="14">
        <f>CHOOSE(CONTROL!$C$42, 72.7564, 72.7564) * CHOOSE(CONTROL!$C$21, $C$9, 100%, $E$9)</f>
        <v>72.756399999999999</v>
      </c>
      <c r="F861" s="14">
        <f>CHOOSE(CONTROL!$C$42, 72.4991, 72.4991)*CHOOSE(CONTROL!$C$21, $C$9, 100%, $E$9)</f>
        <v>72.499099999999999</v>
      </c>
      <c r="G861" s="14">
        <f>CHOOSE(CONTROL!$C$42, 72.5158, 72.5158)*CHOOSE(CONTROL!$C$21, $C$9, 100%, $E$9)</f>
        <v>72.515799999999999</v>
      </c>
      <c r="H861" s="14">
        <f>CHOOSE(CONTROL!$C$42, 72.745, 72.745) * CHOOSE(CONTROL!$C$21, $C$9, 100%, $E$9)</f>
        <v>72.745000000000005</v>
      </c>
      <c r="I861" s="14">
        <f>CHOOSE(CONTROL!$C$42, 72.7471, 72.7471)* CHOOSE(CONTROL!$C$21, $C$9, 100%, $E$9)</f>
        <v>72.747100000000003</v>
      </c>
      <c r="J861" s="14">
        <f>CHOOSE(CONTROL!$C$42, 72.4921, 72.4921)* CHOOSE(CONTROL!$C$21, $C$9, 100%, $E$9)</f>
        <v>72.492099999999994</v>
      </c>
      <c r="K861" s="53">
        <f>CHOOSE(CONTROL!$C$42, 72.7432, 72.7432) * CHOOSE(CONTROL!$C$21, $C$9, 100%, $E$9)</f>
        <v>72.743200000000002</v>
      </c>
      <c r="L861" s="14">
        <f>CHOOSE(CONTROL!$C$42, 73.332, 73.332) * CHOOSE(CONTROL!$C$21, $C$9, 100%, $E$9)</f>
        <v>73.331999999999994</v>
      </c>
      <c r="M861" s="14">
        <f>CHOOSE(CONTROL!$C$42, 71.0145, 71.0145) * CHOOSE(CONTROL!$C$21, $C$9, 100%, $E$9)</f>
        <v>71.014499999999998</v>
      </c>
      <c r="N861" s="14">
        <f>CHOOSE(CONTROL!$C$42, 71.0308, 71.0308) * CHOOSE(CONTROL!$C$21, $C$9, 100%, $E$9)</f>
        <v>71.030799999999999</v>
      </c>
      <c r="O861" s="14">
        <f>CHOOSE(CONTROL!$C$42, 71.2622, 71.2622) * CHOOSE(CONTROL!$C$21, $C$9, 100%, $E$9)</f>
        <v>71.262200000000007</v>
      </c>
      <c r="P861" s="14">
        <f>CHOOSE(CONTROL!$C$42, 71.2598, 71.2598) * CHOOSE(CONTROL!$C$21, $C$9, 100%, $E$9)</f>
        <v>71.259799999999998</v>
      </c>
      <c r="Q861" s="14">
        <f>CHOOSE(CONTROL!$C$42, 71.8569, 71.8569) * CHOOSE(CONTROL!$C$21, $C$9, 100%, $E$9)</f>
        <v>71.856899999999996</v>
      </c>
      <c r="R861" s="14">
        <f>CHOOSE(CONTROL!$C$42, 72.6236, 72.6236) * CHOOSE(CONTROL!$C$21, $C$9, 100%, $E$9)</f>
        <v>72.623599999999996</v>
      </c>
      <c r="S861" s="14">
        <f>CHOOSE(CONTROL!$C$42, 69.6661, 69.6661) * CHOOSE(CONTROL!$C$21, $C$9, 100%, $E$9)</f>
        <v>69.6661</v>
      </c>
      <c r="T8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7">
        <f>(1000*CHOOSE(CONTROL!$C$42, 695, 695)*CHOOSE(CONTROL!$C$42, 0.5599, 0.5599)*CHOOSE(CONTROL!$C$42, 30, 30))/1000000</f>
        <v>11.673914999999997</v>
      </c>
      <c r="V861" s="57">
        <f>(1000*CHOOSE(CONTROL!$C$42, 500, 500)*CHOOSE(CONTROL!$C$42, 0.275, 0.275)*CHOOSE(CONTROL!$C$42, 30, 30))/1000000</f>
        <v>4.125</v>
      </c>
      <c r="W861" s="57">
        <f>(1000*CHOOSE(CONTROL!$C$42, 0.1146, 0.1146)*CHOOSE(CONTROL!$C$42, 121.5, 121.5)*CHOOSE(CONTROL!$C$42, 30, 30))/1000000</f>
        <v>0.417717</v>
      </c>
      <c r="X861" s="57">
        <f>(30*0.1790888*245000/1000000)+(30*0.2374*100000/1000000)</f>
        <v>2.0285026799999999</v>
      </c>
      <c r="Y861" s="57"/>
      <c r="Z861" s="14"/>
      <c r="AA861" s="56"/>
      <c r="AB861" s="50">
        <f>(B861*194.205+C861*267.466+D861*133.845+E861*53.484+F861*40+G861*185+H861*0+I861*100+J861*300)/(194.205+267.466+133.845+53.484+0+40+185+100+300)</f>
        <v>72.560205963579264</v>
      </c>
      <c r="AC861" s="45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71.163000000000011</v>
      </c>
    </row>
    <row r="862" spans="1:29" ht="15.75" x14ac:dyDescent="0.25">
      <c r="A862" s="32">
        <v>67145</v>
      </c>
      <c r="B862" s="14">
        <f>CHOOSE(CONTROL!$C$42, 71.0381, 71.0381) * CHOOSE(CONTROL!$C$21, $C$9, 100%, $E$9)</f>
        <v>71.0381</v>
      </c>
      <c r="C862" s="14">
        <f>CHOOSE(CONTROL!$C$42, 71.0435, 71.0435) * CHOOSE(CONTROL!$C$21, $C$9, 100%, $E$9)</f>
        <v>71.043499999999995</v>
      </c>
      <c r="D862" s="14">
        <f>CHOOSE(CONTROL!$C$42, 71.2534, 71.2534) * CHOOSE(CONTROL!$C$21, $C$9, 100%, $E$9)</f>
        <v>71.253399999999999</v>
      </c>
      <c r="E862" s="14">
        <f>CHOOSE(CONTROL!$C$42, 71.2825, 71.2825) * CHOOSE(CONTROL!$C$21, $C$9, 100%, $E$9)</f>
        <v>71.282499999999999</v>
      </c>
      <c r="F862" s="14">
        <f>CHOOSE(CONTROL!$C$42, 71.0274, 71.0274)*CHOOSE(CONTROL!$C$21, $C$9, 100%, $E$9)</f>
        <v>71.0274</v>
      </c>
      <c r="G862" s="14">
        <f>CHOOSE(CONTROL!$C$42, 71.0437, 71.0437)*CHOOSE(CONTROL!$C$21, $C$9, 100%, $E$9)</f>
        <v>71.043700000000001</v>
      </c>
      <c r="H862" s="14">
        <f>CHOOSE(CONTROL!$C$42, 71.273, 71.273) * CHOOSE(CONTROL!$C$21, $C$9, 100%, $E$9)</f>
        <v>71.272999999999996</v>
      </c>
      <c r="I862" s="14">
        <f>CHOOSE(CONTROL!$C$42, 71.2704, 71.2704)* CHOOSE(CONTROL!$C$21, $C$9, 100%, $E$9)</f>
        <v>71.270399999999995</v>
      </c>
      <c r="J862" s="14">
        <f>CHOOSE(CONTROL!$C$42, 71.0204, 71.0204)* CHOOSE(CONTROL!$C$21, $C$9, 100%, $E$9)</f>
        <v>71.020399999999995</v>
      </c>
      <c r="K862" s="53">
        <f>CHOOSE(CONTROL!$C$42, 71.2665, 71.2665) * CHOOSE(CONTROL!$C$21, $C$9, 100%, $E$9)</f>
        <v>71.266499999999994</v>
      </c>
      <c r="L862" s="14">
        <f>CHOOSE(CONTROL!$C$42, 71.86, 71.86) * CHOOSE(CONTROL!$C$21, $C$9, 100%, $E$9)</f>
        <v>71.86</v>
      </c>
      <c r="M862" s="14">
        <f>CHOOSE(CONTROL!$C$42, 69.5729, 69.5729) * CHOOSE(CONTROL!$C$21, $C$9, 100%, $E$9)</f>
        <v>69.572900000000004</v>
      </c>
      <c r="N862" s="14">
        <f>CHOOSE(CONTROL!$C$42, 69.5889, 69.5889) * CHOOSE(CONTROL!$C$21, $C$9, 100%, $E$9)</f>
        <v>69.588899999999995</v>
      </c>
      <c r="O862" s="14">
        <f>CHOOSE(CONTROL!$C$42, 69.8204, 69.8204) * CHOOSE(CONTROL!$C$21, $C$9, 100%, $E$9)</f>
        <v>69.820400000000006</v>
      </c>
      <c r="P862" s="14">
        <f>CHOOSE(CONTROL!$C$42, 69.8134, 69.8134) * CHOOSE(CONTROL!$C$21, $C$9, 100%, $E$9)</f>
        <v>69.813400000000001</v>
      </c>
      <c r="Q862" s="14">
        <f>CHOOSE(CONTROL!$C$42, 70.4151, 70.4151) * CHOOSE(CONTROL!$C$21, $C$9, 100%, $E$9)</f>
        <v>70.415099999999995</v>
      </c>
      <c r="R862" s="14">
        <f>CHOOSE(CONTROL!$C$42, 71.1781, 71.1781) * CHOOSE(CONTROL!$C$21, $C$9, 100%, $E$9)</f>
        <v>71.178100000000001</v>
      </c>
      <c r="S862" s="14">
        <f>CHOOSE(CONTROL!$C$42, 68.2516, 68.2516) * CHOOSE(CONTROL!$C$21, $C$9, 100%, $E$9)</f>
        <v>68.251599999999996</v>
      </c>
      <c r="T8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7">
        <f>(1000*CHOOSE(CONTROL!$C$42, 695, 695)*CHOOSE(CONTROL!$C$42, 0.5599, 0.5599)*CHOOSE(CONTROL!$C$42, 31, 31))/1000000</f>
        <v>12.063045499999998</v>
      </c>
      <c r="V862" s="57">
        <f>(1000*CHOOSE(CONTROL!$C$42, 500, 500)*CHOOSE(CONTROL!$C$42, 0.275, 0.275)*CHOOSE(CONTROL!$C$42, 31, 31))/1000000</f>
        <v>4.2625000000000002</v>
      </c>
      <c r="W862" s="57">
        <f>(1000*CHOOSE(CONTROL!$C$42, 0.1146, 0.1146)*CHOOSE(CONTROL!$C$42, 121.5, 121.5)*CHOOSE(CONTROL!$C$42, 31, 31))/1000000</f>
        <v>0.43164089999999994</v>
      </c>
      <c r="X862" s="57">
        <f>(31*0.1790888*245000/1000000)+(31*0.2374*100000/1000000)</f>
        <v>2.0961194359999999</v>
      </c>
      <c r="Y862" s="57"/>
      <c r="Z862" s="14"/>
      <c r="AA862" s="56"/>
      <c r="AB862" s="50">
        <f>(B862*131.881+C862*277.167+D862*79.08+E862*125.872+F862*40+G862*185+H862*0+I862*100+J862*300)/(131.881+277.167+79.08+125.872+0+40+185+100+300)</f>
        <v>71.092832641323639</v>
      </c>
      <c r="AC862" s="45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69.720601438848917</v>
      </c>
    </row>
    <row r="863" spans="1:29" ht="15.75" x14ac:dyDescent="0.25">
      <c r="A863" s="32">
        <v>67175</v>
      </c>
      <c r="B863" s="14">
        <f>CHOOSE(CONTROL!$C$42, 72.9089, 72.9089) * CHOOSE(CONTROL!$C$21, $C$9, 100%, $E$9)</f>
        <v>72.908900000000003</v>
      </c>
      <c r="C863" s="14">
        <f>CHOOSE(CONTROL!$C$42, 72.914, 72.914) * CHOOSE(CONTROL!$C$21, $C$9, 100%, $E$9)</f>
        <v>72.914000000000001</v>
      </c>
      <c r="D863" s="14">
        <f>CHOOSE(CONTROL!$C$42, 72.9778, 72.9778) * CHOOSE(CONTROL!$C$21, $C$9, 100%, $E$9)</f>
        <v>72.977800000000002</v>
      </c>
      <c r="E863" s="14">
        <f>CHOOSE(CONTROL!$C$42, 73.0119, 73.0119) * CHOOSE(CONTROL!$C$21, $C$9, 100%, $E$9)</f>
        <v>73.011899999999997</v>
      </c>
      <c r="F863" s="14">
        <f>CHOOSE(CONTROL!$C$42, 72.9112, 72.9112)*CHOOSE(CONTROL!$C$21, $C$9, 100%, $E$9)</f>
        <v>72.911199999999994</v>
      </c>
      <c r="G863" s="14">
        <f>CHOOSE(CONTROL!$C$42, 72.9278, 72.9278)*CHOOSE(CONTROL!$C$21, $C$9, 100%, $E$9)</f>
        <v>72.927800000000005</v>
      </c>
      <c r="H863" s="14">
        <f>CHOOSE(CONTROL!$C$42, 73.0011, 73.0011) * CHOOSE(CONTROL!$C$21, $C$9, 100%, $E$9)</f>
        <v>73.001099999999994</v>
      </c>
      <c r="I863" s="14">
        <f>CHOOSE(CONTROL!$C$42, 73.1512, 73.1512)* CHOOSE(CONTROL!$C$21, $C$9, 100%, $E$9)</f>
        <v>73.151200000000003</v>
      </c>
      <c r="J863" s="14">
        <f>CHOOSE(CONTROL!$C$42, 72.9042, 72.9042)* CHOOSE(CONTROL!$C$21, $C$9, 100%, $E$9)</f>
        <v>72.904200000000003</v>
      </c>
      <c r="K863" s="53">
        <f>CHOOSE(CONTROL!$C$42, 73.1473, 73.1473) * CHOOSE(CONTROL!$C$21, $C$9, 100%, $E$9)</f>
        <v>73.147300000000001</v>
      </c>
      <c r="L863" s="14">
        <f>CHOOSE(CONTROL!$C$42, 73.5881, 73.5881) * CHOOSE(CONTROL!$C$21, $C$9, 100%, $E$9)</f>
        <v>73.588099999999997</v>
      </c>
      <c r="M863" s="14">
        <f>CHOOSE(CONTROL!$C$42, 71.4181, 71.4181) * CHOOSE(CONTROL!$C$21, $C$9, 100%, $E$9)</f>
        <v>71.418099999999995</v>
      </c>
      <c r="N863" s="14">
        <f>CHOOSE(CONTROL!$C$42, 71.4344, 71.4344) * CHOOSE(CONTROL!$C$21, $C$9, 100%, $E$9)</f>
        <v>71.434399999999997</v>
      </c>
      <c r="O863" s="14">
        <f>CHOOSE(CONTROL!$C$42, 71.5131, 71.5131) * CHOOSE(CONTROL!$C$21, $C$9, 100%, $E$9)</f>
        <v>71.513099999999994</v>
      </c>
      <c r="P863" s="14">
        <f>CHOOSE(CONTROL!$C$42, 71.6555, 71.6555) * CHOOSE(CONTROL!$C$21, $C$9, 100%, $E$9)</f>
        <v>71.655500000000004</v>
      </c>
      <c r="Q863" s="14">
        <f>CHOOSE(CONTROL!$C$42, 72.1078, 72.1078) * CHOOSE(CONTROL!$C$21, $C$9, 100%, $E$9)</f>
        <v>72.107799999999997</v>
      </c>
      <c r="R863" s="14">
        <f>CHOOSE(CONTROL!$C$42, 72.875, 72.875) * CHOOSE(CONTROL!$C$21, $C$9, 100%, $E$9)</f>
        <v>72.875</v>
      </c>
      <c r="S863" s="14">
        <f>CHOOSE(CONTROL!$C$42, 70.0497, 70.0497) * CHOOSE(CONTROL!$C$21, $C$9, 100%, $E$9)</f>
        <v>70.049700000000001</v>
      </c>
      <c r="T8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7">
        <f>(1000*CHOOSE(CONTROL!$C$42, 695, 695)*CHOOSE(CONTROL!$C$42, 0.5599, 0.5599)*CHOOSE(CONTROL!$C$42, 30, 30))/1000000</f>
        <v>11.673914999999997</v>
      </c>
      <c r="V863" s="57">
        <f>(1000*CHOOSE(CONTROL!$C$42, 500, 500)*CHOOSE(CONTROL!$C$42, 0.275, 0.275)*CHOOSE(CONTROL!$C$42, 30, 30))/1000000</f>
        <v>4.125</v>
      </c>
      <c r="W863" s="57">
        <f>(1000*CHOOSE(CONTROL!$C$42, 0.1146, 0.1146)*CHOOSE(CONTROL!$C$42, 121.5, 121.5)*CHOOSE(CONTROL!$C$42, 30, 30))/1000000</f>
        <v>0.417717</v>
      </c>
      <c r="X863" s="57">
        <f>(30*0.1790888*100000/1000000)+(30*0.2374*100000/1000000)</f>
        <v>1.2494664</v>
      </c>
      <c r="Y863" s="57"/>
      <c r="Z863" s="14"/>
      <c r="AA863" s="56"/>
      <c r="AB863" s="50">
        <f>(B863*122.58+C863*297.941+D863*89.177+E863*40.302+F863*40+G863*160+H863*0+I863*100+J863*300)/(122.58+297.941+89.177+40.302+0+40+160+100+300)</f>
        <v>72.94172686991304</v>
      </c>
      <c r="AC863" s="45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71.496253956834536</v>
      </c>
    </row>
    <row r="864" spans="1:29" ht="15.75" x14ac:dyDescent="0.25">
      <c r="A864" s="32">
        <v>67206</v>
      </c>
      <c r="B864" s="14">
        <f>CHOOSE(CONTROL!$C$42, 77.8792, 77.8792) * CHOOSE(CONTROL!$C$21, $C$9, 100%, $E$9)</f>
        <v>77.879199999999997</v>
      </c>
      <c r="C864" s="14">
        <f>CHOOSE(CONTROL!$C$42, 77.8842, 77.8842) * CHOOSE(CONTROL!$C$21, $C$9, 100%, $E$9)</f>
        <v>77.884200000000007</v>
      </c>
      <c r="D864" s="14">
        <f>CHOOSE(CONTROL!$C$42, 77.9481, 77.9481) * CHOOSE(CONTROL!$C$21, $C$9, 100%, $E$9)</f>
        <v>77.948099999999997</v>
      </c>
      <c r="E864" s="14">
        <f>CHOOSE(CONTROL!$C$42, 77.9822, 77.9822) * CHOOSE(CONTROL!$C$21, $C$9, 100%, $E$9)</f>
        <v>77.982200000000006</v>
      </c>
      <c r="F864" s="14">
        <f>CHOOSE(CONTROL!$C$42, 77.8835, 77.8835)*CHOOSE(CONTROL!$C$21, $C$9, 100%, $E$9)</f>
        <v>77.883499999999998</v>
      </c>
      <c r="G864" s="14">
        <f>CHOOSE(CONTROL!$C$42, 77.9007, 77.9007)*CHOOSE(CONTROL!$C$21, $C$9, 100%, $E$9)</f>
        <v>77.900700000000001</v>
      </c>
      <c r="H864" s="14">
        <f>CHOOSE(CONTROL!$C$42, 77.9714, 77.9714) * CHOOSE(CONTROL!$C$21, $C$9, 100%, $E$9)</f>
        <v>77.971400000000003</v>
      </c>
      <c r="I864" s="14">
        <f>CHOOSE(CONTROL!$C$42, 78.137, 78.137)* CHOOSE(CONTROL!$C$21, $C$9, 100%, $E$9)</f>
        <v>78.137</v>
      </c>
      <c r="J864" s="14">
        <f>CHOOSE(CONTROL!$C$42, 77.8765, 77.8765)* CHOOSE(CONTROL!$C$21, $C$9, 100%, $E$9)</f>
        <v>77.876499999999993</v>
      </c>
      <c r="K864" s="53">
        <f>CHOOSE(CONTROL!$C$42, 78.1331, 78.1331) * CHOOSE(CONTROL!$C$21, $C$9, 100%, $E$9)</f>
        <v>78.133099999999999</v>
      </c>
      <c r="L864" s="14">
        <f>CHOOSE(CONTROL!$C$42, 78.5584, 78.5584) * CHOOSE(CONTROL!$C$21, $C$9, 100%, $E$9)</f>
        <v>78.558400000000006</v>
      </c>
      <c r="M864" s="14">
        <f>CHOOSE(CONTROL!$C$42, 76.2885, 76.2885) * CHOOSE(CONTROL!$C$21, $C$9, 100%, $E$9)</f>
        <v>76.288499999999999</v>
      </c>
      <c r="N864" s="14">
        <f>CHOOSE(CONTROL!$C$42, 76.3054, 76.3054) * CHOOSE(CONTROL!$C$21, $C$9, 100%, $E$9)</f>
        <v>76.305400000000006</v>
      </c>
      <c r="O864" s="14">
        <f>CHOOSE(CONTROL!$C$42, 76.3815, 76.3815) * CHOOSE(CONTROL!$C$21, $C$9, 100%, $E$9)</f>
        <v>76.381500000000003</v>
      </c>
      <c r="P864" s="14">
        <f>CHOOSE(CONTROL!$C$42, 76.5389, 76.5389) * CHOOSE(CONTROL!$C$21, $C$9, 100%, $E$9)</f>
        <v>76.538899999999998</v>
      </c>
      <c r="Q864" s="14">
        <f>CHOOSE(CONTROL!$C$42, 76.9762, 76.9762) * CHOOSE(CONTROL!$C$21, $C$9, 100%, $E$9)</f>
        <v>76.976200000000006</v>
      </c>
      <c r="R864" s="14">
        <f>CHOOSE(CONTROL!$C$42, 77.7556, 77.7556) * CHOOSE(CONTROL!$C$21, $C$9, 100%, $E$9)</f>
        <v>77.755600000000001</v>
      </c>
      <c r="S864" s="14">
        <f>CHOOSE(CONTROL!$C$42, 74.8256, 74.8256) * CHOOSE(CONTROL!$C$21, $C$9, 100%, $E$9)</f>
        <v>74.825599999999994</v>
      </c>
      <c r="T8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7">
        <f>(1000*CHOOSE(CONTROL!$C$42, 695, 695)*CHOOSE(CONTROL!$C$42, 0.5599, 0.5599)*CHOOSE(CONTROL!$C$42, 31, 31))/1000000</f>
        <v>12.063045499999998</v>
      </c>
      <c r="V864" s="57">
        <f>(1000*CHOOSE(CONTROL!$C$42, 500, 500)*CHOOSE(CONTROL!$C$42, 0.275, 0.275)*CHOOSE(CONTROL!$C$42, 31, 31))/1000000</f>
        <v>4.2625000000000002</v>
      </c>
      <c r="W864" s="57">
        <f>(1000*CHOOSE(CONTROL!$C$42, 0.1146, 0.1146)*CHOOSE(CONTROL!$C$42, 121.5, 121.5)*CHOOSE(CONTROL!$C$42, 31, 31))/1000000</f>
        <v>0.43164089999999994</v>
      </c>
      <c r="X864" s="57">
        <f>(31*0.1790888*100000/1000000)+(31*0.2374*100000/1000000)</f>
        <v>1.2911152800000001</v>
      </c>
      <c r="Y864" s="57"/>
      <c r="Z864" s="14"/>
      <c r="AA864" s="56"/>
      <c r="AB864" s="50">
        <f>(B864*122.58+C864*297.941+D864*89.177+E864*40.302+F864*40+G864*160+H864*0+I864*100+J864*300)/(122.58+297.941+89.177+40.302+0+40+160+100+300)</f>
        <v>77.914301831565226</v>
      </c>
      <c r="AC864" s="45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76.367652517985604</v>
      </c>
    </row>
    <row r="865" spans="1:29" ht="15.75" x14ac:dyDescent="0.25">
      <c r="A865" s="32">
        <v>67237</v>
      </c>
      <c r="B865" s="14">
        <f>CHOOSE(CONTROL!$C$42, 84.2578, 84.2578) * CHOOSE(CONTROL!$C$21, $C$9, 100%, $E$9)</f>
        <v>84.257800000000003</v>
      </c>
      <c r="C865" s="14">
        <f>CHOOSE(CONTROL!$C$42, 84.2629, 84.2629) * CHOOSE(CONTROL!$C$21, $C$9, 100%, $E$9)</f>
        <v>84.262900000000002</v>
      </c>
      <c r="D865" s="14">
        <f>CHOOSE(CONTROL!$C$42, 84.3215, 84.3215) * CHOOSE(CONTROL!$C$21, $C$9, 100%, $E$9)</f>
        <v>84.3215</v>
      </c>
      <c r="E865" s="14">
        <f>CHOOSE(CONTROL!$C$42, 84.3556, 84.3556) * CHOOSE(CONTROL!$C$21, $C$9, 100%, $E$9)</f>
        <v>84.355599999999995</v>
      </c>
      <c r="F865" s="14">
        <f>CHOOSE(CONTROL!$C$42, 84.2569, 84.2569)*CHOOSE(CONTROL!$C$21, $C$9, 100%, $E$9)</f>
        <v>84.256900000000002</v>
      </c>
      <c r="G865" s="14">
        <f>CHOOSE(CONTROL!$C$42, 84.2733, 84.2733)*CHOOSE(CONTROL!$C$21, $C$9, 100%, $E$9)</f>
        <v>84.273300000000006</v>
      </c>
      <c r="H865" s="14">
        <f>CHOOSE(CONTROL!$C$42, 84.3448, 84.3448) * CHOOSE(CONTROL!$C$21, $C$9, 100%, $E$9)</f>
        <v>84.344800000000006</v>
      </c>
      <c r="I865" s="14">
        <f>CHOOSE(CONTROL!$C$42, 84.5319, 84.5319)* CHOOSE(CONTROL!$C$21, $C$9, 100%, $E$9)</f>
        <v>84.531899999999993</v>
      </c>
      <c r="J865" s="14">
        <f>CHOOSE(CONTROL!$C$42, 84.2499, 84.2499)* CHOOSE(CONTROL!$C$21, $C$9, 100%, $E$9)</f>
        <v>84.249899999999997</v>
      </c>
      <c r="K865" s="53">
        <f>CHOOSE(CONTROL!$C$42, 84.528, 84.528) * CHOOSE(CONTROL!$C$21, $C$9, 100%, $E$9)</f>
        <v>84.528000000000006</v>
      </c>
      <c r="L865" s="14">
        <f>CHOOSE(CONTROL!$C$42, 84.9318, 84.9318) * CHOOSE(CONTROL!$C$21, $C$9, 100%, $E$9)</f>
        <v>84.931799999999996</v>
      </c>
      <c r="M865" s="14">
        <f>CHOOSE(CONTROL!$C$42, 82.5314, 82.5314) * CHOOSE(CONTROL!$C$21, $C$9, 100%, $E$9)</f>
        <v>82.531400000000005</v>
      </c>
      <c r="N865" s="14">
        <f>CHOOSE(CONTROL!$C$42, 82.5474, 82.5474) * CHOOSE(CONTROL!$C$21, $C$9, 100%, $E$9)</f>
        <v>82.547399999999996</v>
      </c>
      <c r="O865" s="14">
        <f>CHOOSE(CONTROL!$C$42, 82.6243, 82.6243) * CHOOSE(CONTROL!$C$21, $C$9, 100%, $E$9)</f>
        <v>82.624300000000005</v>
      </c>
      <c r="P865" s="14">
        <f>CHOOSE(CONTROL!$C$42, 82.8024, 82.8024) * CHOOSE(CONTROL!$C$21, $C$9, 100%, $E$9)</f>
        <v>82.802400000000006</v>
      </c>
      <c r="Q865" s="14">
        <f>CHOOSE(CONTROL!$C$42, 83.219, 83.219) * CHOOSE(CONTROL!$C$21, $C$9, 100%, $E$9)</f>
        <v>83.218999999999994</v>
      </c>
      <c r="R865" s="14">
        <f>CHOOSE(CONTROL!$C$42, 84.014, 84.014) * CHOOSE(CONTROL!$C$21, $C$9, 100%, $E$9)</f>
        <v>84.013999999999996</v>
      </c>
      <c r="S865" s="14">
        <f>CHOOSE(CONTROL!$C$42, 80.9548, 80.9548) * CHOOSE(CONTROL!$C$21, $C$9, 100%, $E$9)</f>
        <v>80.954800000000006</v>
      </c>
      <c r="T8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7">
        <f>(1000*CHOOSE(CONTROL!$C$42, 695, 695)*CHOOSE(CONTROL!$C$42, 0.5599, 0.5599)*CHOOSE(CONTROL!$C$42, 31, 31))/1000000</f>
        <v>12.063045499999998</v>
      </c>
      <c r="V865" s="57">
        <f>(1000*CHOOSE(CONTROL!$C$42, 500, 500)*CHOOSE(CONTROL!$C$42, 0.275, 0.275)*CHOOSE(CONTROL!$C$42, 31, 31))/1000000</f>
        <v>4.2625000000000002</v>
      </c>
      <c r="W865" s="57">
        <f>(1000*CHOOSE(CONTROL!$C$42, 0.1146, 0.1146)*CHOOSE(CONTROL!$C$42, 121.5, 121.5)*CHOOSE(CONTROL!$C$42, 31, 31))/1000000</f>
        <v>0.43164089999999994</v>
      </c>
      <c r="X865" s="57">
        <f>(31*0.1790888*100000/1000000)+(31*0.2374*100000/1000000)</f>
        <v>1.2911152800000001</v>
      </c>
      <c r="Y865" s="57"/>
      <c r="Z865" s="14"/>
      <c r="AA865" s="56"/>
      <c r="AB865" s="50">
        <f>(B865*122.58+C865*297.941+D865*89.177+E865*40.302+F865*40+G865*160+H865*0+I865*100+J865*300)/(122.58+297.941+89.177+40.302+0+40+160+100+300)</f>
        <v>84.291387486608699</v>
      </c>
      <c r="AC865" s="45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82.613419424460432</v>
      </c>
    </row>
    <row r="866" spans="1:29" ht="15.75" x14ac:dyDescent="0.25">
      <c r="A866" s="32">
        <v>67266</v>
      </c>
      <c r="B866" s="14">
        <f>CHOOSE(CONTROL!$C$42, 85.7575, 85.7575) * CHOOSE(CONTROL!$C$21, $C$9, 100%, $E$9)</f>
        <v>85.757499999999993</v>
      </c>
      <c r="C866" s="14">
        <f>CHOOSE(CONTROL!$C$42, 85.7626, 85.7626) * CHOOSE(CONTROL!$C$21, $C$9, 100%, $E$9)</f>
        <v>85.762600000000006</v>
      </c>
      <c r="D866" s="14">
        <f>CHOOSE(CONTROL!$C$42, 85.8212, 85.8212) * CHOOSE(CONTROL!$C$21, $C$9, 100%, $E$9)</f>
        <v>85.821200000000005</v>
      </c>
      <c r="E866" s="14">
        <f>CHOOSE(CONTROL!$C$42, 85.8553, 85.8553) * CHOOSE(CONTROL!$C$21, $C$9, 100%, $E$9)</f>
        <v>85.8553</v>
      </c>
      <c r="F866" s="14">
        <f>CHOOSE(CONTROL!$C$42, 85.7566, 85.7566)*CHOOSE(CONTROL!$C$21, $C$9, 100%, $E$9)</f>
        <v>85.756600000000006</v>
      </c>
      <c r="G866" s="14">
        <f>CHOOSE(CONTROL!$C$42, 85.773, 85.773)*CHOOSE(CONTROL!$C$21, $C$9, 100%, $E$9)</f>
        <v>85.772999999999996</v>
      </c>
      <c r="H866" s="14">
        <f>CHOOSE(CONTROL!$C$42, 85.8445, 85.8445) * CHOOSE(CONTROL!$C$21, $C$9, 100%, $E$9)</f>
        <v>85.844499999999996</v>
      </c>
      <c r="I866" s="14">
        <f>CHOOSE(CONTROL!$C$42, 86.0363, 86.0363)* CHOOSE(CONTROL!$C$21, $C$9, 100%, $E$9)</f>
        <v>86.036299999999997</v>
      </c>
      <c r="J866" s="14">
        <f>CHOOSE(CONTROL!$C$42, 85.7496, 85.7496)* CHOOSE(CONTROL!$C$21, $C$9, 100%, $E$9)</f>
        <v>85.749600000000001</v>
      </c>
      <c r="K866" s="53">
        <f>CHOOSE(CONTROL!$C$42, 86.0325, 86.0325) * CHOOSE(CONTROL!$C$21, $C$9, 100%, $E$9)</f>
        <v>86.032499999999999</v>
      </c>
      <c r="L866" s="14">
        <f>CHOOSE(CONTROL!$C$42, 86.4315, 86.4315) * CHOOSE(CONTROL!$C$21, $C$9, 100%, $E$9)</f>
        <v>86.4315</v>
      </c>
      <c r="M866" s="14">
        <f>CHOOSE(CONTROL!$C$42, 84.0004, 84.0004) * CHOOSE(CONTROL!$C$21, $C$9, 100%, $E$9)</f>
        <v>84.000399999999999</v>
      </c>
      <c r="N866" s="14">
        <f>CHOOSE(CONTROL!$C$42, 84.0164, 84.0164) * CHOOSE(CONTROL!$C$21, $C$9, 100%, $E$9)</f>
        <v>84.016400000000004</v>
      </c>
      <c r="O866" s="14">
        <f>CHOOSE(CONTROL!$C$42, 84.0933, 84.0933) * CHOOSE(CONTROL!$C$21, $C$9, 100%, $E$9)</f>
        <v>84.093299999999999</v>
      </c>
      <c r="P866" s="14">
        <f>CHOOSE(CONTROL!$C$42, 84.2759, 84.2759) * CHOOSE(CONTROL!$C$21, $C$9, 100%, $E$9)</f>
        <v>84.275899999999993</v>
      </c>
      <c r="Q866" s="14">
        <f>CHOOSE(CONTROL!$C$42, 84.688, 84.688) * CHOOSE(CONTROL!$C$21, $C$9, 100%, $E$9)</f>
        <v>84.688000000000002</v>
      </c>
      <c r="R866" s="14">
        <f>CHOOSE(CONTROL!$C$42, 85.4867, 85.4867) * CHOOSE(CONTROL!$C$21, $C$9, 100%, $E$9)</f>
        <v>85.486699999999999</v>
      </c>
      <c r="S866" s="14">
        <f>CHOOSE(CONTROL!$C$42, 82.3959, 82.3959) * CHOOSE(CONTROL!$C$21, $C$9, 100%, $E$9)</f>
        <v>82.395899999999997</v>
      </c>
      <c r="T86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7">
        <f>(1000*CHOOSE(CONTROL!$C$42, 695, 695)*CHOOSE(CONTROL!$C$42, 0.5599, 0.5599)*CHOOSE(CONTROL!$C$42, 29, 29))/1000000</f>
        <v>11.284784499999999</v>
      </c>
      <c r="V866" s="57">
        <f>(1000*CHOOSE(CONTROL!$C$42, 500, 500)*CHOOSE(CONTROL!$C$42, 0.275, 0.275)*CHOOSE(CONTROL!$C$42, 29, 29))/1000000</f>
        <v>3.9874999999999998</v>
      </c>
      <c r="W866" s="57">
        <f>(1000*CHOOSE(CONTROL!$C$42, 0.1146, 0.1146)*CHOOSE(CONTROL!$C$42, 121.5, 121.5)*CHOOSE(CONTROL!$C$42, 29, 29))/1000000</f>
        <v>0.40379309999999996</v>
      </c>
      <c r="X866" s="57">
        <f>(29*0.1790888*100000/1000000)+(29*0.2374*100000/1000000)</f>
        <v>1.2078175199999999</v>
      </c>
      <c r="Y866" s="57"/>
      <c r="Z866" s="14"/>
      <c r="AA866" s="56"/>
      <c r="AB866" s="50">
        <f>(B866*122.58+C866*297.941+D866*89.177+E866*40.302+F866*40+G866*160+H866*0+I866*100+J866*300)/(122.58+297.941+89.177+40.302+0+40+160+100+300)</f>
        <v>85.791496182260886</v>
      </c>
      <c r="AC866" s="45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84.083066906474812</v>
      </c>
    </row>
    <row r="867" spans="1:29" ht="15.75" x14ac:dyDescent="0.25">
      <c r="A867" s="32">
        <v>67297</v>
      </c>
      <c r="B867" s="14">
        <f>CHOOSE(CONTROL!$C$42, 83.3231, 83.3231) * CHOOSE(CONTROL!$C$21, $C$9, 100%, $E$9)</f>
        <v>83.323099999999997</v>
      </c>
      <c r="C867" s="14">
        <f>CHOOSE(CONTROL!$C$42, 83.3282, 83.3282) * CHOOSE(CONTROL!$C$21, $C$9, 100%, $E$9)</f>
        <v>83.328199999999995</v>
      </c>
      <c r="D867" s="14">
        <f>CHOOSE(CONTROL!$C$42, 83.3868, 83.3868) * CHOOSE(CONTROL!$C$21, $C$9, 100%, $E$9)</f>
        <v>83.386799999999994</v>
      </c>
      <c r="E867" s="14">
        <f>CHOOSE(CONTROL!$C$42, 83.4209, 83.4209) * CHOOSE(CONTROL!$C$21, $C$9, 100%, $E$9)</f>
        <v>83.420900000000003</v>
      </c>
      <c r="F867" s="14">
        <f>CHOOSE(CONTROL!$C$42, 83.3217, 83.3217)*CHOOSE(CONTROL!$C$21, $C$9, 100%, $E$9)</f>
        <v>83.321700000000007</v>
      </c>
      <c r="G867" s="14">
        <f>CHOOSE(CONTROL!$C$42, 83.3379, 83.3379)*CHOOSE(CONTROL!$C$21, $C$9, 100%, $E$9)</f>
        <v>83.337900000000005</v>
      </c>
      <c r="H867" s="14">
        <f>CHOOSE(CONTROL!$C$42, 83.4101, 83.4101) * CHOOSE(CONTROL!$C$21, $C$9, 100%, $E$9)</f>
        <v>83.4101</v>
      </c>
      <c r="I867" s="14">
        <f>CHOOSE(CONTROL!$C$42, 83.5943, 83.5943)* CHOOSE(CONTROL!$C$21, $C$9, 100%, $E$9)</f>
        <v>83.594300000000004</v>
      </c>
      <c r="J867" s="14">
        <f>CHOOSE(CONTROL!$C$42, 83.3147, 83.3147)* CHOOSE(CONTROL!$C$21, $C$9, 100%, $E$9)</f>
        <v>83.314700000000002</v>
      </c>
      <c r="K867" s="53">
        <f>CHOOSE(CONTROL!$C$42, 83.5904, 83.5904) * CHOOSE(CONTROL!$C$21, $C$9, 100%, $E$9)</f>
        <v>83.590400000000002</v>
      </c>
      <c r="L867" s="14">
        <f>CHOOSE(CONTROL!$C$42, 83.9971, 83.9971) * CHOOSE(CONTROL!$C$21, $C$9, 100%, $E$9)</f>
        <v>83.997100000000003</v>
      </c>
      <c r="M867" s="14">
        <f>CHOOSE(CONTROL!$C$42, 81.6153, 81.6153) * CHOOSE(CONTROL!$C$21, $C$9, 100%, $E$9)</f>
        <v>81.615300000000005</v>
      </c>
      <c r="N867" s="14">
        <f>CHOOSE(CONTROL!$C$42, 81.6312, 81.6312) * CHOOSE(CONTROL!$C$21, $C$9, 100%, $E$9)</f>
        <v>81.631200000000007</v>
      </c>
      <c r="O867" s="14">
        <f>CHOOSE(CONTROL!$C$42, 81.7087, 81.7087) * CHOOSE(CONTROL!$C$21, $C$9, 100%, $E$9)</f>
        <v>81.708699999999993</v>
      </c>
      <c r="P867" s="14">
        <f>CHOOSE(CONTROL!$C$42, 81.884, 81.884) * CHOOSE(CONTROL!$C$21, $C$9, 100%, $E$9)</f>
        <v>81.884</v>
      </c>
      <c r="Q867" s="14">
        <f>CHOOSE(CONTROL!$C$42, 82.3034, 82.3034) * CHOOSE(CONTROL!$C$21, $C$9, 100%, $E$9)</f>
        <v>82.303399999999996</v>
      </c>
      <c r="R867" s="14">
        <f>CHOOSE(CONTROL!$C$42, 83.0962, 83.0962) * CHOOSE(CONTROL!$C$21, $C$9, 100%, $E$9)</f>
        <v>83.096199999999996</v>
      </c>
      <c r="S867" s="14">
        <f>CHOOSE(CONTROL!$C$42, 80.0566, 80.0566) * CHOOSE(CONTROL!$C$21, $C$9, 100%, $E$9)</f>
        <v>80.056600000000003</v>
      </c>
      <c r="T8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7">
        <f>(1000*CHOOSE(CONTROL!$C$42, 695, 695)*CHOOSE(CONTROL!$C$42, 0.5599, 0.5599)*CHOOSE(CONTROL!$C$42, 31, 31))/1000000</f>
        <v>12.063045499999998</v>
      </c>
      <c r="V867" s="57">
        <f>(1000*CHOOSE(CONTROL!$C$42, 500, 500)*CHOOSE(CONTROL!$C$42, 0.275, 0.275)*CHOOSE(CONTROL!$C$42, 31, 31))/1000000</f>
        <v>4.2625000000000002</v>
      </c>
      <c r="W867" s="57">
        <f>(1000*CHOOSE(CONTROL!$C$42, 0.1146, 0.1146)*CHOOSE(CONTROL!$C$42, 121.5, 121.5)*CHOOSE(CONTROL!$C$42, 31, 31))/1000000</f>
        <v>0.43164089999999994</v>
      </c>
      <c r="X867" s="57">
        <f>(31*0.1790888*100000/1000000)+(31*0.2374*100000/1000000)</f>
        <v>1.2911152800000001</v>
      </c>
      <c r="Y867" s="57"/>
      <c r="Z867" s="14"/>
      <c r="AA867" s="56"/>
      <c r="AB867" s="50">
        <f>(B867*122.58+C867*297.941+D867*89.177+E867*40.302+F867*40+G867*160+H867*0+I867*100+J867*300)/(122.58+297.941+89.177+40.302+0+40+160+100+300)</f>
        <v>83.356190095304356</v>
      </c>
      <c r="AC867" s="45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81.697209352517987</v>
      </c>
    </row>
    <row r="868" spans="1:29" ht="15.75" x14ac:dyDescent="0.25">
      <c r="A868" s="32">
        <v>67327</v>
      </c>
      <c r="B868" s="14">
        <f>CHOOSE(CONTROL!$C$42, 83.0748, 83.0748) * CHOOSE(CONTROL!$C$21, $C$9, 100%, $E$9)</f>
        <v>83.074799999999996</v>
      </c>
      <c r="C868" s="14">
        <f>CHOOSE(CONTROL!$C$42, 83.0793, 83.0793) * CHOOSE(CONTROL!$C$21, $C$9, 100%, $E$9)</f>
        <v>83.079300000000003</v>
      </c>
      <c r="D868" s="14">
        <f>CHOOSE(CONTROL!$C$42, 83.2874, 83.2874) * CHOOSE(CONTROL!$C$21, $C$9, 100%, $E$9)</f>
        <v>83.287400000000005</v>
      </c>
      <c r="E868" s="14">
        <f>CHOOSE(CONTROL!$C$42, 83.3195, 83.3195) * CHOOSE(CONTROL!$C$21, $C$9, 100%, $E$9)</f>
        <v>83.319500000000005</v>
      </c>
      <c r="F868" s="14">
        <f>CHOOSE(CONTROL!$C$42, 83.0621, 83.0621)*CHOOSE(CONTROL!$C$21, $C$9, 100%, $E$9)</f>
        <v>83.062100000000001</v>
      </c>
      <c r="G868" s="14">
        <f>CHOOSE(CONTROL!$C$42, 83.0781, 83.0781)*CHOOSE(CONTROL!$C$21, $C$9, 100%, $E$9)</f>
        <v>83.078100000000006</v>
      </c>
      <c r="H868" s="14">
        <f>CHOOSE(CONTROL!$C$42, 83.3093, 83.3093) * CHOOSE(CONTROL!$C$21, $C$9, 100%, $E$9)</f>
        <v>83.309299999999993</v>
      </c>
      <c r="I868" s="14">
        <f>CHOOSE(CONTROL!$C$42, 83.3444, 83.3444)* CHOOSE(CONTROL!$C$21, $C$9, 100%, $E$9)</f>
        <v>83.344399999999993</v>
      </c>
      <c r="J868" s="14">
        <f>CHOOSE(CONTROL!$C$42, 83.0551, 83.0551)* CHOOSE(CONTROL!$C$21, $C$9, 100%, $E$9)</f>
        <v>83.055099999999996</v>
      </c>
      <c r="K868" s="53">
        <f>CHOOSE(CONTROL!$C$42, 83.3405, 83.3405) * CHOOSE(CONTROL!$C$21, $C$9, 100%, $E$9)</f>
        <v>83.340500000000006</v>
      </c>
      <c r="L868" s="14">
        <f>CHOOSE(CONTROL!$C$42, 83.8963, 83.8963) * CHOOSE(CONTROL!$C$21, $C$9, 100%, $E$9)</f>
        <v>83.896299999999997</v>
      </c>
      <c r="M868" s="14">
        <f>CHOOSE(CONTROL!$C$42, 81.3611, 81.3611) * CHOOSE(CONTROL!$C$21, $C$9, 100%, $E$9)</f>
        <v>81.361099999999993</v>
      </c>
      <c r="N868" s="14">
        <f>CHOOSE(CONTROL!$C$42, 81.3767, 81.3767) * CHOOSE(CONTROL!$C$21, $C$9, 100%, $E$9)</f>
        <v>81.3767</v>
      </c>
      <c r="O868" s="14">
        <f>CHOOSE(CONTROL!$C$42, 81.61, 81.61) * CHOOSE(CONTROL!$C$21, $C$9, 100%, $E$9)</f>
        <v>81.61</v>
      </c>
      <c r="P868" s="14">
        <f>CHOOSE(CONTROL!$C$42, 81.6393, 81.6393) * CHOOSE(CONTROL!$C$21, $C$9, 100%, $E$9)</f>
        <v>81.639300000000006</v>
      </c>
      <c r="Q868" s="14">
        <f>CHOOSE(CONTROL!$C$42, 82.2047, 82.2047) * CHOOSE(CONTROL!$C$21, $C$9, 100%, $E$9)</f>
        <v>82.204700000000003</v>
      </c>
      <c r="R868" s="14">
        <f>CHOOSE(CONTROL!$C$42, 82.9973, 82.9973) * CHOOSE(CONTROL!$C$21, $C$9, 100%, $E$9)</f>
        <v>82.997299999999996</v>
      </c>
      <c r="S868" s="14">
        <f>CHOOSE(CONTROL!$C$42, 79.8173, 79.8173) * CHOOSE(CONTROL!$C$21, $C$9, 100%, $E$9)</f>
        <v>79.817300000000003</v>
      </c>
      <c r="T8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7">
        <f>(1000*CHOOSE(CONTROL!$C$42, 695, 695)*CHOOSE(CONTROL!$C$42, 0.5599, 0.5599)*CHOOSE(CONTROL!$C$42, 30, 30))/1000000</f>
        <v>11.673914999999997</v>
      </c>
      <c r="V868" s="57">
        <f>(1000*CHOOSE(CONTROL!$C$42, 500, 500)*CHOOSE(CONTROL!$C$42, 0.275, 0.275)*CHOOSE(CONTROL!$C$42, 30, 30))/1000000</f>
        <v>4.125</v>
      </c>
      <c r="W868" s="57">
        <f>(1000*CHOOSE(CONTROL!$C$42, 0.1146, 0.1146)*CHOOSE(CONTROL!$C$42, 121.5, 121.5)*CHOOSE(CONTROL!$C$42, 30, 30))/1000000</f>
        <v>0.417717</v>
      </c>
      <c r="X868" s="57">
        <f>(30*0.1790888*245000/1000000)+(30*0.2374*100000/1000000)</f>
        <v>2.0285026799999999</v>
      </c>
      <c r="Y868" s="57"/>
      <c r="Z868" s="14"/>
      <c r="AA868" s="56"/>
      <c r="AB868" s="50">
        <f>(B868*141.293+C868*267.993+D868*115.016+E868*89.698+F868*40+G868*185+H868*0+I868*100+J868*300)/(141.293+267.993+115.016+89.698+0+40+185+100+300)</f>
        <v>83.130296344390644</v>
      </c>
      <c r="AC868" s="45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81.514837410071934</v>
      </c>
    </row>
    <row r="869" spans="1:29" ht="15.75" x14ac:dyDescent="0.25">
      <c r="A869" s="32">
        <v>67358</v>
      </c>
      <c r="B869" s="14">
        <f>CHOOSE(CONTROL!$C$42, 83.8093, 83.8093) * CHOOSE(CONTROL!$C$21, $C$9, 100%, $E$9)</f>
        <v>83.809299999999993</v>
      </c>
      <c r="C869" s="14">
        <f>CHOOSE(CONTROL!$C$42, 83.8174, 83.8174) * CHOOSE(CONTROL!$C$21, $C$9, 100%, $E$9)</f>
        <v>83.817400000000006</v>
      </c>
      <c r="D869" s="14">
        <f>CHOOSE(CONTROL!$C$42, 84.0223, 84.0223) * CHOOSE(CONTROL!$C$21, $C$9, 100%, $E$9)</f>
        <v>84.022300000000001</v>
      </c>
      <c r="E869" s="14">
        <f>CHOOSE(CONTROL!$C$42, 84.0538, 84.0538) * CHOOSE(CONTROL!$C$21, $C$9, 100%, $E$9)</f>
        <v>84.053799999999995</v>
      </c>
      <c r="F869" s="14">
        <f>CHOOSE(CONTROL!$C$42, 83.7955, 83.7955)*CHOOSE(CONTROL!$C$21, $C$9, 100%, $E$9)</f>
        <v>83.795500000000004</v>
      </c>
      <c r="G869" s="14">
        <f>CHOOSE(CONTROL!$C$42, 83.8119, 83.8119)*CHOOSE(CONTROL!$C$21, $C$9, 100%, $E$9)</f>
        <v>83.811899999999994</v>
      </c>
      <c r="H869" s="14">
        <f>CHOOSE(CONTROL!$C$42, 84.0424, 84.0424) * CHOOSE(CONTROL!$C$21, $C$9, 100%, $E$9)</f>
        <v>84.042400000000001</v>
      </c>
      <c r="I869" s="14">
        <f>CHOOSE(CONTROL!$C$42, 84.0799, 84.0799)* CHOOSE(CONTROL!$C$21, $C$9, 100%, $E$9)</f>
        <v>84.079899999999995</v>
      </c>
      <c r="J869" s="14">
        <f>CHOOSE(CONTROL!$C$42, 83.7885, 83.7885)* CHOOSE(CONTROL!$C$21, $C$9, 100%, $E$9)</f>
        <v>83.788499999999999</v>
      </c>
      <c r="K869" s="53">
        <f>CHOOSE(CONTROL!$C$42, 84.076, 84.076) * CHOOSE(CONTROL!$C$21, $C$9, 100%, $E$9)</f>
        <v>84.075999999999993</v>
      </c>
      <c r="L869" s="14">
        <f>CHOOSE(CONTROL!$C$42, 84.6294, 84.6294) * CHOOSE(CONTROL!$C$21, $C$9, 100%, $E$9)</f>
        <v>84.629400000000004</v>
      </c>
      <c r="M869" s="14">
        <f>CHOOSE(CONTROL!$C$42, 82.0794, 82.0794) * CHOOSE(CONTROL!$C$21, $C$9, 100%, $E$9)</f>
        <v>82.079400000000007</v>
      </c>
      <c r="N869" s="14">
        <f>CHOOSE(CONTROL!$C$42, 82.0955, 82.0955) * CHOOSE(CONTROL!$C$21, $C$9, 100%, $E$9)</f>
        <v>82.095500000000001</v>
      </c>
      <c r="O869" s="14">
        <f>CHOOSE(CONTROL!$C$42, 82.3282, 82.3282) * CHOOSE(CONTROL!$C$21, $C$9, 100%, $E$9)</f>
        <v>82.328199999999995</v>
      </c>
      <c r="P869" s="14">
        <f>CHOOSE(CONTROL!$C$42, 82.3596, 82.3596) * CHOOSE(CONTROL!$C$21, $C$9, 100%, $E$9)</f>
        <v>82.3596</v>
      </c>
      <c r="Q869" s="14">
        <f>CHOOSE(CONTROL!$C$42, 82.9229, 82.9229) * CHOOSE(CONTROL!$C$21, $C$9, 100%, $E$9)</f>
        <v>82.922899999999998</v>
      </c>
      <c r="R869" s="14">
        <f>CHOOSE(CONTROL!$C$42, 83.7172, 83.7172) * CHOOSE(CONTROL!$C$21, $C$9, 100%, $E$9)</f>
        <v>83.717200000000005</v>
      </c>
      <c r="S869" s="14">
        <f>CHOOSE(CONTROL!$C$42, 80.5218, 80.5218) * CHOOSE(CONTROL!$C$21, $C$9, 100%, $E$9)</f>
        <v>80.521799999999999</v>
      </c>
      <c r="T8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7">
        <f>(1000*CHOOSE(CONTROL!$C$42, 695, 695)*CHOOSE(CONTROL!$C$42, 0.5599, 0.5599)*CHOOSE(CONTROL!$C$42, 31, 31))/1000000</f>
        <v>12.063045499999998</v>
      </c>
      <c r="V869" s="57">
        <f>(1000*CHOOSE(CONTROL!$C$42, 500, 500)*CHOOSE(CONTROL!$C$42, 0.275, 0.275)*CHOOSE(CONTROL!$C$42, 31, 31))/1000000</f>
        <v>4.2625000000000002</v>
      </c>
      <c r="W869" s="57">
        <f>(1000*CHOOSE(CONTROL!$C$42, 0.1146, 0.1146)*CHOOSE(CONTROL!$C$42, 121.5, 121.5)*CHOOSE(CONTROL!$C$42, 31, 31))/1000000</f>
        <v>0.43164089999999994</v>
      </c>
      <c r="X869" s="57">
        <f>(31*0.1790888*245000/1000000)+(31*0.2374*100000/1000000)</f>
        <v>2.0961194359999999</v>
      </c>
      <c r="Y869" s="57"/>
      <c r="Z869" s="14"/>
      <c r="AA869" s="56"/>
      <c r="AB869" s="50">
        <f>(B869*194.205+C869*267.466+D869*133.845+E869*53.484+F869*40+G869*185+H869*0+I869*100+J869*300)/(194.205+267.466+133.845+53.484+0+40+185+100+300)</f>
        <v>83.85992896200942</v>
      </c>
      <c r="AC869" s="45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82.233408633093518</v>
      </c>
    </row>
    <row r="870" spans="1:29" ht="15.75" x14ac:dyDescent="0.25">
      <c r="A870" s="32">
        <v>67388</v>
      </c>
      <c r="B870" s="14">
        <f>CHOOSE(CONTROL!$C$42, 86.1864, 86.1864) * CHOOSE(CONTROL!$C$21, $C$9, 100%, $E$9)</f>
        <v>86.186400000000006</v>
      </c>
      <c r="C870" s="14">
        <f>CHOOSE(CONTROL!$C$42, 86.1944, 86.1944) * CHOOSE(CONTROL!$C$21, $C$9, 100%, $E$9)</f>
        <v>86.194400000000002</v>
      </c>
      <c r="D870" s="14">
        <f>CHOOSE(CONTROL!$C$42, 86.3994, 86.3994) * CHOOSE(CONTROL!$C$21, $C$9, 100%, $E$9)</f>
        <v>86.3994</v>
      </c>
      <c r="E870" s="14">
        <f>CHOOSE(CONTROL!$C$42, 86.4308, 86.4308) * CHOOSE(CONTROL!$C$21, $C$9, 100%, $E$9)</f>
        <v>86.430800000000005</v>
      </c>
      <c r="F870" s="14">
        <f>CHOOSE(CONTROL!$C$42, 86.1729, 86.1729)*CHOOSE(CONTROL!$C$21, $C$9, 100%, $E$9)</f>
        <v>86.172899999999998</v>
      </c>
      <c r="G870" s="14">
        <f>CHOOSE(CONTROL!$C$42, 86.1894, 86.1894)*CHOOSE(CONTROL!$C$21, $C$9, 100%, $E$9)</f>
        <v>86.189400000000006</v>
      </c>
      <c r="H870" s="14">
        <f>CHOOSE(CONTROL!$C$42, 86.4195, 86.4195) * CHOOSE(CONTROL!$C$21, $C$9, 100%, $E$9)</f>
        <v>86.419499999999999</v>
      </c>
      <c r="I870" s="14">
        <f>CHOOSE(CONTROL!$C$42, 86.4643, 86.4643)* CHOOSE(CONTROL!$C$21, $C$9, 100%, $E$9)</f>
        <v>86.464299999999994</v>
      </c>
      <c r="J870" s="14">
        <f>CHOOSE(CONTROL!$C$42, 86.1659, 86.1659)* CHOOSE(CONTROL!$C$21, $C$9, 100%, $E$9)</f>
        <v>86.165899999999993</v>
      </c>
      <c r="K870" s="53">
        <f>CHOOSE(CONTROL!$C$42, 86.4604, 86.4604) * CHOOSE(CONTROL!$C$21, $C$9, 100%, $E$9)</f>
        <v>86.460400000000007</v>
      </c>
      <c r="L870" s="14">
        <f>CHOOSE(CONTROL!$C$42, 87.0065, 87.0065) * CHOOSE(CONTROL!$C$21, $C$9, 100%, $E$9)</f>
        <v>87.006500000000003</v>
      </c>
      <c r="M870" s="14">
        <f>CHOOSE(CONTROL!$C$42, 84.4081, 84.4081) * CHOOSE(CONTROL!$C$21, $C$9, 100%, $E$9)</f>
        <v>84.408100000000005</v>
      </c>
      <c r="N870" s="14">
        <f>CHOOSE(CONTROL!$C$42, 84.4243, 84.4243) * CHOOSE(CONTROL!$C$21, $C$9, 100%, $E$9)</f>
        <v>84.424300000000002</v>
      </c>
      <c r="O870" s="14">
        <f>CHOOSE(CONTROL!$C$42, 84.6565, 84.6565) * CHOOSE(CONTROL!$C$21, $C$9, 100%, $E$9)</f>
        <v>84.656499999999994</v>
      </c>
      <c r="P870" s="14">
        <f>CHOOSE(CONTROL!$C$42, 84.6951, 84.6951) * CHOOSE(CONTROL!$C$21, $C$9, 100%, $E$9)</f>
        <v>84.695099999999996</v>
      </c>
      <c r="Q870" s="14">
        <f>CHOOSE(CONTROL!$C$42, 85.2512, 85.2512) * CHOOSE(CONTROL!$C$21, $C$9, 100%, $E$9)</f>
        <v>85.251199999999997</v>
      </c>
      <c r="R870" s="14">
        <f>CHOOSE(CONTROL!$C$42, 86.0513, 86.0513) * CHOOSE(CONTROL!$C$21, $C$9, 100%, $E$9)</f>
        <v>86.051299999999998</v>
      </c>
      <c r="S870" s="14">
        <f>CHOOSE(CONTROL!$C$42, 82.8058, 82.8058) * CHOOSE(CONTROL!$C$21, $C$9, 100%, $E$9)</f>
        <v>82.805800000000005</v>
      </c>
      <c r="T8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7">
        <f>(1000*CHOOSE(CONTROL!$C$42, 695, 695)*CHOOSE(CONTROL!$C$42, 0.5599, 0.5599)*CHOOSE(CONTROL!$C$42, 30, 30))/1000000</f>
        <v>11.673914999999997</v>
      </c>
      <c r="V870" s="57">
        <f>(1000*CHOOSE(CONTROL!$C$42, 500, 500)*CHOOSE(CONTROL!$C$42, 0.275, 0.275)*CHOOSE(CONTROL!$C$42, 30, 30))/1000000</f>
        <v>4.125</v>
      </c>
      <c r="W870" s="57">
        <f>(1000*CHOOSE(CONTROL!$C$42, 0.1146, 0.1146)*CHOOSE(CONTROL!$C$42, 121.5, 121.5)*CHOOSE(CONTROL!$C$42, 30, 30))/1000000</f>
        <v>0.417717</v>
      </c>
      <c r="X870" s="57">
        <f>(30*0.1790888*245000/1000000)+(30*0.2374*100000/1000000)</f>
        <v>2.0285026799999999</v>
      </c>
      <c r="Y870" s="57"/>
      <c r="Z870" s="14"/>
      <c r="AA870" s="56"/>
      <c r="AB870" s="50">
        <f>(B870*194.205+C870*267.466+D870*133.845+E870*53.484+F870*40+G870*185+H870*0+I870*100+J870*300)/(194.205+267.466+133.845+53.484+0+40+185+100+300)</f>
        <v>86.237714915698589</v>
      </c>
      <c r="AC870" s="45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84.562911510791366</v>
      </c>
    </row>
    <row r="871" spans="1:29" ht="15.75" x14ac:dyDescent="0.25">
      <c r="A871" s="32">
        <v>67419</v>
      </c>
      <c r="B871" s="14">
        <f>CHOOSE(CONTROL!$C$42, 84.5331, 84.5331) * CHOOSE(CONTROL!$C$21, $C$9, 100%, $E$9)</f>
        <v>84.533100000000005</v>
      </c>
      <c r="C871" s="14">
        <f>CHOOSE(CONTROL!$C$42, 84.5412, 84.5412) * CHOOSE(CONTROL!$C$21, $C$9, 100%, $E$9)</f>
        <v>84.541200000000003</v>
      </c>
      <c r="D871" s="14">
        <f>CHOOSE(CONTROL!$C$42, 84.7461, 84.7461) * CHOOSE(CONTROL!$C$21, $C$9, 100%, $E$9)</f>
        <v>84.746099999999998</v>
      </c>
      <c r="E871" s="14">
        <f>CHOOSE(CONTROL!$C$42, 84.7776, 84.7776) * CHOOSE(CONTROL!$C$21, $C$9, 100%, $E$9)</f>
        <v>84.777600000000007</v>
      </c>
      <c r="F871" s="14">
        <f>CHOOSE(CONTROL!$C$42, 84.5201, 84.5201)*CHOOSE(CONTROL!$C$21, $C$9, 100%, $E$9)</f>
        <v>84.520099999999999</v>
      </c>
      <c r="G871" s="14">
        <f>CHOOSE(CONTROL!$C$42, 84.5367, 84.5367)*CHOOSE(CONTROL!$C$21, $C$9, 100%, $E$9)</f>
        <v>84.536699999999996</v>
      </c>
      <c r="H871" s="14">
        <f>CHOOSE(CONTROL!$C$42, 84.7662, 84.7662) * CHOOSE(CONTROL!$C$21, $C$9, 100%, $E$9)</f>
        <v>84.766199999999998</v>
      </c>
      <c r="I871" s="14">
        <f>CHOOSE(CONTROL!$C$42, 84.8059, 84.8059)* CHOOSE(CONTROL!$C$21, $C$9, 100%, $E$9)</f>
        <v>84.805899999999994</v>
      </c>
      <c r="J871" s="14">
        <f>CHOOSE(CONTROL!$C$42, 84.5131, 84.5131)* CHOOSE(CONTROL!$C$21, $C$9, 100%, $E$9)</f>
        <v>84.513099999999994</v>
      </c>
      <c r="K871" s="53">
        <f>CHOOSE(CONTROL!$C$42, 84.802, 84.802) * CHOOSE(CONTROL!$C$21, $C$9, 100%, $E$9)</f>
        <v>84.802000000000007</v>
      </c>
      <c r="L871" s="14">
        <f>CHOOSE(CONTROL!$C$42, 85.3532, 85.3532) * CHOOSE(CONTROL!$C$21, $C$9, 100%, $E$9)</f>
        <v>85.353200000000001</v>
      </c>
      <c r="M871" s="14">
        <f>CHOOSE(CONTROL!$C$42, 82.7892, 82.7892) * CHOOSE(CONTROL!$C$21, $C$9, 100%, $E$9)</f>
        <v>82.789199999999994</v>
      </c>
      <c r="N871" s="14">
        <f>CHOOSE(CONTROL!$C$42, 82.8055, 82.8055) * CHOOSE(CONTROL!$C$21, $C$9, 100%, $E$9)</f>
        <v>82.805499999999995</v>
      </c>
      <c r="O871" s="14">
        <f>CHOOSE(CONTROL!$C$42, 83.0371, 83.0371) * CHOOSE(CONTROL!$C$21, $C$9, 100%, $E$9)</f>
        <v>83.037099999999995</v>
      </c>
      <c r="P871" s="14">
        <f>CHOOSE(CONTROL!$C$42, 83.0708, 83.0708) * CHOOSE(CONTROL!$C$21, $C$9, 100%, $E$9)</f>
        <v>83.070800000000006</v>
      </c>
      <c r="Q871" s="14">
        <f>CHOOSE(CONTROL!$C$42, 83.6318, 83.6318) * CHOOSE(CONTROL!$C$21, $C$9, 100%, $E$9)</f>
        <v>83.631799999999998</v>
      </c>
      <c r="R871" s="14">
        <f>CHOOSE(CONTROL!$C$42, 84.4279, 84.4279) * CHOOSE(CONTROL!$C$21, $C$9, 100%, $E$9)</f>
        <v>84.427899999999994</v>
      </c>
      <c r="S871" s="14">
        <f>CHOOSE(CONTROL!$C$42, 81.2173, 81.2173) * CHOOSE(CONTROL!$C$21, $C$9, 100%, $E$9)</f>
        <v>81.217299999999994</v>
      </c>
      <c r="T8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7">
        <f>(1000*CHOOSE(CONTROL!$C$42, 695, 695)*CHOOSE(CONTROL!$C$42, 0.5599, 0.5599)*CHOOSE(CONTROL!$C$42, 31, 31))/1000000</f>
        <v>12.063045499999998</v>
      </c>
      <c r="V871" s="57">
        <f>(1000*CHOOSE(CONTROL!$C$42, 500, 500)*CHOOSE(CONTROL!$C$42, 0.275, 0.275)*CHOOSE(CONTROL!$C$42, 31, 31))/1000000</f>
        <v>4.2625000000000002</v>
      </c>
      <c r="W871" s="57">
        <f>(1000*CHOOSE(CONTROL!$C$42, 0.1146, 0.1146)*CHOOSE(CONTROL!$C$42, 121.5, 121.5)*CHOOSE(CONTROL!$C$42, 31, 31))/1000000</f>
        <v>0.43164089999999994</v>
      </c>
      <c r="X871" s="57">
        <f>(31*0.1790888*245000/1000000)+(31*0.2374*100000/1000000)</f>
        <v>2.0961194359999999</v>
      </c>
      <c r="Y871" s="57"/>
      <c r="Z871" s="14"/>
      <c r="AA871" s="56"/>
      <c r="AB871" s="50">
        <f>(B871*194.205+C871*267.466+D871*133.845+E871*53.484+F871*40+G871*185+H871*0+I871*100+J871*300)/(194.205+267.466+133.845+53.484+0+40+185+100+300)</f>
        <v>84.584260359183673</v>
      </c>
      <c r="AC871" s="45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82.943013669064754</v>
      </c>
    </row>
    <row r="872" spans="1:29" ht="15.75" x14ac:dyDescent="0.25">
      <c r="A872" s="32">
        <v>67450</v>
      </c>
      <c r="B872" s="14">
        <f>CHOOSE(CONTROL!$C$42, 80.3582, 80.3582) * CHOOSE(CONTROL!$C$21, $C$9, 100%, $E$9)</f>
        <v>80.358199999999997</v>
      </c>
      <c r="C872" s="14">
        <f>CHOOSE(CONTROL!$C$42, 80.3662, 80.3662) * CHOOSE(CONTROL!$C$21, $C$9, 100%, $E$9)</f>
        <v>80.366200000000006</v>
      </c>
      <c r="D872" s="14">
        <f>CHOOSE(CONTROL!$C$42, 80.5712, 80.5712) * CHOOSE(CONTROL!$C$21, $C$9, 100%, $E$9)</f>
        <v>80.571200000000005</v>
      </c>
      <c r="E872" s="14">
        <f>CHOOSE(CONTROL!$C$42, 80.6027, 80.6027) * CHOOSE(CONTROL!$C$21, $C$9, 100%, $E$9)</f>
        <v>80.602699999999999</v>
      </c>
      <c r="F872" s="14">
        <f>CHOOSE(CONTROL!$C$42, 80.3454, 80.3454)*CHOOSE(CONTROL!$C$21, $C$9, 100%, $E$9)</f>
        <v>80.345399999999998</v>
      </c>
      <c r="G872" s="14">
        <f>CHOOSE(CONTROL!$C$42, 80.3621, 80.3621)*CHOOSE(CONTROL!$C$21, $C$9, 100%, $E$9)</f>
        <v>80.362099999999998</v>
      </c>
      <c r="H872" s="14">
        <f>CHOOSE(CONTROL!$C$42, 80.5913, 80.5913) * CHOOSE(CONTROL!$C$21, $C$9, 100%, $E$9)</f>
        <v>80.591300000000004</v>
      </c>
      <c r="I872" s="14">
        <f>CHOOSE(CONTROL!$C$42, 80.6179, 80.6179)* CHOOSE(CONTROL!$C$21, $C$9, 100%, $E$9)</f>
        <v>80.617900000000006</v>
      </c>
      <c r="J872" s="14">
        <f>CHOOSE(CONTROL!$C$42, 80.3384, 80.3384)* CHOOSE(CONTROL!$C$21, $C$9, 100%, $E$9)</f>
        <v>80.338399999999993</v>
      </c>
      <c r="K872" s="53">
        <f>CHOOSE(CONTROL!$C$42, 80.614, 80.614) * CHOOSE(CONTROL!$C$21, $C$9, 100%, $E$9)</f>
        <v>80.614000000000004</v>
      </c>
      <c r="L872" s="14">
        <f>CHOOSE(CONTROL!$C$42, 81.1783, 81.1783) * CHOOSE(CONTROL!$C$21, $C$9, 100%, $E$9)</f>
        <v>81.178299999999993</v>
      </c>
      <c r="M872" s="14">
        <f>CHOOSE(CONTROL!$C$42, 78.7, 78.7) * CHOOSE(CONTROL!$C$21, $C$9, 100%, $E$9)</f>
        <v>78.7</v>
      </c>
      <c r="N872" s="14">
        <f>CHOOSE(CONTROL!$C$42, 78.7163, 78.7163) * CHOOSE(CONTROL!$C$21, $C$9, 100%, $E$9)</f>
        <v>78.716300000000004</v>
      </c>
      <c r="O872" s="14">
        <f>CHOOSE(CONTROL!$C$42, 78.9477, 78.9477) * CHOOSE(CONTROL!$C$21, $C$9, 100%, $E$9)</f>
        <v>78.947699999999998</v>
      </c>
      <c r="P872" s="14">
        <f>CHOOSE(CONTROL!$C$42, 78.9688, 78.9688) * CHOOSE(CONTROL!$C$21, $C$9, 100%, $E$9)</f>
        <v>78.968800000000002</v>
      </c>
      <c r="Q872" s="14">
        <f>CHOOSE(CONTROL!$C$42, 79.5424, 79.5424) * CHOOSE(CONTROL!$C$21, $C$9, 100%, $E$9)</f>
        <v>79.542400000000001</v>
      </c>
      <c r="R872" s="14">
        <f>CHOOSE(CONTROL!$C$42, 80.3283, 80.3283) * CHOOSE(CONTROL!$C$21, $C$9, 100%, $E$9)</f>
        <v>80.328299999999999</v>
      </c>
      <c r="S872" s="14">
        <f>CHOOSE(CONTROL!$C$42, 77.2056, 77.2056) * CHOOSE(CONTROL!$C$21, $C$9, 100%, $E$9)</f>
        <v>77.205600000000004</v>
      </c>
      <c r="T8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7">
        <f>(1000*CHOOSE(CONTROL!$C$42, 695, 695)*CHOOSE(CONTROL!$C$42, 0.5599, 0.5599)*CHOOSE(CONTROL!$C$42, 31, 31))/1000000</f>
        <v>12.063045499999998</v>
      </c>
      <c r="V872" s="57">
        <f>(1000*CHOOSE(CONTROL!$C$42, 500, 500)*CHOOSE(CONTROL!$C$42, 0.275, 0.275)*CHOOSE(CONTROL!$C$42, 31, 31))/1000000</f>
        <v>4.2625000000000002</v>
      </c>
      <c r="W872" s="57">
        <f>(1000*CHOOSE(CONTROL!$C$42, 0.1146, 0.1146)*CHOOSE(CONTROL!$C$42, 121.5, 121.5)*CHOOSE(CONTROL!$C$42, 31, 31))/1000000</f>
        <v>0.43164089999999994</v>
      </c>
      <c r="X872" s="57">
        <f>(31*0.1790888*245000/1000000)+(31*0.2374*100000/1000000)</f>
        <v>2.0961194359999999</v>
      </c>
      <c r="Y872" s="57"/>
      <c r="Z872" s="14"/>
      <c r="AA872" s="56"/>
      <c r="AB872" s="50">
        <f>(B872*194.205+C872*267.466+D872*133.845+E872*53.484+F872*40+G872*185+H872*0+I872*100+J872*300)/(194.205+267.466+133.845+53.484+0+40+185+100+300)</f>
        <v>80.408408046310839</v>
      </c>
      <c r="AC872" s="45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78.851881294964031</v>
      </c>
    </row>
    <row r="873" spans="1:29" ht="15.75" x14ac:dyDescent="0.25">
      <c r="A873" s="32">
        <v>67480</v>
      </c>
      <c r="B873" s="14">
        <f>CHOOSE(CONTROL!$C$42, 75.2568, 75.2568) * CHOOSE(CONTROL!$C$21, $C$9, 100%, $E$9)</f>
        <v>75.256799999999998</v>
      </c>
      <c r="C873" s="14">
        <f>CHOOSE(CONTROL!$C$42, 75.2648, 75.2648) * CHOOSE(CONTROL!$C$21, $C$9, 100%, $E$9)</f>
        <v>75.264799999999994</v>
      </c>
      <c r="D873" s="14">
        <f>CHOOSE(CONTROL!$C$42, 75.4698, 75.4698) * CHOOSE(CONTROL!$C$21, $C$9, 100%, $E$9)</f>
        <v>75.469800000000006</v>
      </c>
      <c r="E873" s="14">
        <f>CHOOSE(CONTROL!$C$42, 75.5013, 75.5013) * CHOOSE(CONTROL!$C$21, $C$9, 100%, $E$9)</f>
        <v>75.501300000000001</v>
      </c>
      <c r="F873" s="14">
        <f>CHOOSE(CONTROL!$C$42, 75.244, 75.244)*CHOOSE(CONTROL!$C$21, $C$9, 100%, $E$9)</f>
        <v>75.244</v>
      </c>
      <c r="G873" s="14">
        <f>CHOOSE(CONTROL!$C$42, 75.2606, 75.2606)*CHOOSE(CONTROL!$C$21, $C$9, 100%, $E$9)</f>
        <v>75.260599999999997</v>
      </c>
      <c r="H873" s="14">
        <f>CHOOSE(CONTROL!$C$42, 75.4899, 75.4899) * CHOOSE(CONTROL!$C$21, $C$9, 100%, $E$9)</f>
        <v>75.489900000000006</v>
      </c>
      <c r="I873" s="14">
        <f>CHOOSE(CONTROL!$C$42, 75.5005, 75.5005)* CHOOSE(CONTROL!$C$21, $C$9, 100%, $E$9)</f>
        <v>75.500500000000002</v>
      </c>
      <c r="J873" s="14">
        <f>CHOOSE(CONTROL!$C$42, 75.237, 75.237)* CHOOSE(CONTROL!$C$21, $C$9, 100%, $E$9)</f>
        <v>75.236999999999995</v>
      </c>
      <c r="K873" s="53">
        <f>CHOOSE(CONTROL!$C$42, 75.4966, 75.4966) * CHOOSE(CONTROL!$C$21, $C$9, 100%, $E$9)</f>
        <v>75.496600000000001</v>
      </c>
      <c r="L873" s="14">
        <f>CHOOSE(CONTROL!$C$42, 76.0769, 76.0769) * CHOOSE(CONTROL!$C$21, $C$9, 100%, $E$9)</f>
        <v>76.076899999999995</v>
      </c>
      <c r="M873" s="14">
        <f>CHOOSE(CONTROL!$C$42, 73.7031, 73.7031) * CHOOSE(CONTROL!$C$21, $C$9, 100%, $E$9)</f>
        <v>73.703100000000006</v>
      </c>
      <c r="N873" s="14">
        <f>CHOOSE(CONTROL!$C$42, 73.7194, 73.7194) * CHOOSE(CONTROL!$C$21, $C$9, 100%, $E$9)</f>
        <v>73.719399999999993</v>
      </c>
      <c r="O873" s="14">
        <f>CHOOSE(CONTROL!$C$42, 73.9508, 73.9508) * CHOOSE(CONTROL!$C$21, $C$9, 100%, $E$9)</f>
        <v>73.950800000000001</v>
      </c>
      <c r="P873" s="14">
        <f>CHOOSE(CONTROL!$C$42, 73.9566, 73.9566) * CHOOSE(CONTROL!$C$21, $C$9, 100%, $E$9)</f>
        <v>73.956599999999995</v>
      </c>
      <c r="Q873" s="14">
        <f>CHOOSE(CONTROL!$C$42, 74.5455, 74.5455) * CHOOSE(CONTROL!$C$21, $C$9, 100%, $E$9)</f>
        <v>74.545500000000004</v>
      </c>
      <c r="R873" s="14">
        <f>CHOOSE(CONTROL!$C$42, 75.3189, 75.3189) * CHOOSE(CONTROL!$C$21, $C$9, 100%, $E$9)</f>
        <v>75.318899999999999</v>
      </c>
      <c r="S873" s="14">
        <f>CHOOSE(CONTROL!$C$42, 72.3036, 72.3036) * CHOOSE(CONTROL!$C$21, $C$9, 100%, $E$9)</f>
        <v>72.303600000000003</v>
      </c>
      <c r="T8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7">
        <f>(1000*CHOOSE(CONTROL!$C$42, 695, 695)*CHOOSE(CONTROL!$C$42, 0.5599, 0.5599)*CHOOSE(CONTROL!$C$42, 30, 30))/1000000</f>
        <v>11.673914999999997</v>
      </c>
      <c r="V873" s="57">
        <f>(1000*CHOOSE(CONTROL!$C$42, 500, 500)*CHOOSE(CONTROL!$C$42, 0.275, 0.275)*CHOOSE(CONTROL!$C$42, 30, 30))/1000000</f>
        <v>4.125</v>
      </c>
      <c r="W873" s="57">
        <f>(1000*CHOOSE(CONTROL!$C$42, 0.1146, 0.1146)*CHOOSE(CONTROL!$C$42, 121.5, 121.5)*CHOOSE(CONTROL!$C$42, 30, 30))/1000000</f>
        <v>0.417717</v>
      </c>
      <c r="X873" s="57">
        <f>(30*0.1790888*245000/1000000)+(30*0.2374*100000/1000000)</f>
        <v>2.0285026799999999</v>
      </c>
      <c r="Y873" s="57"/>
      <c r="Z873" s="14"/>
      <c r="AA873" s="56"/>
      <c r="AB873" s="50">
        <f>(B873*194.205+C873*267.466+D873*133.845+E873*53.484+F873*40+G873*185+H873*0+I873*100+J873*300)/(194.205+267.466+133.845+53.484+0+40+185+100+300)</f>
        <v>75.305737638147576</v>
      </c>
      <c r="AC873" s="45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73.852779856115106</v>
      </c>
    </row>
    <row r="874" spans="1:29" ht="15.75" x14ac:dyDescent="0.25">
      <c r="A874" s="32">
        <v>67511</v>
      </c>
      <c r="B874" s="14">
        <f>CHOOSE(CONTROL!$C$42, 73.7273, 73.7273) * CHOOSE(CONTROL!$C$21, $C$9, 100%, $E$9)</f>
        <v>73.7273</v>
      </c>
      <c r="C874" s="14">
        <f>CHOOSE(CONTROL!$C$42, 73.7326, 73.7326) * CHOOSE(CONTROL!$C$21, $C$9, 100%, $E$9)</f>
        <v>73.732600000000005</v>
      </c>
      <c r="D874" s="14">
        <f>CHOOSE(CONTROL!$C$42, 73.9425, 73.9425) * CHOOSE(CONTROL!$C$21, $C$9, 100%, $E$9)</f>
        <v>73.942499999999995</v>
      </c>
      <c r="E874" s="14">
        <f>CHOOSE(CONTROL!$C$42, 73.9716, 73.9716) * CHOOSE(CONTROL!$C$21, $C$9, 100%, $E$9)</f>
        <v>73.971599999999995</v>
      </c>
      <c r="F874" s="14">
        <f>CHOOSE(CONTROL!$C$42, 73.7165, 73.7165)*CHOOSE(CONTROL!$C$21, $C$9, 100%, $E$9)</f>
        <v>73.716499999999996</v>
      </c>
      <c r="G874" s="14">
        <f>CHOOSE(CONTROL!$C$42, 73.7328, 73.7328)*CHOOSE(CONTROL!$C$21, $C$9, 100%, $E$9)</f>
        <v>73.732799999999997</v>
      </c>
      <c r="H874" s="14">
        <f>CHOOSE(CONTROL!$C$42, 73.9621, 73.9621) * CHOOSE(CONTROL!$C$21, $C$9, 100%, $E$9)</f>
        <v>73.962100000000007</v>
      </c>
      <c r="I874" s="14">
        <f>CHOOSE(CONTROL!$C$42, 73.968, 73.968)* CHOOSE(CONTROL!$C$21, $C$9, 100%, $E$9)</f>
        <v>73.968000000000004</v>
      </c>
      <c r="J874" s="14">
        <f>CHOOSE(CONTROL!$C$42, 73.7095, 73.7095)* CHOOSE(CONTROL!$C$21, $C$9, 100%, $E$9)</f>
        <v>73.709500000000006</v>
      </c>
      <c r="K874" s="53">
        <f>CHOOSE(CONTROL!$C$42, 73.9641, 73.9641) * CHOOSE(CONTROL!$C$21, $C$9, 100%, $E$9)</f>
        <v>73.964100000000002</v>
      </c>
      <c r="L874" s="14">
        <f>CHOOSE(CONTROL!$C$42, 74.5491, 74.5491) * CHOOSE(CONTROL!$C$21, $C$9, 100%, $E$9)</f>
        <v>74.549099999999996</v>
      </c>
      <c r="M874" s="14">
        <f>CHOOSE(CONTROL!$C$42, 72.2069, 72.2069) * CHOOSE(CONTROL!$C$21, $C$9, 100%, $E$9)</f>
        <v>72.206900000000005</v>
      </c>
      <c r="N874" s="14">
        <f>CHOOSE(CONTROL!$C$42, 72.2229, 72.2229) * CHOOSE(CONTROL!$C$21, $C$9, 100%, $E$9)</f>
        <v>72.222899999999996</v>
      </c>
      <c r="O874" s="14">
        <f>CHOOSE(CONTROL!$C$42, 72.4544, 72.4544) * CHOOSE(CONTROL!$C$21, $C$9, 100%, $E$9)</f>
        <v>72.454400000000007</v>
      </c>
      <c r="P874" s="14">
        <f>CHOOSE(CONTROL!$C$42, 72.4555, 72.4555) * CHOOSE(CONTROL!$C$21, $C$9, 100%, $E$9)</f>
        <v>72.455500000000001</v>
      </c>
      <c r="Q874" s="14">
        <f>CHOOSE(CONTROL!$C$42, 73.0491, 73.0491) * CHOOSE(CONTROL!$C$21, $C$9, 100%, $E$9)</f>
        <v>73.049099999999996</v>
      </c>
      <c r="R874" s="14">
        <f>CHOOSE(CONTROL!$C$42, 73.8187, 73.8187) * CHOOSE(CONTROL!$C$21, $C$9, 100%, $E$9)</f>
        <v>73.818700000000007</v>
      </c>
      <c r="S874" s="14">
        <f>CHOOSE(CONTROL!$C$42, 70.8356, 70.8356) * CHOOSE(CONTROL!$C$21, $C$9, 100%, $E$9)</f>
        <v>70.835599999999999</v>
      </c>
      <c r="T8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7">
        <f>(1000*CHOOSE(CONTROL!$C$42, 695, 695)*CHOOSE(CONTROL!$C$42, 0.5599, 0.5599)*CHOOSE(CONTROL!$C$42, 31, 31))/1000000</f>
        <v>12.063045499999998</v>
      </c>
      <c r="V874" s="57">
        <f>(1000*CHOOSE(CONTROL!$C$42, 500, 500)*CHOOSE(CONTROL!$C$42, 0.275, 0.275)*CHOOSE(CONTROL!$C$42, 31, 31))/1000000</f>
        <v>4.2625000000000002</v>
      </c>
      <c r="W874" s="57">
        <f>(1000*CHOOSE(CONTROL!$C$42, 0.1146, 0.1146)*CHOOSE(CONTROL!$C$42, 121.5, 121.5)*CHOOSE(CONTROL!$C$42, 31, 31))/1000000</f>
        <v>0.43164089999999994</v>
      </c>
      <c r="X874" s="57">
        <f>(31*0.1790888*245000/1000000)+(31*0.2374*100000/1000000)</f>
        <v>2.0961194359999999</v>
      </c>
      <c r="Y874" s="57"/>
      <c r="Z874" s="14"/>
      <c r="AA874" s="56"/>
      <c r="AB874" s="50">
        <f>(B874*131.881+C874*277.167+D874*79.08+E874*125.872+F874*40+G874*185+H874*0+I874*100+J874*300)/(131.881+277.167+79.08+125.872+0+40+185+100+300)</f>
        <v>73.782629322598879</v>
      </c>
      <c r="AC874" s="45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72.355766906474827</v>
      </c>
    </row>
    <row r="875" spans="1:29" ht="15.75" x14ac:dyDescent="0.25">
      <c r="A875" s="32">
        <v>67541</v>
      </c>
      <c r="B875" s="14">
        <f>CHOOSE(CONTROL!$C$42, 75.6689, 75.6689) * CHOOSE(CONTROL!$C$21, $C$9, 100%, $E$9)</f>
        <v>75.668899999999994</v>
      </c>
      <c r="C875" s="14">
        <f>CHOOSE(CONTROL!$C$42, 75.674, 75.674) * CHOOSE(CONTROL!$C$21, $C$9, 100%, $E$9)</f>
        <v>75.674000000000007</v>
      </c>
      <c r="D875" s="14">
        <f>CHOOSE(CONTROL!$C$42, 75.7378, 75.7378) * CHOOSE(CONTROL!$C$21, $C$9, 100%, $E$9)</f>
        <v>75.737799999999993</v>
      </c>
      <c r="E875" s="14">
        <f>CHOOSE(CONTROL!$C$42, 75.7719, 75.7719) * CHOOSE(CONTROL!$C$21, $C$9, 100%, $E$9)</f>
        <v>75.771900000000002</v>
      </c>
      <c r="F875" s="14">
        <f>CHOOSE(CONTROL!$C$42, 75.6711, 75.6711)*CHOOSE(CONTROL!$C$21, $C$9, 100%, $E$9)</f>
        <v>75.671099999999996</v>
      </c>
      <c r="G875" s="14">
        <f>CHOOSE(CONTROL!$C$42, 75.6878, 75.6878)*CHOOSE(CONTROL!$C$21, $C$9, 100%, $E$9)</f>
        <v>75.687799999999996</v>
      </c>
      <c r="H875" s="14">
        <f>CHOOSE(CONTROL!$C$42, 75.7611, 75.7611) * CHOOSE(CONTROL!$C$21, $C$9, 100%, $E$9)</f>
        <v>75.761099999999999</v>
      </c>
      <c r="I875" s="14">
        <f>CHOOSE(CONTROL!$C$42, 75.9198, 75.9198)* CHOOSE(CONTROL!$C$21, $C$9, 100%, $E$9)</f>
        <v>75.919799999999995</v>
      </c>
      <c r="J875" s="14">
        <f>CHOOSE(CONTROL!$C$42, 75.6641, 75.6641)* CHOOSE(CONTROL!$C$21, $C$9, 100%, $E$9)</f>
        <v>75.664100000000005</v>
      </c>
      <c r="K875" s="53">
        <f>CHOOSE(CONTROL!$C$42, 75.9159, 75.9159) * CHOOSE(CONTROL!$C$21, $C$9, 100%, $E$9)</f>
        <v>75.915899999999993</v>
      </c>
      <c r="L875" s="14">
        <f>CHOOSE(CONTROL!$C$42, 76.3481, 76.3481) * CHOOSE(CONTROL!$C$21, $C$9, 100%, $E$9)</f>
        <v>76.348100000000002</v>
      </c>
      <c r="M875" s="14">
        <f>CHOOSE(CONTROL!$C$42, 74.1215, 74.1215) * CHOOSE(CONTROL!$C$21, $C$9, 100%, $E$9)</f>
        <v>74.121499999999997</v>
      </c>
      <c r="N875" s="14">
        <f>CHOOSE(CONTROL!$C$42, 74.1379, 74.1379) * CHOOSE(CONTROL!$C$21, $C$9, 100%, $E$9)</f>
        <v>74.137900000000002</v>
      </c>
      <c r="O875" s="14">
        <f>CHOOSE(CONTROL!$C$42, 74.2165, 74.2165) * CHOOSE(CONTROL!$C$21, $C$9, 100%, $E$9)</f>
        <v>74.216499999999996</v>
      </c>
      <c r="P875" s="14">
        <f>CHOOSE(CONTROL!$C$42, 74.3672, 74.3672) * CHOOSE(CONTROL!$C$21, $C$9, 100%, $E$9)</f>
        <v>74.367199999999997</v>
      </c>
      <c r="Q875" s="14">
        <f>CHOOSE(CONTROL!$C$42, 74.8112, 74.8112) * CHOOSE(CONTROL!$C$21, $C$9, 100%, $E$9)</f>
        <v>74.811199999999999</v>
      </c>
      <c r="R875" s="14">
        <f>CHOOSE(CONTROL!$C$42, 75.5852, 75.5852) * CHOOSE(CONTROL!$C$21, $C$9, 100%, $E$9)</f>
        <v>75.5852</v>
      </c>
      <c r="S875" s="14">
        <f>CHOOSE(CONTROL!$C$42, 72.7017, 72.7017) * CHOOSE(CONTROL!$C$21, $C$9, 100%, $E$9)</f>
        <v>72.701700000000002</v>
      </c>
      <c r="T8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7">
        <f>(1000*CHOOSE(CONTROL!$C$42, 695, 695)*CHOOSE(CONTROL!$C$42, 0.5599, 0.5599)*CHOOSE(CONTROL!$C$42, 30, 30))/1000000</f>
        <v>11.673914999999997</v>
      </c>
      <c r="V875" s="57">
        <f>(1000*CHOOSE(CONTROL!$C$42, 500, 500)*CHOOSE(CONTROL!$C$42, 0.275, 0.275)*CHOOSE(CONTROL!$C$42, 30, 30))/1000000</f>
        <v>4.125</v>
      </c>
      <c r="W875" s="57">
        <f>(1000*CHOOSE(CONTROL!$C$42, 0.1146, 0.1146)*CHOOSE(CONTROL!$C$42, 121.5, 121.5)*CHOOSE(CONTROL!$C$42, 30, 30))/1000000</f>
        <v>0.417717</v>
      </c>
      <c r="X875" s="57">
        <f>(30*0.1790888*100000/1000000)+(30*0.2374*100000/1000000)</f>
        <v>1.2494664</v>
      </c>
      <c r="Y875" s="57"/>
      <c r="Z875" s="14"/>
      <c r="AA875" s="56"/>
      <c r="AB875" s="50">
        <f>(B875*122.58+C875*297.941+D875*89.177+E875*40.302+F875*40+G875*160+H875*0+I875*100+J875*300)/(122.58+297.941+89.177+40.302+0+40+160+100+300)</f>
        <v>75.702445130782607</v>
      </c>
      <c r="AC875" s="45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74.200853956834536</v>
      </c>
    </row>
    <row r="876" spans="1:29" ht="15.75" x14ac:dyDescent="0.25">
      <c r="A876" s="32">
        <v>67572</v>
      </c>
      <c r="B876" s="14">
        <f>CHOOSE(CONTROL!$C$42, 80.8273, 80.8273) * CHOOSE(CONTROL!$C$21, $C$9, 100%, $E$9)</f>
        <v>80.827299999999994</v>
      </c>
      <c r="C876" s="14">
        <f>CHOOSE(CONTROL!$C$42, 80.8324, 80.8324) * CHOOSE(CONTROL!$C$21, $C$9, 100%, $E$9)</f>
        <v>80.832400000000007</v>
      </c>
      <c r="D876" s="14">
        <f>CHOOSE(CONTROL!$C$42, 80.8962, 80.8962) * CHOOSE(CONTROL!$C$21, $C$9, 100%, $E$9)</f>
        <v>80.896199999999993</v>
      </c>
      <c r="E876" s="14">
        <f>CHOOSE(CONTROL!$C$42, 80.9303, 80.9303) * CHOOSE(CONTROL!$C$21, $C$9, 100%, $E$9)</f>
        <v>80.930300000000003</v>
      </c>
      <c r="F876" s="14">
        <f>CHOOSE(CONTROL!$C$42, 80.8316, 80.8316)*CHOOSE(CONTROL!$C$21, $C$9, 100%, $E$9)</f>
        <v>80.831599999999995</v>
      </c>
      <c r="G876" s="14">
        <f>CHOOSE(CONTROL!$C$42, 80.8488, 80.8488)*CHOOSE(CONTROL!$C$21, $C$9, 100%, $E$9)</f>
        <v>80.848799999999997</v>
      </c>
      <c r="H876" s="14">
        <f>CHOOSE(CONTROL!$C$42, 80.9195, 80.9195) * CHOOSE(CONTROL!$C$21, $C$9, 100%, $E$9)</f>
        <v>80.919499999999999</v>
      </c>
      <c r="I876" s="14">
        <f>CHOOSE(CONTROL!$C$42, 81.0943, 81.0943)* CHOOSE(CONTROL!$C$21, $C$9, 100%, $E$9)</f>
        <v>81.094300000000004</v>
      </c>
      <c r="J876" s="14">
        <f>CHOOSE(CONTROL!$C$42, 80.8246, 80.8246)* CHOOSE(CONTROL!$C$21, $C$9, 100%, $E$9)</f>
        <v>80.824600000000004</v>
      </c>
      <c r="K876" s="53">
        <f>CHOOSE(CONTROL!$C$42, 81.0905, 81.0905) * CHOOSE(CONTROL!$C$21, $C$9, 100%, $E$9)</f>
        <v>81.090500000000006</v>
      </c>
      <c r="L876" s="14">
        <f>CHOOSE(CONTROL!$C$42, 81.5065, 81.5065) * CHOOSE(CONTROL!$C$21, $C$9, 100%, $E$9)</f>
        <v>81.506500000000003</v>
      </c>
      <c r="M876" s="14">
        <f>CHOOSE(CONTROL!$C$42, 79.1763, 79.1763) * CHOOSE(CONTROL!$C$21, $C$9, 100%, $E$9)</f>
        <v>79.176299999999998</v>
      </c>
      <c r="N876" s="14">
        <f>CHOOSE(CONTROL!$C$42, 79.1931, 79.1931) * CHOOSE(CONTROL!$C$21, $C$9, 100%, $E$9)</f>
        <v>79.193100000000001</v>
      </c>
      <c r="O876" s="14">
        <f>CHOOSE(CONTROL!$C$42, 79.2692, 79.2692) * CHOOSE(CONTROL!$C$21, $C$9, 100%, $E$9)</f>
        <v>79.269199999999998</v>
      </c>
      <c r="P876" s="14">
        <f>CHOOSE(CONTROL!$C$42, 79.4355, 79.4355) * CHOOSE(CONTROL!$C$21, $C$9, 100%, $E$9)</f>
        <v>79.435500000000005</v>
      </c>
      <c r="Q876" s="14">
        <f>CHOOSE(CONTROL!$C$42, 79.8639, 79.8639) * CHOOSE(CONTROL!$C$21, $C$9, 100%, $E$9)</f>
        <v>79.863900000000001</v>
      </c>
      <c r="R876" s="14">
        <f>CHOOSE(CONTROL!$C$42, 80.6506, 80.6506) * CHOOSE(CONTROL!$C$21, $C$9, 100%, $E$9)</f>
        <v>80.650599999999997</v>
      </c>
      <c r="S876" s="14">
        <f>CHOOSE(CONTROL!$C$42, 77.6584, 77.6584) * CHOOSE(CONTROL!$C$21, $C$9, 100%, $E$9)</f>
        <v>77.6584</v>
      </c>
      <c r="T8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7">
        <f>(1000*CHOOSE(CONTROL!$C$42, 695, 695)*CHOOSE(CONTROL!$C$42, 0.5599, 0.5599)*CHOOSE(CONTROL!$C$42, 31, 31))/1000000</f>
        <v>12.063045499999998</v>
      </c>
      <c r="V876" s="57">
        <f>(1000*CHOOSE(CONTROL!$C$42, 500, 500)*CHOOSE(CONTROL!$C$42, 0.275, 0.275)*CHOOSE(CONTROL!$C$42, 31, 31))/1000000</f>
        <v>4.2625000000000002</v>
      </c>
      <c r="W876" s="57">
        <f>(1000*CHOOSE(CONTROL!$C$42, 0.1146, 0.1146)*CHOOSE(CONTROL!$C$42, 121.5, 121.5)*CHOOSE(CONTROL!$C$42, 31, 31))/1000000</f>
        <v>0.43164089999999994</v>
      </c>
      <c r="X876" s="57">
        <f>(31*0.1790888*100000/1000000)+(31*0.2374*100000/1000000)</f>
        <v>1.2911152800000001</v>
      </c>
      <c r="Y876" s="57"/>
      <c r="Z876" s="14"/>
      <c r="AA876" s="56"/>
      <c r="AB876" s="50">
        <f>(B876*122.58+C876*297.941+D876*89.177+E876*40.302+F876*40+G876*160+H876*0+I876*100+J876*300)/(122.58+297.941+89.177+40.302+0+40+160+100+300)</f>
        <v>80.863227739478262</v>
      </c>
      <c r="AC876" s="45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79.256667625899283</v>
      </c>
    </row>
    <row r="877" spans="1:29" ht="15.75" x14ac:dyDescent="0.25">
      <c r="A877" s="32">
        <v>67603</v>
      </c>
      <c r="B877" s="14">
        <f>CHOOSE(CONTROL!$C$42, 87.4474, 87.4474) * CHOOSE(CONTROL!$C$21, $C$9, 100%, $E$9)</f>
        <v>87.447400000000002</v>
      </c>
      <c r="C877" s="14">
        <f>CHOOSE(CONTROL!$C$42, 87.4525, 87.4525) * CHOOSE(CONTROL!$C$21, $C$9, 100%, $E$9)</f>
        <v>87.452500000000001</v>
      </c>
      <c r="D877" s="14">
        <f>CHOOSE(CONTROL!$C$42, 87.5111, 87.5111) * CHOOSE(CONTROL!$C$21, $C$9, 100%, $E$9)</f>
        <v>87.511099999999999</v>
      </c>
      <c r="E877" s="14">
        <f>CHOOSE(CONTROL!$C$42, 87.5452, 87.5452) * CHOOSE(CONTROL!$C$21, $C$9, 100%, $E$9)</f>
        <v>87.545199999999994</v>
      </c>
      <c r="F877" s="14">
        <f>CHOOSE(CONTROL!$C$42, 87.4465, 87.4465)*CHOOSE(CONTROL!$C$21, $C$9, 100%, $E$9)</f>
        <v>87.4465</v>
      </c>
      <c r="G877" s="14">
        <f>CHOOSE(CONTROL!$C$42, 87.4629, 87.4629)*CHOOSE(CONTROL!$C$21, $C$9, 100%, $E$9)</f>
        <v>87.462900000000005</v>
      </c>
      <c r="H877" s="14">
        <f>CHOOSE(CONTROL!$C$42, 87.5344, 87.5344) * CHOOSE(CONTROL!$C$21, $C$9, 100%, $E$9)</f>
        <v>87.534400000000005</v>
      </c>
      <c r="I877" s="14">
        <f>CHOOSE(CONTROL!$C$42, 87.7315, 87.7315)* CHOOSE(CONTROL!$C$21, $C$9, 100%, $E$9)</f>
        <v>87.731499999999997</v>
      </c>
      <c r="J877" s="14">
        <f>CHOOSE(CONTROL!$C$42, 87.4395, 87.4395)* CHOOSE(CONTROL!$C$21, $C$9, 100%, $E$9)</f>
        <v>87.439499999999995</v>
      </c>
      <c r="K877" s="53">
        <f>CHOOSE(CONTROL!$C$42, 87.7276, 87.7276) * CHOOSE(CONTROL!$C$21, $C$9, 100%, $E$9)</f>
        <v>87.727599999999995</v>
      </c>
      <c r="L877" s="14">
        <f>CHOOSE(CONTROL!$C$42, 88.1214, 88.1214) * CHOOSE(CONTROL!$C$21, $C$9, 100%, $E$9)</f>
        <v>88.121399999999994</v>
      </c>
      <c r="M877" s="14">
        <f>CHOOSE(CONTROL!$C$42, 85.6556, 85.6556) * CHOOSE(CONTROL!$C$21, $C$9, 100%, $E$9)</f>
        <v>85.655600000000007</v>
      </c>
      <c r="N877" s="14">
        <f>CHOOSE(CONTROL!$C$42, 85.6717, 85.6717) * CHOOSE(CONTROL!$C$21, $C$9, 100%, $E$9)</f>
        <v>85.671700000000001</v>
      </c>
      <c r="O877" s="14">
        <f>CHOOSE(CONTROL!$C$42, 85.7486, 85.7486) * CHOOSE(CONTROL!$C$21, $C$9, 100%, $E$9)</f>
        <v>85.748599999999996</v>
      </c>
      <c r="P877" s="14">
        <f>CHOOSE(CONTROL!$C$42, 85.9362, 85.9362) * CHOOSE(CONTROL!$C$21, $C$9, 100%, $E$9)</f>
        <v>85.936199999999999</v>
      </c>
      <c r="Q877" s="14">
        <f>CHOOSE(CONTROL!$C$42, 86.3433, 86.3433) * CHOOSE(CONTROL!$C$21, $C$9, 100%, $E$9)</f>
        <v>86.343299999999999</v>
      </c>
      <c r="R877" s="14">
        <f>CHOOSE(CONTROL!$C$42, 87.1461, 87.1461) * CHOOSE(CONTROL!$C$21, $C$9, 100%, $E$9)</f>
        <v>87.146100000000004</v>
      </c>
      <c r="S877" s="14">
        <f>CHOOSE(CONTROL!$C$42, 84.0197, 84.0197) * CHOOSE(CONTROL!$C$21, $C$9, 100%, $E$9)</f>
        <v>84.0197</v>
      </c>
      <c r="T8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7">
        <f>(1000*CHOOSE(CONTROL!$C$42, 695, 695)*CHOOSE(CONTROL!$C$42, 0.5599, 0.5599)*CHOOSE(CONTROL!$C$42, 31, 31))/1000000</f>
        <v>12.063045499999998</v>
      </c>
      <c r="V877" s="57">
        <f>(1000*CHOOSE(CONTROL!$C$42, 500, 500)*CHOOSE(CONTROL!$C$42, 0.275, 0.275)*CHOOSE(CONTROL!$C$42, 31, 31))/1000000</f>
        <v>4.2625000000000002</v>
      </c>
      <c r="W877" s="57">
        <f>(1000*CHOOSE(CONTROL!$C$42, 0.1146, 0.1146)*CHOOSE(CONTROL!$C$42, 121.5, 121.5)*CHOOSE(CONTROL!$C$42, 31, 31))/1000000</f>
        <v>0.43164089999999994</v>
      </c>
      <c r="X877" s="57">
        <f>(31*0.1790888*100000/1000000)+(31*0.2374*100000/1000000)</f>
        <v>1.2911152800000001</v>
      </c>
      <c r="Y877" s="57"/>
      <c r="Z877" s="14"/>
      <c r="AA877" s="56"/>
      <c r="AB877" s="50">
        <f>(B877*122.58+C877*297.941+D877*89.177+E877*40.302+F877*40+G877*160+H877*0+I877*100+J877*300)/(122.58+297.941+89.177+40.302+0+40+160+100+300)</f>
        <v>87.481857051826083</v>
      </c>
      <c r="AC877" s="45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85.73905179856115</v>
      </c>
    </row>
    <row r="878" spans="1:29" ht="15.75" x14ac:dyDescent="0.25">
      <c r="A878" s="32">
        <v>67631</v>
      </c>
      <c r="B878" s="14">
        <f>CHOOSE(CONTROL!$C$42, 89.0039, 89.0039) * CHOOSE(CONTROL!$C$21, $C$9, 100%, $E$9)</f>
        <v>89.003900000000002</v>
      </c>
      <c r="C878" s="14">
        <f>CHOOSE(CONTROL!$C$42, 89.009, 89.009) * CHOOSE(CONTROL!$C$21, $C$9, 100%, $E$9)</f>
        <v>89.009</v>
      </c>
      <c r="D878" s="14">
        <f>CHOOSE(CONTROL!$C$42, 89.0676, 89.0676) * CHOOSE(CONTROL!$C$21, $C$9, 100%, $E$9)</f>
        <v>89.067599999999999</v>
      </c>
      <c r="E878" s="14">
        <f>CHOOSE(CONTROL!$C$42, 89.1017, 89.1017) * CHOOSE(CONTROL!$C$21, $C$9, 100%, $E$9)</f>
        <v>89.101699999999994</v>
      </c>
      <c r="F878" s="14">
        <f>CHOOSE(CONTROL!$C$42, 89.003, 89.003)*CHOOSE(CONTROL!$C$21, $C$9, 100%, $E$9)</f>
        <v>89.003</v>
      </c>
      <c r="G878" s="14">
        <f>CHOOSE(CONTROL!$C$42, 89.0194, 89.0194)*CHOOSE(CONTROL!$C$21, $C$9, 100%, $E$9)</f>
        <v>89.019400000000005</v>
      </c>
      <c r="H878" s="14">
        <f>CHOOSE(CONTROL!$C$42, 89.0909, 89.0909) * CHOOSE(CONTROL!$C$21, $C$9, 100%, $E$9)</f>
        <v>89.090900000000005</v>
      </c>
      <c r="I878" s="14">
        <f>CHOOSE(CONTROL!$C$42, 89.2929, 89.2929)* CHOOSE(CONTROL!$C$21, $C$9, 100%, $E$9)</f>
        <v>89.292900000000003</v>
      </c>
      <c r="J878" s="14">
        <f>CHOOSE(CONTROL!$C$42, 88.996, 88.996)* CHOOSE(CONTROL!$C$21, $C$9, 100%, $E$9)</f>
        <v>88.995999999999995</v>
      </c>
      <c r="K878" s="53">
        <f>CHOOSE(CONTROL!$C$42, 89.289, 89.289) * CHOOSE(CONTROL!$C$21, $C$9, 100%, $E$9)</f>
        <v>89.289000000000001</v>
      </c>
      <c r="L878" s="14">
        <f>CHOOSE(CONTROL!$C$42, 89.6779, 89.6779) * CHOOSE(CONTROL!$C$21, $C$9, 100%, $E$9)</f>
        <v>89.677899999999994</v>
      </c>
      <c r="M878" s="14">
        <f>CHOOSE(CONTROL!$C$42, 87.1802, 87.1802) * CHOOSE(CONTROL!$C$21, $C$9, 100%, $E$9)</f>
        <v>87.180199999999999</v>
      </c>
      <c r="N878" s="14">
        <f>CHOOSE(CONTROL!$C$42, 87.1963, 87.1963) * CHOOSE(CONTROL!$C$21, $C$9, 100%, $E$9)</f>
        <v>87.196299999999994</v>
      </c>
      <c r="O878" s="14">
        <f>CHOOSE(CONTROL!$C$42, 87.2732, 87.2732) * CHOOSE(CONTROL!$C$21, $C$9, 100%, $E$9)</f>
        <v>87.273200000000003</v>
      </c>
      <c r="P878" s="14">
        <f>CHOOSE(CONTROL!$C$42, 87.4655, 87.4655) * CHOOSE(CONTROL!$C$21, $C$9, 100%, $E$9)</f>
        <v>87.465500000000006</v>
      </c>
      <c r="Q878" s="14">
        <f>CHOOSE(CONTROL!$C$42, 87.8679, 87.8679) * CHOOSE(CONTROL!$C$21, $C$9, 100%, $E$9)</f>
        <v>87.867900000000006</v>
      </c>
      <c r="R878" s="14">
        <f>CHOOSE(CONTROL!$C$42, 88.6746, 88.6746) * CHOOSE(CONTROL!$C$21, $C$9, 100%, $E$9)</f>
        <v>88.674599999999998</v>
      </c>
      <c r="S878" s="14">
        <f>CHOOSE(CONTROL!$C$42, 85.5153, 85.5153) * CHOOSE(CONTROL!$C$21, $C$9, 100%, $E$9)</f>
        <v>85.515299999999996</v>
      </c>
      <c r="T8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7">
        <f>(1000*CHOOSE(CONTROL!$C$42, 695, 695)*CHOOSE(CONTROL!$C$42, 0.5599, 0.5599)*CHOOSE(CONTROL!$C$42, 28, 28))/1000000</f>
        <v>10.895653999999999</v>
      </c>
      <c r="V878" s="57">
        <f>(1000*CHOOSE(CONTROL!$C$42, 500, 500)*CHOOSE(CONTROL!$C$42, 0.275, 0.275)*CHOOSE(CONTROL!$C$42, 28, 28))/1000000</f>
        <v>3.85</v>
      </c>
      <c r="W878" s="57">
        <f>(1000*CHOOSE(CONTROL!$C$42, 0.1146, 0.1146)*CHOOSE(CONTROL!$C$42, 121.5, 121.5)*CHOOSE(CONTROL!$C$42, 28, 28))/1000000</f>
        <v>0.38986920000000003</v>
      </c>
      <c r="X878" s="57">
        <f>(28*0.1790888*100000/1000000)+(28*0.2374*100000/1000000)</f>
        <v>1.16616864</v>
      </c>
      <c r="Y878" s="57"/>
      <c r="Z878" s="14"/>
      <c r="AA878" s="56"/>
      <c r="AB878" s="50">
        <f>(B878*122.58+C878*297.941+D878*89.177+E878*40.302+F878*40+G878*160+H878*0+I878*100+J878*300)/(122.58+297.941+89.177+40.302+0+40+160+100+300)</f>
        <v>89.03878313878262</v>
      </c>
      <c r="AC878" s="45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87.264328057553953</v>
      </c>
    </row>
    <row r="879" spans="1:29" ht="15.75" x14ac:dyDescent="0.25">
      <c r="A879" s="32">
        <v>67662</v>
      </c>
      <c r="B879" s="14">
        <f>CHOOSE(CONTROL!$C$42, 86.4773, 86.4773) * CHOOSE(CONTROL!$C$21, $C$9, 100%, $E$9)</f>
        <v>86.4773</v>
      </c>
      <c r="C879" s="14">
        <f>CHOOSE(CONTROL!$C$42, 86.4824, 86.4824) * CHOOSE(CONTROL!$C$21, $C$9, 100%, $E$9)</f>
        <v>86.482399999999998</v>
      </c>
      <c r="D879" s="14">
        <f>CHOOSE(CONTROL!$C$42, 86.541, 86.541) * CHOOSE(CONTROL!$C$21, $C$9, 100%, $E$9)</f>
        <v>86.540999999999997</v>
      </c>
      <c r="E879" s="14">
        <f>CHOOSE(CONTROL!$C$42, 86.5751, 86.5751) * CHOOSE(CONTROL!$C$21, $C$9, 100%, $E$9)</f>
        <v>86.575100000000006</v>
      </c>
      <c r="F879" s="14">
        <f>CHOOSE(CONTROL!$C$42, 86.4759, 86.4759)*CHOOSE(CONTROL!$C$21, $C$9, 100%, $E$9)</f>
        <v>86.475899999999996</v>
      </c>
      <c r="G879" s="14">
        <f>CHOOSE(CONTROL!$C$42, 86.4921, 86.4921)*CHOOSE(CONTROL!$C$21, $C$9, 100%, $E$9)</f>
        <v>86.492099999999994</v>
      </c>
      <c r="H879" s="14">
        <f>CHOOSE(CONTROL!$C$42, 86.5643, 86.5643) * CHOOSE(CONTROL!$C$21, $C$9, 100%, $E$9)</f>
        <v>86.564300000000003</v>
      </c>
      <c r="I879" s="14">
        <f>CHOOSE(CONTROL!$C$42, 86.7584, 86.7584)* CHOOSE(CONTROL!$C$21, $C$9, 100%, $E$9)</f>
        <v>86.758399999999995</v>
      </c>
      <c r="J879" s="14">
        <f>CHOOSE(CONTROL!$C$42, 86.4689, 86.4689)* CHOOSE(CONTROL!$C$21, $C$9, 100%, $E$9)</f>
        <v>86.468900000000005</v>
      </c>
      <c r="K879" s="53">
        <f>CHOOSE(CONTROL!$C$42, 86.7545, 86.7545) * CHOOSE(CONTROL!$C$21, $C$9, 100%, $E$9)</f>
        <v>86.754499999999993</v>
      </c>
      <c r="L879" s="14">
        <f>CHOOSE(CONTROL!$C$42, 87.1513, 87.1513) * CHOOSE(CONTROL!$C$21, $C$9, 100%, $E$9)</f>
        <v>87.151300000000006</v>
      </c>
      <c r="M879" s="14">
        <f>CHOOSE(CONTROL!$C$42, 84.7049, 84.7049) * CHOOSE(CONTROL!$C$21, $C$9, 100%, $E$9)</f>
        <v>84.704899999999995</v>
      </c>
      <c r="N879" s="14">
        <f>CHOOSE(CONTROL!$C$42, 84.7208, 84.7208) * CHOOSE(CONTROL!$C$21, $C$9, 100%, $E$9)</f>
        <v>84.720799999999997</v>
      </c>
      <c r="O879" s="14">
        <f>CHOOSE(CONTROL!$C$42, 84.7984, 84.7984) * CHOOSE(CONTROL!$C$21, $C$9, 100%, $E$9)</f>
        <v>84.798400000000001</v>
      </c>
      <c r="P879" s="14">
        <f>CHOOSE(CONTROL!$C$42, 84.9831, 84.9831) * CHOOSE(CONTROL!$C$21, $C$9, 100%, $E$9)</f>
        <v>84.983099999999993</v>
      </c>
      <c r="Q879" s="14">
        <f>CHOOSE(CONTROL!$C$42, 85.3931, 85.3931) * CHOOSE(CONTROL!$C$21, $C$9, 100%, $E$9)</f>
        <v>85.393100000000004</v>
      </c>
      <c r="R879" s="14">
        <f>CHOOSE(CONTROL!$C$42, 86.1935, 86.1935) * CHOOSE(CONTROL!$C$21, $C$9, 100%, $E$9)</f>
        <v>86.1935</v>
      </c>
      <c r="S879" s="14">
        <f>CHOOSE(CONTROL!$C$42, 83.0875, 83.0875) * CHOOSE(CONTROL!$C$21, $C$9, 100%, $E$9)</f>
        <v>83.087500000000006</v>
      </c>
      <c r="T8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7">
        <f>(1000*CHOOSE(CONTROL!$C$42, 695, 695)*CHOOSE(CONTROL!$C$42, 0.5599, 0.5599)*CHOOSE(CONTROL!$C$42, 31, 31))/1000000</f>
        <v>12.063045499999998</v>
      </c>
      <c r="V879" s="57">
        <f>(1000*CHOOSE(CONTROL!$C$42, 500, 500)*CHOOSE(CONTROL!$C$42, 0.275, 0.275)*CHOOSE(CONTROL!$C$42, 31, 31))/1000000</f>
        <v>4.2625000000000002</v>
      </c>
      <c r="W879" s="57">
        <f>(1000*CHOOSE(CONTROL!$C$42, 0.1146, 0.1146)*CHOOSE(CONTROL!$C$42, 121.5, 121.5)*CHOOSE(CONTROL!$C$42, 31, 31))/1000000</f>
        <v>0.43164089999999994</v>
      </c>
      <c r="X879" s="57">
        <f>(31*0.1790888*100000/1000000)+(31*0.2374*100000/1000000)</f>
        <v>1.2911152800000001</v>
      </c>
      <c r="Y879" s="57"/>
      <c r="Z879" s="14"/>
      <c r="AA879" s="56"/>
      <c r="AB879" s="50">
        <f>(B879*122.58+C879*297.941+D879*89.177+E879*40.302+F879*40+G879*160+H879*0+I879*100+J879*300)/(122.58+297.941+89.177+40.302+0+40+160+100+300)</f>
        <v>86.511250964869561</v>
      </c>
      <c r="AC879" s="45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84.788221582733811</v>
      </c>
    </row>
    <row r="880" spans="1:29" ht="15.75" x14ac:dyDescent="0.25">
      <c r="A880" s="32">
        <v>67692</v>
      </c>
      <c r="B880" s="14">
        <f>CHOOSE(CONTROL!$C$42, 86.2196, 86.2196) * CHOOSE(CONTROL!$C$21, $C$9, 100%, $E$9)</f>
        <v>86.2196</v>
      </c>
      <c r="C880" s="14">
        <f>CHOOSE(CONTROL!$C$42, 86.2241, 86.2241) * CHOOSE(CONTROL!$C$21, $C$9, 100%, $E$9)</f>
        <v>86.224100000000007</v>
      </c>
      <c r="D880" s="14">
        <f>CHOOSE(CONTROL!$C$42, 86.4322, 86.4322) * CHOOSE(CONTROL!$C$21, $C$9, 100%, $E$9)</f>
        <v>86.432199999999995</v>
      </c>
      <c r="E880" s="14">
        <f>CHOOSE(CONTROL!$C$42, 86.4643, 86.4643) * CHOOSE(CONTROL!$C$21, $C$9, 100%, $E$9)</f>
        <v>86.464299999999994</v>
      </c>
      <c r="F880" s="14">
        <f>CHOOSE(CONTROL!$C$42, 86.2069, 86.2069)*CHOOSE(CONTROL!$C$21, $C$9, 100%, $E$9)</f>
        <v>86.206900000000005</v>
      </c>
      <c r="G880" s="14">
        <f>CHOOSE(CONTROL!$C$42, 86.2229, 86.2229)*CHOOSE(CONTROL!$C$21, $C$9, 100%, $E$9)</f>
        <v>86.222899999999996</v>
      </c>
      <c r="H880" s="14">
        <f>CHOOSE(CONTROL!$C$42, 86.4541, 86.4541) * CHOOSE(CONTROL!$C$21, $C$9, 100%, $E$9)</f>
        <v>86.454099999999997</v>
      </c>
      <c r="I880" s="14">
        <f>CHOOSE(CONTROL!$C$42, 86.4991, 86.4991)* CHOOSE(CONTROL!$C$21, $C$9, 100%, $E$9)</f>
        <v>86.499099999999999</v>
      </c>
      <c r="J880" s="14">
        <f>CHOOSE(CONTROL!$C$42, 86.1999, 86.1999)* CHOOSE(CONTROL!$C$21, $C$9, 100%, $E$9)</f>
        <v>86.1999</v>
      </c>
      <c r="K880" s="53">
        <f>CHOOSE(CONTROL!$C$42, 86.4952, 86.4952) * CHOOSE(CONTROL!$C$21, $C$9, 100%, $E$9)</f>
        <v>86.495199999999997</v>
      </c>
      <c r="L880" s="14">
        <f>CHOOSE(CONTROL!$C$42, 87.0411, 87.0411) * CHOOSE(CONTROL!$C$21, $C$9, 100%, $E$9)</f>
        <v>87.0411</v>
      </c>
      <c r="M880" s="14">
        <f>CHOOSE(CONTROL!$C$42, 84.4415, 84.4415) * CHOOSE(CONTROL!$C$21, $C$9, 100%, $E$9)</f>
        <v>84.441500000000005</v>
      </c>
      <c r="N880" s="14">
        <f>CHOOSE(CONTROL!$C$42, 84.4571, 84.4571) * CHOOSE(CONTROL!$C$21, $C$9, 100%, $E$9)</f>
        <v>84.457099999999997</v>
      </c>
      <c r="O880" s="14">
        <f>CHOOSE(CONTROL!$C$42, 84.6904, 84.6904) * CHOOSE(CONTROL!$C$21, $C$9, 100%, $E$9)</f>
        <v>84.690399999999997</v>
      </c>
      <c r="P880" s="14">
        <f>CHOOSE(CONTROL!$C$42, 84.7291, 84.7291) * CHOOSE(CONTROL!$C$21, $C$9, 100%, $E$9)</f>
        <v>84.729100000000003</v>
      </c>
      <c r="Q880" s="14">
        <f>CHOOSE(CONTROL!$C$42, 85.2851, 85.2851) * CHOOSE(CONTROL!$C$21, $C$9, 100%, $E$9)</f>
        <v>85.2851</v>
      </c>
      <c r="R880" s="14">
        <f>CHOOSE(CONTROL!$C$42, 86.0853, 86.0853) * CHOOSE(CONTROL!$C$21, $C$9, 100%, $E$9)</f>
        <v>86.085300000000004</v>
      </c>
      <c r="S880" s="14">
        <f>CHOOSE(CONTROL!$C$42, 82.8391, 82.8391) * CHOOSE(CONTROL!$C$21, $C$9, 100%, $E$9)</f>
        <v>82.839100000000002</v>
      </c>
      <c r="T8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7">
        <f>(1000*CHOOSE(CONTROL!$C$42, 695, 695)*CHOOSE(CONTROL!$C$42, 0.5599, 0.5599)*CHOOSE(CONTROL!$C$42, 30, 30))/1000000</f>
        <v>11.673914999999997</v>
      </c>
      <c r="V880" s="57">
        <f>(1000*CHOOSE(CONTROL!$C$42, 500, 500)*CHOOSE(CONTROL!$C$42, 0.275, 0.275)*CHOOSE(CONTROL!$C$42, 30, 30))/1000000</f>
        <v>4.125</v>
      </c>
      <c r="W880" s="57">
        <f>(1000*CHOOSE(CONTROL!$C$42, 0.1146, 0.1146)*CHOOSE(CONTROL!$C$42, 121.5, 121.5)*CHOOSE(CONTROL!$C$42, 30, 30))/1000000</f>
        <v>0.417717</v>
      </c>
      <c r="X880" s="57">
        <f>(30*0.1790888*245000/1000000)+(30*0.2374*100000/1000000)</f>
        <v>2.0285026799999999</v>
      </c>
      <c r="Y880" s="57"/>
      <c r="Z880" s="14"/>
      <c r="AA880" s="56"/>
      <c r="AB880" s="50">
        <f>(B880*141.293+C880*267.993+D880*115.016+E880*89.698+F880*40+G880*185+H880*0+I880*100+J880*300)/(141.293+267.993+115.016+89.698+0+40+185+100+300)</f>
        <v>86.275895375867634</v>
      </c>
      <c r="AC880" s="45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84.596589928057554</v>
      </c>
    </row>
    <row r="881" spans="1:29" ht="15.75" x14ac:dyDescent="0.25">
      <c r="A881" s="32">
        <v>67723</v>
      </c>
      <c r="B881" s="14">
        <f>CHOOSE(CONTROL!$C$42, 86.9819, 86.9819) * CHOOSE(CONTROL!$C$21, $C$9, 100%, $E$9)</f>
        <v>86.981899999999996</v>
      </c>
      <c r="C881" s="14">
        <f>CHOOSE(CONTROL!$C$42, 86.9899, 86.9899) * CHOOSE(CONTROL!$C$21, $C$9, 100%, $E$9)</f>
        <v>86.989900000000006</v>
      </c>
      <c r="D881" s="14">
        <f>CHOOSE(CONTROL!$C$42, 87.1949, 87.1949) * CHOOSE(CONTROL!$C$21, $C$9, 100%, $E$9)</f>
        <v>87.194900000000004</v>
      </c>
      <c r="E881" s="14">
        <f>CHOOSE(CONTROL!$C$42, 87.2264, 87.2264) * CHOOSE(CONTROL!$C$21, $C$9, 100%, $E$9)</f>
        <v>87.226399999999998</v>
      </c>
      <c r="F881" s="14">
        <f>CHOOSE(CONTROL!$C$42, 86.9681, 86.9681)*CHOOSE(CONTROL!$C$21, $C$9, 100%, $E$9)</f>
        <v>86.968100000000007</v>
      </c>
      <c r="G881" s="14">
        <f>CHOOSE(CONTROL!$C$42, 86.9845, 86.9845)*CHOOSE(CONTROL!$C$21, $C$9, 100%, $E$9)</f>
        <v>86.984499999999997</v>
      </c>
      <c r="H881" s="14">
        <f>CHOOSE(CONTROL!$C$42, 87.215, 87.215) * CHOOSE(CONTROL!$C$21, $C$9, 100%, $E$9)</f>
        <v>87.215000000000003</v>
      </c>
      <c r="I881" s="14">
        <f>CHOOSE(CONTROL!$C$42, 87.2624, 87.2624)* CHOOSE(CONTROL!$C$21, $C$9, 100%, $E$9)</f>
        <v>87.2624</v>
      </c>
      <c r="J881" s="14">
        <f>CHOOSE(CONTROL!$C$42, 86.9611, 86.9611)* CHOOSE(CONTROL!$C$21, $C$9, 100%, $E$9)</f>
        <v>86.961100000000002</v>
      </c>
      <c r="K881" s="53">
        <f>CHOOSE(CONTROL!$C$42, 87.2585, 87.2585) * CHOOSE(CONTROL!$C$21, $C$9, 100%, $E$9)</f>
        <v>87.258499999999998</v>
      </c>
      <c r="L881" s="14">
        <f>CHOOSE(CONTROL!$C$42, 87.802, 87.802) * CHOOSE(CONTROL!$C$21, $C$9, 100%, $E$9)</f>
        <v>87.802000000000007</v>
      </c>
      <c r="M881" s="14">
        <f>CHOOSE(CONTROL!$C$42, 85.187, 85.187) * CHOOSE(CONTROL!$C$21, $C$9, 100%, $E$9)</f>
        <v>85.186999999999998</v>
      </c>
      <c r="N881" s="14">
        <f>CHOOSE(CONTROL!$C$42, 85.2031, 85.2031) * CHOOSE(CONTROL!$C$21, $C$9, 100%, $E$9)</f>
        <v>85.203100000000006</v>
      </c>
      <c r="O881" s="14">
        <f>CHOOSE(CONTROL!$C$42, 85.4357, 85.4357) * CHOOSE(CONTROL!$C$21, $C$9, 100%, $E$9)</f>
        <v>85.435699999999997</v>
      </c>
      <c r="P881" s="14">
        <f>CHOOSE(CONTROL!$C$42, 85.4767, 85.4767) * CHOOSE(CONTROL!$C$21, $C$9, 100%, $E$9)</f>
        <v>85.476699999999994</v>
      </c>
      <c r="Q881" s="14">
        <f>CHOOSE(CONTROL!$C$42, 86.0304, 86.0304) * CHOOSE(CONTROL!$C$21, $C$9, 100%, $E$9)</f>
        <v>86.0304</v>
      </c>
      <c r="R881" s="14">
        <f>CHOOSE(CONTROL!$C$42, 86.8325, 86.8325) * CHOOSE(CONTROL!$C$21, $C$9, 100%, $E$9)</f>
        <v>86.832499999999996</v>
      </c>
      <c r="S881" s="14">
        <f>CHOOSE(CONTROL!$C$42, 83.5703, 83.5703) * CHOOSE(CONTROL!$C$21, $C$9, 100%, $E$9)</f>
        <v>83.570300000000003</v>
      </c>
      <c r="T8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7">
        <f>(1000*CHOOSE(CONTROL!$C$42, 695, 695)*CHOOSE(CONTROL!$C$42, 0.5599, 0.5599)*CHOOSE(CONTROL!$C$42, 31, 31))/1000000</f>
        <v>12.063045499999998</v>
      </c>
      <c r="V881" s="57">
        <f>(1000*CHOOSE(CONTROL!$C$42, 500, 500)*CHOOSE(CONTROL!$C$42, 0.275, 0.275)*CHOOSE(CONTROL!$C$42, 31, 31))/1000000</f>
        <v>4.2625000000000002</v>
      </c>
      <c r="W881" s="57">
        <f>(1000*CHOOSE(CONTROL!$C$42, 0.1146, 0.1146)*CHOOSE(CONTROL!$C$42, 121.5, 121.5)*CHOOSE(CONTROL!$C$42, 31, 31))/1000000</f>
        <v>0.43164089999999994</v>
      </c>
      <c r="X881" s="57">
        <f>(31*0.1790888*245000/1000000)+(31*0.2374*100000/1000000)</f>
        <v>2.0961194359999999</v>
      </c>
      <c r="Y881" s="57"/>
      <c r="Z881" s="14"/>
      <c r="AA881" s="56"/>
      <c r="AB881" s="50">
        <f>(B881*194.205+C881*267.466+D881*133.845+E881*53.484+F881*40+G881*185+H881*0+I881*100+J881*300)/(194.205+267.466+133.845+53.484+0+40+185+100+300)</f>
        <v>87.033285047880696</v>
      </c>
      <c r="AC881" s="45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85.342330215827332</v>
      </c>
    </row>
    <row r="882" spans="1:29" ht="15.75" x14ac:dyDescent="0.25">
      <c r="A882" s="32">
        <v>67753</v>
      </c>
      <c r="B882" s="14">
        <f>CHOOSE(CONTROL!$C$42, 89.4489, 89.4489) * CHOOSE(CONTROL!$C$21, $C$9, 100%, $E$9)</f>
        <v>89.448899999999995</v>
      </c>
      <c r="C882" s="14">
        <f>CHOOSE(CONTROL!$C$42, 89.4569, 89.4569) * CHOOSE(CONTROL!$C$21, $C$9, 100%, $E$9)</f>
        <v>89.456900000000005</v>
      </c>
      <c r="D882" s="14">
        <f>CHOOSE(CONTROL!$C$42, 89.6619, 89.6619) * CHOOSE(CONTROL!$C$21, $C$9, 100%, $E$9)</f>
        <v>89.661900000000003</v>
      </c>
      <c r="E882" s="14">
        <f>CHOOSE(CONTROL!$C$42, 89.6934, 89.6934) * CHOOSE(CONTROL!$C$21, $C$9, 100%, $E$9)</f>
        <v>89.693399999999997</v>
      </c>
      <c r="F882" s="14">
        <f>CHOOSE(CONTROL!$C$42, 89.4355, 89.4355)*CHOOSE(CONTROL!$C$21, $C$9, 100%, $E$9)</f>
        <v>89.435500000000005</v>
      </c>
      <c r="G882" s="14">
        <f>CHOOSE(CONTROL!$C$42, 89.452, 89.452)*CHOOSE(CONTROL!$C$21, $C$9, 100%, $E$9)</f>
        <v>89.451999999999998</v>
      </c>
      <c r="H882" s="14">
        <f>CHOOSE(CONTROL!$C$42, 89.682, 89.682) * CHOOSE(CONTROL!$C$21, $C$9, 100%, $E$9)</f>
        <v>89.682000000000002</v>
      </c>
      <c r="I882" s="14">
        <f>CHOOSE(CONTROL!$C$42, 89.7371, 89.7371)* CHOOSE(CONTROL!$C$21, $C$9, 100%, $E$9)</f>
        <v>89.737099999999998</v>
      </c>
      <c r="J882" s="14">
        <f>CHOOSE(CONTROL!$C$42, 89.4285, 89.4285)* CHOOSE(CONTROL!$C$21, $C$9, 100%, $E$9)</f>
        <v>89.4285</v>
      </c>
      <c r="K882" s="53">
        <f>CHOOSE(CONTROL!$C$42, 89.7332, 89.7332) * CHOOSE(CONTROL!$C$21, $C$9, 100%, $E$9)</f>
        <v>89.733199999999997</v>
      </c>
      <c r="L882" s="14">
        <f>CHOOSE(CONTROL!$C$42, 90.269, 90.269) * CHOOSE(CONTROL!$C$21, $C$9, 100%, $E$9)</f>
        <v>90.269000000000005</v>
      </c>
      <c r="M882" s="14">
        <f>CHOOSE(CONTROL!$C$42, 87.6038, 87.6038) * CHOOSE(CONTROL!$C$21, $C$9, 100%, $E$9)</f>
        <v>87.603800000000007</v>
      </c>
      <c r="N882" s="14">
        <f>CHOOSE(CONTROL!$C$42, 87.62, 87.62) * CHOOSE(CONTROL!$C$21, $C$9, 100%, $E$9)</f>
        <v>87.62</v>
      </c>
      <c r="O882" s="14">
        <f>CHOOSE(CONTROL!$C$42, 87.8522, 87.8522) * CHOOSE(CONTROL!$C$21, $C$9, 100%, $E$9)</f>
        <v>87.852199999999996</v>
      </c>
      <c r="P882" s="14">
        <f>CHOOSE(CONTROL!$C$42, 87.9006, 87.9006) * CHOOSE(CONTROL!$C$21, $C$9, 100%, $E$9)</f>
        <v>87.900599999999997</v>
      </c>
      <c r="Q882" s="14">
        <f>CHOOSE(CONTROL!$C$42, 88.4469, 88.4469) * CHOOSE(CONTROL!$C$21, $C$9, 100%, $E$9)</f>
        <v>88.446899999999999</v>
      </c>
      <c r="R882" s="14">
        <f>CHOOSE(CONTROL!$C$42, 89.255, 89.255) * CHOOSE(CONTROL!$C$21, $C$9, 100%, $E$9)</f>
        <v>89.254999999999995</v>
      </c>
      <c r="S882" s="14">
        <f>CHOOSE(CONTROL!$C$42, 85.9408, 85.9408) * CHOOSE(CONTROL!$C$21, $C$9, 100%, $E$9)</f>
        <v>85.940799999999996</v>
      </c>
      <c r="T8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7">
        <f>(1000*CHOOSE(CONTROL!$C$42, 695, 695)*CHOOSE(CONTROL!$C$42, 0.5599, 0.5599)*CHOOSE(CONTROL!$C$42, 30, 30))/1000000</f>
        <v>11.673914999999997</v>
      </c>
      <c r="V882" s="57">
        <f>(1000*CHOOSE(CONTROL!$C$42, 500, 500)*CHOOSE(CONTROL!$C$42, 0.275, 0.275)*CHOOSE(CONTROL!$C$42, 30, 30))/1000000</f>
        <v>4.125</v>
      </c>
      <c r="W882" s="57">
        <f>(1000*CHOOSE(CONTROL!$C$42, 0.1146, 0.1146)*CHOOSE(CONTROL!$C$42, 121.5, 121.5)*CHOOSE(CONTROL!$C$42, 30, 30))/1000000</f>
        <v>0.417717</v>
      </c>
      <c r="X882" s="57">
        <f>(30*0.1790888*245000/1000000)+(30*0.2374*100000/1000000)</f>
        <v>2.0285026799999999</v>
      </c>
      <c r="Y882" s="57"/>
      <c r="Z882" s="14"/>
      <c r="AA882" s="56"/>
      <c r="AB882" s="50">
        <f>(B882*194.205+C882*267.466+D882*133.845+E882*53.484+F882*40+G882*185+H882*0+I882*100+J882*300)/(194.205+267.466+133.845+53.484+0+40+185+100+300)</f>
        <v>89.501068799843011</v>
      </c>
      <c r="AC882" s="45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87.760021582733813</v>
      </c>
    </row>
    <row r="883" spans="1:29" ht="15.75" x14ac:dyDescent="0.25">
      <c r="A883" s="32">
        <v>67784</v>
      </c>
      <c r="B883" s="14">
        <f>CHOOSE(CONTROL!$C$42, 87.7331, 87.7331) * CHOOSE(CONTROL!$C$21, $C$9, 100%, $E$9)</f>
        <v>87.733099999999993</v>
      </c>
      <c r="C883" s="14">
        <f>CHOOSE(CONTROL!$C$42, 87.7411, 87.7411) * CHOOSE(CONTROL!$C$21, $C$9, 100%, $E$9)</f>
        <v>87.741100000000003</v>
      </c>
      <c r="D883" s="14">
        <f>CHOOSE(CONTROL!$C$42, 87.9461, 87.9461) * CHOOSE(CONTROL!$C$21, $C$9, 100%, $E$9)</f>
        <v>87.946100000000001</v>
      </c>
      <c r="E883" s="14">
        <f>CHOOSE(CONTROL!$C$42, 87.9776, 87.9776) * CHOOSE(CONTROL!$C$21, $C$9, 100%, $E$9)</f>
        <v>87.977599999999995</v>
      </c>
      <c r="F883" s="14">
        <f>CHOOSE(CONTROL!$C$42, 87.7201, 87.7201)*CHOOSE(CONTROL!$C$21, $C$9, 100%, $E$9)</f>
        <v>87.720100000000002</v>
      </c>
      <c r="G883" s="14">
        <f>CHOOSE(CONTROL!$C$42, 87.7367, 87.7367)*CHOOSE(CONTROL!$C$21, $C$9, 100%, $E$9)</f>
        <v>87.736699999999999</v>
      </c>
      <c r="H883" s="14">
        <f>CHOOSE(CONTROL!$C$42, 87.9662, 87.9662) * CHOOSE(CONTROL!$C$21, $C$9, 100%, $E$9)</f>
        <v>87.966200000000001</v>
      </c>
      <c r="I883" s="14">
        <f>CHOOSE(CONTROL!$C$42, 88.0159, 88.0159)* CHOOSE(CONTROL!$C$21, $C$9, 100%, $E$9)</f>
        <v>88.015900000000002</v>
      </c>
      <c r="J883" s="14">
        <f>CHOOSE(CONTROL!$C$42, 87.7131, 87.7131)* CHOOSE(CONTROL!$C$21, $C$9, 100%, $E$9)</f>
        <v>87.713099999999997</v>
      </c>
      <c r="K883" s="53">
        <f>CHOOSE(CONTROL!$C$42, 88.012, 88.012) * CHOOSE(CONTROL!$C$21, $C$9, 100%, $E$9)</f>
        <v>88.012</v>
      </c>
      <c r="L883" s="14">
        <f>CHOOSE(CONTROL!$C$42, 88.5532, 88.5532) * CHOOSE(CONTROL!$C$21, $C$9, 100%, $E$9)</f>
        <v>88.553200000000004</v>
      </c>
      <c r="M883" s="14">
        <f>CHOOSE(CONTROL!$C$42, 85.9236, 85.9236) * CHOOSE(CONTROL!$C$21, $C$9, 100%, $E$9)</f>
        <v>85.923599999999993</v>
      </c>
      <c r="N883" s="14">
        <f>CHOOSE(CONTROL!$C$42, 85.9399, 85.9399) * CHOOSE(CONTROL!$C$21, $C$9, 100%, $E$9)</f>
        <v>85.939899999999994</v>
      </c>
      <c r="O883" s="14">
        <f>CHOOSE(CONTROL!$C$42, 86.1715, 86.1715) * CHOOSE(CONTROL!$C$21, $C$9, 100%, $E$9)</f>
        <v>86.171499999999995</v>
      </c>
      <c r="P883" s="14">
        <f>CHOOSE(CONTROL!$C$42, 86.2148, 86.2148) * CHOOSE(CONTROL!$C$21, $C$9, 100%, $E$9)</f>
        <v>86.214799999999997</v>
      </c>
      <c r="Q883" s="14">
        <f>CHOOSE(CONTROL!$C$42, 86.7662, 86.7662) * CHOOSE(CONTROL!$C$21, $C$9, 100%, $E$9)</f>
        <v>86.766199999999998</v>
      </c>
      <c r="R883" s="14">
        <f>CHOOSE(CONTROL!$C$42, 87.5701, 87.5701) * CHOOSE(CONTROL!$C$21, $C$9, 100%, $E$9)</f>
        <v>87.570099999999996</v>
      </c>
      <c r="S883" s="14">
        <f>CHOOSE(CONTROL!$C$42, 84.2921, 84.2921) * CHOOSE(CONTROL!$C$21, $C$9, 100%, $E$9)</f>
        <v>84.292100000000005</v>
      </c>
      <c r="T8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7">
        <f>(1000*CHOOSE(CONTROL!$C$42, 695, 695)*CHOOSE(CONTROL!$C$42, 0.5599, 0.5599)*CHOOSE(CONTROL!$C$42, 31, 31))/1000000</f>
        <v>12.063045499999998</v>
      </c>
      <c r="V883" s="57">
        <f>(1000*CHOOSE(CONTROL!$C$42, 500, 500)*CHOOSE(CONTROL!$C$42, 0.275, 0.275)*CHOOSE(CONTROL!$C$42, 31, 31))/1000000</f>
        <v>4.2625000000000002</v>
      </c>
      <c r="W883" s="57">
        <f>(1000*CHOOSE(CONTROL!$C$42, 0.1146, 0.1146)*CHOOSE(CONTROL!$C$42, 121.5, 121.5)*CHOOSE(CONTROL!$C$42, 31, 31))/1000000</f>
        <v>0.43164089999999994</v>
      </c>
      <c r="X883" s="57">
        <f>(31*0.1790888*245000/1000000)+(31*0.2374*100000/1000000)</f>
        <v>2.0961194359999999</v>
      </c>
      <c r="Y883" s="57"/>
      <c r="Z883" s="14"/>
      <c r="AA883" s="56"/>
      <c r="AB883" s="50">
        <f>(B883*194.205+C883*267.466+D883*133.845+E883*53.484+F883*40+G883*185+H883*0+I883*100+J883*300)/(194.205+267.466+133.845+53.484+0+40+185+100+300)</f>
        <v>87.785024294348517</v>
      </c>
      <c r="AC883" s="45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86.078794964028774</v>
      </c>
    </row>
    <row r="884" spans="1:29" ht="15.75" x14ac:dyDescent="0.25">
      <c r="A884" s="32">
        <v>67815</v>
      </c>
      <c r="B884" s="14">
        <f>CHOOSE(CONTROL!$C$42, 83.4001, 83.4001) * CHOOSE(CONTROL!$C$21, $C$9, 100%, $E$9)</f>
        <v>83.400099999999995</v>
      </c>
      <c r="C884" s="14">
        <f>CHOOSE(CONTROL!$C$42, 83.4081, 83.4081) * CHOOSE(CONTROL!$C$21, $C$9, 100%, $E$9)</f>
        <v>83.408100000000005</v>
      </c>
      <c r="D884" s="14">
        <f>CHOOSE(CONTROL!$C$42, 83.6131, 83.6131) * CHOOSE(CONTROL!$C$21, $C$9, 100%, $E$9)</f>
        <v>83.613100000000003</v>
      </c>
      <c r="E884" s="14">
        <f>CHOOSE(CONTROL!$C$42, 83.6445, 83.6445) * CHOOSE(CONTROL!$C$21, $C$9, 100%, $E$9)</f>
        <v>83.644499999999994</v>
      </c>
      <c r="F884" s="14">
        <f>CHOOSE(CONTROL!$C$42, 83.3873, 83.3873)*CHOOSE(CONTROL!$C$21, $C$9, 100%, $E$9)</f>
        <v>83.387299999999996</v>
      </c>
      <c r="G884" s="14">
        <f>CHOOSE(CONTROL!$C$42, 83.404, 83.404)*CHOOSE(CONTROL!$C$21, $C$9, 100%, $E$9)</f>
        <v>83.403999999999996</v>
      </c>
      <c r="H884" s="14">
        <f>CHOOSE(CONTROL!$C$42, 83.6332, 83.6332) * CHOOSE(CONTROL!$C$21, $C$9, 100%, $E$9)</f>
        <v>83.633200000000002</v>
      </c>
      <c r="I884" s="14">
        <f>CHOOSE(CONTROL!$C$42, 83.6693, 83.6693)* CHOOSE(CONTROL!$C$21, $C$9, 100%, $E$9)</f>
        <v>83.669300000000007</v>
      </c>
      <c r="J884" s="14">
        <f>CHOOSE(CONTROL!$C$42, 83.3803, 83.3803)* CHOOSE(CONTROL!$C$21, $C$9, 100%, $E$9)</f>
        <v>83.380300000000005</v>
      </c>
      <c r="K884" s="53">
        <f>CHOOSE(CONTROL!$C$42, 83.6654, 83.6654) * CHOOSE(CONTROL!$C$21, $C$9, 100%, $E$9)</f>
        <v>83.665400000000005</v>
      </c>
      <c r="L884" s="14">
        <f>CHOOSE(CONTROL!$C$42, 84.2202, 84.2202) * CHOOSE(CONTROL!$C$21, $C$9, 100%, $E$9)</f>
        <v>84.220200000000006</v>
      </c>
      <c r="M884" s="14">
        <f>CHOOSE(CONTROL!$C$42, 81.6796, 81.6796) * CHOOSE(CONTROL!$C$21, $C$9, 100%, $E$9)</f>
        <v>81.679599999999994</v>
      </c>
      <c r="N884" s="14">
        <f>CHOOSE(CONTROL!$C$42, 81.6959, 81.6959) * CHOOSE(CONTROL!$C$21, $C$9, 100%, $E$9)</f>
        <v>81.695899999999995</v>
      </c>
      <c r="O884" s="14">
        <f>CHOOSE(CONTROL!$C$42, 81.9273, 81.9273) * CHOOSE(CONTROL!$C$21, $C$9, 100%, $E$9)</f>
        <v>81.927300000000002</v>
      </c>
      <c r="P884" s="14">
        <f>CHOOSE(CONTROL!$C$42, 81.9575, 81.9575) * CHOOSE(CONTROL!$C$21, $C$9, 100%, $E$9)</f>
        <v>81.957499999999996</v>
      </c>
      <c r="Q884" s="14">
        <f>CHOOSE(CONTROL!$C$42, 82.522, 82.522) * CHOOSE(CONTROL!$C$21, $C$9, 100%, $E$9)</f>
        <v>82.522000000000006</v>
      </c>
      <c r="R884" s="14">
        <f>CHOOSE(CONTROL!$C$42, 83.3153, 83.3153) * CHOOSE(CONTROL!$C$21, $C$9, 100%, $E$9)</f>
        <v>83.315299999999993</v>
      </c>
      <c r="S884" s="14">
        <f>CHOOSE(CONTROL!$C$42, 80.1285, 80.1285) * CHOOSE(CONTROL!$C$21, $C$9, 100%, $E$9)</f>
        <v>80.128500000000003</v>
      </c>
      <c r="T8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7">
        <f>(1000*CHOOSE(CONTROL!$C$42, 695, 695)*CHOOSE(CONTROL!$C$42, 0.5599, 0.5599)*CHOOSE(CONTROL!$C$42, 31, 31))/1000000</f>
        <v>12.063045499999998</v>
      </c>
      <c r="V884" s="57">
        <f>(1000*CHOOSE(CONTROL!$C$42, 500, 500)*CHOOSE(CONTROL!$C$42, 0.275, 0.275)*CHOOSE(CONTROL!$C$42, 31, 31))/1000000</f>
        <v>4.2625000000000002</v>
      </c>
      <c r="W884" s="57">
        <f>(1000*CHOOSE(CONTROL!$C$42, 0.1146, 0.1146)*CHOOSE(CONTROL!$C$42, 121.5, 121.5)*CHOOSE(CONTROL!$C$42, 31, 31))/1000000</f>
        <v>0.43164089999999994</v>
      </c>
      <c r="X884" s="57">
        <f>(31*0.1790888*245000/1000000)+(31*0.2374*100000/1000000)</f>
        <v>2.0961194359999999</v>
      </c>
      <c r="Y884" s="57"/>
      <c r="Z884" s="14"/>
      <c r="AA884" s="56"/>
      <c r="AB884" s="50">
        <f>(B884*194.205+C884*267.466+D884*133.845+E884*53.484+F884*40+G884*185+H884*0+I884*100+J884*300)/(194.205+267.466+133.845+53.484+0+40+185+100+300)</f>
        <v>83.451049531083186</v>
      </c>
      <c r="AC884" s="45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81.832790647482014</v>
      </c>
    </row>
    <row r="885" spans="1:29" ht="15.75" x14ac:dyDescent="0.25">
      <c r="A885" s="32">
        <v>67845</v>
      </c>
      <c r="B885" s="14">
        <f>CHOOSE(CONTROL!$C$42, 78.1056, 78.1056) * CHOOSE(CONTROL!$C$21, $C$9, 100%, $E$9)</f>
        <v>78.105599999999995</v>
      </c>
      <c r="C885" s="14">
        <f>CHOOSE(CONTROL!$C$42, 78.1136, 78.1136) * CHOOSE(CONTROL!$C$21, $C$9, 100%, $E$9)</f>
        <v>78.113600000000005</v>
      </c>
      <c r="D885" s="14">
        <f>CHOOSE(CONTROL!$C$42, 78.3186, 78.3186) * CHOOSE(CONTROL!$C$21, $C$9, 100%, $E$9)</f>
        <v>78.318600000000004</v>
      </c>
      <c r="E885" s="14">
        <f>CHOOSE(CONTROL!$C$42, 78.35, 78.35) * CHOOSE(CONTROL!$C$21, $C$9, 100%, $E$9)</f>
        <v>78.349999999999994</v>
      </c>
      <c r="F885" s="14">
        <f>CHOOSE(CONTROL!$C$42, 78.0927, 78.0927)*CHOOSE(CONTROL!$C$21, $C$9, 100%, $E$9)</f>
        <v>78.092699999999994</v>
      </c>
      <c r="G885" s="14">
        <f>CHOOSE(CONTROL!$C$42, 78.1094, 78.1094)*CHOOSE(CONTROL!$C$21, $C$9, 100%, $E$9)</f>
        <v>78.109399999999994</v>
      </c>
      <c r="H885" s="14">
        <f>CHOOSE(CONTROL!$C$42, 78.3387, 78.3387) * CHOOSE(CONTROL!$C$21, $C$9, 100%, $E$9)</f>
        <v>78.338700000000003</v>
      </c>
      <c r="I885" s="14">
        <f>CHOOSE(CONTROL!$C$42, 78.3582, 78.3582)* CHOOSE(CONTROL!$C$21, $C$9, 100%, $E$9)</f>
        <v>78.358199999999997</v>
      </c>
      <c r="J885" s="14">
        <f>CHOOSE(CONTROL!$C$42, 78.0857, 78.0857)* CHOOSE(CONTROL!$C$21, $C$9, 100%, $E$9)</f>
        <v>78.085700000000003</v>
      </c>
      <c r="K885" s="53">
        <f>CHOOSE(CONTROL!$C$42, 78.3543, 78.3543) * CHOOSE(CONTROL!$C$21, $C$9, 100%, $E$9)</f>
        <v>78.354299999999995</v>
      </c>
      <c r="L885" s="14">
        <f>CHOOSE(CONTROL!$C$42, 78.9257, 78.9257) * CHOOSE(CONTROL!$C$21, $C$9, 100%, $E$9)</f>
        <v>78.925700000000006</v>
      </c>
      <c r="M885" s="14">
        <f>CHOOSE(CONTROL!$C$42, 76.4935, 76.4935) * CHOOSE(CONTROL!$C$21, $C$9, 100%, $E$9)</f>
        <v>76.493499999999997</v>
      </c>
      <c r="N885" s="14">
        <f>CHOOSE(CONTROL!$C$42, 76.5098, 76.5098) * CHOOSE(CONTROL!$C$21, $C$9, 100%, $E$9)</f>
        <v>76.509799999999998</v>
      </c>
      <c r="O885" s="14">
        <f>CHOOSE(CONTROL!$C$42, 76.7413, 76.7413) * CHOOSE(CONTROL!$C$21, $C$9, 100%, $E$9)</f>
        <v>76.741299999999995</v>
      </c>
      <c r="P885" s="14">
        <f>CHOOSE(CONTROL!$C$42, 76.7556, 76.7556) * CHOOSE(CONTROL!$C$21, $C$9, 100%, $E$9)</f>
        <v>76.755600000000001</v>
      </c>
      <c r="Q885" s="14">
        <f>CHOOSE(CONTROL!$C$42, 77.336, 77.336) * CHOOSE(CONTROL!$C$21, $C$9, 100%, $E$9)</f>
        <v>77.335999999999999</v>
      </c>
      <c r="R885" s="14">
        <f>CHOOSE(CONTROL!$C$42, 78.1163, 78.1163) * CHOOSE(CONTROL!$C$21, $C$9, 100%, $E$9)</f>
        <v>78.116299999999995</v>
      </c>
      <c r="S885" s="14">
        <f>CHOOSE(CONTROL!$C$42, 75.041, 75.041) * CHOOSE(CONTROL!$C$21, $C$9, 100%, $E$9)</f>
        <v>75.040999999999997</v>
      </c>
      <c r="T8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7">
        <f>(1000*CHOOSE(CONTROL!$C$42, 695, 695)*CHOOSE(CONTROL!$C$42, 0.5599, 0.5599)*CHOOSE(CONTROL!$C$42, 30, 30))/1000000</f>
        <v>11.673914999999997</v>
      </c>
      <c r="V885" s="57">
        <f>(1000*CHOOSE(CONTROL!$C$42, 500, 500)*CHOOSE(CONTROL!$C$42, 0.275, 0.275)*CHOOSE(CONTROL!$C$42, 30, 30))/1000000</f>
        <v>4.125</v>
      </c>
      <c r="W885" s="57">
        <f>(1000*CHOOSE(CONTROL!$C$42, 0.1146, 0.1146)*CHOOSE(CONTROL!$C$42, 121.5, 121.5)*CHOOSE(CONTROL!$C$42, 30, 30))/1000000</f>
        <v>0.417717</v>
      </c>
      <c r="X885" s="57">
        <f>(30*0.1790888*245000/1000000)+(30*0.2374*100000/1000000)</f>
        <v>2.0285026799999999</v>
      </c>
      <c r="Y885" s="57"/>
      <c r="Z885" s="14"/>
      <c r="AA885" s="56"/>
      <c r="AB885" s="50">
        <f>(B885*194.205+C885*267.466+D885*133.845+E885*53.484+F885*40+G885*185+H885*0+I885*100+J885*300)/(194.205+267.466+133.845+53.484+0+40+185+100+300)</f>
        <v>78.155205339560425</v>
      </c>
      <c r="AC885" s="45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76.644462589928054</v>
      </c>
    </row>
    <row r="886" spans="1:29" ht="15.75" x14ac:dyDescent="0.25">
      <c r="A886" s="32">
        <v>67876</v>
      </c>
      <c r="B886" s="14">
        <f>CHOOSE(CONTROL!$C$42, 76.5182, 76.5182) * CHOOSE(CONTROL!$C$21, $C$9, 100%, $E$9)</f>
        <v>76.518199999999993</v>
      </c>
      <c r="C886" s="14">
        <f>CHOOSE(CONTROL!$C$42, 76.5235, 76.5235) * CHOOSE(CONTROL!$C$21, $C$9, 100%, $E$9)</f>
        <v>76.523499999999999</v>
      </c>
      <c r="D886" s="14">
        <f>CHOOSE(CONTROL!$C$42, 76.7335, 76.7335) * CHOOSE(CONTROL!$C$21, $C$9, 100%, $E$9)</f>
        <v>76.733500000000006</v>
      </c>
      <c r="E886" s="14">
        <f>CHOOSE(CONTROL!$C$42, 76.7626, 76.7626) * CHOOSE(CONTROL!$C$21, $C$9, 100%, $E$9)</f>
        <v>76.762600000000006</v>
      </c>
      <c r="F886" s="14">
        <f>CHOOSE(CONTROL!$C$42, 76.5074, 76.5074)*CHOOSE(CONTROL!$C$21, $C$9, 100%, $E$9)</f>
        <v>76.507400000000004</v>
      </c>
      <c r="G886" s="14">
        <f>CHOOSE(CONTROL!$C$42, 76.5238, 76.5238)*CHOOSE(CONTROL!$C$21, $C$9, 100%, $E$9)</f>
        <v>76.523799999999994</v>
      </c>
      <c r="H886" s="14">
        <f>CHOOSE(CONTROL!$C$42, 76.753, 76.753) * CHOOSE(CONTROL!$C$21, $C$9, 100%, $E$9)</f>
        <v>76.753</v>
      </c>
      <c r="I886" s="14">
        <f>CHOOSE(CONTROL!$C$42, 76.7676, 76.7676)* CHOOSE(CONTROL!$C$21, $C$9, 100%, $E$9)</f>
        <v>76.767600000000002</v>
      </c>
      <c r="J886" s="14">
        <f>CHOOSE(CONTROL!$C$42, 76.5004, 76.5004)* CHOOSE(CONTROL!$C$21, $C$9, 100%, $E$9)</f>
        <v>76.500399999999999</v>
      </c>
      <c r="K886" s="53">
        <f>CHOOSE(CONTROL!$C$42, 76.7638, 76.7638) * CHOOSE(CONTROL!$C$21, $C$9, 100%, $E$9)</f>
        <v>76.763800000000003</v>
      </c>
      <c r="L886" s="14">
        <f>CHOOSE(CONTROL!$C$42, 77.34, 77.34) * CHOOSE(CONTROL!$C$21, $C$9, 100%, $E$9)</f>
        <v>77.34</v>
      </c>
      <c r="M886" s="14">
        <f>CHOOSE(CONTROL!$C$42, 74.9407, 74.9407) * CHOOSE(CONTROL!$C$21, $C$9, 100%, $E$9)</f>
        <v>74.940700000000007</v>
      </c>
      <c r="N886" s="14">
        <f>CHOOSE(CONTROL!$C$42, 74.9567, 74.9567) * CHOOSE(CONTROL!$C$21, $C$9, 100%, $E$9)</f>
        <v>74.956699999999998</v>
      </c>
      <c r="O886" s="14">
        <f>CHOOSE(CONTROL!$C$42, 75.1881, 75.1881) * CHOOSE(CONTROL!$C$21, $C$9, 100%, $E$9)</f>
        <v>75.188100000000006</v>
      </c>
      <c r="P886" s="14">
        <f>CHOOSE(CONTROL!$C$42, 75.1977, 75.1977) * CHOOSE(CONTROL!$C$21, $C$9, 100%, $E$9)</f>
        <v>75.197699999999998</v>
      </c>
      <c r="Q886" s="14">
        <f>CHOOSE(CONTROL!$C$42, 75.7828, 75.7828) * CHOOSE(CONTROL!$C$21, $C$9, 100%, $E$9)</f>
        <v>75.782799999999995</v>
      </c>
      <c r="R886" s="14">
        <f>CHOOSE(CONTROL!$C$42, 76.5593, 76.5593) * CHOOSE(CONTROL!$C$21, $C$9, 100%, $E$9)</f>
        <v>76.559299999999993</v>
      </c>
      <c r="S886" s="14">
        <f>CHOOSE(CONTROL!$C$42, 73.5174, 73.5174) * CHOOSE(CONTROL!$C$21, $C$9, 100%, $E$9)</f>
        <v>73.517399999999995</v>
      </c>
      <c r="T8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7">
        <f>(1000*CHOOSE(CONTROL!$C$42, 695, 695)*CHOOSE(CONTROL!$C$42, 0.5599, 0.5599)*CHOOSE(CONTROL!$C$42, 31, 31))/1000000</f>
        <v>12.063045499999998</v>
      </c>
      <c r="V886" s="57">
        <f>(1000*CHOOSE(CONTROL!$C$42, 500, 500)*CHOOSE(CONTROL!$C$42, 0.275, 0.275)*CHOOSE(CONTROL!$C$42, 31, 31))/1000000</f>
        <v>4.2625000000000002</v>
      </c>
      <c r="W886" s="57">
        <f>(1000*CHOOSE(CONTROL!$C$42, 0.1146, 0.1146)*CHOOSE(CONTROL!$C$42, 121.5, 121.5)*CHOOSE(CONTROL!$C$42, 31, 31))/1000000</f>
        <v>0.43164089999999994</v>
      </c>
      <c r="X886" s="57">
        <f>(31*0.1790888*245000/1000000)+(31*0.2374*100000/1000000)</f>
        <v>2.0961194359999999</v>
      </c>
      <c r="Y886" s="57"/>
      <c r="Z886" s="14"/>
      <c r="AA886" s="56"/>
      <c r="AB886" s="50">
        <f>(B886*131.881+C886*277.167+D886*79.08+E886*125.872+F886*40+G886*185+H886*0+I886*100+J886*300)/(131.881+277.167+79.08+125.872+0+40+185+100+300)</f>
        <v>76.574262974899099</v>
      </c>
      <c r="AC886" s="45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75.090730215827335</v>
      </c>
    </row>
    <row r="887" spans="1:29" ht="15.75" x14ac:dyDescent="0.25">
      <c r="A887" s="32">
        <v>67906</v>
      </c>
      <c r="B887" s="14">
        <f>CHOOSE(CONTROL!$C$42, 78.5334, 78.5334) * CHOOSE(CONTROL!$C$21, $C$9, 100%, $E$9)</f>
        <v>78.5334</v>
      </c>
      <c r="C887" s="14">
        <f>CHOOSE(CONTROL!$C$42, 78.5384, 78.5384) * CHOOSE(CONTROL!$C$21, $C$9, 100%, $E$9)</f>
        <v>78.538399999999996</v>
      </c>
      <c r="D887" s="14">
        <f>CHOOSE(CONTROL!$C$42, 78.6022, 78.6022) * CHOOSE(CONTROL!$C$21, $C$9, 100%, $E$9)</f>
        <v>78.602199999999996</v>
      </c>
      <c r="E887" s="14">
        <f>CHOOSE(CONTROL!$C$42, 78.6363, 78.6363) * CHOOSE(CONTROL!$C$21, $C$9, 100%, $E$9)</f>
        <v>78.636300000000006</v>
      </c>
      <c r="F887" s="14">
        <f>CHOOSE(CONTROL!$C$42, 78.5356, 78.5356)*CHOOSE(CONTROL!$C$21, $C$9, 100%, $E$9)</f>
        <v>78.535600000000002</v>
      </c>
      <c r="G887" s="14">
        <f>CHOOSE(CONTROL!$C$42, 78.5523, 78.5523)*CHOOSE(CONTROL!$C$21, $C$9, 100%, $E$9)</f>
        <v>78.552300000000002</v>
      </c>
      <c r="H887" s="14">
        <f>CHOOSE(CONTROL!$C$42, 78.6255, 78.6255) * CHOOSE(CONTROL!$C$21, $C$9, 100%, $E$9)</f>
        <v>78.625500000000002</v>
      </c>
      <c r="I887" s="14">
        <f>CHOOSE(CONTROL!$C$42, 78.7932, 78.7932)* CHOOSE(CONTROL!$C$21, $C$9, 100%, $E$9)</f>
        <v>78.793199999999999</v>
      </c>
      <c r="J887" s="14">
        <f>CHOOSE(CONTROL!$C$42, 78.5286, 78.5286)* CHOOSE(CONTROL!$C$21, $C$9, 100%, $E$9)</f>
        <v>78.528599999999997</v>
      </c>
      <c r="K887" s="53">
        <f>CHOOSE(CONTROL!$C$42, 78.7893, 78.7893) * CHOOSE(CONTROL!$C$21, $C$9, 100%, $E$9)</f>
        <v>78.789299999999997</v>
      </c>
      <c r="L887" s="14">
        <f>CHOOSE(CONTROL!$C$42, 79.2125, 79.2125) * CHOOSE(CONTROL!$C$21, $C$9, 100%, $E$9)</f>
        <v>79.212500000000006</v>
      </c>
      <c r="M887" s="14">
        <f>CHOOSE(CONTROL!$C$42, 76.9273, 76.9273) * CHOOSE(CONTROL!$C$21, $C$9, 100%, $E$9)</f>
        <v>76.927300000000002</v>
      </c>
      <c r="N887" s="14">
        <f>CHOOSE(CONTROL!$C$42, 76.9436, 76.9436) * CHOOSE(CONTROL!$C$21, $C$9, 100%, $E$9)</f>
        <v>76.943600000000004</v>
      </c>
      <c r="O887" s="14">
        <f>CHOOSE(CONTROL!$C$42, 77.0222, 77.0222) * CHOOSE(CONTROL!$C$21, $C$9, 100%, $E$9)</f>
        <v>77.022199999999998</v>
      </c>
      <c r="P887" s="14">
        <f>CHOOSE(CONTROL!$C$42, 77.1816, 77.1816) * CHOOSE(CONTROL!$C$21, $C$9, 100%, $E$9)</f>
        <v>77.181600000000003</v>
      </c>
      <c r="Q887" s="14">
        <f>CHOOSE(CONTROL!$C$42, 77.6169, 77.6169) * CHOOSE(CONTROL!$C$21, $C$9, 100%, $E$9)</f>
        <v>77.616900000000001</v>
      </c>
      <c r="R887" s="14">
        <f>CHOOSE(CONTROL!$C$42, 78.398, 78.398) * CHOOSE(CONTROL!$C$21, $C$9, 100%, $E$9)</f>
        <v>78.397999999999996</v>
      </c>
      <c r="S887" s="14">
        <f>CHOOSE(CONTROL!$C$42, 75.4542, 75.4542) * CHOOSE(CONTROL!$C$21, $C$9, 100%, $E$9)</f>
        <v>75.4542</v>
      </c>
      <c r="T8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7">
        <f>(1000*CHOOSE(CONTROL!$C$42, 695, 695)*CHOOSE(CONTROL!$C$42, 0.5599, 0.5599)*CHOOSE(CONTROL!$C$42, 30, 30))/1000000</f>
        <v>11.673914999999997</v>
      </c>
      <c r="V887" s="57">
        <f>(1000*CHOOSE(CONTROL!$C$42, 500, 500)*CHOOSE(CONTROL!$C$42, 0.275, 0.275)*CHOOSE(CONTROL!$C$42, 30, 30))/1000000</f>
        <v>4.125</v>
      </c>
      <c r="W887" s="57">
        <f>(1000*CHOOSE(CONTROL!$C$42, 0.1146, 0.1146)*CHOOSE(CONTROL!$C$42, 121.5, 121.5)*CHOOSE(CONTROL!$C$42, 30, 30))/1000000</f>
        <v>0.417717</v>
      </c>
      <c r="X887" s="57">
        <f>(30*0.1790888*100000/1000000)+(30*0.2374*100000/1000000)</f>
        <v>1.2494664</v>
      </c>
      <c r="Y887" s="57"/>
      <c r="Z887" s="14"/>
      <c r="AA887" s="56"/>
      <c r="AB887" s="50">
        <f>(B887*122.58+C887*297.941+D887*89.177+E887*40.302+F887*40+G887*160+H887*0+I887*100+J887*300)/(122.58+297.941+89.177+40.302+0+40+160+100+300)</f>
        <v>78.567681876869571</v>
      </c>
      <c r="AC887" s="45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77.007840287769781</v>
      </c>
    </row>
    <row r="888" spans="1:29" ht="15.75" x14ac:dyDescent="0.25">
      <c r="A888" s="32">
        <v>67937</v>
      </c>
      <c r="B888" s="14">
        <f>CHOOSE(CONTROL!$C$42, 83.8871, 83.8871) * CHOOSE(CONTROL!$C$21, $C$9, 100%, $E$9)</f>
        <v>83.887100000000004</v>
      </c>
      <c r="C888" s="14">
        <f>CHOOSE(CONTROL!$C$42, 83.8921, 83.8921) * CHOOSE(CONTROL!$C$21, $C$9, 100%, $E$9)</f>
        <v>83.892099999999999</v>
      </c>
      <c r="D888" s="14">
        <f>CHOOSE(CONTROL!$C$42, 83.956, 83.956) * CHOOSE(CONTROL!$C$21, $C$9, 100%, $E$9)</f>
        <v>83.956000000000003</v>
      </c>
      <c r="E888" s="14">
        <f>CHOOSE(CONTROL!$C$42, 83.9901, 83.9901) * CHOOSE(CONTROL!$C$21, $C$9, 100%, $E$9)</f>
        <v>83.990099999999998</v>
      </c>
      <c r="F888" s="14">
        <f>CHOOSE(CONTROL!$C$42, 83.8914, 83.8914)*CHOOSE(CONTROL!$C$21, $C$9, 100%, $E$9)</f>
        <v>83.891400000000004</v>
      </c>
      <c r="G888" s="14">
        <f>CHOOSE(CONTROL!$C$42, 83.9086, 83.9086)*CHOOSE(CONTROL!$C$21, $C$9, 100%, $E$9)</f>
        <v>83.908600000000007</v>
      </c>
      <c r="H888" s="14">
        <f>CHOOSE(CONTROL!$C$42, 83.9793, 83.9793) * CHOOSE(CONTROL!$C$21, $C$9, 100%, $E$9)</f>
        <v>83.979299999999995</v>
      </c>
      <c r="I888" s="14">
        <f>CHOOSE(CONTROL!$C$42, 84.1637, 84.1637)* CHOOSE(CONTROL!$C$21, $C$9, 100%, $E$9)</f>
        <v>84.163700000000006</v>
      </c>
      <c r="J888" s="14">
        <f>CHOOSE(CONTROL!$C$42, 83.8844, 83.8844)* CHOOSE(CONTROL!$C$21, $C$9, 100%, $E$9)</f>
        <v>83.884399999999999</v>
      </c>
      <c r="K888" s="53">
        <f>CHOOSE(CONTROL!$C$42, 84.1598, 84.1598) * CHOOSE(CONTROL!$C$21, $C$9, 100%, $E$9)</f>
        <v>84.159800000000004</v>
      </c>
      <c r="L888" s="14">
        <f>CHOOSE(CONTROL!$C$42, 84.5663, 84.5663) * CHOOSE(CONTROL!$C$21, $C$9, 100%, $E$9)</f>
        <v>84.566299999999998</v>
      </c>
      <c r="M888" s="14">
        <f>CHOOSE(CONTROL!$C$42, 82.1733, 82.1733) * CHOOSE(CONTROL!$C$21, $C$9, 100%, $E$9)</f>
        <v>82.173299999999998</v>
      </c>
      <c r="N888" s="14">
        <f>CHOOSE(CONTROL!$C$42, 82.1902, 82.1902) * CHOOSE(CONTROL!$C$21, $C$9, 100%, $E$9)</f>
        <v>82.190200000000004</v>
      </c>
      <c r="O888" s="14">
        <f>CHOOSE(CONTROL!$C$42, 82.2663, 82.2663) * CHOOSE(CONTROL!$C$21, $C$9, 100%, $E$9)</f>
        <v>82.266300000000001</v>
      </c>
      <c r="P888" s="14">
        <f>CHOOSE(CONTROL!$C$42, 82.4417, 82.4417) * CHOOSE(CONTROL!$C$21, $C$9, 100%, $E$9)</f>
        <v>82.441699999999997</v>
      </c>
      <c r="Q888" s="14">
        <f>CHOOSE(CONTROL!$C$42, 82.861, 82.861) * CHOOSE(CONTROL!$C$21, $C$9, 100%, $E$9)</f>
        <v>82.861000000000004</v>
      </c>
      <c r="R888" s="14">
        <f>CHOOSE(CONTROL!$C$42, 83.6551, 83.6551) * CHOOSE(CONTROL!$C$21, $C$9, 100%, $E$9)</f>
        <v>83.655100000000004</v>
      </c>
      <c r="S888" s="14">
        <f>CHOOSE(CONTROL!$C$42, 80.5985, 80.5985) * CHOOSE(CONTROL!$C$21, $C$9, 100%, $E$9)</f>
        <v>80.598500000000001</v>
      </c>
      <c r="T8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7">
        <f>(1000*CHOOSE(CONTROL!$C$42, 695, 695)*CHOOSE(CONTROL!$C$42, 0.5599, 0.5599)*CHOOSE(CONTROL!$C$42, 31, 31))/1000000</f>
        <v>12.063045499999998</v>
      </c>
      <c r="V888" s="57">
        <f>(1000*CHOOSE(CONTROL!$C$42, 500, 500)*CHOOSE(CONTROL!$C$42, 0.275, 0.275)*CHOOSE(CONTROL!$C$42, 31, 31))/1000000</f>
        <v>4.2625000000000002</v>
      </c>
      <c r="W888" s="57">
        <f>(1000*CHOOSE(CONTROL!$C$42, 0.1146, 0.1146)*CHOOSE(CONTROL!$C$42, 121.5, 121.5)*CHOOSE(CONTROL!$C$42, 31, 31))/1000000</f>
        <v>0.43164089999999994</v>
      </c>
      <c r="X888" s="57">
        <f>(31*0.1790888*100000/1000000)+(31*0.2374*100000/1000000)</f>
        <v>1.2911152800000001</v>
      </c>
      <c r="Y888" s="57"/>
      <c r="Z888" s="14"/>
      <c r="AA888" s="56"/>
      <c r="AB888" s="50">
        <f>(B888*122.58+C888*297.941+D888*89.177+E888*40.302+F888*40+G888*160+H888*0+I888*100+J888*300)/(122.58+297.941+89.177+40.302+0+40+160+100+300)</f>
        <v>83.923836614173922</v>
      </c>
      <c r="AC888" s="45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82.255042446043163</v>
      </c>
    </row>
    <row r="889" spans="1:29" ht="15.75" x14ac:dyDescent="0.25">
      <c r="A889" s="32">
        <v>67968</v>
      </c>
      <c r="B889" s="14">
        <f>CHOOSE(CONTROL!$C$42, 90.7578, 90.7578) * CHOOSE(CONTROL!$C$21, $C$9, 100%, $E$9)</f>
        <v>90.757800000000003</v>
      </c>
      <c r="C889" s="14">
        <f>CHOOSE(CONTROL!$C$42, 90.7629, 90.7629) * CHOOSE(CONTROL!$C$21, $C$9, 100%, $E$9)</f>
        <v>90.762900000000002</v>
      </c>
      <c r="D889" s="14">
        <f>CHOOSE(CONTROL!$C$42, 90.8215, 90.8215) * CHOOSE(CONTROL!$C$21, $C$9, 100%, $E$9)</f>
        <v>90.8215</v>
      </c>
      <c r="E889" s="14">
        <f>CHOOSE(CONTROL!$C$42, 90.8556, 90.8556) * CHOOSE(CONTROL!$C$21, $C$9, 100%, $E$9)</f>
        <v>90.855599999999995</v>
      </c>
      <c r="F889" s="14">
        <f>CHOOSE(CONTROL!$C$42, 90.7569, 90.7569)*CHOOSE(CONTROL!$C$21, $C$9, 100%, $E$9)</f>
        <v>90.756900000000002</v>
      </c>
      <c r="G889" s="14">
        <f>CHOOSE(CONTROL!$C$42, 90.7733, 90.7733)*CHOOSE(CONTROL!$C$21, $C$9, 100%, $E$9)</f>
        <v>90.773300000000006</v>
      </c>
      <c r="H889" s="14">
        <f>CHOOSE(CONTROL!$C$42, 90.8448, 90.8448) * CHOOSE(CONTROL!$C$21, $C$9, 100%, $E$9)</f>
        <v>90.844800000000006</v>
      </c>
      <c r="I889" s="14">
        <f>CHOOSE(CONTROL!$C$42, 91.0523, 91.0523)* CHOOSE(CONTROL!$C$21, $C$9, 100%, $E$9)</f>
        <v>91.052300000000002</v>
      </c>
      <c r="J889" s="14">
        <f>CHOOSE(CONTROL!$C$42, 90.7499, 90.7499)* CHOOSE(CONTROL!$C$21, $C$9, 100%, $E$9)</f>
        <v>90.749899999999997</v>
      </c>
      <c r="K889" s="53">
        <f>CHOOSE(CONTROL!$C$42, 91.0484, 91.0484) * CHOOSE(CONTROL!$C$21, $C$9, 100%, $E$9)</f>
        <v>91.048400000000001</v>
      </c>
      <c r="L889" s="14">
        <f>CHOOSE(CONTROL!$C$42, 91.4318, 91.4318) * CHOOSE(CONTROL!$C$21, $C$9, 100%, $E$9)</f>
        <v>91.431799999999996</v>
      </c>
      <c r="M889" s="14">
        <f>CHOOSE(CONTROL!$C$42, 88.8982, 88.8982) * CHOOSE(CONTROL!$C$21, $C$9, 100%, $E$9)</f>
        <v>88.898200000000003</v>
      </c>
      <c r="N889" s="14">
        <f>CHOOSE(CONTROL!$C$42, 88.9143, 88.9143) * CHOOSE(CONTROL!$C$21, $C$9, 100%, $E$9)</f>
        <v>88.914299999999997</v>
      </c>
      <c r="O889" s="14">
        <f>CHOOSE(CONTROL!$C$42, 88.9911, 88.9911) * CHOOSE(CONTROL!$C$21, $C$9, 100%, $E$9)</f>
        <v>88.991100000000003</v>
      </c>
      <c r="P889" s="14">
        <f>CHOOSE(CONTROL!$C$42, 89.1887, 89.1887) * CHOOSE(CONTROL!$C$21, $C$9, 100%, $E$9)</f>
        <v>89.188699999999997</v>
      </c>
      <c r="Q889" s="14">
        <f>CHOOSE(CONTROL!$C$42, 89.5858, 89.5858) * CHOOSE(CONTROL!$C$21, $C$9, 100%, $E$9)</f>
        <v>89.585800000000006</v>
      </c>
      <c r="R889" s="14">
        <f>CHOOSE(CONTROL!$C$42, 90.3968, 90.3968) * CHOOSE(CONTROL!$C$21, $C$9, 100%, $E$9)</f>
        <v>90.396799999999999</v>
      </c>
      <c r="S889" s="14">
        <f>CHOOSE(CONTROL!$C$42, 87.2006, 87.2006) * CHOOSE(CONTROL!$C$21, $C$9, 100%, $E$9)</f>
        <v>87.200599999999994</v>
      </c>
      <c r="T8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7">
        <f>(1000*CHOOSE(CONTROL!$C$42, 695, 695)*CHOOSE(CONTROL!$C$42, 0.5599, 0.5599)*CHOOSE(CONTROL!$C$42, 31, 31))/1000000</f>
        <v>12.063045499999998</v>
      </c>
      <c r="V889" s="57">
        <f>(1000*CHOOSE(CONTROL!$C$42, 500, 500)*CHOOSE(CONTROL!$C$42, 0.275, 0.275)*CHOOSE(CONTROL!$C$42, 31, 31))/1000000</f>
        <v>4.2625000000000002</v>
      </c>
      <c r="W889" s="57">
        <f>(1000*CHOOSE(CONTROL!$C$42, 0.1146, 0.1146)*CHOOSE(CONTROL!$C$42, 121.5, 121.5)*CHOOSE(CONTROL!$C$42, 31, 31))/1000000</f>
        <v>0.43164089999999994</v>
      </c>
      <c r="X889" s="57">
        <f>(31*0.1790888*100000/1000000)+(31*0.2374*100000/1000000)</f>
        <v>1.2911152800000001</v>
      </c>
      <c r="Y889" s="57"/>
      <c r="Z889" s="14"/>
      <c r="AA889" s="56"/>
      <c r="AB889" s="50">
        <f>(B889*122.58+C889*297.941+D889*89.177+E889*40.302+F889*40+G889*160+H889*0+I889*100+J889*300)/(122.58+297.941+89.177+40.302+0+40+160+100+300)</f>
        <v>90.793161399652163</v>
      </c>
      <c r="AC889" s="45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88.983030935251804</v>
      </c>
    </row>
    <row r="890" spans="1:29" ht="15.75" x14ac:dyDescent="0.25">
      <c r="A890" s="32">
        <v>67996</v>
      </c>
      <c r="B890" s="14">
        <f>CHOOSE(CONTROL!$C$42, 92.3733, 92.3733) * CHOOSE(CONTROL!$C$21, $C$9, 100%, $E$9)</f>
        <v>92.3733</v>
      </c>
      <c r="C890" s="14">
        <f>CHOOSE(CONTROL!$C$42, 92.3783, 92.3783) * CHOOSE(CONTROL!$C$21, $C$9, 100%, $E$9)</f>
        <v>92.378299999999996</v>
      </c>
      <c r="D890" s="14">
        <f>CHOOSE(CONTROL!$C$42, 92.4369, 92.4369) * CHOOSE(CONTROL!$C$21, $C$9, 100%, $E$9)</f>
        <v>92.436899999999994</v>
      </c>
      <c r="E890" s="14">
        <f>CHOOSE(CONTROL!$C$42, 92.471, 92.471) * CHOOSE(CONTROL!$C$21, $C$9, 100%, $E$9)</f>
        <v>92.471000000000004</v>
      </c>
      <c r="F890" s="14">
        <f>CHOOSE(CONTROL!$C$42, 92.3723, 92.3723)*CHOOSE(CONTROL!$C$21, $C$9, 100%, $E$9)</f>
        <v>92.372299999999996</v>
      </c>
      <c r="G890" s="14">
        <f>CHOOSE(CONTROL!$C$42, 92.3887, 92.3887)*CHOOSE(CONTROL!$C$21, $C$9, 100%, $E$9)</f>
        <v>92.3887</v>
      </c>
      <c r="H890" s="14">
        <f>CHOOSE(CONTROL!$C$42, 92.4602, 92.4602) * CHOOSE(CONTROL!$C$21, $C$9, 100%, $E$9)</f>
        <v>92.4602</v>
      </c>
      <c r="I890" s="14">
        <f>CHOOSE(CONTROL!$C$42, 92.6728, 92.6728)* CHOOSE(CONTROL!$C$21, $C$9, 100%, $E$9)</f>
        <v>92.672799999999995</v>
      </c>
      <c r="J890" s="14">
        <f>CHOOSE(CONTROL!$C$42, 92.3653, 92.3653)* CHOOSE(CONTROL!$C$21, $C$9, 100%, $E$9)</f>
        <v>92.365300000000005</v>
      </c>
      <c r="K890" s="53">
        <f>CHOOSE(CONTROL!$C$42, 92.6689, 92.6689) * CHOOSE(CONTROL!$C$21, $C$9, 100%, $E$9)</f>
        <v>92.668899999999994</v>
      </c>
      <c r="L890" s="14">
        <f>CHOOSE(CONTROL!$C$42, 93.0472, 93.0472) * CHOOSE(CONTROL!$C$21, $C$9, 100%, $E$9)</f>
        <v>93.047200000000004</v>
      </c>
      <c r="M890" s="14">
        <f>CHOOSE(CONTROL!$C$42, 90.4805, 90.4805) * CHOOSE(CONTROL!$C$21, $C$9, 100%, $E$9)</f>
        <v>90.480500000000006</v>
      </c>
      <c r="N890" s="14">
        <f>CHOOSE(CONTROL!$C$42, 90.4966, 90.4966) * CHOOSE(CONTROL!$C$21, $C$9, 100%, $E$9)</f>
        <v>90.496600000000001</v>
      </c>
      <c r="O890" s="14">
        <f>CHOOSE(CONTROL!$C$42, 90.5735, 90.5735) * CHOOSE(CONTROL!$C$21, $C$9, 100%, $E$9)</f>
        <v>90.573499999999996</v>
      </c>
      <c r="P890" s="14">
        <f>CHOOSE(CONTROL!$C$42, 90.7759, 90.7759) * CHOOSE(CONTROL!$C$21, $C$9, 100%, $E$9)</f>
        <v>90.775899999999993</v>
      </c>
      <c r="Q890" s="14">
        <f>CHOOSE(CONTROL!$C$42, 91.1682, 91.1682) * CHOOSE(CONTROL!$C$21, $C$9, 100%, $E$9)</f>
        <v>91.168199999999999</v>
      </c>
      <c r="R890" s="14">
        <f>CHOOSE(CONTROL!$C$42, 91.9831, 91.9831) * CHOOSE(CONTROL!$C$21, $C$9, 100%, $E$9)</f>
        <v>91.983099999999993</v>
      </c>
      <c r="S890" s="14">
        <f>CHOOSE(CONTROL!$C$42, 88.7529, 88.7529) * CHOOSE(CONTROL!$C$21, $C$9, 100%, $E$9)</f>
        <v>88.752899999999997</v>
      </c>
      <c r="T8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7">
        <f>(1000*CHOOSE(CONTROL!$C$42, 695, 695)*CHOOSE(CONTROL!$C$42, 0.5599, 0.5599)*CHOOSE(CONTROL!$C$42, 28, 28))/1000000</f>
        <v>10.895653999999999</v>
      </c>
      <c r="V890" s="57">
        <f>(1000*CHOOSE(CONTROL!$C$42, 500, 500)*CHOOSE(CONTROL!$C$42, 0.275, 0.275)*CHOOSE(CONTROL!$C$42, 28, 28))/1000000</f>
        <v>3.85</v>
      </c>
      <c r="W890" s="57">
        <f>(1000*CHOOSE(CONTROL!$C$42, 0.1146, 0.1146)*CHOOSE(CONTROL!$C$42, 121.5, 121.5)*CHOOSE(CONTROL!$C$42, 28, 28))/1000000</f>
        <v>0.38986920000000003</v>
      </c>
      <c r="X890" s="57">
        <f>(28*0.1790888*100000/1000000)+(28*0.2374*100000/1000000)</f>
        <v>1.16616864</v>
      </c>
      <c r="Y890" s="57"/>
      <c r="Z890" s="14"/>
      <c r="AA890" s="56"/>
      <c r="AB890" s="50">
        <f>(B890*122.58+C890*297.941+D890*89.177+E890*40.302+F890*40+G890*160+H890*0+I890*100+J890*300)/(122.58+297.941+89.177+40.302+0+40+160+100+300)</f>
        <v>92.409015537043459</v>
      </c>
      <c r="AC890" s="45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90.566081294964036</v>
      </c>
    </row>
    <row r="891" spans="1:29" ht="15.75" x14ac:dyDescent="0.25">
      <c r="A891" s="32">
        <v>68027</v>
      </c>
      <c r="B891" s="14">
        <f>CHOOSE(CONTROL!$C$42, 89.751, 89.751) * CHOOSE(CONTROL!$C$21, $C$9, 100%, $E$9)</f>
        <v>89.751000000000005</v>
      </c>
      <c r="C891" s="14">
        <f>CHOOSE(CONTROL!$C$42, 89.7561, 89.7561) * CHOOSE(CONTROL!$C$21, $C$9, 100%, $E$9)</f>
        <v>89.756100000000004</v>
      </c>
      <c r="D891" s="14">
        <f>CHOOSE(CONTROL!$C$42, 89.8147, 89.8147) * CHOOSE(CONTROL!$C$21, $C$9, 100%, $E$9)</f>
        <v>89.814700000000002</v>
      </c>
      <c r="E891" s="14">
        <f>CHOOSE(CONTROL!$C$42, 89.8488, 89.8488) * CHOOSE(CONTROL!$C$21, $C$9, 100%, $E$9)</f>
        <v>89.848799999999997</v>
      </c>
      <c r="F891" s="14">
        <f>CHOOSE(CONTROL!$C$42, 89.7496, 89.7496)*CHOOSE(CONTROL!$C$21, $C$9, 100%, $E$9)</f>
        <v>89.749600000000001</v>
      </c>
      <c r="G891" s="14">
        <f>CHOOSE(CONTROL!$C$42, 89.7658, 89.7658)*CHOOSE(CONTROL!$C$21, $C$9, 100%, $E$9)</f>
        <v>89.765799999999999</v>
      </c>
      <c r="H891" s="14">
        <f>CHOOSE(CONTROL!$C$42, 89.838, 89.838) * CHOOSE(CONTROL!$C$21, $C$9, 100%, $E$9)</f>
        <v>89.837999999999994</v>
      </c>
      <c r="I891" s="14">
        <f>CHOOSE(CONTROL!$C$42, 90.0423, 90.0423)* CHOOSE(CONTROL!$C$21, $C$9, 100%, $E$9)</f>
        <v>90.042299999999997</v>
      </c>
      <c r="J891" s="14">
        <f>CHOOSE(CONTROL!$C$42, 89.7426, 89.7426)* CHOOSE(CONTROL!$C$21, $C$9, 100%, $E$9)</f>
        <v>89.742599999999996</v>
      </c>
      <c r="K891" s="53">
        <f>CHOOSE(CONTROL!$C$42, 90.0384, 90.0384) * CHOOSE(CONTROL!$C$21, $C$9, 100%, $E$9)</f>
        <v>90.038399999999996</v>
      </c>
      <c r="L891" s="14">
        <f>CHOOSE(CONTROL!$C$42, 90.425, 90.425) * CHOOSE(CONTROL!$C$21, $C$9, 100%, $E$9)</f>
        <v>90.424999999999997</v>
      </c>
      <c r="M891" s="14">
        <f>CHOOSE(CONTROL!$C$42, 87.9115, 87.9115) * CHOOSE(CONTROL!$C$21, $C$9, 100%, $E$9)</f>
        <v>87.911500000000004</v>
      </c>
      <c r="N891" s="14">
        <f>CHOOSE(CONTROL!$C$42, 87.9274, 87.9274) * CHOOSE(CONTROL!$C$21, $C$9, 100%, $E$9)</f>
        <v>87.927400000000006</v>
      </c>
      <c r="O891" s="14">
        <f>CHOOSE(CONTROL!$C$42, 88.0049, 88.0049) * CHOOSE(CONTROL!$C$21, $C$9, 100%, $E$9)</f>
        <v>88.004900000000006</v>
      </c>
      <c r="P891" s="14">
        <f>CHOOSE(CONTROL!$C$42, 88.1995, 88.1995) * CHOOSE(CONTROL!$C$21, $C$9, 100%, $E$9)</f>
        <v>88.1995</v>
      </c>
      <c r="Q891" s="14">
        <f>CHOOSE(CONTROL!$C$42, 88.5996, 88.5996) * CHOOSE(CONTROL!$C$21, $C$9, 100%, $E$9)</f>
        <v>88.599599999999995</v>
      </c>
      <c r="R891" s="14">
        <f>CHOOSE(CONTROL!$C$42, 89.4081, 89.4081) * CHOOSE(CONTROL!$C$21, $C$9, 100%, $E$9)</f>
        <v>89.408100000000005</v>
      </c>
      <c r="S891" s="14">
        <f>CHOOSE(CONTROL!$C$42, 86.2332, 86.2332) * CHOOSE(CONTROL!$C$21, $C$9, 100%, $E$9)</f>
        <v>86.233199999999997</v>
      </c>
      <c r="T8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7">
        <f>(1000*CHOOSE(CONTROL!$C$42, 695, 695)*CHOOSE(CONTROL!$C$42, 0.5599, 0.5599)*CHOOSE(CONTROL!$C$42, 31, 31))/1000000</f>
        <v>12.063045499999998</v>
      </c>
      <c r="V891" s="57">
        <f>(1000*CHOOSE(CONTROL!$C$42, 500, 500)*CHOOSE(CONTROL!$C$42, 0.275, 0.275)*CHOOSE(CONTROL!$C$42, 31, 31))/1000000</f>
        <v>4.2625000000000002</v>
      </c>
      <c r="W891" s="57">
        <f>(1000*CHOOSE(CONTROL!$C$42, 0.1146, 0.1146)*CHOOSE(CONTROL!$C$42, 121.5, 121.5)*CHOOSE(CONTROL!$C$42, 31, 31))/1000000</f>
        <v>0.43164089999999994</v>
      </c>
      <c r="X891" s="57">
        <f>(31*0.1790888*100000/1000000)+(31*0.2374*100000/1000000)</f>
        <v>1.2911152800000001</v>
      </c>
      <c r="Y891" s="57"/>
      <c r="Z891" s="14"/>
      <c r="AA891" s="56"/>
      <c r="AB891" s="50">
        <f>(B891*122.58+C891*297.941+D891*89.177+E891*40.302+F891*40+G891*160+H891*0+I891*100+J891*300)/(122.58+297.941+89.177+40.302+0+40+160+100+300)</f>
        <v>89.785837921391291</v>
      </c>
      <c r="AC891" s="45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87.996186330935274</v>
      </c>
    </row>
    <row r="892" spans="1:29" ht="15.75" x14ac:dyDescent="0.25">
      <c r="A892" s="32">
        <v>68057</v>
      </c>
      <c r="B892" s="14">
        <f>CHOOSE(CONTROL!$C$42, 89.4835, 89.4835) * CHOOSE(CONTROL!$C$21, $C$9, 100%, $E$9)</f>
        <v>89.483500000000006</v>
      </c>
      <c r="C892" s="14">
        <f>CHOOSE(CONTROL!$C$42, 89.488, 89.488) * CHOOSE(CONTROL!$C$21, $C$9, 100%, $E$9)</f>
        <v>89.488</v>
      </c>
      <c r="D892" s="14">
        <f>CHOOSE(CONTROL!$C$42, 89.6961, 89.6961) * CHOOSE(CONTROL!$C$21, $C$9, 100%, $E$9)</f>
        <v>89.696100000000001</v>
      </c>
      <c r="E892" s="14">
        <f>CHOOSE(CONTROL!$C$42, 89.7282, 89.7282) * CHOOSE(CONTROL!$C$21, $C$9, 100%, $E$9)</f>
        <v>89.728200000000001</v>
      </c>
      <c r="F892" s="14">
        <f>CHOOSE(CONTROL!$C$42, 89.4708, 89.4708)*CHOOSE(CONTROL!$C$21, $C$9, 100%, $E$9)</f>
        <v>89.470799999999997</v>
      </c>
      <c r="G892" s="14">
        <f>CHOOSE(CONTROL!$C$42, 89.4868, 89.4868)*CHOOSE(CONTROL!$C$21, $C$9, 100%, $E$9)</f>
        <v>89.486800000000002</v>
      </c>
      <c r="H892" s="14">
        <f>CHOOSE(CONTROL!$C$42, 89.718, 89.718) * CHOOSE(CONTROL!$C$21, $C$9, 100%, $E$9)</f>
        <v>89.718000000000004</v>
      </c>
      <c r="I892" s="14">
        <f>CHOOSE(CONTROL!$C$42, 89.7732, 89.7732)* CHOOSE(CONTROL!$C$21, $C$9, 100%, $E$9)</f>
        <v>89.773200000000003</v>
      </c>
      <c r="J892" s="14">
        <f>CHOOSE(CONTROL!$C$42, 89.4638, 89.4638)* CHOOSE(CONTROL!$C$21, $C$9, 100%, $E$9)</f>
        <v>89.463800000000006</v>
      </c>
      <c r="K892" s="53">
        <f>CHOOSE(CONTROL!$C$42, 89.7693, 89.7693) * CHOOSE(CONTROL!$C$21, $C$9, 100%, $E$9)</f>
        <v>89.769300000000001</v>
      </c>
      <c r="L892" s="14">
        <f>CHOOSE(CONTROL!$C$42, 90.305, 90.305) * CHOOSE(CONTROL!$C$21, $C$9, 100%, $E$9)</f>
        <v>90.305000000000007</v>
      </c>
      <c r="M892" s="14">
        <f>CHOOSE(CONTROL!$C$42, 87.6384, 87.6384) * CHOOSE(CONTROL!$C$21, $C$9, 100%, $E$9)</f>
        <v>87.638400000000004</v>
      </c>
      <c r="N892" s="14">
        <f>CHOOSE(CONTROL!$C$42, 87.6541, 87.6541) * CHOOSE(CONTROL!$C$21, $C$9, 100%, $E$9)</f>
        <v>87.6541</v>
      </c>
      <c r="O892" s="14">
        <f>CHOOSE(CONTROL!$C$42, 87.8874, 87.8874) * CHOOSE(CONTROL!$C$21, $C$9, 100%, $E$9)</f>
        <v>87.8874</v>
      </c>
      <c r="P892" s="14">
        <f>CHOOSE(CONTROL!$C$42, 87.9359, 87.9359) * CHOOSE(CONTROL!$C$21, $C$9, 100%, $E$9)</f>
        <v>87.935900000000004</v>
      </c>
      <c r="Q892" s="14">
        <f>CHOOSE(CONTROL!$C$42, 88.4821, 88.4821) * CHOOSE(CONTROL!$C$21, $C$9, 100%, $E$9)</f>
        <v>88.482100000000003</v>
      </c>
      <c r="R892" s="14">
        <f>CHOOSE(CONTROL!$C$42, 89.2903, 89.2903) * CHOOSE(CONTROL!$C$21, $C$9, 100%, $E$9)</f>
        <v>89.290300000000002</v>
      </c>
      <c r="S892" s="14">
        <f>CHOOSE(CONTROL!$C$42, 85.9754, 85.9754) * CHOOSE(CONTROL!$C$21, $C$9, 100%, $E$9)</f>
        <v>85.975399999999993</v>
      </c>
      <c r="T8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7">
        <f>(1000*CHOOSE(CONTROL!$C$42, 695, 695)*CHOOSE(CONTROL!$C$42, 0.5599, 0.5599)*CHOOSE(CONTROL!$C$42, 30, 30))/1000000</f>
        <v>11.673914999999997</v>
      </c>
      <c r="V892" s="57">
        <f>(1000*CHOOSE(CONTROL!$C$42, 500, 500)*CHOOSE(CONTROL!$C$42, 0.275, 0.275)*CHOOSE(CONTROL!$C$42, 30, 30))/1000000</f>
        <v>4.125</v>
      </c>
      <c r="W892" s="57">
        <f>(1000*CHOOSE(CONTROL!$C$42, 0.1146, 0.1146)*CHOOSE(CONTROL!$C$42, 121.5, 121.5)*CHOOSE(CONTROL!$C$42, 30, 30))/1000000</f>
        <v>0.417717</v>
      </c>
      <c r="X892" s="57">
        <f>(30*0.1790888*245000/1000000)+(30*0.2374*100000/1000000)</f>
        <v>2.0285026799999999</v>
      </c>
      <c r="Y892" s="57"/>
      <c r="Z892" s="14"/>
      <c r="AA892" s="56"/>
      <c r="AB892" s="50">
        <f>(B892*141.293+C892*267.993+D892*115.016+E892*89.698+F892*40+G892*185+H892*0+I892*100+J892*300)/(141.293+267.993+115.016+89.698+0+40+185+100+300)</f>
        <v>89.540618620419693</v>
      </c>
      <c r="AC892" s="45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87.7949654676259</v>
      </c>
    </row>
    <row r="893" spans="1:29" ht="15.75" x14ac:dyDescent="0.25">
      <c r="A893" s="32">
        <v>68088</v>
      </c>
      <c r="B893" s="14">
        <f>CHOOSE(CONTROL!$C$42, 90.2746, 90.2746) * CHOOSE(CONTROL!$C$21, $C$9, 100%, $E$9)</f>
        <v>90.274600000000007</v>
      </c>
      <c r="C893" s="14">
        <f>CHOOSE(CONTROL!$C$42, 90.2826, 90.2826) * CHOOSE(CONTROL!$C$21, $C$9, 100%, $E$9)</f>
        <v>90.282600000000002</v>
      </c>
      <c r="D893" s="14">
        <f>CHOOSE(CONTROL!$C$42, 90.4876, 90.4876) * CHOOSE(CONTROL!$C$21, $C$9, 100%, $E$9)</f>
        <v>90.4876</v>
      </c>
      <c r="E893" s="14">
        <f>CHOOSE(CONTROL!$C$42, 90.519, 90.519) * CHOOSE(CONTROL!$C$21, $C$9, 100%, $E$9)</f>
        <v>90.519000000000005</v>
      </c>
      <c r="F893" s="14">
        <f>CHOOSE(CONTROL!$C$42, 90.2607, 90.2607)*CHOOSE(CONTROL!$C$21, $C$9, 100%, $E$9)</f>
        <v>90.2607</v>
      </c>
      <c r="G893" s="14">
        <f>CHOOSE(CONTROL!$C$42, 90.2772, 90.2772)*CHOOSE(CONTROL!$C$21, $C$9, 100%, $E$9)</f>
        <v>90.277199999999993</v>
      </c>
      <c r="H893" s="14">
        <f>CHOOSE(CONTROL!$C$42, 90.5077, 90.5077) * CHOOSE(CONTROL!$C$21, $C$9, 100%, $E$9)</f>
        <v>90.5077</v>
      </c>
      <c r="I893" s="14">
        <f>CHOOSE(CONTROL!$C$42, 90.5653, 90.5653)* CHOOSE(CONTROL!$C$21, $C$9, 100%, $E$9)</f>
        <v>90.565299999999993</v>
      </c>
      <c r="J893" s="14">
        <f>CHOOSE(CONTROL!$C$42, 90.2537, 90.2537)* CHOOSE(CONTROL!$C$21, $C$9, 100%, $E$9)</f>
        <v>90.253699999999995</v>
      </c>
      <c r="K893" s="53">
        <f>CHOOSE(CONTROL!$C$42, 90.5614, 90.5614) * CHOOSE(CONTROL!$C$21, $C$9, 100%, $E$9)</f>
        <v>90.561400000000006</v>
      </c>
      <c r="L893" s="14">
        <f>CHOOSE(CONTROL!$C$42, 91.0947, 91.0947) * CHOOSE(CONTROL!$C$21, $C$9, 100%, $E$9)</f>
        <v>91.094700000000003</v>
      </c>
      <c r="M893" s="14">
        <f>CHOOSE(CONTROL!$C$42, 88.4122, 88.4122) * CHOOSE(CONTROL!$C$21, $C$9, 100%, $E$9)</f>
        <v>88.412199999999999</v>
      </c>
      <c r="N893" s="14">
        <f>CHOOSE(CONTROL!$C$42, 88.4283, 88.4283) * CHOOSE(CONTROL!$C$21, $C$9, 100%, $E$9)</f>
        <v>88.428299999999993</v>
      </c>
      <c r="O893" s="14">
        <f>CHOOSE(CONTROL!$C$42, 88.6609, 88.6609) * CHOOSE(CONTROL!$C$21, $C$9, 100%, $E$9)</f>
        <v>88.660899999999998</v>
      </c>
      <c r="P893" s="14">
        <f>CHOOSE(CONTROL!$C$42, 88.7118, 88.7118) * CHOOSE(CONTROL!$C$21, $C$9, 100%, $E$9)</f>
        <v>88.711799999999997</v>
      </c>
      <c r="Q893" s="14">
        <f>CHOOSE(CONTROL!$C$42, 89.2556, 89.2556) * CHOOSE(CONTROL!$C$21, $C$9, 100%, $E$9)</f>
        <v>89.255600000000001</v>
      </c>
      <c r="R893" s="14">
        <f>CHOOSE(CONTROL!$C$42, 90.0658, 90.0658) * CHOOSE(CONTROL!$C$21, $C$9, 100%, $E$9)</f>
        <v>90.065799999999996</v>
      </c>
      <c r="S893" s="14">
        <f>CHOOSE(CONTROL!$C$42, 86.7342, 86.7342) * CHOOSE(CONTROL!$C$21, $C$9, 100%, $E$9)</f>
        <v>86.734200000000001</v>
      </c>
      <c r="T8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7">
        <f>(1000*CHOOSE(CONTROL!$C$42, 695, 695)*CHOOSE(CONTROL!$C$42, 0.5599, 0.5599)*CHOOSE(CONTROL!$C$42, 31, 31))/1000000</f>
        <v>12.063045499999998</v>
      </c>
      <c r="V893" s="57">
        <f>(1000*CHOOSE(CONTROL!$C$42, 500, 500)*CHOOSE(CONTROL!$C$42, 0.275, 0.275)*CHOOSE(CONTROL!$C$42, 31, 31))/1000000</f>
        <v>4.2625000000000002</v>
      </c>
      <c r="W893" s="57">
        <f>(1000*CHOOSE(CONTROL!$C$42, 0.1146, 0.1146)*CHOOSE(CONTROL!$C$42, 121.5, 121.5)*CHOOSE(CONTROL!$C$42, 31, 31))/1000000</f>
        <v>0.43164089999999994</v>
      </c>
      <c r="X893" s="57">
        <f>(31*0.1790888*245000/1000000)+(31*0.2374*100000/1000000)</f>
        <v>2.0961194359999999</v>
      </c>
      <c r="Y893" s="57"/>
      <c r="Z893" s="14"/>
      <c r="AA893" s="56"/>
      <c r="AB893" s="50">
        <f>(B893*194.205+C893*267.466+D893*133.845+E893*53.484+F893*40+G893*185+H893*0+I893*100+J893*300)/(194.205+267.466+133.845+53.484+0+40+185+100+300)</f>
        <v>90.326754790109902</v>
      </c>
      <c r="AC893" s="45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88.568954676258983</v>
      </c>
    </row>
    <row r="894" spans="1:29" ht="15.75" x14ac:dyDescent="0.25">
      <c r="A894" s="32">
        <v>68118</v>
      </c>
      <c r="B894" s="14">
        <f>CHOOSE(CONTROL!$C$42, 92.835, 92.835) * CHOOSE(CONTROL!$C$21, $C$9, 100%, $E$9)</f>
        <v>92.834999999999994</v>
      </c>
      <c r="C894" s="14">
        <f>CHOOSE(CONTROL!$C$42, 92.843, 92.843) * CHOOSE(CONTROL!$C$21, $C$9, 100%, $E$9)</f>
        <v>92.843000000000004</v>
      </c>
      <c r="D894" s="14">
        <f>CHOOSE(CONTROL!$C$42, 93.048, 93.048) * CHOOSE(CONTROL!$C$21, $C$9, 100%, $E$9)</f>
        <v>93.048000000000002</v>
      </c>
      <c r="E894" s="14">
        <f>CHOOSE(CONTROL!$C$42, 93.0795, 93.0795) * CHOOSE(CONTROL!$C$21, $C$9, 100%, $E$9)</f>
        <v>93.079499999999996</v>
      </c>
      <c r="F894" s="14">
        <f>CHOOSE(CONTROL!$C$42, 92.8215, 92.8215)*CHOOSE(CONTROL!$C$21, $C$9, 100%, $E$9)</f>
        <v>92.8215</v>
      </c>
      <c r="G894" s="14">
        <f>CHOOSE(CONTROL!$C$42, 92.8381, 92.8381)*CHOOSE(CONTROL!$C$21, $C$9, 100%, $E$9)</f>
        <v>92.838099999999997</v>
      </c>
      <c r="H894" s="14">
        <f>CHOOSE(CONTROL!$C$42, 93.0681, 93.0681) * CHOOSE(CONTROL!$C$21, $C$9, 100%, $E$9)</f>
        <v>93.068100000000001</v>
      </c>
      <c r="I894" s="14">
        <f>CHOOSE(CONTROL!$C$42, 93.1338, 93.1338)* CHOOSE(CONTROL!$C$21, $C$9, 100%, $E$9)</f>
        <v>93.133799999999994</v>
      </c>
      <c r="J894" s="14">
        <f>CHOOSE(CONTROL!$C$42, 92.8145, 92.8145)* CHOOSE(CONTROL!$C$21, $C$9, 100%, $E$9)</f>
        <v>92.814499999999995</v>
      </c>
      <c r="K894" s="53">
        <f>CHOOSE(CONTROL!$C$42, 93.1299, 93.1299) * CHOOSE(CONTROL!$C$21, $C$9, 100%, $E$9)</f>
        <v>93.129900000000006</v>
      </c>
      <c r="L894" s="14">
        <f>CHOOSE(CONTROL!$C$42, 93.6551, 93.6551) * CHOOSE(CONTROL!$C$21, $C$9, 100%, $E$9)</f>
        <v>93.655100000000004</v>
      </c>
      <c r="M894" s="14">
        <f>CHOOSE(CONTROL!$C$42, 90.9205, 90.9205) * CHOOSE(CONTROL!$C$21, $C$9, 100%, $E$9)</f>
        <v>90.920500000000004</v>
      </c>
      <c r="N894" s="14">
        <f>CHOOSE(CONTROL!$C$42, 90.9367, 90.9367) * CHOOSE(CONTROL!$C$21, $C$9, 100%, $E$9)</f>
        <v>90.936700000000002</v>
      </c>
      <c r="O894" s="14">
        <f>CHOOSE(CONTROL!$C$42, 91.1689, 91.1689) * CHOOSE(CONTROL!$C$21, $C$9, 100%, $E$9)</f>
        <v>91.168899999999994</v>
      </c>
      <c r="P894" s="14">
        <f>CHOOSE(CONTROL!$C$42, 91.2275, 91.2275) * CHOOSE(CONTROL!$C$21, $C$9, 100%, $E$9)</f>
        <v>91.227500000000006</v>
      </c>
      <c r="Q894" s="14">
        <f>CHOOSE(CONTROL!$C$42, 91.7636, 91.7636) * CHOOSE(CONTROL!$C$21, $C$9, 100%, $E$9)</f>
        <v>91.763599999999997</v>
      </c>
      <c r="R894" s="14">
        <f>CHOOSE(CONTROL!$C$42, 92.58, 92.58) * CHOOSE(CONTROL!$C$21, $C$9, 100%, $E$9)</f>
        <v>92.58</v>
      </c>
      <c r="S894" s="14">
        <f>CHOOSE(CONTROL!$C$42, 89.1945, 89.1945) * CHOOSE(CONTROL!$C$21, $C$9, 100%, $E$9)</f>
        <v>89.194500000000005</v>
      </c>
      <c r="T8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7">
        <f>(1000*CHOOSE(CONTROL!$C$42, 695, 695)*CHOOSE(CONTROL!$C$42, 0.5599, 0.5599)*CHOOSE(CONTROL!$C$42, 30, 30))/1000000</f>
        <v>11.673914999999997</v>
      </c>
      <c r="V894" s="57">
        <f>(1000*CHOOSE(CONTROL!$C$42, 500, 500)*CHOOSE(CONTROL!$C$42, 0.275, 0.275)*CHOOSE(CONTROL!$C$42, 30, 30))/1000000</f>
        <v>4.125</v>
      </c>
      <c r="W894" s="57">
        <f>(1000*CHOOSE(CONTROL!$C$42, 0.1146, 0.1146)*CHOOSE(CONTROL!$C$42, 121.5, 121.5)*CHOOSE(CONTROL!$C$42, 30, 30))/1000000</f>
        <v>0.417717</v>
      </c>
      <c r="X894" s="57">
        <f>(30*0.1790888*245000/1000000)+(30*0.2374*100000/1000000)</f>
        <v>2.0285026799999999</v>
      </c>
      <c r="Y894" s="57"/>
      <c r="Z894" s="14"/>
      <c r="AA894" s="56"/>
      <c r="AB894" s="50">
        <f>(B894*194.205+C894*267.466+D894*133.845+E894*53.484+F894*40+G894*185+H894*0+I894*100+J894*300)/(194.205+267.466+133.845+53.484+0+40+185+100+300)</f>
        <v>92.887974137362647</v>
      </c>
      <c r="AC894" s="45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91.078189208633091</v>
      </c>
    </row>
    <row r="895" spans="1:29" ht="15.75" x14ac:dyDescent="0.25">
      <c r="A895" s="32">
        <v>68149</v>
      </c>
      <c r="B895" s="14">
        <f>CHOOSE(CONTROL!$C$42, 91.0542, 91.0542) * CHOOSE(CONTROL!$C$21, $C$9, 100%, $E$9)</f>
        <v>91.054199999999994</v>
      </c>
      <c r="C895" s="14">
        <f>CHOOSE(CONTROL!$C$42, 91.0622, 91.0622) * CHOOSE(CONTROL!$C$21, $C$9, 100%, $E$9)</f>
        <v>91.062200000000004</v>
      </c>
      <c r="D895" s="14">
        <f>CHOOSE(CONTROL!$C$42, 91.2672, 91.2672) * CHOOSE(CONTROL!$C$21, $C$9, 100%, $E$9)</f>
        <v>91.267200000000003</v>
      </c>
      <c r="E895" s="14">
        <f>CHOOSE(CONTROL!$C$42, 91.2987, 91.2987) * CHOOSE(CONTROL!$C$21, $C$9, 100%, $E$9)</f>
        <v>91.298699999999997</v>
      </c>
      <c r="F895" s="14">
        <f>CHOOSE(CONTROL!$C$42, 91.0412, 91.0412)*CHOOSE(CONTROL!$C$21, $C$9, 100%, $E$9)</f>
        <v>91.041200000000003</v>
      </c>
      <c r="G895" s="14">
        <f>CHOOSE(CONTROL!$C$42, 91.0578, 91.0578)*CHOOSE(CONTROL!$C$21, $C$9, 100%, $E$9)</f>
        <v>91.0578</v>
      </c>
      <c r="H895" s="14">
        <f>CHOOSE(CONTROL!$C$42, 91.2873, 91.2873) * CHOOSE(CONTROL!$C$21, $C$9, 100%, $E$9)</f>
        <v>91.287300000000002</v>
      </c>
      <c r="I895" s="14">
        <f>CHOOSE(CONTROL!$C$42, 91.3474, 91.3474)* CHOOSE(CONTROL!$C$21, $C$9, 100%, $E$9)</f>
        <v>91.347399999999993</v>
      </c>
      <c r="J895" s="14">
        <f>CHOOSE(CONTROL!$C$42, 91.0342, 91.0342)* CHOOSE(CONTROL!$C$21, $C$9, 100%, $E$9)</f>
        <v>91.034199999999998</v>
      </c>
      <c r="K895" s="53">
        <f>CHOOSE(CONTROL!$C$42, 91.3435, 91.3435) * CHOOSE(CONTROL!$C$21, $C$9, 100%, $E$9)</f>
        <v>91.343500000000006</v>
      </c>
      <c r="L895" s="14">
        <f>CHOOSE(CONTROL!$C$42, 91.8743, 91.8743) * CHOOSE(CONTROL!$C$21, $C$9, 100%, $E$9)</f>
        <v>91.874300000000005</v>
      </c>
      <c r="M895" s="14">
        <f>CHOOSE(CONTROL!$C$42, 89.1766, 89.1766) * CHOOSE(CONTROL!$C$21, $C$9, 100%, $E$9)</f>
        <v>89.176599999999993</v>
      </c>
      <c r="N895" s="14">
        <f>CHOOSE(CONTROL!$C$42, 89.1929, 89.1929) * CHOOSE(CONTROL!$C$21, $C$9, 100%, $E$9)</f>
        <v>89.192899999999995</v>
      </c>
      <c r="O895" s="14">
        <f>CHOOSE(CONTROL!$C$42, 89.4246, 89.4246) * CHOOSE(CONTROL!$C$21, $C$9, 100%, $E$9)</f>
        <v>89.424599999999998</v>
      </c>
      <c r="P895" s="14">
        <f>CHOOSE(CONTROL!$C$42, 89.4778, 89.4778) * CHOOSE(CONTROL!$C$21, $C$9, 100%, $E$9)</f>
        <v>89.477800000000002</v>
      </c>
      <c r="Q895" s="14">
        <f>CHOOSE(CONTROL!$C$42, 90.0193, 90.0193) * CHOOSE(CONTROL!$C$21, $C$9, 100%, $E$9)</f>
        <v>90.019300000000001</v>
      </c>
      <c r="R895" s="14">
        <f>CHOOSE(CONTROL!$C$42, 90.8313, 90.8313) * CHOOSE(CONTROL!$C$21, $C$9, 100%, $E$9)</f>
        <v>90.831299999999999</v>
      </c>
      <c r="S895" s="14">
        <f>CHOOSE(CONTROL!$C$42, 87.4833, 87.4833) * CHOOSE(CONTROL!$C$21, $C$9, 100%, $E$9)</f>
        <v>87.4833</v>
      </c>
      <c r="T8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7">
        <f>(1000*CHOOSE(CONTROL!$C$42, 695, 695)*CHOOSE(CONTROL!$C$42, 0.5599, 0.5599)*CHOOSE(CONTROL!$C$42, 31, 31))/1000000</f>
        <v>12.063045499999998</v>
      </c>
      <c r="V895" s="57">
        <f>(1000*CHOOSE(CONTROL!$C$42, 500, 500)*CHOOSE(CONTROL!$C$42, 0.275, 0.275)*CHOOSE(CONTROL!$C$42, 31, 31))/1000000</f>
        <v>4.2625000000000002</v>
      </c>
      <c r="W895" s="57">
        <f>(1000*CHOOSE(CONTROL!$C$42, 0.1146, 0.1146)*CHOOSE(CONTROL!$C$42, 121.5, 121.5)*CHOOSE(CONTROL!$C$42, 31, 31))/1000000</f>
        <v>0.43164089999999994</v>
      </c>
      <c r="X895" s="57">
        <f>(31*0.1790888*245000/1000000)+(31*0.2374*100000/1000000)</f>
        <v>2.0961194359999999</v>
      </c>
      <c r="Y895" s="57"/>
      <c r="Z895" s="14"/>
      <c r="AA895" s="56"/>
      <c r="AB895" s="50">
        <f>(B895*194.205+C895*267.466+D895*133.845+E895*53.484+F895*40+G895*185+H895*0+I895*100+J895*300)/(194.205+267.466+133.845+53.484+0+40+185+100+300)</f>
        <v>91.106940620879115</v>
      </c>
      <c r="AC895" s="45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89.333279136690649</v>
      </c>
    </row>
    <row r="896" spans="1:29" ht="15.75" x14ac:dyDescent="0.25">
      <c r="A896" s="32">
        <v>68180</v>
      </c>
      <c r="B896" s="14">
        <f>CHOOSE(CONTROL!$C$42, 86.5571, 86.5571) * CHOOSE(CONTROL!$C$21, $C$9, 100%, $E$9)</f>
        <v>86.557100000000005</v>
      </c>
      <c r="C896" s="14">
        <f>CHOOSE(CONTROL!$C$42, 86.5652, 86.5652) * CHOOSE(CONTROL!$C$21, $C$9, 100%, $E$9)</f>
        <v>86.565200000000004</v>
      </c>
      <c r="D896" s="14">
        <f>CHOOSE(CONTROL!$C$42, 86.7701, 86.7701) * CHOOSE(CONTROL!$C$21, $C$9, 100%, $E$9)</f>
        <v>86.770099999999999</v>
      </c>
      <c r="E896" s="14">
        <f>CHOOSE(CONTROL!$C$42, 86.8016, 86.8016) * CHOOSE(CONTROL!$C$21, $C$9, 100%, $E$9)</f>
        <v>86.801599999999993</v>
      </c>
      <c r="F896" s="14">
        <f>CHOOSE(CONTROL!$C$42, 86.5443, 86.5443)*CHOOSE(CONTROL!$C$21, $C$9, 100%, $E$9)</f>
        <v>86.544300000000007</v>
      </c>
      <c r="G896" s="14">
        <f>CHOOSE(CONTROL!$C$42, 86.561, 86.561)*CHOOSE(CONTROL!$C$21, $C$9, 100%, $E$9)</f>
        <v>86.561000000000007</v>
      </c>
      <c r="H896" s="14">
        <f>CHOOSE(CONTROL!$C$42, 86.7902, 86.7902) * CHOOSE(CONTROL!$C$21, $C$9, 100%, $E$9)</f>
        <v>86.790199999999999</v>
      </c>
      <c r="I896" s="14">
        <f>CHOOSE(CONTROL!$C$42, 86.8363, 86.8363)* CHOOSE(CONTROL!$C$21, $C$9, 100%, $E$9)</f>
        <v>86.836299999999994</v>
      </c>
      <c r="J896" s="14">
        <f>CHOOSE(CONTROL!$C$42, 86.5373, 86.5373)* CHOOSE(CONTROL!$C$21, $C$9, 100%, $E$9)</f>
        <v>86.537300000000002</v>
      </c>
      <c r="K896" s="53">
        <f>CHOOSE(CONTROL!$C$42, 86.8324, 86.8324) * CHOOSE(CONTROL!$C$21, $C$9, 100%, $E$9)</f>
        <v>86.832400000000007</v>
      </c>
      <c r="L896" s="14">
        <f>CHOOSE(CONTROL!$C$42, 87.3772, 87.3772) * CHOOSE(CONTROL!$C$21, $C$9, 100%, $E$9)</f>
        <v>87.377200000000002</v>
      </c>
      <c r="M896" s="14">
        <f>CHOOSE(CONTROL!$C$42, 84.7719, 84.7719) * CHOOSE(CONTROL!$C$21, $C$9, 100%, $E$9)</f>
        <v>84.771900000000002</v>
      </c>
      <c r="N896" s="14">
        <f>CHOOSE(CONTROL!$C$42, 84.7883, 84.7883) * CHOOSE(CONTROL!$C$21, $C$9, 100%, $E$9)</f>
        <v>84.788300000000007</v>
      </c>
      <c r="O896" s="14">
        <f>CHOOSE(CONTROL!$C$42, 85.0197, 85.0197) * CHOOSE(CONTROL!$C$21, $C$9, 100%, $E$9)</f>
        <v>85.0197</v>
      </c>
      <c r="P896" s="14">
        <f>CHOOSE(CONTROL!$C$42, 85.0594, 85.0594) * CHOOSE(CONTROL!$C$21, $C$9, 100%, $E$9)</f>
        <v>85.059399999999997</v>
      </c>
      <c r="Q896" s="14">
        <f>CHOOSE(CONTROL!$C$42, 85.6144, 85.6144) * CHOOSE(CONTROL!$C$21, $C$9, 100%, $E$9)</f>
        <v>85.614400000000003</v>
      </c>
      <c r="R896" s="14">
        <f>CHOOSE(CONTROL!$C$42, 86.4154, 86.4154) * CHOOSE(CONTROL!$C$21, $C$9, 100%, $E$9)</f>
        <v>86.415400000000005</v>
      </c>
      <c r="S896" s="14">
        <f>CHOOSE(CONTROL!$C$42, 83.1621, 83.1621) * CHOOSE(CONTROL!$C$21, $C$9, 100%, $E$9)</f>
        <v>83.162099999999995</v>
      </c>
      <c r="T8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7">
        <f>(1000*CHOOSE(CONTROL!$C$42, 695, 695)*CHOOSE(CONTROL!$C$42, 0.5599, 0.5599)*CHOOSE(CONTROL!$C$42, 31, 31))/1000000</f>
        <v>12.063045499999998</v>
      </c>
      <c r="V896" s="57">
        <f>(1000*CHOOSE(CONTROL!$C$42, 500, 500)*CHOOSE(CONTROL!$C$42, 0.275, 0.275)*CHOOSE(CONTROL!$C$42, 31, 31))/1000000</f>
        <v>4.2625000000000002</v>
      </c>
      <c r="W896" s="57">
        <f>(1000*CHOOSE(CONTROL!$C$42, 0.1146, 0.1146)*CHOOSE(CONTROL!$C$42, 121.5, 121.5)*CHOOSE(CONTROL!$C$42, 31, 31))/1000000</f>
        <v>0.43164089999999994</v>
      </c>
      <c r="X896" s="57">
        <f>(31*0.1790888*245000/1000000)+(31*0.2374*100000/1000000)</f>
        <v>2.0961194359999999</v>
      </c>
      <c r="Y896" s="57"/>
      <c r="Z896" s="14"/>
      <c r="AA896" s="56"/>
      <c r="AB896" s="50">
        <f>(B896*194.205+C896*267.466+D896*133.845+E896*53.484+F896*40+G896*185+H896*0+I896*100+J896*300)/(194.205+267.466+133.845+53.484+0+40+185+100+300)</f>
        <v>86.608859652747256</v>
      </c>
      <c r="AC896" s="45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84.926523021582739</v>
      </c>
    </row>
    <row r="897" spans="1:29" ht="15.75" x14ac:dyDescent="0.25">
      <c r="A897" s="32">
        <v>68210</v>
      </c>
      <c r="B897" s="14">
        <f>CHOOSE(CONTROL!$C$42, 81.0622, 81.0622) * CHOOSE(CONTROL!$C$21, $C$9, 100%, $E$9)</f>
        <v>81.062200000000004</v>
      </c>
      <c r="C897" s="14">
        <f>CHOOSE(CONTROL!$C$42, 81.0702, 81.0702) * CHOOSE(CONTROL!$C$21, $C$9, 100%, $E$9)</f>
        <v>81.0702</v>
      </c>
      <c r="D897" s="14">
        <f>CHOOSE(CONTROL!$C$42, 81.2752, 81.2752) * CHOOSE(CONTROL!$C$21, $C$9, 100%, $E$9)</f>
        <v>81.275199999999998</v>
      </c>
      <c r="E897" s="14">
        <f>CHOOSE(CONTROL!$C$42, 81.3067, 81.3067) * CHOOSE(CONTROL!$C$21, $C$9, 100%, $E$9)</f>
        <v>81.306700000000006</v>
      </c>
      <c r="F897" s="14">
        <f>CHOOSE(CONTROL!$C$42, 81.0494, 81.0494)*CHOOSE(CONTROL!$C$21, $C$9, 100%, $E$9)</f>
        <v>81.049400000000006</v>
      </c>
      <c r="G897" s="14">
        <f>CHOOSE(CONTROL!$C$42, 81.066, 81.066)*CHOOSE(CONTROL!$C$21, $C$9, 100%, $E$9)</f>
        <v>81.066000000000003</v>
      </c>
      <c r="H897" s="14">
        <f>CHOOSE(CONTROL!$C$42, 81.2953, 81.2953) * CHOOSE(CONTROL!$C$21, $C$9, 100%, $E$9)</f>
        <v>81.295299999999997</v>
      </c>
      <c r="I897" s="14">
        <f>CHOOSE(CONTROL!$C$42, 81.3241, 81.3241)* CHOOSE(CONTROL!$C$21, $C$9, 100%, $E$9)</f>
        <v>81.324100000000001</v>
      </c>
      <c r="J897" s="14">
        <f>CHOOSE(CONTROL!$C$42, 81.0424, 81.0424)* CHOOSE(CONTROL!$C$21, $C$9, 100%, $E$9)</f>
        <v>81.042400000000001</v>
      </c>
      <c r="K897" s="53">
        <f>CHOOSE(CONTROL!$C$42, 81.3202, 81.3202) * CHOOSE(CONTROL!$C$21, $C$9, 100%, $E$9)</f>
        <v>81.3202</v>
      </c>
      <c r="L897" s="14">
        <f>CHOOSE(CONTROL!$C$42, 81.8823, 81.8823) * CHOOSE(CONTROL!$C$21, $C$9, 100%, $E$9)</f>
        <v>81.882300000000001</v>
      </c>
      <c r="M897" s="14">
        <f>CHOOSE(CONTROL!$C$42, 79.3895, 79.3895) * CHOOSE(CONTROL!$C$21, $C$9, 100%, $E$9)</f>
        <v>79.389499999999998</v>
      </c>
      <c r="N897" s="14">
        <f>CHOOSE(CONTROL!$C$42, 79.4059, 79.4059) * CHOOSE(CONTROL!$C$21, $C$9, 100%, $E$9)</f>
        <v>79.405900000000003</v>
      </c>
      <c r="O897" s="14">
        <f>CHOOSE(CONTROL!$C$42, 79.6373, 79.6373) * CHOOSE(CONTROL!$C$21, $C$9, 100%, $E$9)</f>
        <v>79.637299999999996</v>
      </c>
      <c r="P897" s="14">
        <f>CHOOSE(CONTROL!$C$42, 79.6605, 79.6605) * CHOOSE(CONTROL!$C$21, $C$9, 100%, $E$9)</f>
        <v>79.660499999999999</v>
      </c>
      <c r="Q897" s="14">
        <f>CHOOSE(CONTROL!$C$42, 80.232, 80.232) * CHOOSE(CONTROL!$C$21, $C$9, 100%, $E$9)</f>
        <v>80.231999999999999</v>
      </c>
      <c r="R897" s="14">
        <f>CHOOSE(CONTROL!$C$42, 81.0196, 81.0196) * CHOOSE(CONTROL!$C$21, $C$9, 100%, $E$9)</f>
        <v>81.019599999999997</v>
      </c>
      <c r="S897" s="14">
        <f>CHOOSE(CONTROL!$C$42, 77.882, 77.882) * CHOOSE(CONTROL!$C$21, $C$9, 100%, $E$9)</f>
        <v>77.882000000000005</v>
      </c>
      <c r="T8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7">
        <f>(1000*CHOOSE(CONTROL!$C$42, 695, 695)*CHOOSE(CONTROL!$C$42, 0.5599, 0.5599)*CHOOSE(CONTROL!$C$42, 30, 30))/1000000</f>
        <v>11.673914999999997</v>
      </c>
      <c r="V897" s="57">
        <f>(1000*CHOOSE(CONTROL!$C$42, 500, 500)*CHOOSE(CONTROL!$C$42, 0.275, 0.275)*CHOOSE(CONTROL!$C$42, 30, 30))/1000000</f>
        <v>4.125</v>
      </c>
      <c r="W897" s="57">
        <f>(1000*CHOOSE(CONTROL!$C$42, 0.1146, 0.1146)*CHOOSE(CONTROL!$C$42, 121.5, 121.5)*CHOOSE(CONTROL!$C$42, 30, 30))/1000000</f>
        <v>0.417717</v>
      </c>
      <c r="X897" s="57">
        <f>(30*0.1790888*245000/1000000)+(30*0.2374*100000/1000000)</f>
        <v>2.0285026799999999</v>
      </c>
      <c r="Y897" s="57"/>
      <c r="Z897" s="14"/>
      <c r="AA897" s="56"/>
      <c r="AB897" s="50">
        <f>(B897*194.205+C897*267.466+D897*133.845+E897*53.484+F897*40+G897*185+H897*0+I897*100+J897*300)/(194.205+267.466+133.845+53.484+0+40+185+100+300)</f>
        <v>81.112566209576144</v>
      </c>
      <c r="AC897" s="45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79.541748920863313</v>
      </c>
    </row>
    <row r="898" spans="1:29" ht="15.75" x14ac:dyDescent="0.25">
      <c r="A898" s="32">
        <v>68241</v>
      </c>
      <c r="B898" s="14">
        <f>CHOOSE(CONTROL!$C$42, 79.4148, 79.4148) * CHOOSE(CONTROL!$C$21, $C$9, 100%, $E$9)</f>
        <v>79.4148</v>
      </c>
      <c r="C898" s="14">
        <f>CHOOSE(CONTROL!$C$42, 79.4201, 79.4201) * CHOOSE(CONTROL!$C$21, $C$9, 100%, $E$9)</f>
        <v>79.420100000000005</v>
      </c>
      <c r="D898" s="14">
        <f>CHOOSE(CONTROL!$C$42, 79.63, 79.63) * CHOOSE(CONTROL!$C$21, $C$9, 100%, $E$9)</f>
        <v>79.63</v>
      </c>
      <c r="E898" s="14">
        <f>CHOOSE(CONTROL!$C$42, 79.6592, 79.6592) * CHOOSE(CONTROL!$C$21, $C$9, 100%, $E$9)</f>
        <v>79.659199999999998</v>
      </c>
      <c r="F898" s="14">
        <f>CHOOSE(CONTROL!$C$42, 79.404, 79.404)*CHOOSE(CONTROL!$C$21, $C$9, 100%, $E$9)</f>
        <v>79.403999999999996</v>
      </c>
      <c r="G898" s="14">
        <f>CHOOSE(CONTROL!$C$42, 79.4204, 79.4204)*CHOOSE(CONTROL!$C$21, $C$9, 100%, $E$9)</f>
        <v>79.420400000000001</v>
      </c>
      <c r="H898" s="14">
        <f>CHOOSE(CONTROL!$C$42, 79.6496, 79.6496) * CHOOSE(CONTROL!$C$21, $C$9, 100%, $E$9)</f>
        <v>79.649600000000007</v>
      </c>
      <c r="I898" s="14">
        <f>CHOOSE(CONTROL!$C$42, 79.6733, 79.6733)* CHOOSE(CONTROL!$C$21, $C$9, 100%, $E$9)</f>
        <v>79.673299999999998</v>
      </c>
      <c r="J898" s="14">
        <f>CHOOSE(CONTROL!$C$42, 79.397, 79.397)* CHOOSE(CONTROL!$C$21, $C$9, 100%, $E$9)</f>
        <v>79.397000000000006</v>
      </c>
      <c r="K898" s="53">
        <f>CHOOSE(CONTROL!$C$42, 79.6694, 79.6694) * CHOOSE(CONTROL!$C$21, $C$9, 100%, $E$9)</f>
        <v>79.669399999999996</v>
      </c>
      <c r="L898" s="14">
        <f>CHOOSE(CONTROL!$C$42, 80.2366, 80.2366) * CHOOSE(CONTROL!$C$21, $C$9, 100%, $E$9)</f>
        <v>80.236599999999996</v>
      </c>
      <c r="M898" s="14">
        <f>CHOOSE(CONTROL!$C$42, 77.7779, 77.7779) * CHOOSE(CONTROL!$C$21, $C$9, 100%, $E$9)</f>
        <v>77.777900000000002</v>
      </c>
      <c r="N898" s="14">
        <f>CHOOSE(CONTROL!$C$42, 77.7939, 77.7939) * CHOOSE(CONTROL!$C$21, $C$9, 100%, $E$9)</f>
        <v>77.793899999999994</v>
      </c>
      <c r="O898" s="14">
        <f>CHOOSE(CONTROL!$C$42, 78.0254, 78.0254) * CHOOSE(CONTROL!$C$21, $C$9, 100%, $E$9)</f>
        <v>78.025400000000005</v>
      </c>
      <c r="P898" s="14">
        <f>CHOOSE(CONTROL!$C$42, 78.0436, 78.0436) * CHOOSE(CONTROL!$C$21, $C$9, 100%, $E$9)</f>
        <v>78.043599999999998</v>
      </c>
      <c r="Q898" s="14">
        <f>CHOOSE(CONTROL!$C$42, 78.6201, 78.6201) * CHOOSE(CONTROL!$C$21, $C$9, 100%, $E$9)</f>
        <v>78.620099999999994</v>
      </c>
      <c r="R898" s="14">
        <f>CHOOSE(CONTROL!$C$42, 79.4036, 79.4036) * CHOOSE(CONTROL!$C$21, $C$9, 100%, $E$9)</f>
        <v>79.403599999999997</v>
      </c>
      <c r="S898" s="14">
        <f>CHOOSE(CONTROL!$C$42, 76.3007, 76.3007) * CHOOSE(CONTROL!$C$21, $C$9, 100%, $E$9)</f>
        <v>76.300700000000006</v>
      </c>
      <c r="T8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7">
        <f>(1000*CHOOSE(CONTROL!$C$42, 695, 695)*CHOOSE(CONTROL!$C$42, 0.5599, 0.5599)*CHOOSE(CONTROL!$C$42, 31, 31))/1000000</f>
        <v>12.063045499999998</v>
      </c>
      <c r="V898" s="57">
        <f>(1000*CHOOSE(CONTROL!$C$42, 500, 500)*CHOOSE(CONTROL!$C$42, 0.275, 0.275)*CHOOSE(CONTROL!$C$42, 31, 31))/1000000</f>
        <v>4.2625000000000002</v>
      </c>
      <c r="W898" s="57">
        <f>(1000*CHOOSE(CONTROL!$C$42, 0.1146, 0.1146)*CHOOSE(CONTROL!$C$42, 121.5, 121.5)*CHOOSE(CONTROL!$C$42, 31, 31))/1000000</f>
        <v>0.43164089999999994</v>
      </c>
      <c r="X898" s="57">
        <f>(31*0.1790888*245000/1000000)+(31*0.2374*100000/1000000)</f>
        <v>2.0961194359999999</v>
      </c>
      <c r="Y898" s="57"/>
      <c r="Z898" s="14"/>
      <c r="AA898" s="56"/>
      <c r="AB898" s="50">
        <f>(B898*131.881+C898*277.167+D898*79.08+E898*125.872+F898*40+G898*185+H898*0+I898*100+J898*300)/(131.881+277.167+79.08+125.872+0+40+185+100+300)</f>
        <v>79.471591055609366</v>
      </c>
      <c r="AC898" s="45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77.929227338129493</v>
      </c>
    </row>
    <row r="899" spans="1:29" ht="15.75" x14ac:dyDescent="0.25">
      <c r="A899" s="32">
        <v>68271</v>
      </c>
      <c r="B899" s="14">
        <f>CHOOSE(CONTROL!$C$42, 81.5063, 81.5063) * CHOOSE(CONTROL!$C$21, $C$9, 100%, $E$9)</f>
        <v>81.506299999999996</v>
      </c>
      <c r="C899" s="14">
        <f>CHOOSE(CONTROL!$C$42, 81.5113, 81.5113) * CHOOSE(CONTROL!$C$21, $C$9, 100%, $E$9)</f>
        <v>81.511300000000006</v>
      </c>
      <c r="D899" s="14">
        <f>CHOOSE(CONTROL!$C$42, 81.5751, 81.5751) * CHOOSE(CONTROL!$C$21, $C$9, 100%, $E$9)</f>
        <v>81.575100000000006</v>
      </c>
      <c r="E899" s="14">
        <f>CHOOSE(CONTROL!$C$42, 81.6092, 81.6092) * CHOOSE(CONTROL!$C$21, $C$9, 100%, $E$9)</f>
        <v>81.609200000000001</v>
      </c>
      <c r="F899" s="14">
        <f>CHOOSE(CONTROL!$C$42, 81.5085, 81.5085)*CHOOSE(CONTROL!$C$21, $C$9, 100%, $E$9)</f>
        <v>81.508499999999998</v>
      </c>
      <c r="G899" s="14">
        <f>CHOOSE(CONTROL!$C$42, 81.5252, 81.5252)*CHOOSE(CONTROL!$C$21, $C$9, 100%, $E$9)</f>
        <v>81.525199999999998</v>
      </c>
      <c r="H899" s="14">
        <f>CHOOSE(CONTROL!$C$42, 81.5984, 81.5984) * CHOOSE(CONTROL!$C$21, $C$9, 100%, $E$9)</f>
        <v>81.598399999999998</v>
      </c>
      <c r="I899" s="14">
        <f>CHOOSE(CONTROL!$C$42, 81.7754, 81.7754)* CHOOSE(CONTROL!$C$21, $C$9, 100%, $E$9)</f>
        <v>81.775400000000005</v>
      </c>
      <c r="J899" s="14">
        <f>CHOOSE(CONTROL!$C$42, 81.5015, 81.5015)* CHOOSE(CONTROL!$C$21, $C$9, 100%, $E$9)</f>
        <v>81.501499999999993</v>
      </c>
      <c r="K899" s="53">
        <f>CHOOSE(CONTROL!$C$42, 81.7715, 81.7715) * CHOOSE(CONTROL!$C$21, $C$9, 100%, $E$9)</f>
        <v>81.771500000000003</v>
      </c>
      <c r="L899" s="14">
        <f>CHOOSE(CONTROL!$C$42, 82.1854, 82.1854) * CHOOSE(CONTROL!$C$21, $C$9, 100%, $E$9)</f>
        <v>82.185400000000001</v>
      </c>
      <c r="M899" s="14">
        <f>CHOOSE(CONTROL!$C$42, 79.8393, 79.8393) * CHOOSE(CONTROL!$C$21, $C$9, 100%, $E$9)</f>
        <v>79.839299999999994</v>
      </c>
      <c r="N899" s="14">
        <f>CHOOSE(CONTROL!$C$42, 79.8556, 79.8556) * CHOOSE(CONTROL!$C$21, $C$9, 100%, $E$9)</f>
        <v>79.855599999999995</v>
      </c>
      <c r="O899" s="14">
        <f>CHOOSE(CONTROL!$C$42, 79.9342, 79.9342) * CHOOSE(CONTROL!$C$21, $C$9, 100%, $E$9)</f>
        <v>79.934200000000004</v>
      </c>
      <c r="P899" s="14">
        <f>CHOOSE(CONTROL!$C$42, 80.1025, 80.1025) * CHOOSE(CONTROL!$C$21, $C$9, 100%, $E$9)</f>
        <v>80.102500000000006</v>
      </c>
      <c r="Q899" s="14">
        <f>CHOOSE(CONTROL!$C$42, 80.5289, 80.5289) * CHOOSE(CONTROL!$C$21, $C$9, 100%, $E$9)</f>
        <v>80.528899999999993</v>
      </c>
      <c r="R899" s="14">
        <f>CHOOSE(CONTROL!$C$42, 81.3173, 81.3173) * CHOOSE(CONTROL!$C$21, $C$9, 100%, $E$9)</f>
        <v>81.317300000000003</v>
      </c>
      <c r="S899" s="14">
        <f>CHOOSE(CONTROL!$C$42, 78.3108, 78.3108) * CHOOSE(CONTROL!$C$21, $C$9, 100%, $E$9)</f>
        <v>78.3108</v>
      </c>
      <c r="T8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7">
        <f>(1000*CHOOSE(CONTROL!$C$42, 695, 695)*CHOOSE(CONTROL!$C$42, 0.5599, 0.5599)*CHOOSE(CONTROL!$C$42, 30, 30))/1000000</f>
        <v>11.673914999999997</v>
      </c>
      <c r="V899" s="57">
        <f>(1000*CHOOSE(CONTROL!$C$42, 500, 500)*CHOOSE(CONTROL!$C$42, 0.275, 0.275)*CHOOSE(CONTROL!$C$42, 30, 30))/1000000</f>
        <v>4.125</v>
      </c>
      <c r="W899" s="57">
        <f>(1000*CHOOSE(CONTROL!$C$42, 0.1146, 0.1146)*CHOOSE(CONTROL!$C$42, 121.5, 121.5)*CHOOSE(CONTROL!$C$42, 30, 30))/1000000</f>
        <v>0.417717</v>
      </c>
      <c r="X899" s="57">
        <f>(30*0.1790888*100000/1000000)+(30*0.2374*100000/1000000)</f>
        <v>1.2494664</v>
      </c>
      <c r="Y899" s="57"/>
      <c r="Z899" s="14"/>
      <c r="AA899" s="56"/>
      <c r="AB899" s="50">
        <f>(B899*122.58+C899*297.941+D899*89.177+E899*40.302+F899*40+G899*160+H899*0+I899*100+J899*300)/(122.58+297.941+89.177+40.302+0+40+160+100+300)</f>
        <v>81.541390572521735</v>
      </c>
      <c r="AC899" s="45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79.921120863309341</v>
      </c>
    </row>
    <row r="900" spans="1:29" ht="15.75" x14ac:dyDescent="0.25">
      <c r="A900" s="32">
        <v>68302</v>
      </c>
      <c r="B900" s="14">
        <f>CHOOSE(CONTROL!$C$42, 87.0627, 87.0627) * CHOOSE(CONTROL!$C$21, $C$9, 100%, $E$9)</f>
        <v>87.062700000000007</v>
      </c>
      <c r="C900" s="14">
        <f>CHOOSE(CONTROL!$C$42, 87.0677, 87.0677) * CHOOSE(CONTROL!$C$21, $C$9, 100%, $E$9)</f>
        <v>87.067700000000002</v>
      </c>
      <c r="D900" s="14">
        <f>CHOOSE(CONTROL!$C$42, 87.1315, 87.1315) * CHOOSE(CONTROL!$C$21, $C$9, 100%, $E$9)</f>
        <v>87.131500000000003</v>
      </c>
      <c r="E900" s="14">
        <f>CHOOSE(CONTROL!$C$42, 87.1657, 87.1657) * CHOOSE(CONTROL!$C$21, $C$9, 100%, $E$9)</f>
        <v>87.165700000000001</v>
      </c>
      <c r="F900" s="14">
        <f>CHOOSE(CONTROL!$C$42, 87.067, 87.067)*CHOOSE(CONTROL!$C$21, $C$9, 100%, $E$9)</f>
        <v>87.066999999999993</v>
      </c>
      <c r="G900" s="14">
        <f>CHOOSE(CONTROL!$C$42, 87.0842, 87.0842)*CHOOSE(CONTROL!$C$21, $C$9, 100%, $E$9)</f>
        <v>87.084199999999996</v>
      </c>
      <c r="H900" s="14">
        <f>CHOOSE(CONTROL!$C$42, 87.1548, 87.1548) * CHOOSE(CONTROL!$C$21, $C$9, 100%, $E$9)</f>
        <v>87.154799999999994</v>
      </c>
      <c r="I900" s="14">
        <f>CHOOSE(CONTROL!$C$42, 87.3492, 87.3492)* CHOOSE(CONTROL!$C$21, $C$9, 100%, $E$9)</f>
        <v>87.349199999999996</v>
      </c>
      <c r="J900" s="14">
        <f>CHOOSE(CONTROL!$C$42, 87.06, 87.06)* CHOOSE(CONTROL!$C$21, $C$9, 100%, $E$9)</f>
        <v>87.06</v>
      </c>
      <c r="K900" s="53">
        <f>CHOOSE(CONTROL!$C$42, 87.3453, 87.3453) * CHOOSE(CONTROL!$C$21, $C$9, 100%, $E$9)</f>
        <v>87.345299999999995</v>
      </c>
      <c r="L900" s="14">
        <f>CHOOSE(CONTROL!$C$42, 87.7418, 87.7418) * CHOOSE(CONTROL!$C$21, $C$9, 100%, $E$9)</f>
        <v>87.741799999999998</v>
      </c>
      <c r="M900" s="14">
        <f>CHOOSE(CONTROL!$C$42, 85.2839, 85.2839) * CHOOSE(CONTROL!$C$21, $C$9, 100%, $E$9)</f>
        <v>85.283900000000003</v>
      </c>
      <c r="N900" s="14">
        <f>CHOOSE(CONTROL!$C$42, 85.3007, 85.3007) * CHOOSE(CONTROL!$C$21, $C$9, 100%, $E$9)</f>
        <v>85.300700000000006</v>
      </c>
      <c r="O900" s="14">
        <f>CHOOSE(CONTROL!$C$42, 85.3768, 85.3768) * CHOOSE(CONTROL!$C$21, $C$9, 100%, $E$9)</f>
        <v>85.376800000000003</v>
      </c>
      <c r="P900" s="14">
        <f>CHOOSE(CONTROL!$C$42, 85.5618, 85.5618) * CHOOSE(CONTROL!$C$21, $C$9, 100%, $E$9)</f>
        <v>85.561800000000005</v>
      </c>
      <c r="Q900" s="14">
        <f>CHOOSE(CONTROL!$C$42, 85.9715, 85.9715) * CHOOSE(CONTROL!$C$21, $C$9, 100%, $E$9)</f>
        <v>85.971500000000006</v>
      </c>
      <c r="R900" s="14">
        <f>CHOOSE(CONTROL!$C$42, 86.7734, 86.7734) * CHOOSE(CONTROL!$C$21, $C$9, 100%, $E$9)</f>
        <v>86.773399999999995</v>
      </c>
      <c r="S900" s="14">
        <f>CHOOSE(CONTROL!$C$42, 83.65, 83.65) * CHOOSE(CONTROL!$C$21, $C$9, 100%, $E$9)</f>
        <v>83.65</v>
      </c>
      <c r="T9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7">
        <f>(1000*CHOOSE(CONTROL!$C$42, 695, 695)*CHOOSE(CONTROL!$C$42, 0.5599, 0.5599)*CHOOSE(CONTROL!$C$42, 31, 31))/1000000</f>
        <v>12.063045499999998</v>
      </c>
      <c r="V900" s="57">
        <f>(1000*CHOOSE(CONTROL!$C$42, 500, 500)*CHOOSE(CONTROL!$C$42, 0.275, 0.275)*CHOOSE(CONTROL!$C$42, 31, 31))/1000000</f>
        <v>4.2625000000000002</v>
      </c>
      <c r="W900" s="57">
        <f>(1000*CHOOSE(CONTROL!$C$42, 0.1146, 0.1146)*CHOOSE(CONTROL!$C$42, 121.5, 121.5)*CHOOSE(CONTROL!$C$42, 31, 31))/1000000</f>
        <v>0.43164089999999994</v>
      </c>
      <c r="X900" s="57">
        <f>(31*0.1790888*100000/1000000)+(31*0.2374*100000/1000000)</f>
        <v>1.2911152800000001</v>
      </c>
      <c r="Y900" s="57"/>
      <c r="Z900" s="14"/>
      <c r="AA900" s="56"/>
      <c r="AB900" s="50">
        <f>(B900*122.58+C900*297.941+D900*89.177+E900*40.302+F900*40+G900*160+H900*0+I900*100+J900*300)/(122.58+297.941+89.177+40.302+0+40+160+100+300)</f>
        <v>87.10028972921738</v>
      </c>
      <c r="AC900" s="45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85.3669582733813</v>
      </c>
    </row>
    <row r="901" spans="1:29" ht="15.75" x14ac:dyDescent="0.25">
      <c r="A901" s="32">
        <v>68333</v>
      </c>
      <c r="B901" s="14">
        <f>CHOOSE(CONTROL!$C$42, 94.1935, 94.1935) * CHOOSE(CONTROL!$C$21, $C$9, 100%, $E$9)</f>
        <v>94.1935</v>
      </c>
      <c r="C901" s="14">
        <f>CHOOSE(CONTROL!$C$42, 94.1986, 94.1986) * CHOOSE(CONTROL!$C$21, $C$9, 100%, $E$9)</f>
        <v>94.198599999999999</v>
      </c>
      <c r="D901" s="14">
        <f>CHOOSE(CONTROL!$C$42, 94.2572, 94.2572) * CHOOSE(CONTROL!$C$21, $C$9, 100%, $E$9)</f>
        <v>94.257199999999997</v>
      </c>
      <c r="E901" s="14">
        <f>CHOOSE(CONTROL!$C$42, 94.2913, 94.2913) * CHOOSE(CONTROL!$C$21, $C$9, 100%, $E$9)</f>
        <v>94.291300000000007</v>
      </c>
      <c r="F901" s="14">
        <f>CHOOSE(CONTROL!$C$42, 94.1926, 94.1926)*CHOOSE(CONTROL!$C$21, $C$9, 100%, $E$9)</f>
        <v>94.192599999999999</v>
      </c>
      <c r="G901" s="14">
        <f>CHOOSE(CONTROL!$C$42, 94.209, 94.209)*CHOOSE(CONTROL!$C$21, $C$9, 100%, $E$9)</f>
        <v>94.209000000000003</v>
      </c>
      <c r="H901" s="14">
        <f>CHOOSE(CONTROL!$C$42, 94.2805, 94.2805) * CHOOSE(CONTROL!$C$21, $C$9, 100%, $E$9)</f>
        <v>94.280500000000004</v>
      </c>
      <c r="I901" s="14">
        <f>CHOOSE(CONTROL!$C$42, 94.4988, 94.4988)* CHOOSE(CONTROL!$C$21, $C$9, 100%, $E$9)</f>
        <v>94.498800000000003</v>
      </c>
      <c r="J901" s="14">
        <f>CHOOSE(CONTROL!$C$42, 94.1856, 94.1856)* CHOOSE(CONTROL!$C$21, $C$9, 100%, $E$9)</f>
        <v>94.185599999999994</v>
      </c>
      <c r="K901" s="53">
        <f>CHOOSE(CONTROL!$C$42, 94.4949, 94.4949) * CHOOSE(CONTROL!$C$21, $C$9, 100%, $E$9)</f>
        <v>94.494900000000001</v>
      </c>
      <c r="L901" s="14">
        <f>CHOOSE(CONTROL!$C$42, 94.8675, 94.8675) * CHOOSE(CONTROL!$C$21, $C$9, 100%, $E$9)</f>
        <v>94.867500000000007</v>
      </c>
      <c r="M901" s="14">
        <f>CHOOSE(CONTROL!$C$42, 92.2635, 92.2635) * CHOOSE(CONTROL!$C$21, $C$9, 100%, $E$9)</f>
        <v>92.263499999999993</v>
      </c>
      <c r="N901" s="14">
        <f>CHOOSE(CONTROL!$C$42, 92.2796, 92.2796) * CHOOSE(CONTROL!$C$21, $C$9, 100%, $E$9)</f>
        <v>92.279600000000002</v>
      </c>
      <c r="O901" s="14">
        <f>CHOOSE(CONTROL!$C$42, 92.3565, 92.3565) * CHOOSE(CONTROL!$C$21, $C$9, 100%, $E$9)</f>
        <v>92.356499999999997</v>
      </c>
      <c r="P901" s="14">
        <f>CHOOSE(CONTROL!$C$42, 92.5644, 92.5644) * CHOOSE(CONTROL!$C$21, $C$9, 100%, $E$9)</f>
        <v>92.564400000000006</v>
      </c>
      <c r="Q901" s="14">
        <f>CHOOSE(CONTROL!$C$42, 92.9512, 92.9512) * CHOOSE(CONTROL!$C$21, $C$9, 100%, $E$9)</f>
        <v>92.9512</v>
      </c>
      <c r="R901" s="14">
        <f>CHOOSE(CONTROL!$C$42, 93.7705, 93.7705) * CHOOSE(CONTROL!$C$21, $C$9, 100%, $E$9)</f>
        <v>93.770499999999998</v>
      </c>
      <c r="S901" s="14">
        <f>CHOOSE(CONTROL!$C$42, 90.502, 90.502) * CHOOSE(CONTROL!$C$21, $C$9, 100%, $E$9)</f>
        <v>90.501999999999995</v>
      </c>
      <c r="T9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7">
        <f>(1000*CHOOSE(CONTROL!$C$42, 695, 695)*CHOOSE(CONTROL!$C$42, 0.5599, 0.5599)*CHOOSE(CONTROL!$C$42, 31, 31))/1000000</f>
        <v>12.063045499999998</v>
      </c>
      <c r="V901" s="57">
        <f>(1000*CHOOSE(CONTROL!$C$42, 500, 500)*CHOOSE(CONTROL!$C$42, 0.275, 0.275)*CHOOSE(CONTROL!$C$42, 31, 31))/1000000</f>
        <v>4.2625000000000002</v>
      </c>
      <c r="W901" s="57">
        <f>(1000*CHOOSE(CONTROL!$C$42, 0.1146, 0.1146)*CHOOSE(CONTROL!$C$42, 121.5, 121.5)*CHOOSE(CONTROL!$C$42, 31, 31))/1000000</f>
        <v>0.43164089999999994</v>
      </c>
      <c r="X901" s="57">
        <f>(31*0.1790888*100000/1000000)+(31*0.2374*100000/1000000)</f>
        <v>1.2911152800000001</v>
      </c>
      <c r="Y901" s="57"/>
      <c r="Z901" s="14"/>
      <c r="AA901" s="56"/>
      <c r="AB901" s="50">
        <f>(B901*122.58+C901*297.941+D901*89.177+E901*40.302+F901*40+G901*160+H901*0+I901*100+J901*300)/(122.58+297.941+89.177+40.302+0+40+160+100+300)</f>
        <v>94.229800530086948</v>
      </c>
      <c r="AC901" s="45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92.349872661870506</v>
      </c>
    </row>
    <row r="902" spans="1:29" ht="15.75" x14ac:dyDescent="0.25">
      <c r="A902" s="32">
        <v>68361</v>
      </c>
      <c r="B902" s="14">
        <f>CHOOSE(CONTROL!$C$42, 95.8702, 95.8702) * CHOOSE(CONTROL!$C$21, $C$9, 100%, $E$9)</f>
        <v>95.870199999999997</v>
      </c>
      <c r="C902" s="14">
        <f>CHOOSE(CONTROL!$C$42, 95.8752, 95.8752) * CHOOSE(CONTROL!$C$21, $C$9, 100%, $E$9)</f>
        <v>95.875200000000007</v>
      </c>
      <c r="D902" s="14">
        <f>CHOOSE(CONTROL!$C$42, 95.9338, 95.9338) * CHOOSE(CONTROL!$C$21, $C$9, 100%, $E$9)</f>
        <v>95.933800000000005</v>
      </c>
      <c r="E902" s="14">
        <f>CHOOSE(CONTROL!$C$42, 95.9679, 95.9679) * CHOOSE(CONTROL!$C$21, $C$9, 100%, $E$9)</f>
        <v>95.9679</v>
      </c>
      <c r="F902" s="14">
        <f>CHOOSE(CONTROL!$C$42, 95.8692, 95.8692)*CHOOSE(CONTROL!$C$21, $C$9, 100%, $E$9)</f>
        <v>95.869200000000006</v>
      </c>
      <c r="G902" s="14">
        <f>CHOOSE(CONTROL!$C$42, 95.8856, 95.8856)*CHOOSE(CONTROL!$C$21, $C$9, 100%, $E$9)</f>
        <v>95.885599999999997</v>
      </c>
      <c r="H902" s="14">
        <f>CHOOSE(CONTROL!$C$42, 95.9571, 95.9571) * CHOOSE(CONTROL!$C$21, $C$9, 100%, $E$9)</f>
        <v>95.957099999999997</v>
      </c>
      <c r="I902" s="14">
        <f>CHOOSE(CONTROL!$C$42, 96.1806, 96.1806)* CHOOSE(CONTROL!$C$21, $C$9, 100%, $E$9)</f>
        <v>96.180599999999998</v>
      </c>
      <c r="J902" s="14">
        <f>CHOOSE(CONTROL!$C$42, 95.8622, 95.8622)* CHOOSE(CONTROL!$C$21, $C$9, 100%, $E$9)</f>
        <v>95.862200000000001</v>
      </c>
      <c r="K902" s="53">
        <f>CHOOSE(CONTROL!$C$42, 96.1767, 96.1767) * CHOOSE(CONTROL!$C$21, $C$9, 100%, $E$9)</f>
        <v>96.176699999999997</v>
      </c>
      <c r="L902" s="14">
        <f>CHOOSE(CONTROL!$C$42, 96.5441, 96.5441) * CHOOSE(CONTROL!$C$21, $C$9, 100%, $E$9)</f>
        <v>96.5441</v>
      </c>
      <c r="M902" s="14">
        <f>CHOOSE(CONTROL!$C$42, 93.9058, 93.9058) * CHOOSE(CONTROL!$C$21, $C$9, 100%, $E$9)</f>
        <v>93.905799999999999</v>
      </c>
      <c r="N902" s="14">
        <f>CHOOSE(CONTROL!$C$42, 93.9218, 93.9218) * CHOOSE(CONTROL!$C$21, $C$9, 100%, $E$9)</f>
        <v>93.921800000000005</v>
      </c>
      <c r="O902" s="14">
        <f>CHOOSE(CONTROL!$C$42, 93.9987, 93.9987) * CHOOSE(CONTROL!$C$21, $C$9, 100%, $E$9)</f>
        <v>93.998699999999999</v>
      </c>
      <c r="P902" s="14">
        <f>CHOOSE(CONTROL!$C$42, 94.2117, 94.2117) * CHOOSE(CONTROL!$C$21, $C$9, 100%, $E$9)</f>
        <v>94.211699999999993</v>
      </c>
      <c r="Q902" s="14">
        <f>CHOOSE(CONTROL!$C$42, 94.5934, 94.5934) * CHOOSE(CONTROL!$C$21, $C$9, 100%, $E$9)</f>
        <v>94.593400000000003</v>
      </c>
      <c r="R902" s="14">
        <f>CHOOSE(CONTROL!$C$42, 95.4169, 95.4169) * CHOOSE(CONTROL!$C$21, $C$9, 100%, $E$9)</f>
        <v>95.416899999999998</v>
      </c>
      <c r="S902" s="14">
        <f>CHOOSE(CONTROL!$C$42, 92.1131, 92.1131) * CHOOSE(CONTROL!$C$21, $C$9, 100%, $E$9)</f>
        <v>92.113100000000003</v>
      </c>
      <c r="T9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7">
        <f>(1000*CHOOSE(CONTROL!$C$42, 695, 695)*CHOOSE(CONTROL!$C$42, 0.5599, 0.5599)*CHOOSE(CONTROL!$C$42, 28, 28))/1000000</f>
        <v>10.895653999999999</v>
      </c>
      <c r="V902" s="57">
        <f>(1000*CHOOSE(CONTROL!$C$42, 500, 500)*CHOOSE(CONTROL!$C$42, 0.275, 0.275)*CHOOSE(CONTROL!$C$42, 28, 28))/1000000</f>
        <v>3.85</v>
      </c>
      <c r="W902" s="57">
        <f>(1000*CHOOSE(CONTROL!$C$42, 0.1146, 0.1146)*CHOOSE(CONTROL!$C$42, 121.5, 121.5)*CHOOSE(CONTROL!$C$42, 28, 28))/1000000</f>
        <v>0.38986920000000003</v>
      </c>
      <c r="X902" s="57">
        <f>(28*0.1790888*100000/1000000)+(28*0.2374*100000/1000000)</f>
        <v>1.16616864</v>
      </c>
      <c r="Y902" s="57"/>
      <c r="Z902" s="14"/>
      <c r="AA902" s="56"/>
      <c r="AB902" s="50">
        <f>(B902*122.58+C902*297.941+D902*89.177+E902*40.302+F902*40+G902*160+H902*0+I902*100+J902*300)/(122.58+297.941+89.177+40.302+0+40+160+100+300)</f>
        <v>95.906863363130427</v>
      </c>
      <c r="AC902" s="45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93.992841007194244</v>
      </c>
    </row>
    <row r="903" spans="1:29" ht="15.75" x14ac:dyDescent="0.25">
      <c r="A903" s="32">
        <v>68392</v>
      </c>
      <c r="B903" s="14">
        <f>CHOOSE(CONTROL!$C$42, 93.1486, 93.1486) * CHOOSE(CONTROL!$C$21, $C$9, 100%, $E$9)</f>
        <v>93.148600000000002</v>
      </c>
      <c r="C903" s="14">
        <f>CHOOSE(CONTROL!$C$42, 93.1537, 93.1537) * CHOOSE(CONTROL!$C$21, $C$9, 100%, $E$9)</f>
        <v>93.153700000000001</v>
      </c>
      <c r="D903" s="14">
        <f>CHOOSE(CONTROL!$C$42, 93.2123, 93.2123) * CHOOSE(CONTROL!$C$21, $C$9, 100%, $E$9)</f>
        <v>93.212299999999999</v>
      </c>
      <c r="E903" s="14">
        <f>CHOOSE(CONTROL!$C$42, 93.2464, 93.2464) * CHOOSE(CONTROL!$C$21, $C$9, 100%, $E$9)</f>
        <v>93.246399999999994</v>
      </c>
      <c r="F903" s="14">
        <f>CHOOSE(CONTROL!$C$42, 93.1472, 93.1472)*CHOOSE(CONTROL!$C$21, $C$9, 100%, $E$9)</f>
        <v>93.147199999999998</v>
      </c>
      <c r="G903" s="14">
        <f>CHOOSE(CONTROL!$C$42, 93.1634, 93.1634)*CHOOSE(CONTROL!$C$21, $C$9, 100%, $E$9)</f>
        <v>93.163399999999996</v>
      </c>
      <c r="H903" s="14">
        <f>CHOOSE(CONTROL!$C$42, 93.2356, 93.2356) * CHOOSE(CONTROL!$C$21, $C$9, 100%, $E$9)</f>
        <v>93.235600000000005</v>
      </c>
      <c r="I903" s="14">
        <f>CHOOSE(CONTROL!$C$42, 93.4506, 93.4506)* CHOOSE(CONTROL!$C$21, $C$9, 100%, $E$9)</f>
        <v>93.450599999999994</v>
      </c>
      <c r="J903" s="14">
        <f>CHOOSE(CONTROL!$C$42, 93.1402, 93.1402)* CHOOSE(CONTROL!$C$21, $C$9, 100%, $E$9)</f>
        <v>93.140199999999993</v>
      </c>
      <c r="K903" s="53">
        <f>CHOOSE(CONTROL!$C$42, 93.4467, 93.4467) * CHOOSE(CONTROL!$C$21, $C$9, 100%, $E$9)</f>
        <v>93.446700000000007</v>
      </c>
      <c r="L903" s="14">
        <f>CHOOSE(CONTROL!$C$42, 93.8226, 93.8226) * CHOOSE(CONTROL!$C$21, $C$9, 100%, $E$9)</f>
        <v>93.822599999999994</v>
      </c>
      <c r="M903" s="14">
        <f>CHOOSE(CONTROL!$C$42, 91.2395, 91.2395) * CHOOSE(CONTROL!$C$21, $C$9, 100%, $E$9)</f>
        <v>91.239500000000007</v>
      </c>
      <c r="N903" s="14">
        <f>CHOOSE(CONTROL!$C$42, 91.2554, 91.2554) * CHOOSE(CONTROL!$C$21, $C$9, 100%, $E$9)</f>
        <v>91.255399999999995</v>
      </c>
      <c r="O903" s="14">
        <f>CHOOSE(CONTROL!$C$42, 91.3329, 91.3329) * CHOOSE(CONTROL!$C$21, $C$9, 100%, $E$9)</f>
        <v>91.332899999999995</v>
      </c>
      <c r="P903" s="14">
        <f>CHOOSE(CONTROL!$C$42, 91.5377, 91.5377) * CHOOSE(CONTROL!$C$21, $C$9, 100%, $E$9)</f>
        <v>91.537700000000001</v>
      </c>
      <c r="Q903" s="14">
        <f>CHOOSE(CONTROL!$C$42, 91.9276, 91.9276) * CHOOSE(CONTROL!$C$21, $C$9, 100%, $E$9)</f>
        <v>91.927599999999998</v>
      </c>
      <c r="R903" s="14">
        <f>CHOOSE(CONTROL!$C$42, 92.7445, 92.7445) * CHOOSE(CONTROL!$C$21, $C$9, 100%, $E$9)</f>
        <v>92.744500000000002</v>
      </c>
      <c r="S903" s="14">
        <f>CHOOSE(CONTROL!$C$42, 89.498, 89.498) * CHOOSE(CONTROL!$C$21, $C$9, 100%, $E$9)</f>
        <v>89.498000000000005</v>
      </c>
      <c r="T9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7">
        <f>(1000*CHOOSE(CONTROL!$C$42, 695, 695)*CHOOSE(CONTROL!$C$42, 0.5599, 0.5599)*CHOOSE(CONTROL!$C$42, 31, 31))/1000000</f>
        <v>12.063045499999998</v>
      </c>
      <c r="V903" s="57">
        <f>(1000*CHOOSE(CONTROL!$C$42, 500, 500)*CHOOSE(CONTROL!$C$42, 0.275, 0.275)*CHOOSE(CONTROL!$C$42, 31, 31))/1000000</f>
        <v>4.2625000000000002</v>
      </c>
      <c r="W903" s="57">
        <f>(1000*CHOOSE(CONTROL!$C$42, 0.1146, 0.1146)*CHOOSE(CONTROL!$C$42, 121.5, 121.5)*CHOOSE(CONTROL!$C$42, 31, 31))/1000000</f>
        <v>0.43164089999999994</v>
      </c>
      <c r="X903" s="57">
        <f>(31*0.1790888*100000/1000000)+(31*0.2374*100000/1000000)</f>
        <v>1.2911152800000001</v>
      </c>
      <c r="Y903" s="57"/>
      <c r="Z903" s="14"/>
      <c r="AA903" s="56"/>
      <c r="AB903" s="50">
        <f>(B903*122.58+C903*297.941+D903*89.177+E903*40.302+F903*40+G903*160+H903*0+I903*100+J903*300)/(122.58+297.941+89.177+40.302+0+40+160+100+300)</f>
        <v>93.18436835617392</v>
      </c>
      <c r="AC903" s="45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91.325653956834543</v>
      </c>
    </row>
    <row r="904" spans="1:29" ht="15.75" x14ac:dyDescent="0.25">
      <c r="A904" s="32">
        <v>68422</v>
      </c>
      <c r="B904" s="14">
        <f>CHOOSE(CONTROL!$C$42, 92.8709, 92.8709) * CHOOSE(CONTROL!$C$21, $C$9, 100%, $E$9)</f>
        <v>92.870900000000006</v>
      </c>
      <c r="C904" s="14">
        <f>CHOOSE(CONTROL!$C$42, 92.8754, 92.8754) * CHOOSE(CONTROL!$C$21, $C$9, 100%, $E$9)</f>
        <v>92.875399999999999</v>
      </c>
      <c r="D904" s="14">
        <f>CHOOSE(CONTROL!$C$42, 93.0835, 93.0835) * CHOOSE(CONTROL!$C$21, $C$9, 100%, $E$9)</f>
        <v>93.083500000000001</v>
      </c>
      <c r="E904" s="14">
        <f>CHOOSE(CONTROL!$C$42, 93.1156, 93.1156) * CHOOSE(CONTROL!$C$21, $C$9, 100%, $E$9)</f>
        <v>93.115600000000001</v>
      </c>
      <c r="F904" s="14">
        <f>CHOOSE(CONTROL!$C$42, 92.8582, 92.8582)*CHOOSE(CONTROL!$C$21, $C$9, 100%, $E$9)</f>
        <v>92.858199999999997</v>
      </c>
      <c r="G904" s="14">
        <f>CHOOSE(CONTROL!$C$42, 92.8742, 92.8742)*CHOOSE(CONTROL!$C$21, $C$9, 100%, $E$9)</f>
        <v>92.874200000000002</v>
      </c>
      <c r="H904" s="14">
        <f>CHOOSE(CONTROL!$C$42, 93.1054, 93.1054) * CHOOSE(CONTROL!$C$21, $C$9, 100%, $E$9)</f>
        <v>93.105400000000003</v>
      </c>
      <c r="I904" s="14">
        <f>CHOOSE(CONTROL!$C$42, 93.1712, 93.1712)* CHOOSE(CONTROL!$C$21, $C$9, 100%, $E$9)</f>
        <v>93.171199999999999</v>
      </c>
      <c r="J904" s="14">
        <f>CHOOSE(CONTROL!$C$42, 92.8512, 92.8512)* CHOOSE(CONTROL!$C$21, $C$9, 100%, $E$9)</f>
        <v>92.851200000000006</v>
      </c>
      <c r="K904" s="53">
        <f>CHOOSE(CONTROL!$C$42, 93.1673, 93.1673) * CHOOSE(CONTROL!$C$21, $C$9, 100%, $E$9)</f>
        <v>93.167299999999997</v>
      </c>
      <c r="L904" s="14">
        <f>CHOOSE(CONTROL!$C$42, 93.6924, 93.6924) * CHOOSE(CONTROL!$C$21, $C$9, 100%, $E$9)</f>
        <v>93.692400000000006</v>
      </c>
      <c r="M904" s="14">
        <f>CHOOSE(CONTROL!$C$42, 90.9565, 90.9565) * CHOOSE(CONTROL!$C$21, $C$9, 100%, $E$9)</f>
        <v>90.956500000000005</v>
      </c>
      <c r="N904" s="14">
        <f>CHOOSE(CONTROL!$C$42, 90.9721, 90.9721) * CHOOSE(CONTROL!$C$21, $C$9, 100%, $E$9)</f>
        <v>90.972099999999998</v>
      </c>
      <c r="O904" s="14">
        <f>CHOOSE(CONTROL!$C$42, 91.2054, 91.2054) * CHOOSE(CONTROL!$C$21, $C$9, 100%, $E$9)</f>
        <v>91.205399999999997</v>
      </c>
      <c r="P904" s="14">
        <f>CHOOSE(CONTROL!$C$42, 91.2641, 91.2641) * CHOOSE(CONTROL!$C$21, $C$9, 100%, $E$9)</f>
        <v>91.264099999999999</v>
      </c>
      <c r="Q904" s="14">
        <f>CHOOSE(CONTROL!$C$42, 91.8001, 91.8001) * CHOOSE(CONTROL!$C$21, $C$9, 100%, $E$9)</f>
        <v>91.8001</v>
      </c>
      <c r="R904" s="14">
        <f>CHOOSE(CONTROL!$C$42, 92.6166, 92.6166) * CHOOSE(CONTROL!$C$21, $C$9, 100%, $E$9)</f>
        <v>92.616600000000005</v>
      </c>
      <c r="S904" s="14">
        <f>CHOOSE(CONTROL!$C$42, 89.2304, 89.2304) * CHOOSE(CONTROL!$C$21, $C$9, 100%, $E$9)</f>
        <v>89.230400000000003</v>
      </c>
      <c r="T9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7">
        <f>(1000*CHOOSE(CONTROL!$C$42, 695, 695)*CHOOSE(CONTROL!$C$42, 0.5599, 0.5599)*CHOOSE(CONTROL!$C$42, 30, 30))/1000000</f>
        <v>11.673914999999997</v>
      </c>
      <c r="V904" s="57">
        <f>(1000*CHOOSE(CONTROL!$C$42, 500, 500)*CHOOSE(CONTROL!$C$42, 0.275, 0.275)*CHOOSE(CONTROL!$C$42, 30, 30))/1000000</f>
        <v>4.125</v>
      </c>
      <c r="W904" s="57">
        <f>(1000*CHOOSE(CONTROL!$C$42, 0.1146, 0.1146)*CHOOSE(CONTROL!$C$42, 121.5, 121.5)*CHOOSE(CONTROL!$C$42, 30, 30))/1000000</f>
        <v>0.417717</v>
      </c>
      <c r="X904" s="57">
        <f>(30*0.1790888*245000/1000000)+(30*0.2374*100000/1000000)</f>
        <v>2.0285026799999999</v>
      </c>
      <c r="Y904" s="57"/>
      <c r="Z904" s="14"/>
      <c r="AA904" s="56"/>
      <c r="AB904" s="50">
        <f>(B904*141.293+C904*267.993+D904*115.016+E904*89.698+F904*40+G904*185+H904*0+I904*100+J904*300)/(141.293+267.993+115.016+89.698+0+40+185+100+300)</f>
        <v>92.928874149071831</v>
      </c>
      <c r="AC904" s="45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91.114467625899294</v>
      </c>
    </row>
    <row r="905" spans="1:29" ht="15.75" x14ac:dyDescent="0.25">
      <c r="A905" s="32">
        <v>68453</v>
      </c>
      <c r="B905" s="14">
        <f>CHOOSE(CONTROL!$C$42, 93.6919, 93.6919) * CHOOSE(CONTROL!$C$21, $C$9, 100%, $E$9)</f>
        <v>93.691900000000004</v>
      </c>
      <c r="C905" s="14">
        <f>CHOOSE(CONTROL!$C$42, 93.6999, 93.6999) * CHOOSE(CONTROL!$C$21, $C$9, 100%, $E$9)</f>
        <v>93.6999</v>
      </c>
      <c r="D905" s="14">
        <f>CHOOSE(CONTROL!$C$42, 93.9049, 93.9049) * CHOOSE(CONTROL!$C$21, $C$9, 100%, $E$9)</f>
        <v>93.904899999999998</v>
      </c>
      <c r="E905" s="14">
        <f>CHOOSE(CONTROL!$C$42, 93.9364, 93.9364) * CHOOSE(CONTROL!$C$21, $C$9, 100%, $E$9)</f>
        <v>93.936400000000006</v>
      </c>
      <c r="F905" s="14">
        <f>CHOOSE(CONTROL!$C$42, 93.6781, 93.6781)*CHOOSE(CONTROL!$C$21, $C$9, 100%, $E$9)</f>
        <v>93.678100000000001</v>
      </c>
      <c r="G905" s="14">
        <f>CHOOSE(CONTROL!$C$42, 93.6945, 93.6945)*CHOOSE(CONTROL!$C$21, $C$9, 100%, $E$9)</f>
        <v>93.694500000000005</v>
      </c>
      <c r="H905" s="14">
        <f>CHOOSE(CONTROL!$C$42, 93.925, 93.925) * CHOOSE(CONTROL!$C$21, $C$9, 100%, $E$9)</f>
        <v>93.924999999999997</v>
      </c>
      <c r="I905" s="14">
        <f>CHOOSE(CONTROL!$C$42, 93.9934, 93.9934)* CHOOSE(CONTROL!$C$21, $C$9, 100%, $E$9)</f>
        <v>93.993399999999994</v>
      </c>
      <c r="J905" s="14">
        <f>CHOOSE(CONTROL!$C$42, 93.6711, 93.6711)* CHOOSE(CONTROL!$C$21, $C$9, 100%, $E$9)</f>
        <v>93.671099999999996</v>
      </c>
      <c r="K905" s="53">
        <f>CHOOSE(CONTROL!$C$42, 93.9895, 93.9895) * CHOOSE(CONTROL!$C$21, $C$9, 100%, $E$9)</f>
        <v>93.989500000000007</v>
      </c>
      <c r="L905" s="14">
        <f>CHOOSE(CONTROL!$C$42, 94.512, 94.512) * CHOOSE(CONTROL!$C$21, $C$9, 100%, $E$9)</f>
        <v>94.512</v>
      </c>
      <c r="M905" s="14">
        <f>CHOOSE(CONTROL!$C$42, 91.7595, 91.7595) * CHOOSE(CONTROL!$C$21, $C$9, 100%, $E$9)</f>
        <v>91.759500000000003</v>
      </c>
      <c r="N905" s="14">
        <f>CHOOSE(CONTROL!$C$42, 91.7756, 91.7756) * CHOOSE(CONTROL!$C$21, $C$9, 100%, $E$9)</f>
        <v>91.775599999999997</v>
      </c>
      <c r="O905" s="14">
        <f>CHOOSE(CONTROL!$C$42, 92.0082, 92.0082) * CHOOSE(CONTROL!$C$21, $C$9, 100%, $E$9)</f>
        <v>92.008200000000002</v>
      </c>
      <c r="P905" s="14">
        <f>CHOOSE(CONTROL!$C$42, 92.0694, 92.0694) * CHOOSE(CONTROL!$C$21, $C$9, 100%, $E$9)</f>
        <v>92.069400000000002</v>
      </c>
      <c r="Q905" s="14">
        <f>CHOOSE(CONTROL!$C$42, 92.6029, 92.6029) * CHOOSE(CONTROL!$C$21, $C$9, 100%, $E$9)</f>
        <v>92.602900000000005</v>
      </c>
      <c r="R905" s="14">
        <f>CHOOSE(CONTROL!$C$42, 93.4214, 93.4214) * CHOOSE(CONTROL!$C$21, $C$9, 100%, $E$9)</f>
        <v>93.421400000000006</v>
      </c>
      <c r="S905" s="14">
        <f>CHOOSE(CONTROL!$C$42, 90.0179, 90.0179) * CHOOSE(CONTROL!$C$21, $C$9, 100%, $E$9)</f>
        <v>90.017899999999997</v>
      </c>
      <c r="T9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7">
        <f>(1000*CHOOSE(CONTROL!$C$42, 695, 695)*CHOOSE(CONTROL!$C$42, 0.5599, 0.5599)*CHOOSE(CONTROL!$C$42, 31, 31))/1000000</f>
        <v>12.063045499999998</v>
      </c>
      <c r="V905" s="57">
        <f>(1000*CHOOSE(CONTROL!$C$42, 500, 500)*CHOOSE(CONTROL!$C$42, 0.275, 0.275)*CHOOSE(CONTROL!$C$42, 31, 31))/1000000</f>
        <v>4.2625000000000002</v>
      </c>
      <c r="W905" s="57">
        <f>(1000*CHOOSE(CONTROL!$C$42, 0.1146, 0.1146)*CHOOSE(CONTROL!$C$42, 121.5, 121.5)*CHOOSE(CONTROL!$C$42, 31, 31))/1000000</f>
        <v>0.43164089999999994</v>
      </c>
      <c r="X905" s="57">
        <f>(31*0.1790888*245000/1000000)+(31*0.2374*100000/1000000)</f>
        <v>2.0961194359999999</v>
      </c>
      <c r="Y905" s="57"/>
      <c r="Z905" s="14"/>
      <c r="AA905" s="56"/>
      <c r="AB905" s="50">
        <f>(B905*194.205+C905*267.466+D905*133.845+E905*53.484+F905*40+G905*185+H905*0+I905*100+J905*300)/(194.205+267.466+133.845+53.484+0+40+185+100+300)</f>
        <v>93.744933399529046</v>
      </c>
      <c r="AC905" s="45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91.917736690647487</v>
      </c>
    </row>
    <row r="906" spans="1:29" ht="15.75" x14ac:dyDescent="0.25">
      <c r="A906" s="32">
        <v>68483</v>
      </c>
      <c r="B906" s="14">
        <f>CHOOSE(CONTROL!$C$42, 96.3493, 96.3493) * CHOOSE(CONTROL!$C$21, $C$9, 100%, $E$9)</f>
        <v>96.349299999999999</v>
      </c>
      <c r="C906" s="14">
        <f>CHOOSE(CONTROL!$C$42, 96.3573, 96.3573) * CHOOSE(CONTROL!$C$21, $C$9, 100%, $E$9)</f>
        <v>96.357299999999995</v>
      </c>
      <c r="D906" s="14">
        <f>CHOOSE(CONTROL!$C$42, 96.5623, 96.5623) * CHOOSE(CONTROL!$C$21, $C$9, 100%, $E$9)</f>
        <v>96.562299999999993</v>
      </c>
      <c r="E906" s="14">
        <f>CHOOSE(CONTROL!$C$42, 96.5937, 96.5937) * CHOOSE(CONTROL!$C$21, $C$9, 100%, $E$9)</f>
        <v>96.593699999999998</v>
      </c>
      <c r="F906" s="14">
        <f>CHOOSE(CONTROL!$C$42, 96.3358, 96.3358)*CHOOSE(CONTROL!$C$21, $C$9, 100%, $E$9)</f>
        <v>96.335800000000006</v>
      </c>
      <c r="G906" s="14">
        <f>CHOOSE(CONTROL!$C$42, 96.3523, 96.3523)*CHOOSE(CONTROL!$C$21, $C$9, 100%, $E$9)</f>
        <v>96.3523</v>
      </c>
      <c r="H906" s="14">
        <f>CHOOSE(CONTROL!$C$42, 96.5824, 96.5824) * CHOOSE(CONTROL!$C$21, $C$9, 100%, $E$9)</f>
        <v>96.582400000000007</v>
      </c>
      <c r="I906" s="14">
        <f>CHOOSE(CONTROL!$C$42, 96.6591, 96.6591)* CHOOSE(CONTROL!$C$21, $C$9, 100%, $E$9)</f>
        <v>96.659099999999995</v>
      </c>
      <c r="J906" s="14">
        <f>CHOOSE(CONTROL!$C$42, 96.3288, 96.3288)* CHOOSE(CONTROL!$C$21, $C$9, 100%, $E$9)</f>
        <v>96.328800000000001</v>
      </c>
      <c r="K906" s="53">
        <f>CHOOSE(CONTROL!$C$42, 96.6552, 96.6552) * CHOOSE(CONTROL!$C$21, $C$9, 100%, $E$9)</f>
        <v>96.655199999999994</v>
      </c>
      <c r="L906" s="14">
        <f>CHOOSE(CONTROL!$C$42, 97.1694, 97.1694) * CHOOSE(CONTROL!$C$21, $C$9, 100%, $E$9)</f>
        <v>97.169399999999996</v>
      </c>
      <c r="M906" s="14">
        <f>CHOOSE(CONTROL!$C$42, 94.3628, 94.3628) * CHOOSE(CONTROL!$C$21, $C$9, 100%, $E$9)</f>
        <v>94.362799999999993</v>
      </c>
      <c r="N906" s="14">
        <f>CHOOSE(CONTROL!$C$42, 94.379, 94.379) * CHOOSE(CONTROL!$C$21, $C$9, 100%, $E$9)</f>
        <v>94.379000000000005</v>
      </c>
      <c r="O906" s="14">
        <f>CHOOSE(CONTROL!$C$42, 94.6111, 94.6111) * CHOOSE(CONTROL!$C$21, $C$9, 100%, $E$9)</f>
        <v>94.611099999999993</v>
      </c>
      <c r="P906" s="14">
        <f>CHOOSE(CONTROL!$C$42, 94.6803, 94.6803) * CHOOSE(CONTROL!$C$21, $C$9, 100%, $E$9)</f>
        <v>94.680300000000003</v>
      </c>
      <c r="Q906" s="14">
        <f>CHOOSE(CONTROL!$C$42, 95.2058, 95.2058) * CHOOSE(CONTROL!$C$21, $C$9, 100%, $E$9)</f>
        <v>95.205799999999996</v>
      </c>
      <c r="R906" s="14">
        <f>CHOOSE(CONTROL!$C$42, 96.0309, 96.0309) * CHOOSE(CONTROL!$C$21, $C$9, 100%, $E$9)</f>
        <v>96.030900000000003</v>
      </c>
      <c r="S906" s="14">
        <f>CHOOSE(CONTROL!$C$42, 92.5714, 92.5714) * CHOOSE(CONTROL!$C$21, $C$9, 100%, $E$9)</f>
        <v>92.571399999999997</v>
      </c>
      <c r="T9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7">
        <f>(1000*CHOOSE(CONTROL!$C$42, 695, 695)*CHOOSE(CONTROL!$C$42, 0.5599, 0.5599)*CHOOSE(CONTROL!$C$42, 30, 30))/1000000</f>
        <v>11.673914999999997</v>
      </c>
      <c r="V906" s="57">
        <f>(1000*CHOOSE(CONTROL!$C$42, 500, 500)*CHOOSE(CONTROL!$C$42, 0.275, 0.275)*CHOOSE(CONTROL!$C$42, 30, 30))/1000000</f>
        <v>4.125</v>
      </c>
      <c r="W906" s="57">
        <f>(1000*CHOOSE(CONTROL!$C$42, 0.1146, 0.1146)*CHOOSE(CONTROL!$C$42, 121.5, 121.5)*CHOOSE(CONTROL!$C$42, 30, 30))/1000000</f>
        <v>0.417717</v>
      </c>
      <c r="X906" s="57">
        <f>(30*0.1790888*245000/1000000)+(30*0.2374*100000/1000000)</f>
        <v>2.0285026799999999</v>
      </c>
      <c r="Y906" s="57"/>
      <c r="Z906" s="14"/>
      <c r="AA906" s="56"/>
      <c r="AB906" s="50">
        <f>(B906*194.205+C906*267.466+D906*133.845+E906*53.484+F906*40+G906*185+H906*0+I906*100+J906*300)/(194.205+267.466+133.845+53.484+0+40+185+100+300)</f>
        <v>96.403118840345371</v>
      </c>
      <c r="AC906" s="45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94.521954676258986</v>
      </c>
    </row>
    <row r="907" spans="1:29" ht="15.75" x14ac:dyDescent="0.25">
      <c r="A907" s="32">
        <v>68514</v>
      </c>
      <c r="B907" s="14">
        <f>CHOOSE(CONTROL!$C$42, 94.501, 94.501) * CHOOSE(CONTROL!$C$21, $C$9, 100%, $E$9)</f>
        <v>94.501000000000005</v>
      </c>
      <c r="C907" s="14">
        <f>CHOOSE(CONTROL!$C$42, 94.5091, 94.5091) * CHOOSE(CONTROL!$C$21, $C$9, 100%, $E$9)</f>
        <v>94.509100000000004</v>
      </c>
      <c r="D907" s="14">
        <f>CHOOSE(CONTROL!$C$42, 94.714, 94.714) * CHOOSE(CONTROL!$C$21, $C$9, 100%, $E$9)</f>
        <v>94.713999999999999</v>
      </c>
      <c r="E907" s="14">
        <f>CHOOSE(CONTROL!$C$42, 94.7455, 94.7455) * CHOOSE(CONTROL!$C$21, $C$9, 100%, $E$9)</f>
        <v>94.745500000000007</v>
      </c>
      <c r="F907" s="14">
        <f>CHOOSE(CONTROL!$C$42, 94.488, 94.488)*CHOOSE(CONTROL!$C$21, $C$9, 100%, $E$9)</f>
        <v>94.488</v>
      </c>
      <c r="G907" s="14">
        <f>CHOOSE(CONTROL!$C$42, 94.5046, 94.5046)*CHOOSE(CONTROL!$C$21, $C$9, 100%, $E$9)</f>
        <v>94.504599999999996</v>
      </c>
      <c r="H907" s="14">
        <f>CHOOSE(CONTROL!$C$42, 94.7341, 94.7341) * CHOOSE(CONTROL!$C$21, $C$9, 100%, $E$9)</f>
        <v>94.734099999999998</v>
      </c>
      <c r="I907" s="14">
        <f>CHOOSE(CONTROL!$C$42, 94.8051, 94.8051)* CHOOSE(CONTROL!$C$21, $C$9, 100%, $E$9)</f>
        <v>94.805099999999996</v>
      </c>
      <c r="J907" s="14">
        <f>CHOOSE(CONTROL!$C$42, 94.481, 94.481)* CHOOSE(CONTROL!$C$21, $C$9, 100%, $E$9)</f>
        <v>94.480999999999995</v>
      </c>
      <c r="K907" s="53">
        <f>CHOOSE(CONTROL!$C$42, 94.8012, 94.8012) * CHOOSE(CONTROL!$C$21, $C$9, 100%, $E$9)</f>
        <v>94.801199999999994</v>
      </c>
      <c r="L907" s="14">
        <f>CHOOSE(CONTROL!$C$42, 95.3211, 95.3211) * CHOOSE(CONTROL!$C$21, $C$9, 100%, $E$9)</f>
        <v>95.321100000000001</v>
      </c>
      <c r="M907" s="14">
        <f>CHOOSE(CONTROL!$C$42, 92.5529, 92.5529) * CHOOSE(CONTROL!$C$21, $C$9, 100%, $E$9)</f>
        <v>92.552899999999994</v>
      </c>
      <c r="N907" s="14">
        <f>CHOOSE(CONTROL!$C$42, 92.5691, 92.5691) * CHOOSE(CONTROL!$C$21, $C$9, 100%, $E$9)</f>
        <v>92.569100000000006</v>
      </c>
      <c r="O907" s="14">
        <f>CHOOSE(CONTROL!$C$42, 92.8008, 92.8008) * CHOOSE(CONTROL!$C$21, $C$9, 100%, $E$9)</f>
        <v>92.800799999999995</v>
      </c>
      <c r="P907" s="14">
        <f>CHOOSE(CONTROL!$C$42, 92.8644, 92.8644) * CHOOSE(CONTROL!$C$21, $C$9, 100%, $E$9)</f>
        <v>92.864400000000003</v>
      </c>
      <c r="Q907" s="14">
        <f>CHOOSE(CONTROL!$C$42, 93.3955, 93.3955) * CHOOSE(CONTROL!$C$21, $C$9, 100%, $E$9)</f>
        <v>93.395499999999998</v>
      </c>
      <c r="R907" s="14">
        <f>CHOOSE(CONTROL!$C$42, 94.216, 94.216) * CHOOSE(CONTROL!$C$21, $C$9, 100%, $E$9)</f>
        <v>94.215999999999994</v>
      </c>
      <c r="S907" s="14">
        <f>CHOOSE(CONTROL!$C$42, 90.7954, 90.7954) * CHOOSE(CONTROL!$C$21, $C$9, 100%, $E$9)</f>
        <v>90.795400000000001</v>
      </c>
      <c r="T9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7">
        <f>(1000*CHOOSE(CONTROL!$C$42, 695, 695)*CHOOSE(CONTROL!$C$42, 0.5599, 0.5599)*CHOOSE(CONTROL!$C$42, 31, 31))/1000000</f>
        <v>12.063045499999998</v>
      </c>
      <c r="V907" s="57">
        <f>(1000*CHOOSE(CONTROL!$C$42, 500, 500)*CHOOSE(CONTROL!$C$42, 0.275, 0.275)*CHOOSE(CONTROL!$C$42, 31, 31))/1000000</f>
        <v>4.2625000000000002</v>
      </c>
      <c r="W907" s="57">
        <f>(1000*CHOOSE(CONTROL!$C$42, 0.1146, 0.1146)*CHOOSE(CONTROL!$C$42, 121.5, 121.5)*CHOOSE(CONTROL!$C$42, 31, 31))/1000000</f>
        <v>0.43164089999999994</v>
      </c>
      <c r="X907" s="57">
        <f>(31*0.1790888*245000/1000000)+(31*0.2374*100000/1000000)</f>
        <v>2.0961194359999999</v>
      </c>
      <c r="Y907" s="57"/>
      <c r="Z907" s="14"/>
      <c r="AA907" s="56"/>
      <c r="AB907" s="50">
        <f>(B907*194.205+C907*267.466+D907*133.845+E907*53.484+F907*40+G907*185+H907*0+I907*100+J907*300)/(194.205+267.466+133.845+53.484+0+40+185+100+300)</f>
        <v>94.554617188069074</v>
      </c>
      <c r="AC907" s="45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92.711010071942454</v>
      </c>
    </row>
    <row r="908" spans="1:29" ht="15.75" x14ac:dyDescent="0.25">
      <c r="A908" s="32">
        <v>68545</v>
      </c>
      <c r="B908" s="14">
        <f>CHOOSE(CONTROL!$C$42, 89.8337, 89.8337) * CHOOSE(CONTROL!$C$21, $C$9, 100%, $E$9)</f>
        <v>89.833699999999993</v>
      </c>
      <c r="C908" s="14">
        <f>CHOOSE(CONTROL!$C$42, 89.8418, 89.8418) * CHOOSE(CONTROL!$C$21, $C$9, 100%, $E$9)</f>
        <v>89.841800000000006</v>
      </c>
      <c r="D908" s="14">
        <f>CHOOSE(CONTROL!$C$42, 90.0467, 90.0467) * CHOOSE(CONTROL!$C$21, $C$9, 100%, $E$9)</f>
        <v>90.046700000000001</v>
      </c>
      <c r="E908" s="14">
        <f>CHOOSE(CONTROL!$C$42, 90.0782, 90.0782) * CHOOSE(CONTROL!$C$21, $C$9, 100%, $E$9)</f>
        <v>90.078199999999995</v>
      </c>
      <c r="F908" s="14">
        <f>CHOOSE(CONTROL!$C$42, 89.8209, 89.8209)*CHOOSE(CONTROL!$C$21, $C$9, 100%, $E$9)</f>
        <v>89.820899999999995</v>
      </c>
      <c r="G908" s="14">
        <f>CHOOSE(CONTROL!$C$42, 89.8376, 89.8376)*CHOOSE(CONTROL!$C$21, $C$9, 100%, $E$9)</f>
        <v>89.837599999999995</v>
      </c>
      <c r="H908" s="14">
        <f>CHOOSE(CONTROL!$C$42, 90.0668, 90.0668) * CHOOSE(CONTROL!$C$21, $C$9, 100%, $E$9)</f>
        <v>90.066800000000001</v>
      </c>
      <c r="I908" s="14">
        <f>CHOOSE(CONTROL!$C$42, 90.1231, 90.1231)* CHOOSE(CONTROL!$C$21, $C$9, 100%, $E$9)</f>
        <v>90.123099999999994</v>
      </c>
      <c r="J908" s="14">
        <f>CHOOSE(CONTROL!$C$42, 89.8139, 89.8139)* CHOOSE(CONTROL!$C$21, $C$9, 100%, $E$9)</f>
        <v>89.813900000000004</v>
      </c>
      <c r="K908" s="53">
        <f>CHOOSE(CONTROL!$C$42, 90.1192, 90.1192) * CHOOSE(CONTROL!$C$21, $C$9, 100%, $E$9)</f>
        <v>90.119200000000006</v>
      </c>
      <c r="L908" s="14">
        <f>CHOOSE(CONTROL!$C$42, 90.6538, 90.6538) * CHOOSE(CONTROL!$C$21, $C$9, 100%, $E$9)</f>
        <v>90.653800000000004</v>
      </c>
      <c r="M908" s="14">
        <f>CHOOSE(CONTROL!$C$42, 87.9814, 87.9814) * CHOOSE(CONTROL!$C$21, $C$9, 100%, $E$9)</f>
        <v>87.981399999999994</v>
      </c>
      <c r="N908" s="14">
        <f>CHOOSE(CONTROL!$C$42, 87.9977, 87.9977) * CHOOSE(CONTROL!$C$21, $C$9, 100%, $E$9)</f>
        <v>87.997699999999995</v>
      </c>
      <c r="O908" s="14">
        <f>CHOOSE(CONTROL!$C$42, 88.2291, 88.2291) * CHOOSE(CONTROL!$C$21, $C$9, 100%, $E$9)</f>
        <v>88.229100000000003</v>
      </c>
      <c r="P908" s="14">
        <f>CHOOSE(CONTROL!$C$42, 88.2787, 88.2787) * CHOOSE(CONTROL!$C$21, $C$9, 100%, $E$9)</f>
        <v>88.278700000000001</v>
      </c>
      <c r="Q908" s="14">
        <f>CHOOSE(CONTROL!$C$42, 88.8238, 88.8238) * CHOOSE(CONTROL!$C$21, $C$9, 100%, $E$9)</f>
        <v>88.823800000000006</v>
      </c>
      <c r="R908" s="14">
        <f>CHOOSE(CONTROL!$C$42, 89.6329, 89.6329) * CHOOSE(CONTROL!$C$21, $C$9, 100%, $E$9)</f>
        <v>89.632900000000006</v>
      </c>
      <c r="S908" s="14">
        <f>CHOOSE(CONTROL!$C$42, 86.3106, 86.3106) * CHOOSE(CONTROL!$C$21, $C$9, 100%, $E$9)</f>
        <v>86.310599999999994</v>
      </c>
      <c r="T9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7">
        <f>(1000*CHOOSE(CONTROL!$C$42, 695, 695)*CHOOSE(CONTROL!$C$42, 0.5599, 0.5599)*CHOOSE(CONTROL!$C$42, 31, 31))/1000000</f>
        <v>12.063045499999998</v>
      </c>
      <c r="V908" s="57">
        <f>(1000*CHOOSE(CONTROL!$C$42, 500, 500)*CHOOSE(CONTROL!$C$42, 0.275, 0.275)*CHOOSE(CONTROL!$C$42, 31, 31))/1000000</f>
        <v>4.2625000000000002</v>
      </c>
      <c r="W908" s="57">
        <f>(1000*CHOOSE(CONTROL!$C$42, 0.1146, 0.1146)*CHOOSE(CONTROL!$C$42, 121.5, 121.5)*CHOOSE(CONTROL!$C$42, 31, 31))/1000000</f>
        <v>0.43164089999999994</v>
      </c>
      <c r="X908" s="57">
        <f>(31*0.1790888*245000/1000000)+(31*0.2374*100000/1000000)</f>
        <v>2.0961194359999999</v>
      </c>
      <c r="Y908" s="57"/>
      <c r="Z908" s="14"/>
      <c r="AA908" s="56"/>
      <c r="AB908" s="50">
        <f>(B908*194.205+C908*267.466+D908*133.845+E908*53.484+F908*40+G908*185+H908*0+I908*100+J908*300)/(194.205+267.466+133.845+53.484+0+40+185+100+300)</f>
        <v>89.886260280690735</v>
      </c>
      <c r="AC908" s="45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88.137382014388493</v>
      </c>
    </row>
    <row r="909" spans="1:29" ht="15.75" x14ac:dyDescent="0.25">
      <c r="A909" s="32">
        <v>68575</v>
      </c>
      <c r="B909" s="14">
        <f>CHOOSE(CONTROL!$C$42, 84.1308, 84.1308) * CHOOSE(CONTROL!$C$21, $C$9, 100%, $E$9)</f>
        <v>84.130799999999994</v>
      </c>
      <c r="C909" s="14">
        <f>CHOOSE(CONTROL!$C$42, 84.1388, 84.1388) * CHOOSE(CONTROL!$C$21, $C$9, 100%, $E$9)</f>
        <v>84.138800000000003</v>
      </c>
      <c r="D909" s="14">
        <f>CHOOSE(CONTROL!$C$42, 84.3438, 84.3438) * CHOOSE(CONTROL!$C$21, $C$9, 100%, $E$9)</f>
        <v>84.343800000000002</v>
      </c>
      <c r="E909" s="14">
        <f>CHOOSE(CONTROL!$C$42, 84.3752, 84.3752) * CHOOSE(CONTROL!$C$21, $C$9, 100%, $E$9)</f>
        <v>84.375200000000007</v>
      </c>
      <c r="F909" s="14">
        <f>CHOOSE(CONTROL!$C$42, 84.1179, 84.1179)*CHOOSE(CONTROL!$C$21, $C$9, 100%, $E$9)</f>
        <v>84.117900000000006</v>
      </c>
      <c r="G909" s="14">
        <f>CHOOSE(CONTROL!$C$42, 84.1346, 84.1346)*CHOOSE(CONTROL!$C$21, $C$9, 100%, $E$9)</f>
        <v>84.134600000000006</v>
      </c>
      <c r="H909" s="14">
        <f>CHOOSE(CONTROL!$C$42, 84.3639, 84.3639) * CHOOSE(CONTROL!$C$21, $C$9, 100%, $E$9)</f>
        <v>84.363900000000001</v>
      </c>
      <c r="I909" s="14">
        <f>CHOOSE(CONTROL!$C$42, 84.4023, 84.4023)* CHOOSE(CONTROL!$C$21, $C$9, 100%, $E$9)</f>
        <v>84.402299999999997</v>
      </c>
      <c r="J909" s="14">
        <f>CHOOSE(CONTROL!$C$42, 84.1109, 84.1109)* CHOOSE(CONTROL!$C$21, $C$9, 100%, $E$9)</f>
        <v>84.110900000000001</v>
      </c>
      <c r="K909" s="53">
        <f>CHOOSE(CONTROL!$C$42, 84.3984, 84.3984) * CHOOSE(CONTROL!$C$21, $C$9, 100%, $E$9)</f>
        <v>84.398399999999995</v>
      </c>
      <c r="L909" s="14">
        <f>CHOOSE(CONTROL!$C$42, 84.9509, 84.9509) * CHOOSE(CONTROL!$C$21, $C$9, 100%, $E$9)</f>
        <v>84.950900000000004</v>
      </c>
      <c r="M909" s="14">
        <f>CHOOSE(CONTROL!$C$42, 82.3952, 82.3952) * CHOOSE(CONTROL!$C$21, $C$9, 100%, $E$9)</f>
        <v>82.395200000000003</v>
      </c>
      <c r="N909" s="14">
        <f>CHOOSE(CONTROL!$C$42, 82.4116, 82.4116) * CHOOSE(CONTROL!$C$21, $C$9, 100%, $E$9)</f>
        <v>82.411600000000007</v>
      </c>
      <c r="O909" s="14">
        <f>CHOOSE(CONTROL!$C$42, 82.643, 82.643) * CHOOSE(CONTROL!$C$21, $C$9, 100%, $E$9)</f>
        <v>82.643000000000001</v>
      </c>
      <c r="P909" s="14">
        <f>CHOOSE(CONTROL!$C$42, 82.6754, 82.6754) * CHOOSE(CONTROL!$C$21, $C$9, 100%, $E$9)</f>
        <v>82.675399999999996</v>
      </c>
      <c r="Q909" s="14">
        <f>CHOOSE(CONTROL!$C$42, 83.2377, 83.2377) * CHOOSE(CONTROL!$C$21, $C$9, 100%, $E$9)</f>
        <v>83.237700000000004</v>
      </c>
      <c r="R909" s="14">
        <f>CHOOSE(CONTROL!$C$42, 84.0328, 84.0328) * CHOOSE(CONTROL!$C$21, $C$9, 100%, $E$9)</f>
        <v>84.032799999999995</v>
      </c>
      <c r="S909" s="14">
        <f>CHOOSE(CONTROL!$C$42, 80.8306, 80.8306) * CHOOSE(CONTROL!$C$21, $C$9, 100%, $E$9)</f>
        <v>80.830600000000004</v>
      </c>
      <c r="T9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7">
        <f>(1000*CHOOSE(CONTROL!$C$42, 695, 695)*CHOOSE(CONTROL!$C$42, 0.5599, 0.5599)*CHOOSE(CONTROL!$C$42, 30, 30))/1000000</f>
        <v>11.673914999999997</v>
      </c>
      <c r="V909" s="57">
        <f>(1000*CHOOSE(CONTROL!$C$42, 500, 500)*CHOOSE(CONTROL!$C$42, 0.275, 0.275)*CHOOSE(CONTROL!$C$42, 30, 30))/1000000</f>
        <v>4.125</v>
      </c>
      <c r="W909" s="57">
        <f>(1000*CHOOSE(CONTROL!$C$42, 0.1146, 0.1146)*CHOOSE(CONTROL!$C$42, 121.5, 121.5)*CHOOSE(CONTROL!$C$42, 30, 30))/1000000</f>
        <v>0.417717</v>
      </c>
      <c r="X909" s="57">
        <f>(30*0.1790888*245000/1000000)+(30*0.2374*100000/1000000)</f>
        <v>2.0285026799999999</v>
      </c>
      <c r="Y909" s="57"/>
      <c r="Z909" s="14"/>
      <c r="AA909" s="56"/>
      <c r="AB909" s="50">
        <f>(B909*194.205+C909*267.466+D909*133.845+E909*53.484+F909*40+G909*185+H909*0+I909*100+J909*300)/(194.205+267.466+133.845+53.484+0+40+185+100+300)</f>
        <v>84.181888856043955</v>
      </c>
      <c r="AC909" s="45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82.548772661870515</v>
      </c>
    </row>
    <row r="910" spans="1:29" ht="15.75" x14ac:dyDescent="0.25">
      <c r="A910" s="32">
        <v>68606</v>
      </c>
      <c r="B910" s="14">
        <f>CHOOSE(CONTROL!$C$42, 82.421, 82.421) * CHOOSE(CONTROL!$C$21, $C$9, 100%, $E$9)</f>
        <v>82.421000000000006</v>
      </c>
      <c r="C910" s="14">
        <f>CHOOSE(CONTROL!$C$42, 82.4264, 82.4264) * CHOOSE(CONTROL!$C$21, $C$9, 100%, $E$9)</f>
        <v>82.426400000000001</v>
      </c>
      <c r="D910" s="14">
        <f>CHOOSE(CONTROL!$C$42, 82.6363, 82.6363) * CHOOSE(CONTROL!$C$21, $C$9, 100%, $E$9)</f>
        <v>82.636300000000006</v>
      </c>
      <c r="E910" s="14">
        <f>CHOOSE(CONTROL!$C$42, 82.6654, 82.6654) * CHOOSE(CONTROL!$C$21, $C$9, 100%, $E$9)</f>
        <v>82.665400000000005</v>
      </c>
      <c r="F910" s="14">
        <f>CHOOSE(CONTROL!$C$42, 82.4103, 82.4103)*CHOOSE(CONTROL!$C$21, $C$9, 100%, $E$9)</f>
        <v>82.410300000000007</v>
      </c>
      <c r="G910" s="14">
        <f>CHOOSE(CONTROL!$C$42, 82.4266, 82.4266)*CHOOSE(CONTROL!$C$21, $C$9, 100%, $E$9)</f>
        <v>82.426599999999993</v>
      </c>
      <c r="H910" s="14">
        <f>CHOOSE(CONTROL!$C$42, 82.6559, 82.6559) * CHOOSE(CONTROL!$C$21, $C$9, 100%, $E$9)</f>
        <v>82.655900000000003</v>
      </c>
      <c r="I910" s="14">
        <f>CHOOSE(CONTROL!$C$42, 82.689, 82.689)* CHOOSE(CONTROL!$C$21, $C$9, 100%, $E$9)</f>
        <v>82.688999999999993</v>
      </c>
      <c r="J910" s="14">
        <f>CHOOSE(CONTROL!$C$42, 82.4033, 82.4033)* CHOOSE(CONTROL!$C$21, $C$9, 100%, $E$9)</f>
        <v>82.403300000000002</v>
      </c>
      <c r="K910" s="53">
        <f>CHOOSE(CONTROL!$C$42, 82.6851, 82.6851) * CHOOSE(CONTROL!$C$21, $C$9, 100%, $E$9)</f>
        <v>82.685100000000006</v>
      </c>
      <c r="L910" s="14">
        <f>CHOOSE(CONTROL!$C$42, 83.2429, 83.2429) * CHOOSE(CONTROL!$C$21, $C$9, 100%, $E$9)</f>
        <v>83.242900000000006</v>
      </c>
      <c r="M910" s="14">
        <f>CHOOSE(CONTROL!$C$42, 80.7226, 80.7226) * CHOOSE(CONTROL!$C$21, $C$9, 100%, $E$9)</f>
        <v>80.7226</v>
      </c>
      <c r="N910" s="14">
        <f>CHOOSE(CONTROL!$C$42, 80.7386, 80.7386) * CHOOSE(CONTROL!$C$21, $C$9, 100%, $E$9)</f>
        <v>80.738600000000005</v>
      </c>
      <c r="O910" s="14">
        <f>CHOOSE(CONTROL!$C$42, 80.97, 80.97) * CHOOSE(CONTROL!$C$21, $C$9, 100%, $E$9)</f>
        <v>80.97</v>
      </c>
      <c r="P910" s="14">
        <f>CHOOSE(CONTROL!$C$42, 80.9973, 80.9973) * CHOOSE(CONTROL!$C$21, $C$9, 100%, $E$9)</f>
        <v>80.997299999999996</v>
      </c>
      <c r="Q910" s="14">
        <f>CHOOSE(CONTROL!$C$42, 81.5647, 81.5647) * CHOOSE(CONTROL!$C$21, $C$9, 100%, $E$9)</f>
        <v>81.564700000000002</v>
      </c>
      <c r="R910" s="14">
        <f>CHOOSE(CONTROL!$C$42, 82.3556, 82.3556) * CHOOSE(CONTROL!$C$21, $C$9, 100%, $E$9)</f>
        <v>82.355599999999995</v>
      </c>
      <c r="S910" s="14">
        <f>CHOOSE(CONTROL!$C$42, 79.1894, 79.1894) * CHOOSE(CONTROL!$C$21, $C$9, 100%, $E$9)</f>
        <v>79.189400000000006</v>
      </c>
      <c r="T9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7">
        <f>(1000*CHOOSE(CONTROL!$C$42, 695, 695)*CHOOSE(CONTROL!$C$42, 0.5599, 0.5599)*CHOOSE(CONTROL!$C$42, 31, 31))/1000000</f>
        <v>12.063045499999998</v>
      </c>
      <c r="V910" s="57">
        <f>(1000*CHOOSE(CONTROL!$C$42, 500, 500)*CHOOSE(CONTROL!$C$42, 0.275, 0.275)*CHOOSE(CONTROL!$C$42, 31, 31))/1000000</f>
        <v>4.2625000000000002</v>
      </c>
      <c r="W910" s="57">
        <f>(1000*CHOOSE(CONTROL!$C$42, 0.1146, 0.1146)*CHOOSE(CONTROL!$C$42, 121.5, 121.5)*CHOOSE(CONTROL!$C$42, 31, 31))/1000000</f>
        <v>0.43164089999999994</v>
      </c>
      <c r="X910" s="57">
        <f>(31*0.1790888*245000/1000000)+(31*0.2374*100000/1000000)</f>
        <v>2.0961194359999999</v>
      </c>
      <c r="Y910" s="57"/>
      <c r="Z910" s="14"/>
      <c r="AA910" s="56"/>
      <c r="AB910" s="50">
        <f>(B910*131.881+C910*277.167+D910*79.08+E910*125.872+F910*40+G910*185+H910*0+I910*100+J910*300)/(131.881+277.167+79.08+125.872+0+40+185+100+300)</f>
        <v>82.478613997255849</v>
      </c>
      <c r="AC910" s="45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80.875176978417258</v>
      </c>
    </row>
    <row r="911" spans="1:29" ht="15.75" x14ac:dyDescent="0.25">
      <c r="A911" s="32">
        <v>68636</v>
      </c>
      <c r="B911" s="14">
        <f>CHOOSE(CONTROL!$C$42, 84.5917, 84.5917) * CHOOSE(CONTROL!$C$21, $C$9, 100%, $E$9)</f>
        <v>84.591700000000003</v>
      </c>
      <c r="C911" s="14">
        <f>CHOOSE(CONTROL!$C$42, 84.5968, 84.5968) * CHOOSE(CONTROL!$C$21, $C$9, 100%, $E$9)</f>
        <v>84.596800000000002</v>
      </c>
      <c r="D911" s="14">
        <f>CHOOSE(CONTROL!$C$42, 84.6606, 84.6606) * CHOOSE(CONTROL!$C$21, $C$9, 100%, $E$9)</f>
        <v>84.660600000000002</v>
      </c>
      <c r="E911" s="14">
        <f>CHOOSE(CONTROL!$C$42, 84.6947, 84.6947) * CHOOSE(CONTROL!$C$21, $C$9, 100%, $E$9)</f>
        <v>84.694699999999997</v>
      </c>
      <c r="F911" s="14">
        <f>CHOOSE(CONTROL!$C$42, 84.594, 84.594)*CHOOSE(CONTROL!$C$21, $C$9, 100%, $E$9)</f>
        <v>84.593999999999994</v>
      </c>
      <c r="G911" s="14">
        <f>CHOOSE(CONTROL!$C$42, 84.6106, 84.6106)*CHOOSE(CONTROL!$C$21, $C$9, 100%, $E$9)</f>
        <v>84.610600000000005</v>
      </c>
      <c r="H911" s="14">
        <f>CHOOSE(CONTROL!$C$42, 84.6839, 84.6839) * CHOOSE(CONTROL!$C$21, $C$9, 100%, $E$9)</f>
        <v>84.683899999999994</v>
      </c>
      <c r="I911" s="14">
        <f>CHOOSE(CONTROL!$C$42, 84.8705, 84.8705)* CHOOSE(CONTROL!$C$21, $C$9, 100%, $E$9)</f>
        <v>84.870500000000007</v>
      </c>
      <c r="J911" s="14">
        <f>CHOOSE(CONTROL!$C$42, 84.587, 84.587)* CHOOSE(CONTROL!$C$21, $C$9, 100%, $E$9)</f>
        <v>84.587000000000003</v>
      </c>
      <c r="K911" s="53">
        <f>CHOOSE(CONTROL!$C$42, 84.8667, 84.8667) * CHOOSE(CONTROL!$C$21, $C$9, 100%, $E$9)</f>
        <v>84.866699999999994</v>
      </c>
      <c r="L911" s="14">
        <f>CHOOSE(CONTROL!$C$42, 85.2709, 85.2709) * CHOOSE(CONTROL!$C$21, $C$9, 100%, $E$9)</f>
        <v>85.270899999999997</v>
      </c>
      <c r="M911" s="14">
        <f>CHOOSE(CONTROL!$C$42, 82.8615, 82.8615) * CHOOSE(CONTROL!$C$21, $C$9, 100%, $E$9)</f>
        <v>82.861500000000007</v>
      </c>
      <c r="N911" s="14">
        <f>CHOOSE(CONTROL!$C$42, 82.8779, 82.8779) * CHOOSE(CONTROL!$C$21, $C$9, 100%, $E$9)</f>
        <v>82.877899999999997</v>
      </c>
      <c r="O911" s="14">
        <f>CHOOSE(CONTROL!$C$42, 82.9565, 82.9565) * CHOOSE(CONTROL!$C$21, $C$9, 100%, $E$9)</f>
        <v>82.956500000000005</v>
      </c>
      <c r="P911" s="14">
        <f>CHOOSE(CONTROL!$C$42, 83.134, 83.134) * CHOOSE(CONTROL!$C$21, $C$9, 100%, $E$9)</f>
        <v>83.134</v>
      </c>
      <c r="Q911" s="14">
        <f>CHOOSE(CONTROL!$C$42, 83.5512, 83.5512) * CHOOSE(CONTROL!$C$21, $C$9, 100%, $E$9)</f>
        <v>83.551199999999994</v>
      </c>
      <c r="R911" s="14">
        <f>CHOOSE(CONTROL!$C$42, 84.3471, 84.3471) * CHOOSE(CONTROL!$C$21, $C$9, 100%, $E$9)</f>
        <v>84.347099999999998</v>
      </c>
      <c r="S911" s="14">
        <f>CHOOSE(CONTROL!$C$42, 81.2756, 81.2756) * CHOOSE(CONTROL!$C$21, $C$9, 100%, $E$9)</f>
        <v>81.275599999999997</v>
      </c>
      <c r="T9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7">
        <f>(1000*CHOOSE(CONTROL!$C$42, 695, 695)*CHOOSE(CONTROL!$C$42, 0.5599, 0.5599)*CHOOSE(CONTROL!$C$42, 30, 30))/1000000</f>
        <v>11.673914999999997</v>
      </c>
      <c r="V911" s="57">
        <f>(1000*CHOOSE(CONTROL!$C$42, 500, 500)*CHOOSE(CONTROL!$C$42, 0.275, 0.275)*CHOOSE(CONTROL!$C$42, 30, 30))/1000000</f>
        <v>4.125</v>
      </c>
      <c r="W911" s="57">
        <f>(1000*CHOOSE(CONTROL!$C$42, 0.1146, 0.1146)*CHOOSE(CONTROL!$C$42, 121.5, 121.5)*CHOOSE(CONTROL!$C$42, 30, 30))/1000000</f>
        <v>0.417717</v>
      </c>
      <c r="X911" s="57">
        <f>(30*0.1790888*100000/1000000)+(30*0.2374*100000/1000000)</f>
        <v>1.2494664</v>
      </c>
      <c r="Y911" s="57"/>
      <c r="Z911" s="14"/>
      <c r="AA911" s="56"/>
      <c r="AB911" s="50">
        <f>(B911*122.58+C911*297.941+D911*89.177+E911*40.302+F911*40+G911*160+H911*0+I911*100+J911*300)/(122.58+297.941+89.177+40.302+0+40+160+100+300)</f>
        <v>84.627700782956538</v>
      </c>
      <c r="AC911" s="45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82.944710071942453</v>
      </c>
    </row>
    <row r="912" spans="1:29" ht="15.75" x14ac:dyDescent="0.25">
      <c r="A912" s="32">
        <v>68667</v>
      </c>
      <c r="B912" s="14">
        <f>CHOOSE(CONTROL!$C$42, 90.3585, 90.3585) * CHOOSE(CONTROL!$C$21, $C$9, 100%, $E$9)</f>
        <v>90.358500000000006</v>
      </c>
      <c r="C912" s="14">
        <f>CHOOSE(CONTROL!$C$42, 90.3636, 90.3636) * CHOOSE(CONTROL!$C$21, $C$9, 100%, $E$9)</f>
        <v>90.363600000000005</v>
      </c>
      <c r="D912" s="14">
        <f>CHOOSE(CONTROL!$C$42, 90.4274, 90.4274) * CHOOSE(CONTROL!$C$21, $C$9, 100%, $E$9)</f>
        <v>90.427400000000006</v>
      </c>
      <c r="E912" s="14">
        <f>CHOOSE(CONTROL!$C$42, 90.4615, 90.4615) * CHOOSE(CONTROL!$C$21, $C$9, 100%, $E$9)</f>
        <v>90.461500000000001</v>
      </c>
      <c r="F912" s="14">
        <f>CHOOSE(CONTROL!$C$42, 90.3628, 90.3628)*CHOOSE(CONTROL!$C$21, $C$9, 100%, $E$9)</f>
        <v>90.362799999999993</v>
      </c>
      <c r="G912" s="14">
        <f>CHOOSE(CONTROL!$C$42, 90.38, 90.38)*CHOOSE(CONTROL!$C$21, $C$9, 100%, $E$9)</f>
        <v>90.38</v>
      </c>
      <c r="H912" s="14">
        <f>CHOOSE(CONTROL!$C$42, 90.4507, 90.4507) * CHOOSE(CONTROL!$C$21, $C$9, 100%, $E$9)</f>
        <v>90.450699999999998</v>
      </c>
      <c r="I912" s="14">
        <f>CHOOSE(CONTROL!$C$42, 90.6554, 90.6554)* CHOOSE(CONTROL!$C$21, $C$9, 100%, $E$9)</f>
        <v>90.6554</v>
      </c>
      <c r="J912" s="14">
        <f>CHOOSE(CONTROL!$C$42, 90.3558, 90.3558)* CHOOSE(CONTROL!$C$21, $C$9, 100%, $E$9)</f>
        <v>90.355800000000002</v>
      </c>
      <c r="K912" s="53">
        <f>CHOOSE(CONTROL!$C$42, 90.6515, 90.6515) * CHOOSE(CONTROL!$C$21, $C$9, 100%, $E$9)</f>
        <v>90.651499999999999</v>
      </c>
      <c r="L912" s="14">
        <f>CHOOSE(CONTROL!$C$42, 91.0377, 91.0377) * CHOOSE(CONTROL!$C$21, $C$9, 100%, $E$9)</f>
        <v>91.037700000000001</v>
      </c>
      <c r="M912" s="14">
        <f>CHOOSE(CONTROL!$C$42, 88.5122, 88.5122) * CHOOSE(CONTROL!$C$21, $C$9, 100%, $E$9)</f>
        <v>88.512200000000007</v>
      </c>
      <c r="N912" s="14">
        <f>CHOOSE(CONTROL!$C$42, 88.529, 88.529) * CHOOSE(CONTROL!$C$21, $C$9, 100%, $E$9)</f>
        <v>88.528999999999996</v>
      </c>
      <c r="O912" s="14">
        <f>CHOOSE(CONTROL!$C$42, 88.6051, 88.6051) * CHOOSE(CONTROL!$C$21, $C$9, 100%, $E$9)</f>
        <v>88.605099999999993</v>
      </c>
      <c r="P912" s="14">
        <f>CHOOSE(CONTROL!$C$42, 88.8, 88.8) * CHOOSE(CONTROL!$C$21, $C$9, 100%, $E$9)</f>
        <v>88.8</v>
      </c>
      <c r="Q912" s="14">
        <f>CHOOSE(CONTROL!$C$42, 89.1998, 89.1998) * CHOOSE(CONTROL!$C$21, $C$9, 100%, $E$9)</f>
        <v>89.199799999999996</v>
      </c>
      <c r="R912" s="14">
        <f>CHOOSE(CONTROL!$C$42, 90.0098, 90.0098) * CHOOSE(CONTROL!$C$21, $C$9, 100%, $E$9)</f>
        <v>90.009799999999998</v>
      </c>
      <c r="S912" s="14">
        <f>CHOOSE(CONTROL!$C$42, 86.8169, 86.8169) * CHOOSE(CONTROL!$C$21, $C$9, 100%, $E$9)</f>
        <v>86.816900000000004</v>
      </c>
      <c r="T9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7">
        <f>(1000*CHOOSE(CONTROL!$C$42, 695, 695)*CHOOSE(CONTROL!$C$42, 0.5599, 0.5599)*CHOOSE(CONTROL!$C$42, 31, 31))/1000000</f>
        <v>12.063045499999998</v>
      </c>
      <c r="V912" s="57">
        <f>(1000*CHOOSE(CONTROL!$C$42, 500, 500)*CHOOSE(CONTROL!$C$42, 0.275, 0.275)*CHOOSE(CONTROL!$C$42, 31, 31))/1000000</f>
        <v>4.2625000000000002</v>
      </c>
      <c r="W912" s="57">
        <f>(1000*CHOOSE(CONTROL!$C$42, 0.1146, 0.1146)*CHOOSE(CONTROL!$C$42, 121.5, 121.5)*CHOOSE(CONTROL!$C$42, 31, 31))/1000000</f>
        <v>0.43164089999999994</v>
      </c>
      <c r="X912" s="57">
        <f>(31*0.1790888*100000/1000000)+(31*0.2374*100000/1000000)</f>
        <v>1.2911152800000001</v>
      </c>
      <c r="Y912" s="57"/>
      <c r="Z912" s="14"/>
      <c r="AA912" s="56"/>
      <c r="AB912" s="50">
        <f>(B912*122.58+C912*297.941+D912*89.177+E912*40.302+F912*40+G912*160+H912*0+I912*100+J912*300)/(122.58+297.941+89.177+40.302+0+40+160+100+300)</f>
        <v>90.397027739478261</v>
      </c>
      <c r="AC912" s="45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88.596682733812941</v>
      </c>
    </row>
    <row r="913" spans="1:29" ht="15.75" x14ac:dyDescent="0.25">
      <c r="A913" s="32">
        <v>68698</v>
      </c>
      <c r="B913" s="14">
        <f>CHOOSE(CONTROL!$C$42, 97.7593, 97.7593) * CHOOSE(CONTROL!$C$21, $C$9, 100%, $E$9)</f>
        <v>97.759299999999996</v>
      </c>
      <c r="C913" s="14">
        <f>CHOOSE(CONTROL!$C$42, 97.7644, 97.7644) * CHOOSE(CONTROL!$C$21, $C$9, 100%, $E$9)</f>
        <v>97.764399999999995</v>
      </c>
      <c r="D913" s="14">
        <f>CHOOSE(CONTROL!$C$42, 97.823, 97.823) * CHOOSE(CONTROL!$C$21, $C$9, 100%, $E$9)</f>
        <v>97.822999999999993</v>
      </c>
      <c r="E913" s="14">
        <f>CHOOSE(CONTROL!$C$42, 97.8571, 97.8571) * CHOOSE(CONTROL!$C$21, $C$9, 100%, $E$9)</f>
        <v>97.857100000000003</v>
      </c>
      <c r="F913" s="14">
        <f>CHOOSE(CONTROL!$C$42, 97.7584, 97.7584)*CHOOSE(CONTROL!$C$21, $C$9, 100%, $E$9)</f>
        <v>97.758399999999995</v>
      </c>
      <c r="G913" s="14">
        <f>CHOOSE(CONTROL!$C$42, 97.7748, 97.7748)*CHOOSE(CONTROL!$C$21, $C$9, 100%, $E$9)</f>
        <v>97.774799999999999</v>
      </c>
      <c r="H913" s="14">
        <f>CHOOSE(CONTROL!$C$42, 97.8463, 97.8463) * CHOOSE(CONTROL!$C$21, $C$9, 100%, $E$9)</f>
        <v>97.846299999999999</v>
      </c>
      <c r="I913" s="14">
        <f>CHOOSE(CONTROL!$C$42, 98.0757, 98.0757)* CHOOSE(CONTROL!$C$21, $C$9, 100%, $E$9)</f>
        <v>98.075699999999998</v>
      </c>
      <c r="J913" s="14">
        <f>CHOOSE(CONTROL!$C$42, 97.7514, 97.7514)* CHOOSE(CONTROL!$C$21, $C$9, 100%, $E$9)</f>
        <v>97.751400000000004</v>
      </c>
      <c r="K913" s="53">
        <f>CHOOSE(CONTROL!$C$42, 98.0718, 98.0718) * CHOOSE(CONTROL!$C$21, $C$9, 100%, $E$9)</f>
        <v>98.071799999999996</v>
      </c>
      <c r="L913" s="14">
        <f>CHOOSE(CONTROL!$C$42, 98.4333, 98.4333) * CHOOSE(CONTROL!$C$21, $C$9, 100%, $E$9)</f>
        <v>98.433300000000003</v>
      </c>
      <c r="M913" s="14">
        <f>CHOOSE(CONTROL!$C$42, 95.7563, 95.7563) * CHOOSE(CONTROL!$C$21, $C$9, 100%, $E$9)</f>
        <v>95.756299999999996</v>
      </c>
      <c r="N913" s="14">
        <f>CHOOSE(CONTROL!$C$42, 95.7723, 95.7723) * CHOOSE(CONTROL!$C$21, $C$9, 100%, $E$9)</f>
        <v>95.772300000000001</v>
      </c>
      <c r="O913" s="14">
        <f>CHOOSE(CONTROL!$C$42, 95.8492, 95.8492) * CHOOSE(CONTROL!$C$21, $C$9, 100%, $E$9)</f>
        <v>95.849199999999996</v>
      </c>
      <c r="P913" s="14">
        <f>CHOOSE(CONTROL!$C$42, 96.0678, 96.0678) * CHOOSE(CONTROL!$C$21, $C$9, 100%, $E$9)</f>
        <v>96.067800000000005</v>
      </c>
      <c r="Q913" s="14">
        <f>CHOOSE(CONTROL!$C$42, 96.4439, 96.4439) * CHOOSE(CONTROL!$C$21, $C$9, 100%, $E$9)</f>
        <v>96.443899999999999</v>
      </c>
      <c r="R913" s="14">
        <f>CHOOSE(CONTROL!$C$42, 97.272, 97.272) * CHOOSE(CONTROL!$C$21, $C$9, 100%, $E$9)</f>
        <v>97.272000000000006</v>
      </c>
      <c r="S913" s="14">
        <f>CHOOSE(CONTROL!$C$42, 93.9284, 93.9284) * CHOOSE(CONTROL!$C$21, $C$9, 100%, $E$9)</f>
        <v>93.928399999999996</v>
      </c>
      <c r="T9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7">
        <f>(1000*CHOOSE(CONTROL!$C$42, 695, 695)*CHOOSE(CONTROL!$C$42, 0.5599, 0.5599)*CHOOSE(CONTROL!$C$42, 31, 31))/1000000</f>
        <v>12.063045499999998</v>
      </c>
      <c r="V913" s="57">
        <f>(1000*CHOOSE(CONTROL!$C$42, 500, 500)*CHOOSE(CONTROL!$C$42, 0.275, 0.275)*CHOOSE(CONTROL!$C$42, 31, 31))/1000000</f>
        <v>4.2625000000000002</v>
      </c>
      <c r="W913" s="57">
        <f>(1000*CHOOSE(CONTROL!$C$42, 0.1146, 0.1146)*CHOOSE(CONTROL!$C$42, 121.5, 121.5)*CHOOSE(CONTROL!$C$42, 31, 31))/1000000</f>
        <v>0.43164089999999994</v>
      </c>
      <c r="X913" s="57">
        <f>(31*0.1790888*100000/1000000)+(31*0.2374*100000/1000000)</f>
        <v>1.2911152800000001</v>
      </c>
      <c r="Y913" s="57"/>
      <c r="Z913" s="14"/>
      <c r="AA913" s="56"/>
      <c r="AB913" s="50">
        <f>(B913*122.58+C913*297.941+D913*89.177+E913*40.302+F913*40+G913*160+H913*0+I913*100+J913*300)/(122.58+297.941+89.177+40.302+0+40+160+100+300)</f>
        <v>97.796565747478255</v>
      </c>
      <c r="AC913" s="45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95.844146762589929</v>
      </c>
    </row>
    <row r="914" spans="1:29" ht="15.75" x14ac:dyDescent="0.25">
      <c r="A914" s="32">
        <v>68727</v>
      </c>
      <c r="B914" s="14">
        <f>CHOOSE(CONTROL!$C$42, 99.4994, 99.4994) * CHOOSE(CONTROL!$C$21, $C$9, 100%, $E$9)</f>
        <v>99.499399999999994</v>
      </c>
      <c r="C914" s="14">
        <f>CHOOSE(CONTROL!$C$42, 99.5045, 99.5045) * CHOOSE(CONTROL!$C$21, $C$9, 100%, $E$9)</f>
        <v>99.504499999999993</v>
      </c>
      <c r="D914" s="14">
        <f>CHOOSE(CONTROL!$C$42, 99.5631, 99.5631) * CHOOSE(CONTROL!$C$21, $C$9, 100%, $E$9)</f>
        <v>99.563100000000006</v>
      </c>
      <c r="E914" s="14">
        <f>CHOOSE(CONTROL!$C$42, 99.5972, 99.5972) * CHOOSE(CONTROL!$C$21, $C$9, 100%, $E$9)</f>
        <v>99.597200000000001</v>
      </c>
      <c r="F914" s="14">
        <f>CHOOSE(CONTROL!$C$42, 99.4985, 99.4985)*CHOOSE(CONTROL!$C$21, $C$9, 100%, $E$9)</f>
        <v>99.498500000000007</v>
      </c>
      <c r="G914" s="14">
        <f>CHOOSE(CONTROL!$C$42, 99.5149, 99.5149)*CHOOSE(CONTROL!$C$21, $C$9, 100%, $E$9)</f>
        <v>99.514899999999997</v>
      </c>
      <c r="H914" s="14">
        <f>CHOOSE(CONTROL!$C$42, 99.5864, 99.5864) * CHOOSE(CONTROL!$C$21, $C$9, 100%, $E$9)</f>
        <v>99.586399999999998</v>
      </c>
      <c r="I914" s="14">
        <f>CHOOSE(CONTROL!$C$42, 99.8213, 99.8213)* CHOOSE(CONTROL!$C$21, $C$9, 100%, $E$9)</f>
        <v>99.821299999999994</v>
      </c>
      <c r="J914" s="14">
        <f>CHOOSE(CONTROL!$C$42, 99.4915, 99.4915)* CHOOSE(CONTROL!$C$21, $C$9, 100%, $E$9)</f>
        <v>99.491500000000002</v>
      </c>
      <c r="K914" s="53">
        <f>CHOOSE(CONTROL!$C$42, 99.8174, 99.8174) * CHOOSE(CONTROL!$C$21, $C$9, 100%, $E$9)</f>
        <v>99.817400000000006</v>
      </c>
      <c r="L914" s="14">
        <f>CHOOSE(CONTROL!$C$42, 100.1734, 100.1734) * CHOOSE(CONTROL!$C$21, $C$9, 100%, $E$9)</f>
        <v>100.1734</v>
      </c>
      <c r="M914" s="14">
        <f>CHOOSE(CONTROL!$C$42, 97.4607, 97.4607) * CHOOSE(CONTROL!$C$21, $C$9, 100%, $E$9)</f>
        <v>97.460700000000003</v>
      </c>
      <c r="N914" s="14">
        <f>CHOOSE(CONTROL!$C$42, 97.4767, 97.4767) * CHOOSE(CONTROL!$C$21, $C$9, 100%, $E$9)</f>
        <v>97.476699999999994</v>
      </c>
      <c r="O914" s="14">
        <f>CHOOSE(CONTROL!$C$42, 97.5536, 97.5536) * CHOOSE(CONTROL!$C$21, $C$9, 100%, $E$9)</f>
        <v>97.553600000000003</v>
      </c>
      <c r="P914" s="14">
        <f>CHOOSE(CONTROL!$C$42, 97.7775, 97.7775) * CHOOSE(CONTROL!$C$21, $C$9, 100%, $E$9)</f>
        <v>97.777500000000003</v>
      </c>
      <c r="Q914" s="14">
        <f>CHOOSE(CONTROL!$C$42, 98.1483, 98.1483) * CHOOSE(CONTROL!$C$21, $C$9, 100%, $E$9)</f>
        <v>98.148300000000006</v>
      </c>
      <c r="R914" s="14">
        <f>CHOOSE(CONTROL!$C$42, 98.9807, 98.9807) * CHOOSE(CONTROL!$C$21, $C$9, 100%, $E$9)</f>
        <v>98.980699999999999</v>
      </c>
      <c r="S914" s="14">
        <f>CHOOSE(CONTROL!$C$42, 95.6005, 95.6005) * CHOOSE(CONTROL!$C$21, $C$9, 100%, $E$9)</f>
        <v>95.600499999999997</v>
      </c>
      <c r="T91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7">
        <f>(1000*CHOOSE(CONTROL!$C$42, 695, 695)*CHOOSE(CONTROL!$C$42, 0.5599, 0.5599)*CHOOSE(CONTROL!$C$42, 29, 29))/1000000</f>
        <v>11.284784499999999</v>
      </c>
      <c r="V914" s="57">
        <f>(1000*CHOOSE(CONTROL!$C$42, 500, 500)*CHOOSE(CONTROL!$C$42, 0.275, 0.275)*CHOOSE(CONTROL!$C$42, 29, 29))/1000000</f>
        <v>3.9874999999999998</v>
      </c>
      <c r="W914" s="57">
        <f>(1000*CHOOSE(CONTROL!$C$42, 0.1146, 0.1146)*CHOOSE(CONTROL!$C$42, 121.5, 121.5)*CHOOSE(CONTROL!$C$42, 29, 29))/1000000</f>
        <v>0.40379309999999996</v>
      </c>
      <c r="X914" s="57">
        <f>(29*0.1790888*100000/1000000)+(29*0.2374*100000/1000000)</f>
        <v>1.2078175199999999</v>
      </c>
      <c r="Y914" s="57"/>
      <c r="Z914" s="14"/>
      <c r="AA914" s="56"/>
      <c r="AB914" s="50">
        <f>(B914*122.58+C914*297.941+D914*89.177+E914*40.302+F914*40+G914*160+H914*0+I914*100+J914*300)/(122.58+297.941+89.177+40.302+0+40+160+100+300)</f>
        <v>99.537144008347823</v>
      </c>
      <c r="AC914" s="45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97.549309352517994</v>
      </c>
    </row>
    <row r="915" spans="1:29" ht="15.75" x14ac:dyDescent="0.25">
      <c r="A915" s="32">
        <v>68758</v>
      </c>
      <c r="B915" s="14">
        <f>CHOOSE(CONTROL!$C$42, 96.6748, 96.6748) * CHOOSE(CONTROL!$C$21, $C$9, 100%, $E$9)</f>
        <v>96.674800000000005</v>
      </c>
      <c r="C915" s="14">
        <f>CHOOSE(CONTROL!$C$42, 96.6799, 96.6799) * CHOOSE(CONTROL!$C$21, $C$9, 100%, $E$9)</f>
        <v>96.679900000000004</v>
      </c>
      <c r="D915" s="14">
        <f>CHOOSE(CONTROL!$C$42, 96.7385, 96.7385) * CHOOSE(CONTROL!$C$21, $C$9, 100%, $E$9)</f>
        <v>96.738500000000002</v>
      </c>
      <c r="E915" s="14">
        <f>CHOOSE(CONTROL!$C$42, 96.7726, 96.7726) * CHOOSE(CONTROL!$C$21, $C$9, 100%, $E$9)</f>
        <v>96.772599999999997</v>
      </c>
      <c r="F915" s="14">
        <f>CHOOSE(CONTROL!$C$42, 96.6734, 96.6734)*CHOOSE(CONTROL!$C$21, $C$9, 100%, $E$9)</f>
        <v>96.673400000000001</v>
      </c>
      <c r="G915" s="14">
        <f>CHOOSE(CONTROL!$C$42, 96.6897, 96.6897)*CHOOSE(CONTROL!$C$21, $C$9, 100%, $E$9)</f>
        <v>96.689700000000002</v>
      </c>
      <c r="H915" s="14">
        <f>CHOOSE(CONTROL!$C$42, 96.7618, 96.7618) * CHOOSE(CONTROL!$C$21, $C$9, 100%, $E$9)</f>
        <v>96.761799999999994</v>
      </c>
      <c r="I915" s="14">
        <f>CHOOSE(CONTROL!$C$42, 96.9878, 96.9878)* CHOOSE(CONTROL!$C$21, $C$9, 100%, $E$9)</f>
        <v>96.987799999999993</v>
      </c>
      <c r="J915" s="14">
        <f>CHOOSE(CONTROL!$C$42, 96.6664, 96.6664)* CHOOSE(CONTROL!$C$21, $C$9, 100%, $E$9)</f>
        <v>96.666399999999996</v>
      </c>
      <c r="K915" s="53">
        <f>CHOOSE(CONTROL!$C$42, 96.984, 96.984) * CHOOSE(CONTROL!$C$21, $C$9, 100%, $E$9)</f>
        <v>96.983999999999995</v>
      </c>
      <c r="L915" s="14">
        <f>CHOOSE(CONTROL!$C$42, 97.3488, 97.3488) * CHOOSE(CONTROL!$C$21, $C$9, 100%, $E$9)</f>
        <v>97.348799999999997</v>
      </c>
      <c r="M915" s="14">
        <f>CHOOSE(CONTROL!$C$42, 94.6935, 94.6935) * CHOOSE(CONTROL!$C$21, $C$9, 100%, $E$9)</f>
        <v>94.6935</v>
      </c>
      <c r="N915" s="14">
        <f>CHOOSE(CONTROL!$C$42, 94.7094, 94.7094) * CHOOSE(CONTROL!$C$21, $C$9, 100%, $E$9)</f>
        <v>94.709400000000002</v>
      </c>
      <c r="O915" s="14">
        <f>CHOOSE(CONTROL!$C$42, 94.7869, 94.7869) * CHOOSE(CONTROL!$C$21, $C$9, 100%, $E$9)</f>
        <v>94.786900000000003</v>
      </c>
      <c r="P915" s="14">
        <f>CHOOSE(CONTROL!$C$42, 95.0023, 95.0023) * CHOOSE(CONTROL!$C$21, $C$9, 100%, $E$9)</f>
        <v>95.002300000000005</v>
      </c>
      <c r="Q915" s="14">
        <f>CHOOSE(CONTROL!$C$42, 95.3816, 95.3816) * CHOOSE(CONTROL!$C$21, $C$9, 100%, $E$9)</f>
        <v>95.381600000000006</v>
      </c>
      <c r="R915" s="14">
        <f>CHOOSE(CONTROL!$C$42, 96.2071, 96.2071) * CHOOSE(CONTROL!$C$21, $C$9, 100%, $E$9)</f>
        <v>96.207099999999997</v>
      </c>
      <c r="S915" s="14">
        <f>CHOOSE(CONTROL!$C$42, 92.8863, 92.8863) * CHOOSE(CONTROL!$C$21, $C$9, 100%, $E$9)</f>
        <v>92.886300000000006</v>
      </c>
      <c r="T9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7">
        <f>(1000*CHOOSE(CONTROL!$C$42, 695, 695)*CHOOSE(CONTROL!$C$42, 0.5599, 0.5599)*CHOOSE(CONTROL!$C$42, 31, 31))/1000000</f>
        <v>12.063045499999998</v>
      </c>
      <c r="V915" s="57">
        <f>(1000*CHOOSE(CONTROL!$C$42, 500, 500)*CHOOSE(CONTROL!$C$42, 0.275, 0.275)*CHOOSE(CONTROL!$C$42, 31, 31))/1000000</f>
        <v>4.2625000000000002</v>
      </c>
      <c r="W915" s="57">
        <f>(1000*CHOOSE(CONTROL!$C$42, 0.1146, 0.1146)*CHOOSE(CONTROL!$C$42, 121.5, 121.5)*CHOOSE(CONTROL!$C$42, 31, 31))/1000000</f>
        <v>0.43164089999999994</v>
      </c>
      <c r="X915" s="57">
        <f>(31*0.1790888*100000/1000000)+(31*0.2374*100000/1000000)</f>
        <v>1.2911152800000001</v>
      </c>
      <c r="Y915" s="57"/>
      <c r="Z915" s="14"/>
      <c r="AA915" s="56"/>
      <c r="AB915" s="50">
        <f>(B915*122.58+C915*297.941+D915*89.177+E915*40.302+F915*40+G915*160+H915*0+I915*100+J915*300)/(122.58+297.941+89.177+40.302+0+40+160+100+300)</f>
        <v>96.711538790956524</v>
      </c>
      <c r="AC915" s="45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94.781179136690653</v>
      </c>
    </row>
    <row r="916" spans="1:29" ht="15.75" x14ac:dyDescent="0.25">
      <c r="A916" s="32">
        <v>68788</v>
      </c>
      <c r="B916" s="14">
        <f>CHOOSE(CONTROL!$C$42, 96.3866, 96.3866) * CHOOSE(CONTROL!$C$21, $C$9, 100%, $E$9)</f>
        <v>96.386600000000001</v>
      </c>
      <c r="C916" s="14">
        <f>CHOOSE(CONTROL!$C$42, 96.3911, 96.3911) * CHOOSE(CONTROL!$C$21, $C$9, 100%, $E$9)</f>
        <v>96.391099999999994</v>
      </c>
      <c r="D916" s="14">
        <f>CHOOSE(CONTROL!$C$42, 96.5992, 96.5992) * CHOOSE(CONTROL!$C$21, $C$9, 100%, $E$9)</f>
        <v>96.599199999999996</v>
      </c>
      <c r="E916" s="14">
        <f>CHOOSE(CONTROL!$C$42, 96.6313, 96.6313) * CHOOSE(CONTROL!$C$21, $C$9, 100%, $E$9)</f>
        <v>96.631299999999996</v>
      </c>
      <c r="F916" s="14">
        <f>CHOOSE(CONTROL!$C$42, 96.3739, 96.3739)*CHOOSE(CONTROL!$C$21, $C$9, 100%, $E$9)</f>
        <v>96.373900000000006</v>
      </c>
      <c r="G916" s="14">
        <f>CHOOSE(CONTROL!$C$42, 96.3899, 96.3899)*CHOOSE(CONTROL!$C$21, $C$9, 100%, $E$9)</f>
        <v>96.389899999999997</v>
      </c>
      <c r="H916" s="14">
        <f>CHOOSE(CONTROL!$C$42, 96.6211, 96.6211) * CHOOSE(CONTROL!$C$21, $C$9, 100%, $E$9)</f>
        <v>96.621099999999998</v>
      </c>
      <c r="I916" s="14">
        <f>CHOOSE(CONTROL!$C$42, 96.6979, 96.6979)* CHOOSE(CONTROL!$C$21, $C$9, 100%, $E$9)</f>
        <v>96.697900000000004</v>
      </c>
      <c r="J916" s="14">
        <f>CHOOSE(CONTROL!$C$42, 96.3669, 96.3669)* CHOOSE(CONTROL!$C$21, $C$9, 100%, $E$9)</f>
        <v>96.366900000000001</v>
      </c>
      <c r="K916" s="53">
        <f>CHOOSE(CONTROL!$C$42, 96.694, 96.694) * CHOOSE(CONTROL!$C$21, $C$9, 100%, $E$9)</f>
        <v>96.694000000000003</v>
      </c>
      <c r="L916" s="14">
        <f>CHOOSE(CONTROL!$C$42, 97.2081, 97.2081) * CHOOSE(CONTROL!$C$21, $C$9, 100%, $E$9)</f>
        <v>97.208100000000002</v>
      </c>
      <c r="M916" s="14">
        <f>CHOOSE(CONTROL!$C$42, 94.4001, 94.4001) * CHOOSE(CONTROL!$C$21, $C$9, 100%, $E$9)</f>
        <v>94.400099999999995</v>
      </c>
      <c r="N916" s="14">
        <f>CHOOSE(CONTROL!$C$42, 94.4157, 94.4157) * CHOOSE(CONTROL!$C$21, $C$9, 100%, $E$9)</f>
        <v>94.415700000000001</v>
      </c>
      <c r="O916" s="14">
        <f>CHOOSE(CONTROL!$C$42, 94.6491, 94.6491) * CHOOSE(CONTROL!$C$21, $C$9, 100%, $E$9)</f>
        <v>94.649100000000004</v>
      </c>
      <c r="P916" s="14">
        <f>CHOOSE(CONTROL!$C$42, 94.7183, 94.7183) * CHOOSE(CONTROL!$C$21, $C$9, 100%, $E$9)</f>
        <v>94.718299999999999</v>
      </c>
      <c r="Q916" s="14">
        <f>CHOOSE(CONTROL!$C$42, 95.2438, 95.2438) * CHOOSE(CONTROL!$C$21, $C$9, 100%, $E$9)</f>
        <v>95.243799999999993</v>
      </c>
      <c r="R916" s="14">
        <f>CHOOSE(CONTROL!$C$42, 96.0689, 96.0689) * CHOOSE(CONTROL!$C$21, $C$9, 100%, $E$9)</f>
        <v>96.068899999999999</v>
      </c>
      <c r="S916" s="14">
        <f>CHOOSE(CONTROL!$C$42, 92.6086, 92.6086) * CHOOSE(CONTROL!$C$21, $C$9, 100%, $E$9)</f>
        <v>92.608599999999996</v>
      </c>
      <c r="T9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7">
        <f>(1000*CHOOSE(CONTROL!$C$42, 695, 695)*CHOOSE(CONTROL!$C$42, 0.5599, 0.5599)*CHOOSE(CONTROL!$C$42, 30, 30))/1000000</f>
        <v>11.673914999999997</v>
      </c>
      <c r="V916" s="57">
        <f>(1000*CHOOSE(CONTROL!$C$42, 500, 500)*CHOOSE(CONTROL!$C$42, 0.275, 0.275)*CHOOSE(CONTROL!$C$42, 30, 30))/1000000</f>
        <v>4.125</v>
      </c>
      <c r="W916" s="57">
        <f>(1000*CHOOSE(CONTROL!$C$42, 0.1146, 0.1146)*CHOOSE(CONTROL!$C$42, 121.5, 121.5)*CHOOSE(CONTROL!$C$42, 30, 30))/1000000</f>
        <v>0.417717</v>
      </c>
      <c r="X916" s="57">
        <f>(30*0.1790888*245000/1000000)+(30*0.2374*100000/1000000)</f>
        <v>2.0285026799999999</v>
      </c>
      <c r="Y916" s="57"/>
      <c r="Z916" s="14"/>
      <c r="AA916" s="56"/>
      <c r="AB916" s="50">
        <f>(B916*141.293+C916*267.993+D916*115.016+E916*89.698+F916*40+G916*185+H916*0+I916*100+J916*300)/(141.293+267.993+115.016+89.698+0+40+185+100+300)</f>
        <v>96.445461961824051</v>
      </c>
      <c r="AC916" s="45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94.559638129496406</v>
      </c>
    </row>
    <row r="917" spans="1:29" ht="15.75" x14ac:dyDescent="0.25">
      <c r="A917" s="32">
        <v>68819</v>
      </c>
      <c r="B917" s="14">
        <f>CHOOSE(CONTROL!$C$42, 97.2386, 97.2386) * CHOOSE(CONTROL!$C$21, $C$9, 100%, $E$9)</f>
        <v>97.238600000000005</v>
      </c>
      <c r="C917" s="14">
        <f>CHOOSE(CONTROL!$C$42, 97.2466, 97.2466) * CHOOSE(CONTROL!$C$21, $C$9, 100%, $E$9)</f>
        <v>97.246600000000001</v>
      </c>
      <c r="D917" s="14">
        <f>CHOOSE(CONTROL!$C$42, 97.4516, 97.4516) * CHOOSE(CONTROL!$C$21, $C$9, 100%, $E$9)</f>
        <v>97.451599999999999</v>
      </c>
      <c r="E917" s="14">
        <f>CHOOSE(CONTROL!$C$42, 97.4831, 97.4831) * CHOOSE(CONTROL!$C$21, $C$9, 100%, $E$9)</f>
        <v>97.483099999999993</v>
      </c>
      <c r="F917" s="14">
        <f>CHOOSE(CONTROL!$C$42, 97.2248, 97.2248)*CHOOSE(CONTROL!$C$21, $C$9, 100%, $E$9)</f>
        <v>97.224800000000002</v>
      </c>
      <c r="G917" s="14">
        <f>CHOOSE(CONTROL!$C$42, 97.2412, 97.2412)*CHOOSE(CONTROL!$C$21, $C$9, 100%, $E$9)</f>
        <v>97.241200000000006</v>
      </c>
      <c r="H917" s="14">
        <f>CHOOSE(CONTROL!$C$42, 97.4717, 97.4717) * CHOOSE(CONTROL!$C$21, $C$9, 100%, $E$9)</f>
        <v>97.471699999999998</v>
      </c>
      <c r="I917" s="14">
        <f>CHOOSE(CONTROL!$C$42, 97.5512, 97.5512)* CHOOSE(CONTROL!$C$21, $C$9, 100%, $E$9)</f>
        <v>97.551199999999994</v>
      </c>
      <c r="J917" s="14">
        <f>CHOOSE(CONTROL!$C$42, 97.2178, 97.2178)* CHOOSE(CONTROL!$C$21, $C$9, 100%, $E$9)</f>
        <v>97.217799999999997</v>
      </c>
      <c r="K917" s="53">
        <f>CHOOSE(CONTROL!$C$42, 97.5473, 97.5473) * CHOOSE(CONTROL!$C$21, $C$9, 100%, $E$9)</f>
        <v>97.547300000000007</v>
      </c>
      <c r="L917" s="14">
        <f>CHOOSE(CONTROL!$C$42, 98.0587, 98.0587) * CHOOSE(CONTROL!$C$21, $C$9, 100%, $E$9)</f>
        <v>98.058700000000002</v>
      </c>
      <c r="M917" s="14">
        <f>CHOOSE(CONTROL!$C$42, 95.2336, 95.2336) * CHOOSE(CONTROL!$C$21, $C$9, 100%, $E$9)</f>
        <v>95.233599999999996</v>
      </c>
      <c r="N917" s="14">
        <f>CHOOSE(CONTROL!$C$42, 95.2496, 95.2496) * CHOOSE(CONTROL!$C$21, $C$9, 100%, $E$9)</f>
        <v>95.249600000000001</v>
      </c>
      <c r="O917" s="14">
        <f>CHOOSE(CONTROL!$C$42, 95.4823, 95.4823) * CHOOSE(CONTROL!$C$21, $C$9, 100%, $E$9)</f>
        <v>95.482299999999995</v>
      </c>
      <c r="P917" s="14">
        <f>CHOOSE(CONTROL!$C$42, 95.5541, 95.5541) * CHOOSE(CONTROL!$C$21, $C$9, 100%, $E$9)</f>
        <v>95.554100000000005</v>
      </c>
      <c r="Q917" s="14">
        <f>CHOOSE(CONTROL!$C$42, 96.077, 96.077) * CHOOSE(CONTROL!$C$21, $C$9, 100%, $E$9)</f>
        <v>96.076999999999998</v>
      </c>
      <c r="R917" s="14">
        <f>CHOOSE(CONTROL!$C$42, 96.9042, 96.9042) * CHOOSE(CONTROL!$C$21, $C$9, 100%, $E$9)</f>
        <v>96.904200000000003</v>
      </c>
      <c r="S917" s="14">
        <f>CHOOSE(CONTROL!$C$42, 93.4259, 93.4259) * CHOOSE(CONTROL!$C$21, $C$9, 100%, $E$9)</f>
        <v>93.425899999999999</v>
      </c>
      <c r="T9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7">
        <f>(1000*CHOOSE(CONTROL!$C$42, 695, 695)*CHOOSE(CONTROL!$C$42, 0.5599, 0.5599)*CHOOSE(CONTROL!$C$42, 31, 31))/1000000</f>
        <v>12.063045499999998</v>
      </c>
      <c r="V917" s="57">
        <f>(1000*CHOOSE(CONTROL!$C$42, 500, 500)*CHOOSE(CONTROL!$C$42, 0.275, 0.275)*CHOOSE(CONTROL!$C$42, 31, 31))/1000000</f>
        <v>4.2625000000000002</v>
      </c>
      <c r="W917" s="57">
        <f>(1000*CHOOSE(CONTROL!$C$42, 0.1146, 0.1146)*CHOOSE(CONTROL!$C$42, 121.5, 121.5)*CHOOSE(CONTROL!$C$42, 31, 31))/1000000</f>
        <v>0.43164089999999994</v>
      </c>
      <c r="X917" s="57">
        <f>(31*0.1790888*245000/1000000)+(31*0.2374*100000/1000000)</f>
        <v>2.0961194359999999</v>
      </c>
      <c r="Y917" s="57"/>
      <c r="Z917" s="14"/>
      <c r="AA917" s="56"/>
      <c r="AB917" s="50">
        <f>(B917*194.205+C917*267.466+D917*133.845+E917*53.484+F917*40+G917*185+H917*0+I917*100+J917*300)/(194.205+267.466+133.845+53.484+0+40+185+100+300)</f>
        <v>97.292504671114585</v>
      </c>
      <c r="AC917" s="45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95.393356115107906</v>
      </c>
    </row>
    <row r="918" spans="1:29" ht="15.75" x14ac:dyDescent="0.25">
      <c r="A918" s="32">
        <v>68849</v>
      </c>
      <c r="B918" s="14">
        <f>CHOOSE(CONTROL!$C$42, 99.9966, 99.9966) * CHOOSE(CONTROL!$C$21, $C$9, 100%, $E$9)</f>
        <v>99.996600000000001</v>
      </c>
      <c r="C918" s="14">
        <f>CHOOSE(CONTROL!$C$42, 100.0046, 100.0046) * CHOOSE(CONTROL!$C$21, $C$9, 100%, $E$9)</f>
        <v>100.0046</v>
      </c>
      <c r="D918" s="14">
        <f>CHOOSE(CONTROL!$C$42, 100.2096, 100.2096) * CHOOSE(CONTROL!$C$21, $C$9, 100%, $E$9)</f>
        <v>100.20959999999999</v>
      </c>
      <c r="E918" s="14">
        <f>CHOOSE(CONTROL!$C$42, 100.241, 100.241) * CHOOSE(CONTROL!$C$21, $C$9, 100%, $E$9)</f>
        <v>100.241</v>
      </c>
      <c r="F918" s="14">
        <f>CHOOSE(CONTROL!$C$42, 99.9831, 99.9831)*CHOOSE(CONTROL!$C$21, $C$9, 100%, $E$9)</f>
        <v>99.983099999999993</v>
      </c>
      <c r="G918" s="14">
        <f>CHOOSE(CONTROL!$C$42, 99.9996, 99.9996)*CHOOSE(CONTROL!$C$21, $C$9, 100%, $E$9)</f>
        <v>99.999600000000001</v>
      </c>
      <c r="H918" s="14">
        <f>CHOOSE(CONTROL!$C$42, 100.2297, 100.2297) * CHOOSE(CONTROL!$C$21, $C$9, 100%, $E$9)</f>
        <v>100.22969999999999</v>
      </c>
      <c r="I918" s="14">
        <f>CHOOSE(CONTROL!$C$42, 100.3178, 100.3178)* CHOOSE(CONTROL!$C$21, $C$9, 100%, $E$9)</f>
        <v>100.31780000000001</v>
      </c>
      <c r="J918" s="14">
        <f>CHOOSE(CONTROL!$C$42, 99.9761, 99.9761)* CHOOSE(CONTROL!$C$21, $C$9, 100%, $E$9)</f>
        <v>99.976100000000002</v>
      </c>
      <c r="K918" s="53">
        <f>CHOOSE(CONTROL!$C$42, 100.3139, 100.3139) * CHOOSE(CONTROL!$C$21, $C$9, 100%, $E$9)</f>
        <v>100.3139</v>
      </c>
      <c r="L918" s="14">
        <f>CHOOSE(CONTROL!$C$42, 100.8167, 100.8167) * CHOOSE(CONTROL!$C$21, $C$9, 100%, $E$9)</f>
        <v>100.8167</v>
      </c>
      <c r="M918" s="14">
        <f>CHOOSE(CONTROL!$C$42, 97.9354, 97.9354) * CHOOSE(CONTROL!$C$21, $C$9, 100%, $E$9)</f>
        <v>97.935400000000001</v>
      </c>
      <c r="N918" s="14">
        <f>CHOOSE(CONTROL!$C$42, 97.9516, 97.9516) * CHOOSE(CONTROL!$C$21, $C$9, 100%, $E$9)</f>
        <v>97.951599999999999</v>
      </c>
      <c r="O918" s="14">
        <f>CHOOSE(CONTROL!$C$42, 98.1837, 98.1837) * CHOOSE(CONTROL!$C$21, $C$9, 100%, $E$9)</f>
        <v>98.183700000000002</v>
      </c>
      <c r="P918" s="14">
        <f>CHOOSE(CONTROL!$C$42, 98.2638, 98.2638) * CHOOSE(CONTROL!$C$21, $C$9, 100%, $E$9)</f>
        <v>98.263800000000003</v>
      </c>
      <c r="Q918" s="14">
        <f>CHOOSE(CONTROL!$C$42, 98.7784, 98.7784) * CHOOSE(CONTROL!$C$21, $C$9, 100%, $E$9)</f>
        <v>98.778400000000005</v>
      </c>
      <c r="R918" s="14">
        <f>CHOOSE(CONTROL!$C$42, 99.6124, 99.6124) * CHOOSE(CONTROL!$C$21, $C$9, 100%, $E$9)</f>
        <v>99.612399999999994</v>
      </c>
      <c r="S918" s="14">
        <f>CHOOSE(CONTROL!$C$42, 96.0761, 96.0761) * CHOOSE(CONTROL!$C$21, $C$9, 100%, $E$9)</f>
        <v>96.076099999999997</v>
      </c>
      <c r="T9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7">
        <f>(1000*CHOOSE(CONTROL!$C$42, 695, 695)*CHOOSE(CONTROL!$C$42, 0.5599, 0.5599)*CHOOSE(CONTROL!$C$42, 30, 30))/1000000</f>
        <v>11.673914999999997</v>
      </c>
      <c r="V918" s="57">
        <f>(1000*CHOOSE(CONTROL!$C$42, 500, 500)*CHOOSE(CONTROL!$C$42, 0.275, 0.275)*CHOOSE(CONTROL!$C$42, 30, 30))/1000000</f>
        <v>4.125</v>
      </c>
      <c r="W918" s="57">
        <f>(1000*CHOOSE(CONTROL!$C$42, 0.1146, 0.1146)*CHOOSE(CONTROL!$C$42, 121.5, 121.5)*CHOOSE(CONTROL!$C$42, 30, 30))/1000000</f>
        <v>0.417717</v>
      </c>
      <c r="X918" s="57">
        <f>(30*0.1790888*245000/1000000)+(30*0.2374*100000/1000000)</f>
        <v>2.0285026799999999</v>
      </c>
      <c r="Y918" s="57"/>
      <c r="Z918" s="14"/>
      <c r="AA918" s="56"/>
      <c r="AB918" s="50">
        <f>(B918*194.205+C918*267.466+D918*133.845+E918*53.484+F918*40+G918*185+H918*0+I918*100+J918*300)/(194.205+267.466+133.845+53.484+0+40+185+100+300)</f>
        <v>100.05131365981161</v>
      </c>
      <c r="AC918" s="45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98.096123021582741</v>
      </c>
    </row>
    <row r="919" spans="1:29" ht="15.75" x14ac:dyDescent="0.25">
      <c r="A919" s="32">
        <v>68880</v>
      </c>
      <c r="B919" s="14">
        <f>CHOOSE(CONTROL!$C$42, 98.0784, 98.0784) * CHOOSE(CONTROL!$C$21, $C$9, 100%, $E$9)</f>
        <v>98.078400000000002</v>
      </c>
      <c r="C919" s="14">
        <f>CHOOSE(CONTROL!$C$42, 98.0864, 98.0864) * CHOOSE(CONTROL!$C$21, $C$9, 100%, $E$9)</f>
        <v>98.086399999999998</v>
      </c>
      <c r="D919" s="14">
        <f>CHOOSE(CONTROL!$C$42, 98.2914, 98.2914) * CHOOSE(CONTROL!$C$21, $C$9, 100%, $E$9)</f>
        <v>98.291399999999996</v>
      </c>
      <c r="E919" s="14">
        <f>CHOOSE(CONTROL!$C$42, 98.3229, 98.3229) * CHOOSE(CONTROL!$C$21, $C$9, 100%, $E$9)</f>
        <v>98.322900000000004</v>
      </c>
      <c r="F919" s="14">
        <f>CHOOSE(CONTROL!$C$42, 98.0654, 98.0654)*CHOOSE(CONTROL!$C$21, $C$9, 100%, $E$9)</f>
        <v>98.065399999999997</v>
      </c>
      <c r="G919" s="14">
        <f>CHOOSE(CONTROL!$C$42, 98.082, 98.082)*CHOOSE(CONTROL!$C$21, $C$9, 100%, $E$9)</f>
        <v>98.081999999999994</v>
      </c>
      <c r="H919" s="14">
        <f>CHOOSE(CONTROL!$C$42, 98.3115, 98.3115) * CHOOSE(CONTROL!$C$21, $C$9, 100%, $E$9)</f>
        <v>98.311499999999995</v>
      </c>
      <c r="I919" s="14">
        <f>CHOOSE(CONTROL!$C$42, 98.3936, 98.3936)* CHOOSE(CONTROL!$C$21, $C$9, 100%, $E$9)</f>
        <v>98.393600000000006</v>
      </c>
      <c r="J919" s="14">
        <f>CHOOSE(CONTROL!$C$42, 98.0584, 98.0584)* CHOOSE(CONTROL!$C$21, $C$9, 100%, $E$9)</f>
        <v>98.058400000000006</v>
      </c>
      <c r="K919" s="53">
        <f>CHOOSE(CONTROL!$C$42, 98.3897, 98.3897) * CHOOSE(CONTROL!$C$21, $C$9, 100%, $E$9)</f>
        <v>98.389700000000005</v>
      </c>
      <c r="L919" s="14">
        <f>CHOOSE(CONTROL!$C$42, 98.8985, 98.8985) * CHOOSE(CONTROL!$C$21, $C$9, 100%, $E$9)</f>
        <v>98.898499999999999</v>
      </c>
      <c r="M919" s="14">
        <f>CHOOSE(CONTROL!$C$42, 96.0569, 96.0569) * CHOOSE(CONTROL!$C$21, $C$9, 100%, $E$9)</f>
        <v>96.056899999999999</v>
      </c>
      <c r="N919" s="14">
        <f>CHOOSE(CONTROL!$C$42, 96.0732, 96.0732) * CHOOSE(CONTROL!$C$21, $C$9, 100%, $E$9)</f>
        <v>96.0732</v>
      </c>
      <c r="O919" s="14">
        <f>CHOOSE(CONTROL!$C$42, 96.3048, 96.3048) * CHOOSE(CONTROL!$C$21, $C$9, 100%, $E$9)</f>
        <v>96.3048</v>
      </c>
      <c r="P919" s="14">
        <f>CHOOSE(CONTROL!$C$42, 96.3792, 96.3792) * CHOOSE(CONTROL!$C$21, $C$9, 100%, $E$9)</f>
        <v>96.379199999999997</v>
      </c>
      <c r="Q919" s="14">
        <f>CHOOSE(CONTROL!$C$42, 96.8995, 96.8995) * CHOOSE(CONTROL!$C$21, $C$9, 100%, $E$9)</f>
        <v>96.899500000000003</v>
      </c>
      <c r="R919" s="14">
        <f>CHOOSE(CONTROL!$C$42, 97.7288, 97.7288) * CHOOSE(CONTROL!$C$21, $C$9, 100%, $E$9)</f>
        <v>97.728800000000007</v>
      </c>
      <c r="S919" s="14">
        <f>CHOOSE(CONTROL!$C$42, 94.2329, 94.2329) * CHOOSE(CONTROL!$C$21, $C$9, 100%, $E$9)</f>
        <v>94.232900000000001</v>
      </c>
      <c r="T9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7">
        <f>(1000*CHOOSE(CONTROL!$C$42, 695, 695)*CHOOSE(CONTROL!$C$42, 0.5599, 0.5599)*CHOOSE(CONTROL!$C$42, 31, 31))/1000000</f>
        <v>12.063045499999998</v>
      </c>
      <c r="V919" s="57">
        <f>(1000*CHOOSE(CONTROL!$C$42, 500, 500)*CHOOSE(CONTROL!$C$42, 0.275, 0.275)*CHOOSE(CONTROL!$C$42, 31, 31))/1000000</f>
        <v>4.2625000000000002</v>
      </c>
      <c r="W919" s="57">
        <f>(1000*CHOOSE(CONTROL!$C$42, 0.1146, 0.1146)*CHOOSE(CONTROL!$C$42, 121.5, 121.5)*CHOOSE(CONTROL!$C$42, 31, 31))/1000000</f>
        <v>0.43164089999999994</v>
      </c>
      <c r="X919" s="57">
        <f>(31*0.1790888*245000/1000000)+(31*0.2374*100000/1000000)</f>
        <v>2.0961194359999999</v>
      </c>
      <c r="Y919" s="57"/>
      <c r="Z919" s="14"/>
      <c r="AA919" s="56"/>
      <c r="AB919" s="50">
        <f>(B919*194.205+C919*267.466+D919*133.845+E919*53.484+F919*40+G919*185+H919*0+I919*100+J919*300)/(194.205+267.466+133.845+53.484+0+40+185+100+300)</f>
        <v>98.132867465463107</v>
      </c>
      <c r="AC919" s="45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96.216569784172663</v>
      </c>
    </row>
    <row r="920" spans="1:29" ht="15.75" x14ac:dyDescent="0.25">
      <c r="A920" s="32">
        <v>68911</v>
      </c>
      <c r="B920" s="14">
        <f>CHOOSE(CONTROL!$C$42, 93.2344, 93.2344) * CHOOSE(CONTROL!$C$21, $C$9, 100%, $E$9)</f>
        <v>93.234399999999994</v>
      </c>
      <c r="C920" s="14">
        <f>CHOOSE(CONTROL!$C$42, 93.2424, 93.2424) * CHOOSE(CONTROL!$C$21, $C$9, 100%, $E$9)</f>
        <v>93.242400000000004</v>
      </c>
      <c r="D920" s="14">
        <f>CHOOSE(CONTROL!$C$42, 93.4474, 93.4474) * CHOOSE(CONTROL!$C$21, $C$9, 100%, $E$9)</f>
        <v>93.447400000000002</v>
      </c>
      <c r="E920" s="14">
        <f>CHOOSE(CONTROL!$C$42, 93.4788, 93.4788) * CHOOSE(CONTROL!$C$21, $C$9, 100%, $E$9)</f>
        <v>93.478800000000007</v>
      </c>
      <c r="F920" s="14">
        <f>CHOOSE(CONTROL!$C$42, 93.2216, 93.2216)*CHOOSE(CONTROL!$C$21, $C$9, 100%, $E$9)</f>
        <v>93.221599999999995</v>
      </c>
      <c r="G920" s="14">
        <f>CHOOSE(CONTROL!$C$42, 93.2382, 93.2382)*CHOOSE(CONTROL!$C$21, $C$9, 100%, $E$9)</f>
        <v>93.238200000000006</v>
      </c>
      <c r="H920" s="14">
        <f>CHOOSE(CONTROL!$C$42, 93.4675, 93.4675) * CHOOSE(CONTROL!$C$21, $C$9, 100%, $E$9)</f>
        <v>93.467500000000001</v>
      </c>
      <c r="I920" s="14">
        <f>CHOOSE(CONTROL!$C$42, 93.5344, 93.5344)* CHOOSE(CONTROL!$C$21, $C$9, 100%, $E$9)</f>
        <v>93.534400000000005</v>
      </c>
      <c r="J920" s="14">
        <f>CHOOSE(CONTROL!$C$42, 93.2146, 93.2146)* CHOOSE(CONTROL!$C$21, $C$9, 100%, $E$9)</f>
        <v>93.214600000000004</v>
      </c>
      <c r="K920" s="53">
        <f>CHOOSE(CONTROL!$C$42, 93.5305, 93.5305) * CHOOSE(CONTROL!$C$21, $C$9, 100%, $E$9)</f>
        <v>93.530500000000004</v>
      </c>
      <c r="L920" s="14">
        <f>CHOOSE(CONTROL!$C$42, 94.0545, 94.0545) * CHOOSE(CONTROL!$C$21, $C$9, 100%, $E$9)</f>
        <v>94.054500000000004</v>
      </c>
      <c r="M920" s="14">
        <f>CHOOSE(CONTROL!$C$42, 91.3124, 91.3124) * CHOOSE(CONTROL!$C$21, $C$9, 100%, $E$9)</f>
        <v>91.312399999999997</v>
      </c>
      <c r="N920" s="14">
        <f>CHOOSE(CONTROL!$C$42, 91.3287, 91.3287) * CHOOSE(CONTROL!$C$21, $C$9, 100%, $E$9)</f>
        <v>91.328699999999998</v>
      </c>
      <c r="O920" s="14">
        <f>CHOOSE(CONTROL!$C$42, 91.5601, 91.5601) * CHOOSE(CONTROL!$C$21, $C$9, 100%, $E$9)</f>
        <v>91.560100000000006</v>
      </c>
      <c r="P920" s="14">
        <f>CHOOSE(CONTROL!$C$42, 91.6199, 91.6199) * CHOOSE(CONTROL!$C$21, $C$9, 100%, $E$9)</f>
        <v>91.619900000000001</v>
      </c>
      <c r="Q920" s="14">
        <f>CHOOSE(CONTROL!$C$42, 92.1548, 92.1548) * CHOOSE(CONTROL!$C$21, $C$9, 100%, $E$9)</f>
        <v>92.154799999999994</v>
      </c>
      <c r="R920" s="14">
        <f>CHOOSE(CONTROL!$C$42, 92.9722, 92.9722) * CHOOSE(CONTROL!$C$21, $C$9, 100%, $E$9)</f>
        <v>92.972200000000001</v>
      </c>
      <c r="S920" s="14">
        <f>CHOOSE(CONTROL!$C$42, 89.5783, 89.5783) * CHOOSE(CONTROL!$C$21, $C$9, 100%, $E$9)</f>
        <v>89.578299999999999</v>
      </c>
      <c r="T9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7">
        <f>(1000*CHOOSE(CONTROL!$C$42, 695, 695)*CHOOSE(CONTROL!$C$42, 0.5599, 0.5599)*CHOOSE(CONTROL!$C$42, 31, 31))/1000000</f>
        <v>12.063045499999998</v>
      </c>
      <c r="V920" s="57">
        <f>(1000*CHOOSE(CONTROL!$C$42, 500, 500)*CHOOSE(CONTROL!$C$42, 0.275, 0.275)*CHOOSE(CONTROL!$C$42, 31, 31))/1000000</f>
        <v>4.2625000000000002</v>
      </c>
      <c r="W920" s="57">
        <f>(1000*CHOOSE(CONTROL!$C$42, 0.1146, 0.1146)*CHOOSE(CONTROL!$C$42, 121.5, 121.5)*CHOOSE(CONTROL!$C$42, 31, 31))/1000000</f>
        <v>0.43164089999999994</v>
      </c>
      <c r="X920" s="57">
        <f>(31*0.1790888*245000/1000000)+(31*0.2374*100000/1000000)</f>
        <v>2.0961194359999999</v>
      </c>
      <c r="Y920" s="57"/>
      <c r="Z920" s="14"/>
      <c r="AA920" s="56"/>
      <c r="AB920" s="50">
        <f>(B920*194.205+C920*267.466+D920*133.845+E920*53.484+F920*40+G920*185+H920*0+I920*100+J920*300)/(194.205+267.466+133.845+53.484+0+40+185+100+300)</f>
        <v>93.287752592307712</v>
      </c>
      <c r="AC920" s="45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91.469849640287777</v>
      </c>
    </row>
    <row r="921" spans="1:29" ht="15.75" x14ac:dyDescent="0.25">
      <c r="A921" s="32">
        <v>68941</v>
      </c>
      <c r="B921" s="14">
        <f>CHOOSE(CONTROL!$C$42, 87.3155, 87.3155) * CHOOSE(CONTROL!$C$21, $C$9, 100%, $E$9)</f>
        <v>87.3155</v>
      </c>
      <c r="C921" s="14">
        <f>CHOOSE(CONTROL!$C$42, 87.3235, 87.3235) * CHOOSE(CONTROL!$C$21, $C$9, 100%, $E$9)</f>
        <v>87.323499999999996</v>
      </c>
      <c r="D921" s="14">
        <f>CHOOSE(CONTROL!$C$42, 87.5285, 87.5285) * CHOOSE(CONTROL!$C$21, $C$9, 100%, $E$9)</f>
        <v>87.528499999999994</v>
      </c>
      <c r="E921" s="14">
        <f>CHOOSE(CONTROL!$C$42, 87.56, 87.56) * CHOOSE(CONTROL!$C$21, $C$9, 100%, $E$9)</f>
        <v>87.56</v>
      </c>
      <c r="F921" s="14">
        <f>CHOOSE(CONTROL!$C$42, 87.3027, 87.3027)*CHOOSE(CONTROL!$C$21, $C$9, 100%, $E$9)</f>
        <v>87.302700000000002</v>
      </c>
      <c r="G921" s="14">
        <f>CHOOSE(CONTROL!$C$42, 87.3193, 87.3193)*CHOOSE(CONTROL!$C$21, $C$9, 100%, $E$9)</f>
        <v>87.319299999999998</v>
      </c>
      <c r="H921" s="14">
        <f>CHOOSE(CONTROL!$C$42, 87.5486, 87.5486) * CHOOSE(CONTROL!$C$21, $C$9, 100%, $E$9)</f>
        <v>87.548599999999993</v>
      </c>
      <c r="I921" s="14">
        <f>CHOOSE(CONTROL!$C$42, 87.597, 87.597)* CHOOSE(CONTROL!$C$21, $C$9, 100%, $E$9)</f>
        <v>87.596999999999994</v>
      </c>
      <c r="J921" s="14">
        <f>CHOOSE(CONTROL!$C$42, 87.2957, 87.2957)* CHOOSE(CONTROL!$C$21, $C$9, 100%, $E$9)</f>
        <v>87.295699999999997</v>
      </c>
      <c r="K921" s="53">
        <f>CHOOSE(CONTROL!$C$42, 87.5931, 87.5931) * CHOOSE(CONTROL!$C$21, $C$9, 100%, $E$9)</f>
        <v>87.593100000000007</v>
      </c>
      <c r="L921" s="14">
        <f>CHOOSE(CONTROL!$C$42, 88.1356, 88.1356) * CHOOSE(CONTROL!$C$21, $C$9, 100%, $E$9)</f>
        <v>88.135599999999997</v>
      </c>
      <c r="M921" s="14">
        <f>CHOOSE(CONTROL!$C$42, 85.5147, 85.5147) * CHOOSE(CONTROL!$C$21, $C$9, 100%, $E$9)</f>
        <v>85.514700000000005</v>
      </c>
      <c r="N921" s="14">
        <f>CHOOSE(CONTROL!$C$42, 85.5311, 85.5311) * CHOOSE(CONTROL!$C$21, $C$9, 100%, $E$9)</f>
        <v>85.531099999999995</v>
      </c>
      <c r="O921" s="14">
        <f>CHOOSE(CONTROL!$C$42, 85.7625, 85.7625) * CHOOSE(CONTROL!$C$21, $C$9, 100%, $E$9)</f>
        <v>85.762500000000003</v>
      </c>
      <c r="P921" s="14">
        <f>CHOOSE(CONTROL!$C$42, 85.8045, 85.8045) * CHOOSE(CONTROL!$C$21, $C$9, 100%, $E$9)</f>
        <v>85.804500000000004</v>
      </c>
      <c r="Q921" s="14">
        <f>CHOOSE(CONTROL!$C$42, 86.3572, 86.3572) * CHOOSE(CONTROL!$C$21, $C$9, 100%, $E$9)</f>
        <v>86.357200000000006</v>
      </c>
      <c r="R921" s="14">
        <f>CHOOSE(CONTROL!$C$42, 87.1601, 87.1601) * CHOOSE(CONTROL!$C$21, $C$9, 100%, $E$9)</f>
        <v>87.1601</v>
      </c>
      <c r="S921" s="14">
        <f>CHOOSE(CONTROL!$C$42, 83.8908, 83.8908) * CHOOSE(CONTROL!$C$21, $C$9, 100%, $E$9)</f>
        <v>83.890799999999999</v>
      </c>
      <c r="T9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7">
        <f>(1000*CHOOSE(CONTROL!$C$42, 695, 695)*CHOOSE(CONTROL!$C$42, 0.5599, 0.5599)*CHOOSE(CONTROL!$C$42, 30, 30))/1000000</f>
        <v>11.673914999999997</v>
      </c>
      <c r="V921" s="57">
        <f>(1000*CHOOSE(CONTROL!$C$42, 500, 500)*CHOOSE(CONTROL!$C$42, 0.275, 0.275)*CHOOSE(CONTROL!$C$42, 30, 30))/1000000</f>
        <v>4.125</v>
      </c>
      <c r="W921" s="57">
        <f>(1000*CHOOSE(CONTROL!$C$42, 0.1146, 0.1146)*CHOOSE(CONTROL!$C$42, 121.5, 121.5)*CHOOSE(CONTROL!$C$42, 30, 30))/1000000</f>
        <v>0.417717</v>
      </c>
      <c r="X921" s="57">
        <f>(30*0.1790888*245000/1000000)+(30*0.2374*100000/1000000)</f>
        <v>2.0285026799999999</v>
      </c>
      <c r="Y921" s="57"/>
      <c r="Z921" s="14"/>
      <c r="AA921" s="56"/>
      <c r="AB921" s="50">
        <f>(B921*194.205+C921*267.466+D921*133.845+E921*53.484+F921*40+G921*185+H921*0+I921*100+J921*300)/(194.205+267.466+133.845+53.484+0+40+185+100+300)</f>
        <v>87.367404671114613</v>
      </c>
      <c r="AC921" s="45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85.669653956834523</v>
      </c>
    </row>
    <row r="922" spans="1:29" ht="15.75" x14ac:dyDescent="0.25">
      <c r="A922" s="32">
        <v>68972</v>
      </c>
      <c r="B922" s="14">
        <f>CHOOSE(CONTROL!$C$42, 85.5411, 85.5411) * CHOOSE(CONTROL!$C$21, $C$9, 100%, $E$9)</f>
        <v>85.5411</v>
      </c>
      <c r="C922" s="14">
        <f>CHOOSE(CONTROL!$C$42, 85.5464, 85.5464) * CHOOSE(CONTROL!$C$21, $C$9, 100%, $E$9)</f>
        <v>85.546400000000006</v>
      </c>
      <c r="D922" s="14">
        <f>CHOOSE(CONTROL!$C$42, 85.7564, 85.7564) * CHOOSE(CONTROL!$C$21, $C$9, 100%, $E$9)</f>
        <v>85.756399999999999</v>
      </c>
      <c r="E922" s="14">
        <f>CHOOSE(CONTROL!$C$42, 85.7855, 85.7855) * CHOOSE(CONTROL!$C$21, $C$9, 100%, $E$9)</f>
        <v>85.785499999999999</v>
      </c>
      <c r="F922" s="14">
        <f>CHOOSE(CONTROL!$C$42, 85.5303, 85.5303)*CHOOSE(CONTROL!$C$21, $C$9, 100%, $E$9)</f>
        <v>85.530299999999997</v>
      </c>
      <c r="G922" s="14">
        <f>CHOOSE(CONTROL!$C$42, 85.5467, 85.5467)*CHOOSE(CONTROL!$C$21, $C$9, 100%, $E$9)</f>
        <v>85.546700000000001</v>
      </c>
      <c r="H922" s="14">
        <f>CHOOSE(CONTROL!$C$42, 85.776, 85.776) * CHOOSE(CONTROL!$C$21, $C$9, 100%, $E$9)</f>
        <v>85.775999999999996</v>
      </c>
      <c r="I922" s="14">
        <f>CHOOSE(CONTROL!$C$42, 85.8188, 85.8188)* CHOOSE(CONTROL!$C$21, $C$9, 100%, $E$9)</f>
        <v>85.818799999999996</v>
      </c>
      <c r="J922" s="14">
        <f>CHOOSE(CONTROL!$C$42, 85.5233, 85.5233)* CHOOSE(CONTROL!$C$21, $C$9, 100%, $E$9)</f>
        <v>85.523300000000006</v>
      </c>
      <c r="K922" s="53">
        <f>CHOOSE(CONTROL!$C$42, 85.8149, 85.8149) * CHOOSE(CONTROL!$C$21, $C$9, 100%, $E$9)</f>
        <v>85.814899999999994</v>
      </c>
      <c r="L922" s="14">
        <f>CHOOSE(CONTROL!$C$42, 86.363, 86.363) * CHOOSE(CONTROL!$C$21, $C$9, 100%, $E$9)</f>
        <v>86.363</v>
      </c>
      <c r="M922" s="14">
        <f>CHOOSE(CONTROL!$C$42, 83.7787, 83.7787) * CHOOSE(CONTROL!$C$21, $C$9, 100%, $E$9)</f>
        <v>83.778700000000001</v>
      </c>
      <c r="N922" s="14">
        <f>CHOOSE(CONTROL!$C$42, 83.7947, 83.7947) * CHOOSE(CONTROL!$C$21, $C$9, 100%, $E$9)</f>
        <v>83.794700000000006</v>
      </c>
      <c r="O922" s="14">
        <f>CHOOSE(CONTROL!$C$42, 84.0262, 84.0262) * CHOOSE(CONTROL!$C$21, $C$9, 100%, $E$9)</f>
        <v>84.026200000000003</v>
      </c>
      <c r="P922" s="14">
        <f>CHOOSE(CONTROL!$C$42, 84.0628, 84.0628) * CHOOSE(CONTROL!$C$21, $C$9, 100%, $E$9)</f>
        <v>84.062799999999996</v>
      </c>
      <c r="Q922" s="14">
        <f>CHOOSE(CONTROL!$C$42, 84.6209, 84.6209) * CHOOSE(CONTROL!$C$21, $C$9, 100%, $E$9)</f>
        <v>84.620900000000006</v>
      </c>
      <c r="R922" s="14">
        <f>CHOOSE(CONTROL!$C$42, 85.4194, 85.4194) * CHOOSE(CONTROL!$C$21, $C$9, 100%, $E$9)</f>
        <v>85.419399999999996</v>
      </c>
      <c r="S922" s="14">
        <f>CHOOSE(CONTROL!$C$42, 82.1875, 82.1875) * CHOOSE(CONTROL!$C$21, $C$9, 100%, $E$9)</f>
        <v>82.1875</v>
      </c>
      <c r="T9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7">
        <f>(1000*CHOOSE(CONTROL!$C$42, 695, 695)*CHOOSE(CONTROL!$C$42, 0.5599, 0.5599)*CHOOSE(CONTROL!$C$42, 31, 31))/1000000</f>
        <v>12.063045499999998</v>
      </c>
      <c r="V922" s="57">
        <f>(1000*CHOOSE(CONTROL!$C$42, 500, 500)*CHOOSE(CONTROL!$C$42, 0.275, 0.275)*CHOOSE(CONTROL!$C$42, 31, 31))/1000000</f>
        <v>4.2625000000000002</v>
      </c>
      <c r="W922" s="57">
        <f>(1000*CHOOSE(CONTROL!$C$42, 0.1146, 0.1146)*CHOOSE(CONTROL!$C$42, 121.5, 121.5)*CHOOSE(CONTROL!$C$42, 31, 31))/1000000</f>
        <v>0.43164089999999994</v>
      </c>
      <c r="X922" s="57">
        <f>(31*0.1790888*245000/1000000)+(31*0.2374*100000/1000000)</f>
        <v>2.0961194359999999</v>
      </c>
      <c r="Y922" s="57"/>
      <c r="Z922" s="14"/>
      <c r="AA922" s="56"/>
      <c r="AB922" s="50">
        <f>(B922*131.881+C922*277.167+D922*79.08+E922*125.872+F922*40+G922*185+H922*0+I922*100+J922*300)/(131.881+277.167+79.08+125.872+0+40+185+100+300)</f>
        <v>85.599447074979835</v>
      </c>
      <c r="AC922" s="45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83.932674820143887</v>
      </c>
    </row>
    <row r="923" spans="1:29" ht="15.75" x14ac:dyDescent="0.25">
      <c r="A923" s="32">
        <v>69002</v>
      </c>
      <c r="B923" s="14">
        <f>CHOOSE(CONTROL!$C$42, 87.794, 87.794) * CHOOSE(CONTROL!$C$21, $C$9, 100%, $E$9)</f>
        <v>87.793999999999997</v>
      </c>
      <c r="C923" s="14">
        <f>CHOOSE(CONTROL!$C$42, 87.7991, 87.7991) * CHOOSE(CONTROL!$C$21, $C$9, 100%, $E$9)</f>
        <v>87.799099999999996</v>
      </c>
      <c r="D923" s="14">
        <f>CHOOSE(CONTROL!$C$42, 87.8629, 87.8629) * CHOOSE(CONTROL!$C$21, $C$9, 100%, $E$9)</f>
        <v>87.862899999999996</v>
      </c>
      <c r="E923" s="14">
        <f>CHOOSE(CONTROL!$C$42, 87.897, 87.897) * CHOOSE(CONTROL!$C$21, $C$9, 100%, $E$9)</f>
        <v>87.897000000000006</v>
      </c>
      <c r="F923" s="14">
        <f>CHOOSE(CONTROL!$C$42, 87.7962, 87.7962)*CHOOSE(CONTROL!$C$21, $C$9, 100%, $E$9)</f>
        <v>87.796199999999999</v>
      </c>
      <c r="G923" s="14">
        <f>CHOOSE(CONTROL!$C$42, 87.8129, 87.8129)*CHOOSE(CONTROL!$C$21, $C$9, 100%, $E$9)</f>
        <v>87.812899999999999</v>
      </c>
      <c r="H923" s="14">
        <f>CHOOSE(CONTROL!$C$42, 87.8862, 87.8862) * CHOOSE(CONTROL!$C$21, $C$9, 100%, $E$9)</f>
        <v>87.886200000000002</v>
      </c>
      <c r="I923" s="14">
        <f>CHOOSE(CONTROL!$C$42, 88.0828, 88.0828)* CHOOSE(CONTROL!$C$21, $C$9, 100%, $E$9)</f>
        <v>88.082800000000006</v>
      </c>
      <c r="J923" s="14">
        <f>CHOOSE(CONTROL!$C$42, 87.7892, 87.7892)* CHOOSE(CONTROL!$C$21, $C$9, 100%, $E$9)</f>
        <v>87.789199999999994</v>
      </c>
      <c r="K923" s="53">
        <f>CHOOSE(CONTROL!$C$42, 88.079, 88.079) * CHOOSE(CONTROL!$C$21, $C$9, 100%, $E$9)</f>
        <v>88.078999999999994</v>
      </c>
      <c r="L923" s="14">
        <f>CHOOSE(CONTROL!$C$42, 88.4732, 88.4732) * CHOOSE(CONTROL!$C$21, $C$9, 100%, $E$9)</f>
        <v>88.473200000000006</v>
      </c>
      <c r="M923" s="14">
        <f>CHOOSE(CONTROL!$C$42, 85.9982, 85.9982) * CHOOSE(CONTROL!$C$21, $C$9, 100%, $E$9)</f>
        <v>85.998199999999997</v>
      </c>
      <c r="N923" s="14">
        <f>CHOOSE(CONTROL!$C$42, 86.0145, 86.0145) * CHOOSE(CONTROL!$C$21, $C$9, 100%, $E$9)</f>
        <v>86.014499999999998</v>
      </c>
      <c r="O923" s="14">
        <f>CHOOSE(CONTROL!$C$42, 86.0931, 86.0931) * CHOOSE(CONTROL!$C$21, $C$9, 100%, $E$9)</f>
        <v>86.093100000000007</v>
      </c>
      <c r="P923" s="14">
        <f>CHOOSE(CONTROL!$C$42, 86.2803, 86.2803) * CHOOSE(CONTROL!$C$21, $C$9, 100%, $E$9)</f>
        <v>86.280299999999997</v>
      </c>
      <c r="Q923" s="14">
        <f>CHOOSE(CONTROL!$C$42, 86.6878, 86.6878) * CHOOSE(CONTROL!$C$21, $C$9, 100%, $E$9)</f>
        <v>86.687799999999996</v>
      </c>
      <c r="R923" s="14">
        <f>CHOOSE(CONTROL!$C$42, 87.4916, 87.4916) * CHOOSE(CONTROL!$C$21, $C$9, 100%, $E$9)</f>
        <v>87.491600000000005</v>
      </c>
      <c r="S923" s="14">
        <f>CHOOSE(CONTROL!$C$42, 84.3527, 84.3527) * CHOOSE(CONTROL!$C$21, $C$9, 100%, $E$9)</f>
        <v>84.352699999999999</v>
      </c>
      <c r="T9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7">
        <f>(1000*CHOOSE(CONTROL!$C$42, 695, 695)*CHOOSE(CONTROL!$C$42, 0.5599, 0.5599)*CHOOSE(CONTROL!$C$42, 30, 30))/1000000</f>
        <v>11.673914999999997</v>
      </c>
      <c r="V923" s="57">
        <f>(1000*CHOOSE(CONTROL!$C$42, 500, 500)*CHOOSE(CONTROL!$C$42, 0.275, 0.275)*CHOOSE(CONTROL!$C$42, 30, 30))/1000000</f>
        <v>4.125</v>
      </c>
      <c r="W923" s="57">
        <f>(1000*CHOOSE(CONTROL!$C$42, 0.1146, 0.1146)*CHOOSE(CONTROL!$C$42, 121.5, 121.5)*CHOOSE(CONTROL!$C$42, 30, 30))/1000000</f>
        <v>0.417717</v>
      </c>
      <c r="X923" s="57">
        <f>(30*0.1790888*100000/1000000)+(30*0.2374*100000/1000000)</f>
        <v>1.2494664</v>
      </c>
      <c r="Y923" s="57"/>
      <c r="Z923" s="14"/>
      <c r="AA923" s="56"/>
      <c r="AB923" s="50">
        <f>(B923*122.58+C923*297.941+D923*89.177+E923*40.302+F923*40+G923*160+H923*0+I923*100+J923*300)/(122.58+297.941+89.177+40.302+0+40+160+100+300)</f>
        <v>87.830840782956528</v>
      </c>
      <c r="AC923" s="45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86.082740287769795</v>
      </c>
    </row>
    <row r="924" spans="1:29" ht="15.75" x14ac:dyDescent="0.25">
      <c r="A924" s="32">
        <v>69033</v>
      </c>
      <c r="B924" s="14">
        <f>CHOOSE(CONTROL!$C$42, 93.7791, 93.7791) * CHOOSE(CONTROL!$C$21, $C$9, 100%, $E$9)</f>
        <v>93.7791</v>
      </c>
      <c r="C924" s="14">
        <f>CHOOSE(CONTROL!$C$42, 93.7842, 93.7842) * CHOOSE(CONTROL!$C$21, $C$9, 100%, $E$9)</f>
        <v>93.784199999999998</v>
      </c>
      <c r="D924" s="14">
        <f>CHOOSE(CONTROL!$C$42, 93.848, 93.848) * CHOOSE(CONTROL!$C$21, $C$9, 100%, $E$9)</f>
        <v>93.847999999999999</v>
      </c>
      <c r="E924" s="14">
        <f>CHOOSE(CONTROL!$C$42, 93.8821, 93.8821) * CHOOSE(CONTROL!$C$21, $C$9, 100%, $E$9)</f>
        <v>93.882099999999994</v>
      </c>
      <c r="F924" s="14">
        <f>CHOOSE(CONTROL!$C$42, 93.7834, 93.7834)*CHOOSE(CONTROL!$C$21, $C$9, 100%, $E$9)</f>
        <v>93.7834</v>
      </c>
      <c r="G924" s="14">
        <f>CHOOSE(CONTROL!$C$42, 93.8006, 93.8006)*CHOOSE(CONTROL!$C$21, $C$9, 100%, $E$9)</f>
        <v>93.800600000000003</v>
      </c>
      <c r="H924" s="14">
        <f>CHOOSE(CONTROL!$C$42, 93.8713, 93.8713) * CHOOSE(CONTROL!$C$21, $C$9, 100%, $E$9)</f>
        <v>93.871300000000005</v>
      </c>
      <c r="I924" s="14">
        <f>CHOOSE(CONTROL!$C$42, 94.0867, 94.0867)* CHOOSE(CONTROL!$C$21, $C$9, 100%, $E$9)</f>
        <v>94.086699999999993</v>
      </c>
      <c r="J924" s="14">
        <f>CHOOSE(CONTROL!$C$42, 93.7764, 93.7764)* CHOOSE(CONTROL!$C$21, $C$9, 100%, $E$9)</f>
        <v>93.776399999999995</v>
      </c>
      <c r="K924" s="53">
        <f>CHOOSE(CONTROL!$C$42, 94.0828, 94.0828) * CHOOSE(CONTROL!$C$21, $C$9, 100%, $E$9)</f>
        <v>94.082800000000006</v>
      </c>
      <c r="L924" s="14">
        <f>CHOOSE(CONTROL!$C$42, 94.4583, 94.4583) * CHOOSE(CONTROL!$C$21, $C$9, 100%, $E$9)</f>
        <v>94.458299999999994</v>
      </c>
      <c r="M924" s="14">
        <f>CHOOSE(CONTROL!$C$42, 91.8627, 91.8627) * CHOOSE(CONTROL!$C$21, $C$9, 100%, $E$9)</f>
        <v>91.862700000000004</v>
      </c>
      <c r="N924" s="14">
        <f>CHOOSE(CONTROL!$C$42, 91.8795, 91.8795) * CHOOSE(CONTROL!$C$21, $C$9, 100%, $E$9)</f>
        <v>91.879499999999993</v>
      </c>
      <c r="O924" s="14">
        <f>CHOOSE(CONTROL!$C$42, 91.9556, 91.9556) * CHOOSE(CONTROL!$C$21, $C$9, 100%, $E$9)</f>
        <v>91.955600000000004</v>
      </c>
      <c r="P924" s="14">
        <f>CHOOSE(CONTROL!$C$42, 92.1608, 92.1608) * CHOOSE(CONTROL!$C$21, $C$9, 100%, $E$9)</f>
        <v>92.160799999999995</v>
      </c>
      <c r="Q924" s="14">
        <f>CHOOSE(CONTROL!$C$42, 92.5503, 92.5503) * CHOOSE(CONTROL!$C$21, $C$9, 100%, $E$9)</f>
        <v>92.550299999999993</v>
      </c>
      <c r="R924" s="14">
        <f>CHOOSE(CONTROL!$C$42, 93.3687, 93.3687) * CHOOSE(CONTROL!$C$21, $C$9, 100%, $E$9)</f>
        <v>93.368700000000004</v>
      </c>
      <c r="S924" s="14">
        <f>CHOOSE(CONTROL!$C$42, 90.1038, 90.1038) * CHOOSE(CONTROL!$C$21, $C$9, 100%, $E$9)</f>
        <v>90.103800000000007</v>
      </c>
      <c r="T9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7">
        <f>(1000*CHOOSE(CONTROL!$C$42, 695, 695)*CHOOSE(CONTROL!$C$42, 0.5599, 0.5599)*CHOOSE(CONTROL!$C$42, 31, 31))/1000000</f>
        <v>12.063045499999998</v>
      </c>
      <c r="V924" s="57">
        <f>(1000*CHOOSE(CONTROL!$C$42, 500, 500)*CHOOSE(CONTROL!$C$42, 0.275, 0.275)*CHOOSE(CONTROL!$C$42, 31, 31))/1000000</f>
        <v>4.2625000000000002</v>
      </c>
      <c r="W924" s="57">
        <f>(1000*CHOOSE(CONTROL!$C$42, 0.1146, 0.1146)*CHOOSE(CONTROL!$C$42, 121.5, 121.5)*CHOOSE(CONTROL!$C$42, 31, 31))/1000000</f>
        <v>0.43164089999999994</v>
      </c>
      <c r="X924" s="57">
        <f>(31*0.1790888*100000/1000000)+(31*0.2374*100000/1000000)</f>
        <v>1.2911152800000001</v>
      </c>
      <c r="Y924" s="57"/>
      <c r="Z924" s="14"/>
      <c r="AA924" s="56"/>
      <c r="AB924" s="50">
        <f>(B924*122.58+C924*297.941+D924*89.177+E924*40.302+F924*40+G924*160+H924*0+I924*100+J924*300)/(122.58+297.941+89.177+40.302+0+40+160+100+300)</f>
        <v>93.818558174260872</v>
      </c>
      <c r="AC924" s="45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91.948664748201452</v>
      </c>
    </row>
    <row r="925" spans="1:29" ht="15.75" x14ac:dyDescent="0.25">
      <c r="A925" s="32">
        <v>69064</v>
      </c>
      <c r="B925" s="14">
        <f>CHOOSE(CONTROL!$C$42, 101.4601, 101.4601) * CHOOSE(CONTROL!$C$21, $C$9, 100%, $E$9)</f>
        <v>101.4601</v>
      </c>
      <c r="C925" s="14">
        <f>CHOOSE(CONTROL!$C$42, 101.4652, 101.4652) * CHOOSE(CONTROL!$C$21, $C$9, 100%, $E$9)</f>
        <v>101.4652</v>
      </c>
      <c r="D925" s="14">
        <f>CHOOSE(CONTROL!$C$42, 101.5238, 101.5238) * CHOOSE(CONTROL!$C$21, $C$9, 100%, $E$9)</f>
        <v>101.52379999999999</v>
      </c>
      <c r="E925" s="14">
        <f>CHOOSE(CONTROL!$C$42, 101.5579, 101.5579) * CHOOSE(CONTROL!$C$21, $C$9, 100%, $E$9)</f>
        <v>101.5579</v>
      </c>
      <c r="F925" s="14">
        <f>CHOOSE(CONTROL!$C$42, 101.4592, 101.4592)*CHOOSE(CONTROL!$C$21, $C$9, 100%, $E$9)</f>
        <v>101.4592</v>
      </c>
      <c r="G925" s="14">
        <f>CHOOSE(CONTROL!$C$42, 101.4756, 101.4756)*CHOOSE(CONTROL!$C$21, $C$9, 100%, $E$9)</f>
        <v>101.4756</v>
      </c>
      <c r="H925" s="14">
        <f>CHOOSE(CONTROL!$C$42, 101.5471, 101.5471) * CHOOSE(CONTROL!$C$21, $C$9, 100%, $E$9)</f>
        <v>101.5471</v>
      </c>
      <c r="I925" s="14">
        <f>CHOOSE(CONTROL!$C$42, 101.7881, 101.7881)* CHOOSE(CONTROL!$C$21, $C$9, 100%, $E$9)</f>
        <v>101.7881</v>
      </c>
      <c r="J925" s="14">
        <f>CHOOSE(CONTROL!$C$42, 101.4522, 101.4522)* CHOOSE(CONTROL!$C$21, $C$9, 100%, $E$9)</f>
        <v>101.4522</v>
      </c>
      <c r="K925" s="53">
        <f>CHOOSE(CONTROL!$C$42, 101.7842, 101.7842) * CHOOSE(CONTROL!$C$21, $C$9, 100%, $E$9)</f>
        <v>101.7842</v>
      </c>
      <c r="L925" s="14">
        <f>CHOOSE(CONTROL!$C$42, 102.1341, 102.1341) * CHOOSE(CONTROL!$C$21, $C$9, 100%, $E$9)</f>
        <v>102.1341</v>
      </c>
      <c r="M925" s="14">
        <f>CHOOSE(CONTROL!$C$42, 99.3813, 99.3813) * CHOOSE(CONTROL!$C$21, $C$9, 100%, $E$9)</f>
        <v>99.381299999999996</v>
      </c>
      <c r="N925" s="14">
        <f>CHOOSE(CONTROL!$C$42, 99.3973, 99.3973) * CHOOSE(CONTROL!$C$21, $C$9, 100%, $E$9)</f>
        <v>99.397300000000001</v>
      </c>
      <c r="O925" s="14">
        <f>CHOOSE(CONTROL!$C$42, 99.4742, 99.4742) * CHOOSE(CONTROL!$C$21, $C$9, 100%, $E$9)</f>
        <v>99.474199999999996</v>
      </c>
      <c r="P925" s="14">
        <f>CHOOSE(CONTROL!$C$42, 99.7039, 99.7039) * CHOOSE(CONTROL!$C$21, $C$9, 100%, $E$9)</f>
        <v>99.703900000000004</v>
      </c>
      <c r="Q925" s="14">
        <f>CHOOSE(CONTROL!$C$42, 100.0689, 100.0689) * CHOOSE(CONTROL!$C$21, $C$9, 100%, $E$9)</f>
        <v>100.0689</v>
      </c>
      <c r="R925" s="14">
        <f>CHOOSE(CONTROL!$C$42, 100.906, 100.906) * CHOOSE(CONTROL!$C$21, $C$9, 100%, $E$9)</f>
        <v>100.90600000000001</v>
      </c>
      <c r="S925" s="14">
        <f>CHOOSE(CONTROL!$C$42, 97.4845, 97.4845) * CHOOSE(CONTROL!$C$21, $C$9, 100%, $E$9)</f>
        <v>97.484499999999997</v>
      </c>
      <c r="T9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7">
        <f>(1000*CHOOSE(CONTROL!$C$42, 695, 695)*CHOOSE(CONTROL!$C$42, 0.5599, 0.5599)*CHOOSE(CONTROL!$C$42, 31, 31))/1000000</f>
        <v>12.063045499999998</v>
      </c>
      <c r="V925" s="57">
        <f>(1000*CHOOSE(CONTROL!$C$42, 500, 500)*CHOOSE(CONTROL!$C$42, 0.275, 0.275)*CHOOSE(CONTROL!$C$42, 31, 31))/1000000</f>
        <v>4.2625000000000002</v>
      </c>
      <c r="W925" s="57">
        <f>(1000*CHOOSE(CONTROL!$C$42, 0.1146, 0.1146)*CHOOSE(CONTROL!$C$42, 121.5, 121.5)*CHOOSE(CONTROL!$C$42, 31, 31))/1000000</f>
        <v>0.43164089999999994</v>
      </c>
      <c r="X925" s="57">
        <f>(31*0.1790888*100000/1000000)+(31*0.2374*100000/1000000)</f>
        <v>1.2911152800000001</v>
      </c>
      <c r="Y925" s="57"/>
      <c r="Z925" s="14"/>
      <c r="AA925" s="56"/>
      <c r="AB925" s="50">
        <f>(B925*122.58+C925*297.941+D925*89.177+E925*40.302+F925*40+G925*160+H925*0+I925*100+J925*300)/(122.58+297.941+89.177+40.302+0+40+160+100+300)</f>
        <v>101.49837444313044</v>
      </c>
      <c r="AC925" s="45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99.470743884892087</v>
      </c>
    </row>
    <row r="926" spans="1:29" ht="15.75" x14ac:dyDescent="0.25">
      <c r="A926" s="32">
        <v>69092</v>
      </c>
      <c r="B926" s="14">
        <f>CHOOSE(CONTROL!$C$42, 103.2661, 103.2661) * CHOOSE(CONTROL!$C$21, $C$9, 100%, $E$9)</f>
        <v>103.26609999999999</v>
      </c>
      <c r="C926" s="14">
        <f>CHOOSE(CONTROL!$C$42, 103.2712, 103.2712) * CHOOSE(CONTROL!$C$21, $C$9, 100%, $E$9)</f>
        <v>103.27119999999999</v>
      </c>
      <c r="D926" s="14">
        <f>CHOOSE(CONTROL!$C$42, 103.3298, 103.3298) * CHOOSE(CONTROL!$C$21, $C$9, 100%, $E$9)</f>
        <v>103.32980000000001</v>
      </c>
      <c r="E926" s="14">
        <f>CHOOSE(CONTROL!$C$42, 103.3639, 103.3639) * CHOOSE(CONTROL!$C$21, $C$9, 100%, $E$9)</f>
        <v>103.3639</v>
      </c>
      <c r="F926" s="14">
        <f>CHOOSE(CONTROL!$C$42, 103.2652, 103.2652)*CHOOSE(CONTROL!$C$21, $C$9, 100%, $E$9)</f>
        <v>103.26519999999999</v>
      </c>
      <c r="G926" s="14">
        <f>CHOOSE(CONTROL!$C$42, 103.2816, 103.2816)*CHOOSE(CONTROL!$C$21, $C$9, 100%, $E$9)</f>
        <v>103.2816</v>
      </c>
      <c r="H926" s="14">
        <f>CHOOSE(CONTROL!$C$42, 103.3531, 103.3531) * CHOOSE(CONTROL!$C$21, $C$9, 100%, $E$9)</f>
        <v>103.3531</v>
      </c>
      <c r="I926" s="14">
        <f>CHOOSE(CONTROL!$C$42, 103.5998, 103.5998)* CHOOSE(CONTROL!$C$21, $C$9, 100%, $E$9)</f>
        <v>103.5998</v>
      </c>
      <c r="J926" s="14">
        <f>CHOOSE(CONTROL!$C$42, 103.2582, 103.2582)* CHOOSE(CONTROL!$C$21, $C$9, 100%, $E$9)</f>
        <v>103.2582</v>
      </c>
      <c r="K926" s="53">
        <f>CHOOSE(CONTROL!$C$42, 103.5959, 103.5959) * CHOOSE(CONTROL!$C$21, $C$9, 100%, $E$9)</f>
        <v>103.5959</v>
      </c>
      <c r="L926" s="14">
        <f>CHOOSE(CONTROL!$C$42, 103.9401, 103.9401) * CHOOSE(CONTROL!$C$21, $C$9, 100%, $E$9)</f>
        <v>103.9401</v>
      </c>
      <c r="M926" s="14">
        <f>CHOOSE(CONTROL!$C$42, 101.1502, 101.1502) * CHOOSE(CONTROL!$C$21, $C$9, 100%, $E$9)</f>
        <v>101.1502</v>
      </c>
      <c r="N926" s="14">
        <f>CHOOSE(CONTROL!$C$42, 101.1662, 101.1662) * CHOOSE(CONTROL!$C$21, $C$9, 100%, $E$9)</f>
        <v>101.1662</v>
      </c>
      <c r="O926" s="14">
        <f>CHOOSE(CONTROL!$C$42, 101.2431, 101.2431) * CHOOSE(CONTROL!$C$21, $C$9, 100%, $E$9)</f>
        <v>101.2431</v>
      </c>
      <c r="P926" s="14">
        <f>CHOOSE(CONTROL!$C$42, 101.4783, 101.4783) * CHOOSE(CONTROL!$C$21, $C$9, 100%, $E$9)</f>
        <v>101.4783</v>
      </c>
      <c r="Q926" s="14">
        <f>CHOOSE(CONTROL!$C$42, 101.8378, 101.8378) * CHOOSE(CONTROL!$C$21, $C$9, 100%, $E$9)</f>
        <v>101.8378</v>
      </c>
      <c r="R926" s="14">
        <f>CHOOSE(CONTROL!$C$42, 102.6794, 102.6794) * CHOOSE(CONTROL!$C$21, $C$9, 100%, $E$9)</f>
        <v>102.6794</v>
      </c>
      <c r="S926" s="14">
        <f>CHOOSE(CONTROL!$C$42, 99.2199, 99.2199) * CHOOSE(CONTROL!$C$21, $C$9, 100%, $E$9)</f>
        <v>99.219899999999996</v>
      </c>
      <c r="T9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7">
        <f>(1000*CHOOSE(CONTROL!$C$42, 695, 695)*CHOOSE(CONTROL!$C$42, 0.5599, 0.5599)*CHOOSE(CONTROL!$C$42, 28, 28))/1000000</f>
        <v>10.895653999999999</v>
      </c>
      <c r="V926" s="57">
        <f>(1000*CHOOSE(CONTROL!$C$42, 500, 500)*CHOOSE(CONTROL!$C$42, 0.275, 0.275)*CHOOSE(CONTROL!$C$42, 28, 28))/1000000</f>
        <v>3.85</v>
      </c>
      <c r="W926" s="57">
        <f>(1000*CHOOSE(CONTROL!$C$42, 0.1146, 0.1146)*CHOOSE(CONTROL!$C$42, 121.5, 121.5)*CHOOSE(CONTROL!$C$42, 28, 28))/1000000</f>
        <v>0.38986920000000003</v>
      </c>
      <c r="X926" s="57">
        <f>(28*0.1790888*100000/1000000)+(28*0.2374*100000/1000000)</f>
        <v>1.16616864</v>
      </c>
      <c r="Y926" s="57"/>
      <c r="Z926" s="14"/>
      <c r="AA926" s="56"/>
      <c r="AB926" s="50">
        <f>(B926*122.58+C926*297.941+D926*89.177+E926*40.302+F926*40+G926*160+H926*0+I926*100+J926*300)/(122.58+297.941+89.177+40.302+0+40+160+100+300)</f>
        <v>103.30487009530434</v>
      </c>
      <c r="AC926" s="45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101.24043525179856</v>
      </c>
    </row>
    <row r="927" spans="1:29" ht="15.75" x14ac:dyDescent="0.25">
      <c r="A927" s="32">
        <v>69123</v>
      </c>
      <c r="B927" s="14">
        <f>CHOOSE(CONTROL!$C$42, 100.3346, 100.3346) * CHOOSE(CONTROL!$C$21, $C$9, 100%, $E$9)</f>
        <v>100.33459999999999</v>
      </c>
      <c r="C927" s="14">
        <f>CHOOSE(CONTROL!$C$42, 100.3396, 100.3396) * CHOOSE(CONTROL!$C$21, $C$9, 100%, $E$9)</f>
        <v>100.3396</v>
      </c>
      <c r="D927" s="14">
        <f>CHOOSE(CONTROL!$C$42, 100.3983, 100.3983) * CHOOSE(CONTROL!$C$21, $C$9, 100%, $E$9)</f>
        <v>100.39830000000001</v>
      </c>
      <c r="E927" s="14">
        <f>CHOOSE(CONTROL!$C$42, 100.4324, 100.4324) * CHOOSE(CONTROL!$C$21, $C$9, 100%, $E$9)</f>
        <v>100.4324</v>
      </c>
      <c r="F927" s="14">
        <f>CHOOSE(CONTROL!$C$42, 100.3332, 100.3332)*CHOOSE(CONTROL!$C$21, $C$9, 100%, $E$9)</f>
        <v>100.33320000000001</v>
      </c>
      <c r="G927" s="14">
        <f>CHOOSE(CONTROL!$C$42, 100.3494, 100.3494)*CHOOSE(CONTROL!$C$21, $C$9, 100%, $E$9)</f>
        <v>100.3494</v>
      </c>
      <c r="H927" s="14">
        <f>CHOOSE(CONTROL!$C$42, 100.4216, 100.4216) * CHOOSE(CONTROL!$C$21, $C$9, 100%, $E$9)</f>
        <v>100.4216</v>
      </c>
      <c r="I927" s="14">
        <f>CHOOSE(CONTROL!$C$42, 100.659, 100.659)* CHOOSE(CONTROL!$C$21, $C$9, 100%, $E$9)</f>
        <v>100.65900000000001</v>
      </c>
      <c r="J927" s="14">
        <f>CHOOSE(CONTROL!$C$42, 100.3262, 100.3262)* CHOOSE(CONTROL!$C$21, $C$9, 100%, $E$9)</f>
        <v>100.3262</v>
      </c>
      <c r="K927" s="53">
        <f>CHOOSE(CONTROL!$C$42, 100.6552, 100.6552) * CHOOSE(CONTROL!$C$21, $C$9, 100%, $E$9)</f>
        <v>100.65519999999999</v>
      </c>
      <c r="L927" s="14">
        <f>CHOOSE(CONTROL!$C$42, 101.0086, 101.0086) * CHOOSE(CONTROL!$C$21, $C$9, 100%, $E$9)</f>
        <v>101.0086</v>
      </c>
      <c r="M927" s="14">
        <f>CHOOSE(CONTROL!$C$42, 98.2782, 98.2782) * CHOOSE(CONTROL!$C$21, $C$9, 100%, $E$9)</f>
        <v>98.278199999999998</v>
      </c>
      <c r="N927" s="14">
        <f>CHOOSE(CONTROL!$C$42, 98.2941, 98.2941) * CHOOSE(CONTROL!$C$21, $C$9, 100%, $E$9)</f>
        <v>98.2941</v>
      </c>
      <c r="O927" s="14">
        <f>CHOOSE(CONTROL!$C$42, 98.3717, 98.3717) * CHOOSE(CONTROL!$C$21, $C$9, 100%, $E$9)</f>
        <v>98.371700000000004</v>
      </c>
      <c r="P927" s="14">
        <f>CHOOSE(CONTROL!$C$42, 98.5981, 98.5981) * CHOOSE(CONTROL!$C$21, $C$9, 100%, $E$9)</f>
        <v>98.598100000000002</v>
      </c>
      <c r="Q927" s="14">
        <f>CHOOSE(CONTROL!$C$42, 98.9664, 98.9664) * CHOOSE(CONTROL!$C$21, $C$9, 100%, $E$9)</f>
        <v>98.966399999999993</v>
      </c>
      <c r="R927" s="14">
        <f>CHOOSE(CONTROL!$C$42, 99.8008, 99.8008) * CHOOSE(CONTROL!$C$21, $C$9, 100%, $E$9)</f>
        <v>99.800799999999995</v>
      </c>
      <c r="S927" s="14">
        <f>CHOOSE(CONTROL!$C$42, 96.403, 96.403) * CHOOSE(CONTROL!$C$21, $C$9, 100%, $E$9)</f>
        <v>96.403000000000006</v>
      </c>
      <c r="T9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7">
        <f>(1000*CHOOSE(CONTROL!$C$42, 695, 695)*CHOOSE(CONTROL!$C$42, 0.5599, 0.5599)*CHOOSE(CONTROL!$C$42, 31, 31))/1000000</f>
        <v>12.063045499999998</v>
      </c>
      <c r="V927" s="57">
        <f>(1000*CHOOSE(CONTROL!$C$42, 500, 500)*CHOOSE(CONTROL!$C$42, 0.275, 0.275)*CHOOSE(CONTROL!$C$42, 31, 31))/1000000</f>
        <v>4.2625000000000002</v>
      </c>
      <c r="W927" s="57">
        <f>(1000*CHOOSE(CONTROL!$C$42, 0.1146, 0.1146)*CHOOSE(CONTROL!$C$42, 121.5, 121.5)*CHOOSE(CONTROL!$C$42, 31, 31))/1000000</f>
        <v>0.43164089999999994</v>
      </c>
      <c r="X927" s="57">
        <f>(31*0.1790888*100000/1000000)+(31*0.2374*100000/1000000)</f>
        <v>1.2911152800000001</v>
      </c>
      <c r="Y927" s="57"/>
      <c r="Z927" s="14"/>
      <c r="AA927" s="56"/>
      <c r="AB927" s="50">
        <f>(B927*122.58+C927*297.941+D927*89.177+E927*40.302+F927*40+G927*160+H927*0+I927*100+J927*300)/(122.58+297.941+89.177+40.302+0+40+160+100+300)</f>
        <v>100.37229027434782</v>
      </c>
      <c r="AC927" s="45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98.367521582733815</v>
      </c>
    </row>
    <row r="928" spans="1:29" ht="15.75" x14ac:dyDescent="0.25">
      <c r="A928" s="32">
        <v>69153</v>
      </c>
      <c r="B928" s="14">
        <f>CHOOSE(CONTROL!$C$42, 100.0354, 100.0354) * CHOOSE(CONTROL!$C$21, $C$9, 100%, $E$9)</f>
        <v>100.0354</v>
      </c>
      <c r="C928" s="14">
        <f>CHOOSE(CONTROL!$C$42, 100.0398, 100.0398) * CHOOSE(CONTROL!$C$21, $C$9, 100%, $E$9)</f>
        <v>100.0398</v>
      </c>
      <c r="D928" s="14">
        <f>CHOOSE(CONTROL!$C$42, 100.248, 100.248) * CHOOSE(CONTROL!$C$21, $C$9, 100%, $E$9)</f>
        <v>100.248</v>
      </c>
      <c r="E928" s="14">
        <f>CHOOSE(CONTROL!$C$42, 100.2801, 100.2801) * CHOOSE(CONTROL!$C$21, $C$9, 100%, $E$9)</f>
        <v>100.2801</v>
      </c>
      <c r="F928" s="14">
        <f>CHOOSE(CONTROL!$C$42, 100.0227, 100.0227)*CHOOSE(CONTROL!$C$21, $C$9, 100%, $E$9)</f>
        <v>100.0227</v>
      </c>
      <c r="G928" s="14">
        <f>CHOOSE(CONTROL!$C$42, 100.0387, 100.0387)*CHOOSE(CONTROL!$C$21, $C$9, 100%, $E$9)</f>
        <v>100.03870000000001</v>
      </c>
      <c r="H928" s="14">
        <f>CHOOSE(CONTROL!$C$42, 100.2699, 100.2699) * CHOOSE(CONTROL!$C$21, $C$9, 100%, $E$9)</f>
        <v>100.26990000000001</v>
      </c>
      <c r="I928" s="14">
        <f>CHOOSE(CONTROL!$C$42, 100.3581, 100.3581)* CHOOSE(CONTROL!$C$21, $C$9, 100%, $E$9)</f>
        <v>100.35809999999999</v>
      </c>
      <c r="J928" s="14">
        <f>CHOOSE(CONTROL!$C$42, 100.0157, 100.0157)* CHOOSE(CONTROL!$C$21, $C$9, 100%, $E$9)</f>
        <v>100.0157</v>
      </c>
      <c r="K928" s="53">
        <f>CHOOSE(CONTROL!$C$42, 100.3542, 100.3542) * CHOOSE(CONTROL!$C$21, $C$9, 100%, $E$9)</f>
        <v>100.35420000000001</v>
      </c>
      <c r="L928" s="14">
        <f>CHOOSE(CONTROL!$C$42, 100.8569, 100.8569) * CHOOSE(CONTROL!$C$21, $C$9, 100%, $E$9)</f>
        <v>100.8569</v>
      </c>
      <c r="M928" s="14">
        <f>CHOOSE(CONTROL!$C$42, 97.9741, 97.9741) * CHOOSE(CONTROL!$C$21, $C$9, 100%, $E$9)</f>
        <v>97.974100000000007</v>
      </c>
      <c r="N928" s="14">
        <f>CHOOSE(CONTROL!$C$42, 97.9898, 97.9898) * CHOOSE(CONTROL!$C$21, $C$9, 100%, $E$9)</f>
        <v>97.989800000000002</v>
      </c>
      <c r="O928" s="14">
        <f>CHOOSE(CONTROL!$C$42, 98.2231, 98.2231) * CHOOSE(CONTROL!$C$21, $C$9, 100%, $E$9)</f>
        <v>98.223100000000002</v>
      </c>
      <c r="P928" s="14">
        <f>CHOOSE(CONTROL!$C$42, 98.3033, 98.3033) * CHOOSE(CONTROL!$C$21, $C$9, 100%, $E$9)</f>
        <v>98.303299999999993</v>
      </c>
      <c r="Q928" s="14">
        <f>CHOOSE(CONTROL!$C$42, 98.8178, 98.8178) * CHOOSE(CONTROL!$C$21, $C$9, 100%, $E$9)</f>
        <v>98.817800000000005</v>
      </c>
      <c r="R928" s="14">
        <f>CHOOSE(CONTROL!$C$42, 99.6518, 99.6518) * CHOOSE(CONTROL!$C$21, $C$9, 100%, $E$9)</f>
        <v>99.651799999999994</v>
      </c>
      <c r="S928" s="14">
        <f>CHOOSE(CONTROL!$C$42, 96.1147, 96.1147) * CHOOSE(CONTROL!$C$21, $C$9, 100%, $E$9)</f>
        <v>96.114699999999999</v>
      </c>
      <c r="T9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7">
        <f>(1000*CHOOSE(CONTROL!$C$42, 695, 695)*CHOOSE(CONTROL!$C$42, 0.5599, 0.5599)*CHOOSE(CONTROL!$C$42, 30, 30))/1000000</f>
        <v>11.673914999999997</v>
      </c>
      <c r="V928" s="57">
        <f>(1000*CHOOSE(CONTROL!$C$42, 500, 500)*CHOOSE(CONTROL!$C$42, 0.275, 0.275)*CHOOSE(CONTROL!$C$42, 30, 30))/1000000</f>
        <v>4.125</v>
      </c>
      <c r="W928" s="57">
        <f>(1000*CHOOSE(CONTROL!$C$42, 0.1146, 0.1146)*CHOOSE(CONTROL!$C$42, 121.5, 121.5)*CHOOSE(CONTROL!$C$42, 30, 30))/1000000</f>
        <v>0.417717</v>
      </c>
      <c r="X928" s="57">
        <f>(30*0.1790888*245000/1000000)+(30*0.2374*100000/1000000)</f>
        <v>2.0285026799999999</v>
      </c>
      <c r="Y928" s="57"/>
      <c r="Z928" s="14"/>
      <c r="AA928" s="56"/>
      <c r="AB928" s="50">
        <f>(B928*141.293+C928*267.993+D928*115.016+E928*89.698+F928*40+G928*185+H928*0+I928*100+J928*300)/(141.293+267.993+115.016+89.698+0+40+185+100+300)</f>
        <v>100.09516042889426</v>
      </c>
      <c r="AC928" s="45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98.135226618705033</v>
      </c>
    </row>
    <row r="929" spans="1:29" ht="15.75" x14ac:dyDescent="0.25">
      <c r="A929" s="32">
        <v>69184</v>
      </c>
      <c r="B929" s="14">
        <f>CHOOSE(CONTROL!$C$42, 100.9196, 100.9196) * CHOOSE(CONTROL!$C$21, $C$9, 100%, $E$9)</f>
        <v>100.9196</v>
      </c>
      <c r="C929" s="14">
        <f>CHOOSE(CONTROL!$C$42, 100.9276, 100.9276) * CHOOSE(CONTROL!$C$21, $C$9, 100%, $E$9)</f>
        <v>100.9276</v>
      </c>
      <c r="D929" s="14">
        <f>CHOOSE(CONTROL!$C$42, 101.1326, 101.1326) * CHOOSE(CONTROL!$C$21, $C$9, 100%, $E$9)</f>
        <v>101.1326</v>
      </c>
      <c r="E929" s="14">
        <f>CHOOSE(CONTROL!$C$42, 101.1641, 101.1641) * CHOOSE(CONTROL!$C$21, $C$9, 100%, $E$9)</f>
        <v>101.1641</v>
      </c>
      <c r="F929" s="14">
        <f>CHOOSE(CONTROL!$C$42, 100.9058, 100.9058)*CHOOSE(CONTROL!$C$21, $C$9, 100%, $E$9)</f>
        <v>100.9058</v>
      </c>
      <c r="G929" s="14">
        <f>CHOOSE(CONTROL!$C$42, 100.9222, 100.9222)*CHOOSE(CONTROL!$C$21, $C$9, 100%, $E$9)</f>
        <v>100.9222</v>
      </c>
      <c r="H929" s="14">
        <f>CHOOSE(CONTROL!$C$42, 101.1527, 101.1527) * CHOOSE(CONTROL!$C$21, $C$9, 100%, $E$9)</f>
        <v>101.1527</v>
      </c>
      <c r="I929" s="14">
        <f>CHOOSE(CONTROL!$C$42, 101.2437, 101.2437)* CHOOSE(CONTROL!$C$21, $C$9, 100%, $E$9)</f>
        <v>101.2437</v>
      </c>
      <c r="J929" s="14">
        <f>CHOOSE(CONTROL!$C$42, 100.8988, 100.8988)* CHOOSE(CONTROL!$C$21, $C$9, 100%, $E$9)</f>
        <v>100.89879999999999</v>
      </c>
      <c r="K929" s="53">
        <f>CHOOSE(CONTROL!$C$42, 101.2398, 101.2398) * CHOOSE(CONTROL!$C$21, $C$9, 100%, $E$9)</f>
        <v>101.2398</v>
      </c>
      <c r="L929" s="14">
        <f>CHOOSE(CONTROL!$C$42, 101.7397, 101.7397) * CHOOSE(CONTROL!$C$21, $C$9, 100%, $E$9)</f>
        <v>101.7397</v>
      </c>
      <c r="M929" s="14">
        <f>CHOOSE(CONTROL!$C$42, 98.8391, 98.8391) * CHOOSE(CONTROL!$C$21, $C$9, 100%, $E$9)</f>
        <v>98.839100000000002</v>
      </c>
      <c r="N929" s="14">
        <f>CHOOSE(CONTROL!$C$42, 98.8552, 98.8552) * CHOOSE(CONTROL!$C$21, $C$9, 100%, $E$9)</f>
        <v>98.855199999999996</v>
      </c>
      <c r="O929" s="14">
        <f>CHOOSE(CONTROL!$C$42, 99.0878, 99.0878) * CHOOSE(CONTROL!$C$21, $C$9, 100%, $E$9)</f>
        <v>99.087800000000001</v>
      </c>
      <c r="P929" s="14">
        <f>CHOOSE(CONTROL!$C$42, 99.1707, 99.1707) * CHOOSE(CONTROL!$C$21, $C$9, 100%, $E$9)</f>
        <v>99.170699999999997</v>
      </c>
      <c r="Q929" s="14">
        <f>CHOOSE(CONTROL!$C$42, 99.6825, 99.6825) * CHOOSE(CONTROL!$C$21, $C$9, 100%, $E$9)</f>
        <v>99.682500000000005</v>
      </c>
      <c r="R929" s="14">
        <f>CHOOSE(CONTROL!$C$42, 100.5187, 100.5187) * CHOOSE(CONTROL!$C$21, $C$9, 100%, $E$9)</f>
        <v>100.5187</v>
      </c>
      <c r="S929" s="14">
        <f>CHOOSE(CONTROL!$C$42, 96.963, 96.963) * CHOOSE(CONTROL!$C$21, $C$9, 100%, $E$9)</f>
        <v>96.962999999999994</v>
      </c>
      <c r="T9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7">
        <f>(1000*CHOOSE(CONTROL!$C$42, 695, 695)*CHOOSE(CONTROL!$C$42, 0.5599, 0.5599)*CHOOSE(CONTROL!$C$42, 31, 31))/1000000</f>
        <v>12.063045499999998</v>
      </c>
      <c r="V929" s="57">
        <f>(1000*CHOOSE(CONTROL!$C$42, 500, 500)*CHOOSE(CONTROL!$C$42, 0.275, 0.275)*CHOOSE(CONTROL!$C$42, 31, 31))/1000000</f>
        <v>4.2625000000000002</v>
      </c>
      <c r="W929" s="57">
        <f>(1000*CHOOSE(CONTROL!$C$42, 0.1146, 0.1146)*CHOOSE(CONTROL!$C$42, 121.5, 121.5)*CHOOSE(CONTROL!$C$42, 31, 31))/1000000</f>
        <v>0.43164089999999994</v>
      </c>
      <c r="X929" s="57">
        <f>(31*0.1790888*245000/1000000)+(31*0.2374*100000/1000000)</f>
        <v>2.0961194359999999</v>
      </c>
      <c r="Y929" s="57"/>
      <c r="Z929" s="14"/>
      <c r="AA929" s="56"/>
      <c r="AB929" s="50">
        <f>(B929*194.205+C929*267.466+D929*133.845+E929*53.484+F929*40+G929*185+H929*0+I929*100+J929*300)/(194.205+267.466+133.845+53.484+0+40+185+100+300)</f>
        <v>100.97440733987442</v>
      </c>
      <c r="AC929" s="45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99.000458992805733</v>
      </c>
    </row>
    <row r="930" spans="1:29" ht="15.75" x14ac:dyDescent="0.25">
      <c r="A930" s="32">
        <v>69214</v>
      </c>
      <c r="B930" s="14">
        <f>CHOOSE(CONTROL!$C$42, 103.782, 103.782) * CHOOSE(CONTROL!$C$21, $C$9, 100%, $E$9)</f>
        <v>103.782</v>
      </c>
      <c r="C930" s="14">
        <f>CHOOSE(CONTROL!$C$42, 103.79, 103.79) * CHOOSE(CONTROL!$C$21, $C$9, 100%, $E$9)</f>
        <v>103.79</v>
      </c>
      <c r="D930" s="14">
        <f>CHOOSE(CONTROL!$C$42, 103.995, 103.995) * CHOOSE(CONTROL!$C$21, $C$9, 100%, $E$9)</f>
        <v>103.995</v>
      </c>
      <c r="E930" s="14">
        <f>CHOOSE(CONTROL!$C$42, 104.0264, 104.0264) * CHOOSE(CONTROL!$C$21, $C$9, 100%, $E$9)</f>
        <v>104.0264</v>
      </c>
      <c r="F930" s="14">
        <f>CHOOSE(CONTROL!$C$42, 103.7685, 103.7685)*CHOOSE(CONTROL!$C$21, $C$9, 100%, $E$9)</f>
        <v>103.7685</v>
      </c>
      <c r="G930" s="14">
        <f>CHOOSE(CONTROL!$C$42, 103.785, 103.785)*CHOOSE(CONTROL!$C$21, $C$9, 100%, $E$9)</f>
        <v>103.785</v>
      </c>
      <c r="H930" s="14">
        <f>CHOOSE(CONTROL!$C$42, 104.0151, 104.0151) * CHOOSE(CONTROL!$C$21, $C$9, 100%, $E$9)</f>
        <v>104.0151</v>
      </c>
      <c r="I930" s="14">
        <f>CHOOSE(CONTROL!$C$42, 104.1151, 104.1151)* CHOOSE(CONTROL!$C$21, $C$9, 100%, $E$9)</f>
        <v>104.1151</v>
      </c>
      <c r="J930" s="14">
        <f>CHOOSE(CONTROL!$C$42, 103.7615, 103.7615)* CHOOSE(CONTROL!$C$21, $C$9, 100%, $E$9)</f>
        <v>103.7615</v>
      </c>
      <c r="K930" s="53">
        <f>CHOOSE(CONTROL!$C$42, 104.1112, 104.1112) * CHOOSE(CONTROL!$C$21, $C$9, 100%, $E$9)</f>
        <v>104.1112</v>
      </c>
      <c r="L930" s="14">
        <f>CHOOSE(CONTROL!$C$42, 104.6021, 104.6021) * CHOOSE(CONTROL!$C$21, $C$9, 100%, $E$9)</f>
        <v>104.60209999999999</v>
      </c>
      <c r="M930" s="14">
        <f>CHOOSE(CONTROL!$C$42, 101.6432, 101.6432) * CHOOSE(CONTROL!$C$21, $C$9, 100%, $E$9)</f>
        <v>101.64319999999999</v>
      </c>
      <c r="N930" s="14">
        <f>CHOOSE(CONTROL!$C$42, 101.6594, 101.6594) * CHOOSE(CONTROL!$C$21, $C$9, 100%, $E$9)</f>
        <v>101.65940000000001</v>
      </c>
      <c r="O930" s="14">
        <f>CHOOSE(CONTROL!$C$42, 101.8916, 101.8916) * CHOOSE(CONTROL!$C$21, $C$9, 100%, $E$9)</f>
        <v>101.8916</v>
      </c>
      <c r="P930" s="14">
        <f>CHOOSE(CONTROL!$C$42, 101.983, 101.983) * CHOOSE(CONTROL!$C$21, $C$9, 100%, $E$9)</f>
        <v>101.983</v>
      </c>
      <c r="Q930" s="14">
        <f>CHOOSE(CONTROL!$C$42, 102.4863, 102.4863) * CHOOSE(CONTROL!$C$21, $C$9, 100%, $E$9)</f>
        <v>102.4863</v>
      </c>
      <c r="R930" s="14">
        <f>CHOOSE(CONTROL!$C$42, 103.3295, 103.3295) * CHOOSE(CONTROL!$C$21, $C$9, 100%, $E$9)</f>
        <v>103.3295</v>
      </c>
      <c r="S930" s="14">
        <f>CHOOSE(CONTROL!$C$42, 99.7135, 99.7135) * CHOOSE(CONTROL!$C$21, $C$9, 100%, $E$9)</f>
        <v>99.713499999999996</v>
      </c>
      <c r="T9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7">
        <f>(1000*CHOOSE(CONTROL!$C$42, 695, 695)*CHOOSE(CONTROL!$C$42, 0.5599, 0.5599)*CHOOSE(CONTROL!$C$42, 30, 30))/1000000</f>
        <v>11.673914999999997</v>
      </c>
      <c r="V930" s="57">
        <f>(1000*CHOOSE(CONTROL!$C$42, 500, 500)*CHOOSE(CONTROL!$C$42, 0.275, 0.275)*CHOOSE(CONTROL!$C$42, 30, 30))/1000000</f>
        <v>4.125</v>
      </c>
      <c r="W930" s="57">
        <f>(1000*CHOOSE(CONTROL!$C$42, 0.1146, 0.1146)*CHOOSE(CONTROL!$C$42, 121.5, 121.5)*CHOOSE(CONTROL!$C$42, 30, 30))/1000000</f>
        <v>0.417717</v>
      </c>
      <c r="X930" s="57">
        <f>(30*0.1790888*245000/1000000)+(30*0.2374*100000/1000000)</f>
        <v>2.0285026799999999</v>
      </c>
      <c r="Y930" s="57"/>
      <c r="Z930" s="14"/>
      <c r="AA930" s="56"/>
      <c r="AB930" s="50">
        <f>(B930*194.205+C930*267.466+D930*133.845+E930*53.484+F930*40+G930*185+H930*0+I930*100+J930*300)/(194.205+267.466+133.845+53.484+0+40+185+100+300)</f>
        <v>103.83764772574568</v>
      </c>
      <c r="AC930" s="45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101.80560863309353</v>
      </c>
    </row>
    <row r="931" spans="1:29" ht="15.75" x14ac:dyDescent="0.25">
      <c r="A931" s="32">
        <v>69245</v>
      </c>
      <c r="B931" s="14">
        <f>CHOOSE(CONTROL!$C$42, 101.7912, 101.7912) * CHOOSE(CONTROL!$C$21, $C$9, 100%, $E$9)</f>
        <v>101.7912</v>
      </c>
      <c r="C931" s="14">
        <f>CHOOSE(CONTROL!$C$42, 101.7992, 101.7992) * CHOOSE(CONTROL!$C$21, $C$9, 100%, $E$9)</f>
        <v>101.7992</v>
      </c>
      <c r="D931" s="14">
        <f>CHOOSE(CONTROL!$C$42, 102.0042, 102.0042) * CHOOSE(CONTROL!$C$21, $C$9, 100%, $E$9)</f>
        <v>102.0042</v>
      </c>
      <c r="E931" s="14">
        <f>CHOOSE(CONTROL!$C$42, 102.0356, 102.0356) * CHOOSE(CONTROL!$C$21, $C$9, 100%, $E$9)</f>
        <v>102.0356</v>
      </c>
      <c r="F931" s="14">
        <f>CHOOSE(CONTROL!$C$42, 101.7781, 101.7781)*CHOOSE(CONTROL!$C$21, $C$9, 100%, $E$9)</f>
        <v>101.77809999999999</v>
      </c>
      <c r="G931" s="14">
        <f>CHOOSE(CONTROL!$C$42, 101.7948, 101.7948)*CHOOSE(CONTROL!$C$21, $C$9, 100%, $E$9)</f>
        <v>101.7948</v>
      </c>
      <c r="H931" s="14">
        <f>CHOOSE(CONTROL!$C$42, 102.0243, 102.0243) * CHOOSE(CONTROL!$C$21, $C$9, 100%, $E$9)</f>
        <v>102.0243</v>
      </c>
      <c r="I931" s="14">
        <f>CHOOSE(CONTROL!$C$42, 102.118, 102.118)* CHOOSE(CONTROL!$C$21, $C$9, 100%, $E$9)</f>
        <v>102.11799999999999</v>
      </c>
      <c r="J931" s="14">
        <f>CHOOSE(CONTROL!$C$42, 101.7711, 101.7711)* CHOOSE(CONTROL!$C$21, $C$9, 100%, $E$9)</f>
        <v>101.7711</v>
      </c>
      <c r="K931" s="53">
        <f>CHOOSE(CONTROL!$C$42, 102.1141, 102.1141) * CHOOSE(CONTROL!$C$21, $C$9, 100%, $E$9)</f>
        <v>102.11409999999999</v>
      </c>
      <c r="L931" s="14">
        <f>CHOOSE(CONTROL!$C$42, 102.6113, 102.6113) * CHOOSE(CONTROL!$C$21, $C$9, 100%, $E$9)</f>
        <v>102.6113</v>
      </c>
      <c r="M931" s="14">
        <f>CHOOSE(CONTROL!$C$42, 99.6936, 99.6936) * CHOOSE(CONTROL!$C$21, $C$9, 100%, $E$9)</f>
        <v>99.693600000000004</v>
      </c>
      <c r="N931" s="14">
        <f>CHOOSE(CONTROL!$C$42, 99.7099, 99.7099) * CHOOSE(CONTROL!$C$21, $C$9, 100%, $E$9)</f>
        <v>99.709900000000005</v>
      </c>
      <c r="O931" s="14">
        <f>CHOOSE(CONTROL!$C$42, 99.9416, 99.9416) * CHOOSE(CONTROL!$C$21, $C$9, 100%, $E$9)</f>
        <v>99.941599999999994</v>
      </c>
      <c r="P931" s="14">
        <f>CHOOSE(CONTROL!$C$42, 100.027, 100.027) * CHOOSE(CONTROL!$C$21, $C$9, 100%, $E$9)</f>
        <v>100.027</v>
      </c>
      <c r="Q931" s="14">
        <f>CHOOSE(CONTROL!$C$42, 100.5363, 100.5363) * CHOOSE(CONTROL!$C$21, $C$9, 100%, $E$9)</f>
        <v>100.5363</v>
      </c>
      <c r="R931" s="14">
        <f>CHOOSE(CONTROL!$C$42, 101.3746, 101.3746) * CHOOSE(CONTROL!$C$21, $C$9, 100%, $E$9)</f>
        <v>101.3746</v>
      </c>
      <c r="S931" s="14">
        <f>CHOOSE(CONTROL!$C$42, 97.8005, 97.8005) * CHOOSE(CONTROL!$C$21, $C$9, 100%, $E$9)</f>
        <v>97.8005</v>
      </c>
      <c r="T9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7">
        <f>(1000*CHOOSE(CONTROL!$C$42, 695, 695)*CHOOSE(CONTROL!$C$42, 0.5599, 0.5599)*CHOOSE(CONTROL!$C$42, 31, 31))/1000000</f>
        <v>12.063045499999998</v>
      </c>
      <c r="V931" s="57">
        <f>(1000*CHOOSE(CONTROL!$C$42, 500, 500)*CHOOSE(CONTROL!$C$42, 0.275, 0.275)*CHOOSE(CONTROL!$C$42, 31, 31))/1000000</f>
        <v>4.2625000000000002</v>
      </c>
      <c r="W931" s="57">
        <f>(1000*CHOOSE(CONTROL!$C$42, 0.1146, 0.1146)*CHOOSE(CONTROL!$C$42, 121.5, 121.5)*CHOOSE(CONTROL!$C$42, 31, 31))/1000000</f>
        <v>0.43164089999999994</v>
      </c>
      <c r="X931" s="57">
        <f>(31*0.1790888*245000/1000000)+(31*0.2374*100000/1000000)</f>
        <v>2.0961194359999999</v>
      </c>
      <c r="Y931" s="57"/>
      <c r="Z931" s="14"/>
      <c r="AA931" s="56"/>
      <c r="AB931" s="50">
        <f>(B931*194.205+C931*267.466+D931*133.845+E931*53.484+F931*40+G931*185+H931*0+I931*100+J931*300)/(194.205+267.466+133.845+53.484+0+40+185+100+300)</f>
        <v>101.8465470978022</v>
      </c>
      <c r="AC931" s="45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99.854912230215831</v>
      </c>
    </row>
    <row r="932" spans="1:29" ht="15.75" x14ac:dyDescent="0.25">
      <c r="A932" s="32">
        <v>69276</v>
      </c>
      <c r="B932" s="14">
        <f>CHOOSE(CONTROL!$C$42, 96.7638, 96.7638) * CHOOSE(CONTROL!$C$21, $C$9, 100%, $E$9)</f>
        <v>96.763800000000003</v>
      </c>
      <c r="C932" s="14">
        <f>CHOOSE(CONTROL!$C$42, 96.7718, 96.7718) * CHOOSE(CONTROL!$C$21, $C$9, 100%, $E$9)</f>
        <v>96.771799999999999</v>
      </c>
      <c r="D932" s="14">
        <f>CHOOSE(CONTROL!$C$42, 96.9768, 96.9768) * CHOOSE(CONTROL!$C$21, $C$9, 100%, $E$9)</f>
        <v>96.976799999999997</v>
      </c>
      <c r="E932" s="14">
        <f>CHOOSE(CONTROL!$C$42, 97.0082, 97.0082) * CHOOSE(CONTROL!$C$21, $C$9, 100%, $E$9)</f>
        <v>97.008200000000002</v>
      </c>
      <c r="F932" s="14">
        <f>CHOOSE(CONTROL!$C$42, 96.751, 96.751)*CHOOSE(CONTROL!$C$21, $C$9, 100%, $E$9)</f>
        <v>96.751000000000005</v>
      </c>
      <c r="G932" s="14">
        <f>CHOOSE(CONTROL!$C$42, 96.7676, 96.7676)*CHOOSE(CONTROL!$C$21, $C$9, 100%, $E$9)</f>
        <v>96.767600000000002</v>
      </c>
      <c r="H932" s="14">
        <f>CHOOSE(CONTROL!$C$42, 96.9969, 96.9969) * CHOOSE(CONTROL!$C$21, $C$9, 100%, $E$9)</f>
        <v>96.996899999999997</v>
      </c>
      <c r="I932" s="14">
        <f>CHOOSE(CONTROL!$C$42, 97.0749, 97.0749)* CHOOSE(CONTROL!$C$21, $C$9, 100%, $E$9)</f>
        <v>97.0749</v>
      </c>
      <c r="J932" s="14">
        <f>CHOOSE(CONTROL!$C$42, 96.744, 96.744)* CHOOSE(CONTROL!$C$21, $C$9, 100%, $E$9)</f>
        <v>96.744</v>
      </c>
      <c r="K932" s="53">
        <f>CHOOSE(CONTROL!$C$42, 97.071, 97.071) * CHOOSE(CONTROL!$C$21, $C$9, 100%, $E$9)</f>
        <v>97.070999999999998</v>
      </c>
      <c r="L932" s="14">
        <f>CHOOSE(CONTROL!$C$42, 97.5839, 97.5839) * CHOOSE(CONTROL!$C$21, $C$9, 100%, $E$9)</f>
        <v>97.5839</v>
      </c>
      <c r="M932" s="14">
        <f>CHOOSE(CONTROL!$C$42, 94.7694, 94.7694) * CHOOSE(CONTROL!$C$21, $C$9, 100%, $E$9)</f>
        <v>94.769400000000005</v>
      </c>
      <c r="N932" s="14">
        <f>CHOOSE(CONTROL!$C$42, 94.7858, 94.7858) * CHOOSE(CONTROL!$C$21, $C$9, 100%, $E$9)</f>
        <v>94.785799999999995</v>
      </c>
      <c r="O932" s="14">
        <f>CHOOSE(CONTROL!$C$42, 95.0172, 95.0172) * CHOOSE(CONTROL!$C$21, $C$9, 100%, $E$9)</f>
        <v>95.017200000000003</v>
      </c>
      <c r="P932" s="14">
        <f>CHOOSE(CONTROL!$C$42, 95.0875, 95.0875) * CHOOSE(CONTROL!$C$21, $C$9, 100%, $E$9)</f>
        <v>95.087500000000006</v>
      </c>
      <c r="Q932" s="14">
        <f>CHOOSE(CONTROL!$C$42, 95.6119, 95.6119) * CHOOSE(CONTROL!$C$21, $C$9, 100%, $E$9)</f>
        <v>95.611900000000006</v>
      </c>
      <c r="R932" s="14">
        <f>CHOOSE(CONTROL!$C$42, 96.4379, 96.4379) * CHOOSE(CONTROL!$C$21, $C$9, 100%, $E$9)</f>
        <v>96.437899999999999</v>
      </c>
      <c r="S932" s="14">
        <f>CHOOSE(CONTROL!$C$42, 92.9697, 92.9697) * CHOOSE(CONTROL!$C$21, $C$9, 100%, $E$9)</f>
        <v>92.969700000000003</v>
      </c>
      <c r="T9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7">
        <f>(1000*CHOOSE(CONTROL!$C$42, 695, 695)*CHOOSE(CONTROL!$C$42, 0.5599, 0.5599)*CHOOSE(CONTROL!$C$42, 31, 31))/1000000</f>
        <v>12.063045499999998</v>
      </c>
      <c r="V932" s="57">
        <f>(1000*CHOOSE(CONTROL!$C$42, 500, 500)*CHOOSE(CONTROL!$C$42, 0.275, 0.275)*CHOOSE(CONTROL!$C$42, 31, 31))/1000000</f>
        <v>4.2625000000000002</v>
      </c>
      <c r="W932" s="57">
        <f>(1000*CHOOSE(CONTROL!$C$42, 0.1146, 0.1146)*CHOOSE(CONTROL!$C$42, 121.5, 121.5)*CHOOSE(CONTROL!$C$42, 31, 31))/1000000</f>
        <v>0.43164089999999994</v>
      </c>
      <c r="X932" s="57">
        <f>(31*0.1790888*245000/1000000)+(31*0.2374*100000/1000000)</f>
        <v>2.0961194359999999</v>
      </c>
      <c r="Y932" s="57"/>
      <c r="Z932" s="14"/>
      <c r="AA932" s="56"/>
      <c r="AB932" s="50">
        <f>(B932*194.205+C932*267.466+D932*133.845+E932*53.484+F932*40+G932*185+H932*0+I932*100+J932*300)/(194.205+267.466+133.845+53.484+0+40+185+100+300)</f>
        <v>96.818023863893245</v>
      </c>
      <c r="AC932" s="45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94.928425899280583</v>
      </c>
    </row>
    <row r="933" spans="1:29" ht="15.75" x14ac:dyDescent="0.25">
      <c r="A933" s="32">
        <v>69306</v>
      </c>
      <c r="B933" s="14">
        <f>CHOOSE(CONTROL!$C$42, 90.6208, 90.6208) * CHOOSE(CONTROL!$C$21, $C$9, 100%, $E$9)</f>
        <v>90.620800000000003</v>
      </c>
      <c r="C933" s="14">
        <f>CHOOSE(CONTROL!$C$42, 90.6288, 90.6288) * CHOOSE(CONTROL!$C$21, $C$9, 100%, $E$9)</f>
        <v>90.628799999999998</v>
      </c>
      <c r="D933" s="14">
        <f>CHOOSE(CONTROL!$C$42, 90.8338, 90.8338) * CHOOSE(CONTROL!$C$21, $C$9, 100%, $E$9)</f>
        <v>90.833799999999997</v>
      </c>
      <c r="E933" s="14">
        <f>CHOOSE(CONTROL!$C$42, 90.8653, 90.8653) * CHOOSE(CONTROL!$C$21, $C$9, 100%, $E$9)</f>
        <v>90.865300000000005</v>
      </c>
      <c r="F933" s="14">
        <f>CHOOSE(CONTROL!$C$42, 90.608, 90.608)*CHOOSE(CONTROL!$C$21, $C$9, 100%, $E$9)</f>
        <v>90.608000000000004</v>
      </c>
      <c r="G933" s="14">
        <f>CHOOSE(CONTROL!$C$42, 90.6246, 90.6246)*CHOOSE(CONTROL!$C$21, $C$9, 100%, $E$9)</f>
        <v>90.624600000000001</v>
      </c>
      <c r="H933" s="14">
        <f>CHOOSE(CONTROL!$C$42, 90.8539, 90.8539) * CHOOSE(CONTROL!$C$21, $C$9, 100%, $E$9)</f>
        <v>90.853899999999996</v>
      </c>
      <c r="I933" s="14">
        <f>CHOOSE(CONTROL!$C$42, 90.9127, 90.9127)* CHOOSE(CONTROL!$C$21, $C$9, 100%, $E$9)</f>
        <v>90.912700000000001</v>
      </c>
      <c r="J933" s="14">
        <f>CHOOSE(CONTROL!$C$42, 90.601, 90.601)* CHOOSE(CONTROL!$C$21, $C$9, 100%, $E$9)</f>
        <v>90.600999999999999</v>
      </c>
      <c r="K933" s="53">
        <f>CHOOSE(CONTROL!$C$42, 90.9088, 90.9088) * CHOOSE(CONTROL!$C$21, $C$9, 100%, $E$9)</f>
        <v>90.908799999999999</v>
      </c>
      <c r="L933" s="14">
        <f>CHOOSE(CONTROL!$C$42, 91.4409, 91.4409) * CHOOSE(CONTROL!$C$21, $C$9, 100%, $E$9)</f>
        <v>91.440899999999999</v>
      </c>
      <c r="M933" s="14">
        <f>CHOOSE(CONTROL!$C$42, 88.7523, 88.7523) * CHOOSE(CONTROL!$C$21, $C$9, 100%, $E$9)</f>
        <v>88.752300000000005</v>
      </c>
      <c r="N933" s="14">
        <f>CHOOSE(CONTROL!$C$42, 88.7686, 88.7686) * CHOOSE(CONTROL!$C$21, $C$9, 100%, $E$9)</f>
        <v>88.768600000000006</v>
      </c>
      <c r="O933" s="14">
        <f>CHOOSE(CONTROL!$C$42, 89.0001, 89.0001) * CHOOSE(CONTROL!$C$21, $C$9, 100%, $E$9)</f>
        <v>89.000100000000003</v>
      </c>
      <c r="P933" s="14">
        <f>CHOOSE(CONTROL!$C$42, 89.052, 89.052) * CHOOSE(CONTROL!$C$21, $C$9, 100%, $E$9)</f>
        <v>89.052000000000007</v>
      </c>
      <c r="Q933" s="14">
        <f>CHOOSE(CONTROL!$C$42, 89.5948, 89.5948) * CHOOSE(CONTROL!$C$21, $C$9, 100%, $E$9)</f>
        <v>89.594800000000006</v>
      </c>
      <c r="R933" s="14">
        <f>CHOOSE(CONTROL!$C$42, 90.4058, 90.4058) * CHOOSE(CONTROL!$C$21, $C$9, 100%, $E$9)</f>
        <v>90.405799999999999</v>
      </c>
      <c r="S933" s="14">
        <f>CHOOSE(CONTROL!$C$42, 87.0669, 87.0669) * CHOOSE(CONTROL!$C$21, $C$9, 100%, $E$9)</f>
        <v>87.066900000000004</v>
      </c>
      <c r="T9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7">
        <f>(1000*CHOOSE(CONTROL!$C$42, 695, 695)*CHOOSE(CONTROL!$C$42, 0.5599, 0.5599)*CHOOSE(CONTROL!$C$42, 30, 30))/1000000</f>
        <v>11.673914999999997</v>
      </c>
      <c r="V933" s="57">
        <f>(1000*CHOOSE(CONTROL!$C$42, 500, 500)*CHOOSE(CONTROL!$C$42, 0.275, 0.275)*CHOOSE(CONTROL!$C$42, 30, 30))/1000000</f>
        <v>4.125</v>
      </c>
      <c r="W933" s="57">
        <f>(1000*CHOOSE(CONTROL!$C$42, 0.1146, 0.1146)*CHOOSE(CONTROL!$C$42, 121.5, 121.5)*CHOOSE(CONTROL!$C$42, 30, 30))/1000000</f>
        <v>0.417717</v>
      </c>
      <c r="X933" s="57">
        <f>(30*0.1790888*245000/1000000)+(30*0.2374*100000/1000000)</f>
        <v>2.0285026799999999</v>
      </c>
      <c r="Y933" s="57"/>
      <c r="Z933" s="14"/>
      <c r="AA933" s="56"/>
      <c r="AB933" s="50">
        <f>(B933*194.205+C933*267.466+D933*133.845+E933*53.484+F933*40+G933*185+H933*0+I933*100+J933*300)/(194.205+267.466+133.845+53.484+0+40+185+100+300)</f>
        <v>90.673520997645227</v>
      </c>
      <c r="AC933" s="45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88.908672661870497</v>
      </c>
    </row>
    <row r="934" spans="1:29" ht="15.75" x14ac:dyDescent="0.25">
      <c r="A934" s="32">
        <v>69337</v>
      </c>
      <c r="B934" s="14">
        <f>CHOOSE(CONTROL!$C$42, 88.7793, 88.7793) * CHOOSE(CONTROL!$C$21, $C$9, 100%, $E$9)</f>
        <v>88.779300000000006</v>
      </c>
      <c r="C934" s="14">
        <f>CHOOSE(CONTROL!$C$42, 88.7846, 88.7846) * CHOOSE(CONTROL!$C$21, $C$9, 100%, $E$9)</f>
        <v>88.784599999999998</v>
      </c>
      <c r="D934" s="14">
        <f>CHOOSE(CONTROL!$C$42, 88.9946, 88.9946) * CHOOSE(CONTROL!$C$21, $C$9, 100%, $E$9)</f>
        <v>88.994600000000005</v>
      </c>
      <c r="E934" s="14">
        <f>CHOOSE(CONTROL!$C$42, 89.0237, 89.0237) * CHOOSE(CONTROL!$C$21, $C$9, 100%, $E$9)</f>
        <v>89.023700000000005</v>
      </c>
      <c r="F934" s="14">
        <f>CHOOSE(CONTROL!$C$42, 88.7685, 88.7685)*CHOOSE(CONTROL!$C$21, $C$9, 100%, $E$9)</f>
        <v>88.768500000000003</v>
      </c>
      <c r="G934" s="14">
        <f>CHOOSE(CONTROL!$C$42, 88.7849, 88.7849)*CHOOSE(CONTROL!$C$21, $C$9, 100%, $E$9)</f>
        <v>88.784899999999993</v>
      </c>
      <c r="H934" s="14">
        <f>CHOOSE(CONTROL!$C$42, 89.0142, 89.0142) * CHOOSE(CONTROL!$C$21, $C$9, 100%, $E$9)</f>
        <v>89.014200000000002</v>
      </c>
      <c r="I934" s="14">
        <f>CHOOSE(CONTROL!$C$42, 89.0672, 89.0672)* CHOOSE(CONTROL!$C$21, $C$9, 100%, $E$9)</f>
        <v>89.0672</v>
      </c>
      <c r="J934" s="14">
        <f>CHOOSE(CONTROL!$C$42, 88.7615, 88.7615)* CHOOSE(CONTROL!$C$21, $C$9, 100%, $E$9)</f>
        <v>88.761499999999998</v>
      </c>
      <c r="K934" s="53">
        <f>CHOOSE(CONTROL!$C$42, 89.0633, 89.0633) * CHOOSE(CONTROL!$C$21, $C$9, 100%, $E$9)</f>
        <v>89.063299999999998</v>
      </c>
      <c r="L934" s="14">
        <f>CHOOSE(CONTROL!$C$42, 89.6012, 89.6012) * CHOOSE(CONTROL!$C$21, $C$9, 100%, $E$9)</f>
        <v>89.601200000000006</v>
      </c>
      <c r="M934" s="14">
        <f>CHOOSE(CONTROL!$C$42, 86.9506, 86.9506) * CHOOSE(CONTROL!$C$21, $C$9, 100%, $E$9)</f>
        <v>86.950599999999994</v>
      </c>
      <c r="N934" s="14">
        <f>CHOOSE(CONTROL!$C$42, 86.9666, 86.9666) * CHOOSE(CONTROL!$C$21, $C$9, 100%, $E$9)</f>
        <v>86.9666</v>
      </c>
      <c r="O934" s="14">
        <f>CHOOSE(CONTROL!$C$42, 87.198, 87.198) * CHOOSE(CONTROL!$C$21, $C$9, 100%, $E$9)</f>
        <v>87.197999999999993</v>
      </c>
      <c r="P934" s="14">
        <f>CHOOSE(CONTROL!$C$42, 87.2444, 87.2444) * CHOOSE(CONTROL!$C$21, $C$9, 100%, $E$9)</f>
        <v>87.244399999999999</v>
      </c>
      <c r="Q934" s="14">
        <f>CHOOSE(CONTROL!$C$42, 87.7927, 87.7927) * CHOOSE(CONTROL!$C$21, $C$9, 100%, $E$9)</f>
        <v>87.792699999999996</v>
      </c>
      <c r="R934" s="14">
        <f>CHOOSE(CONTROL!$C$42, 88.5992, 88.5992) * CHOOSE(CONTROL!$C$21, $C$9, 100%, $E$9)</f>
        <v>88.599199999999996</v>
      </c>
      <c r="S934" s="14">
        <f>CHOOSE(CONTROL!$C$42, 85.2991, 85.2991) * CHOOSE(CONTROL!$C$21, $C$9, 100%, $E$9)</f>
        <v>85.299099999999996</v>
      </c>
      <c r="T9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7">
        <f>(1000*CHOOSE(CONTROL!$C$42, 695, 695)*CHOOSE(CONTROL!$C$42, 0.5599, 0.5599)*CHOOSE(CONTROL!$C$42, 31, 31))/1000000</f>
        <v>12.063045499999998</v>
      </c>
      <c r="V934" s="57">
        <f>(1000*CHOOSE(CONTROL!$C$42, 500, 500)*CHOOSE(CONTROL!$C$42, 0.275, 0.275)*CHOOSE(CONTROL!$C$42, 31, 31))/1000000</f>
        <v>4.2625000000000002</v>
      </c>
      <c r="W934" s="57">
        <f>(1000*CHOOSE(CONTROL!$C$42, 0.1146, 0.1146)*CHOOSE(CONTROL!$C$42, 121.5, 121.5)*CHOOSE(CONTROL!$C$42, 31, 31))/1000000</f>
        <v>0.43164089999999994</v>
      </c>
      <c r="X934" s="57">
        <f>(31*0.1790888*245000/1000000)+(31*0.2374*100000/1000000)</f>
        <v>2.0961194359999999</v>
      </c>
      <c r="Y934" s="57"/>
      <c r="Z934" s="14"/>
      <c r="AA934" s="56"/>
      <c r="AB934" s="50">
        <f>(B934*131.881+C934*277.167+D934*79.08+E934*125.872+F934*40+G934*185+H934*0+I934*100+J934*300)/(131.881+277.167+79.08+125.872+0+40+185+100+300)</f>
        <v>88.838470319531879</v>
      </c>
      <c r="AC934" s="45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87.105925179856115</v>
      </c>
    </row>
    <row r="935" spans="1:29" ht="15.75" x14ac:dyDescent="0.25">
      <c r="A935" s="32">
        <v>69367</v>
      </c>
      <c r="B935" s="14">
        <f>CHOOSE(CONTROL!$C$42, 91.1175, 91.1175) * CHOOSE(CONTROL!$C$21, $C$9, 100%, $E$9)</f>
        <v>91.117500000000007</v>
      </c>
      <c r="C935" s="14">
        <f>CHOOSE(CONTROL!$C$42, 91.1226, 91.1226) * CHOOSE(CONTROL!$C$21, $C$9, 100%, $E$9)</f>
        <v>91.122600000000006</v>
      </c>
      <c r="D935" s="14">
        <f>CHOOSE(CONTROL!$C$42, 91.1864, 91.1864) * CHOOSE(CONTROL!$C$21, $C$9, 100%, $E$9)</f>
        <v>91.186400000000006</v>
      </c>
      <c r="E935" s="14">
        <f>CHOOSE(CONTROL!$C$42, 91.2205, 91.2205) * CHOOSE(CONTROL!$C$21, $C$9, 100%, $E$9)</f>
        <v>91.220500000000001</v>
      </c>
      <c r="F935" s="14">
        <f>CHOOSE(CONTROL!$C$42, 91.1198, 91.1198)*CHOOSE(CONTROL!$C$21, $C$9, 100%, $E$9)</f>
        <v>91.119799999999998</v>
      </c>
      <c r="G935" s="14">
        <f>CHOOSE(CONTROL!$C$42, 91.1364, 91.1364)*CHOOSE(CONTROL!$C$21, $C$9, 100%, $E$9)</f>
        <v>91.136399999999995</v>
      </c>
      <c r="H935" s="14">
        <f>CHOOSE(CONTROL!$C$42, 91.2097, 91.2097) * CHOOSE(CONTROL!$C$21, $C$9, 100%, $E$9)</f>
        <v>91.209699999999998</v>
      </c>
      <c r="I935" s="14">
        <f>CHOOSE(CONTROL!$C$42, 91.4168, 91.4168)* CHOOSE(CONTROL!$C$21, $C$9, 100%, $E$9)</f>
        <v>91.416799999999995</v>
      </c>
      <c r="J935" s="14">
        <f>CHOOSE(CONTROL!$C$42, 91.1128, 91.1128)* CHOOSE(CONTROL!$C$21, $C$9, 100%, $E$9)</f>
        <v>91.112799999999993</v>
      </c>
      <c r="K935" s="53">
        <f>CHOOSE(CONTROL!$C$42, 91.4129, 91.4129) * CHOOSE(CONTROL!$C$21, $C$9, 100%, $E$9)</f>
        <v>91.412899999999993</v>
      </c>
      <c r="L935" s="14">
        <f>CHOOSE(CONTROL!$C$42, 91.7967, 91.7967) * CHOOSE(CONTROL!$C$21, $C$9, 100%, $E$9)</f>
        <v>91.796700000000001</v>
      </c>
      <c r="M935" s="14">
        <f>CHOOSE(CONTROL!$C$42, 89.2536, 89.2536) * CHOOSE(CONTROL!$C$21, $C$9, 100%, $E$9)</f>
        <v>89.253600000000006</v>
      </c>
      <c r="N935" s="14">
        <f>CHOOSE(CONTROL!$C$42, 89.2699, 89.2699) * CHOOSE(CONTROL!$C$21, $C$9, 100%, $E$9)</f>
        <v>89.269900000000007</v>
      </c>
      <c r="O935" s="14">
        <f>CHOOSE(CONTROL!$C$42, 89.3486, 89.3486) * CHOOSE(CONTROL!$C$21, $C$9, 100%, $E$9)</f>
        <v>89.348600000000005</v>
      </c>
      <c r="P935" s="14">
        <f>CHOOSE(CONTROL!$C$42, 89.5457, 89.5457) * CHOOSE(CONTROL!$C$21, $C$9, 100%, $E$9)</f>
        <v>89.545699999999997</v>
      </c>
      <c r="Q935" s="14">
        <f>CHOOSE(CONTROL!$C$42, 89.9433, 89.9433) * CHOOSE(CONTROL!$C$21, $C$9, 100%, $E$9)</f>
        <v>89.943299999999994</v>
      </c>
      <c r="R935" s="14">
        <f>CHOOSE(CONTROL!$C$42, 90.7551, 90.7551) * CHOOSE(CONTROL!$C$21, $C$9, 100%, $E$9)</f>
        <v>90.755099999999999</v>
      </c>
      <c r="S935" s="14">
        <f>CHOOSE(CONTROL!$C$42, 87.5463, 87.5463) * CHOOSE(CONTROL!$C$21, $C$9, 100%, $E$9)</f>
        <v>87.546300000000002</v>
      </c>
      <c r="T9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7">
        <f>(1000*CHOOSE(CONTROL!$C$42, 695, 695)*CHOOSE(CONTROL!$C$42, 0.5599, 0.5599)*CHOOSE(CONTROL!$C$42, 30, 30))/1000000</f>
        <v>11.673914999999997</v>
      </c>
      <c r="V935" s="57">
        <f>(1000*CHOOSE(CONTROL!$C$42, 500, 500)*CHOOSE(CONTROL!$C$42, 0.275, 0.275)*CHOOSE(CONTROL!$C$42, 30, 30))/1000000</f>
        <v>4.125</v>
      </c>
      <c r="W935" s="57">
        <f>(1000*CHOOSE(CONTROL!$C$42, 0.1146, 0.1146)*CHOOSE(CONTROL!$C$42, 121.5, 121.5)*CHOOSE(CONTROL!$C$42, 30, 30))/1000000</f>
        <v>0.417717</v>
      </c>
      <c r="X935" s="57">
        <f>(30*0.1790888*100000/1000000)+(30*0.2374*100000/1000000)</f>
        <v>1.2494664</v>
      </c>
      <c r="Y935" s="57"/>
      <c r="Z935" s="14"/>
      <c r="AA935" s="56"/>
      <c r="AB935" s="50">
        <f>(B935*122.58+C935*297.941+D935*89.177+E935*40.302+F935*40+G935*160+H935*0+I935*100+J935*300)/(122.58+297.941+89.177+40.302+0+40+160+100+300)</f>
        <v>91.155283391652176</v>
      </c>
      <c r="AC935" s="45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89.339624460431665</v>
      </c>
    </row>
    <row r="936" spans="1:29" ht="15.75" x14ac:dyDescent="0.25">
      <c r="A936" s="32">
        <v>69398</v>
      </c>
      <c r="B936" s="14">
        <f>CHOOSE(CONTROL!$C$42, 97.3292, 97.3292) * CHOOSE(CONTROL!$C$21, $C$9, 100%, $E$9)</f>
        <v>97.3292</v>
      </c>
      <c r="C936" s="14">
        <f>CHOOSE(CONTROL!$C$42, 97.3343, 97.3343) * CHOOSE(CONTROL!$C$21, $C$9, 100%, $E$9)</f>
        <v>97.334299999999999</v>
      </c>
      <c r="D936" s="14">
        <f>CHOOSE(CONTROL!$C$42, 97.3981, 97.3981) * CHOOSE(CONTROL!$C$21, $C$9, 100%, $E$9)</f>
        <v>97.398099999999999</v>
      </c>
      <c r="E936" s="14">
        <f>CHOOSE(CONTROL!$C$42, 97.4322, 97.4322) * CHOOSE(CONTROL!$C$21, $C$9, 100%, $E$9)</f>
        <v>97.432199999999995</v>
      </c>
      <c r="F936" s="14">
        <f>CHOOSE(CONTROL!$C$42, 97.3335, 97.3335)*CHOOSE(CONTROL!$C$21, $C$9, 100%, $E$9)</f>
        <v>97.333500000000001</v>
      </c>
      <c r="G936" s="14">
        <f>CHOOSE(CONTROL!$C$42, 97.3507, 97.3507)*CHOOSE(CONTROL!$C$21, $C$9, 100%, $E$9)</f>
        <v>97.350700000000003</v>
      </c>
      <c r="H936" s="14">
        <f>CHOOSE(CONTROL!$C$42, 97.4214, 97.4214) * CHOOSE(CONTROL!$C$21, $C$9, 100%, $E$9)</f>
        <v>97.421400000000006</v>
      </c>
      <c r="I936" s="14">
        <f>CHOOSE(CONTROL!$C$42, 97.6479, 97.6479)* CHOOSE(CONTROL!$C$21, $C$9, 100%, $E$9)</f>
        <v>97.647900000000007</v>
      </c>
      <c r="J936" s="14">
        <f>CHOOSE(CONTROL!$C$42, 97.3265, 97.3265)* CHOOSE(CONTROL!$C$21, $C$9, 100%, $E$9)</f>
        <v>97.326499999999996</v>
      </c>
      <c r="K936" s="53">
        <f>CHOOSE(CONTROL!$C$42, 97.644, 97.644) * CHOOSE(CONTROL!$C$21, $C$9, 100%, $E$9)</f>
        <v>97.644000000000005</v>
      </c>
      <c r="L936" s="14">
        <f>CHOOSE(CONTROL!$C$42, 98.0084, 98.0084) * CHOOSE(CONTROL!$C$21, $C$9, 100%, $E$9)</f>
        <v>98.008399999999995</v>
      </c>
      <c r="M936" s="14">
        <f>CHOOSE(CONTROL!$C$42, 95.3401, 95.3401) * CHOOSE(CONTROL!$C$21, $C$9, 100%, $E$9)</f>
        <v>95.340100000000007</v>
      </c>
      <c r="N936" s="14">
        <f>CHOOSE(CONTROL!$C$42, 95.3569, 95.3569) * CHOOSE(CONTROL!$C$21, $C$9, 100%, $E$9)</f>
        <v>95.356899999999996</v>
      </c>
      <c r="O936" s="14">
        <f>CHOOSE(CONTROL!$C$42, 95.433, 95.433) * CHOOSE(CONTROL!$C$21, $C$9, 100%, $E$9)</f>
        <v>95.433000000000007</v>
      </c>
      <c r="P936" s="14">
        <f>CHOOSE(CONTROL!$C$42, 95.6488, 95.6488) * CHOOSE(CONTROL!$C$21, $C$9, 100%, $E$9)</f>
        <v>95.648799999999994</v>
      </c>
      <c r="Q936" s="14">
        <f>CHOOSE(CONTROL!$C$42, 96.0277, 96.0277) * CHOOSE(CONTROL!$C$21, $C$9, 100%, $E$9)</f>
        <v>96.027699999999996</v>
      </c>
      <c r="R936" s="14">
        <f>CHOOSE(CONTROL!$C$42, 96.8548, 96.8548) * CHOOSE(CONTROL!$C$21, $C$9, 100%, $E$9)</f>
        <v>96.854799999999997</v>
      </c>
      <c r="S936" s="14">
        <f>CHOOSE(CONTROL!$C$42, 93.5151, 93.5151) * CHOOSE(CONTROL!$C$21, $C$9, 100%, $E$9)</f>
        <v>93.515100000000004</v>
      </c>
      <c r="T9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7">
        <f>(1000*CHOOSE(CONTROL!$C$42, 695, 695)*CHOOSE(CONTROL!$C$42, 0.5599, 0.5599)*CHOOSE(CONTROL!$C$42, 31, 31))/1000000</f>
        <v>12.063045499999998</v>
      </c>
      <c r="V936" s="57">
        <f>(1000*CHOOSE(CONTROL!$C$42, 500, 500)*CHOOSE(CONTROL!$C$42, 0.275, 0.275)*CHOOSE(CONTROL!$C$42, 31, 31))/1000000</f>
        <v>4.2625000000000002</v>
      </c>
      <c r="W936" s="57">
        <f>(1000*CHOOSE(CONTROL!$C$42, 0.1146, 0.1146)*CHOOSE(CONTROL!$C$42, 121.5, 121.5)*CHOOSE(CONTROL!$C$42, 31, 31))/1000000</f>
        <v>0.43164089999999994</v>
      </c>
      <c r="X936" s="57">
        <f>(31*0.1790888*100000/1000000)+(31*0.2374*100000/1000000)</f>
        <v>1.2911152800000001</v>
      </c>
      <c r="Y936" s="57"/>
      <c r="Z936" s="14"/>
      <c r="AA936" s="56"/>
      <c r="AB936" s="50">
        <f>(B936*122.58+C936*297.941+D936*89.177+E936*40.302+F936*40+G936*160+H936*0+I936*100+J936*300)/(122.58+297.941+89.177+40.302+0+40+160+100+300)</f>
        <v>97.369623391652169</v>
      </c>
      <c r="AC936" s="45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95.427589928057557</v>
      </c>
    </row>
    <row r="937" spans="1:29" ht="15.75" x14ac:dyDescent="0.25">
      <c r="A937" s="32">
        <v>69429</v>
      </c>
      <c r="B937" s="14">
        <f>CHOOSE(CONTROL!$C$42, 105.3011, 105.3011) * CHOOSE(CONTROL!$C$21, $C$9, 100%, $E$9)</f>
        <v>105.30110000000001</v>
      </c>
      <c r="C937" s="14">
        <f>CHOOSE(CONTROL!$C$42, 105.3061, 105.3061) * CHOOSE(CONTROL!$C$21, $C$9, 100%, $E$9)</f>
        <v>105.3061</v>
      </c>
      <c r="D937" s="14">
        <f>CHOOSE(CONTROL!$C$42, 105.3647, 105.3647) * CHOOSE(CONTROL!$C$21, $C$9, 100%, $E$9)</f>
        <v>105.3647</v>
      </c>
      <c r="E937" s="14">
        <f>CHOOSE(CONTROL!$C$42, 105.3988, 105.3988) * CHOOSE(CONTROL!$C$21, $C$9, 100%, $E$9)</f>
        <v>105.39879999999999</v>
      </c>
      <c r="F937" s="14">
        <f>CHOOSE(CONTROL!$C$42, 105.3002, 105.3002)*CHOOSE(CONTROL!$C$21, $C$9, 100%, $E$9)</f>
        <v>105.3002</v>
      </c>
      <c r="G937" s="14">
        <f>CHOOSE(CONTROL!$C$42, 105.3165, 105.3165)*CHOOSE(CONTROL!$C$21, $C$9, 100%, $E$9)</f>
        <v>105.3165</v>
      </c>
      <c r="H937" s="14">
        <f>CHOOSE(CONTROL!$C$42, 105.388, 105.388) * CHOOSE(CONTROL!$C$21, $C$9, 100%, $E$9)</f>
        <v>105.38800000000001</v>
      </c>
      <c r="I937" s="14">
        <f>CHOOSE(CONTROL!$C$42, 105.6411, 105.6411)* CHOOSE(CONTROL!$C$21, $C$9, 100%, $E$9)</f>
        <v>105.64109999999999</v>
      </c>
      <c r="J937" s="14">
        <f>CHOOSE(CONTROL!$C$42, 105.2932, 105.2932)* CHOOSE(CONTROL!$C$21, $C$9, 100%, $E$9)</f>
        <v>105.2932</v>
      </c>
      <c r="K937" s="53">
        <f>CHOOSE(CONTROL!$C$42, 105.6372, 105.6372) * CHOOSE(CONTROL!$C$21, $C$9, 100%, $E$9)</f>
        <v>105.63720000000001</v>
      </c>
      <c r="L937" s="14">
        <f>CHOOSE(CONTROL!$C$42, 105.975, 105.975) * CHOOSE(CONTROL!$C$21, $C$9, 100%, $E$9)</f>
        <v>105.97499999999999</v>
      </c>
      <c r="M937" s="14">
        <f>CHOOSE(CONTROL!$C$42, 103.1435, 103.1435) * CHOOSE(CONTROL!$C$21, $C$9, 100%, $E$9)</f>
        <v>103.1435</v>
      </c>
      <c r="N937" s="14">
        <f>CHOOSE(CONTROL!$C$42, 103.1595, 103.1595) * CHOOSE(CONTROL!$C$21, $C$9, 100%, $E$9)</f>
        <v>103.15949999999999</v>
      </c>
      <c r="O937" s="14">
        <f>CHOOSE(CONTROL!$C$42, 103.2364, 103.2364) * CHOOSE(CONTROL!$C$21, $C$9, 100%, $E$9)</f>
        <v>103.2364</v>
      </c>
      <c r="P937" s="14">
        <f>CHOOSE(CONTROL!$C$42, 103.4777, 103.4777) * CHOOSE(CONTROL!$C$21, $C$9, 100%, $E$9)</f>
        <v>103.4777</v>
      </c>
      <c r="Q937" s="14">
        <f>CHOOSE(CONTROL!$C$42, 103.8311, 103.8311) * CHOOSE(CONTROL!$C$21, $C$9, 100%, $E$9)</f>
        <v>103.83110000000001</v>
      </c>
      <c r="R937" s="14">
        <f>CHOOSE(CONTROL!$C$42, 104.6777, 104.6777) * CHOOSE(CONTROL!$C$21, $C$9, 100%, $E$9)</f>
        <v>104.6777</v>
      </c>
      <c r="S937" s="14">
        <f>CHOOSE(CONTROL!$C$42, 101.1752, 101.1752) * CHOOSE(CONTROL!$C$21, $C$9, 100%, $E$9)</f>
        <v>101.1752</v>
      </c>
      <c r="T9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7">
        <f>(1000*CHOOSE(CONTROL!$C$42, 695, 695)*CHOOSE(CONTROL!$C$42, 0.5599, 0.5599)*CHOOSE(CONTROL!$C$42, 31, 31))/1000000</f>
        <v>12.063045499999998</v>
      </c>
      <c r="V937" s="57">
        <f>(1000*CHOOSE(CONTROL!$C$42, 500, 500)*CHOOSE(CONTROL!$C$42, 0.275, 0.275)*CHOOSE(CONTROL!$C$42, 31, 31))/1000000</f>
        <v>4.2625000000000002</v>
      </c>
      <c r="W937" s="57">
        <f>(1000*CHOOSE(CONTROL!$C$42, 0.1146, 0.1146)*CHOOSE(CONTROL!$C$42, 121.5, 121.5)*CHOOSE(CONTROL!$C$42, 31, 31))/1000000</f>
        <v>0.43164089999999994</v>
      </c>
      <c r="X937" s="57">
        <f>(31*0.1790888*100000/1000000)+(31*0.2374*100000/1000000)</f>
        <v>1.2911152800000001</v>
      </c>
      <c r="Y937" s="57"/>
      <c r="Z937" s="14"/>
      <c r="AA937" s="56"/>
      <c r="AB937" s="50">
        <f>(B937*122.58+C937*297.941+D937*89.177+E937*40.302+F937*40+G937*160+H937*0+I937*100+J937*300)/(122.58+297.941+89.177+40.302+0+40+160+100+300)</f>
        <v>105.3403668413913</v>
      </c>
      <c r="AC937" s="45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103.23461294964031</v>
      </c>
    </row>
    <row r="938" spans="1:29" ht="15.75" x14ac:dyDescent="0.25">
      <c r="A938" s="32">
        <v>69457</v>
      </c>
      <c r="B938" s="14">
        <f>CHOOSE(CONTROL!$C$42, 107.1754, 107.1754) * CHOOSE(CONTROL!$C$21, $C$9, 100%, $E$9)</f>
        <v>107.1754</v>
      </c>
      <c r="C938" s="14">
        <f>CHOOSE(CONTROL!$C$42, 107.1805, 107.1805) * CHOOSE(CONTROL!$C$21, $C$9, 100%, $E$9)</f>
        <v>107.18049999999999</v>
      </c>
      <c r="D938" s="14">
        <f>CHOOSE(CONTROL!$C$42, 107.2391, 107.2391) * CHOOSE(CONTROL!$C$21, $C$9, 100%, $E$9)</f>
        <v>107.23909999999999</v>
      </c>
      <c r="E938" s="14">
        <f>CHOOSE(CONTROL!$C$42, 107.2732, 107.2732) * CHOOSE(CONTROL!$C$21, $C$9, 100%, $E$9)</f>
        <v>107.2732</v>
      </c>
      <c r="F938" s="14">
        <f>CHOOSE(CONTROL!$C$42, 107.1745, 107.1745)*CHOOSE(CONTROL!$C$21, $C$9, 100%, $E$9)</f>
        <v>107.17449999999999</v>
      </c>
      <c r="G938" s="14">
        <f>CHOOSE(CONTROL!$C$42, 107.1908, 107.1908)*CHOOSE(CONTROL!$C$21, $C$9, 100%, $E$9)</f>
        <v>107.1908</v>
      </c>
      <c r="H938" s="14">
        <f>CHOOSE(CONTROL!$C$42, 107.2624, 107.2624) * CHOOSE(CONTROL!$C$21, $C$9, 100%, $E$9)</f>
        <v>107.2624</v>
      </c>
      <c r="I938" s="14">
        <f>CHOOSE(CONTROL!$C$42, 107.5213, 107.5213)* CHOOSE(CONTROL!$C$21, $C$9, 100%, $E$9)</f>
        <v>107.5213</v>
      </c>
      <c r="J938" s="14">
        <f>CHOOSE(CONTROL!$C$42, 107.1675, 107.1675)* CHOOSE(CONTROL!$C$21, $C$9, 100%, $E$9)</f>
        <v>107.1675</v>
      </c>
      <c r="K938" s="53">
        <f>CHOOSE(CONTROL!$C$42, 107.5174, 107.5174) * CHOOSE(CONTROL!$C$21, $C$9, 100%, $E$9)</f>
        <v>107.51739999999999</v>
      </c>
      <c r="L938" s="14">
        <f>CHOOSE(CONTROL!$C$42, 107.8494, 107.8494) * CHOOSE(CONTROL!$C$21, $C$9, 100%, $E$9)</f>
        <v>107.8494</v>
      </c>
      <c r="M938" s="14">
        <f>CHOOSE(CONTROL!$C$42, 104.9794, 104.9794) * CHOOSE(CONTROL!$C$21, $C$9, 100%, $E$9)</f>
        <v>104.9794</v>
      </c>
      <c r="N938" s="14">
        <f>CHOOSE(CONTROL!$C$42, 104.9954, 104.9954) * CHOOSE(CONTROL!$C$21, $C$9, 100%, $E$9)</f>
        <v>104.9954</v>
      </c>
      <c r="O938" s="14">
        <f>CHOOSE(CONTROL!$C$42, 105.0723, 105.0723) * CHOOSE(CONTROL!$C$21, $C$9, 100%, $E$9)</f>
        <v>105.0723</v>
      </c>
      <c r="P938" s="14">
        <f>CHOOSE(CONTROL!$C$42, 105.3193, 105.3193) * CHOOSE(CONTROL!$C$21, $C$9, 100%, $E$9)</f>
        <v>105.3193</v>
      </c>
      <c r="Q938" s="14">
        <f>CHOOSE(CONTROL!$C$42, 105.667, 105.667) * CHOOSE(CONTROL!$C$21, $C$9, 100%, $E$9)</f>
        <v>105.667</v>
      </c>
      <c r="R938" s="14">
        <f>CHOOSE(CONTROL!$C$42, 106.5182, 106.5182) * CHOOSE(CONTROL!$C$21, $C$9, 100%, $E$9)</f>
        <v>106.51819999999999</v>
      </c>
      <c r="S938" s="14">
        <f>CHOOSE(CONTROL!$C$42, 102.9763, 102.9763) * CHOOSE(CONTROL!$C$21, $C$9, 100%, $E$9)</f>
        <v>102.97629999999999</v>
      </c>
      <c r="T9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7">
        <f>(1000*CHOOSE(CONTROL!$C$42, 695, 695)*CHOOSE(CONTROL!$C$42, 0.5599, 0.5599)*CHOOSE(CONTROL!$C$42, 28, 28))/1000000</f>
        <v>10.895653999999999</v>
      </c>
      <c r="V938" s="57">
        <f>(1000*CHOOSE(CONTROL!$C$42, 500, 500)*CHOOSE(CONTROL!$C$42, 0.275, 0.275)*CHOOSE(CONTROL!$C$42, 28, 28))/1000000</f>
        <v>3.85</v>
      </c>
      <c r="W938" s="57">
        <f>(1000*CHOOSE(CONTROL!$C$42, 0.1146, 0.1146)*CHOOSE(CONTROL!$C$42, 121.5, 121.5)*CHOOSE(CONTROL!$C$42, 28, 28))/1000000</f>
        <v>0.38986920000000003</v>
      </c>
      <c r="X938" s="57">
        <f>(28*0.1790888*100000/1000000)+(28*0.2374*100000/1000000)</f>
        <v>1.16616864</v>
      </c>
      <c r="Y938" s="57"/>
      <c r="Z938" s="14"/>
      <c r="AA938" s="56"/>
      <c r="AB938" s="50">
        <f>(B938*122.58+C938*297.941+D938*89.177+E938*40.302+F938*40+G938*160+H938*0+I938*100+J938*300)/(122.58+297.941+89.177+40.302+0+40+160+100+300)</f>
        <v>107.21521705182609</v>
      </c>
      <c r="AC938" s="45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105.07133309352517</v>
      </c>
    </row>
    <row r="939" spans="1:29" ht="15.75" x14ac:dyDescent="0.25">
      <c r="A939" s="32">
        <v>69488</v>
      </c>
      <c r="B939" s="14">
        <f>CHOOSE(CONTROL!$C$42, 104.1329, 104.1329) * CHOOSE(CONTROL!$C$21, $C$9, 100%, $E$9)</f>
        <v>104.13290000000001</v>
      </c>
      <c r="C939" s="14">
        <f>CHOOSE(CONTROL!$C$42, 104.1379, 104.1379) * CHOOSE(CONTROL!$C$21, $C$9, 100%, $E$9)</f>
        <v>104.1379</v>
      </c>
      <c r="D939" s="14">
        <f>CHOOSE(CONTROL!$C$42, 104.1966, 104.1966) * CHOOSE(CONTROL!$C$21, $C$9, 100%, $E$9)</f>
        <v>104.1966</v>
      </c>
      <c r="E939" s="14">
        <f>CHOOSE(CONTROL!$C$42, 104.2307, 104.2307) * CHOOSE(CONTROL!$C$21, $C$9, 100%, $E$9)</f>
        <v>104.2307</v>
      </c>
      <c r="F939" s="14">
        <f>CHOOSE(CONTROL!$C$42, 104.1315, 104.1315)*CHOOSE(CONTROL!$C$21, $C$9, 100%, $E$9)</f>
        <v>104.1315</v>
      </c>
      <c r="G939" s="14">
        <f>CHOOSE(CONTROL!$C$42, 104.1477, 104.1477)*CHOOSE(CONTROL!$C$21, $C$9, 100%, $E$9)</f>
        <v>104.1477</v>
      </c>
      <c r="H939" s="14">
        <f>CHOOSE(CONTROL!$C$42, 104.2199, 104.2199) * CHOOSE(CONTROL!$C$21, $C$9, 100%, $E$9)</f>
        <v>104.2199</v>
      </c>
      <c r="I939" s="14">
        <f>CHOOSE(CONTROL!$C$42, 104.4692, 104.4692)* CHOOSE(CONTROL!$C$21, $C$9, 100%, $E$9)</f>
        <v>104.4692</v>
      </c>
      <c r="J939" s="14">
        <f>CHOOSE(CONTROL!$C$42, 104.1245, 104.1245)* CHOOSE(CONTROL!$C$21, $C$9, 100%, $E$9)</f>
        <v>104.1245</v>
      </c>
      <c r="K939" s="53">
        <f>CHOOSE(CONTROL!$C$42, 104.4654, 104.4654) * CHOOSE(CONTROL!$C$21, $C$9, 100%, $E$9)</f>
        <v>104.4654</v>
      </c>
      <c r="L939" s="14">
        <f>CHOOSE(CONTROL!$C$42, 104.8069, 104.8069) * CHOOSE(CONTROL!$C$21, $C$9, 100%, $E$9)</f>
        <v>104.8069</v>
      </c>
      <c r="M939" s="14">
        <f>CHOOSE(CONTROL!$C$42, 101.9987, 101.9987) * CHOOSE(CONTROL!$C$21, $C$9, 100%, $E$9)</f>
        <v>101.9987</v>
      </c>
      <c r="N939" s="14">
        <f>CHOOSE(CONTROL!$C$42, 102.0146, 102.0146) * CHOOSE(CONTROL!$C$21, $C$9, 100%, $E$9)</f>
        <v>102.0146</v>
      </c>
      <c r="O939" s="14">
        <f>CHOOSE(CONTROL!$C$42, 102.0922, 102.0922) * CHOOSE(CONTROL!$C$21, $C$9, 100%, $E$9)</f>
        <v>102.09220000000001</v>
      </c>
      <c r="P939" s="14">
        <f>CHOOSE(CONTROL!$C$42, 102.3299, 102.3299) * CHOOSE(CONTROL!$C$21, $C$9, 100%, $E$9)</f>
        <v>102.32989999999999</v>
      </c>
      <c r="Q939" s="14">
        <f>CHOOSE(CONTROL!$C$42, 102.6869, 102.6869) * CHOOSE(CONTROL!$C$21, $C$9, 100%, $E$9)</f>
        <v>102.68689999999999</v>
      </c>
      <c r="R939" s="14">
        <f>CHOOSE(CONTROL!$C$42, 103.5306, 103.5306) * CHOOSE(CONTROL!$C$21, $C$9, 100%, $E$9)</f>
        <v>103.53060000000001</v>
      </c>
      <c r="S939" s="14">
        <f>CHOOSE(CONTROL!$C$42, 100.0527, 100.0527) * CHOOSE(CONTROL!$C$21, $C$9, 100%, $E$9)</f>
        <v>100.0527</v>
      </c>
      <c r="T9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7">
        <f>(1000*CHOOSE(CONTROL!$C$42, 695, 695)*CHOOSE(CONTROL!$C$42, 0.5599, 0.5599)*CHOOSE(CONTROL!$C$42, 31, 31))/1000000</f>
        <v>12.063045499999998</v>
      </c>
      <c r="V939" s="57">
        <f>(1000*CHOOSE(CONTROL!$C$42, 500, 500)*CHOOSE(CONTROL!$C$42, 0.275, 0.275)*CHOOSE(CONTROL!$C$42, 31, 31))/1000000</f>
        <v>4.2625000000000002</v>
      </c>
      <c r="W939" s="57">
        <f>(1000*CHOOSE(CONTROL!$C$42, 0.1146, 0.1146)*CHOOSE(CONTROL!$C$42, 121.5, 121.5)*CHOOSE(CONTROL!$C$42, 31, 31))/1000000</f>
        <v>0.43164089999999994</v>
      </c>
      <c r="X939" s="57">
        <f>(31*0.1790888*100000/1000000)+(31*0.2374*100000/1000000)</f>
        <v>1.2911152800000001</v>
      </c>
      <c r="Y939" s="57"/>
      <c r="Z939" s="14"/>
      <c r="AA939" s="56"/>
      <c r="AB939" s="50">
        <f>(B939*122.58+C939*297.941+D939*89.177+E939*40.302+F939*40+G939*160+H939*0+I939*100+J939*300)/(122.58+297.941+89.177+40.302+0+40+160+100+300)</f>
        <v>104.17162505695651</v>
      </c>
      <c r="AC939" s="45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102.0896474820144</v>
      </c>
    </row>
    <row r="940" spans="1:29" ht="15.75" x14ac:dyDescent="0.25">
      <c r="A940" s="32">
        <v>69518</v>
      </c>
      <c r="B940" s="14">
        <f>CHOOSE(CONTROL!$C$42, 103.8223, 103.8223) * CHOOSE(CONTROL!$C$21, $C$9, 100%, $E$9)</f>
        <v>103.8223</v>
      </c>
      <c r="C940" s="14">
        <f>CHOOSE(CONTROL!$C$42, 103.8268, 103.8268) * CHOOSE(CONTROL!$C$21, $C$9, 100%, $E$9)</f>
        <v>103.82680000000001</v>
      </c>
      <c r="D940" s="14">
        <f>CHOOSE(CONTROL!$C$42, 104.0349, 104.0349) * CHOOSE(CONTROL!$C$21, $C$9, 100%, $E$9)</f>
        <v>104.03489999999999</v>
      </c>
      <c r="E940" s="14">
        <f>CHOOSE(CONTROL!$C$42, 104.067, 104.067) * CHOOSE(CONTROL!$C$21, $C$9, 100%, $E$9)</f>
        <v>104.06699999999999</v>
      </c>
      <c r="F940" s="14">
        <f>CHOOSE(CONTROL!$C$42, 103.8096, 103.8096)*CHOOSE(CONTROL!$C$21, $C$9, 100%, $E$9)</f>
        <v>103.8096</v>
      </c>
      <c r="G940" s="14">
        <f>CHOOSE(CONTROL!$C$42, 103.8256, 103.8256)*CHOOSE(CONTROL!$C$21, $C$9, 100%, $E$9)</f>
        <v>103.82559999999999</v>
      </c>
      <c r="H940" s="14">
        <f>CHOOSE(CONTROL!$C$42, 104.0568, 104.0568) * CHOOSE(CONTROL!$C$21, $C$9, 100%, $E$9)</f>
        <v>104.0568</v>
      </c>
      <c r="I940" s="14">
        <f>CHOOSE(CONTROL!$C$42, 104.1569, 104.1569)* CHOOSE(CONTROL!$C$21, $C$9, 100%, $E$9)</f>
        <v>104.15689999999999</v>
      </c>
      <c r="J940" s="14">
        <f>CHOOSE(CONTROL!$C$42, 103.8026, 103.8026)* CHOOSE(CONTROL!$C$21, $C$9, 100%, $E$9)</f>
        <v>103.8026</v>
      </c>
      <c r="K940" s="53">
        <f>CHOOSE(CONTROL!$C$42, 104.153, 104.153) * CHOOSE(CONTROL!$C$21, $C$9, 100%, $E$9)</f>
        <v>104.15300000000001</v>
      </c>
      <c r="L940" s="14">
        <f>CHOOSE(CONTROL!$C$42, 104.6438, 104.6438) * CHOOSE(CONTROL!$C$21, $C$9, 100%, $E$9)</f>
        <v>104.6438</v>
      </c>
      <c r="M940" s="14">
        <f>CHOOSE(CONTROL!$C$42, 101.6835, 101.6835) * CHOOSE(CONTROL!$C$21, $C$9, 100%, $E$9)</f>
        <v>101.6835</v>
      </c>
      <c r="N940" s="14">
        <f>CHOOSE(CONTROL!$C$42, 101.6991, 101.6991) * CHOOSE(CONTROL!$C$21, $C$9, 100%, $E$9)</f>
        <v>101.6991</v>
      </c>
      <c r="O940" s="14">
        <f>CHOOSE(CONTROL!$C$42, 101.9324, 101.9324) * CHOOSE(CONTROL!$C$21, $C$9, 100%, $E$9)</f>
        <v>101.9324</v>
      </c>
      <c r="P940" s="14">
        <f>CHOOSE(CONTROL!$C$42, 102.024, 102.024) * CHOOSE(CONTROL!$C$21, $C$9, 100%, $E$9)</f>
        <v>102.024</v>
      </c>
      <c r="Q940" s="14">
        <f>CHOOSE(CONTROL!$C$42, 102.5271, 102.5271) * CHOOSE(CONTROL!$C$21, $C$9, 100%, $E$9)</f>
        <v>102.5271</v>
      </c>
      <c r="R940" s="14">
        <f>CHOOSE(CONTROL!$C$42, 103.3704, 103.3704) * CHOOSE(CONTROL!$C$21, $C$9, 100%, $E$9)</f>
        <v>103.3704</v>
      </c>
      <c r="S940" s="14">
        <f>CHOOSE(CONTROL!$C$42, 99.7535, 99.7535) * CHOOSE(CONTROL!$C$21, $C$9, 100%, $E$9)</f>
        <v>99.753500000000003</v>
      </c>
      <c r="T9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7">
        <f>(1000*CHOOSE(CONTROL!$C$42, 695, 695)*CHOOSE(CONTROL!$C$42, 0.5599, 0.5599)*CHOOSE(CONTROL!$C$42, 30, 30))/1000000</f>
        <v>11.673914999999997</v>
      </c>
      <c r="V940" s="57">
        <f>(1000*CHOOSE(CONTROL!$C$42, 500, 500)*CHOOSE(CONTROL!$C$42, 0.275, 0.275)*CHOOSE(CONTROL!$C$42, 30, 30))/1000000</f>
        <v>4.125</v>
      </c>
      <c r="W940" s="57">
        <f>(1000*CHOOSE(CONTROL!$C$42, 0.1146, 0.1146)*CHOOSE(CONTROL!$C$42, 121.5, 121.5)*CHOOSE(CONTROL!$C$42, 30, 30))/1000000</f>
        <v>0.417717</v>
      </c>
      <c r="X940" s="57">
        <f>(30*0.1790888*245000/1000000)+(30*0.2374*100000/1000000)</f>
        <v>2.0285026799999999</v>
      </c>
      <c r="Y940" s="57"/>
      <c r="Z940" s="14"/>
      <c r="AA940" s="56"/>
      <c r="AB940" s="50">
        <f>(B940*141.293+C940*267.993+D940*115.016+E940*89.698+F940*40+G940*185+H940*0+I940*100+J940*300)/(141.293+267.993+115.016+89.698+0+40+185+100+300)</f>
        <v>103.88304251065375</v>
      </c>
      <c r="AC940" s="45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101.84620143884892</v>
      </c>
    </row>
    <row r="941" spans="1:29" ht="15.75" x14ac:dyDescent="0.25">
      <c r="A941" s="32">
        <v>69549</v>
      </c>
      <c r="B941" s="14">
        <f>CHOOSE(CONTROL!$C$42, 104.7399, 104.7399) * CHOOSE(CONTROL!$C$21, $C$9, 100%, $E$9)</f>
        <v>104.73990000000001</v>
      </c>
      <c r="C941" s="14">
        <f>CHOOSE(CONTROL!$C$42, 104.748, 104.748) * CHOOSE(CONTROL!$C$21, $C$9, 100%, $E$9)</f>
        <v>104.748</v>
      </c>
      <c r="D941" s="14">
        <f>CHOOSE(CONTROL!$C$42, 104.9529, 104.9529) * CHOOSE(CONTROL!$C$21, $C$9, 100%, $E$9)</f>
        <v>104.9529</v>
      </c>
      <c r="E941" s="14">
        <f>CHOOSE(CONTROL!$C$42, 104.9844, 104.9844) * CHOOSE(CONTROL!$C$21, $C$9, 100%, $E$9)</f>
        <v>104.98439999999999</v>
      </c>
      <c r="F941" s="14">
        <f>CHOOSE(CONTROL!$C$42, 104.7261, 104.7261)*CHOOSE(CONTROL!$C$21, $C$9, 100%, $E$9)</f>
        <v>104.7261</v>
      </c>
      <c r="G941" s="14">
        <f>CHOOSE(CONTROL!$C$42, 104.7425, 104.7425)*CHOOSE(CONTROL!$C$21, $C$9, 100%, $E$9)</f>
        <v>104.74250000000001</v>
      </c>
      <c r="H941" s="14">
        <f>CHOOSE(CONTROL!$C$42, 104.973, 104.973) * CHOOSE(CONTROL!$C$21, $C$9, 100%, $E$9)</f>
        <v>104.973</v>
      </c>
      <c r="I941" s="14">
        <f>CHOOSE(CONTROL!$C$42, 105.076, 105.076)* CHOOSE(CONTROL!$C$21, $C$9, 100%, $E$9)</f>
        <v>105.07599999999999</v>
      </c>
      <c r="J941" s="14">
        <f>CHOOSE(CONTROL!$C$42, 104.7191, 104.7191)* CHOOSE(CONTROL!$C$21, $C$9, 100%, $E$9)</f>
        <v>104.7191</v>
      </c>
      <c r="K941" s="53">
        <f>CHOOSE(CONTROL!$C$42, 105.0721, 105.0721) * CHOOSE(CONTROL!$C$21, $C$9, 100%, $E$9)</f>
        <v>105.07210000000001</v>
      </c>
      <c r="L941" s="14">
        <f>CHOOSE(CONTROL!$C$42, 105.56, 105.56) * CHOOSE(CONTROL!$C$21, $C$9, 100%, $E$9)</f>
        <v>105.56</v>
      </c>
      <c r="M941" s="14">
        <f>CHOOSE(CONTROL!$C$42, 102.5812, 102.5812) * CHOOSE(CONTROL!$C$21, $C$9, 100%, $E$9)</f>
        <v>102.5812</v>
      </c>
      <c r="N941" s="14">
        <f>CHOOSE(CONTROL!$C$42, 102.5973, 102.5973) * CHOOSE(CONTROL!$C$21, $C$9, 100%, $E$9)</f>
        <v>102.5973</v>
      </c>
      <c r="O941" s="14">
        <f>CHOOSE(CONTROL!$C$42, 102.8299, 102.8299) * CHOOSE(CONTROL!$C$21, $C$9, 100%, $E$9)</f>
        <v>102.82989999999999</v>
      </c>
      <c r="P941" s="14">
        <f>CHOOSE(CONTROL!$C$42, 102.9243, 102.9243) * CHOOSE(CONTROL!$C$21, $C$9, 100%, $E$9)</f>
        <v>102.9243</v>
      </c>
      <c r="Q941" s="14">
        <f>CHOOSE(CONTROL!$C$42, 103.4246, 103.4246) * CHOOSE(CONTROL!$C$21, $C$9, 100%, $E$9)</f>
        <v>103.4246</v>
      </c>
      <c r="R941" s="14">
        <f>CHOOSE(CONTROL!$C$42, 104.2702, 104.2702) * CHOOSE(CONTROL!$C$21, $C$9, 100%, $E$9)</f>
        <v>104.2702</v>
      </c>
      <c r="S941" s="14">
        <f>CHOOSE(CONTROL!$C$42, 100.634, 100.634) * CHOOSE(CONTROL!$C$21, $C$9, 100%, $E$9)</f>
        <v>100.634</v>
      </c>
      <c r="T9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7">
        <f>(1000*CHOOSE(CONTROL!$C$42, 695, 695)*CHOOSE(CONTROL!$C$42, 0.5599, 0.5599)*CHOOSE(CONTROL!$C$42, 31, 31))/1000000</f>
        <v>12.063045499999998</v>
      </c>
      <c r="V941" s="57">
        <f>(1000*CHOOSE(CONTROL!$C$42, 500, 500)*CHOOSE(CONTROL!$C$42, 0.275, 0.275)*CHOOSE(CONTROL!$C$42, 31, 31))/1000000</f>
        <v>4.2625000000000002</v>
      </c>
      <c r="W941" s="57">
        <f>(1000*CHOOSE(CONTROL!$C$42, 0.1146, 0.1146)*CHOOSE(CONTROL!$C$42, 121.5, 121.5)*CHOOSE(CONTROL!$C$42, 31, 31))/1000000</f>
        <v>0.43164089999999994</v>
      </c>
      <c r="X941" s="57">
        <f>(31*0.1790888*245000/1000000)+(31*0.2374*100000/1000000)</f>
        <v>2.0961194359999999</v>
      </c>
      <c r="Y941" s="57"/>
      <c r="Z941" s="14"/>
      <c r="AA941" s="56"/>
      <c r="AB941" s="50">
        <f>(B941*194.205+C941*267.466+D941*133.845+E941*53.484+F941*40+G941*185+H941*0+I941*100+J941*300)/(194.205+267.466+133.845+53.484+0+40+185+100+300)</f>
        <v>104.79567024929358</v>
      </c>
      <c r="AC941" s="45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102.74421366906475</v>
      </c>
    </row>
    <row r="942" spans="1:29" ht="15.75" x14ac:dyDescent="0.25">
      <c r="A942" s="32">
        <v>69579</v>
      </c>
      <c r="B942" s="14">
        <f>CHOOSE(CONTROL!$C$42, 107.7107, 107.7107) * CHOOSE(CONTROL!$C$21, $C$9, 100%, $E$9)</f>
        <v>107.7107</v>
      </c>
      <c r="C942" s="14">
        <f>CHOOSE(CONTROL!$C$42, 107.7187, 107.7187) * CHOOSE(CONTROL!$C$21, $C$9, 100%, $E$9)</f>
        <v>107.7187</v>
      </c>
      <c r="D942" s="14">
        <f>CHOOSE(CONTROL!$C$42, 107.9237, 107.9237) * CHOOSE(CONTROL!$C$21, $C$9, 100%, $E$9)</f>
        <v>107.9237</v>
      </c>
      <c r="E942" s="14">
        <f>CHOOSE(CONTROL!$C$42, 107.9552, 107.9552) * CHOOSE(CONTROL!$C$21, $C$9, 100%, $E$9)</f>
        <v>107.9552</v>
      </c>
      <c r="F942" s="14">
        <f>CHOOSE(CONTROL!$C$42, 107.6973, 107.6973)*CHOOSE(CONTROL!$C$21, $C$9, 100%, $E$9)</f>
        <v>107.6973</v>
      </c>
      <c r="G942" s="14">
        <f>CHOOSE(CONTROL!$C$42, 107.7138, 107.7138)*CHOOSE(CONTROL!$C$21, $C$9, 100%, $E$9)</f>
        <v>107.71380000000001</v>
      </c>
      <c r="H942" s="14">
        <f>CHOOSE(CONTROL!$C$42, 107.9438, 107.9438) * CHOOSE(CONTROL!$C$21, $C$9, 100%, $E$9)</f>
        <v>107.9438</v>
      </c>
      <c r="I942" s="14">
        <f>CHOOSE(CONTROL!$C$42, 108.0561, 108.0561)* CHOOSE(CONTROL!$C$21, $C$9, 100%, $E$9)</f>
        <v>108.0561</v>
      </c>
      <c r="J942" s="14">
        <f>CHOOSE(CONTROL!$C$42, 107.6903, 107.6903)* CHOOSE(CONTROL!$C$21, $C$9, 100%, $E$9)</f>
        <v>107.69029999999999</v>
      </c>
      <c r="K942" s="53">
        <f>CHOOSE(CONTROL!$C$42, 108.0522, 108.0522) * CHOOSE(CONTROL!$C$21, $C$9, 100%, $E$9)</f>
        <v>108.0522</v>
      </c>
      <c r="L942" s="14">
        <f>CHOOSE(CONTROL!$C$42, 108.5308, 108.5308) * CHOOSE(CONTROL!$C$21, $C$9, 100%, $E$9)</f>
        <v>108.5308</v>
      </c>
      <c r="M942" s="14">
        <f>CHOOSE(CONTROL!$C$42, 105.4915, 105.4915) * CHOOSE(CONTROL!$C$21, $C$9, 100%, $E$9)</f>
        <v>105.4915</v>
      </c>
      <c r="N942" s="14">
        <f>CHOOSE(CONTROL!$C$42, 105.5076, 105.5076) * CHOOSE(CONTROL!$C$21, $C$9, 100%, $E$9)</f>
        <v>105.5076</v>
      </c>
      <c r="O942" s="14">
        <f>CHOOSE(CONTROL!$C$42, 105.7398, 105.7398) * CHOOSE(CONTROL!$C$21, $C$9, 100%, $E$9)</f>
        <v>105.7398</v>
      </c>
      <c r="P942" s="14">
        <f>CHOOSE(CONTROL!$C$42, 105.8431, 105.8431) * CHOOSE(CONTROL!$C$21, $C$9, 100%, $E$9)</f>
        <v>105.84310000000001</v>
      </c>
      <c r="Q942" s="14">
        <f>CHOOSE(CONTROL!$C$42, 106.3345, 106.3345) * CHOOSE(CONTROL!$C$21, $C$9, 100%, $E$9)</f>
        <v>106.33450000000001</v>
      </c>
      <c r="R942" s="14">
        <f>CHOOSE(CONTROL!$C$42, 107.1873, 107.1873) * CHOOSE(CONTROL!$C$21, $C$9, 100%, $E$9)</f>
        <v>107.18729999999999</v>
      </c>
      <c r="S942" s="14">
        <f>CHOOSE(CONTROL!$C$42, 103.4886, 103.4886) * CHOOSE(CONTROL!$C$21, $C$9, 100%, $E$9)</f>
        <v>103.48860000000001</v>
      </c>
      <c r="T9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7">
        <f>(1000*CHOOSE(CONTROL!$C$42, 695, 695)*CHOOSE(CONTROL!$C$42, 0.5599, 0.5599)*CHOOSE(CONTROL!$C$42, 30, 30))/1000000</f>
        <v>11.673914999999997</v>
      </c>
      <c r="V942" s="57">
        <f>(1000*CHOOSE(CONTROL!$C$42, 500, 500)*CHOOSE(CONTROL!$C$42, 0.275, 0.275)*CHOOSE(CONTROL!$C$42, 30, 30))/1000000</f>
        <v>4.125</v>
      </c>
      <c r="W942" s="57">
        <f>(1000*CHOOSE(CONTROL!$C$42, 0.1146, 0.1146)*CHOOSE(CONTROL!$C$42, 121.5, 121.5)*CHOOSE(CONTROL!$C$42, 30, 30))/1000000</f>
        <v>0.417717</v>
      </c>
      <c r="X942" s="57">
        <f>(30*0.1790888*245000/1000000)+(30*0.2374*100000/1000000)</f>
        <v>2.0285026799999999</v>
      </c>
      <c r="Y942" s="57"/>
      <c r="Z942" s="14"/>
      <c r="AA942" s="56"/>
      <c r="AB942" s="50">
        <f>(B942*194.205+C942*267.466+D942*133.845+E942*53.484+F942*40+G942*185+H942*0+I942*100+J942*300)/(194.205+267.466+133.845+53.484+0+40+185+100+300)</f>
        <v>107.76735859576138</v>
      </c>
      <c r="AC942" s="45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105.65555539568346</v>
      </c>
    </row>
    <row r="943" spans="1:29" ht="15.75" x14ac:dyDescent="0.25">
      <c r="A943" s="32">
        <v>69610</v>
      </c>
      <c r="B943" s="14">
        <f>CHOOSE(CONTROL!$C$42, 105.6445, 105.6445) * CHOOSE(CONTROL!$C$21, $C$9, 100%, $E$9)</f>
        <v>105.64449999999999</v>
      </c>
      <c r="C943" s="14">
        <f>CHOOSE(CONTROL!$C$42, 105.6525, 105.6525) * CHOOSE(CONTROL!$C$21, $C$9, 100%, $E$9)</f>
        <v>105.6525</v>
      </c>
      <c r="D943" s="14">
        <f>CHOOSE(CONTROL!$C$42, 105.8575, 105.8575) * CHOOSE(CONTROL!$C$21, $C$9, 100%, $E$9)</f>
        <v>105.8575</v>
      </c>
      <c r="E943" s="14">
        <f>CHOOSE(CONTROL!$C$42, 105.889, 105.889) * CHOOSE(CONTROL!$C$21, $C$9, 100%, $E$9)</f>
        <v>105.889</v>
      </c>
      <c r="F943" s="14">
        <f>CHOOSE(CONTROL!$C$42, 105.6315, 105.6315)*CHOOSE(CONTROL!$C$21, $C$9, 100%, $E$9)</f>
        <v>105.6315</v>
      </c>
      <c r="G943" s="14">
        <f>CHOOSE(CONTROL!$C$42, 105.6481, 105.6481)*CHOOSE(CONTROL!$C$21, $C$9, 100%, $E$9)</f>
        <v>105.6481</v>
      </c>
      <c r="H943" s="14">
        <f>CHOOSE(CONTROL!$C$42, 105.8776, 105.8776) * CHOOSE(CONTROL!$C$21, $C$9, 100%, $E$9)</f>
        <v>105.8776</v>
      </c>
      <c r="I943" s="14">
        <f>CHOOSE(CONTROL!$C$42, 105.9834, 105.9834)* CHOOSE(CONTROL!$C$21, $C$9, 100%, $E$9)</f>
        <v>105.9834</v>
      </c>
      <c r="J943" s="14">
        <f>CHOOSE(CONTROL!$C$42, 105.6245, 105.6245)* CHOOSE(CONTROL!$C$21, $C$9, 100%, $E$9)</f>
        <v>105.6245</v>
      </c>
      <c r="K943" s="53">
        <f>CHOOSE(CONTROL!$C$42, 105.9795, 105.9795) * CHOOSE(CONTROL!$C$21, $C$9, 100%, $E$9)</f>
        <v>105.9795</v>
      </c>
      <c r="L943" s="14">
        <f>CHOOSE(CONTROL!$C$42, 106.4646, 106.4646) * CHOOSE(CONTROL!$C$21, $C$9, 100%, $E$9)</f>
        <v>106.4646</v>
      </c>
      <c r="M943" s="14">
        <f>CHOOSE(CONTROL!$C$42, 103.468, 103.468) * CHOOSE(CONTROL!$C$21, $C$9, 100%, $E$9)</f>
        <v>103.468</v>
      </c>
      <c r="N943" s="14">
        <f>CHOOSE(CONTROL!$C$42, 103.4843, 103.4843) * CHOOSE(CONTROL!$C$21, $C$9, 100%, $E$9)</f>
        <v>103.4843</v>
      </c>
      <c r="O943" s="14">
        <f>CHOOSE(CONTROL!$C$42, 103.716, 103.716) * CHOOSE(CONTROL!$C$21, $C$9, 100%, $E$9)</f>
        <v>103.71599999999999</v>
      </c>
      <c r="P943" s="14">
        <f>CHOOSE(CONTROL!$C$42, 103.813, 103.813) * CHOOSE(CONTROL!$C$21, $C$9, 100%, $E$9)</f>
        <v>103.813</v>
      </c>
      <c r="Q943" s="14">
        <f>CHOOSE(CONTROL!$C$42, 104.3107, 104.3107) * CHOOSE(CONTROL!$C$21, $C$9, 100%, $E$9)</f>
        <v>104.3107</v>
      </c>
      <c r="R943" s="14">
        <f>CHOOSE(CONTROL!$C$42, 105.1584, 105.1584) * CHOOSE(CONTROL!$C$21, $C$9, 100%, $E$9)</f>
        <v>105.1584</v>
      </c>
      <c r="S943" s="14">
        <f>CHOOSE(CONTROL!$C$42, 101.5032, 101.5032) * CHOOSE(CONTROL!$C$21, $C$9, 100%, $E$9)</f>
        <v>101.50320000000001</v>
      </c>
      <c r="T9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7">
        <f>(1000*CHOOSE(CONTROL!$C$42, 695, 695)*CHOOSE(CONTROL!$C$42, 0.5599, 0.5599)*CHOOSE(CONTROL!$C$42, 31, 31))/1000000</f>
        <v>12.063045499999998</v>
      </c>
      <c r="V943" s="57">
        <f>(1000*CHOOSE(CONTROL!$C$42, 500, 500)*CHOOSE(CONTROL!$C$42, 0.275, 0.275)*CHOOSE(CONTROL!$C$42, 31, 31))/1000000</f>
        <v>4.2625000000000002</v>
      </c>
      <c r="W943" s="57">
        <f>(1000*CHOOSE(CONTROL!$C$42, 0.1146, 0.1146)*CHOOSE(CONTROL!$C$42, 121.5, 121.5)*CHOOSE(CONTROL!$C$42, 31, 31))/1000000</f>
        <v>0.43164089999999994</v>
      </c>
      <c r="X943" s="57">
        <f>(31*0.1790888*245000/1000000)+(31*0.2374*100000/1000000)</f>
        <v>2.0961194359999999</v>
      </c>
      <c r="Y943" s="57"/>
      <c r="Z943" s="14"/>
      <c r="AA943" s="56"/>
      <c r="AB943" s="50">
        <f>(B943*194.205+C943*267.466+D943*133.845+E943*53.484+F943*40+G943*185+H943*0+I943*100+J943*300)/(194.205+267.466+133.845+53.484+0+40+185+100+300)</f>
        <v>105.70082774803767</v>
      </c>
      <c r="AC943" s="45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103.63098129496402</v>
      </c>
    </row>
    <row r="944" spans="1:29" ht="15.75" x14ac:dyDescent="0.25">
      <c r="A944" s="32">
        <v>69641</v>
      </c>
      <c r="B944" s="14">
        <f>CHOOSE(CONTROL!$C$42, 100.4268, 100.4268) * CHOOSE(CONTROL!$C$21, $C$9, 100%, $E$9)</f>
        <v>100.4268</v>
      </c>
      <c r="C944" s="14">
        <f>CHOOSE(CONTROL!$C$42, 100.4348, 100.4348) * CHOOSE(CONTROL!$C$21, $C$9, 100%, $E$9)</f>
        <v>100.4348</v>
      </c>
      <c r="D944" s="14">
        <f>CHOOSE(CONTROL!$C$42, 100.6398, 100.6398) * CHOOSE(CONTROL!$C$21, $C$9, 100%, $E$9)</f>
        <v>100.63979999999999</v>
      </c>
      <c r="E944" s="14">
        <f>CHOOSE(CONTROL!$C$42, 100.6712, 100.6712) * CHOOSE(CONTROL!$C$21, $C$9, 100%, $E$9)</f>
        <v>100.6712</v>
      </c>
      <c r="F944" s="14">
        <f>CHOOSE(CONTROL!$C$42, 100.414, 100.414)*CHOOSE(CONTROL!$C$21, $C$9, 100%, $E$9)</f>
        <v>100.414</v>
      </c>
      <c r="G944" s="14">
        <f>CHOOSE(CONTROL!$C$42, 100.4306, 100.4306)*CHOOSE(CONTROL!$C$21, $C$9, 100%, $E$9)</f>
        <v>100.4306</v>
      </c>
      <c r="H944" s="14">
        <f>CHOOSE(CONTROL!$C$42, 100.6599, 100.6599) * CHOOSE(CONTROL!$C$21, $C$9, 100%, $E$9)</f>
        <v>100.65989999999999</v>
      </c>
      <c r="I944" s="14">
        <f>CHOOSE(CONTROL!$C$42, 100.7493, 100.7493)* CHOOSE(CONTROL!$C$21, $C$9, 100%, $E$9)</f>
        <v>100.74930000000001</v>
      </c>
      <c r="J944" s="14">
        <f>CHOOSE(CONTROL!$C$42, 100.407, 100.407)* CHOOSE(CONTROL!$C$21, $C$9, 100%, $E$9)</f>
        <v>100.407</v>
      </c>
      <c r="K944" s="53">
        <f>CHOOSE(CONTROL!$C$42, 100.7455, 100.7455) * CHOOSE(CONTROL!$C$21, $C$9, 100%, $E$9)</f>
        <v>100.74550000000001</v>
      </c>
      <c r="L944" s="14">
        <f>CHOOSE(CONTROL!$C$42, 101.2469, 101.2469) * CHOOSE(CONTROL!$C$21, $C$9, 100%, $E$9)</f>
        <v>101.2469</v>
      </c>
      <c r="M944" s="14">
        <f>CHOOSE(CONTROL!$C$42, 98.3574, 98.3574) * CHOOSE(CONTROL!$C$21, $C$9, 100%, $E$9)</f>
        <v>98.357399999999998</v>
      </c>
      <c r="N944" s="14">
        <f>CHOOSE(CONTROL!$C$42, 98.3737, 98.3737) * CHOOSE(CONTROL!$C$21, $C$9, 100%, $E$9)</f>
        <v>98.373699999999999</v>
      </c>
      <c r="O944" s="14">
        <f>CHOOSE(CONTROL!$C$42, 98.6051, 98.6051) * CHOOSE(CONTROL!$C$21, $C$9, 100%, $E$9)</f>
        <v>98.605099999999993</v>
      </c>
      <c r="P944" s="14">
        <f>CHOOSE(CONTROL!$C$42, 98.6865, 98.6865) * CHOOSE(CONTROL!$C$21, $C$9, 100%, $E$9)</f>
        <v>98.686499999999995</v>
      </c>
      <c r="Q944" s="14">
        <f>CHOOSE(CONTROL!$C$42, 99.1998, 99.1998) * CHOOSE(CONTROL!$C$21, $C$9, 100%, $E$9)</f>
        <v>99.199799999999996</v>
      </c>
      <c r="R944" s="14">
        <f>CHOOSE(CONTROL!$C$42, 100.0348, 100.0348) * CHOOSE(CONTROL!$C$21, $C$9, 100%, $E$9)</f>
        <v>100.0348</v>
      </c>
      <c r="S944" s="14">
        <f>CHOOSE(CONTROL!$C$42, 96.4895, 96.4895) * CHOOSE(CONTROL!$C$21, $C$9, 100%, $E$9)</f>
        <v>96.489500000000007</v>
      </c>
      <c r="T9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7">
        <f>(1000*CHOOSE(CONTROL!$C$42, 695, 695)*CHOOSE(CONTROL!$C$42, 0.5599, 0.5599)*CHOOSE(CONTROL!$C$42, 31, 31))/1000000</f>
        <v>12.063045499999998</v>
      </c>
      <c r="V944" s="57">
        <f>(1000*CHOOSE(CONTROL!$C$42, 500, 500)*CHOOSE(CONTROL!$C$42, 0.275, 0.275)*CHOOSE(CONTROL!$C$42, 31, 31))/1000000</f>
        <v>4.2625000000000002</v>
      </c>
      <c r="W944" s="57">
        <f>(1000*CHOOSE(CONTROL!$C$42, 0.1146, 0.1146)*CHOOSE(CONTROL!$C$42, 121.5, 121.5)*CHOOSE(CONTROL!$C$42, 31, 31))/1000000</f>
        <v>0.43164089999999994</v>
      </c>
      <c r="X944" s="57">
        <f>(31*0.1790888*245000/1000000)+(31*0.2374*100000/1000000)</f>
        <v>2.0961194359999999</v>
      </c>
      <c r="Y944" s="57"/>
      <c r="Z944" s="14"/>
      <c r="AA944" s="56"/>
      <c r="AB944" s="50">
        <f>(B944*194.205+C944*267.466+D944*133.845+E944*53.484+F944*40+G944*185+H944*0+I944*100+J944*300)/(194.205+267.466+133.845+53.484+0+40+185+100+300)</f>
        <v>100.48191868335948</v>
      </c>
      <c r="AC944" s="45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98.517957553956819</v>
      </c>
    </row>
    <row r="945" spans="1:29" ht="15.75" x14ac:dyDescent="0.25">
      <c r="A945" s="32">
        <v>69671</v>
      </c>
      <c r="B945" s="14">
        <f>CHOOSE(CONTROL!$C$42, 94.0513, 94.0513) * CHOOSE(CONTROL!$C$21, $C$9, 100%, $E$9)</f>
        <v>94.051299999999998</v>
      </c>
      <c r="C945" s="14">
        <f>CHOOSE(CONTROL!$C$42, 94.0593, 94.0593) * CHOOSE(CONTROL!$C$21, $C$9, 100%, $E$9)</f>
        <v>94.059299999999993</v>
      </c>
      <c r="D945" s="14">
        <f>CHOOSE(CONTROL!$C$42, 94.2643, 94.2643) * CHOOSE(CONTROL!$C$21, $C$9, 100%, $E$9)</f>
        <v>94.264300000000006</v>
      </c>
      <c r="E945" s="14">
        <f>CHOOSE(CONTROL!$C$42, 94.2957, 94.2957) * CHOOSE(CONTROL!$C$21, $C$9, 100%, $E$9)</f>
        <v>94.295699999999997</v>
      </c>
      <c r="F945" s="14">
        <f>CHOOSE(CONTROL!$C$42, 94.0384, 94.0384)*CHOOSE(CONTROL!$C$21, $C$9, 100%, $E$9)</f>
        <v>94.038399999999996</v>
      </c>
      <c r="G945" s="14">
        <f>CHOOSE(CONTROL!$C$42, 94.0551, 94.0551)*CHOOSE(CONTROL!$C$21, $C$9, 100%, $E$9)</f>
        <v>94.055099999999996</v>
      </c>
      <c r="H945" s="14">
        <f>CHOOSE(CONTROL!$C$42, 94.2844, 94.2844) * CHOOSE(CONTROL!$C$21, $C$9, 100%, $E$9)</f>
        <v>94.284400000000005</v>
      </c>
      <c r="I945" s="14">
        <f>CHOOSE(CONTROL!$C$42, 94.3539, 94.3539)* CHOOSE(CONTROL!$C$21, $C$9, 100%, $E$9)</f>
        <v>94.353899999999996</v>
      </c>
      <c r="J945" s="14">
        <f>CHOOSE(CONTROL!$C$42, 94.0314, 94.0314)* CHOOSE(CONTROL!$C$21, $C$9, 100%, $E$9)</f>
        <v>94.031400000000005</v>
      </c>
      <c r="K945" s="53">
        <f>CHOOSE(CONTROL!$C$42, 94.35, 94.35) * CHOOSE(CONTROL!$C$21, $C$9, 100%, $E$9)</f>
        <v>94.35</v>
      </c>
      <c r="L945" s="14">
        <f>CHOOSE(CONTROL!$C$42, 94.8714, 94.8714) * CHOOSE(CONTROL!$C$21, $C$9, 100%, $E$9)</f>
        <v>94.871399999999994</v>
      </c>
      <c r="M945" s="14">
        <f>CHOOSE(CONTROL!$C$42, 92.1125, 92.1125) * CHOOSE(CONTROL!$C$21, $C$9, 100%, $E$9)</f>
        <v>92.112499999999997</v>
      </c>
      <c r="N945" s="14">
        <f>CHOOSE(CONTROL!$C$42, 92.1288, 92.1288) * CHOOSE(CONTROL!$C$21, $C$9, 100%, $E$9)</f>
        <v>92.128799999999998</v>
      </c>
      <c r="O945" s="14">
        <f>CHOOSE(CONTROL!$C$42, 92.3602, 92.3602) * CHOOSE(CONTROL!$C$21, $C$9, 100%, $E$9)</f>
        <v>92.360200000000006</v>
      </c>
      <c r="P945" s="14">
        <f>CHOOSE(CONTROL!$C$42, 92.4225, 92.4225) * CHOOSE(CONTROL!$C$21, $C$9, 100%, $E$9)</f>
        <v>92.422499999999999</v>
      </c>
      <c r="Q945" s="14">
        <f>CHOOSE(CONTROL!$C$42, 92.9549, 92.9549) * CHOOSE(CONTROL!$C$21, $C$9, 100%, $E$9)</f>
        <v>92.954899999999995</v>
      </c>
      <c r="R945" s="14">
        <f>CHOOSE(CONTROL!$C$42, 93.7743, 93.7743) * CHOOSE(CONTROL!$C$21, $C$9, 100%, $E$9)</f>
        <v>93.774299999999997</v>
      </c>
      <c r="S945" s="14">
        <f>CHOOSE(CONTROL!$C$42, 90.3632, 90.3632) * CHOOSE(CONTROL!$C$21, $C$9, 100%, $E$9)</f>
        <v>90.363200000000006</v>
      </c>
      <c r="T9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7">
        <f>(1000*CHOOSE(CONTROL!$C$42, 695, 695)*CHOOSE(CONTROL!$C$42, 0.5599, 0.5599)*CHOOSE(CONTROL!$C$42, 30, 30))/1000000</f>
        <v>11.673914999999997</v>
      </c>
      <c r="V945" s="57">
        <f>(1000*CHOOSE(CONTROL!$C$42, 500, 500)*CHOOSE(CONTROL!$C$42, 0.275, 0.275)*CHOOSE(CONTROL!$C$42, 30, 30))/1000000</f>
        <v>4.125</v>
      </c>
      <c r="W945" s="57">
        <f>(1000*CHOOSE(CONTROL!$C$42, 0.1146, 0.1146)*CHOOSE(CONTROL!$C$42, 121.5, 121.5)*CHOOSE(CONTROL!$C$42, 30, 30))/1000000</f>
        <v>0.417717</v>
      </c>
      <c r="X945" s="57">
        <f>(30*0.1790888*245000/1000000)+(30*0.2374*100000/1000000)</f>
        <v>2.0285026799999999</v>
      </c>
      <c r="Y945" s="57"/>
      <c r="Z945" s="14"/>
      <c r="AA945" s="56"/>
      <c r="AB945" s="50">
        <f>(B945*194.205+C945*267.466+D945*133.845+E945*53.484+F945*40+G945*185+H945*0+I945*100+J945*300)/(194.205+267.466+133.845+53.484+0+40+185+100+300)</f>
        <v>94.104829986342239</v>
      </c>
      <c r="AC945" s="45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92.270309352517998</v>
      </c>
    </row>
    <row r="946" spans="1:29" ht="15.75" x14ac:dyDescent="0.25">
      <c r="A946" s="32">
        <v>69702</v>
      </c>
      <c r="B946" s="14">
        <f>CHOOSE(CONTROL!$C$42, 92.1401, 92.1401) * CHOOSE(CONTROL!$C$21, $C$9, 100%, $E$9)</f>
        <v>92.140100000000004</v>
      </c>
      <c r="C946" s="14">
        <f>CHOOSE(CONTROL!$C$42, 92.1454, 92.1454) * CHOOSE(CONTROL!$C$21, $C$9, 100%, $E$9)</f>
        <v>92.145399999999995</v>
      </c>
      <c r="D946" s="14">
        <f>CHOOSE(CONTROL!$C$42, 92.3554, 92.3554) * CHOOSE(CONTROL!$C$21, $C$9, 100%, $E$9)</f>
        <v>92.355400000000003</v>
      </c>
      <c r="E946" s="14">
        <f>CHOOSE(CONTROL!$C$42, 92.3845, 92.3845) * CHOOSE(CONTROL!$C$21, $C$9, 100%, $E$9)</f>
        <v>92.384500000000003</v>
      </c>
      <c r="F946" s="14">
        <f>CHOOSE(CONTROL!$C$42, 92.1293, 92.1293)*CHOOSE(CONTROL!$C$21, $C$9, 100%, $E$9)</f>
        <v>92.129300000000001</v>
      </c>
      <c r="G946" s="14">
        <f>CHOOSE(CONTROL!$C$42, 92.1457, 92.1457)*CHOOSE(CONTROL!$C$21, $C$9, 100%, $E$9)</f>
        <v>92.145700000000005</v>
      </c>
      <c r="H946" s="14">
        <f>CHOOSE(CONTROL!$C$42, 92.375, 92.375) * CHOOSE(CONTROL!$C$21, $C$9, 100%, $E$9)</f>
        <v>92.375</v>
      </c>
      <c r="I946" s="14">
        <f>CHOOSE(CONTROL!$C$42, 92.4385, 92.4385)* CHOOSE(CONTROL!$C$21, $C$9, 100%, $E$9)</f>
        <v>92.438500000000005</v>
      </c>
      <c r="J946" s="14">
        <f>CHOOSE(CONTROL!$C$42, 92.1223, 92.1223)* CHOOSE(CONTROL!$C$21, $C$9, 100%, $E$9)</f>
        <v>92.122299999999996</v>
      </c>
      <c r="K946" s="53">
        <f>CHOOSE(CONTROL!$C$42, 92.4346, 92.4346) * CHOOSE(CONTROL!$C$21, $C$9, 100%, $E$9)</f>
        <v>92.434600000000003</v>
      </c>
      <c r="L946" s="14">
        <f>CHOOSE(CONTROL!$C$42, 92.962, 92.962) * CHOOSE(CONTROL!$C$21, $C$9, 100%, $E$9)</f>
        <v>92.962000000000003</v>
      </c>
      <c r="M946" s="14">
        <f>CHOOSE(CONTROL!$C$42, 90.2425, 90.2425) * CHOOSE(CONTROL!$C$21, $C$9, 100%, $E$9)</f>
        <v>90.242500000000007</v>
      </c>
      <c r="N946" s="14">
        <f>CHOOSE(CONTROL!$C$42, 90.2585, 90.2585) * CHOOSE(CONTROL!$C$21, $C$9, 100%, $E$9)</f>
        <v>90.258499999999998</v>
      </c>
      <c r="O946" s="14">
        <f>CHOOSE(CONTROL!$C$42, 90.49, 90.49) * CHOOSE(CONTROL!$C$21, $C$9, 100%, $E$9)</f>
        <v>90.49</v>
      </c>
      <c r="P946" s="14">
        <f>CHOOSE(CONTROL!$C$42, 90.5465, 90.5465) * CHOOSE(CONTROL!$C$21, $C$9, 100%, $E$9)</f>
        <v>90.546499999999995</v>
      </c>
      <c r="Q946" s="14">
        <f>CHOOSE(CONTROL!$C$42, 91.0847, 91.0847) * CHOOSE(CONTROL!$C$21, $C$9, 100%, $E$9)</f>
        <v>91.084699999999998</v>
      </c>
      <c r="R946" s="14">
        <f>CHOOSE(CONTROL!$C$42, 91.8994, 91.8994) * CHOOSE(CONTROL!$C$21, $C$9, 100%, $E$9)</f>
        <v>91.8994</v>
      </c>
      <c r="S946" s="14">
        <f>CHOOSE(CONTROL!$C$42, 88.5285, 88.5285) * CHOOSE(CONTROL!$C$21, $C$9, 100%, $E$9)</f>
        <v>88.528499999999994</v>
      </c>
      <c r="T9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7">
        <f>(1000*CHOOSE(CONTROL!$C$42, 695, 695)*CHOOSE(CONTROL!$C$42, 0.5599, 0.5599)*CHOOSE(CONTROL!$C$42, 31, 31))/1000000</f>
        <v>12.063045499999998</v>
      </c>
      <c r="V946" s="57">
        <f>(1000*CHOOSE(CONTROL!$C$42, 500, 500)*CHOOSE(CONTROL!$C$42, 0.275, 0.275)*CHOOSE(CONTROL!$C$42, 31, 31))/1000000</f>
        <v>4.2625000000000002</v>
      </c>
      <c r="W946" s="57">
        <f>(1000*CHOOSE(CONTROL!$C$42, 0.1146, 0.1146)*CHOOSE(CONTROL!$C$42, 121.5, 121.5)*CHOOSE(CONTROL!$C$42, 31, 31))/1000000</f>
        <v>0.43164089999999994</v>
      </c>
      <c r="X946" s="57">
        <f>(31*0.1790888*245000/1000000)+(31*0.2374*100000/1000000)</f>
        <v>2.0961194359999999</v>
      </c>
      <c r="Y946" s="57"/>
      <c r="Z946" s="14"/>
      <c r="AA946" s="56"/>
      <c r="AB946" s="50">
        <f>(B946*131.881+C946*277.167+D946*79.08+E946*125.872+F946*40+G946*185+H946*0+I946*100+J946*300)/(131.881+277.167+79.08+125.872+0+40+185+100+300)</f>
        <v>92.200117777159008</v>
      </c>
      <c r="AC946" s="45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90.3993381294964</v>
      </c>
    </row>
    <row r="947" spans="1:29" ht="15.75" x14ac:dyDescent="0.25">
      <c r="A947" s="32">
        <v>69732</v>
      </c>
      <c r="B947" s="14">
        <f>CHOOSE(CONTROL!$C$42, 94.5669, 94.5669) * CHOOSE(CONTROL!$C$21, $C$9, 100%, $E$9)</f>
        <v>94.566900000000004</v>
      </c>
      <c r="C947" s="14">
        <f>CHOOSE(CONTROL!$C$42, 94.5719, 94.5719) * CHOOSE(CONTROL!$C$21, $C$9, 100%, $E$9)</f>
        <v>94.571899999999999</v>
      </c>
      <c r="D947" s="14">
        <f>CHOOSE(CONTROL!$C$42, 94.6357, 94.6357) * CHOOSE(CONTROL!$C$21, $C$9, 100%, $E$9)</f>
        <v>94.6357</v>
      </c>
      <c r="E947" s="14">
        <f>CHOOSE(CONTROL!$C$42, 94.6698, 94.6698) * CHOOSE(CONTROL!$C$21, $C$9, 100%, $E$9)</f>
        <v>94.669799999999995</v>
      </c>
      <c r="F947" s="14">
        <f>CHOOSE(CONTROL!$C$42, 94.5691, 94.5691)*CHOOSE(CONTROL!$C$21, $C$9, 100%, $E$9)</f>
        <v>94.569100000000006</v>
      </c>
      <c r="G947" s="14">
        <f>CHOOSE(CONTROL!$C$42, 94.5858, 94.5858)*CHOOSE(CONTROL!$C$21, $C$9, 100%, $E$9)</f>
        <v>94.585800000000006</v>
      </c>
      <c r="H947" s="14">
        <f>CHOOSE(CONTROL!$C$42, 94.659, 94.659) * CHOOSE(CONTROL!$C$21, $C$9, 100%, $E$9)</f>
        <v>94.659000000000006</v>
      </c>
      <c r="I947" s="14">
        <f>CHOOSE(CONTROL!$C$42, 94.8769, 94.8769)* CHOOSE(CONTROL!$C$21, $C$9, 100%, $E$9)</f>
        <v>94.876900000000006</v>
      </c>
      <c r="J947" s="14">
        <f>CHOOSE(CONTROL!$C$42, 94.5621, 94.5621)* CHOOSE(CONTROL!$C$21, $C$9, 100%, $E$9)</f>
        <v>94.562100000000001</v>
      </c>
      <c r="K947" s="53">
        <f>CHOOSE(CONTROL!$C$42, 94.873, 94.873) * CHOOSE(CONTROL!$C$21, $C$9, 100%, $E$9)</f>
        <v>94.873000000000005</v>
      </c>
      <c r="L947" s="14">
        <f>CHOOSE(CONTROL!$C$42, 95.246, 95.246) * CHOOSE(CONTROL!$C$21, $C$9, 100%, $E$9)</f>
        <v>95.245999999999995</v>
      </c>
      <c r="M947" s="14">
        <f>CHOOSE(CONTROL!$C$42, 92.6323, 92.6323) * CHOOSE(CONTROL!$C$21, $C$9, 100%, $E$9)</f>
        <v>92.632300000000001</v>
      </c>
      <c r="N947" s="14">
        <f>CHOOSE(CONTROL!$C$42, 92.6486, 92.6486) * CHOOSE(CONTROL!$C$21, $C$9, 100%, $E$9)</f>
        <v>92.648600000000002</v>
      </c>
      <c r="O947" s="14">
        <f>CHOOSE(CONTROL!$C$42, 92.7272, 92.7272) * CHOOSE(CONTROL!$C$21, $C$9, 100%, $E$9)</f>
        <v>92.727199999999996</v>
      </c>
      <c r="P947" s="14">
        <f>CHOOSE(CONTROL!$C$42, 92.9348, 92.9348) * CHOOSE(CONTROL!$C$21, $C$9, 100%, $E$9)</f>
        <v>92.934799999999996</v>
      </c>
      <c r="Q947" s="14">
        <f>CHOOSE(CONTROL!$C$42, 93.3219, 93.3219) * CHOOSE(CONTROL!$C$21, $C$9, 100%, $E$9)</f>
        <v>93.321899999999999</v>
      </c>
      <c r="R947" s="14">
        <f>CHOOSE(CONTROL!$C$42, 94.1422, 94.1422) * CHOOSE(CONTROL!$C$21, $C$9, 100%, $E$9)</f>
        <v>94.142200000000003</v>
      </c>
      <c r="S947" s="14">
        <f>CHOOSE(CONTROL!$C$42, 90.8607, 90.8607) * CHOOSE(CONTROL!$C$21, $C$9, 100%, $E$9)</f>
        <v>90.860699999999994</v>
      </c>
      <c r="T9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7">
        <f>(1000*CHOOSE(CONTROL!$C$42, 695, 695)*CHOOSE(CONTROL!$C$42, 0.5599, 0.5599)*CHOOSE(CONTROL!$C$42, 30, 30))/1000000</f>
        <v>11.673914999999997</v>
      </c>
      <c r="V947" s="57">
        <f>(1000*CHOOSE(CONTROL!$C$42, 500, 500)*CHOOSE(CONTROL!$C$42, 0.275, 0.275)*CHOOSE(CONTROL!$C$42, 30, 30))/1000000</f>
        <v>4.125</v>
      </c>
      <c r="W947" s="57">
        <f>(1000*CHOOSE(CONTROL!$C$42, 0.1146, 0.1146)*CHOOSE(CONTROL!$C$42, 121.5, 121.5)*CHOOSE(CONTROL!$C$42, 30, 30))/1000000</f>
        <v>0.417717</v>
      </c>
      <c r="X947" s="57">
        <f>(30*0.1790888*100000/1000000)+(30*0.2374*100000/1000000)</f>
        <v>1.2494664</v>
      </c>
      <c r="Y947" s="57"/>
      <c r="Z947" s="14"/>
      <c r="AA947" s="56"/>
      <c r="AB947" s="50">
        <f>(B947*122.58+C947*297.941+D947*89.177+E947*40.302+F947*40+G947*160+H947*0+I947*100+J947*300)/(122.58+297.941+89.177+40.302+0+40+160+100+300)</f>
        <v>94.605547094260871</v>
      </c>
      <c r="AC947" s="45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92.719775539568332</v>
      </c>
    </row>
    <row r="948" spans="1:29" ht="15.75" x14ac:dyDescent="0.25">
      <c r="A948" s="32">
        <v>69763</v>
      </c>
      <c r="B948" s="14">
        <f>CHOOSE(CONTROL!$C$42, 101.0137, 101.0137) * CHOOSE(CONTROL!$C$21, $C$9, 100%, $E$9)</f>
        <v>101.0137</v>
      </c>
      <c r="C948" s="14">
        <f>CHOOSE(CONTROL!$C$42, 101.0188, 101.0188) * CHOOSE(CONTROL!$C$21, $C$9, 100%, $E$9)</f>
        <v>101.0188</v>
      </c>
      <c r="D948" s="14">
        <f>CHOOSE(CONTROL!$C$42, 101.0826, 101.0826) * CHOOSE(CONTROL!$C$21, $C$9, 100%, $E$9)</f>
        <v>101.0826</v>
      </c>
      <c r="E948" s="14">
        <f>CHOOSE(CONTROL!$C$42, 101.1167, 101.1167) * CHOOSE(CONTROL!$C$21, $C$9, 100%, $E$9)</f>
        <v>101.11669999999999</v>
      </c>
      <c r="F948" s="14">
        <f>CHOOSE(CONTROL!$C$42, 101.018, 101.018)*CHOOSE(CONTROL!$C$21, $C$9, 100%, $E$9)</f>
        <v>101.018</v>
      </c>
      <c r="G948" s="14">
        <f>CHOOSE(CONTROL!$C$42, 101.0352, 101.0352)*CHOOSE(CONTROL!$C$21, $C$9, 100%, $E$9)</f>
        <v>101.0352</v>
      </c>
      <c r="H948" s="14">
        <f>CHOOSE(CONTROL!$C$42, 101.1059, 101.1059) * CHOOSE(CONTROL!$C$21, $C$9, 100%, $E$9)</f>
        <v>101.10590000000001</v>
      </c>
      <c r="I948" s="14">
        <f>CHOOSE(CONTROL!$C$42, 101.344, 101.344)* CHOOSE(CONTROL!$C$21, $C$9, 100%, $E$9)</f>
        <v>101.34399999999999</v>
      </c>
      <c r="J948" s="14">
        <f>CHOOSE(CONTROL!$C$42, 101.011, 101.011)* CHOOSE(CONTROL!$C$21, $C$9, 100%, $E$9)</f>
        <v>101.011</v>
      </c>
      <c r="K948" s="53">
        <f>CHOOSE(CONTROL!$C$42, 101.3401, 101.3401) * CHOOSE(CONTROL!$C$21, $C$9, 100%, $E$9)</f>
        <v>101.34010000000001</v>
      </c>
      <c r="L948" s="14">
        <f>CHOOSE(CONTROL!$C$42, 101.6929, 101.6929) * CHOOSE(CONTROL!$C$21, $C$9, 100%, $E$9)</f>
        <v>101.69289999999999</v>
      </c>
      <c r="M948" s="14">
        <f>CHOOSE(CONTROL!$C$42, 98.9491, 98.9491) * CHOOSE(CONTROL!$C$21, $C$9, 100%, $E$9)</f>
        <v>98.949100000000001</v>
      </c>
      <c r="N948" s="14">
        <f>CHOOSE(CONTROL!$C$42, 98.9659, 98.9659) * CHOOSE(CONTROL!$C$21, $C$9, 100%, $E$9)</f>
        <v>98.965900000000005</v>
      </c>
      <c r="O948" s="14">
        <f>CHOOSE(CONTROL!$C$42, 99.042, 99.042) * CHOOSE(CONTROL!$C$21, $C$9, 100%, $E$9)</f>
        <v>99.042000000000002</v>
      </c>
      <c r="P948" s="14">
        <f>CHOOSE(CONTROL!$C$42, 99.2689, 99.2689) * CHOOSE(CONTROL!$C$21, $C$9, 100%, $E$9)</f>
        <v>99.268900000000002</v>
      </c>
      <c r="Q948" s="14">
        <f>CHOOSE(CONTROL!$C$42, 99.6367, 99.6367) * CHOOSE(CONTROL!$C$21, $C$9, 100%, $E$9)</f>
        <v>99.636700000000005</v>
      </c>
      <c r="R948" s="14">
        <f>CHOOSE(CONTROL!$C$42, 100.4728, 100.4728) * CHOOSE(CONTROL!$C$21, $C$9, 100%, $E$9)</f>
        <v>100.47280000000001</v>
      </c>
      <c r="S948" s="14">
        <f>CHOOSE(CONTROL!$C$42, 97.0555, 97.0555) * CHOOSE(CONTROL!$C$21, $C$9, 100%, $E$9)</f>
        <v>97.055499999999995</v>
      </c>
      <c r="T9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7">
        <f>(1000*CHOOSE(CONTROL!$C$42, 695, 695)*CHOOSE(CONTROL!$C$42, 0.5599, 0.5599)*CHOOSE(CONTROL!$C$42, 31, 31))/1000000</f>
        <v>12.063045499999998</v>
      </c>
      <c r="V948" s="57">
        <f>(1000*CHOOSE(CONTROL!$C$42, 500, 500)*CHOOSE(CONTROL!$C$42, 0.275, 0.275)*CHOOSE(CONTROL!$C$42, 31, 31))/1000000</f>
        <v>4.2625000000000002</v>
      </c>
      <c r="W948" s="57">
        <f>(1000*CHOOSE(CONTROL!$C$42, 0.1146, 0.1146)*CHOOSE(CONTROL!$C$42, 121.5, 121.5)*CHOOSE(CONTROL!$C$42, 31, 31))/1000000</f>
        <v>0.43164089999999994</v>
      </c>
      <c r="X948" s="57">
        <f>(31*0.1790888*100000/1000000)+(31*0.2374*100000/1000000)</f>
        <v>1.2911152800000001</v>
      </c>
      <c r="Y948" s="57"/>
      <c r="Z948" s="14"/>
      <c r="AA948" s="56"/>
      <c r="AB948" s="50">
        <f>(B948*122.58+C948*297.941+D948*89.177+E948*40.302+F948*40+G948*160+H948*0+I948*100+J948*300)/(122.58+297.941+89.177+40.302+0+40+160+100+300)</f>
        <v>101.05513208730434</v>
      </c>
      <c r="AC948" s="45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99.03818705035971</v>
      </c>
    </row>
    <row r="949" spans="1:29" ht="15.75" x14ac:dyDescent="0.25">
      <c r="A949" s="32">
        <v>69794</v>
      </c>
      <c r="B949" s="14">
        <f>CHOOSE(CONTROL!$C$42, 109.2874, 109.2874) * CHOOSE(CONTROL!$C$21, $C$9, 100%, $E$9)</f>
        <v>109.28740000000001</v>
      </c>
      <c r="C949" s="14">
        <f>CHOOSE(CONTROL!$C$42, 109.2924, 109.2924) * CHOOSE(CONTROL!$C$21, $C$9, 100%, $E$9)</f>
        <v>109.2924</v>
      </c>
      <c r="D949" s="14">
        <f>CHOOSE(CONTROL!$C$42, 109.3511, 109.3511) * CHOOSE(CONTROL!$C$21, $C$9, 100%, $E$9)</f>
        <v>109.3511</v>
      </c>
      <c r="E949" s="14">
        <f>CHOOSE(CONTROL!$C$42, 109.3852, 109.3852) * CHOOSE(CONTROL!$C$21, $C$9, 100%, $E$9)</f>
        <v>109.3852</v>
      </c>
      <c r="F949" s="14">
        <f>CHOOSE(CONTROL!$C$42, 109.2865, 109.2865)*CHOOSE(CONTROL!$C$21, $C$9, 100%, $E$9)</f>
        <v>109.2865</v>
      </c>
      <c r="G949" s="14">
        <f>CHOOSE(CONTROL!$C$42, 109.3029, 109.3029)*CHOOSE(CONTROL!$C$21, $C$9, 100%, $E$9)</f>
        <v>109.30289999999999</v>
      </c>
      <c r="H949" s="14">
        <f>CHOOSE(CONTROL!$C$42, 109.3744, 109.3744) * CHOOSE(CONTROL!$C$21, $C$9, 100%, $E$9)</f>
        <v>109.37439999999999</v>
      </c>
      <c r="I949" s="14">
        <f>CHOOSE(CONTROL!$C$42, 109.6399, 109.6399)* CHOOSE(CONTROL!$C$21, $C$9, 100%, $E$9)</f>
        <v>109.6399</v>
      </c>
      <c r="J949" s="14">
        <f>CHOOSE(CONTROL!$C$42, 109.2795, 109.2795)* CHOOSE(CONTROL!$C$21, $C$9, 100%, $E$9)</f>
        <v>109.2795</v>
      </c>
      <c r="K949" s="53">
        <f>CHOOSE(CONTROL!$C$42, 109.636, 109.636) * CHOOSE(CONTROL!$C$21, $C$9, 100%, $E$9)</f>
        <v>109.636</v>
      </c>
      <c r="L949" s="14">
        <f>CHOOSE(CONTROL!$C$42, 109.9614, 109.9614) * CHOOSE(CONTROL!$C$21, $C$9, 100%, $E$9)</f>
        <v>109.9614</v>
      </c>
      <c r="M949" s="14">
        <f>CHOOSE(CONTROL!$C$42, 107.0481, 107.0481) * CHOOSE(CONTROL!$C$21, $C$9, 100%, $E$9)</f>
        <v>107.04810000000001</v>
      </c>
      <c r="N949" s="14">
        <f>CHOOSE(CONTROL!$C$42, 107.0642, 107.0642) * CHOOSE(CONTROL!$C$21, $C$9, 100%, $E$9)</f>
        <v>107.0642</v>
      </c>
      <c r="O949" s="14">
        <f>CHOOSE(CONTROL!$C$42, 107.141, 107.141) * CHOOSE(CONTROL!$C$21, $C$9, 100%, $E$9)</f>
        <v>107.14100000000001</v>
      </c>
      <c r="P949" s="14">
        <f>CHOOSE(CONTROL!$C$42, 107.3943, 107.3943) * CHOOSE(CONTROL!$C$21, $C$9, 100%, $E$9)</f>
        <v>107.3943</v>
      </c>
      <c r="Q949" s="14">
        <f>CHOOSE(CONTROL!$C$42, 107.7357, 107.7357) * CHOOSE(CONTROL!$C$21, $C$9, 100%, $E$9)</f>
        <v>107.73569999999999</v>
      </c>
      <c r="R949" s="14">
        <f>CHOOSE(CONTROL!$C$42, 108.5921, 108.5921) * CHOOSE(CONTROL!$C$21, $C$9, 100%, $E$9)</f>
        <v>108.5921</v>
      </c>
      <c r="S949" s="14">
        <f>CHOOSE(CONTROL!$C$42, 105.0057, 105.0057) * CHOOSE(CONTROL!$C$21, $C$9, 100%, $E$9)</f>
        <v>105.0057</v>
      </c>
      <c r="T9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7">
        <f>(1000*CHOOSE(CONTROL!$C$42, 695, 695)*CHOOSE(CONTROL!$C$42, 0.5599, 0.5599)*CHOOSE(CONTROL!$C$42, 31, 31))/1000000</f>
        <v>12.063045499999998</v>
      </c>
      <c r="V949" s="57">
        <f>(1000*CHOOSE(CONTROL!$C$42, 500, 500)*CHOOSE(CONTROL!$C$42, 0.275, 0.275)*CHOOSE(CONTROL!$C$42, 31, 31))/1000000</f>
        <v>4.2625000000000002</v>
      </c>
      <c r="W949" s="57">
        <f>(1000*CHOOSE(CONTROL!$C$42, 0.1146, 0.1146)*CHOOSE(CONTROL!$C$42, 121.5, 121.5)*CHOOSE(CONTROL!$C$42, 31, 31))/1000000</f>
        <v>0.43164089999999994</v>
      </c>
      <c r="X949" s="57">
        <f>(31*0.1790888*100000/1000000)+(31*0.2374*100000/1000000)</f>
        <v>1.2911152800000001</v>
      </c>
      <c r="Y949" s="57"/>
      <c r="Z949" s="14"/>
      <c r="AA949" s="56"/>
      <c r="AB949" s="50">
        <f>(B949*122.58+C949*297.941+D949*89.177+E949*40.302+F949*40+G949*160+H949*0+I949*100+J949*300)/(122.58+297.941+89.177+40.302+0+40+160+100+300)</f>
        <v>109.32777896999998</v>
      </c>
      <c r="AC949" s="45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107.14094532374099</v>
      </c>
    </row>
    <row r="950" spans="1:29" ht="15.75" x14ac:dyDescent="0.25">
      <c r="A950" s="32">
        <v>69822</v>
      </c>
      <c r="B950" s="14">
        <f>CHOOSE(CONTROL!$C$42, 111.2327, 111.2327) * CHOOSE(CONTROL!$C$21, $C$9, 100%, $E$9)</f>
        <v>111.23269999999999</v>
      </c>
      <c r="C950" s="14">
        <f>CHOOSE(CONTROL!$C$42, 111.2378, 111.2378) * CHOOSE(CONTROL!$C$21, $C$9, 100%, $E$9)</f>
        <v>111.23779999999999</v>
      </c>
      <c r="D950" s="14">
        <f>CHOOSE(CONTROL!$C$42, 111.2964, 111.2964) * CHOOSE(CONTROL!$C$21, $C$9, 100%, $E$9)</f>
        <v>111.29640000000001</v>
      </c>
      <c r="E950" s="14">
        <f>CHOOSE(CONTROL!$C$42, 111.3305, 111.3305) * CHOOSE(CONTROL!$C$21, $C$9, 100%, $E$9)</f>
        <v>111.3305</v>
      </c>
      <c r="F950" s="14">
        <f>CHOOSE(CONTROL!$C$42, 111.2318, 111.2318)*CHOOSE(CONTROL!$C$21, $C$9, 100%, $E$9)</f>
        <v>111.23180000000001</v>
      </c>
      <c r="G950" s="14">
        <f>CHOOSE(CONTROL!$C$42, 111.2481, 111.2481)*CHOOSE(CONTROL!$C$21, $C$9, 100%, $E$9)</f>
        <v>111.24809999999999</v>
      </c>
      <c r="H950" s="14">
        <f>CHOOSE(CONTROL!$C$42, 111.3197, 111.3197) * CHOOSE(CONTROL!$C$21, $C$9, 100%, $E$9)</f>
        <v>111.3197</v>
      </c>
      <c r="I950" s="14">
        <f>CHOOSE(CONTROL!$C$42, 111.5913, 111.5913)* CHOOSE(CONTROL!$C$21, $C$9, 100%, $E$9)</f>
        <v>111.5913</v>
      </c>
      <c r="J950" s="14">
        <f>CHOOSE(CONTROL!$C$42, 111.2248, 111.2248)* CHOOSE(CONTROL!$C$21, $C$9, 100%, $E$9)</f>
        <v>111.2248</v>
      </c>
      <c r="K950" s="53">
        <f>CHOOSE(CONTROL!$C$42, 111.5874, 111.5874) * CHOOSE(CONTROL!$C$21, $C$9, 100%, $E$9)</f>
        <v>111.5874</v>
      </c>
      <c r="L950" s="14">
        <f>CHOOSE(CONTROL!$C$42, 111.9067, 111.9067) * CHOOSE(CONTROL!$C$21, $C$9, 100%, $E$9)</f>
        <v>111.9067</v>
      </c>
      <c r="M950" s="14">
        <f>CHOOSE(CONTROL!$C$42, 108.9535, 108.9535) * CHOOSE(CONTROL!$C$21, $C$9, 100%, $E$9)</f>
        <v>108.95350000000001</v>
      </c>
      <c r="N950" s="14">
        <f>CHOOSE(CONTROL!$C$42, 108.9696, 108.9696) * CHOOSE(CONTROL!$C$21, $C$9, 100%, $E$9)</f>
        <v>108.9696</v>
      </c>
      <c r="O950" s="14">
        <f>CHOOSE(CONTROL!$C$42, 109.0465, 109.0465) * CHOOSE(CONTROL!$C$21, $C$9, 100%, $E$9)</f>
        <v>109.04649999999999</v>
      </c>
      <c r="P950" s="14">
        <f>CHOOSE(CONTROL!$C$42, 109.3056, 109.3056) * CHOOSE(CONTROL!$C$21, $C$9, 100%, $E$9)</f>
        <v>109.3056</v>
      </c>
      <c r="Q950" s="14">
        <f>CHOOSE(CONTROL!$C$42, 109.6412, 109.6412) * CHOOSE(CONTROL!$C$21, $C$9, 100%, $E$9)</f>
        <v>109.6412</v>
      </c>
      <c r="R950" s="14">
        <f>CHOOSE(CONTROL!$C$42, 110.5023, 110.5023) * CHOOSE(CONTROL!$C$21, $C$9, 100%, $E$9)</f>
        <v>110.50230000000001</v>
      </c>
      <c r="S950" s="14">
        <f>CHOOSE(CONTROL!$C$42, 106.8749, 106.8749) * CHOOSE(CONTROL!$C$21, $C$9, 100%, $E$9)</f>
        <v>106.8749</v>
      </c>
      <c r="T9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7">
        <f>(1000*CHOOSE(CONTROL!$C$42, 695, 695)*CHOOSE(CONTROL!$C$42, 0.5599, 0.5599)*CHOOSE(CONTROL!$C$42, 28, 28))/1000000</f>
        <v>10.895653999999999</v>
      </c>
      <c r="V950" s="57">
        <f>(1000*CHOOSE(CONTROL!$C$42, 500, 500)*CHOOSE(CONTROL!$C$42, 0.275, 0.275)*CHOOSE(CONTROL!$C$42, 28, 28))/1000000</f>
        <v>3.85</v>
      </c>
      <c r="W950" s="57">
        <f>(1000*CHOOSE(CONTROL!$C$42, 0.1146, 0.1146)*CHOOSE(CONTROL!$C$42, 121.5, 121.5)*CHOOSE(CONTROL!$C$42, 28, 28))/1000000</f>
        <v>0.38986920000000003</v>
      </c>
      <c r="X950" s="57">
        <f>(28*0.1790888*100000/1000000)+(28*0.2374*100000/1000000)</f>
        <v>1.16616864</v>
      </c>
      <c r="Y950" s="57"/>
      <c r="Z950" s="14"/>
      <c r="AA950" s="56"/>
      <c r="AB950" s="50">
        <f>(B950*122.58+C950*297.941+D950*89.177+E950*40.302+F950*40+G950*160+H950*0+I950*100+J950*300)/(122.58+297.941+89.177+40.302+0+40+160+100+300)</f>
        <v>111.27362139965217</v>
      </c>
      <c r="AC950" s="45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109.04723956834532</v>
      </c>
    </row>
    <row r="951" spans="1:29" ht="15.75" x14ac:dyDescent="0.25">
      <c r="A951" s="32">
        <v>69853</v>
      </c>
      <c r="B951" s="14">
        <f>CHOOSE(CONTROL!$C$42, 108.075, 108.075) * CHOOSE(CONTROL!$C$21, $C$9, 100%, $E$9)</f>
        <v>108.075</v>
      </c>
      <c r="C951" s="14">
        <f>CHOOSE(CONTROL!$C$42, 108.08, 108.08) * CHOOSE(CONTROL!$C$21, $C$9, 100%, $E$9)</f>
        <v>108.08</v>
      </c>
      <c r="D951" s="14">
        <f>CHOOSE(CONTROL!$C$42, 108.1387, 108.1387) * CHOOSE(CONTROL!$C$21, $C$9, 100%, $E$9)</f>
        <v>108.1387</v>
      </c>
      <c r="E951" s="14">
        <f>CHOOSE(CONTROL!$C$42, 108.1728, 108.1728) * CHOOSE(CONTROL!$C$21, $C$9, 100%, $E$9)</f>
        <v>108.1728</v>
      </c>
      <c r="F951" s="14">
        <f>CHOOSE(CONTROL!$C$42, 108.0736, 108.0736)*CHOOSE(CONTROL!$C$21, $C$9, 100%, $E$9)</f>
        <v>108.0736</v>
      </c>
      <c r="G951" s="14">
        <f>CHOOSE(CONTROL!$C$42, 108.0898, 108.0898)*CHOOSE(CONTROL!$C$21, $C$9, 100%, $E$9)</f>
        <v>108.0898</v>
      </c>
      <c r="H951" s="14">
        <f>CHOOSE(CONTROL!$C$42, 108.162, 108.162) * CHOOSE(CONTROL!$C$21, $C$9, 100%, $E$9)</f>
        <v>108.16200000000001</v>
      </c>
      <c r="I951" s="14">
        <f>CHOOSE(CONTROL!$C$42, 108.4237, 108.4237)* CHOOSE(CONTROL!$C$21, $C$9, 100%, $E$9)</f>
        <v>108.4237</v>
      </c>
      <c r="J951" s="14">
        <f>CHOOSE(CONTROL!$C$42, 108.0666, 108.0666)* CHOOSE(CONTROL!$C$21, $C$9, 100%, $E$9)</f>
        <v>108.06659999999999</v>
      </c>
      <c r="K951" s="53">
        <f>CHOOSE(CONTROL!$C$42, 108.4198, 108.4198) * CHOOSE(CONTROL!$C$21, $C$9, 100%, $E$9)</f>
        <v>108.4198</v>
      </c>
      <c r="L951" s="14">
        <f>CHOOSE(CONTROL!$C$42, 108.749, 108.749) * CHOOSE(CONTROL!$C$21, $C$9, 100%, $E$9)</f>
        <v>108.749</v>
      </c>
      <c r="M951" s="14">
        <f>CHOOSE(CONTROL!$C$42, 105.86, 105.86) * CHOOSE(CONTROL!$C$21, $C$9, 100%, $E$9)</f>
        <v>105.86</v>
      </c>
      <c r="N951" s="14">
        <f>CHOOSE(CONTROL!$C$42, 105.8759, 105.8759) * CHOOSE(CONTROL!$C$21, $C$9, 100%, $E$9)</f>
        <v>105.8759</v>
      </c>
      <c r="O951" s="14">
        <f>CHOOSE(CONTROL!$C$42, 105.9535, 105.9535) * CHOOSE(CONTROL!$C$21, $C$9, 100%, $E$9)</f>
        <v>105.95350000000001</v>
      </c>
      <c r="P951" s="14">
        <f>CHOOSE(CONTROL!$C$42, 106.2031, 106.2031) * CHOOSE(CONTROL!$C$21, $C$9, 100%, $E$9)</f>
        <v>106.20310000000001</v>
      </c>
      <c r="Q951" s="14">
        <f>CHOOSE(CONTROL!$C$42, 106.5482, 106.5482) * CHOOSE(CONTROL!$C$21, $C$9, 100%, $E$9)</f>
        <v>106.54819999999999</v>
      </c>
      <c r="R951" s="14">
        <f>CHOOSE(CONTROL!$C$42, 107.4016, 107.4016) * CHOOSE(CONTROL!$C$21, $C$9, 100%, $E$9)</f>
        <v>107.4016</v>
      </c>
      <c r="S951" s="14">
        <f>CHOOSE(CONTROL!$C$42, 103.8407, 103.8407) * CHOOSE(CONTROL!$C$21, $C$9, 100%, $E$9)</f>
        <v>103.8407</v>
      </c>
      <c r="T9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7">
        <f>(1000*CHOOSE(CONTROL!$C$42, 695, 695)*CHOOSE(CONTROL!$C$42, 0.5599, 0.5599)*CHOOSE(CONTROL!$C$42, 31, 31))/1000000</f>
        <v>12.063045499999998</v>
      </c>
      <c r="V951" s="57">
        <f>(1000*CHOOSE(CONTROL!$C$42, 500, 500)*CHOOSE(CONTROL!$C$42, 0.275, 0.275)*CHOOSE(CONTROL!$C$42, 31, 31))/1000000</f>
        <v>4.2625000000000002</v>
      </c>
      <c r="W951" s="57">
        <f>(1000*CHOOSE(CONTROL!$C$42, 0.1146, 0.1146)*CHOOSE(CONTROL!$C$42, 121.5, 121.5)*CHOOSE(CONTROL!$C$42, 31, 31))/1000000</f>
        <v>0.43164089999999994</v>
      </c>
      <c r="X951" s="57">
        <f>(31*0.1790888*100000/1000000)+(31*0.2374*100000/1000000)</f>
        <v>1.2911152800000001</v>
      </c>
      <c r="Y951" s="57"/>
      <c r="Z951" s="14"/>
      <c r="AA951" s="56"/>
      <c r="AB951" s="50">
        <f>(B951*122.58+C951*297.941+D951*89.177+E951*40.302+F951*40+G951*160+H951*0+I951*100+J951*300)/(122.58+297.941+89.177+40.302+0+40+160+100+300)</f>
        <v>108.11480331782609</v>
      </c>
      <c r="AC951" s="45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105.95265971223023</v>
      </c>
    </row>
    <row r="952" spans="1:29" ht="15.75" x14ac:dyDescent="0.25">
      <c r="A952" s="32">
        <v>69883</v>
      </c>
      <c r="B952" s="14">
        <f>CHOOSE(CONTROL!$C$42, 107.7526, 107.7526) * CHOOSE(CONTROL!$C$21, $C$9, 100%, $E$9)</f>
        <v>107.7526</v>
      </c>
      <c r="C952" s="14">
        <f>CHOOSE(CONTROL!$C$42, 107.7571, 107.7571) * CHOOSE(CONTROL!$C$21, $C$9, 100%, $E$9)</f>
        <v>107.75709999999999</v>
      </c>
      <c r="D952" s="14">
        <f>CHOOSE(CONTROL!$C$42, 107.9652, 107.9652) * CHOOSE(CONTROL!$C$21, $C$9, 100%, $E$9)</f>
        <v>107.9652</v>
      </c>
      <c r="E952" s="14">
        <f>CHOOSE(CONTROL!$C$42, 107.9973, 107.9973) * CHOOSE(CONTROL!$C$21, $C$9, 100%, $E$9)</f>
        <v>107.9973</v>
      </c>
      <c r="F952" s="14">
        <f>CHOOSE(CONTROL!$C$42, 107.7399, 107.7399)*CHOOSE(CONTROL!$C$21, $C$9, 100%, $E$9)</f>
        <v>107.73990000000001</v>
      </c>
      <c r="G952" s="14">
        <f>CHOOSE(CONTROL!$C$42, 107.7559, 107.7559)*CHOOSE(CONTROL!$C$21, $C$9, 100%, $E$9)</f>
        <v>107.7559</v>
      </c>
      <c r="H952" s="14">
        <f>CHOOSE(CONTROL!$C$42, 107.9871, 107.9871) * CHOOSE(CONTROL!$C$21, $C$9, 100%, $E$9)</f>
        <v>107.9871</v>
      </c>
      <c r="I952" s="14">
        <f>CHOOSE(CONTROL!$C$42, 108.0995, 108.0995)* CHOOSE(CONTROL!$C$21, $C$9, 100%, $E$9)</f>
        <v>108.09950000000001</v>
      </c>
      <c r="J952" s="14">
        <f>CHOOSE(CONTROL!$C$42, 107.7329, 107.7329)* CHOOSE(CONTROL!$C$21, $C$9, 100%, $E$9)</f>
        <v>107.7329</v>
      </c>
      <c r="K952" s="53">
        <f>CHOOSE(CONTROL!$C$42, 108.0956, 108.0956) * CHOOSE(CONTROL!$C$21, $C$9, 100%, $E$9)</f>
        <v>108.0956</v>
      </c>
      <c r="L952" s="14">
        <f>CHOOSE(CONTROL!$C$42, 108.5741, 108.5741) * CHOOSE(CONTROL!$C$21, $C$9, 100%, $E$9)</f>
        <v>108.5741</v>
      </c>
      <c r="M952" s="14">
        <f>CHOOSE(CONTROL!$C$42, 105.5332, 105.5332) * CHOOSE(CONTROL!$C$21, $C$9, 100%, $E$9)</f>
        <v>105.53319999999999</v>
      </c>
      <c r="N952" s="14">
        <f>CHOOSE(CONTROL!$C$42, 105.5489, 105.5489) * CHOOSE(CONTROL!$C$21, $C$9, 100%, $E$9)</f>
        <v>105.5489</v>
      </c>
      <c r="O952" s="14">
        <f>CHOOSE(CONTROL!$C$42, 105.7822, 105.7822) * CHOOSE(CONTROL!$C$21, $C$9, 100%, $E$9)</f>
        <v>105.7822</v>
      </c>
      <c r="P952" s="14">
        <f>CHOOSE(CONTROL!$C$42, 105.8856, 105.8856) * CHOOSE(CONTROL!$C$21, $C$9, 100%, $E$9)</f>
        <v>105.8856</v>
      </c>
      <c r="Q952" s="14">
        <f>CHOOSE(CONTROL!$C$42, 106.3769, 106.3769) * CHOOSE(CONTROL!$C$21, $C$9, 100%, $E$9)</f>
        <v>106.37690000000001</v>
      </c>
      <c r="R952" s="14">
        <f>CHOOSE(CONTROL!$C$42, 107.2298, 107.2298) * CHOOSE(CONTROL!$C$21, $C$9, 100%, $E$9)</f>
        <v>107.2298</v>
      </c>
      <c r="S952" s="14">
        <f>CHOOSE(CONTROL!$C$42, 103.5302, 103.5302) * CHOOSE(CONTROL!$C$21, $C$9, 100%, $E$9)</f>
        <v>103.53019999999999</v>
      </c>
      <c r="T9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7">
        <f>(1000*CHOOSE(CONTROL!$C$42, 695, 695)*CHOOSE(CONTROL!$C$42, 0.5599, 0.5599)*CHOOSE(CONTROL!$C$42, 30, 30))/1000000</f>
        <v>11.673914999999997</v>
      </c>
      <c r="V952" s="57">
        <f>(1000*CHOOSE(CONTROL!$C$42, 500, 500)*CHOOSE(CONTROL!$C$42, 0.275, 0.275)*CHOOSE(CONTROL!$C$42, 30, 30))/1000000</f>
        <v>4.125</v>
      </c>
      <c r="W952" s="57">
        <f>(1000*CHOOSE(CONTROL!$C$42, 0.1146, 0.1146)*CHOOSE(CONTROL!$C$42, 121.5, 121.5)*CHOOSE(CONTROL!$C$42, 30, 30))/1000000</f>
        <v>0.417717</v>
      </c>
      <c r="X952" s="57">
        <f>(30*0.1790888*245000/1000000)+(30*0.2374*100000/1000000)</f>
        <v>2.0285026799999999</v>
      </c>
      <c r="Y952" s="57"/>
      <c r="Z952" s="14"/>
      <c r="AA952" s="56"/>
      <c r="AB952" s="50">
        <f>(B952*141.293+C952*267.993+D952*115.016+E952*89.698+F952*40+G952*185+H952*0+I952*100+J952*300)/(141.293+267.993+115.016+89.698+0+40+185+100+300)</f>
        <v>107.81433524673125</v>
      </c>
      <c r="AC952" s="45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105.69766474820145</v>
      </c>
    </row>
    <row r="953" spans="1:29" ht="15.75" x14ac:dyDescent="0.25">
      <c r="A953" s="32">
        <v>69914</v>
      </c>
      <c r="B953" s="14">
        <f>CHOOSE(CONTROL!$C$42, 108.7049, 108.7049) * CHOOSE(CONTROL!$C$21, $C$9, 100%, $E$9)</f>
        <v>108.70489999999999</v>
      </c>
      <c r="C953" s="14">
        <f>CHOOSE(CONTROL!$C$42, 108.713, 108.713) * CHOOSE(CONTROL!$C$21, $C$9, 100%, $E$9)</f>
        <v>108.71299999999999</v>
      </c>
      <c r="D953" s="14">
        <f>CHOOSE(CONTROL!$C$42, 108.9179, 108.9179) * CHOOSE(CONTROL!$C$21, $C$9, 100%, $E$9)</f>
        <v>108.9179</v>
      </c>
      <c r="E953" s="14">
        <f>CHOOSE(CONTROL!$C$42, 108.9494, 108.9494) * CHOOSE(CONTROL!$C$21, $C$9, 100%, $E$9)</f>
        <v>108.9494</v>
      </c>
      <c r="F953" s="14">
        <f>CHOOSE(CONTROL!$C$42, 108.6911, 108.6911)*CHOOSE(CONTROL!$C$21, $C$9, 100%, $E$9)</f>
        <v>108.69110000000001</v>
      </c>
      <c r="G953" s="14">
        <f>CHOOSE(CONTROL!$C$42, 108.7075, 108.7075)*CHOOSE(CONTROL!$C$21, $C$9, 100%, $E$9)</f>
        <v>108.7075</v>
      </c>
      <c r="H953" s="14">
        <f>CHOOSE(CONTROL!$C$42, 108.938, 108.938) * CHOOSE(CONTROL!$C$21, $C$9, 100%, $E$9)</f>
        <v>108.938</v>
      </c>
      <c r="I953" s="14">
        <f>CHOOSE(CONTROL!$C$42, 109.0534, 109.0534)* CHOOSE(CONTROL!$C$21, $C$9, 100%, $E$9)</f>
        <v>109.0534</v>
      </c>
      <c r="J953" s="14">
        <f>CHOOSE(CONTROL!$C$42, 108.6841, 108.6841)* CHOOSE(CONTROL!$C$21, $C$9, 100%, $E$9)</f>
        <v>108.6841</v>
      </c>
      <c r="K953" s="53">
        <f>CHOOSE(CONTROL!$C$42, 109.0495, 109.0495) * CHOOSE(CONTROL!$C$21, $C$9, 100%, $E$9)</f>
        <v>109.04949999999999</v>
      </c>
      <c r="L953" s="14">
        <f>CHOOSE(CONTROL!$C$42, 109.525, 109.525) * CHOOSE(CONTROL!$C$21, $C$9, 100%, $E$9)</f>
        <v>109.52500000000001</v>
      </c>
      <c r="M953" s="14">
        <f>CHOOSE(CONTROL!$C$42, 106.4649, 106.4649) * CHOOSE(CONTROL!$C$21, $C$9, 100%, $E$9)</f>
        <v>106.4649</v>
      </c>
      <c r="N953" s="14">
        <f>CHOOSE(CONTROL!$C$42, 106.481, 106.481) * CHOOSE(CONTROL!$C$21, $C$9, 100%, $E$9)</f>
        <v>106.48099999999999</v>
      </c>
      <c r="O953" s="14">
        <f>CHOOSE(CONTROL!$C$42, 106.7137, 106.7137) * CHOOSE(CONTROL!$C$21, $C$9, 100%, $E$9)</f>
        <v>106.7137</v>
      </c>
      <c r="P953" s="14">
        <f>CHOOSE(CONTROL!$C$42, 106.8199, 106.8199) * CHOOSE(CONTROL!$C$21, $C$9, 100%, $E$9)</f>
        <v>106.8199</v>
      </c>
      <c r="Q953" s="14">
        <f>CHOOSE(CONTROL!$C$42, 107.3084, 107.3084) * CHOOSE(CONTROL!$C$21, $C$9, 100%, $E$9)</f>
        <v>107.30840000000001</v>
      </c>
      <c r="R953" s="14">
        <f>CHOOSE(CONTROL!$C$42, 108.1636, 108.1636) * CHOOSE(CONTROL!$C$21, $C$9, 100%, $E$9)</f>
        <v>108.1636</v>
      </c>
      <c r="S953" s="14">
        <f>CHOOSE(CONTROL!$C$42, 104.4439, 104.4439) * CHOOSE(CONTROL!$C$21, $C$9, 100%, $E$9)</f>
        <v>104.4439</v>
      </c>
      <c r="T9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7">
        <f>(1000*CHOOSE(CONTROL!$C$42, 695, 695)*CHOOSE(CONTROL!$C$42, 0.5599, 0.5599)*CHOOSE(CONTROL!$C$42, 31, 31))/1000000</f>
        <v>12.063045499999998</v>
      </c>
      <c r="V953" s="57">
        <f>(1000*CHOOSE(CONTROL!$C$42, 500, 500)*CHOOSE(CONTROL!$C$42, 0.275, 0.275)*CHOOSE(CONTROL!$C$42, 31, 31))/1000000</f>
        <v>4.2625000000000002</v>
      </c>
      <c r="W953" s="57">
        <f>(1000*CHOOSE(CONTROL!$C$42, 0.1146, 0.1146)*CHOOSE(CONTROL!$C$42, 121.5, 121.5)*CHOOSE(CONTROL!$C$42, 31, 31))/1000000</f>
        <v>0.43164089999999994</v>
      </c>
      <c r="X953" s="57">
        <f>(31*0.1790888*245000/1000000)+(31*0.2374*100000/1000000)</f>
        <v>2.0961194359999999</v>
      </c>
      <c r="Y953" s="57"/>
      <c r="Z953" s="14"/>
      <c r="AA953" s="56"/>
      <c r="AB953" s="50">
        <f>(B953*194.205+C953*267.466+D953*133.845+E953*53.484+F953*40+G953*185+H953*0+I953*100+J953*300)/(194.205+267.466+133.845+53.484+0+40+185+100+300)</f>
        <v>108.76164356169545</v>
      </c>
      <c r="AC953" s="45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106.62967122302159</v>
      </c>
    </row>
    <row r="954" spans="1:29" ht="15.75" x14ac:dyDescent="0.25">
      <c r="A954" s="32">
        <v>69944</v>
      </c>
      <c r="B954" s="14">
        <f>CHOOSE(CONTROL!$C$42, 111.7882, 111.7882) * CHOOSE(CONTROL!$C$21, $C$9, 100%, $E$9)</f>
        <v>111.7882</v>
      </c>
      <c r="C954" s="14">
        <f>CHOOSE(CONTROL!$C$42, 111.7962, 111.7962) * CHOOSE(CONTROL!$C$21, $C$9, 100%, $E$9)</f>
        <v>111.7962</v>
      </c>
      <c r="D954" s="14">
        <f>CHOOSE(CONTROL!$C$42, 112.0012, 112.0012) * CHOOSE(CONTROL!$C$21, $C$9, 100%, $E$9)</f>
        <v>112.0012</v>
      </c>
      <c r="E954" s="14">
        <f>CHOOSE(CONTROL!$C$42, 112.0326, 112.0326) * CHOOSE(CONTROL!$C$21, $C$9, 100%, $E$9)</f>
        <v>112.0326</v>
      </c>
      <c r="F954" s="14">
        <f>CHOOSE(CONTROL!$C$42, 111.7747, 111.7747)*CHOOSE(CONTROL!$C$21, $C$9, 100%, $E$9)</f>
        <v>111.7747</v>
      </c>
      <c r="G954" s="14">
        <f>CHOOSE(CONTROL!$C$42, 111.7912, 111.7912)*CHOOSE(CONTROL!$C$21, $C$9, 100%, $E$9)</f>
        <v>111.7912</v>
      </c>
      <c r="H954" s="14">
        <f>CHOOSE(CONTROL!$C$42, 112.0213, 112.0213) * CHOOSE(CONTROL!$C$21, $C$9, 100%, $E$9)</f>
        <v>112.0213</v>
      </c>
      <c r="I954" s="14">
        <f>CHOOSE(CONTROL!$C$42, 112.1463, 112.1463)* CHOOSE(CONTROL!$C$21, $C$9, 100%, $E$9)</f>
        <v>112.1463</v>
      </c>
      <c r="J954" s="14">
        <f>CHOOSE(CONTROL!$C$42, 111.7677, 111.7677)* CHOOSE(CONTROL!$C$21, $C$9, 100%, $E$9)</f>
        <v>111.7677</v>
      </c>
      <c r="K954" s="53">
        <f>CHOOSE(CONTROL!$C$42, 112.1424, 112.1424) * CHOOSE(CONTROL!$C$21, $C$9, 100%, $E$9)</f>
        <v>112.14239999999999</v>
      </c>
      <c r="L954" s="14">
        <f>CHOOSE(CONTROL!$C$42, 112.6083, 112.6083) * CHOOSE(CONTROL!$C$21, $C$9, 100%, $E$9)</f>
        <v>112.6083</v>
      </c>
      <c r="M954" s="14">
        <f>CHOOSE(CONTROL!$C$42, 109.4854, 109.4854) * CHOOSE(CONTROL!$C$21, $C$9, 100%, $E$9)</f>
        <v>109.4854</v>
      </c>
      <c r="N954" s="14">
        <f>CHOOSE(CONTROL!$C$42, 109.5015, 109.5015) * CHOOSE(CONTROL!$C$21, $C$9, 100%, $E$9)</f>
        <v>109.50149999999999</v>
      </c>
      <c r="O954" s="14">
        <f>CHOOSE(CONTROL!$C$42, 109.7337, 109.7337) * CHOOSE(CONTROL!$C$21, $C$9, 100%, $E$9)</f>
        <v>109.7337</v>
      </c>
      <c r="P954" s="14">
        <f>CHOOSE(CONTROL!$C$42, 109.8492, 109.8492) * CHOOSE(CONTROL!$C$21, $C$9, 100%, $E$9)</f>
        <v>109.8492</v>
      </c>
      <c r="Q954" s="14">
        <f>CHOOSE(CONTROL!$C$42, 110.3284, 110.3284) * CHOOSE(CONTROL!$C$21, $C$9, 100%, $E$9)</f>
        <v>110.3284</v>
      </c>
      <c r="R954" s="14">
        <f>CHOOSE(CONTROL!$C$42, 111.1912, 111.1912) * CHOOSE(CONTROL!$C$21, $C$9, 100%, $E$9)</f>
        <v>111.19119999999999</v>
      </c>
      <c r="S954" s="14">
        <f>CHOOSE(CONTROL!$C$42, 107.4066, 107.4066) * CHOOSE(CONTROL!$C$21, $C$9, 100%, $E$9)</f>
        <v>107.4066</v>
      </c>
      <c r="T9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7">
        <f>(1000*CHOOSE(CONTROL!$C$42, 695, 695)*CHOOSE(CONTROL!$C$42, 0.5599, 0.5599)*CHOOSE(CONTROL!$C$42, 30, 30))/1000000</f>
        <v>11.673914999999997</v>
      </c>
      <c r="V954" s="57">
        <f>(1000*CHOOSE(CONTROL!$C$42, 500, 500)*CHOOSE(CONTROL!$C$42, 0.275, 0.275)*CHOOSE(CONTROL!$C$42, 30, 30))/1000000</f>
        <v>4.125</v>
      </c>
      <c r="W954" s="57">
        <f>(1000*CHOOSE(CONTROL!$C$42, 0.1146, 0.1146)*CHOOSE(CONTROL!$C$42, 121.5, 121.5)*CHOOSE(CONTROL!$C$42, 30, 30))/1000000</f>
        <v>0.417717</v>
      </c>
      <c r="X954" s="57">
        <f>(30*0.1790888*245000/1000000)+(30*0.2374*100000/1000000)</f>
        <v>2.0285026799999999</v>
      </c>
      <c r="Y954" s="57"/>
      <c r="Z954" s="14"/>
      <c r="AA954" s="56"/>
      <c r="AB954" s="50">
        <f>(B954*194.205+C954*267.466+D954*133.845+E954*53.484+F954*40+G954*185+H954*0+I954*100+J954*300)/(194.205+267.466+133.845+53.484+0+40+185+100+300)</f>
        <v>111.84581004913657</v>
      </c>
      <c r="AC954" s="45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109.65121079136689</v>
      </c>
    </row>
    <row r="955" spans="1:29" ht="15.75" x14ac:dyDescent="0.25">
      <c r="A955" s="32">
        <v>69975</v>
      </c>
      <c r="B955" s="14">
        <f>CHOOSE(CONTROL!$C$42, 109.6438, 109.6438) * CHOOSE(CONTROL!$C$21, $C$9, 100%, $E$9)</f>
        <v>109.6438</v>
      </c>
      <c r="C955" s="14">
        <f>CHOOSE(CONTROL!$C$42, 109.6518, 109.6518) * CHOOSE(CONTROL!$C$21, $C$9, 100%, $E$9)</f>
        <v>109.65179999999999</v>
      </c>
      <c r="D955" s="14">
        <f>CHOOSE(CONTROL!$C$42, 109.8568, 109.8568) * CHOOSE(CONTROL!$C$21, $C$9, 100%, $E$9)</f>
        <v>109.85680000000001</v>
      </c>
      <c r="E955" s="14">
        <f>CHOOSE(CONTROL!$C$42, 109.8882, 109.8882) * CHOOSE(CONTROL!$C$21, $C$9, 100%, $E$9)</f>
        <v>109.8882</v>
      </c>
      <c r="F955" s="14">
        <f>CHOOSE(CONTROL!$C$42, 109.6307, 109.6307)*CHOOSE(CONTROL!$C$21, $C$9, 100%, $E$9)</f>
        <v>109.6307</v>
      </c>
      <c r="G955" s="14">
        <f>CHOOSE(CONTROL!$C$42, 109.6474, 109.6474)*CHOOSE(CONTROL!$C$21, $C$9, 100%, $E$9)</f>
        <v>109.6474</v>
      </c>
      <c r="H955" s="14">
        <f>CHOOSE(CONTROL!$C$42, 109.8769, 109.8769) * CHOOSE(CONTROL!$C$21, $C$9, 100%, $E$9)</f>
        <v>109.87690000000001</v>
      </c>
      <c r="I955" s="14">
        <f>CHOOSE(CONTROL!$C$42, 109.9952, 109.9952)* CHOOSE(CONTROL!$C$21, $C$9, 100%, $E$9)</f>
        <v>109.9952</v>
      </c>
      <c r="J955" s="14">
        <f>CHOOSE(CONTROL!$C$42, 109.6237, 109.6237)* CHOOSE(CONTROL!$C$21, $C$9, 100%, $E$9)</f>
        <v>109.6237</v>
      </c>
      <c r="K955" s="53">
        <f>CHOOSE(CONTROL!$C$42, 109.9913, 109.9913) * CHOOSE(CONTROL!$C$21, $C$9, 100%, $E$9)</f>
        <v>109.9913</v>
      </c>
      <c r="L955" s="14">
        <f>CHOOSE(CONTROL!$C$42, 110.4639, 110.4639) * CHOOSE(CONTROL!$C$21, $C$9, 100%, $E$9)</f>
        <v>110.4639</v>
      </c>
      <c r="M955" s="14">
        <f>CHOOSE(CONTROL!$C$42, 107.3853, 107.3853) * CHOOSE(CONTROL!$C$21, $C$9, 100%, $E$9)</f>
        <v>107.3853</v>
      </c>
      <c r="N955" s="14">
        <f>CHOOSE(CONTROL!$C$42, 107.4016, 107.4016) * CHOOSE(CONTROL!$C$21, $C$9, 100%, $E$9)</f>
        <v>107.4016</v>
      </c>
      <c r="O955" s="14">
        <f>CHOOSE(CONTROL!$C$42, 107.6332, 107.6332) * CHOOSE(CONTROL!$C$21, $C$9, 100%, $E$9)</f>
        <v>107.6332</v>
      </c>
      <c r="P955" s="14">
        <f>CHOOSE(CONTROL!$C$42, 107.7423, 107.7423) * CHOOSE(CONTROL!$C$21, $C$9, 100%, $E$9)</f>
        <v>107.7423</v>
      </c>
      <c r="Q955" s="14">
        <f>CHOOSE(CONTROL!$C$42, 108.2279, 108.2279) * CHOOSE(CONTROL!$C$21, $C$9, 100%, $E$9)</f>
        <v>108.22790000000001</v>
      </c>
      <c r="R955" s="14">
        <f>CHOOSE(CONTROL!$C$42, 109.0855, 109.0855) * CHOOSE(CONTROL!$C$21, $C$9, 100%, $E$9)</f>
        <v>109.0855</v>
      </c>
      <c r="S955" s="14">
        <f>CHOOSE(CONTROL!$C$42, 105.3461, 105.3461) * CHOOSE(CONTROL!$C$21, $C$9, 100%, $E$9)</f>
        <v>105.34610000000001</v>
      </c>
      <c r="T9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7">
        <f>(1000*CHOOSE(CONTROL!$C$42, 695, 695)*CHOOSE(CONTROL!$C$42, 0.5599, 0.5599)*CHOOSE(CONTROL!$C$42, 31, 31))/1000000</f>
        <v>12.063045499999998</v>
      </c>
      <c r="V955" s="57">
        <f>(1000*CHOOSE(CONTROL!$C$42, 500, 500)*CHOOSE(CONTROL!$C$42, 0.275, 0.275)*CHOOSE(CONTROL!$C$42, 31, 31))/1000000</f>
        <v>4.2625000000000002</v>
      </c>
      <c r="W955" s="57">
        <f>(1000*CHOOSE(CONTROL!$C$42, 0.1146, 0.1146)*CHOOSE(CONTROL!$C$42, 121.5, 121.5)*CHOOSE(CONTROL!$C$42, 31, 31))/1000000</f>
        <v>0.43164089999999994</v>
      </c>
      <c r="X955" s="57">
        <f>(31*0.1790888*245000/1000000)+(31*0.2374*100000/1000000)</f>
        <v>2.0961194359999999</v>
      </c>
      <c r="Y955" s="57"/>
      <c r="Z955" s="14"/>
      <c r="AA955" s="56"/>
      <c r="AB955" s="50">
        <f>(B955*194.205+C955*267.466+D955*133.845+E955*53.484+F955*40+G955*185+H955*0+I955*100+J955*300)/(194.205+267.466+133.845+53.484+0+40+185+100+300)</f>
        <v>109.70107802401886</v>
      </c>
      <c r="AC955" s="45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107.54996258992806</v>
      </c>
    </row>
    <row r="956" spans="1:29" ht="15.75" x14ac:dyDescent="0.25">
      <c r="A956" s="32">
        <v>70006</v>
      </c>
      <c r="B956" s="14">
        <f>CHOOSE(CONTROL!$C$42, 104.2285, 104.2285) * CHOOSE(CONTROL!$C$21, $C$9, 100%, $E$9)</f>
        <v>104.2285</v>
      </c>
      <c r="C956" s="14">
        <f>CHOOSE(CONTROL!$C$42, 104.2365, 104.2365) * CHOOSE(CONTROL!$C$21, $C$9, 100%, $E$9)</f>
        <v>104.23650000000001</v>
      </c>
      <c r="D956" s="14">
        <f>CHOOSE(CONTROL!$C$42, 104.4415, 104.4415) * CHOOSE(CONTROL!$C$21, $C$9, 100%, $E$9)</f>
        <v>104.4415</v>
      </c>
      <c r="E956" s="14">
        <f>CHOOSE(CONTROL!$C$42, 104.4729, 104.4729) * CHOOSE(CONTROL!$C$21, $C$9, 100%, $E$9)</f>
        <v>104.4729</v>
      </c>
      <c r="F956" s="14">
        <f>CHOOSE(CONTROL!$C$42, 104.2157, 104.2157)*CHOOSE(CONTROL!$C$21, $C$9, 100%, $E$9)</f>
        <v>104.2157</v>
      </c>
      <c r="G956" s="14">
        <f>CHOOSE(CONTROL!$C$42, 104.2323, 104.2323)*CHOOSE(CONTROL!$C$21, $C$9, 100%, $E$9)</f>
        <v>104.2323</v>
      </c>
      <c r="H956" s="14">
        <f>CHOOSE(CONTROL!$C$42, 104.4616, 104.4616) * CHOOSE(CONTROL!$C$21, $C$9, 100%, $E$9)</f>
        <v>104.4616</v>
      </c>
      <c r="I956" s="14">
        <f>CHOOSE(CONTROL!$C$42, 104.5629, 104.5629)* CHOOSE(CONTROL!$C$21, $C$9, 100%, $E$9)</f>
        <v>104.5629</v>
      </c>
      <c r="J956" s="14">
        <f>CHOOSE(CONTROL!$C$42, 104.2087, 104.2087)* CHOOSE(CONTROL!$C$21, $C$9, 100%, $E$9)</f>
        <v>104.20869999999999</v>
      </c>
      <c r="K956" s="53">
        <f>CHOOSE(CONTROL!$C$42, 104.5591, 104.5591) * CHOOSE(CONTROL!$C$21, $C$9, 100%, $E$9)</f>
        <v>104.5591</v>
      </c>
      <c r="L956" s="14">
        <f>CHOOSE(CONTROL!$C$42, 105.0486, 105.0486) * CHOOSE(CONTROL!$C$21, $C$9, 100%, $E$9)</f>
        <v>105.04859999999999</v>
      </c>
      <c r="M956" s="14">
        <f>CHOOSE(CONTROL!$C$42, 102.0812, 102.0812) * CHOOSE(CONTROL!$C$21, $C$9, 100%, $E$9)</f>
        <v>102.0812</v>
      </c>
      <c r="N956" s="14">
        <f>CHOOSE(CONTROL!$C$42, 102.0975, 102.0975) * CHOOSE(CONTROL!$C$21, $C$9, 100%, $E$9)</f>
        <v>102.0975</v>
      </c>
      <c r="O956" s="14">
        <f>CHOOSE(CONTROL!$C$42, 102.3289, 102.3289) * CHOOSE(CONTROL!$C$21, $C$9, 100%, $E$9)</f>
        <v>102.3289</v>
      </c>
      <c r="P956" s="14">
        <f>CHOOSE(CONTROL!$C$42, 102.4217, 102.4217) * CHOOSE(CONTROL!$C$21, $C$9, 100%, $E$9)</f>
        <v>102.4217</v>
      </c>
      <c r="Q956" s="14">
        <f>CHOOSE(CONTROL!$C$42, 102.9236, 102.9236) * CHOOSE(CONTROL!$C$21, $C$9, 100%, $E$9)</f>
        <v>102.92359999999999</v>
      </c>
      <c r="R956" s="14">
        <f>CHOOSE(CONTROL!$C$42, 103.7679, 103.7679) * CHOOSE(CONTROL!$C$21, $C$9, 100%, $E$9)</f>
        <v>103.7679</v>
      </c>
      <c r="S956" s="14">
        <f>CHOOSE(CONTROL!$C$42, 100.1425, 100.1425) * CHOOSE(CONTROL!$C$21, $C$9, 100%, $E$9)</f>
        <v>100.1425</v>
      </c>
      <c r="T9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7">
        <f>(1000*CHOOSE(CONTROL!$C$42, 695, 695)*CHOOSE(CONTROL!$C$42, 0.5599, 0.5599)*CHOOSE(CONTROL!$C$42, 31, 31))/1000000</f>
        <v>12.063045499999998</v>
      </c>
      <c r="V956" s="57">
        <f>(1000*CHOOSE(CONTROL!$C$42, 500, 500)*CHOOSE(CONTROL!$C$42, 0.275, 0.275)*CHOOSE(CONTROL!$C$42, 31, 31))/1000000</f>
        <v>4.2625000000000002</v>
      </c>
      <c r="W956" s="57">
        <f>(1000*CHOOSE(CONTROL!$C$42, 0.1146, 0.1146)*CHOOSE(CONTROL!$C$42, 121.5, 121.5)*CHOOSE(CONTROL!$C$42, 31, 31))/1000000</f>
        <v>0.43164089999999994</v>
      </c>
      <c r="X956" s="57">
        <f>(31*0.1790888*245000/1000000)+(31*0.2374*100000/1000000)</f>
        <v>2.0961194359999999</v>
      </c>
      <c r="Y956" s="57"/>
      <c r="Z956" s="14"/>
      <c r="AA956" s="56"/>
      <c r="AB956" s="50">
        <f>(B956*194.205+C956*267.466+D956*133.845+E956*53.484+F956*40+G956*185+H956*0+I956*100+J956*300)/(194.205+267.466+133.845+53.484+0+40+185+100+300)</f>
        <v>104.28455274929355</v>
      </c>
      <c r="AC956" s="45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102.24339784172662</v>
      </c>
    </row>
    <row r="957" spans="1:29" ht="15.75" x14ac:dyDescent="0.25">
      <c r="A957" s="32">
        <v>70036</v>
      </c>
      <c r="B957" s="14">
        <f>CHOOSE(CONTROL!$C$42, 97.6116, 97.6116) * CHOOSE(CONTROL!$C$21, $C$9, 100%, $E$9)</f>
        <v>97.611599999999996</v>
      </c>
      <c r="C957" s="14">
        <f>CHOOSE(CONTROL!$C$42, 97.6196, 97.6196) * CHOOSE(CONTROL!$C$21, $C$9, 100%, $E$9)</f>
        <v>97.619600000000005</v>
      </c>
      <c r="D957" s="14">
        <f>CHOOSE(CONTROL!$C$42, 97.8246, 97.8246) * CHOOSE(CONTROL!$C$21, $C$9, 100%, $E$9)</f>
        <v>97.824600000000004</v>
      </c>
      <c r="E957" s="14">
        <f>CHOOSE(CONTROL!$C$42, 97.8561, 97.8561) * CHOOSE(CONTROL!$C$21, $C$9, 100%, $E$9)</f>
        <v>97.856099999999998</v>
      </c>
      <c r="F957" s="14">
        <f>CHOOSE(CONTROL!$C$42, 97.5988, 97.5988)*CHOOSE(CONTROL!$C$21, $C$9, 100%, $E$9)</f>
        <v>97.598799999999997</v>
      </c>
      <c r="G957" s="14">
        <f>CHOOSE(CONTROL!$C$42, 97.6154, 97.6154)*CHOOSE(CONTROL!$C$21, $C$9, 100%, $E$9)</f>
        <v>97.615399999999994</v>
      </c>
      <c r="H957" s="14">
        <f>CHOOSE(CONTROL!$C$42, 97.8447, 97.8447) * CHOOSE(CONTROL!$C$21, $C$9, 100%, $E$9)</f>
        <v>97.844700000000003</v>
      </c>
      <c r="I957" s="14">
        <f>CHOOSE(CONTROL!$C$42, 97.9253, 97.9253)* CHOOSE(CONTROL!$C$21, $C$9, 100%, $E$9)</f>
        <v>97.925299999999993</v>
      </c>
      <c r="J957" s="14">
        <f>CHOOSE(CONTROL!$C$42, 97.5918, 97.5918)* CHOOSE(CONTROL!$C$21, $C$9, 100%, $E$9)</f>
        <v>97.591800000000006</v>
      </c>
      <c r="K957" s="53">
        <f>CHOOSE(CONTROL!$C$42, 97.9215, 97.9215) * CHOOSE(CONTROL!$C$21, $C$9, 100%, $E$9)</f>
        <v>97.921499999999995</v>
      </c>
      <c r="L957" s="14">
        <f>CHOOSE(CONTROL!$C$42, 98.4317, 98.4317) * CHOOSE(CONTROL!$C$21, $C$9, 100%, $E$9)</f>
        <v>98.431700000000006</v>
      </c>
      <c r="M957" s="14">
        <f>CHOOSE(CONTROL!$C$42, 95.5999, 95.5999) * CHOOSE(CONTROL!$C$21, $C$9, 100%, $E$9)</f>
        <v>95.599900000000005</v>
      </c>
      <c r="N957" s="14">
        <f>CHOOSE(CONTROL!$C$42, 95.6162, 95.6162) * CHOOSE(CONTROL!$C$21, $C$9, 100%, $E$9)</f>
        <v>95.616200000000006</v>
      </c>
      <c r="O957" s="14">
        <f>CHOOSE(CONTROL!$C$42, 95.8476, 95.8476) * CHOOSE(CONTROL!$C$21, $C$9, 100%, $E$9)</f>
        <v>95.8476</v>
      </c>
      <c r="P957" s="14">
        <f>CHOOSE(CONTROL!$C$42, 95.9205, 95.9205) * CHOOSE(CONTROL!$C$21, $C$9, 100%, $E$9)</f>
        <v>95.920500000000004</v>
      </c>
      <c r="Q957" s="14">
        <f>CHOOSE(CONTROL!$C$42, 96.4423, 96.4423) * CHOOSE(CONTROL!$C$21, $C$9, 100%, $E$9)</f>
        <v>96.442300000000003</v>
      </c>
      <c r="R957" s="14">
        <f>CHOOSE(CONTROL!$C$42, 97.2704, 97.2704) * CHOOSE(CONTROL!$C$21, $C$9, 100%, $E$9)</f>
        <v>97.270399999999995</v>
      </c>
      <c r="S957" s="14">
        <f>CHOOSE(CONTROL!$C$42, 93.7843, 93.7843) * CHOOSE(CONTROL!$C$21, $C$9, 100%, $E$9)</f>
        <v>93.784300000000002</v>
      </c>
      <c r="T9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7">
        <f>(1000*CHOOSE(CONTROL!$C$42, 695, 695)*CHOOSE(CONTROL!$C$42, 0.5599, 0.5599)*CHOOSE(CONTROL!$C$42, 30, 30))/1000000</f>
        <v>11.673914999999997</v>
      </c>
      <c r="V957" s="57">
        <f>(1000*CHOOSE(CONTROL!$C$42, 500, 500)*CHOOSE(CONTROL!$C$42, 0.275, 0.275)*CHOOSE(CONTROL!$C$42, 30, 30))/1000000</f>
        <v>4.125</v>
      </c>
      <c r="W957" s="57">
        <f>(1000*CHOOSE(CONTROL!$C$42, 0.1146, 0.1146)*CHOOSE(CONTROL!$C$42, 121.5, 121.5)*CHOOSE(CONTROL!$C$42, 30, 30))/1000000</f>
        <v>0.417717</v>
      </c>
      <c r="X957" s="57">
        <f>(30*0.1790888*245000/1000000)+(30*0.2374*100000/1000000)</f>
        <v>2.0285026799999999</v>
      </c>
      <c r="Y957" s="57"/>
      <c r="Z957" s="14"/>
      <c r="AA957" s="56"/>
      <c r="AB957" s="50">
        <f>(B957*194.205+C957*267.466+D957*133.845+E957*53.484+F957*40+G957*185+H957*0+I957*100+J957*300)/(194.205+267.466+133.845+53.484+0+40+185+100+300)</f>
        <v>97.66603214364207</v>
      </c>
      <c r="AC957" s="45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95.759234532374109</v>
      </c>
    </row>
    <row r="958" spans="1:29" ht="15.75" x14ac:dyDescent="0.25">
      <c r="A958" s="32">
        <v>70067</v>
      </c>
      <c r="B958" s="14">
        <f>CHOOSE(CONTROL!$C$42, 95.6282, 95.6282) * CHOOSE(CONTROL!$C$21, $C$9, 100%, $E$9)</f>
        <v>95.628200000000007</v>
      </c>
      <c r="C958" s="14">
        <f>CHOOSE(CONTROL!$C$42, 95.6335, 95.6335) * CHOOSE(CONTROL!$C$21, $C$9, 100%, $E$9)</f>
        <v>95.633499999999998</v>
      </c>
      <c r="D958" s="14">
        <f>CHOOSE(CONTROL!$C$42, 95.8434, 95.8434) * CHOOSE(CONTROL!$C$21, $C$9, 100%, $E$9)</f>
        <v>95.843400000000003</v>
      </c>
      <c r="E958" s="14">
        <f>CHOOSE(CONTROL!$C$42, 95.8726, 95.8726) * CHOOSE(CONTROL!$C$21, $C$9, 100%, $E$9)</f>
        <v>95.872600000000006</v>
      </c>
      <c r="F958" s="14">
        <f>CHOOSE(CONTROL!$C$42, 95.6174, 95.6174)*CHOOSE(CONTROL!$C$21, $C$9, 100%, $E$9)</f>
        <v>95.617400000000004</v>
      </c>
      <c r="G958" s="14">
        <f>CHOOSE(CONTROL!$C$42, 95.6337, 95.6337)*CHOOSE(CONTROL!$C$21, $C$9, 100%, $E$9)</f>
        <v>95.633700000000005</v>
      </c>
      <c r="H958" s="14">
        <f>CHOOSE(CONTROL!$C$42, 95.863, 95.863) * CHOOSE(CONTROL!$C$21, $C$9, 100%, $E$9)</f>
        <v>95.863</v>
      </c>
      <c r="I958" s="14">
        <f>CHOOSE(CONTROL!$C$42, 95.9375, 95.9375)* CHOOSE(CONTROL!$C$21, $C$9, 100%, $E$9)</f>
        <v>95.9375</v>
      </c>
      <c r="J958" s="14">
        <f>CHOOSE(CONTROL!$C$42, 95.6104, 95.6104)* CHOOSE(CONTROL!$C$21, $C$9, 100%, $E$9)</f>
        <v>95.610399999999998</v>
      </c>
      <c r="K958" s="53">
        <f>CHOOSE(CONTROL!$C$42, 95.9336, 95.9336) * CHOOSE(CONTROL!$C$21, $C$9, 100%, $E$9)</f>
        <v>95.933599999999998</v>
      </c>
      <c r="L958" s="14">
        <f>CHOOSE(CONTROL!$C$42, 96.45, 96.45) * CHOOSE(CONTROL!$C$21, $C$9, 100%, $E$9)</f>
        <v>96.45</v>
      </c>
      <c r="M958" s="14">
        <f>CHOOSE(CONTROL!$C$42, 93.6591, 93.6591) * CHOOSE(CONTROL!$C$21, $C$9, 100%, $E$9)</f>
        <v>93.659099999999995</v>
      </c>
      <c r="N958" s="14">
        <f>CHOOSE(CONTROL!$C$42, 93.6751, 93.6751) * CHOOSE(CONTROL!$C$21, $C$9, 100%, $E$9)</f>
        <v>93.6751</v>
      </c>
      <c r="O958" s="14">
        <f>CHOOSE(CONTROL!$C$42, 93.9065, 93.9065) * CHOOSE(CONTROL!$C$21, $C$9, 100%, $E$9)</f>
        <v>93.906499999999994</v>
      </c>
      <c r="P958" s="14">
        <f>CHOOSE(CONTROL!$C$42, 93.9735, 93.9735) * CHOOSE(CONTROL!$C$21, $C$9, 100%, $E$9)</f>
        <v>93.973500000000001</v>
      </c>
      <c r="Q958" s="14">
        <f>CHOOSE(CONTROL!$C$42, 94.5012, 94.5012) * CHOOSE(CONTROL!$C$21, $C$9, 100%, $E$9)</f>
        <v>94.501199999999997</v>
      </c>
      <c r="R958" s="14">
        <f>CHOOSE(CONTROL!$C$42, 95.3245, 95.3245) * CHOOSE(CONTROL!$C$21, $C$9, 100%, $E$9)</f>
        <v>95.3245</v>
      </c>
      <c r="S958" s="14">
        <f>CHOOSE(CONTROL!$C$42, 91.8802, 91.8802) * CHOOSE(CONTROL!$C$21, $C$9, 100%, $E$9)</f>
        <v>91.880200000000002</v>
      </c>
      <c r="T9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7">
        <f>(1000*CHOOSE(CONTROL!$C$42, 695, 695)*CHOOSE(CONTROL!$C$42, 0.5599, 0.5599)*CHOOSE(CONTROL!$C$42, 31, 31))/1000000</f>
        <v>12.063045499999998</v>
      </c>
      <c r="V958" s="57">
        <f>(1000*CHOOSE(CONTROL!$C$42, 500, 500)*CHOOSE(CONTROL!$C$42, 0.275, 0.275)*CHOOSE(CONTROL!$C$42, 31, 31))/1000000</f>
        <v>4.2625000000000002</v>
      </c>
      <c r="W958" s="57">
        <f>(1000*CHOOSE(CONTROL!$C$42, 0.1146, 0.1146)*CHOOSE(CONTROL!$C$42, 121.5, 121.5)*CHOOSE(CONTROL!$C$42, 31, 31))/1000000</f>
        <v>0.43164089999999994</v>
      </c>
      <c r="X958" s="57">
        <f>(31*0.1790888*245000/1000000)+(31*0.2374*100000/1000000)</f>
        <v>2.0961194359999999</v>
      </c>
      <c r="Y958" s="57"/>
      <c r="Z958" s="14"/>
      <c r="AA958" s="56"/>
      <c r="AB958" s="50">
        <f>(B958*131.881+C958*277.167+D958*79.08+E958*125.872+F958*40+G958*185+H958*0+I958*100+J958*300)/(131.881+277.167+79.08+125.872+0+40+185+100+300)</f>
        <v>95.689076204923325</v>
      </c>
      <c r="AC958" s="45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93.817389208633088</v>
      </c>
    </row>
    <row r="959" spans="1:29" ht="15.75" x14ac:dyDescent="0.25">
      <c r="A959" s="32">
        <v>70097</v>
      </c>
      <c r="B959" s="14">
        <f>CHOOSE(CONTROL!$C$42, 98.1468, 98.1468) * CHOOSE(CONTROL!$C$21, $C$9, 100%, $E$9)</f>
        <v>98.146799999999999</v>
      </c>
      <c r="C959" s="14">
        <f>CHOOSE(CONTROL!$C$42, 98.1519, 98.1519) * CHOOSE(CONTROL!$C$21, $C$9, 100%, $E$9)</f>
        <v>98.151899999999998</v>
      </c>
      <c r="D959" s="14">
        <f>CHOOSE(CONTROL!$C$42, 98.2157, 98.2157) * CHOOSE(CONTROL!$C$21, $C$9, 100%, $E$9)</f>
        <v>98.215699999999998</v>
      </c>
      <c r="E959" s="14">
        <f>CHOOSE(CONTROL!$C$42, 98.2498, 98.2498) * CHOOSE(CONTROL!$C$21, $C$9, 100%, $E$9)</f>
        <v>98.249799999999993</v>
      </c>
      <c r="F959" s="14">
        <f>CHOOSE(CONTROL!$C$42, 98.149, 98.149)*CHOOSE(CONTROL!$C$21, $C$9, 100%, $E$9)</f>
        <v>98.149000000000001</v>
      </c>
      <c r="G959" s="14">
        <f>CHOOSE(CONTROL!$C$42, 98.1657, 98.1657)*CHOOSE(CONTROL!$C$21, $C$9, 100%, $E$9)</f>
        <v>98.165700000000001</v>
      </c>
      <c r="H959" s="14">
        <f>CHOOSE(CONTROL!$C$42, 98.239, 98.239) * CHOOSE(CONTROL!$C$21, $C$9, 100%, $E$9)</f>
        <v>98.239000000000004</v>
      </c>
      <c r="I959" s="14">
        <f>CHOOSE(CONTROL!$C$42, 98.4681, 98.4681)* CHOOSE(CONTROL!$C$21, $C$9, 100%, $E$9)</f>
        <v>98.468100000000007</v>
      </c>
      <c r="J959" s="14">
        <f>CHOOSE(CONTROL!$C$42, 98.142, 98.142)* CHOOSE(CONTROL!$C$21, $C$9, 100%, $E$9)</f>
        <v>98.141999999999996</v>
      </c>
      <c r="K959" s="53">
        <f>CHOOSE(CONTROL!$C$42, 98.4642, 98.4642) * CHOOSE(CONTROL!$C$21, $C$9, 100%, $E$9)</f>
        <v>98.464200000000005</v>
      </c>
      <c r="L959" s="14">
        <f>CHOOSE(CONTROL!$C$42, 98.826, 98.826) * CHOOSE(CONTROL!$C$21, $C$9, 100%, $E$9)</f>
        <v>98.825999999999993</v>
      </c>
      <c r="M959" s="14">
        <f>CHOOSE(CONTROL!$C$42, 96.1389, 96.1389) * CHOOSE(CONTROL!$C$21, $C$9, 100%, $E$9)</f>
        <v>96.138900000000007</v>
      </c>
      <c r="N959" s="14">
        <f>CHOOSE(CONTROL!$C$42, 96.1552, 96.1552) * CHOOSE(CONTROL!$C$21, $C$9, 100%, $E$9)</f>
        <v>96.155199999999994</v>
      </c>
      <c r="O959" s="14">
        <f>CHOOSE(CONTROL!$C$42, 96.2338, 96.2338) * CHOOSE(CONTROL!$C$21, $C$9, 100%, $E$9)</f>
        <v>96.233800000000002</v>
      </c>
      <c r="P959" s="14">
        <f>CHOOSE(CONTROL!$C$42, 96.4521, 96.4521) * CHOOSE(CONTROL!$C$21, $C$9, 100%, $E$9)</f>
        <v>96.452100000000002</v>
      </c>
      <c r="Q959" s="14">
        <f>CHOOSE(CONTROL!$C$42, 96.8285, 96.8285) * CHOOSE(CONTROL!$C$21, $C$9, 100%, $E$9)</f>
        <v>96.828500000000005</v>
      </c>
      <c r="R959" s="14">
        <f>CHOOSE(CONTROL!$C$42, 97.6576, 97.6576) * CHOOSE(CONTROL!$C$21, $C$9, 100%, $E$9)</f>
        <v>97.657600000000002</v>
      </c>
      <c r="S959" s="14">
        <f>CHOOSE(CONTROL!$C$42, 94.3007, 94.3007) * CHOOSE(CONTROL!$C$21, $C$9, 100%, $E$9)</f>
        <v>94.300700000000006</v>
      </c>
      <c r="T9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7">
        <f>(1000*CHOOSE(CONTROL!$C$42, 695, 695)*CHOOSE(CONTROL!$C$42, 0.5599, 0.5599)*CHOOSE(CONTROL!$C$42, 30, 30))/1000000</f>
        <v>11.673914999999997</v>
      </c>
      <c r="V959" s="57">
        <f>(1000*CHOOSE(CONTROL!$C$42, 500, 500)*CHOOSE(CONTROL!$C$42, 0.275, 0.275)*CHOOSE(CONTROL!$C$42, 30, 30))/1000000</f>
        <v>4.125</v>
      </c>
      <c r="W959" s="57">
        <f>(1000*CHOOSE(CONTROL!$C$42, 0.1146, 0.1146)*CHOOSE(CONTROL!$C$42, 121.5, 121.5)*CHOOSE(CONTROL!$C$42, 30, 30))/1000000</f>
        <v>0.417717</v>
      </c>
      <c r="X959" s="57">
        <f>(30*0.1790888*100000/1000000)+(30*0.2374*100000/1000000)</f>
        <v>1.2494664</v>
      </c>
      <c r="Y959" s="57"/>
      <c r="Z959" s="14"/>
      <c r="AA959" s="56"/>
      <c r="AB959" s="50">
        <f>(B959*122.58+C959*297.941+D959*89.177+E959*40.302+F959*40+G959*160+H959*0+I959*100+J959*300)/(122.58+297.941+89.177+40.302+0+40+160+100+300)</f>
        <v>98.186466869913048</v>
      </c>
      <c r="AC959" s="45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96.227915107913688</v>
      </c>
    </row>
    <row r="960" spans="1:29" ht="15.75" x14ac:dyDescent="0.25">
      <c r="A960" s="32">
        <v>70128</v>
      </c>
      <c r="B960" s="14">
        <f>CHOOSE(CONTROL!$C$42, 104.8377, 104.8377) * CHOOSE(CONTROL!$C$21, $C$9, 100%, $E$9)</f>
        <v>104.8377</v>
      </c>
      <c r="C960" s="14">
        <f>CHOOSE(CONTROL!$C$42, 104.8428, 104.8428) * CHOOSE(CONTROL!$C$21, $C$9, 100%, $E$9)</f>
        <v>104.8428</v>
      </c>
      <c r="D960" s="14">
        <f>CHOOSE(CONTROL!$C$42, 104.9066, 104.9066) * CHOOSE(CONTROL!$C$21, $C$9, 100%, $E$9)</f>
        <v>104.9066</v>
      </c>
      <c r="E960" s="14">
        <f>CHOOSE(CONTROL!$C$42, 104.9407, 104.9407) * CHOOSE(CONTROL!$C$21, $C$9, 100%, $E$9)</f>
        <v>104.94070000000001</v>
      </c>
      <c r="F960" s="14">
        <f>CHOOSE(CONTROL!$C$42, 104.842, 104.842)*CHOOSE(CONTROL!$C$21, $C$9, 100%, $E$9)</f>
        <v>104.842</v>
      </c>
      <c r="G960" s="14">
        <f>CHOOSE(CONTROL!$C$42, 104.8592, 104.8592)*CHOOSE(CONTROL!$C$21, $C$9, 100%, $E$9)</f>
        <v>104.8592</v>
      </c>
      <c r="H960" s="14">
        <f>CHOOSE(CONTROL!$C$42, 104.9299, 104.9299) * CHOOSE(CONTROL!$C$21, $C$9, 100%, $E$9)</f>
        <v>104.9299</v>
      </c>
      <c r="I960" s="14">
        <f>CHOOSE(CONTROL!$C$42, 105.18, 105.18)* CHOOSE(CONTROL!$C$21, $C$9, 100%, $E$9)</f>
        <v>105.18</v>
      </c>
      <c r="J960" s="14">
        <f>CHOOSE(CONTROL!$C$42, 104.835, 104.835)* CHOOSE(CONTROL!$C$21, $C$9, 100%, $E$9)</f>
        <v>104.83499999999999</v>
      </c>
      <c r="K960" s="53">
        <f>CHOOSE(CONTROL!$C$42, 105.1761, 105.1761) * CHOOSE(CONTROL!$C$21, $C$9, 100%, $E$9)</f>
        <v>105.17610000000001</v>
      </c>
      <c r="L960" s="14">
        <f>CHOOSE(CONTROL!$C$42, 105.5169, 105.5169) * CHOOSE(CONTROL!$C$21, $C$9, 100%, $E$9)</f>
        <v>105.51690000000001</v>
      </c>
      <c r="M960" s="14">
        <f>CHOOSE(CONTROL!$C$42, 102.6947, 102.6947) * CHOOSE(CONTROL!$C$21, $C$9, 100%, $E$9)</f>
        <v>102.6947</v>
      </c>
      <c r="N960" s="14">
        <f>CHOOSE(CONTROL!$C$42, 102.7116, 102.7116) * CHOOSE(CONTROL!$C$21, $C$9, 100%, $E$9)</f>
        <v>102.7116</v>
      </c>
      <c r="O960" s="14">
        <f>CHOOSE(CONTROL!$C$42, 102.7877, 102.7877) * CHOOSE(CONTROL!$C$21, $C$9, 100%, $E$9)</f>
        <v>102.7877</v>
      </c>
      <c r="P960" s="14">
        <f>CHOOSE(CONTROL!$C$42, 103.0261, 103.0261) * CHOOSE(CONTROL!$C$21, $C$9, 100%, $E$9)</f>
        <v>103.0261</v>
      </c>
      <c r="Q960" s="14">
        <f>CHOOSE(CONTROL!$C$42, 103.3824, 103.3824) * CHOOSE(CONTROL!$C$21, $C$9, 100%, $E$9)</f>
        <v>103.3824</v>
      </c>
      <c r="R960" s="14">
        <f>CHOOSE(CONTROL!$C$42, 104.2278, 104.2278) * CHOOSE(CONTROL!$C$21, $C$9, 100%, $E$9)</f>
        <v>104.2278</v>
      </c>
      <c r="S960" s="14">
        <f>CHOOSE(CONTROL!$C$42, 100.73, 100.73) * CHOOSE(CONTROL!$C$21, $C$9, 100%, $E$9)</f>
        <v>100.73</v>
      </c>
      <c r="T9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7">
        <f>(1000*CHOOSE(CONTROL!$C$42, 695, 695)*CHOOSE(CONTROL!$C$42, 0.5599, 0.5599)*CHOOSE(CONTROL!$C$42, 31, 31))/1000000</f>
        <v>12.063045499999998</v>
      </c>
      <c r="V960" s="57">
        <f>(1000*CHOOSE(CONTROL!$C$42, 500, 500)*CHOOSE(CONTROL!$C$42, 0.275, 0.275)*CHOOSE(CONTROL!$C$42, 31, 31))/1000000</f>
        <v>4.2625000000000002</v>
      </c>
      <c r="W960" s="57">
        <f>(1000*CHOOSE(CONTROL!$C$42, 0.1146, 0.1146)*CHOOSE(CONTROL!$C$42, 121.5, 121.5)*CHOOSE(CONTROL!$C$42, 31, 31))/1000000</f>
        <v>0.43164089999999994</v>
      </c>
      <c r="X960" s="57">
        <f>(31*0.1790888*100000/1000000)+(31*0.2374*100000/1000000)</f>
        <v>1.2911152800000001</v>
      </c>
      <c r="Y960" s="57"/>
      <c r="Z960" s="14"/>
      <c r="AA960" s="56"/>
      <c r="AB960" s="50">
        <f>(B960*122.58+C960*297.941+D960*89.177+E960*40.302+F960*40+G960*160+H960*0+I960*100+J960*300)/(122.58+297.941+89.177+40.302+0+40+160+100+300)</f>
        <v>104.88017556556521</v>
      </c>
      <c r="AC960" s="45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102.78550719424462</v>
      </c>
    </row>
    <row r="961" spans="1:29" ht="15.75" x14ac:dyDescent="0.25">
      <c r="A961" s="32">
        <v>70159</v>
      </c>
      <c r="B961" s="14">
        <f>CHOOSE(CONTROL!$C$42, 113.4246, 113.4246) * CHOOSE(CONTROL!$C$21, $C$9, 100%, $E$9)</f>
        <v>113.4246</v>
      </c>
      <c r="C961" s="14">
        <f>CHOOSE(CONTROL!$C$42, 113.4297, 113.4297) * CHOOSE(CONTROL!$C$21, $C$9, 100%, $E$9)</f>
        <v>113.4297</v>
      </c>
      <c r="D961" s="14">
        <f>CHOOSE(CONTROL!$C$42, 113.4883, 113.4883) * CHOOSE(CONTROL!$C$21, $C$9, 100%, $E$9)</f>
        <v>113.4883</v>
      </c>
      <c r="E961" s="14">
        <f>CHOOSE(CONTROL!$C$42, 113.5224, 113.5224) * CHOOSE(CONTROL!$C$21, $C$9, 100%, $E$9)</f>
        <v>113.5224</v>
      </c>
      <c r="F961" s="14">
        <f>CHOOSE(CONTROL!$C$42, 113.4237, 113.4237)*CHOOSE(CONTROL!$C$21, $C$9, 100%, $E$9)</f>
        <v>113.4237</v>
      </c>
      <c r="G961" s="14">
        <f>CHOOSE(CONTROL!$C$42, 113.4401, 113.4401)*CHOOSE(CONTROL!$C$21, $C$9, 100%, $E$9)</f>
        <v>113.4401</v>
      </c>
      <c r="H961" s="14">
        <f>CHOOSE(CONTROL!$C$42, 113.5116, 113.5116) * CHOOSE(CONTROL!$C$21, $C$9, 100%, $E$9)</f>
        <v>113.5116</v>
      </c>
      <c r="I961" s="14">
        <f>CHOOSE(CONTROL!$C$42, 113.7901, 113.7901)* CHOOSE(CONTROL!$C$21, $C$9, 100%, $E$9)</f>
        <v>113.7901</v>
      </c>
      <c r="J961" s="14">
        <f>CHOOSE(CONTROL!$C$42, 113.4167, 113.4167)* CHOOSE(CONTROL!$C$21, $C$9, 100%, $E$9)</f>
        <v>113.41670000000001</v>
      </c>
      <c r="K961" s="53">
        <f>CHOOSE(CONTROL!$C$42, 113.7862, 113.7862) * CHOOSE(CONTROL!$C$21, $C$9, 100%, $E$9)</f>
        <v>113.78619999999999</v>
      </c>
      <c r="L961" s="14">
        <f>CHOOSE(CONTROL!$C$42, 114.0986, 114.0986) * CHOOSE(CONTROL!$C$21, $C$9, 100%, $E$9)</f>
        <v>114.0986</v>
      </c>
      <c r="M961" s="14">
        <f>CHOOSE(CONTROL!$C$42, 111.1006, 111.1006) * CHOOSE(CONTROL!$C$21, $C$9, 100%, $E$9)</f>
        <v>111.1006</v>
      </c>
      <c r="N961" s="14">
        <f>CHOOSE(CONTROL!$C$42, 111.1166, 111.1166) * CHOOSE(CONTROL!$C$21, $C$9, 100%, $E$9)</f>
        <v>111.11660000000001</v>
      </c>
      <c r="O961" s="14">
        <f>CHOOSE(CONTROL!$C$42, 111.1935, 111.1935) * CHOOSE(CONTROL!$C$21, $C$9, 100%, $E$9)</f>
        <v>111.1935</v>
      </c>
      <c r="P961" s="14">
        <f>CHOOSE(CONTROL!$C$42, 111.4592, 111.4592) * CHOOSE(CONTROL!$C$21, $C$9, 100%, $E$9)</f>
        <v>111.4592</v>
      </c>
      <c r="Q961" s="14">
        <f>CHOOSE(CONTROL!$C$42, 111.7882, 111.7882) * CHOOSE(CONTROL!$C$21, $C$9, 100%, $E$9)</f>
        <v>111.7882</v>
      </c>
      <c r="R961" s="14">
        <f>CHOOSE(CONTROL!$C$42, 112.6547, 112.6547) * CHOOSE(CONTROL!$C$21, $C$9, 100%, $E$9)</f>
        <v>112.65470000000001</v>
      </c>
      <c r="S961" s="14">
        <f>CHOOSE(CONTROL!$C$42, 108.9812, 108.9812) * CHOOSE(CONTROL!$C$21, $C$9, 100%, $E$9)</f>
        <v>108.9812</v>
      </c>
      <c r="T9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7">
        <f>(1000*CHOOSE(CONTROL!$C$42, 695, 695)*CHOOSE(CONTROL!$C$42, 0.5599, 0.5599)*CHOOSE(CONTROL!$C$42, 31, 31))/1000000</f>
        <v>12.063045499999998</v>
      </c>
      <c r="V961" s="57">
        <f>(1000*CHOOSE(CONTROL!$C$42, 500, 500)*CHOOSE(CONTROL!$C$42, 0.275, 0.275)*CHOOSE(CONTROL!$C$42, 31, 31))/1000000</f>
        <v>4.2625000000000002</v>
      </c>
      <c r="W961" s="57">
        <f>(1000*CHOOSE(CONTROL!$C$42, 0.1146, 0.1146)*CHOOSE(CONTROL!$C$42, 121.5, 121.5)*CHOOSE(CONTROL!$C$42, 31, 31))/1000000</f>
        <v>0.43164089999999994</v>
      </c>
      <c r="X961" s="57">
        <f>(31*0.1790888*100000/1000000)+(31*0.2374*100000/1000000)</f>
        <v>1.2911152800000001</v>
      </c>
      <c r="Y961" s="57"/>
      <c r="Z961" s="14"/>
      <c r="AA961" s="56"/>
      <c r="AB961" s="50">
        <f>(B961*122.58+C961*297.941+D961*89.177+E961*40.302+F961*40+G961*160+H961*0+I961*100+J961*300)/(122.58+297.941+89.177+40.302+0+40+160+100+300)</f>
        <v>113.46613531269563</v>
      </c>
      <c r="AC961" s="45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111.1952237410072</v>
      </c>
    </row>
    <row r="962" spans="1:29" ht="15.75" x14ac:dyDescent="0.25">
      <c r="A962" s="32">
        <v>70188</v>
      </c>
      <c r="B962" s="14">
        <f>CHOOSE(CONTROL!$C$42, 115.4436, 115.4436) * CHOOSE(CONTROL!$C$21, $C$9, 100%, $E$9)</f>
        <v>115.4436</v>
      </c>
      <c r="C962" s="14">
        <f>CHOOSE(CONTROL!$C$42, 115.4487, 115.4487) * CHOOSE(CONTROL!$C$21, $C$9, 100%, $E$9)</f>
        <v>115.4487</v>
      </c>
      <c r="D962" s="14">
        <f>CHOOSE(CONTROL!$C$42, 115.5073, 115.5073) * CHOOSE(CONTROL!$C$21, $C$9, 100%, $E$9)</f>
        <v>115.5073</v>
      </c>
      <c r="E962" s="14">
        <f>CHOOSE(CONTROL!$C$42, 115.5414, 115.5414) * CHOOSE(CONTROL!$C$21, $C$9, 100%, $E$9)</f>
        <v>115.5414</v>
      </c>
      <c r="F962" s="14">
        <f>CHOOSE(CONTROL!$C$42, 115.4427, 115.4427)*CHOOSE(CONTROL!$C$21, $C$9, 100%, $E$9)</f>
        <v>115.4427</v>
      </c>
      <c r="G962" s="14">
        <f>CHOOSE(CONTROL!$C$42, 115.459, 115.459)*CHOOSE(CONTROL!$C$21, $C$9, 100%, $E$9)</f>
        <v>115.459</v>
      </c>
      <c r="H962" s="14">
        <f>CHOOSE(CONTROL!$C$42, 115.5306, 115.5306) * CHOOSE(CONTROL!$C$21, $C$9, 100%, $E$9)</f>
        <v>115.53060000000001</v>
      </c>
      <c r="I962" s="14">
        <f>CHOOSE(CONTROL!$C$42, 115.8154, 115.8154)* CHOOSE(CONTROL!$C$21, $C$9, 100%, $E$9)</f>
        <v>115.8154</v>
      </c>
      <c r="J962" s="14">
        <f>CHOOSE(CONTROL!$C$42, 115.4357, 115.4357)* CHOOSE(CONTROL!$C$21, $C$9, 100%, $E$9)</f>
        <v>115.4357</v>
      </c>
      <c r="K962" s="53">
        <f>CHOOSE(CONTROL!$C$42, 115.8115, 115.8115) * CHOOSE(CONTROL!$C$21, $C$9, 100%, $E$9)</f>
        <v>115.8115</v>
      </c>
      <c r="L962" s="14">
        <f>CHOOSE(CONTROL!$C$42, 116.1176, 116.1176) * CHOOSE(CONTROL!$C$21, $C$9, 100%, $E$9)</f>
        <v>116.1176</v>
      </c>
      <c r="M962" s="14">
        <f>CHOOSE(CONTROL!$C$42, 113.0782, 113.0782) * CHOOSE(CONTROL!$C$21, $C$9, 100%, $E$9)</f>
        <v>113.0782</v>
      </c>
      <c r="N962" s="14">
        <f>CHOOSE(CONTROL!$C$42, 113.0942, 113.0942) * CHOOSE(CONTROL!$C$21, $C$9, 100%, $E$9)</f>
        <v>113.0942</v>
      </c>
      <c r="O962" s="14">
        <f>CHOOSE(CONTROL!$C$42, 113.1711, 113.1711) * CHOOSE(CONTROL!$C$21, $C$9, 100%, $E$9)</f>
        <v>113.1711</v>
      </c>
      <c r="P962" s="14">
        <f>CHOOSE(CONTROL!$C$42, 113.4429, 113.4429) * CHOOSE(CONTROL!$C$21, $C$9, 100%, $E$9)</f>
        <v>113.44289999999999</v>
      </c>
      <c r="Q962" s="14">
        <f>CHOOSE(CONTROL!$C$42, 113.7658, 113.7658) * CHOOSE(CONTROL!$C$21, $C$9, 100%, $E$9)</f>
        <v>113.7658</v>
      </c>
      <c r="R962" s="14">
        <f>CHOOSE(CONTROL!$C$42, 114.6372, 114.6372) * CHOOSE(CONTROL!$C$21, $C$9, 100%, $E$9)</f>
        <v>114.63720000000001</v>
      </c>
      <c r="S962" s="14">
        <f>CHOOSE(CONTROL!$C$42, 110.9212, 110.9212) * CHOOSE(CONTROL!$C$21, $C$9, 100%, $E$9)</f>
        <v>110.9212</v>
      </c>
      <c r="T96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7">
        <f>(1000*CHOOSE(CONTROL!$C$42, 695, 695)*CHOOSE(CONTROL!$C$42, 0.5599, 0.5599)*CHOOSE(CONTROL!$C$42, 29, 29))/1000000</f>
        <v>11.284784499999999</v>
      </c>
      <c r="V962" s="57">
        <f>(1000*CHOOSE(CONTROL!$C$42, 500, 500)*CHOOSE(CONTROL!$C$42, 0.275, 0.275)*CHOOSE(CONTROL!$C$42, 29, 29))/1000000</f>
        <v>3.9874999999999998</v>
      </c>
      <c r="W962" s="57">
        <f>(1000*CHOOSE(CONTROL!$C$42, 0.1146, 0.1146)*CHOOSE(CONTROL!$C$42, 121.5, 121.5)*CHOOSE(CONTROL!$C$42, 29, 29))/1000000</f>
        <v>0.40379309999999996</v>
      </c>
      <c r="X962" s="57">
        <f>(29*0.1790888*100000/1000000)+(29*0.2374*100000/1000000)</f>
        <v>1.2078175199999999</v>
      </c>
      <c r="Y962" s="57"/>
      <c r="Z962" s="14"/>
      <c r="AA962" s="56"/>
      <c r="AB962" s="50">
        <f>(B962*122.58+C962*297.941+D962*89.177+E962*40.302+F962*40+G962*160+H962*0+I962*100+J962*300)/(122.58+297.941+89.177+40.302+0+40+160+100+300)</f>
        <v>115.48566922573912</v>
      </c>
      <c r="AC962" s="45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113.17370143884891</v>
      </c>
    </row>
    <row r="963" spans="1:29" ht="15.75" x14ac:dyDescent="0.25">
      <c r="A963" s="32">
        <v>70219</v>
      </c>
      <c r="B963" s="14">
        <f>CHOOSE(CONTROL!$C$42, 112.1663, 112.1663) * CHOOSE(CONTROL!$C$21, $C$9, 100%, $E$9)</f>
        <v>112.16630000000001</v>
      </c>
      <c r="C963" s="14">
        <f>CHOOSE(CONTROL!$C$42, 112.1714, 112.1714) * CHOOSE(CONTROL!$C$21, $C$9, 100%, $E$9)</f>
        <v>112.17140000000001</v>
      </c>
      <c r="D963" s="14">
        <f>CHOOSE(CONTROL!$C$42, 112.23, 112.23) * CHOOSE(CONTROL!$C$21, $C$9, 100%, $E$9)</f>
        <v>112.23</v>
      </c>
      <c r="E963" s="14">
        <f>CHOOSE(CONTROL!$C$42, 112.2641, 112.2641) * CHOOSE(CONTROL!$C$21, $C$9, 100%, $E$9)</f>
        <v>112.2641</v>
      </c>
      <c r="F963" s="14">
        <f>CHOOSE(CONTROL!$C$42, 112.1649, 112.1649)*CHOOSE(CONTROL!$C$21, $C$9, 100%, $E$9)</f>
        <v>112.1649</v>
      </c>
      <c r="G963" s="14">
        <f>CHOOSE(CONTROL!$C$42, 112.1811, 112.1811)*CHOOSE(CONTROL!$C$21, $C$9, 100%, $E$9)</f>
        <v>112.1811</v>
      </c>
      <c r="H963" s="14">
        <f>CHOOSE(CONTROL!$C$42, 112.2533, 112.2533) * CHOOSE(CONTROL!$C$21, $C$9, 100%, $E$9)</f>
        <v>112.2533</v>
      </c>
      <c r="I963" s="14">
        <f>CHOOSE(CONTROL!$C$42, 112.5279, 112.5279)* CHOOSE(CONTROL!$C$21, $C$9, 100%, $E$9)</f>
        <v>112.5279</v>
      </c>
      <c r="J963" s="14">
        <f>CHOOSE(CONTROL!$C$42, 112.1579, 112.1579)* CHOOSE(CONTROL!$C$21, $C$9, 100%, $E$9)</f>
        <v>112.1579</v>
      </c>
      <c r="K963" s="53">
        <f>CHOOSE(CONTROL!$C$42, 112.524, 112.524) * CHOOSE(CONTROL!$C$21, $C$9, 100%, $E$9)</f>
        <v>112.524</v>
      </c>
      <c r="L963" s="14">
        <f>CHOOSE(CONTROL!$C$42, 112.8403, 112.8403) * CHOOSE(CONTROL!$C$21, $C$9, 100%, $E$9)</f>
        <v>112.8403</v>
      </c>
      <c r="M963" s="14">
        <f>CHOOSE(CONTROL!$C$42, 109.8676, 109.8676) * CHOOSE(CONTROL!$C$21, $C$9, 100%, $E$9)</f>
        <v>109.8676</v>
      </c>
      <c r="N963" s="14">
        <f>CHOOSE(CONTROL!$C$42, 109.8835, 109.8835) * CHOOSE(CONTROL!$C$21, $C$9, 100%, $E$9)</f>
        <v>109.8835</v>
      </c>
      <c r="O963" s="14">
        <f>CHOOSE(CONTROL!$C$42, 109.961, 109.961) * CHOOSE(CONTROL!$C$21, $C$9, 100%, $E$9)</f>
        <v>109.961</v>
      </c>
      <c r="P963" s="14">
        <f>CHOOSE(CONTROL!$C$42, 110.2229, 110.2229) * CHOOSE(CONTROL!$C$21, $C$9, 100%, $E$9)</f>
        <v>110.2229</v>
      </c>
      <c r="Q963" s="14">
        <f>CHOOSE(CONTROL!$C$42, 110.5557, 110.5557) * CHOOSE(CONTROL!$C$21, $C$9, 100%, $E$9)</f>
        <v>110.5557</v>
      </c>
      <c r="R963" s="14">
        <f>CHOOSE(CONTROL!$C$42, 111.4191, 111.4191) * CHOOSE(CONTROL!$C$21, $C$9, 100%, $E$9)</f>
        <v>111.4191</v>
      </c>
      <c r="S963" s="14">
        <f>CHOOSE(CONTROL!$C$42, 107.7721, 107.7721) * CHOOSE(CONTROL!$C$21, $C$9, 100%, $E$9)</f>
        <v>107.77209999999999</v>
      </c>
      <c r="T9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7">
        <f>(1000*CHOOSE(CONTROL!$C$42, 695, 695)*CHOOSE(CONTROL!$C$42, 0.5599, 0.5599)*CHOOSE(CONTROL!$C$42, 31, 31))/1000000</f>
        <v>12.063045499999998</v>
      </c>
      <c r="V963" s="57">
        <f>(1000*CHOOSE(CONTROL!$C$42, 500, 500)*CHOOSE(CONTROL!$C$42, 0.275, 0.275)*CHOOSE(CONTROL!$C$42, 31, 31))/1000000</f>
        <v>4.2625000000000002</v>
      </c>
      <c r="W963" s="57">
        <f>(1000*CHOOSE(CONTROL!$C$42, 0.1146, 0.1146)*CHOOSE(CONTROL!$C$42, 121.5, 121.5)*CHOOSE(CONTROL!$C$42, 31, 31))/1000000</f>
        <v>0.43164089999999994</v>
      </c>
      <c r="X963" s="57">
        <f>(31*0.1790888*100000/1000000)+(31*0.2374*100000/1000000)</f>
        <v>1.2911152800000001</v>
      </c>
      <c r="Y963" s="57"/>
      <c r="Z963" s="14"/>
      <c r="AA963" s="56"/>
      <c r="AB963" s="50">
        <f>(B963*122.58+C963*297.941+D963*89.177+E963*40.302+F963*40+G963*160+H963*0+I963*100+J963*300)/(122.58+297.941+89.177+40.302+0+40+160+100+300)</f>
        <v>112.20725096486957</v>
      </c>
      <c r="AC963" s="45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109.96196978417265</v>
      </c>
    </row>
    <row r="964" spans="1:29" ht="15.75" x14ac:dyDescent="0.25">
      <c r="A964" s="32">
        <v>70249</v>
      </c>
      <c r="B964" s="14">
        <f>CHOOSE(CONTROL!$C$42, 111.8317, 111.8317) * CHOOSE(CONTROL!$C$21, $C$9, 100%, $E$9)</f>
        <v>111.8317</v>
      </c>
      <c r="C964" s="14">
        <f>CHOOSE(CONTROL!$C$42, 111.8362, 111.8362) * CHOOSE(CONTROL!$C$21, $C$9, 100%, $E$9)</f>
        <v>111.83620000000001</v>
      </c>
      <c r="D964" s="14">
        <f>CHOOSE(CONTROL!$C$42, 112.0443, 112.0443) * CHOOSE(CONTROL!$C$21, $C$9, 100%, $E$9)</f>
        <v>112.04430000000001</v>
      </c>
      <c r="E964" s="14">
        <f>CHOOSE(CONTROL!$C$42, 112.0764, 112.0764) * CHOOSE(CONTROL!$C$21, $C$9, 100%, $E$9)</f>
        <v>112.07640000000001</v>
      </c>
      <c r="F964" s="14">
        <f>CHOOSE(CONTROL!$C$42, 111.819, 111.819)*CHOOSE(CONTROL!$C$21, $C$9, 100%, $E$9)</f>
        <v>111.819</v>
      </c>
      <c r="G964" s="14">
        <f>CHOOSE(CONTROL!$C$42, 111.835, 111.835)*CHOOSE(CONTROL!$C$21, $C$9, 100%, $E$9)</f>
        <v>111.83499999999999</v>
      </c>
      <c r="H964" s="14">
        <f>CHOOSE(CONTROL!$C$42, 112.0662, 112.0662) * CHOOSE(CONTROL!$C$21, $C$9, 100%, $E$9)</f>
        <v>112.06619999999999</v>
      </c>
      <c r="I964" s="14">
        <f>CHOOSE(CONTROL!$C$42, 112.1914, 112.1914)* CHOOSE(CONTROL!$C$21, $C$9, 100%, $E$9)</f>
        <v>112.1914</v>
      </c>
      <c r="J964" s="14">
        <f>CHOOSE(CONTROL!$C$42, 111.812, 111.812)* CHOOSE(CONTROL!$C$21, $C$9, 100%, $E$9)</f>
        <v>111.812</v>
      </c>
      <c r="K964" s="53">
        <f>CHOOSE(CONTROL!$C$42, 112.1875, 112.1875) * CHOOSE(CONTROL!$C$21, $C$9, 100%, $E$9)</f>
        <v>112.1875</v>
      </c>
      <c r="L964" s="14">
        <f>CHOOSE(CONTROL!$C$42, 112.6532, 112.6532) * CHOOSE(CONTROL!$C$21, $C$9, 100%, $E$9)</f>
        <v>112.6532</v>
      </c>
      <c r="M964" s="14">
        <f>CHOOSE(CONTROL!$C$42, 109.5288, 109.5288) * CHOOSE(CONTROL!$C$21, $C$9, 100%, $E$9)</f>
        <v>109.5288</v>
      </c>
      <c r="N964" s="14">
        <f>CHOOSE(CONTROL!$C$42, 109.5444, 109.5444) * CHOOSE(CONTROL!$C$21, $C$9, 100%, $E$9)</f>
        <v>109.5444</v>
      </c>
      <c r="O964" s="14">
        <f>CHOOSE(CONTROL!$C$42, 109.7777, 109.7777) * CHOOSE(CONTROL!$C$21, $C$9, 100%, $E$9)</f>
        <v>109.7777</v>
      </c>
      <c r="P964" s="14">
        <f>CHOOSE(CONTROL!$C$42, 109.8934, 109.8934) * CHOOSE(CONTROL!$C$21, $C$9, 100%, $E$9)</f>
        <v>109.8934</v>
      </c>
      <c r="Q964" s="14">
        <f>CHOOSE(CONTROL!$C$42, 110.3724, 110.3724) * CHOOSE(CONTROL!$C$21, $C$9, 100%, $E$9)</f>
        <v>110.3724</v>
      </c>
      <c r="R964" s="14">
        <f>CHOOSE(CONTROL!$C$42, 111.2353, 111.2353) * CHOOSE(CONTROL!$C$21, $C$9, 100%, $E$9)</f>
        <v>111.2353</v>
      </c>
      <c r="S964" s="14">
        <f>CHOOSE(CONTROL!$C$42, 107.4498, 107.4498) * CHOOSE(CONTROL!$C$21, $C$9, 100%, $E$9)</f>
        <v>107.4498</v>
      </c>
      <c r="T9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7">
        <f>(1000*CHOOSE(CONTROL!$C$42, 695, 695)*CHOOSE(CONTROL!$C$42, 0.5599, 0.5599)*CHOOSE(CONTROL!$C$42, 30, 30))/1000000</f>
        <v>11.673914999999997</v>
      </c>
      <c r="V964" s="57">
        <f>(1000*CHOOSE(CONTROL!$C$42, 500, 500)*CHOOSE(CONTROL!$C$42, 0.275, 0.275)*CHOOSE(CONTROL!$C$42, 30, 30))/1000000</f>
        <v>4.125</v>
      </c>
      <c r="W964" s="57">
        <f>(1000*CHOOSE(CONTROL!$C$42, 0.1146, 0.1146)*CHOOSE(CONTROL!$C$42, 121.5, 121.5)*CHOOSE(CONTROL!$C$42, 30, 30))/1000000</f>
        <v>0.417717</v>
      </c>
      <c r="X964" s="57">
        <f>(30*0.1790888*245000/1000000)+(30*0.2374*100000/1000000)</f>
        <v>2.0285026799999999</v>
      </c>
      <c r="Y964" s="57"/>
      <c r="Z964" s="14"/>
      <c r="AA964" s="56"/>
      <c r="AB964" s="50">
        <f>(B964*141.293+C964*267.993+D964*115.016+E964*89.698+F964*40+G964*185+H964*0+I964*100+J964*300)/(141.293+267.993+115.016+89.698+0+40+185+100+300)</f>
        <v>111.8944683379338</v>
      </c>
      <c r="AC964" s="45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109.69496906474821</v>
      </c>
    </row>
    <row r="965" spans="1:29" ht="15.75" x14ac:dyDescent="0.25">
      <c r="A965" s="32">
        <v>70280</v>
      </c>
      <c r="B965" s="14">
        <f>CHOOSE(CONTROL!$C$42, 112.82, 112.82) * CHOOSE(CONTROL!$C$21, $C$9, 100%, $E$9)</f>
        <v>112.82</v>
      </c>
      <c r="C965" s="14">
        <f>CHOOSE(CONTROL!$C$42, 112.8281, 112.8281) * CHOOSE(CONTROL!$C$21, $C$9, 100%, $E$9)</f>
        <v>112.82810000000001</v>
      </c>
      <c r="D965" s="14">
        <f>CHOOSE(CONTROL!$C$42, 113.033, 113.033) * CHOOSE(CONTROL!$C$21, $C$9, 100%, $E$9)</f>
        <v>113.033</v>
      </c>
      <c r="E965" s="14">
        <f>CHOOSE(CONTROL!$C$42, 113.0645, 113.0645) * CHOOSE(CONTROL!$C$21, $C$9, 100%, $E$9)</f>
        <v>113.0645</v>
      </c>
      <c r="F965" s="14">
        <f>CHOOSE(CONTROL!$C$42, 112.8062, 112.8062)*CHOOSE(CONTROL!$C$21, $C$9, 100%, $E$9)</f>
        <v>112.8062</v>
      </c>
      <c r="G965" s="14">
        <f>CHOOSE(CONTROL!$C$42, 112.8226, 112.8226)*CHOOSE(CONTROL!$C$21, $C$9, 100%, $E$9)</f>
        <v>112.82259999999999</v>
      </c>
      <c r="H965" s="14">
        <f>CHOOSE(CONTROL!$C$42, 113.0531, 113.0531) * CHOOSE(CONTROL!$C$21, $C$9, 100%, $E$9)</f>
        <v>113.0531</v>
      </c>
      <c r="I965" s="14">
        <f>CHOOSE(CONTROL!$C$42, 113.1814, 113.1814)* CHOOSE(CONTROL!$C$21, $C$9, 100%, $E$9)</f>
        <v>113.1814</v>
      </c>
      <c r="J965" s="14">
        <f>CHOOSE(CONTROL!$C$42, 112.7992, 112.7992)* CHOOSE(CONTROL!$C$21, $C$9, 100%, $E$9)</f>
        <v>112.7992</v>
      </c>
      <c r="K965" s="53">
        <f>CHOOSE(CONTROL!$C$42, 113.1775, 113.1775) * CHOOSE(CONTROL!$C$21, $C$9, 100%, $E$9)</f>
        <v>113.17749999999999</v>
      </c>
      <c r="L965" s="14">
        <f>CHOOSE(CONTROL!$C$42, 113.6401, 113.6401) * CHOOSE(CONTROL!$C$21, $C$9, 100%, $E$9)</f>
        <v>113.6401</v>
      </c>
      <c r="M965" s="14">
        <f>CHOOSE(CONTROL!$C$42, 110.4957, 110.4957) * CHOOSE(CONTROL!$C$21, $C$9, 100%, $E$9)</f>
        <v>110.4957</v>
      </c>
      <c r="N965" s="14">
        <f>CHOOSE(CONTROL!$C$42, 110.5118, 110.5118) * CHOOSE(CONTROL!$C$21, $C$9, 100%, $E$9)</f>
        <v>110.51179999999999</v>
      </c>
      <c r="O965" s="14">
        <f>CHOOSE(CONTROL!$C$42, 110.7444, 110.7444) * CHOOSE(CONTROL!$C$21, $C$9, 100%, $E$9)</f>
        <v>110.7444</v>
      </c>
      <c r="P965" s="14">
        <f>CHOOSE(CONTROL!$C$42, 110.8631, 110.8631) * CHOOSE(CONTROL!$C$21, $C$9, 100%, $E$9)</f>
        <v>110.8631</v>
      </c>
      <c r="Q965" s="14">
        <f>CHOOSE(CONTROL!$C$42, 111.3391, 111.3391) * CHOOSE(CONTROL!$C$21, $C$9, 100%, $E$9)</f>
        <v>111.3391</v>
      </c>
      <c r="R965" s="14">
        <f>CHOOSE(CONTROL!$C$42, 112.2045, 112.2045) * CHOOSE(CONTROL!$C$21, $C$9, 100%, $E$9)</f>
        <v>112.2045</v>
      </c>
      <c r="S965" s="14">
        <f>CHOOSE(CONTROL!$C$42, 108.3981, 108.3981) * CHOOSE(CONTROL!$C$21, $C$9, 100%, $E$9)</f>
        <v>108.3981</v>
      </c>
      <c r="T9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7">
        <f>(1000*CHOOSE(CONTROL!$C$42, 695, 695)*CHOOSE(CONTROL!$C$42, 0.5599, 0.5599)*CHOOSE(CONTROL!$C$42, 31, 31))/1000000</f>
        <v>12.063045499999998</v>
      </c>
      <c r="V965" s="57">
        <f>(1000*CHOOSE(CONTROL!$C$42, 500, 500)*CHOOSE(CONTROL!$C$42, 0.275, 0.275)*CHOOSE(CONTROL!$C$42, 31, 31))/1000000</f>
        <v>4.2625000000000002</v>
      </c>
      <c r="W965" s="57">
        <f>(1000*CHOOSE(CONTROL!$C$42, 0.1146, 0.1146)*CHOOSE(CONTROL!$C$42, 121.5, 121.5)*CHOOSE(CONTROL!$C$42, 31, 31))/1000000</f>
        <v>0.43164089999999994</v>
      </c>
      <c r="X965" s="57">
        <f>(31*0.1790888*245000/1000000)+(31*0.2374*100000/1000000)</f>
        <v>2.0961194359999999</v>
      </c>
      <c r="Y965" s="57"/>
      <c r="Z965" s="14"/>
      <c r="AA965" s="56"/>
      <c r="AB965" s="50">
        <f>(B965*194.205+C965*267.466+D965*133.845+E965*53.484+F965*40+G965*185+H965*0+I965*100+J965*300)/(194.205+267.466+133.845+53.484+0+40+185+100+300)</f>
        <v>112.87775612056514</v>
      </c>
      <c r="AC965" s="45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110.66221007194245</v>
      </c>
    </row>
    <row r="966" spans="1:29" ht="15.75" x14ac:dyDescent="0.25">
      <c r="A966" s="32">
        <v>70310</v>
      </c>
      <c r="B966" s="14">
        <f>CHOOSE(CONTROL!$C$42, 116.02, 116.02) * CHOOSE(CONTROL!$C$21, $C$9, 100%, $E$9)</f>
        <v>116.02</v>
      </c>
      <c r="C966" s="14">
        <f>CHOOSE(CONTROL!$C$42, 116.028, 116.028) * CHOOSE(CONTROL!$C$21, $C$9, 100%, $E$9)</f>
        <v>116.02800000000001</v>
      </c>
      <c r="D966" s="14">
        <f>CHOOSE(CONTROL!$C$42, 116.233, 116.233) * CHOOSE(CONTROL!$C$21, $C$9, 100%, $E$9)</f>
        <v>116.233</v>
      </c>
      <c r="E966" s="14">
        <f>CHOOSE(CONTROL!$C$42, 116.2645, 116.2645) * CHOOSE(CONTROL!$C$21, $C$9, 100%, $E$9)</f>
        <v>116.2645</v>
      </c>
      <c r="F966" s="14">
        <f>CHOOSE(CONTROL!$C$42, 116.0066, 116.0066)*CHOOSE(CONTROL!$C$21, $C$9, 100%, $E$9)</f>
        <v>116.00660000000001</v>
      </c>
      <c r="G966" s="14">
        <f>CHOOSE(CONTROL!$C$42, 116.0231, 116.0231)*CHOOSE(CONTROL!$C$21, $C$9, 100%, $E$9)</f>
        <v>116.0231</v>
      </c>
      <c r="H966" s="14">
        <f>CHOOSE(CONTROL!$C$42, 116.2531, 116.2531) * CHOOSE(CONTROL!$C$21, $C$9, 100%, $E$9)</f>
        <v>116.2531</v>
      </c>
      <c r="I966" s="14">
        <f>CHOOSE(CONTROL!$C$42, 116.3914, 116.3914)* CHOOSE(CONTROL!$C$21, $C$9, 100%, $E$9)</f>
        <v>116.3914</v>
      </c>
      <c r="J966" s="14">
        <f>CHOOSE(CONTROL!$C$42, 115.9996, 115.9996)* CHOOSE(CONTROL!$C$21, $C$9, 100%, $E$9)</f>
        <v>115.9996</v>
      </c>
      <c r="K966" s="53">
        <f>CHOOSE(CONTROL!$C$42, 116.3875, 116.3875) * CHOOSE(CONTROL!$C$21, $C$9, 100%, $E$9)</f>
        <v>116.3875</v>
      </c>
      <c r="L966" s="14">
        <f>CHOOSE(CONTROL!$C$42, 116.8401, 116.8401) * CHOOSE(CONTROL!$C$21, $C$9, 100%, $E$9)</f>
        <v>116.84010000000001</v>
      </c>
      <c r="M966" s="14">
        <f>CHOOSE(CONTROL!$C$42, 113.6305, 113.6305) * CHOOSE(CONTROL!$C$21, $C$9, 100%, $E$9)</f>
        <v>113.6305</v>
      </c>
      <c r="N966" s="14">
        <f>CHOOSE(CONTROL!$C$42, 113.6467, 113.6467) * CHOOSE(CONTROL!$C$21, $C$9, 100%, $E$9)</f>
        <v>113.6467</v>
      </c>
      <c r="O966" s="14">
        <f>CHOOSE(CONTROL!$C$42, 113.8788, 113.8788) * CHOOSE(CONTROL!$C$21, $C$9, 100%, $E$9)</f>
        <v>113.8788</v>
      </c>
      <c r="P966" s="14">
        <f>CHOOSE(CONTROL!$C$42, 114.0071, 114.0071) * CHOOSE(CONTROL!$C$21, $C$9, 100%, $E$9)</f>
        <v>114.00709999999999</v>
      </c>
      <c r="Q966" s="14">
        <f>CHOOSE(CONTROL!$C$42, 114.4735, 114.4735) * CHOOSE(CONTROL!$C$21, $C$9, 100%, $E$9)</f>
        <v>114.4735</v>
      </c>
      <c r="R966" s="14">
        <f>CHOOSE(CONTROL!$C$42, 115.3467, 115.3467) * CHOOSE(CONTROL!$C$21, $C$9, 100%, $E$9)</f>
        <v>115.3467</v>
      </c>
      <c r="S966" s="14">
        <f>CHOOSE(CONTROL!$C$42, 111.473, 111.473) * CHOOSE(CONTROL!$C$21, $C$9, 100%, $E$9)</f>
        <v>111.473</v>
      </c>
      <c r="T9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7">
        <f>(1000*CHOOSE(CONTROL!$C$42, 695, 695)*CHOOSE(CONTROL!$C$42, 0.5599, 0.5599)*CHOOSE(CONTROL!$C$42, 30, 30))/1000000</f>
        <v>11.673914999999997</v>
      </c>
      <c r="V966" s="57">
        <f>(1000*CHOOSE(CONTROL!$C$42, 500, 500)*CHOOSE(CONTROL!$C$42, 0.275, 0.275)*CHOOSE(CONTROL!$C$42, 30, 30))/1000000</f>
        <v>4.125</v>
      </c>
      <c r="W966" s="57">
        <f>(1000*CHOOSE(CONTROL!$C$42, 0.1146, 0.1146)*CHOOSE(CONTROL!$C$42, 121.5, 121.5)*CHOOSE(CONTROL!$C$42, 30, 30))/1000000</f>
        <v>0.417717</v>
      </c>
      <c r="X966" s="57">
        <f>(30*0.1790888*245000/1000000)+(30*0.2374*100000/1000000)</f>
        <v>2.0285026799999999</v>
      </c>
      <c r="Y966" s="57"/>
      <c r="Z966" s="14"/>
      <c r="AA966" s="56"/>
      <c r="AB966" s="50">
        <f>(B966*194.205+C966*267.466+D966*133.845+E966*53.484+F966*40+G966*185+H966*0+I966*100+J966*300)/(194.205+267.466+133.845+53.484+0+40+185+100+300)</f>
        <v>116.0786994120879</v>
      </c>
      <c r="AC966" s="45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113.79815827338129</v>
      </c>
    </row>
    <row r="967" spans="1:29" ht="15.75" x14ac:dyDescent="0.25">
      <c r="A967" s="32">
        <v>70341</v>
      </c>
      <c r="B967" s="14">
        <f>CHOOSE(CONTROL!$C$42, 113.7944, 113.7944) * CHOOSE(CONTROL!$C$21, $C$9, 100%, $E$9)</f>
        <v>113.7944</v>
      </c>
      <c r="C967" s="14">
        <f>CHOOSE(CONTROL!$C$42, 113.8024, 113.8024) * CHOOSE(CONTROL!$C$21, $C$9, 100%, $E$9)</f>
        <v>113.80240000000001</v>
      </c>
      <c r="D967" s="14">
        <f>CHOOSE(CONTROL!$C$42, 114.0074, 114.0074) * CHOOSE(CONTROL!$C$21, $C$9, 100%, $E$9)</f>
        <v>114.0074</v>
      </c>
      <c r="E967" s="14">
        <f>CHOOSE(CONTROL!$C$42, 114.0389, 114.0389) * CHOOSE(CONTROL!$C$21, $C$9, 100%, $E$9)</f>
        <v>114.0389</v>
      </c>
      <c r="F967" s="14">
        <f>CHOOSE(CONTROL!$C$42, 113.7814, 113.7814)*CHOOSE(CONTROL!$C$21, $C$9, 100%, $E$9)</f>
        <v>113.7814</v>
      </c>
      <c r="G967" s="14">
        <f>CHOOSE(CONTROL!$C$42, 113.798, 113.798)*CHOOSE(CONTROL!$C$21, $C$9, 100%, $E$9)</f>
        <v>113.798</v>
      </c>
      <c r="H967" s="14">
        <f>CHOOSE(CONTROL!$C$42, 114.0275, 114.0275) * CHOOSE(CONTROL!$C$21, $C$9, 100%, $E$9)</f>
        <v>114.0275</v>
      </c>
      <c r="I967" s="14">
        <f>CHOOSE(CONTROL!$C$42, 114.1588, 114.1588)* CHOOSE(CONTROL!$C$21, $C$9, 100%, $E$9)</f>
        <v>114.1588</v>
      </c>
      <c r="J967" s="14">
        <f>CHOOSE(CONTROL!$C$42, 113.7744, 113.7744)* CHOOSE(CONTROL!$C$21, $C$9, 100%, $E$9)</f>
        <v>113.7744</v>
      </c>
      <c r="K967" s="53">
        <f>CHOOSE(CONTROL!$C$42, 114.1549, 114.1549) * CHOOSE(CONTROL!$C$21, $C$9, 100%, $E$9)</f>
        <v>114.1549</v>
      </c>
      <c r="L967" s="14">
        <f>CHOOSE(CONTROL!$C$42, 114.6145, 114.6145) * CHOOSE(CONTROL!$C$21, $C$9, 100%, $E$9)</f>
        <v>114.61450000000001</v>
      </c>
      <c r="M967" s="14">
        <f>CHOOSE(CONTROL!$C$42, 111.4509, 111.4509) * CHOOSE(CONTROL!$C$21, $C$9, 100%, $E$9)</f>
        <v>111.4509</v>
      </c>
      <c r="N967" s="14">
        <f>CHOOSE(CONTROL!$C$42, 111.4672, 111.4672) * CHOOSE(CONTROL!$C$21, $C$9, 100%, $E$9)</f>
        <v>111.46720000000001</v>
      </c>
      <c r="O967" s="14">
        <f>CHOOSE(CONTROL!$C$42, 111.6988, 111.6988) * CHOOSE(CONTROL!$C$21, $C$9, 100%, $E$9)</f>
        <v>111.69880000000001</v>
      </c>
      <c r="P967" s="14">
        <f>CHOOSE(CONTROL!$C$42, 111.8204, 111.8204) * CHOOSE(CONTROL!$C$21, $C$9, 100%, $E$9)</f>
        <v>111.82040000000001</v>
      </c>
      <c r="Q967" s="14">
        <f>CHOOSE(CONTROL!$C$42, 112.2935, 112.2935) * CHOOSE(CONTROL!$C$21, $C$9, 100%, $E$9)</f>
        <v>112.29349999999999</v>
      </c>
      <c r="R967" s="14">
        <f>CHOOSE(CONTROL!$C$42, 113.1613, 113.1613) * CHOOSE(CONTROL!$C$21, $C$9, 100%, $E$9)</f>
        <v>113.1613</v>
      </c>
      <c r="S967" s="14">
        <f>CHOOSE(CONTROL!$C$42, 109.3344, 109.3344) * CHOOSE(CONTROL!$C$21, $C$9, 100%, $E$9)</f>
        <v>109.3344</v>
      </c>
      <c r="T9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7">
        <f>(1000*CHOOSE(CONTROL!$C$42, 695, 695)*CHOOSE(CONTROL!$C$42, 0.5599, 0.5599)*CHOOSE(CONTROL!$C$42, 31, 31))/1000000</f>
        <v>12.063045499999998</v>
      </c>
      <c r="V967" s="57">
        <f>(1000*CHOOSE(CONTROL!$C$42, 500, 500)*CHOOSE(CONTROL!$C$42, 0.275, 0.275)*CHOOSE(CONTROL!$C$42, 31, 31))/1000000</f>
        <v>4.2625000000000002</v>
      </c>
      <c r="W967" s="57">
        <f>(1000*CHOOSE(CONTROL!$C$42, 0.1146, 0.1146)*CHOOSE(CONTROL!$C$42, 121.5, 121.5)*CHOOSE(CONTROL!$C$42, 31, 31))/1000000</f>
        <v>0.43164089999999994</v>
      </c>
      <c r="X967" s="57">
        <f>(31*0.1790888*245000/1000000)+(31*0.2374*100000/1000000)</f>
        <v>2.0961194359999999</v>
      </c>
      <c r="Y967" s="57"/>
      <c r="Z967" s="14"/>
      <c r="AA967" s="56"/>
      <c r="AB967" s="50">
        <f>(B967*194.205+C967*267.466+D967*133.845+E967*53.484+F967*40+G967*185+H967*0+I967*100+J967*300)/(194.205+267.466+133.845+53.484+0+40+185+100+300)</f>
        <v>113.85272931789639</v>
      </c>
      <c r="AC967" s="45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111.61736115107917</v>
      </c>
    </row>
    <row r="968" spans="1:29" ht="15.75" x14ac:dyDescent="0.25">
      <c r="A968" s="32">
        <v>70372</v>
      </c>
      <c r="B968" s="14">
        <f>CHOOSE(CONTROL!$C$42, 108.1741, 108.1741) * CHOOSE(CONTROL!$C$21, $C$9, 100%, $E$9)</f>
        <v>108.1741</v>
      </c>
      <c r="C968" s="14">
        <f>CHOOSE(CONTROL!$C$42, 108.1821, 108.1821) * CHOOSE(CONTROL!$C$21, $C$9, 100%, $E$9)</f>
        <v>108.18210000000001</v>
      </c>
      <c r="D968" s="14">
        <f>CHOOSE(CONTROL!$C$42, 108.3871, 108.3871) * CHOOSE(CONTROL!$C$21, $C$9, 100%, $E$9)</f>
        <v>108.3871</v>
      </c>
      <c r="E968" s="14">
        <f>CHOOSE(CONTROL!$C$42, 108.4186, 108.4186) * CHOOSE(CONTROL!$C$21, $C$9, 100%, $E$9)</f>
        <v>108.4186</v>
      </c>
      <c r="F968" s="14">
        <f>CHOOSE(CONTROL!$C$42, 108.1613, 108.1613)*CHOOSE(CONTROL!$C$21, $C$9, 100%, $E$9)</f>
        <v>108.1613</v>
      </c>
      <c r="G968" s="14">
        <f>CHOOSE(CONTROL!$C$42, 108.178, 108.178)*CHOOSE(CONTROL!$C$21, $C$9, 100%, $E$9)</f>
        <v>108.178</v>
      </c>
      <c r="H968" s="14">
        <f>CHOOSE(CONTROL!$C$42, 108.4072, 108.4072) * CHOOSE(CONTROL!$C$21, $C$9, 100%, $E$9)</f>
        <v>108.4072</v>
      </c>
      <c r="I968" s="14">
        <f>CHOOSE(CONTROL!$C$42, 108.5209, 108.5209)* CHOOSE(CONTROL!$C$21, $C$9, 100%, $E$9)</f>
        <v>108.5209</v>
      </c>
      <c r="J968" s="14">
        <f>CHOOSE(CONTROL!$C$42, 108.1543, 108.1543)* CHOOSE(CONTROL!$C$21, $C$9, 100%, $E$9)</f>
        <v>108.15430000000001</v>
      </c>
      <c r="K968" s="53">
        <f>CHOOSE(CONTROL!$C$42, 108.517, 108.517) * CHOOSE(CONTROL!$C$21, $C$9, 100%, $E$9)</f>
        <v>108.517</v>
      </c>
      <c r="L968" s="14">
        <f>CHOOSE(CONTROL!$C$42, 108.9942, 108.9942) * CHOOSE(CONTROL!$C$21, $C$9, 100%, $E$9)</f>
        <v>108.99420000000001</v>
      </c>
      <c r="M968" s="14">
        <f>CHOOSE(CONTROL!$C$42, 105.946, 105.946) * CHOOSE(CONTROL!$C$21, $C$9, 100%, $E$9)</f>
        <v>105.946</v>
      </c>
      <c r="N968" s="14">
        <f>CHOOSE(CONTROL!$C$42, 105.9623, 105.9623) * CHOOSE(CONTROL!$C$21, $C$9, 100%, $E$9)</f>
        <v>105.9623</v>
      </c>
      <c r="O968" s="14">
        <f>CHOOSE(CONTROL!$C$42, 106.1937, 106.1937) * CHOOSE(CONTROL!$C$21, $C$9, 100%, $E$9)</f>
        <v>106.19370000000001</v>
      </c>
      <c r="P968" s="14">
        <f>CHOOSE(CONTROL!$C$42, 106.2984, 106.2984) * CHOOSE(CONTROL!$C$21, $C$9, 100%, $E$9)</f>
        <v>106.2984</v>
      </c>
      <c r="Q968" s="14">
        <f>CHOOSE(CONTROL!$C$42, 106.7884, 106.7884) * CHOOSE(CONTROL!$C$21, $C$9, 100%, $E$9)</f>
        <v>106.7884</v>
      </c>
      <c r="R968" s="14">
        <f>CHOOSE(CONTROL!$C$42, 107.6424, 107.6424) * CHOOSE(CONTROL!$C$21, $C$9, 100%, $E$9)</f>
        <v>107.64239999999999</v>
      </c>
      <c r="S968" s="14">
        <f>CHOOSE(CONTROL!$C$42, 103.9339, 103.9339) * CHOOSE(CONTROL!$C$21, $C$9, 100%, $E$9)</f>
        <v>103.93389999999999</v>
      </c>
      <c r="T9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7">
        <f>(1000*CHOOSE(CONTROL!$C$42, 695, 695)*CHOOSE(CONTROL!$C$42, 0.5599, 0.5599)*CHOOSE(CONTROL!$C$42, 31, 31))/1000000</f>
        <v>12.063045499999998</v>
      </c>
      <c r="V968" s="57">
        <f>(1000*CHOOSE(CONTROL!$C$42, 500, 500)*CHOOSE(CONTROL!$C$42, 0.275, 0.275)*CHOOSE(CONTROL!$C$42, 31, 31))/1000000</f>
        <v>4.2625000000000002</v>
      </c>
      <c r="W968" s="57">
        <f>(1000*CHOOSE(CONTROL!$C$42, 0.1146, 0.1146)*CHOOSE(CONTROL!$C$42, 121.5, 121.5)*CHOOSE(CONTROL!$C$42, 31, 31))/1000000</f>
        <v>0.43164089999999994</v>
      </c>
      <c r="X968" s="57">
        <f>(31*0.1790888*245000/1000000)+(31*0.2374*100000/1000000)</f>
        <v>2.0961194359999999</v>
      </c>
      <c r="Y968" s="57"/>
      <c r="Z968" s="14"/>
      <c r="AA968" s="56"/>
      <c r="AB968" s="50">
        <f>(B968*194.205+C968*267.466+D968*133.845+E968*53.484+F968*40+G968*185+H968*0+I968*100+J968*300)/(194.205+267.466+133.845+53.484+0+40+185+100+300)</f>
        <v>108.23114478100472</v>
      </c>
      <c r="AC968" s="45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106.10991007194244</v>
      </c>
    </row>
    <row r="969" spans="1:29" ht="15.75" x14ac:dyDescent="0.25">
      <c r="A969" s="32">
        <v>70402</v>
      </c>
      <c r="B969" s="14">
        <f>CHOOSE(CONTROL!$C$42, 101.3067, 101.3067) * CHOOSE(CONTROL!$C$21, $C$9, 100%, $E$9)</f>
        <v>101.30670000000001</v>
      </c>
      <c r="C969" s="14">
        <f>CHOOSE(CONTROL!$C$42, 101.3147, 101.3147) * CHOOSE(CONTROL!$C$21, $C$9, 100%, $E$9)</f>
        <v>101.3147</v>
      </c>
      <c r="D969" s="14">
        <f>CHOOSE(CONTROL!$C$42, 101.5197, 101.5197) * CHOOSE(CONTROL!$C$21, $C$9, 100%, $E$9)</f>
        <v>101.5197</v>
      </c>
      <c r="E969" s="14">
        <f>CHOOSE(CONTROL!$C$42, 101.5512, 101.5512) * CHOOSE(CONTROL!$C$21, $C$9, 100%, $E$9)</f>
        <v>101.55119999999999</v>
      </c>
      <c r="F969" s="14">
        <f>CHOOSE(CONTROL!$C$42, 101.2939, 101.2939)*CHOOSE(CONTROL!$C$21, $C$9, 100%, $E$9)</f>
        <v>101.29389999999999</v>
      </c>
      <c r="G969" s="14">
        <f>CHOOSE(CONTROL!$C$42, 101.3106, 101.3106)*CHOOSE(CONTROL!$C$21, $C$9, 100%, $E$9)</f>
        <v>101.31059999999999</v>
      </c>
      <c r="H969" s="14">
        <f>CHOOSE(CONTROL!$C$42, 101.5398, 101.5398) * CHOOSE(CONTROL!$C$21, $C$9, 100%, $E$9)</f>
        <v>101.5398</v>
      </c>
      <c r="I969" s="14">
        <f>CHOOSE(CONTROL!$C$42, 101.632, 101.632)* CHOOSE(CONTROL!$C$21, $C$9, 100%, $E$9)</f>
        <v>101.63200000000001</v>
      </c>
      <c r="J969" s="14">
        <f>CHOOSE(CONTROL!$C$42, 101.2869, 101.2869)* CHOOSE(CONTROL!$C$21, $C$9, 100%, $E$9)</f>
        <v>101.2869</v>
      </c>
      <c r="K969" s="53">
        <f>CHOOSE(CONTROL!$C$42, 101.6282, 101.6282) * CHOOSE(CONTROL!$C$21, $C$9, 100%, $E$9)</f>
        <v>101.62820000000001</v>
      </c>
      <c r="L969" s="14">
        <f>CHOOSE(CONTROL!$C$42, 102.1268, 102.1268) * CHOOSE(CONTROL!$C$21, $C$9, 100%, $E$9)</f>
        <v>102.1268</v>
      </c>
      <c r="M969" s="14">
        <f>CHOOSE(CONTROL!$C$42, 99.2193, 99.2193) * CHOOSE(CONTROL!$C$21, $C$9, 100%, $E$9)</f>
        <v>99.219300000000004</v>
      </c>
      <c r="N969" s="14">
        <f>CHOOSE(CONTROL!$C$42, 99.2356, 99.2356) * CHOOSE(CONTROL!$C$21, $C$9, 100%, $E$9)</f>
        <v>99.235600000000005</v>
      </c>
      <c r="O969" s="14">
        <f>CHOOSE(CONTROL!$C$42, 99.467, 99.467) * CHOOSE(CONTROL!$C$21, $C$9, 100%, $E$9)</f>
        <v>99.466999999999999</v>
      </c>
      <c r="P969" s="14">
        <f>CHOOSE(CONTROL!$C$42, 99.5511, 99.5511) * CHOOSE(CONTROL!$C$21, $C$9, 100%, $E$9)</f>
        <v>99.551100000000005</v>
      </c>
      <c r="Q969" s="14">
        <f>CHOOSE(CONTROL!$C$42, 100.0617, 100.0617) * CHOOSE(CONTROL!$C$21, $C$9, 100%, $E$9)</f>
        <v>100.0617</v>
      </c>
      <c r="R969" s="14">
        <f>CHOOSE(CONTROL!$C$42, 100.8989, 100.8989) * CHOOSE(CONTROL!$C$21, $C$9, 100%, $E$9)</f>
        <v>100.8989</v>
      </c>
      <c r="S969" s="14">
        <f>CHOOSE(CONTROL!$C$42, 97.335, 97.335) * CHOOSE(CONTROL!$C$21, $C$9, 100%, $E$9)</f>
        <v>97.334999999999994</v>
      </c>
      <c r="T9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7">
        <f>(1000*CHOOSE(CONTROL!$C$42, 695, 695)*CHOOSE(CONTROL!$C$42, 0.5599, 0.5599)*CHOOSE(CONTROL!$C$42, 30, 30))/1000000</f>
        <v>11.673914999999997</v>
      </c>
      <c r="V969" s="57">
        <f>(1000*CHOOSE(CONTROL!$C$42, 500, 500)*CHOOSE(CONTROL!$C$42, 0.275, 0.275)*CHOOSE(CONTROL!$C$42, 30, 30))/1000000</f>
        <v>4.125</v>
      </c>
      <c r="W969" s="57">
        <f>(1000*CHOOSE(CONTROL!$C$42, 0.1146, 0.1146)*CHOOSE(CONTROL!$C$42, 121.5, 121.5)*CHOOSE(CONTROL!$C$42, 30, 30))/1000000</f>
        <v>0.417717</v>
      </c>
      <c r="X969" s="57">
        <f>(30*0.1790888*245000/1000000)+(30*0.2374*100000/1000000)</f>
        <v>2.0285026799999999</v>
      </c>
      <c r="Y969" s="57"/>
      <c r="Z969" s="14"/>
      <c r="AA969" s="56"/>
      <c r="AB969" s="50">
        <f>(B969*194.205+C969*267.466+D969*133.845+E969*53.484+F969*40+G969*185+H969*0+I969*100+J969*300)/(194.205+267.466+133.845+53.484+0+40+185+100+300)</f>
        <v>101.36205718288853</v>
      </c>
      <c r="AC969" s="45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99.380246043165485</v>
      </c>
    </row>
    <row r="970" spans="1:29" ht="15.75" x14ac:dyDescent="0.25">
      <c r="A970" s="32">
        <v>70433</v>
      </c>
      <c r="B970" s="14">
        <f>CHOOSE(CONTROL!$C$42, 99.2483, 99.2483) * CHOOSE(CONTROL!$C$21, $C$9, 100%, $E$9)</f>
        <v>99.2483</v>
      </c>
      <c r="C970" s="14">
        <f>CHOOSE(CONTROL!$C$42, 99.2536, 99.2536) * CHOOSE(CONTROL!$C$21, $C$9, 100%, $E$9)</f>
        <v>99.253600000000006</v>
      </c>
      <c r="D970" s="14">
        <f>CHOOSE(CONTROL!$C$42, 99.4635, 99.4635) * CHOOSE(CONTROL!$C$21, $C$9, 100%, $E$9)</f>
        <v>99.463499999999996</v>
      </c>
      <c r="E970" s="14">
        <f>CHOOSE(CONTROL!$C$42, 99.4927, 99.4927) * CHOOSE(CONTROL!$C$21, $C$9, 100%, $E$9)</f>
        <v>99.492699999999999</v>
      </c>
      <c r="F970" s="14">
        <f>CHOOSE(CONTROL!$C$42, 99.2375, 99.2375)*CHOOSE(CONTROL!$C$21, $C$9, 100%, $E$9)</f>
        <v>99.237499999999997</v>
      </c>
      <c r="G970" s="14">
        <f>CHOOSE(CONTROL!$C$42, 99.2538, 99.2538)*CHOOSE(CONTROL!$C$21, $C$9, 100%, $E$9)</f>
        <v>99.253799999999998</v>
      </c>
      <c r="H970" s="14">
        <f>CHOOSE(CONTROL!$C$42, 99.4831, 99.4831) * CHOOSE(CONTROL!$C$21, $C$9, 100%, $E$9)</f>
        <v>99.483099999999993</v>
      </c>
      <c r="I970" s="14">
        <f>CHOOSE(CONTROL!$C$42, 99.5689, 99.5689)* CHOOSE(CONTROL!$C$21, $C$9, 100%, $E$9)</f>
        <v>99.568899999999999</v>
      </c>
      <c r="J970" s="14">
        <f>CHOOSE(CONTROL!$C$42, 99.2305, 99.2305)* CHOOSE(CONTROL!$C$21, $C$9, 100%, $E$9)</f>
        <v>99.230500000000006</v>
      </c>
      <c r="K970" s="53">
        <f>CHOOSE(CONTROL!$C$42, 99.565, 99.565) * CHOOSE(CONTROL!$C$21, $C$9, 100%, $E$9)</f>
        <v>99.564999999999998</v>
      </c>
      <c r="L970" s="14">
        <f>CHOOSE(CONTROL!$C$42, 100.0701, 100.0701) * CHOOSE(CONTROL!$C$21, $C$9, 100%, $E$9)</f>
        <v>100.0701</v>
      </c>
      <c r="M970" s="14">
        <f>CHOOSE(CONTROL!$C$42, 97.205, 97.205) * CHOOSE(CONTROL!$C$21, $C$9, 100%, $E$9)</f>
        <v>97.204999999999998</v>
      </c>
      <c r="N970" s="14">
        <f>CHOOSE(CONTROL!$C$42, 97.221, 97.221) * CHOOSE(CONTROL!$C$21, $C$9, 100%, $E$9)</f>
        <v>97.221000000000004</v>
      </c>
      <c r="O970" s="14">
        <f>CHOOSE(CONTROL!$C$42, 97.4525, 97.4525) * CHOOSE(CONTROL!$C$21, $C$9, 100%, $E$9)</f>
        <v>97.452500000000001</v>
      </c>
      <c r="P970" s="14">
        <f>CHOOSE(CONTROL!$C$42, 97.5303, 97.5303) * CHOOSE(CONTROL!$C$21, $C$9, 100%, $E$9)</f>
        <v>97.530299999999997</v>
      </c>
      <c r="Q970" s="14">
        <f>CHOOSE(CONTROL!$C$42, 98.0472, 98.0472) * CHOOSE(CONTROL!$C$21, $C$9, 100%, $E$9)</f>
        <v>98.047200000000004</v>
      </c>
      <c r="R970" s="14">
        <f>CHOOSE(CONTROL!$C$42, 98.8793, 98.8793) * CHOOSE(CONTROL!$C$21, $C$9, 100%, $E$9)</f>
        <v>98.879300000000001</v>
      </c>
      <c r="S970" s="14">
        <f>CHOOSE(CONTROL!$C$42, 95.3587, 95.3587) * CHOOSE(CONTROL!$C$21, $C$9, 100%, $E$9)</f>
        <v>95.358699999999999</v>
      </c>
      <c r="T9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7">
        <f>(1000*CHOOSE(CONTROL!$C$42, 695, 695)*CHOOSE(CONTROL!$C$42, 0.5599, 0.5599)*CHOOSE(CONTROL!$C$42, 31, 31))/1000000</f>
        <v>12.063045499999998</v>
      </c>
      <c r="V970" s="57">
        <f>(1000*CHOOSE(CONTROL!$C$42, 500, 500)*CHOOSE(CONTROL!$C$42, 0.275, 0.275)*CHOOSE(CONTROL!$C$42, 31, 31))/1000000</f>
        <v>4.2625000000000002</v>
      </c>
      <c r="W970" s="57">
        <f>(1000*CHOOSE(CONTROL!$C$42, 0.1146, 0.1146)*CHOOSE(CONTROL!$C$42, 121.5, 121.5)*CHOOSE(CONTROL!$C$42, 31, 31))/1000000</f>
        <v>0.43164089999999994</v>
      </c>
      <c r="X970" s="57">
        <f>(31*0.1790888*245000/1000000)+(31*0.2374*100000/1000000)</f>
        <v>2.0961194359999999</v>
      </c>
      <c r="Y970" s="57"/>
      <c r="Z970" s="14"/>
      <c r="AA970" s="56"/>
      <c r="AB970" s="50">
        <f>(B970*131.881+C970*277.167+D970*79.08+E970*125.872+F970*40+G970*185+H970*0+I970*100+J970*300)/(131.881+277.167+79.08+125.872+0+40+185+100+300)</f>
        <v>99.310088230750608</v>
      </c>
      <c r="AC970" s="45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97.364902877697844</v>
      </c>
    </row>
    <row r="971" spans="1:29" ht="15.75" x14ac:dyDescent="0.25">
      <c r="A971" s="32">
        <v>70463</v>
      </c>
      <c r="B971" s="14">
        <f>CHOOSE(CONTROL!$C$42, 101.8623, 101.8623) * CHOOSE(CONTROL!$C$21, $C$9, 100%, $E$9)</f>
        <v>101.8623</v>
      </c>
      <c r="C971" s="14">
        <f>CHOOSE(CONTROL!$C$42, 101.8673, 101.8673) * CHOOSE(CONTROL!$C$21, $C$9, 100%, $E$9)</f>
        <v>101.8673</v>
      </c>
      <c r="D971" s="14">
        <f>CHOOSE(CONTROL!$C$42, 101.9311, 101.9311) * CHOOSE(CONTROL!$C$21, $C$9, 100%, $E$9)</f>
        <v>101.9311</v>
      </c>
      <c r="E971" s="14">
        <f>CHOOSE(CONTROL!$C$42, 101.9652, 101.9652) * CHOOSE(CONTROL!$C$21, $C$9, 100%, $E$9)</f>
        <v>101.9652</v>
      </c>
      <c r="F971" s="14">
        <f>CHOOSE(CONTROL!$C$42, 101.8645, 101.8645)*CHOOSE(CONTROL!$C$21, $C$9, 100%, $E$9)</f>
        <v>101.86450000000001</v>
      </c>
      <c r="G971" s="14">
        <f>CHOOSE(CONTROL!$C$42, 101.8812, 101.8812)*CHOOSE(CONTROL!$C$21, $C$9, 100%, $E$9)</f>
        <v>101.88120000000001</v>
      </c>
      <c r="H971" s="14">
        <f>CHOOSE(CONTROL!$C$42, 101.9544, 101.9544) * CHOOSE(CONTROL!$C$21, $C$9, 100%, $E$9)</f>
        <v>101.95440000000001</v>
      </c>
      <c r="I971" s="14">
        <f>CHOOSE(CONTROL!$C$42, 102.1952, 102.1952)* CHOOSE(CONTROL!$C$21, $C$9, 100%, $E$9)</f>
        <v>102.1952</v>
      </c>
      <c r="J971" s="14">
        <f>CHOOSE(CONTROL!$C$42, 101.8575, 101.8575)* CHOOSE(CONTROL!$C$21, $C$9, 100%, $E$9)</f>
        <v>101.8575</v>
      </c>
      <c r="K971" s="53">
        <f>CHOOSE(CONTROL!$C$42, 102.1913, 102.1913) * CHOOSE(CONTROL!$C$21, $C$9, 100%, $E$9)</f>
        <v>102.1913</v>
      </c>
      <c r="L971" s="14">
        <f>CHOOSE(CONTROL!$C$42, 102.5414, 102.5414) * CHOOSE(CONTROL!$C$21, $C$9, 100%, $E$9)</f>
        <v>102.5414</v>
      </c>
      <c r="M971" s="14">
        <f>CHOOSE(CONTROL!$C$42, 99.7782, 99.7782) * CHOOSE(CONTROL!$C$21, $C$9, 100%, $E$9)</f>
        <v>99.778199999999998</v>
      </c>
      <c r="N971" s="14">
        <f>CHOOSE(CONTROL!$C$42, 99.7945, 99.7945) * CHOOSE(CONTROL!$C$21, $C$9, 100%, $E$9)</f>
        <v>99.794499999999999</v>
      </c>
      <c r="O971" s="14">
        <f>CHOOSE(CONTROL!$C$42, 99.8732, 99.8732) * CHOOSE(CONTROL!$C$21, $C$9, 100%, $E$9)</f>
        <v>99.873199999999997</v>
      </c>
      <c r="P971" s="14">
        <f>CHOOSE(CONTROL!$C$42, 100.1026, 100.1026) * CHOOSE(CONTROL!$C$21, $C$9, 100%, $E$9)</f>
        <v>100.1026</v>
      </c>
      <c r="Q971" s="14">
        <f>CHOOSE(CONTROL!$C$42, 100.4679, 100.4679) * CHOOSE(CONTROL!$C$21, $C$9, 100%, $E$9)</f>
        <v>100.4679</v>
      </c>
      <c r="R971" s="14">
        <f>CHOOSE(CONTROL!$C$42, 101.306, 101.306) * CHOOSE(CONTROL!$C$21, $C$9, 100%, $E$9)</f>
        <v>101.306</v>
      </c>
      <c r="S971" s="14">
        <f>CHOOSE(CONTROL!$C$42, 97.8709, 97.8709) * CHOOSE(CONTROL!$C$21, $C$9, 100%, $E$9)</f>
        <v>97.870900000000006</v>
      </c>
      <c r="T9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7">
        <f>(1000*CHOOSE(CONTROL!$C$42, 695, 695)*CHOOSE(CONTROL!$C$42, 0.5599, 0.5599)*CHOOSE(CONTROL!$C$42, 30, 30))/1000000</f>
        <v>11.673914999999997</v>
      </c>
      <c r="V971" s="57">
        <f>(1000*CHOOSE(CONTROL!$C$42, 500, 500)*CHOOSE(CONTROL!$C$42, 0.275, 0.275)*CHOOSE(CONTROL!$C$42, 30, 30))/1000000</f>
        <v>4.125</v>
      </c>
      <c r="W971" s="57">
        <f>(1000*CHOOSE(CONTROL!$C$42, 0.1146, 0.1146)*CHOOSE(CONTROL!$C$42, 121.5, 121.5)*CHOOSE(CONTROL!$C$42, 30, 30))/1000000</f>
        <v>0.417717</v>
      </c>
      <c r="X971" s="57">
        <f>(30*0.1790888*100000/1000000)+(30*0.2374*100000/1000000)</f>
        <v>1.2494664</v>
      </c>
      <c r="Y971" s="57"/>
      <c r="Z971" s="14"/>
      <c r="AA971" s="56"/>
      <c r="AB971" s="50">
        <f>(B971*122.58+C971*297.941+D971*89.177+E971*40.302+F971*40+G971*160+H971*0+I971*100+J971*300)/(122.58+297.941+89.177+40.302+0+40+160+100+300)</f>
        <v>101.9029383986087</v>
      </c>
      <c r="AC971" s="45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99.868871942446034</v>
      </c>
    </row>
    <row r="972" spans="1:29" ht="15.75" x14ac:dyDescent="0.25">
      <c r="A972" s="32">
        <v>70494</v>
      </c>
      <c r="B972" s="14">
        <f>CHOOSE(CONTROL!$C$42, 108.8065, 108.8065) * CHOOSE(CONTROL!$C$21, $C$9, 100%, $E$9)</f>
        <v>108.8065</v>
      </c>
      <c r="C972" s="14">
        <f>CHOOSE(CONTROL!$C$42, 108.8116, 108.8116) * CHOOSE(CONTROL!$C$21, $C$9, 100%, $E$9)</f>
        <v>108.8116</v>
      </c>
      <c r="D972" s="14">
        <f>CHOOSE(CONTROL!$C$42, 108.8754, 108.8754) * CHOOSE(CONTROL!$C$21, $C$9, 100%, $E$9)</f>
        <v>108.8754</v>
      </c>
      <c r="E972" s="14">
        <f>CHOOSE(CONTROL!$C$42, 108.9095, 108.9095) * CHOOSE(CONTROL!$C$21, $C$9, 100%, $E$9)</f>
        <v>108.90949999999999</v>
      </c>
      <c r="F972" s="14">
        <f>CHOOSE(CONTROL!$C$42, 108.8108, 108.8108)*CHOOSE(CONTROL!$C$21, $C$9, 100%, $E$9)</f>
        <v>108.8108</v>
      </c>
      <c r="G972" s="14">
        <f>CHOOSE(CONTROL!$C$42, 108.828, 108.828)*CHOOSE(CONTROL!$C$21, $C$9, 100%, $E$9)</f>
        <v>108.828</v>
      </c>
      <c r="H972" s="14">
        <f>CHOOSE(CONTROL!$C$42, 108.8987, 108.8987) * CHOOSE(CONTROL!$C$21, $C$9, 100%, $E$9)</f>
        <v>108.89870000000001</v>
      </c>
      <c r="I972" s="14">
        <f>CHOOSE(CONTROL!$C$42, 109.1612, 109.1612)* CHOOSE(CONTROL!$C$21, $C$9, 100%, $E$9)</f>
        <v>109.16119999999999</v>
      </c>
      <c r="J972" s="14">
        <f>CHOOSE(CONTROL!$C$42, 108.8038, 108.8038)* CHOOSE(CONTROL!$C$21, $C$9, 100%, $E$9)</f>
        <v>108.8038</v>
      </c>
      <c r="K972" s="53">
        <f>CHOOSE(CONTROL!$C$42, 109.1573, 109.1573) * CHOOSE(CONTROL!$C$21, $C$9, 100%, $E$9)</f>
        <v>109.15730000000001</v>
      </c>
      <c r="L972" s="14">
        <f>CHOOSE(CONTROL!$C$42, 109.4857, 109.4857) * CHOOSE(CONTROL!$C$21, $C$9, 100%, $E$9)</f>
        <v>109.48569999999999</v>
      </c>
      <c r="M972" s="14">
        <f>CHOOSE(CONTROL!$C$42, 106.5822, 106.5822) * CHOOSE(CONTROL!$C$21, $C$9, 100%, $E$9)</f>
        <v>106.5822</v>
      </c>
      <c r="N972" s="14">
        <f>CHOOSE(CONTROL!$C$42, 106.5991, 106.5991) * CHOOSE(CONTROL!$C$21, $C$9, 100%, $E$9)</f>
        <v>106.59910000000001</v>
      </c>
      <c r="O972" s="14">
        <f>CHOOSE(CONTROL!$C$42, 106.6751, 106.6751) * CHOOSE(CONTROL!$C$21, $C$9, 100%, $E$9)</f>
        <v>106.6751</v>
      </c>
      <c r="P972" s="14">
        <f>CHOOSE(CONTROL!$C$42, 106.9255, 106.9255) * CHOOSE(CONTROL!$C$21, $C$9, 100%, $E$9)</f>
        <v>106.9255</v>
      </c>
      <c r="Q972" s="14">
        <f>CHOOSE(CONTROL!$C$42, 107.2698, 107.2698) * CHOOSE(CONTROL!$C$21, $C$9, 100%, $E$9)</f>
        <v>107.2698</v>
      </c>
      <c r="R972" s="14">
        <f>CHOOSE(CONTROL!$C$42, 108.125, 108.125) * CHOOSE(CONTROL!$C$21, $C$9, 100%, $E$9)</f>
        <v>108.125</v>
      </c>
      <c r="S972" s="14">
        <f>CHOOSE(CONTROL!$C$42, 104.5436, 104.5436) * CHOOSE(CONTROL!$C$21, $C$9, 100%, $E$9)</f>
        <v>104.5436</v>
      </c>
      <c r="T9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7">
        <f>(1000*CHOOSE(CONTROL!$C$42, 695, 695)*CHOOSE(CONTROL!$C$42, 0.5599, 0.5599)*CHOOSE(CONTROL!$C$42, 31, 31))/1000000</f>
        <v>12.063045499999998</v>
      </c>
      <c r="V972" s="57">
        <f>(1000*CHOOSE(CONTROL!$C$42, 500, 500)*CHOOSE(CONTROL!$C$42, 0.275, 0.275)*CHOOSE(CONTROL!$C$42, 31, 31))/1000000</f>
        <v>4.2625000000000002</v>
      </c>
      <c r="W972" s="57">
        <f>(1000*CHOOSE(CONTROL!$C$42, 0.1146, 0.1146)*CHOOSE(CONTROL!$C$42, 121.5, 121.5)*CHOOSE(CONTROL!$C$42, 31, 31))/1000000</f>
        <v>0.43164089999999994</v>
      </c>
      <c r="X972" s="57">
        <f>(31*0.1790888*100000/1000000)+(31*0.2374*100000/1000000)</f>
        <v>1.2911152800000001</v>
      </c>
      <c r="Y972" s="57"/>
      <c r="Z972" s="14"/>
      <c r="AA972" s="56"/>
      <c r="AB972" s="50">
        <f>(B972*122.58+C972*297.941+D972*89.177+E972*40.302+F972*40+G972*160+H972*0+I972*100+J972*300)/(122.58+297.941+89.177+40.302+0+40+160+100+300)</f>
        <v>108.85005382643477</v>
      </c>
      <c r="AC972" s="45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106.67467410071941</v>
      </c>
    </row>
    <row r="973" spans="1:29" ht="15.75" x14ac:dyDescent="0.25">
      <c r="A973" s="32">
        <v>70525</v>
      </c>
      <c r="B973" s="14">
        <f>CHOOSE(CONTROL!$C$42, 117.7185, 117.7185) * CHOOSE(CONTROL!$C$21, $C$9, 100%, $E$9)</f>
        <v>117.71850000000001</v>
      </c>
      <c r="C973" s="14">
        <f>CHOOSE(CONTROL!$C$42, 117.7236, 117.7236) * CHOOSE(CONTROL!$C$21, $C$9, 100%, $E$9)</f>
        <v>117.7236</v>
      </c>
      <c r="D973" s="14">
        <f>CHOOSE(CONTROL!$C$42, 117.7822, 117.7822) * CHOOSE(CONTROL!$C$21, $C$9, 100%, $E$9)</f>
        <v>117.7822</v>
      </c>
      <c r="E973" s="14">
        <f>CHOOSE(CONTROL!$C$42, 117.8163, 117.8163) * CHOOSE(CONTROL!$C$21, $C$9, 100%, $E$9)</f>
        <v>117.8163</v>
      </c>
      <c r="F973" s="14">
        <f>CHOOSE(CONTROL!$C$42, 117.7176, 117.7176)*CHOOSE(CONTROL!$C$21, $C$9, 100%, $E$9)</f>
        <v>117.7176</v>
      </c>
      <c r="G973" s="14">
        <f>CHOOSE(CONTROL!$C$42, 117.734, 117.734)*CHOOSE(CONTROL!$C$21, $C$9, 100%, $E$9)</f>
        <v>117.73399999999999</v>
      </c>
      <c r="H973" s="14">
        <f>CHOOSE(CONTROL!$C$42, 117.8055, 117.8055) * CHOOSE(CONTROL!$C$21, $C$9, 100%, $E$9)</f>
        <v>117.80549999999999</v>
      </c>
      <c r="I973" s="14">
        <f>CHOOSE(CONTROL!$C$42, 118.0974, 118.0974)* CHOOSE(CONTROL!$C$21, $C$9, 100%, $E$9)</f>
        <v>118.09739999999999</v>
      </c>
      <c r="J973" s="14">
        <f>CHOOSE(CONTROL!$C$42, 117.7106, 117.7106)* CHOOSE(CONTROL!$C$21, $C$9, 100%, $E$9)</f>
        <v>117.7106</v>
      </c>
      <c r="K973" s="53">
        <f>CHOOSE(CONTROL!$C$42, 118.0935, 118.0935) * CHOOSE(CONTROL!$C$21, $C$9, 100%, $E$9)</f>
        <v>118.09350000000001</v>
      </c>
      <c r="L973" s="14">
        <f>CHOOSE(CONTROL!$C$42, 118.3925, 118.3925) * CHOOSE(CONTROL!$C$21, $C$9, 100%, $E$9)</f>
        <v>118.3925</v>
      </c>
      <c r="M973" s="14">
        <f>CHOOSE(CONTROL!$C$42, 115.3065, 115.3065) * CHOOSE(CONTROL!$C$21, $C$9, 100%, $E$9)</f>
        <v>115.3065</v>
      </c>
      <c r="N973" s="14">
        <f>CHOOSE(CONTROL!$C$42, 115.3226, 115.3226) * CHOOSE(CONTROL!$C$21, $C$9, 100%, $E$9)</f>
        <v>115.32259999999999</v>
      </c>
      <c r="O973" s="14">
        <f>CHOOSE(CONTROL!$C$42, 115.3994, 115.3994) * CHOOSE(CONTROL!$C$21, $C$9, 100%, $E$9)</f>
        <v>115.3994</v>
      </c>
      <c r="P973" s="14">
        <f>CHOOSE(CONTROL!$C$42, 115.678, 115.678) * CHOOSE(CONTROL!$C$21, $C$9, 100%, $E$9)</f>
        <v>115.678</v>
      </c>
      <c r="Q973" s="14">
        <f>CHOOSE(CONTROL!$C$42, 115.9941, 115.9941) * CHOOSE(CONTROL!$C$21, $C$9, 100%, $E$9)</f>
        <v>115.9941</v>
      </c>
      <c r="R973" s="14">
        <f>CHOOSE(CONTROL!$C$42, 116.8711, 116.8711) * CHOOSE(CONTROL!$C$21, $C$9, 100%, $E$9)</f>
        <v>116.8711</v>
      </c>
      <c r="S973" s="14">
        <f>CHOOSE(CONTROL!$C$42, 113.1072, 113.1072) * CHOOSE(CONTROL!$C$21, $C$9, 100%, $E$9)</f>
        <v>113.10720000000001</v>
      </c>
      <c r="T9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7">
        <f>(1000*CHOOSE(CONTROL!$C$42, 695, 695)*CHOOSE(CONTROL!$C$42, 0.5599, 0.5599)*CHOOSE(CONTROL!$C$42, 31, 31))/1000000</f>
        <v>12.063045499999998</v>
      </c>
      <c r="V973" s="57">
        <f>(1000*CHOOSE(CONTROL!$C$42, 500, 500)*CHOOSE(CONTROL!$C$42, 0.275, 0.275)*CHOOSE(CONTROL!$C$42, 31, 31))/1000000</f>
        <v>4.2625000000000002</v>
      </c>
      <c r="W973" s="57">
        <f>(1000*CHOOSE(CONTROL!$C$42, 0.1146, 0.1146)*CHOOSE(CONTROL!$C$42, 121.5, 121.5)*CHOOSE(CONTROL!$C$42, 31, 31))/1000000</f>
        <v>0.43164089999999994</v>
      </c>
      <c r="X973" s="57">
        <f>(31*0.1790888*100000/1000000)+(31*0.2374*100000/1000000)</f>
        <v>1.2911152800000001</v>
      </c>
      <c r="Y973" s="57"/>
      <c r="Z973" s="14"/>
      <c r="AA973" s="56"/>
      <c r="AB973" s="50">
        <f>(B973*122.58+C973*297.941+D973*89.177+E973*40.302+F973*40+G973*160+H973*0+I973*100+J973*300)/(122.58+297.941+89.177+40.302+0+40+160+100+300)</f>
        <v>117.76120053008697</v>
      </c>
      <c r="AC973" s="45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115.40298561151079</v>
      </c>
    </row>
    <row r="974" spans="1:29" ht="15.75" x14ac:dyDescent="0.25">
      <c r="A974" s="32">
        <v>70553</v>
      </c>
      <c r="B974" s="14">
        <f>CHOOSE(CONTROL!$C$42, 119.8139, 119.8139) * CHOOSE(CONTROL!$C$21, $C$9, 100%, $E$9)</f>
        <v>119.8139</v>
      </c>
      <c r="C974" s="14">
        <f>CHOOSE(CONTROL!$C$42, 119.819, 119.819) * CHOOSE(CONTROL!$C$21, $C$9, 100%, $E$9)</f>
        <v>119.819</v>
      </c>
      <c r="D974" s="14">
        <f>CHOOSE(CONTROL!$C$42, 119.8776, 119.8776) * CHOOSE(CONTROL!$C$21, $C$9, 100%, $E$9)</f>
        <v>119.8776</v>
      </c>
      <c r="E974" s="14">
        <f>CHOOSE(CONTROL!$C$42, 119.9117, 119.9117) * CHOOSE(CONTROL!$C$21, $C$9, 100%, $E$9)</f>
        <v>119.9117</v>
      </c>
      <c r="F974" s="14">
        <f>CHOOSE(CONTROL!$C$42, 119.813, 119.813)*CHOOSE(CONTROL!$C$21, $C$9, 100%, $E$9)</f>
        <v>119.813</v>
      </c>
      <c r="G974" s="14">
        <f>CHOOSE(CONTROL!$C$42, 119.8294, 119.8294)*CHOOSE(CONTROL!$C$21, $C$9, 100%, $E$9)</f>
        <v>119.82940000000001</v>
      </c>
      <c r="H974" s="14">
        <f>CHOOSE(CONTROL!$C$42, 119.9009, 119.9009) * CHOOSE(CONTROL!$C$21, $C$9, 100%, $E$9)</f>
        <v>119.90089999999999</v>
      </c>
      <c r="I974" s="14">
        <f>CHOOSE(CONTROL!$C$42, 120.1994, 120.1994)* CHOOSE(CONTROL!$C$21, $C$9, 100%, $E$9)</f>
        <v>120.1994</v>
      </c>
      <c r="J974" s="14">
        <f>CHOOSE(CONTROL!$C$42, 119.806, 119.806)* CHOOSE(CONTROL!$C$21, $C$9, 100%, $E$9)</f>
        <v>119.806</v>
      </c>
      <c r="K974" s="53">
        <f>CHOOSE(CONTROL!$C$42, 120.1955, 120.1955) * CHOOSE(CONTROL!$C$21, $C$9, 100%, $E$9)</f>
        <v>120.1955</v>
      </c>
      <c r="L974" s="14">
        <f>CHOOSE(CONTROL!$C$42, 120.4879, 120.4879) * CHOOSE(CONTROL!$C$21, $C$9, 100%, $E$9)</f>
        <v>120.4879</v>
      </c>
      <c r="M974" s="14">
        <f>CHOOSE(CONTROL!$C$42, 117.3589, 117.3589) * CHOOSE(CONTROL!$C$21, $C$9, 100%, $E$9)</f>
        <v>117.35890000000001</v>
      </c>
      <c r="N974" s="14">
        <f>CHOOSE(CONTROL!$C$42, 117.375, 117.375) * CHOOSE(CONTROL!$C$21, $C$9, 100%, $E$9)</f>
        <v>117.375</v>
      </c>
      <c r="O974" s="14">
        <f>CHOOSE(CONTROL!$C$42, 117.4519, 117.4519) * CHOOSE(CONTROL!$C$21, $C$9, 100%, $E$9)</f>
        <v>117.45189999999999</v>
      </c>
      <c r="P974" s="14">
        <f>CHOOSE(CONTROL!$C$42, 117.7368, 117.7368) * CHOOSE(CONTROL!$C$21, $C$9, 100%, $E$9)</f>
        <v>117.7368</v>
      </c>
      <c r="Q974" s="14">
        <f>CHOOSE(CONTROL!$C$42, 118.0466, 118.0466) * CHOOSE(CONTROL!$C$21, $C$9, 100%, $E$9)</f>
        <v>118.0466</v>
      </c>
      <c r="R974" s="14">
        <f>CHOOSE(CONTROL!$C$42, 118.9287, 118.9287) * CHOOSE(CONTROL!$C$21, $C$9, 100%, $E$9)</f>
        <v>118.92870000000001</v>
      </c>
      <c r="S974" s="14">
        <f>CHOOSE(CONTROL!$C$42, 115.1206, 115.1206) * CHOOSE(CONTROL!$C$21, $C$9, 100%, $E$9)</f>
        <v>115.1206</v>
      </c>
      <c r="T9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7">
        <f>(1000*CHOOSE(CONTROL!$C$42, 695, 695)*CHOOSE(CONTROL!$C$42, 0.5599, 0.5599)*CHOOSE(CONTROL!$C$42, 28, 28))/1000000</f>
        <v>10.895653999999999</v>
      </c>
      <c r="V974" s="57">
        <f>(1000*CHOOSE(CONTROL!$C$42, 500, 500)*CHOOSE(CONTROL!$C$42, 0.275, 0.275)*CHOOSE(CONTROL!$C$42, 28, 28))/1000000</f>
        <v>3.85</v>
      </c>
      <c r="W974" s="57">
        <f>(1000*CHOOSE(CONTROL!$C$42, 0.1146, 0.1146)*CHOOSE(CONTROL!$C$42, 121.5, 121.5)*CHOOSE(CONTROL!$C$42, 28, 28))/1000000</f>
        <v>0.38986920000000003</v>
      </c>
      <c r="X974" s="57">
        <f>(28*0.1790888*100000/1000000)+(28*0.2374*100000/1000000)</f>
        <v>1.16616864</v>
      </c>
      <c r="Y974" s="57"/>
      <c r="Z974" s="14"/>
      <c r="AA974" s="56"/>
      <c r="AB974" s="50">
        <f>(B974*122.58+C974*297.941+D974*89.177+E974*40.302+F974*40+G974*160+H974*0+I974*100+J974*300)/(122.58+297.941+89.177+40.302+0+40+160+100+300)</f>
        <v>119.85717444313045</v>
      </c>
      <c r="AC974" s="45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117.45635179856113</v>
      </c>
    </row>
    <row r="975" spans="1:29" ht="15.75" x14ac:dyDescent="0.25">
      <c r="A975" s="32">
        <v>70584</v>
      </c>
      <c r="B975" s="14">
        <f>CHOOSE(CONTROL!$C$42, 116.4126, 116.4126) * CHOOSE(CONTROL!$C$21, $C$9, 100%, $E$9)</f>
        <v>116.4126</v>
      </c>
      <c r="C975" s="14">
        <f>CHOOSE(CONTROL!$C$42, 116.4176, 116.4176) * CHOOSE(CONTROL!$C$21, $C$9, 100%, $E$9)</f>
        <v>116.41759999999999</v>
      </c>
      <c r="D975" s="14">
        <f>CHOOSE(CONTROL!$C$42, 116.4763, 116.4763) * CHOOSE(CONTROL!$C$21, $C$9, 100%, $E$9)</f>
        <v>116.47629999999999</v>
      </c>
      <c r="E975" s="14">
        <f>CHOOSE(CONTROL!$C$42, 116.5104, 116.5104) * CHOOSE(CONTROL!$C$21, $C$9, 100%, $E$9)</f>
        <v>116.5104</v>
      </c>
      <c r="F975" s="14">
        <f>CHOOSE(CONTROL!$C$42, 116.4112, 116.4112)*CHOOSE(CONTROL!$C$21, $C$9, 100%, $E$9)</f>
        <v>116.41119999999999</v>
      </c>
      <c r="G975" s="14">
        <f>CHOOSE(CONTROL!$C$42, 116.4274, 116.4274)*CHOOSE(CONTROL!$C$21, $C$9, 100%, $E$9)</f>
        <v>116.42740000000001</v>
      </c>
      <c r="H975" s="14">
        <f>CHOOSE(CONTROL!$C$42, 116.4996, 116.4996) * CHOOSE(CONTROL!$C$21, $C$9, 100%, $E$9)</f>
        <v>116.4996</v>
      </c>
      <c r="I975" s="14">
        <f>CHOOSE(CONTROL!$C$42, 116.7874, 116.7874)* CHOOSE(CONTROL!$C$21, $C$9, 100%, $E$9)</f>
        <v>116.78740000000001</v>
      </c>
      <c r="J975" s="14">
        <f>CHOOSE(CONTROL!$C$42, 116.4042, 116.4042)* CHOOSE(CONTROL!$C$21, $C$9, 100%, $E$9)</f>
        <v>116.4042</v>
      </c>
      <c r="K975" s="53">
        <f>CHOOSE(CONTROL!$C$42, 116.7835, 116.7835) * CHOOSE(CONTROL!$C$21, $C$9, 100%, $E$9)</f>
        <v>116.7835</v>
      </c>
      <c r="L975" s="14">
        <f>CHOOSE(CONTROL!$C$42, 117.0866, 117.0866) * CHOOSE(CONTROL!$C$21, $C$9, 100%, $E$9)</f>
        <v>117.0866</v>
      </c>
      <c r="M975" s="14">
        <f>CHOOSE(CONTROL!$C$42, 114.0268, 114.0268) * CHOOSE(CONTROL!$C$21, $C$9, 100%, $E$9)</f>
        <v>114.02679999999999</v>
      </c>
      <c r="N975" s="14">
        <f>CHOOSE(CONTROL!$C$42, 114.0427, 114.0427) * CHOOSE(CONTROL!$C$21, $C$9, 100%, $E$9)</f>
        <v>114.0427</v>
      </c>
      <c r="O975" s="14">
        <f>CHOOSE(CONTROL!$C$42, 114.1203, 114.1203) * CHOOSE(CONTROL!$C$21, $C$9, 100%, $E$9)</f>
        <v>114.1203</v>
      </c>
      <c r="P975" s="14">
        <f>CHOOSE(CONTROL!$C$42, 114.3949, 114.3949) * CHOOSE(CONTROL!$C$21, $C$9, 100%, $E$9)</f>
        <v>114.39490000000001</v>
      </c>
      <c r="Q975" s="14">
        <f>CHOOSE(CONTROL!$C$42, 114.715, 114.715) * CHOOSE(CONTROL!$C$21, $C$9, 100%, $E$9)</f>
        <v>114.715</v>
      </c>
      <c r="R975" s="14">
        <f>CHOOSE(CONTROL!$C$42, 115.5887, 115.5887) * CHOOSE(CONTROL!$C$21, $C$9, 100%, $E$9)</f>
        <v>115.5887</v>
      </c>
      <c r="S975" s="14">
        <f>CHOOSE(CONTROL!$C$42, 111.8523, 111.8523) * CHOOSE(CONTROL!$C$21, $C$9, 100%, $E$9)</f>
        <v>111.8523</v>
      </c>
      <c r="T9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7">
        <f>(1000*CHOOSE(CONTROL!$C$42, 695, 695)*CHOOSE(CONTROL!$C$42, 0.5599, 0.5599)*CHOOSE(CONTROL!$C$42, 31, 31))/1000000</f>
        <v>12.063045499999998</v>
      </c>
      <c r="V975" s="57">
        <f>(1000*CHOOSE(CONTROL!$C$42, 500, 500)*CHOOSE(CONTROL!$C$42, 0.275, 0.275)*CHOOSE(CONTROL!$C$42, 31, 31))/1000000</f>
        <v>4.2625000000000002</v>
      </c>
      <c r="W975" s="57">
        <f>(1000*CHOOSE(CONTROL!$C$42, 0.1146, 0.1146)*CHOOSE(CONTROL!$C$42, 121.5, 121.5)*CHOOSE(CONTROL!$C$42, 31, 31))/1000000</f>
        <v>0.43164089999999994</v>
      </c>
      <c r="X975" s="57">
        <f>(31*0.1790888*100000/1000000)+(31*0.2374*100000/1000000)</f>
        <v>1.2911152800000001</v>
      </c>
      <c r="Y975" s="57"/>
      <c r="Z975" s="14"/>
      <c r="AA975" s="56"/>
      <c r="AB975" s="50">
        <f>(B975*122.58+C975*297.941+D975*89.177+E975*40.302+F975*40+G975*160+H975*0+I975*100+J975*300)/(122.58+297.941+89.177+40.302+0+40+160+100+300)</f>
        <v>116.45467288304349</v>
      </c>
      <c r="AC975" s="45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114.12305683453238</v>
      </c>
    </row>
    <row r="976" spans="1:29" ht="15.75" x14ac:dyDescent="0.25">
      <c r="A976" s="32">
        <v>70614</v>
      </c>
      <c r="B976" s="14">
        <f>CHOOSE(CONTROL!$C$42, 116.0652, 116.0652) * CHOOSE(CONTROL!$C$21, $C$9, 100%, $E$9)</f>
        <v>116.0652</v>
      </c>
      <c r="C976" s="14">
        <f>CHOOSE(CONTROL!$C$42, 116.0697, 116.0697) * CHOOSE(CONTROL!$C$21, $C$9, 100%, $E$9)</f>
        <v>116.0697</v>
      </c>
      <c r="D976" s="14">
        <f>CHOOSE(CONTROL!$C$42, 116.2778, 116.2778) * CHOOSE(CONTROL!$C$21, $C$9, 100%, $E$9)</f>
        <v>116.2778</v>
      </c>
      <c r="E976" s="14">
        <f>CHOOSE(CONTROL!$C$42, 116.3099, 116.3099) * CHOOSE(CONTROL!$C$21, $C$9, 100%, $E$9)</f>
        <v>116.3099</v>
      </c>
      <c r="F976" s="14">
        <f>CHOOSE(CONTROL!$C$42, 116.0526, 116.0526)*CHOOSE(CONTROL!$C$21, $C$9, 100%, $E$9)</f>
        <v>116.0526</v>
      </c>
      <c r="G976" s="14">
        <f>CHOOSE(CONTROL!$C$42, 116.0685, 116.0685)*CHOOSE(CONTROL!$C$21, $C$9, 100%, $E$9)</f>
        <v>116.0685</v>
      </c>
      <c r="H976" s="14">
        <f>CHOOSE(CONTROL!$C$42, 116.2997, 116.2997) * CHOOSE(CONTROL!$C$21, $C$9, 100%, $E$9)</f>
        <v>116.2997</v>
      </c>
      <c r="I976" s="14">
        <f>CHOOSE(CONTROL!$C$42, 116.4382, 116.4382)* CHOOSE(CONTROL!$C$21, $C$9, 100%, $E$9)</f>
        <v>116.43819999999999</v>
      </c>
      <c r="J976" s="14">
        <f>CHOOSE(CONTROL!$C$42, 116.0456, 116.0456)* CHOOSE(CONTROL!$C$21, $C$9, 100%, $E$9)</f>
        <v>116.04559999999999</v>
      </c>
      <c r="K976" s="53">
        <f>CHOOSE(CONTROL!$C$42, 116.4343, 116.4343) * CHOOSE(CONTROL!$C$21, $C$9, 100%, $E$9)</f>
        <v>116.43429999999999</v>
      </c>
      <c r="L976" s="14">
        <f>CHOOSE(CONTROL!$C$42, 116.8867, 116.8867) * CHOOSE(CONTROL!$C$21, $C$9, 100%, $E$9)</f>
        <v>116.8867</v>
      </c>
      <c r="M976" s="14">
        <f>CHOOSE(CONTROL!$C$42, 113.6756, 113.6756) * CHOOSE(CONTROL!$C$21, $C$9, 100%, $E$9)</f>
        <v>113.6756</v>
      </c>
      <c r="N976" s="14">
        <f>CHOOSE(CONTROL!$C$42, 113.6912, 113.6912) * CHOOSE(CONTROL!$C$21, $C$9, 100%, $E$9)</f>
        <v>113.69119999999999</v>
      </c>
      <c r="O976" s="14">
        <f>CHOOSE(CONTROL!$C$42, 113.9245, 113.9245) * CHOOSE(CONTROL!$C$21, $C$9, 100%, $E$9)</f>
        <v>113.92449999999999</v>
      </c>
      <c r="P976" s="14">
        <f>CHOOSE(CONTROL!$C$42, 114.0529, 114.0529) * CHOOSE(CONTROL!$C$21, $C$9, 100%, $E$9)</f>
        <v>114.05289999999999</v>
      </c>
      <c r="Q976" s="14">
        <f>CHOOSE(CONTROL!$C$42, 114.5192, 114.5192) * CHOOSE(CONTROL!$C$21, $C$9, 100%, $E$9)</f>
        <v>114.5192</v>
      </c>
      <c r="R976" s="14">
        <f>CHOOSE(CONTROL!$C$42, 115.3925, 115.3925) * CHOOSE(CONTROL!$C$21, $C$9, 100%, $E$9)</f>
        <v>115.3925</v>
      </c>
      <c r="S976" s="14">
        <f>CHOOSE(CONTROL!$C$42, 111.5178, 111.5178) * CHOOSE(CONTROL!$C$21, $C$9, 100%, $E$9)</f>
        <v>111.51779999999999</v>
      </c>
      <c r="T9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7">
        <f>(1000*CHOOSE(CONTROL!$C$42, 695, 695)*CHOOSE(CONTROL!$C$42, 0.5599, 0.5599)*CHOOSE(CONTROL!$C$42, 30, 30))/1000000</f>
        <v>11.673914999999997</v>
      </c>
      <c r="V976" s="57">
        <f>(1000*CHOOSE(CONTROL!$C$42, 500, 500)*CHOOSE(CONTROL!$C$42, 0.275, 0.275)*CHOOSE(CONTROL!$C$42, 30, 30))/1000000</f>
        <v>4.125</v>
      </c>
      <c r="W976" s="57">
        <f>(1000*CHOOSE(CONTROL!$C$42, 0.1146, 0.1146)*CHOOSE(CONTROL!$C$42, 121.5, 121.5)*CHOOSE(CONTROL!$C$42, 30, 30))/1000000</f>
        <v>0.417717</v>
      </c>
      <c r="X976" s="57">
        <f>(30*0.1790888*245000/1000000)+(30*0.2374*100000/1000000)</f>
        <v>2.0285026799999999</v>
      </c>
      <c r="Y976" s="57"/>
      <c r="Z976" s="14"/>
      <c r="AA976" s="56"/>
      <c r="AB976" s="50">
        <f>(B976*141.293+C976*267.993+D976*115.016+E976*89.698+F976*40+G976*185+H976*0+I976*100+J976*300)/(141.293+267.993+115.016+89.698+0+40+185+100+300)</f>
        <v>116.12906922574656</v>
      </c>
      <c r="AC976" s="45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113.84359640287769</v>
      </c>
    </row>
    <row r="977" spans="1:29" ht="15.75" x14ac:dyDescent="0.25">
      <c r="A977" s="32">
        <v>70645</v>
      </c>
      <c r="B977" s="14">
        <f>CHOOSE(CONTROL!$C$42, 117.0909, 117.0909) * CHOOSE(CONTROL!$C$21, $C$9, 100%, $E$9)</f>
        <v>117.0909</v>
      </c>
      <c r="C977" s="14">
        <f>CHOOSE(CONTROL!$C$42, 117.099, 117.099) * CHOOSE(CONTROL!$C$21, $C$9, 100%, $E$9)</f>
        <v>117.099</v>
      </c>
      <c r="D977" s="14">
        <f>CHOOSE(CONTROL!$C$42, 117.3039, 117.3039) * CHOOSE(CONTROL!$C$21, $C$9, 100%, $E$9)</f>
        <v>117.3039</v>
      </c>
      <c r="E977" s="14">
        <f>CHOOSE(CONTROL!$C$42, 117.3354, 117.3354) * CHOOSE(CONTROL!$C$21, $C$9, 100%, $E$9)</f>
        <v>117.33540000000001</v>
      </c>
      <c r="F977" s="14">
        <f>CHOOSE(CONTROL!$C$42, 117.0771, 117.0771)*CHOOSE(CONTROL!$C$21, $C$9, 100%, $E$9)</f>
        <v>117.0771</v>
      </c>
      <c r="G977" s="14">
        <f>CHOOSE(CONTROL!$C$42, 117.0935, 117.0935)*CHOOSE(CONTROL!$C$21, $C$9, 100%, $E$9)</f>
        <v>117.09350000000001</v>
      </c>
      <c r="H977" s="14">
        <f>CHOOSE(CONTROL!$C$42, 117.324, 117.324) * CHOOSE(CONTROL!$C$21, $C$9, 100%, $E$9)</f>
        <v>117.324</v>
      </c>
      <c r="I977" s="14">
        <f>CHOOSE(CONTROL!$C$42, 117.4657, 117.4657)* CHOOSE(CONTROL!$C$21, $C$9, 100%, $E$9)</f>
        <v>117.4657</v>
      </c>
      <c r="J977" s="14">
        <f>CHOOSE(CONTROL!$C$42, 117.0701, 117.0701)* CHOOSE(CONTROL!$C$21, $C$9, 100%, $E$9)</f>
        <v>117.0701</v>
      </c>
      <c r="K977" s="53">
        <f>CHOOSE(CONTROL!$C$42, 117.4618, 117.4618) * CHOOSE(CONTROL!$C$21, $C$9, 100%, $E$9)</f>
        <v>117.4618</v>
      </c>
      <c r="L977" s="14">
        <f>CHOOSE(CONTROL!$C$42, 117.911, 117.911) * CHOOSE(CONTROL!$C$21, $C$9, 100%, $E$9)</f>
        <v>117.911</v>
      </c>
      <c r="M977" s="14">
        <f>CHOOSE(CONTROL!$C$42, 114.6791, 114.6791) * CHOOSE(CONTROL!$C$21, $C$9, 100%, $E$9)</f>
        <v>114.67910000000001</v>
      </c>
      <c r="N977" s="14">
        <f>CHOOSE(CONTROL!$C$42, 114.6952, 114.6952) * CHOOSE(CONTROL!$C$21, $C$9, 100%, $E$9)</f>
        <v>114.6952</v>
      </c>
      <c r="O977" s="14">
        <f>CHOOSE(CONTROL!$C$42, 114.9278, 114.9278) * CHOOSE(CONTROL!$C$21, $C$9, 100%, $E$9)</f>
        <v>114.9278</v>
      </c>
      <c r="P977" s="14">
        <f>CHOOSE(CONTROL!$C$42, 115.0593, 115.0593) * CHOOSE(CONTROL!$C$21, $C$9, 100%, $E$9)</f>
        <v>115.05929999999999</v>
      </c>
      <c r="Q977" s="14">
        <f>CHOOSE(CONTROL!$C$42, 115.5225, 115.5225) * CHOOSE(CONTROL!$C$21, $C$9, 100%, $E$9)</f>
        <v>115.52249999999999</v>
      </c>
      <c r="R977" s="14">
        <f>CHOOSE(CONTROL!$C$42, 116.3983, 116.3983) * CHOOSE(CONTROL!$C$21, $C$9, 100%, $E$9)</f>
        <v>116.39830000000001</v>
      </c>
      <c r="S977" s="14">
        <f>CHOOSE(CONTROL!$C$42, 112.502, 112.502) * CHOOSE(CONTROL!$C$21, $C$9, 100%, $E$9)</f>
        <v>112.502</v>
      </c>
      <c r="T9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7">
        <f>(1000*CHOOSE(CONTROL!$C$42, 695, 695)*CHOOSE(CONTROL!$C$42, 0.5599, 0.5599)*CHOOSE(CONTROL!$C$42, 31, 31))/1000000</f>
        <v>12.063045499999998</v>
      </c>
      <c r="V977" s="57">
        <f>(1000*CHOOSE(CONTROL!$C$42, 500, 500)*CHOOSE(CONTROL!$C$42, 0.275, 0.275)*CHOOSE(CONTROL!$C$42, 31, 31))/1000000</f>
        <v>4.2625000000000002</v>
      </c>
      <c r="W977" s="57">
        <f>(1000*CHOOSE(CONTROL!$C$42, 0.1146, 0.1146)*CHOOSE(CONTROL!$C$42, 121.5, 121.5)*CHOOSE(CONTROL!$C$42, 31, 31))/1000000</f>
        <v>0.43164089999999994</v>
      </c>
      <c r="X977" s="57">
        <f>(31*0.1790888*245000/1000000)+(31*0.2374*100000/1000000)</f>
        <v>2.0961194359999999</v>
      </c>
      <c r="Y977" s="57"/>
      <c r="Z977" s="14"/>
      <c r="AA977" s="56"/>
      <c r="AB977" s="50">
        <f>(B977*194.205+C977*267.466+D977*133.845+E977*53.484+F977*40+G977*185+H977*0+I977*100+J977*300)/(194.205+267.466+133.845+53.484+0+40+185+100+300)</f>
        <v>117.14970792590267</v>
      </c>
      <c r="AC977" s="45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114.84745179856114</v>
      </c>
    </row>
    <row r="978" spans="1:29" ht="15.75" x14ac:dyDescent="0.25">
      <c r="A978" s="32">
        <v>70675</v>
      </c>
      <c r="B978" s="14">
        <f>CHOOSE(CONTROL!$C$42, 120.412, 120.412) * CHOOSE(CONTROL!$C$21, $C$9, 100%, $E$9)</f>
        <v>120.41200000000001</v>
      </c>
      <c r="C978" s="14">
        <f>CHOOSE(CONTROL!$C$42, 120.4201, 120.4201) * CHOOSE(CONTROL!$C$21, $C$9, 100%, $E$9)</f>
        <v>120.42010000000001</v>
      </c>
      <c r="D978" s="14">
        <f>CHOOSE(CONTROL!$C$42, 120.625, 120.625) * CHOOSE(CONTROL!$C$21, $C$9, 100%, $E$9)</f>
        <v>120.625</v>
      </c>
      <c r="E978" s="14">
        <f>CHOOSE(CONTROL!$C$42, 120.6565, 120.6565) * CHOOSE(CONTROL!$C$21, $C$9, 100%, $E$9)</f>
        <v>120.65649999999999</v>
      </c>
      <c r="F978" s="14">
        <f>CHOOSE(CONTROL!$C$42, 120.3986, 120.3986)*CHOOSE(CONTROL!$C$21, $C$9, 100%, $E$9)</f>
        <v>120.3986</v>
      </c>
      <c r="G978" s="14">
        <f>CHOOSE(CONTROL!$C$42, 120.4151, 120.4151)*CHOOSE(CONTROL!$C$21, $C$9, 100%, $E$9)</f>
        <v>120.4151</v>
      </c>
      <c r="H978" s="14">
        <f>CHOOSE(CONTROL!$C$42, 120.6451, 120.6451) * CHOOSE(CONTROL!$C$21, $C$9, 100%, $E$9)</f>
        <v>120.6451</v>
      </c>
      <c r="I978" s="14">
        <f>CHOOSE(CONTROL!$C$42, 120.7972, 120.7972)* CHOOSE(CONTROL!$C$21, $C$9, 100%, $E$9)</f>
        <v>120.7972</v>
      </c>
      <c r="J978" s="14">
        <f>CHOOSE(CONTROL!$C$42, 120.3916, 120.3916)* CHOOSE(CONTROL!$C$21, $C$9, 100%, $E$9)</f>
        <v>120.3916</v>
      </c>
      <c r="K978" s="53">
        <f>CHOOSE(CONTROL!$C$42, 120.7933, 120.7933) * CHOOSE(CONTROL!$C$21, $C$9, 100%, $E$9)</f>
        <v>120.7933</v>
      </c>
      <c r="L978" s="14">
        <f>CHOOSE(CONTROL!$C$42, 121.2321, 121.2321) * CHOOSE(CONTROL!$C$21, $C$9, 100%, $E$9)</f>
        <v>121.2321</v>
      </c>
      <c r="M978" s="14">
        <f>CHOOSE(CONTROL!$C$42, 117.9326, 117.9326) * CHOOSE(CONTROL!$C$21, $C$9, 100%, $E$9)</f>
        <v>117.93259999999999</v>
      </c>
      <c r="N978" s="14">
        <f>CHOOSE(CONTROL!$C$42, 117.9487, 117.9487) * CHOOSE(CONTROL!$C$21, $C$9, 100%, $E$9)</f>
        <v>117.9487</v>
      </c>
      <c r="O978" s="14">
        <f>CHOOSE(CONTROL!$C$42, 118.1809, 118.1809) * CHOOSE(CONTROL!$C$21, $C$9, 100%, $E$9)</f>
        <v>118.18089999999999</v>
      </c>
      <c r="P978" s="14">
        <f>CHOOSE(CONTROL!$C$42, 118.3223, 118.3223) * CHOOSE(CONTROL!$C$21, $C$9, 100%, $E$9)</f>
        <v>118.3223</v>
      </c>
      <c r="Q978" s="14">
        <f>CHOOSE(CONTROL!$C$42, 118.7756, 118.7756) * CHOOSE(CONTROL!$C$21, $C$9, 100%, $E$9)</f>
        <v>118.7756</v>
      </c>
      <c r="R978" s="14">
        <f>CHOOSE(CONTROL!$C$42, 119.6595, 119.6595) * CHOOSE(CONTROL!$C$21, $C$9, 100%, $E$9)</f>
        <v>119.65949999999999</v>
      </c>
      <c r="S978" s="14">
        <f>CHOOSE(CONTROL!$C$42, 115.6933, 115.6933) * CHOOSE(CONTROL!$C$21, $C$9, 100%, $E$9)</f>
        <v>115.69329999999999</v>
      </c>
      <c r="T9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7">
        <f>(1000*CHOOSE(CONTROL!$C$42, 695, 695)*CHOOSE(CONTROL!$C$42, 0.5599, 0.5599)*CHOOSE(CONTROL!$C$42, 30, 30))/1000000</f>
        <v>11.673914999999997</v>
      </c>
      <c r="V978" s="57">
        <f>(1000*CHOOSE(CONTROL!$C$42, 500, 500)*CHOOSE(CONTROL!$C$42, 0.275, 0.275)*CHOOSE(CONTROL!$C$42, 30, 30))/1000000</f>
        <v>4.125</v>
      </c>
      <c r="W978" s="57">
        <f>(1000*CHOOSE(CONTROL!$C$42, 0.1146, 0.1146)*CHOOSE(CONTROL!$C$42, 121.5, 121.5)*CHOOSE(CONTROL!$C$42, 30, 30))/1000000</f>
        <v>0.417717</v>
      </c>
      <c r="X978" s="57">
        <f>(30*0.1790888*245000/1000000)+(30*0.2374*100000/1000000)</f>
        <v>2.0285026799999999</v>
      </c>
      <c r="Y978" s="57"/>
      <c r="Z978" s="14"/>
      <c r="AA978" s="56"/>
      <c r="AB978" s="50">
        <f>(B978*194.205+C978*267.466+D978*133.845+E978*53.484+F978*40+G978*185+H978*0+I978*100+J978*300)/(194.205+267.466+133.845+53.484+0+40+185+100+300)</f>
        <v>120.47180360879122</v>
      </c>
      <c r="AC978" s="45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118.10213741007193</v>
      </c>
    </row>
    <row r="979" spans="1:29" ht="15.75" x14ac:dyDescent="0.25">
      <c r="A979" s="32">
        <v>70706</v>
      </c>
      <c r="B979" s="14">
        <f>CHOOSE(CONTROL!$C$42, 118.1022, 118.1022) * CHOOSE(CONTROL!$C$21, $C$9, 100%, $E$9)</f>
        <v>118.1022</v>
      </c>
      <c r="C979" s="14">
        <f>CHOOSE(CONTROL!$C$42, 118.1102, 118.1102) * CHOOSE(CONTROL!$C$21, $C$9, 100%, $E$9)</f>
        <v>118.11020000000001</v>
      </c>
      <c r="D979" s="14">
        <f>CHOOSE(CONTROL!$C$42, 118.3152, 118.3152) * CHOOSE(CONTROL!$C$21, $C$9, 100%, $E$9)</f>
        <v>118.3152</v>
      </c>
      <c r="E979" s="14">
        <f>CHOOSE(CONTROL!$C$42, 118.3467, 118.3467) * CHOOSE(CONTROL!$C$21, $C$9, 100%, $E$9)</f>
        <v>118.3467</v>
      </c>
      <c r="F979" s="14">
        <f>CHOOSE(CONTROL!$C$42, 118.0892, 118.0892)*CHOOSE(CONTROL!$C$21, $C$9, 100%, $E$9)</f>
        <v>118.08920000000001</v>
      </c>
      <c r="G979" s="14">
        <f>CHOOSE(CONTROL!$C$42, 118.1058, 118.1058)*CHOOSE(CONTROL!$C$21, $C$9, 100%, $E$9)</f>
        <v>118.1058</v>
      </c>
      <c r="H979" s="14">
        <f>CHOOSE(CONTROL!$C$42, 118.3353, 118.3353) * CHOOSE(CONTROL!$C$21, $C$9, 100%, $E$9)</f>
        <v>118.3353</v>
      </c>
      <c r="I979" s="14">
        <f>CHOOSE(CONTROL!$C$42, 118.4801, 118.4801)* CHOOSE(CONTROL!$C$21, $C$9, 100%, $E$9)</f>
        <v>118.48009999999999</v>
      </c>
      <c r="J979" s="14">
        <f>CHOOSE(CONTROL!$C$42, 118.0822, 118.0822)* CHOOSE(CONTROL!$C$21, $C$9, 100%, $E$9)</f>
        <v>118.0822</v>
      </c>
      <c r="K979" s="53">
        <f>CHOOSE(CONTROL!$C$42, 118.4762, 118.4762) * CHOOSE(CONTROL!$C$21, $C$9, 100%, $E$9)</f>
        <v>118.47620000000001</v>
      </c>
      <c r="L979" s="14">
        <f>CHOOSE(CONTROL!$C$42, 118.9223, 118.9223) * CHOOSE(CONTROL!$C$21, $C$9, 100%, $E$9)</f>
        <v>118.92230000000001</v>
      </c>
      <c r="M979" s="14">
        <f>CHOOSE(CONTROL!$C$42, 115.6704, 115.6704) * CHOOSE(CONTROL!$C$21, $C$9, 100%, $E$9)</f>
        <v>115.6704</v>
      </c>
      <c r="N979" s="14">
        <f>CHOOSE(CONTROL!$C$42, 115.6867, 115.6867) * CHOOSE(CONTROL!$C$21, $C$9, 100%, $E$9)</f>
        <v>115.6867</v>
      </c>
      <c r="O979" s="14">
        <f>CHOOSE(CONTROL!$C$42, 115.9184, 115.9184) * CHOOSE(CONTROL!$C$21, $C$9, 100%, $E$9)</f>
        <v>115.91840000000001</v>
      </c>
      <c r="P979" s="14">
        <f>CHOOSE(CONTROL!$C$42, 116.0529, 116.0529) * CHOOSE(CONTROL!$C$21, $C$9, 100%, $E$9)</f>
        <v>116.05289999999999</v>
      </c>
      <c r="Q979" s="14">
        <f>CHOOSE(CONTROL!$C$42, 116.5131, 116.5131) * CHOOSE(CONTROL!$C$21, $C$9, 100%, $E$9)</f>
        <v>116.51309999999999</v>
      </c>
      <c r="R979" s="14">
        <f>CHOOSE(CONTROL!$C$42, 117.3914, 117.3914) * CHOOSE(CONTROL!$C$21, $C$9, 100%, $E$9)</f>
        <v>117.3914</v>
      </c>
      <c r="S979" s="14">
        <f>CHOOSE(CONTROL!$C$42, 113.4738, 113.4738) * CHOOSE(CONTROL!$C$21, $C$9, 100%, $E$9)</f>
        <v>113.4738</v>
      </c>
      <c r="T9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7">
        <f>(1000*CHOOSE(CONTROL!$C$42, 695, 695)*CHOOSE(CONTROL!$C$42, 0.5599, 0.5599)*CHOOSE(CONTROL!$C$42, 31, 31))/1000000</f>
        <v>12.063045499999998</v>
      </c>
      <c r="V979" s="57">
        <f>(1000*CHOOSE(CONTROL!$C$42, 500, 500)*CHOOSE(CONTROL!$C$42, 0.275, 0.275)*CHOOSE(CONTROL!$C$42, 31, 31))/1000000</f>
        <v>4.2625000000000002</v>
      </c>
      <c r="W979" s="57">
        <f>(1000*CHOOSE(CONTROL!$C$42, 0.1146, 0.1146)*CHOOSE(CONTROL!$C$42, 121.5, 121.5)*CHOOSE(CONTROL!$C$42, 31, 31))/1000000</f>
        <v>0.43164089999999994</v>
      </c>
      <c r="X979" s="57">
        <f>(31*0.1790888*245000/1000000)+(31*0.2374*100000/1000000)</f>
        <v>2.0961194359999999</v>
      </c>
      <c r="Y979" s="57"/>
      <c r="Z979" s="14"/>
      <c r="AA979" s="56"/>
      <c r="AB979" s="50">
        <f>(B979*194.205+C979*267.466+D979*133.845+E979*53.484+F979*40+G979*185+H979*0+I979*100+J979*300)/(194.205+267.466+133.845+53.484+0+40+185+100+300)</f>
        <v>118.16158897252747</v>
      </c>
      <c r="AC979" s="45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115.83877697841726</v>
      </c>
    </row>
    <row r="980" spans="1:29" ht="15.75" x14ac:dyDescent="0.25">
      <c r="A980" s="32">
        <v>70737</v>
      </c>
      <c r="B980" s="14">
        <f>CHOOSE(CONTROL!$C$42, 112.2691, 112.2691) * CHOOSE(CONTROL!$C$21, $C$9, 100%, $E$9)</f>
        <v>112.26909999999999</v>
      </c>
      <c r="C980" s="14">
        <f>CHOOSE(CONTROL!$C$42, 112.2771, 112.2771) * CHOOSE(CONTROL!$C$21, $C$9, 100%, $E$9)</f>
        <v>112.2771</v>
      </c>
      <c r="D980" s="14">
        <f>CHOOSE(CONTROL!$C$42, 112.4821, 112.4821) * CHOOSE(CONTROL!$C$21, $C$9, 100%, $E$9)</f>
        <v>112.4821</v>
      </c>
      <c r="E980" s="14">
        <f>CHOOSE(CONTROL!$C$42, 112.5136, 112.5136) * CHOOSE(CONTROL!$C$21, $C$9, 100%, $E$9)</f>
        <v>112.5136</v>
      </c>
      <c r="F980" s="14">
        <f>CHOOSE(CONTROL!$C$42, 112.2563, 112.2563)*CHOOSE(CONTROL!$C$21, $C$9, 100%, $E$9)</f>
        <v>112.2563</v>
      </c>
      <c r="G980" s="14">
        <f>CHOOSE(CONTROL!$C$42, 112.273, 112.273)*CHOOSE(CONTROL!$C$21, $C$9, 100%, $E$9)</f>
        <v>112.273</v>
      </c>
      <c r="H980" s="14">
        <f>CHOOSE(CONTROL!$C$42, 112.5022, 112.5022) * CHOOSE(CONTROL!$C$21, $C$9, 100%, $E$9)</f>
        <v>112.5022</v>
      </c>
      <c r="I980" s="14">
        <f>CHOOSE(CONTROL!$C$42, 112.6288, 112.6288)* CHOOSE(CONTROL!$C$21, $C$9, 100%, $E$9)</f>
        <v>112.6288</v>
      </c>
      <c r="J980" s="14">
        <f>CHOOSE(CONTROL!$C$42, 112.2493, 112.2493)* CHOOSE(CONTROL!$C$21, $C$9, 100%, $E$9)</f>
        <v>112.24930000000001</v>
      </c>
      <c r="K980" s="53">
        <f>CHOOSE(CONTROL!$C$42, 112.6249, 112.6249) * CHOOSE(CONTROL!$C$21, $C$9, 100%, $E$9)</f>
        <v>112.6249</v>
      </c>
      <c r="L980" s="14">
        <f>CHOOSE(CONTROL!$C$42, 113.0892, 113.0892) * CHOOSE(CONTROL!$C$21, $C$9, 100%, $E$9)</f>
        <v>113.08920000000001</v>
      </c>
      <c r="M980" s="14">
        <f>CHOOSE(CONTROL!$C$42, 109.9571, 109.9571) * CHOOSE(CONTROL!$C$21, $C$9, 100%, $E$9)</f>
        <v>109.9571</v>
      </c>
      <c r="N980" s="14">
        <f>CHOOSE(CONTROL!$C$42, 109.9734, 109.9734) * CHOOSE(CONTROL!$C$21, $C$9, 100%, $E$9)</f>
        <v>109.9734</v>
      </c>
      <c r="O980" s="14">
        <f>CHOOSE(CONTROL!$C$42, 110.2048, 110.2048) * CHOOSE(CONTROL!$C$21, $C$9, 100%, $E$9)</f>
        <v>110.20480000000001</v>
      </c>
      <c r="P980" s="14">
        <f>CHOOSE(CONTROL!$C$42, 110.3218, 110.3218) * CHOOSE(CONTROL!$C$21, $C$9, 100%, $E$9)</f>
        <v>110.3218</v>
      </c>
      <c r="Q980" s="14">
        <f>CHOOSE(CONTROL!$C$42, 110.7995, 110.7995) * CHOOSE(CONTROL!$C$21, $C$9, 100%, $E$9)</f>
        <v>110.79949999999999</v>
      </c>
      <c r="R980" s="14">
        <f>CHOOSE(CONTROL!$C$42, 111.6635, 111.6635) * CHOOSE(CONTROL!$C$21, $C$9, 100%, $E$9)</f>
        <v>111.6635</v>
      </c>
      <c r="S980" s="14">
        <f>CHOOSE(CONTROL!$C$42, 107.8687, 107.8687) * CHOOSE(CONTROL!$C$21, $C$9, 100%, $E$9)</f>
        <v>107.8687</v>
      </c>
      <c r="T9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7">
        <f>(1000*CHOOSE(CONTROL!$C$42, 695, 695)*CHOOSE(CONTROL!$C$42, 0.5599, 0.5599)*CHOOSE(CONTROL!$C$42, 31, 31))/1000000</f>
        <v>12.063045499999998</v>
      </c>
      <c r="V980" s="57">
        <f>(1000*CHOOSE(CONTROL!$C$42, 500, 500)*CHOOSE(CONTROL!$C$42, 0.275, 0.275)*CHOOSE(CONTROL!$C$42, 31, 31))/1000000</f>
        <v>4.2625000000000002</v>
      </c>
      <c r="W980" s="57">
        <f>(1000*CHOOSE(CONTROL!$C$42, 0.1146, 0.1146)*CHOOSE(CONTROL!$C$42, 121.5, 121.5)*CHOOSE(CONTROL!$C$42, 31, 31))/1000000</f>
        <v>0.43164089999999994</v>
      </c>
      <c r="X980" s="57">
        <f>(31*0.1790888*245000/1000000)+(31*0.2374*100000/1000000)</f>
        <v>2.0961194359999999</v>
      </c>
      <c r="Y980" s="57"/>
      <c r="Z980" s="14"/>
      <c r="AA980" s="56"/>
      <c r="AB980" s="50">
        <f>(B980*194.205+C980*267.466+D980*133.845+E980*53.484+F980*40+G980*185+H980*0+I980*100+J980*300)/(194.205+267.466+133.845+53.484+0+40+185+100+300)</f>
        <v>112.32715733987442</v>
      </c>
      <c r="AC980" s="45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110.1227798561151</v>
      </c>
    </row>
    <row r="981" spans="1:29" ht="15.75" x14ac:dyDescent="0.25">
      <c r="A981" s="32">
        <v>70767</v>
      </c>
      <c r="B981" s="14">
        <f>CHOOSE(CONTROL!$C$42, 105.1417, 105.1417) * CHOOSE(CONTROL!$C$21, $C$9, 100%, $E$9)</f>
        <v>105.1417</v>
      </c>
      <c r="C981" s="14">
        <f>CHOOSE(CONTROL!$C$42, 105.1498, 105.1498) * CHOOSE(CONTROL!$C$21, $C$9, 100%, $E$9)</f>
        <v>105.1498</v>
      </c>
      <c r="D981" s="14">
        <f>CHOOSE(CONTROL!$C$42, 105.3547, 105.3547) * CHOOSE(CONTROL!$C$21, $C$9, 100%, $E$9)</f>
        <v>105.35469999999999</v>
      </c>
      <c r="E981" s="14">
        <f>CHOOSE(CONTROL!$C$42, 105.3862, 105.3862) * CHOOSE(CONTROL!$C$21, $C$9, 100%, $E$9)</f>
        <v>105.3862</v>
      </c>
      <c r="F981" s="14">
        <f>CHOOSE(CONTROL!$C$42, 105.1289, 105.1289)*CHOOSE(CONTROL!$C$21, $C$9, 100%, $E$9)</f>
        <v>105.1289</v>
      </c>
      <c r="G981" s="14">
        <f>CHOOSE(CONTROL!$C$42, 105.1456, 105.1456)*CHOOSE(CONTROL!$C$21, $C$9, 100%, $E$9)</f>
        <v>105.1456</v>
      </c>
      <c r="H981" s="14">
        <f>CHOOSE(CONTROL!$C$42, 105.3748, 105.3748) * CHOOSE(CONTROL!$C$21, $C$9, 100%, $E$9)</f>
        <v>105.37479999999999</v>
      </c>
      <c r="I981" s="14">
        <f>CHOOSE(CONTROL!$C$42, 105.4791, 105.4791)* CHOOSE(CONTROL!$C$21, $C$9, 100%, $E$9)</f>
        <v>105.4791</v>
      </c>
      <c r="J981" s="14">
        <f>CHOOSE(CONTROL!$C$42, 105.1219, 105.1219)* CHOOSE(CONTROL!$C$21, $C$9, 100%, $E$9)</f>
        <v>105.1219</v>
      </c>
      <c r="K981" s="53">
        <f>CHOOSE(CONTROL!$C$42, 105.4752, 105.4752) * CHOOSE(CONTROL!$C$21, $C$9, 100%, $E$9)</f>
        <v>105.4752</v>
      </c>
      <c r="L981" s="14">
        <f>CHOOSE(CONTROL!$C$42, 105.9618, 105.9618) * CHOOSE(CONTROL!$C$21, $C$9, 100%, $E$9)</f>
        <v>105.9618</v>
      </c>
      <c r="M981" s="14">
        <f>CHOOSE(CONTROL!$C$42, 102.9757, 102.9757) * CHOOSE(CONTROL!$C$21, $C$9, 100%, $E$9)</f>
        <v>102.9757</v>
      </c>
      <c r="N981" s="14">
        <f>CHOOSE(CONTROL!$C$42, 102.9921, 102.9921) * CHOOSE(CONTROL!$C$21, $C$9, 100%, $E$9)</f>
        <v>102.99209999999999</v>
      </c>
      <c r="O981" s="14">
        <f>CHOOSE(CONTROL!$C$42, 103.2235, 103.2235) * CHOOSE(CONTROL!$C$21, $C$9, 100%, $E$9)</f>
        <v>103.2235</v>
      </c>
      <c r="P981" s="14">
        <f>CHOOSE(CONTROL!$C$42, 103.319, 103.319) * CHOOSE(CONTROL!$C$21, $C$9, 100%, $E$9)</f>
        <v>103.319</v>
      </c>
      <c r="Q981" s="14">
        <f>CHOOSE(CONTROL!$C$42, 103.8182, 103.8182) * CHOOSE(CONTROL!$C$21, $C$9, 100%, $E$9)</f>
        <v>103.8182</v>
      </c>
      <c r="R981" s="14">
        <f>CHOOSE(CONTROL!$C$42, 104.6647, 104.6647) * CHOOSE(CONTROL!$C$21, $C$9, 100%, $E$9)</f>
        <v>104.6647</v>
      </c>
      <c r="S981" s="14">
        <f>CHOOSE(CONTROL!$C$42, 101.0201, 101.0201) * CHOOSE(CONTROL!$C$21, $C$9, 100%, $E$9)</f>
        <v>101.0201</v>
      </c>
      <c r="T9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7">
        <f>(1000*CHOOSE(CONTROL!$C$42, 695, 695)*CHOOSE(CONTROL!$C$42, 0.5599, 0.5599)*CHOOSE(CONTROL!$C$42, 30, 30))/1000000</f>
        <v>11.673914999999997</v>
      </c>
      <c r="V981" s="57">
        <f>(1000*CHOOSE(CONTROL!$C$42, 500, 500)*CHOOSE(CONTROL!$C$42, 0.275, 0.275)*CHOOSE(CONTROL!$C$42, 30, 30))/1000000</f>
        <v>4.125</v>
      </c>
      <c r="W981" s="57">
        <f>(1000*CHOOSE(CONTROL!$C$42, 0.1146, 0.1146)*CHOOSE(CONTROL!$C$42, 121.5, 121.5)*CHOOSE(CONTROL!$C$42, 30, 30))/1000000</f>
        <v>0.417717</v>
      </c>
      <c r="X981" s="57">
        <f>(30*0.1790888*245000/1000000)+(30*0.2374*100000/1000000)</f>
        <v>2.0285026799999999</v>
      </c>
      <c r="Y981" s="57"/>
      <c r="Z981" s="14"/>
      <c r="AA981" s="56"/>
      <c r="AB981" s="50">
        <f>(B981*194.205+C981*267.466+D981*133.845+E981*53.484+F981*40+G981*185+H981*0+I981*100+J981*300)/(194.205+267.466+133.845+53.484+0+40+185+100+300)</f>
        <v>105.19802794160127</v>
      </c>
      <c r="AC981" s="45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103.13835179856113</v>
      </c>
    </row>
    <row r="982" spans="1:29" ht="15.75" x14ac:dyDescent="0.25">
      <c r="A982" s="32">
        <v>70798</v>
      </c>
      <c r="B982" s="14">
        <f>CHOOSE(CONTROL!$C$42, 103.0054, 103.0054) * CHOOSE(CONTROL!$C$21, $C$9, 100%, $E$9)</f>
        <v>103.00539999999999</v>
      </c>
      <c r="C982" s="14">
        <f>CHOOSE(CONTROL!$C$42, 103.0107, 103.0107) * CHOOSE(CONTROL!$C$21, $C$9, 100%, $E$9)</f>
        <v>103.0107</v>
      </c>
      <c r="D982" s="14">
        <f>CHOOSE(CONTROL!$C$42, 103.2207, 103.2207) * CHOOSE(CONTROL!$C$21, $C$9, 100%, $E$9)</f>
        <v>103.22069999999999</v>
      </c>
      <c r="E982" s="14">
        <f>CHOOSE(CONTROL!$C$42, 103.2498, 103.2498) * CHOOSE(CONTROL!$C$21, $C$9, 100%, $E$9)</f>
        <v>103.24979999999999</v>
      </c>
      <c r="F982" s="14">
        <f>CHOOSE(CONTROL!$C$42, 102.9946, 102.9946)*CHOOSE(CONTROL!$C$21, $C$9, 100%, $E$9)</f>
        <v>102.99460000000001</v>
      </c>
      <c r="G982" s="14">
        <f>CHOOSE(CONTROL!$C$42, 103.011, 103.011)*CHOOSE(CONTROL!$C$21, $C$9, 100%, $E$9)</f>
        <v>103.011</v>
      </c>
      <c r="H982" s="14">
        <f>CHOOSE(CONTROL!$C$42, 103.2403, 103.2403) * CHOOSE(CONTROL!$C$21, $C$9, 100%, $E$9)</f>
        <v>103.2403</v>
      </c>
      <c r="I982" s="14">
        <f>CHOOSE(CONTROL!$C$42, 103.3378, 103.3378)* CHOOSE(CONTROL!$C$21, $C$9, 100%, $E$9)</f>
        <v>103.3378</v>
      </c>
      <c r="J982" s="14">
        <f>CHOOSE(CONTROL!$C$42, 102.9876, 102.9876)* CHOOSE(CONTROL!$C$21, $C$9, 100%, $E$9)</f>
        <v>102.9876</v>
      </c>
      <c r="K982" s="53">
        <f>CHOOSE(CONTROL!$C$42, 103.3339, 103.3339) * CHOOSE(CONTROL!$C$21, $C$9, 100%, $E$9)</f>
        <v>103.3339</v>
      </c>
      <c r="L982" s="14">
        <f>CHOOSE(CONTROL!$C$42, 103.8273, 103.8273) * CHOOSE(CONTROL!$C$21, $C$9, 100%, $E$9)</f>
        <v>103.82729999999999</v>
      </c>
      <c r="M982" s="14">
        <f>CHOOSE(CONTROL!$C$42, 100.8852, 100.8852) * CHOOSE(CONTROL!$C$21, $C$9, 100%, $E$9)</f>
        <v>100.8852</v>
      </c>
      <c r="N982" s="14">
        <f>CHOOSE(CONTROL!$C$42, 100.9012, 100.9012) * CHOOSE(CONTROL!$C$21, $C$9, 100%, $E$9)</f>
        <v>100.9012</v>
      </c>
      <c r="O982" s="14">
        <f>CHOOSE(CONTROL!$C$42, 101.1326, 101.1326) * CHOOSE(CONTROL!$C$21, $C$9, 100%, $E$9)</f>
        <v>101.1326</v>
      </c>
      <c r="P982" s="14">
        <f>CHOOSE(CONTROL!$C$42, 101.2218, 101.2218) * CHOOSE(CONTROL!$C$21, $C$9, 100%, $E$9)</f>
        <v>101.2218</v>
      </c>
      <c r="Q982" s="14">
        <f>CHOOSE(CONTROL!$C$42, 101.7273, 101.7273) * CHOOSE(CONTROL!$C$21, $C$9, 100%, $E$9)</f>
        <v>101.7273</v>
      </c>
      <c r="R982" s="14">
        <f>CHOOSE(CONTROL!$C$42, 102.5687, 102.5687) * CHOOSE(CONTROL!$C$21, $C$9, 100%, $E$9)</f>
        <v>102.56870000000001</v>
      </c>
      <c r="S982" s="14">
        <f>CHOOSE(CONTROL!$C$42, 98.969, 98.969) * CHOOSE(CONTROL!$C$21, $C$9, 100%, $E$9)</f>
        <v>98.968999999999994</v>
      </c>
      <c r="T9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7">
        <f>(1000*CHOOSE(CONTROL!$C$42, 695, 695)*CHOOSE(CONTROL!$C$42, 0.5599, 0.5599)*CHOOSE(CONTROL!$C$42, 31, 31))/1000000</f>
        <v>12.063045499999998</v>
      </c>
      <c r="V982" s="57">
        <f>(1000*CHOOSE(CONTROL!$C$42, 500, 500)*CHOOSE(CONTROL!$C$42, 0.275, 0.275)*CHOOSE(CONTROL!$C$42, 31, 31))/1000000</f>
        <v>4.2625000000000002</v>
      </c>
      <c r="W982" s="57">
        <f>(1000*CHOOSE(CONTROL!$C$42, 0.1146, 0.1146)*CHOOSE(CONTROL!$C$42, 121.5, 121.5)*CHOOSE(CONTROL!$C$42, 31, 31))/1000000</f>
        <v>0.43164089999999994</v>
      </c>
      <c r="X982" s="57">
        <f>(31*0.1790888*245000/1000000)+(31*0.2374*100000/1000000)</f>
        <v>2.0961194359999999</v>
      </c>
      <c r="Y982" s="57"/>
      <c r="Z982" s="14"/>
      <c r="AA982" s="56"/>
      <c r="AB982" s="50">
        <f>(B982*131.881+C982*277.167+D982*79.08+E982*125.872+F982*40+G982*185+H982*0+I982*100+J982*300)/(131.881+277.167+79.08+125.872+0+40+185+100+300)</f>
        <v>103.06816192566586</v>
      </c>
      <c r="AC982" s="45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101.04668345323742</v>
      </c>
    </row>
    <row r="983" spans="1:29" ht="15.75" x14ac:dyDescent="0.25">
      <c r="A983" s="32">
        <v>70828</v>
      </c>
      <c r="B983" s="14">
        <f>CHOOSE(CONTROL!$C$42, 105.7184, 105.7184) * CHOOSE(CONTROL!$C$21, $C$9, 100%, $E$9)</f>
        <v>105.7184</v>
      </c>
      <c r="C983" s="14">
        <f>CHOOSE(CONTROL!$C$42, 105.7235, 105.7235) * CHOOSE(CONTROL!$C$21, $C$9, 100%, $E$9)</f>
        <v>105.7235</v>
      </c>
      <c r="D983" s="14">
        <f>CHOOSE(CONTROL!$C$42, 105.7873, 105.7873) * CHOOSE(CONTROL!$C$21, $C$9, 100%, $E$9)</f>
        <v>105.7873</v>
      </c>
      <c r="E983" s="14">
        <f>CHOOSE(CONTROL!$C$42, 105.8214, 105.8214) * CHOOSE(CONTROL!$C$21, $C$9, 100%, $E$9)</f>
        <v>105.8214</v>
      </c>
      <c r="F983" s="14">
        <f>CHOOSE(CONTROL!$C$42, 105.7206, 105.7206)*CHOOSE(CONTROL!$C$21, $C$9, 100%, $E$9)</f>
        <v>105.7206</v>
      </c>
      <c r="G983" s="14">
        <f>CHOOSE(CONTROL!$C$42, 105.7373, 105.7373)*CHOOSE(CONTROL!$C$21, $C$9, 100%, $E$9)</f>
        <v>105.7373</v>
      </c>
      <c r="H983" s="14">
        <f>CHOOSE(CONTROL!$C$42, 105.8106, 105.8106) * CHOOSE(CONTROL!$C$21, $C$9, 100%, $E$9)</f>
        <v>105.81059999999999</v>
      </c>
      <c r="I983" s="14">
        <f>CHOOSE(CONTROL!$C$42, 106.0634, 106.0634)* CHOOSE(CONTROL!$C$21, $C$9, 100%, $E$9)</f>
        <v>106.0634</v>
      </c>
      <c r="J983" s="14">
        <f>CHOOSE(CONTROL!$C$42, 105.7136, 105.7136)* CHOOSE(CONTROL!$C$21, $C$9, 100%, $E$9)</f>
        <v>105.7136</v>
      </c>
      <c r="K983" s="53">
        <f>CHOOSE(CONTROL!$C$42, 106.0595, 106.0595) * CHOOSE(CONTROL!$C$21, $C$9, 100%, $E$9)</f>
        <v>106.0595</v>
      </c>
      <c r="L983" s="14">
        <f>CHOOSE(CONTROL!$C$42, 106.3976, 106.3976) * CHOOSE(CONTROL!$C$21, $C$9, 100%, $E$9)</f>
        <v>106.3976</v>
      </c>
      <c r="M983" s="14">
        <f>CHOOSE(CONTROL!$C$42, 103.5553, 103.5553) * CHOOSE(CONTROL!$C$21, $C$9, 100%, $E$9)</f>
        <v>103.5553</v>
      </c>
      <c r="N983" s="14">
        <f>CHOOSE(CONTROL!$C$42, 103.5717, 103.5717) * CHOOSE(CONTROL!$C$21, $C$9, 100%, $E$9)</f>
        <v>103.57170000000001</v>
      </c>
      <c r="O983" s="14">
        <f>CHOOSE(CONTROL!$C$42, 103.6503, 103.6503) * CHOOSE(CONTROL!$C$21, $C$9, 100%, $E$9)</f>
        <v>103.6503</v>
      </c>
      <c r="P983" s="14">
        <f>CHOOSE(CONTROL!$C$42, 103.8913, 103.8913) * CHOOSE(CONTROL!$C$21, $C$9, 100%, $E$9)</f>
        <v>103.8913</v>
      </c>
      <c r="Q983" s="14">
        <f>CHOOSE(CONTROL!$C$42, 104.245, 104.245) * CHOOSE(CONTROL!$C$21, $C$9, 100%, $E$9)</f>
        <v>104.245</v>
      </c>
      <c r="R983" s="14">
        <f>CHOOSE(CONTROL!$C$42, 105.0926, 105.0926) * CHOOSE(CONTROL!$C$21, $C$9, 100%, $E$9)</f>
        <v>105.0926</v>
      </c>
      <c r="S983" s="14">
        <f>CHOOSE(CONTROL!$C$42, 101.5763, 101.5763) * CHOOSE(CONTROL!$C$21, $C$9, 100%, $E$9)</f>
        <v>101.5763</v>
      </c>
      <c r="T9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7">
        <f>(1000*CHOOSE(CONTROL!$C$42, 695, 695)*CHOOSE(CONTROL!$C$42, 0.5599, 0.5599)*CHOOSE(CONTROL!$C$42, 30, 30))/1000000</f>
        <v>11.673914999999997</v>
      </c>
      <c r="V983" s="57">
        <f>(1000*CHOOSE(CONTROL!$C$42, 500, 500)*CHOOSE(CONTROL!$C$42, 0.275, 0.275)*CHOOSE(CONTROL!$C$42, 30, 30))/1000000</f>
        <v>4.125</v>
      </c>
      <c r="W983" s="57">
        <f>(1000*CHOOSE(CONTROL!$C$42, 0.1146, 0.1146)*CHOOSE(CONTROL!$C$42, 121.5, 121.5)*CHOOSE(CONTROL!$C$42, 30, 30))/1000000</f>
        <v>0.417717</v>
      </c>
      <c r="X983" s="57">
        <f>(30*0.1790888*100000/1000000)+(30*0.2374*100000/1000000)</f>
        <v>1.2494664</v>
      </c>
      <c r="Y983" s="57"/>
      <c r="Z983" s="14"/>
      <c r="AA983" s="56"/>
      <c r="AB983" s="50">
        <f>(B983*122.58+C983*297.941+D983*89.177+E983*40.302+F983*40+G983*160+H983*0+I983*100+J983*300)/(122.58+297.941+89.177+40.302+0+40+160+100+300)</f>
        <v>105.76012773947825</v>
      </c>
      <c r="AC983" s="45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103.64764676258993</v>
      </c>
    </row>
    <row r="984" spans="1:29" ht="15.75" x14ac:dyDescent="0.25">
      <c r="A984" s="32">
        <v>70859</v>
      </c>
      <c r="B984" s="14">
        <f>CHOOSE(CONTROL!$C$42, 112.9256, 112.9256) * CHOOSE(CONTROL!$C$21, $C$9, 100%, $E$9)</f>
        <v>112.9256</v>
      </c>
      <c r="C984" s="14">
        <f>CHOOSE(CONTROL!$C$42, 112.9306, 112.9306) * CHOOSE(CONTROL!$C$21, $C$9, 100%, $E$9)</f>
        <v>112.9306</v>
      </c>
      <c r="D984" s="14">
        <f>CHOOSE(CONTROL!$C$42, 112.9944, 112.9944) * CHOOSE(CONTROL!$C$21, $C$9, 100%, $E$9)</f>
        <v>112.9944</v>
      </c>
      <c r="E984" s="14">
        <f>CHOOSE(CONTROL!$C$42, 113.0286, 113.0286) * CHOOSE(CONTROL!$C$21, $C$9, 100%, $E$9)</f>
        <v>113.0286</v>
      </c>
      <c r="F984" s="14">
        <f>CHOOSE(CONTROL!$C$42, 112.9299, 112.9299)*CHOOSE(CONTROL!$C$21, $C$9, 100%, $E$9)</f>
        <v>112.9299</v>
      </c>
      <c r="G984" s="14">
        <f>CHOOSE(CONTROL!$C$42, 112.9471, 112.9471)*CHOOSE(CONTROL!$C$21, $C$9, 100%, $E$9)</f>
        <v>112.94710000000001</v>
      </c>
      <c r="H984" s="14">
        <f>CHOOSE(CONTROL!$C$42, 113.0178, 113.0178) * CHOOSE(CONTROL!$C$21, $C$9, 100%, $E$9)</f>
        <v>113.01779999999999</v>
      </c>
      <c r="I984" s="14">
        <f>CHOOSE(CONTROL!$C$42, 113.2931, 113.2931)* CHOOSE(CONTROL!$C$21, $C$9, 100%, $E$9)</f>
        <v>113.2931</v>
      </c>
      <c r="J984" s="14">
        <f>CHOOSE(CONTROL!$C$42, 112.9229, 112.9229)* CHOOSE(CONTROL!$C$21, $C$9, 100%, $E$9)</f>
        <v>112.9229</v>
      </c>
      <c r="K984" s="53">
        <f>CHOOSE(CONTROL!$C$42, 113.2892, 113.2892) * CHOOSE(CONTROL!$C$21, $C$9, 100%, $E$9)</f>
        <v>113.28919999999999</v>
      </c>
      <c r="L984" s="14">
        <f>CHOOSE(CONTROL!$C$42, 113.6048, 113.6048) * CHOOSE(CONTROL!$C$21, $C$9, 100%, $E$9)</f>
        <v>113.6048</v>
      </c>
      <c r="M984" s="14">
        <f>CHOOSE(CONTROL!$C$42, 110.6169, 110.6169) * CHOOSE(CONTROL!$C$21, $C$9, 100%, $E$9)</f>
        <v>110.6169</v>
      </c>
      <c r="N984" s="14">
        <f>CHOOSE(CONTROL!$C$42, 110.6337, 110.6337) * CHOOSE(CONTROL!$C$21, $C$9, 100%, $E$9)</f>
        <v>110.6337</v>
      </c>
      <c r="O984" s="14">
        <f>CHOOSE(CONTROL!$C$42, 110.7098, 110.7098) * CHOOSE(CONTROL!$C$21, $C$9, 100%, $E$9)</f>
        <v>110.7098</v>
      </c>
      <c r="P984" s="14">
        <f>CHOOSE(CONTROL!$C$42, 110.9725, 110.9725) * CHOOSE(CONTROL!$C$21, $C$9, 100%, $E$9)</f>
        <v>110.9725</v>
      </c>
      <c r="Q984" s="14">
        <f>CHOOSE(CONTROL!$C$42, 111.3045, 111.3045) * CHOOSE(CONTROL!$C$21, $C$9, 100%, $E$9)</f>
        <v>111.3045</v>
      </c>
      <c r="R984" s="14">
        <f>CHOOSE(CONTROL!$C$42, 112.1697, 112.1697) * CHOOSE(CONTROL!$C$21, $C$9, 100%, $E$9)</f>
        <v>112.16970000000001</v>
      </c>
      <c r="S984" s="14">
        <f>CHOOSE(CONTROL!$C$42, 108.5016, 108.5016) * CHOOSE(CONTROL!$C$21, $C$9, 100%, $E$9)</f>
        <v>108.5016</v>
      </c>
      <c r="T9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7">
        <f>(1000*CHOOSE(CONTROL!$C$42, 695, 695)*CHOOSE(CONTROL!$C$42, 0.5599, 0.5599)*CHOOSE(CONTROL!$C$42, 31, 31))/1000000</f>
        <v>12.063045499999998</v>
      </c>
      <c r="V984" s="57">
        <f>(1000*CHOOSE(CONTROL!$C$42, 500, 500)*CHOOSE(CONTROL!$C$42, 0.275, 0.275)*CHOOSE(CONTROL!$C$42, 31, 31))/1000000</f>
        <v>4.2625000000000002</v>
      </c>
      <c r="W984" s="57">
        <f>(1000*CHOOSE(CONTROL!$C$42, 0.1146, 0.1146)*CHOOSE(CONTROL!$C$42, 121.5, 121.5)*CHOOSE(CONTROL!$C$42, 31, 31))/1000000</f>
        <v>0.43164089999999994</v>
      </c>
      <c r="X984" s="57">
        <f>(31*0.1790888*100000/1000000)+(31*0.2374*100000/1000000)</f>
        <v>1.2911152800000001</v>
      </c>
      <c r="Y984" s="57"/>
      <c r="Z984" s="14"/>
      <c r="AA984" s="56"/>
      <c r="AB984" s="50">
        <f>(B984*122.58+C984*297.941+D984*89.177+E984*40.302+F984*40+G984*160+H984*0+I984*100+J984*300)/(122.58+297.941+89.177+40.302+0+40+160+100+300)</f>
        <v>112.97023320747826</v>
      </c>
      <c r="AC984" s="45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110.71113812949642</v>
      </c>
    </row>
    <row r="985" spans="1:29" ht="15.75" x14ac:dyDescent="0.25">
      <c r="A985" s="32">
        <v>70890</v>
      </c>
      <c r="B985" s="14">
        <f>CHOOSE(CONTROL!$C$42, 122.175, 122.175) * CHOOSE(CONTROL!$C$21, $C$9, 100%, $E$9)</f>
        <v>122.175</v>
      </c>
      <c r="C985" s="14">
        <f>CHOOSE(CONTROL!$C$42, 122.18, 122.18) * CHOOSE(CONTROL!$C$21, $C$9, 100%, $E$9)</f>
        <v>122.18</v>
      </c>
      <c r="D985" s="14">
        <f>CHOOSE(CONTROL!$C$42, 122.2387, 122.2387) * CHOOSE(CONTROL!$C$21, $C$9, 100%, $E$9)</f>
        <v>122.23869999999999</v>
      </c>
      <c r="E985" s="14">
        <f>CHOOSE(CONTROL!$C$42, 122.2728, 122.2728) * CHOOSE(CONTROL!$C$21, $C$9, 100%, $E$9)</f>
        <v>122.2728</v>
      </c>
      <c r="F985" s="14">
        <f>CHOOSE(CONTROL!$C$42, 122.1741, 122.1741)*CHOOSE(CONTROL!$C$21, $C$9, 100%, $E$9)</f>
        <v>122.1741</v>
      </c>
      <c r="G985" s="14">
        <f>CHOOSE(CONTROL!$C$42, 122.1905, 122.1905)*CHOOSE(CONTROL!$C$21, $C$9, 100%, $E$9)</f>
        <v>122.1905</v>
      </c>
      <c r="H985" s="14">
        <f>CHOOSE(CONTROL!$C$42, 122.262, 122.262) * CHOOSE(CONTROL!$C$21, $C$9, 100%, $E$9)</f>
        <v>122.262</v>
      </c>
      <c r="I985" s="14">
        <f>CHOOSE(CONTROL!$C$42, 122.5678, 122.5678)* CHOOSE(CONTROL!$C$21, $C$9, 100%, $E$9)</f>
        <v>122.56780000000001</v>
      </c>
      <c r="J985" s="14">
        <f>CHOOSE(CONTROL!$C$42, 122.1671, 122.1671)* CHOOSE(CONTROL!$C$21, $C$9, 100%, $E$9)</f>
        <v>122.1671</v>
      </c>
      <c r="K985" s="53">
        <f>CHOOSE(CONTROL!$C$42, 122.564, 122.564) * CHOOSE(CONTROL!$C$21, $C$9, 100%, $E$9)</f>
        <v>122.56399999999999</v>
      </c>
      <c r="L985" s="14">
        <f>CHOOSE(CONTROL!$C$42, 122.849, 122.849) * CHOOSE(CONTROL!$C$21, $C$9, 100%, $E$9)</f>
        <v>122.849</v>
      </c>
      <c r="M985" s="14">
        <f>CHOOSE(CONTROL!$C$42, 119.6717, 119.6717) * CHOOSE(CONTROL!$C$21, $C$9, 100%, $E$9)</f>
        <v>119.6717</v>
      </c>
      <c r="N985" s="14">
        <f>CHOOSE(CONTROL!$C$42, 119.6877, 119.6877) * CHOOSE(CONTROL!$C$21, $C$9, 100%, $E$9)</f>
        <v>119.68770000000001</v>
      </c>
      <c r="O985" s="14">
        <f>CHOOSE(CONTROL!$C$42, 119.7646, 119.7646) * CHOOSE(CONTROL!$C$21, $C$9, 100%, $E$9)</f>
        <v>119.7646</v>
      </c>
      <c r="P985" s="14">
        <f>CHOOSE(CONTROL!$C$42, 120.0566, 120.0566) * CHOOSE(CONTROL!$C$21, $C$9, 100%, $E$9)</f>
        <v>120.0566</v>
      </c>
      <c r="Q985" s="14">
        <f>CHOOSE(CONTROL!$C$42, 120.3593, 120.3593) * CHOOSE(CONTROL!$C$21, $C$9, 100%, $E$9)</f>
        <v>120.3593</v>
      </c>
      <c r="R985" s="14">
        <f>CHOOSE(CONTROL!$C$42, 121.2472, 121.2472) * CHOOSE(CONTROL!$C$21, $C$9, 100%, $E$9)</f>
        <v>121.24720000000001</v>
      </c>
      <c r="S985" s="14">
        <f>CHOOSE(CONTROL!$C$42, 117.3894, 117.3894) * CHOOSE(CONTROL!$C$21, $C$9, 100%, $E$9)</f>
        <v>117.38939999999999</v>
      </c>
      <c r="T9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7">
        <f>(1000*CHOOSE(CONTROL!$C$42, 695, 695)*CHOOSE(CONTROL!$C$42, 0.5599, 0.5599)*CHOOSE(CONTROL!$C$42, 31, 31))/1000000</f>
        <v>12.063045499999998</v>
      </c>
      <c r="V985" s="57">
        <f>(1000*CHOOSE(CONTROL!$C$42, 500, 500)*CHOOSE(CONTROL!$C$42, 0.275, 0.275)*CHOOSE(CONTROL!$C$42, 31, 31))/1000000</f>
        <v>4.2625000000000002</v>
      </c>
      <c r="W985" s="57">
        <f>(1000*CHOOSE(CONTROL!$C$42, 0.1146, 0.1146)*CHOOSE(CONTROL!$C$42, 121.5, 121.5)*CHOOSE(CONTROL!$C$42, 31, 31))/1000000</f>
        <v>0.43164089999999994</v>
      </c>
      <c r="X985" s="57">
        <f>(31*0.1790888*100000/1000000)+(31*0.2374*100000/1000000)</f>
        <v>1.2911152800000001</v>
      </c>
      <c r="Y985" s="57"/>
      <c r="Z985" s="14"/>
      <c r="AA985" s="56"/>
      <c r="AB985" s="50">
        <f>(B985*122.58+C985*297.941+D985*89.177+E985*40.302+F985*40+G985*160+H985*0+I985*100+J985*300)/(122.58+297.941+89.177+40.302+0+40+160+100+300)</f>
        <v>122.2188833178261</v>
      </c>
      <c r="AC985" s="45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119.77010791366908</v>
      </c>
    </row>
    <row r="986" spans="1:29" ht="15.75" x14ac:dyDescent="0.25">
      <c r="A986" s="32">
        <v>70918</v>
      </c>
      <c r="B986" s="14">
        <f>CHOOSE(CONTROL!$C$42, 124.3497, 124.3497) * CHOOSE(CONTROL!$C$21, $C$9, 100%, $E$9)</f>
        <v>124.3497</v>
      </c>
      <c r="C986" s="14">
        <f>CHOOSE(CONTROL!$C$42, 124.3548, 124.3548) * CHOOSE(CONTROL!$C$21, $C$9, 100%, $E$9)</f>
        <v>124.3548</v>
      </c>
      <c r="D986" s="14">
        <f>CHOOSE(CONTROL!$C$42, 124.4134, 124.4134) * CHOOSE(CONTROL!$C$21, $C$9, 100%, $E$9)</f>
        <v>124.4134</v>
      </c>
      <c r="E986" s="14">
        <f>CHOOSE(CONTROL!$C$42, 124.4475, 124.4475) * CHOOSE(CONTROL!$C$21, $C$9, 100%, $E$9)</f>
        <v>124.44750000000001</v>
      </c>
      <c r="F986" s="14">
        <f>CHOOSE(CONTROL!$C$42, 124.3488, 124.3488)*CHOOSE(CONTROL!$C$21, $C$9, 100%, $E$9)</f>
        <v>124.3488</v>
      </c>
      <c r="G986" s="14">
        <f>CHOOSE(CONTROL!$C$42, 124.3652, 124.3652)*CHOOSE(CONTROL!$C$21, $C$9, 100%, $E$9)</f>
        <v>124.3652</v>
      </c>
      <c r="H986" s="14">
        <f>CHOOSE(CONTROL!$C$42, 124.4367, 124.4367) * CHOOSE(CONTROL!$C$21, $C$9, 100%, $E$9)</f>
        <v>124.4367</v>
      </c>
      <c r="I986" s="14">
        <f>CHOOSE(CONTROL!$C$42, 124.7494, 124.7494)* CHOOSE(CONTROL!$C$21, $C$9, 100%, $E$9)</f>
        <v>124.74939999999999</v>
      </c>
      <c r="J986" s="14">
        <f>CHOOSE(CONTROL!$C$42, 124.3418, 124.3418)* CHOOSE(CONTROL!$C$21, $C$9, 100%, $E$9)</f>
        <v>124.34180000000001</v>
      </c>
      <c r="K986" s="53">
        <f>CHOOSE(CONTROL!$C$42, 124.7455, 124.7455) * CHOOSE(CONTROL!$C$21, $C$9, 100%, $E$9)</f>
        <v>124.74550000000001</v>
      </c>
      <c r="L986" s="14">
        <f>CHOOSE(CONTROL!$C$42, 125.0237, 125.0237) * CHOOSE(CONTROL!$C$21, $C$9, 100%, $E$9)</f>
        <v>125.02370000000001</v>
      </c>
      <c r="M986" s="14">
        <f>CHOOSE(CONTROL!$C$42, 121.8018, 121.8018) * CHOOSE(CONTROL!$C$21, $C$9, 100%, $E$9)</f>
        <v>121.8018</v>
      </c>
      <c r="N986" s="14">
        <f>CHOOSE(CONTROL!$C$42, 121.8178, 121.8178) * CHOOSE(CONTROL!$C$21, $C$9, 100%, $E$9)</f>
        <v>121.81780000000001</v>
      </c>
      <c r="O986" s="14">
        <f>CHOOSE(CONTROL!$C$42, 121.8947, 121.8947) * CHOOSE(CONTROL!$C$21, $C$9, 100%, $E$9)</f>
        <v>121.8947</v>
      </c>
      <c r="P986" s="14">
        <f>CHOOSE(CONTROL!$C$42, 122.1933, 122.1933) * CHOOSE(CONTROL!$C$21, $C$9, 100%, $E$9)</f>
        <v>122.19329999999999</v>
      </c>
      <c r="Q986" s="14">
        <f>CHOOSE(CONTROL!$C$42, 122.4894, 122.4894) * CHOOSE(CONTROL!$C$21, $C$9, 100%, $E$9)</f>
        <v>122.4894</v>
      </c>
      <c r="R986" s="14">
        <f>CHOOSE(CONTROL!$C$42, 123.3827, 123.3827) * CHOOSE(CONTROL!$C$21, $C$9, 100%, $E$9)</f>
        <v>123.3827</v>
      </c>
      <c r="S986" s="14">
        <f>CHOOSE(CONTROL!$C$42, 119.4791, 119.4791) * CHOOSE(CONTROL!$C$21, $C$9, 100%, $E$9)</f>
        <v>119.4791</v>
      </c>
      <c r="T9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7">
        <f>(1000*CHOOSE(CONTROL!$C$42, 695, 695)*CHOOSE(CONTROL!$C$42, 0.5599, 0.5599)*CHOOSE(CONTROL!$C$42, 28, 28))/1000000</f>
        <v>10.895653999999999</v>
      </c>
      <c r="V986" s="57">
        <f>(1000*CHOOSE(CONTROL!$C$42, 500, 500)*CHOOSE(CONTROL!$C$42, 0.275, 0.275)*CHOOSE(CONTROL!$C$42, 28, 28))/1000000</f>
        <v>3.85</v>
      </c>
      <c r="W986" s="57">
        <f>(1000*CHOOSE(CONTROL!$C$42, 0.1146, 0.1146)*CHOOSE(CONTROL!$C$42, 121.5, 121.5)*CHOOSE(CONTROL!$C$42, 28, 28))/1000000</f>
        <v>0.38986920000000003</v>
      </c>
      <c r="X986" s="57">
        <f>(28*0.1790888*100000/1000000)+(28*0.2374*100000/1000000)</f>
        <v>1.16616864</v>
      </c>
      <c r="Y986" s="57"/>
      <c r="Z986" s="14"/>
      <c r="AA986" s="56"/>
      <c r="AB986" s="50">
        <f>(B986*122.58+C986*297.941+D986*89.177+E986*40.302+F986*40+G986*160+H986*0+I986*100+J986*300)/(122.58+297.941+89.177+40.302+0+40+160+100+300)</f>
        <v>124.39420922573915</v>
      </c>
      <c r="AC986" s="45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121.90115755395685</v>
      </c>
    </row>
    <row r="987" spans="1:29" ht="15.75" x14ac:dyDescent="0.25">
      <c r="A987" s="32">
        <v>70949</v>
      </c>
      <c r="B987" s="14">
        <f>CHOOSE(CONTROL!$C$42, 120.8196, 120.8196) * CHOOSE(CONTROL!$C$21, $C$9, 100%, $E$9)</f>
        <v>120.81959999999999</v>
      </c>
      <c r="C987" s="14">
        <f>CHOOSE(CONTROL!$C$42, 120.8247, 120.8247) * CHOOSE(CONTROL!$C$21, $C$9, 100%, $E$9)</f>
        <v>120.82470000000001</v>
      </c>
      <c r="D987" s="14">
        <f>CHOOSE(CONTROL!$C$42, 120.8833, 120.8833) * CHOOSE(CONTROL!$C$21, $C$9, 100%, $E$9)</f>
        <v>120.88330000000001</v>
      </c>
      <c r="E987" s="14">
        <f>CHOOSE(CONTROL!$C$42, 120.9174, 120.9174) * CHOOSE(CONTROL!$C$21, $C$9, 100%, $E$9)</f>
        <v>120.9174</v>
      </c>
      <c r="F987" s="14">
        <f>CHOOSE(CONTROL!$C$42, 120.8182, 120.8182)*CHOOSE(CONTROL!$C$21, $C$9, 100%, $E$9)</f>
        <v>120.8182</v>
      </c>
      <c r="G987" s="14">
        <f>CHOOSE(CONTROL!$C$42, 120.8344, 120.8344)*CHOOSE(CONTROL!$C$21, $C$9, 100%, $E$9)</f>
        <v>120.8344</v>
      </c>
      <c r="H987" s="14">
        <f>CHOOSE(CONTROL!$C$42, 120.9066, 120.9066) * CHOOSE(CONTROL!$C$21, $C$9, 100%, $E$9)</f>
        <v>120.9066</v>
      </c>
      <c r="I987" s="14">
        <f>CHOOSE(CONTROL!$C$42, 121.2082, 121.2082)* CHOOSE(CONTROL!$C$21, $C$9, 100%, $E$9)</f>
        <v>121.20820000000001</v>
      </c>
      <c r="J987" s="14">
        <f>CHOOSE(CONTROL!$C$42, 120.8112, 120.8112)* CHOOSE(CONTROL!$C$21, $C$9, 100%, $E$9)</f>
        <v>120.8112</v>
      </c>
      <c r="K987" s="53">
        <f>CHOOSE(CONTROL!$C$42, 121.2043, 121.2043) * CHOOSE(CONTROL!$C$21, $C$9, 100%, $E$9)</f>
        <v>121.2043</v>
      </c>
      <c r="L987" s="14">
        <f>CHOOSE(CONTROL!$C$42, 121.4936, 121.4936) * CHOOSE(CONTROL!$C$21, $C$9, 100%, $E$9)</f>
        <v>121.4936</v>
      </c>
      <c r="M987" s="14">
        <f>CHOOSE(CONTROL!$C$42, 118.3435, 118.3435) * CHOOSE(CONTROL!$C$21, $C$9, 100%, $E$9)</f>
        <v>118.34350000000001</v>
      </c>
      <c r="N987" s="14">
        <f>CHOOSE(CONTROL!$C$42, 118.3594, 118.3594) * CHOOSE(CONTROL!$C$21, $C$9, 100%, $E$9)</f>
        <v>118.35939999999999</v>
      </c>
      <c r="O987" s="14">
        <f>CHOOSE(CONTROL!$C$42, 118.437, 118.437) * CHOOSE(CONTROL!$C$21, $C$9, 100%, $E$9)</f>
        <v>118.437</v>
      </c>
      <c r="P987" s="14">
        <f>CHOOSE(CONTROL!$C$42, 118.7249, 118.7249) * CHOOSE(CONTROL!$C$21, $C$9, 100%, $E$9)</f>
        <v>118.72490000000001</v>
      </c>
      <c r="Q987" s="14">
        <f>CHOOSE(CONTROL!$C$42, 119.0317, 119.0317) * CHOOSE(CONTROL!$C$21, $C$9, 100%, $E$9)</f>
        <v>119.0317</v>
      </c>
      <c r="R987" s="14">
        <f>CHOOSE(CONTROL!$C$42, 119.9163, 119.9163) * CHOOSE(CONTROL!$C$21, $C$9, 100%, $E$9)</f>
        <v>119.91630000000001</v>
      </c>
      <c r="S987" s="14">
        <f>CHOOSE(CONTROL!$C$42, 116.087, 116.087) * CHOOSE(CONTROL!$C$21, $C$9, 100%, $E$9)</f>
        <v>116.087</v>
      </c>
      <c r="T9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7">
        <f>(1000*CHOOSE(CONTROL!$C$42, 695, 695)*CHOOSE(CONTROL!$C$42, 0.5599, 0.5599)*CHOOSE(CONTROL!$C$42, 31, 31))/1000000</f>
        <v>12.063045499999998</v>
      </c>
      <c r="V987" s="57">
        <f>(1000*CHOOSE(CONTROL!$C$42, 500, 500)*CHOOSE(CONTROL!$C$42, 0.275, 0.275)*CHOOSE(CONTROL!$C$42, 31, 31))/1000000</f>
        <v>4.2625000000000002</v>
      </c>
      <c r="W987" s="57">
        <f>(1000*CHOOSE(CONTROL!$C$42, 0.1146, 0.1146)*CHOOSE(CONTROL!$C$42, 121.5, 121.5)*CHOOSE(CONTROL!$C$42, 31, 31))/1000000</f>
        <v>0.43164089999999994</v>
      </c>
      <c r="X987" s="57">
        <f>(31*0.1790888*100000/1000000)+(31*0.2374*100000/1000000)</f>
        <v>1.2911152800000001</v>
      </c>
      <c r="Y987" s="57"/>
      <c r="Z987" s="14"/>
      <c r="AA987" s="56"/>
      <c r="AB987" s="50">
        <f>(B987*122.58+C987*297.941+D987*89.177+E987*40.302+F987*40+G987*160+H987*0+I987*100+J987*300)/(122.58+297.941+89.177+40.302+0+40+160+100+300)</f>
        <v>120.86289879095655</v>
      </c>
      <c r="AC987" s="45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118.44167050359714</v>
      </c>
    </row>
    <row r="988" spans="1:29" ht="15.75" x14ac:dyDescent="0.25">
      <c r="A988" s="32">
        <v>70979</v>
      </c>
      <c r="B988" s="14">
        <f>CHOOSE(CONTROL!$C$42, 120.459, 120.459) * CHOOSE(CONTROL!$C$21, $C$9, 100%, $E$9)</f>
        <v>120.459</v>
      </c>
      <c r="C988" s="14">
        <f>CHOOSE(CONTROL!$C$42, 120.4635, 120.4635) * CHOOSE(CONTROL!$C$21, $C$9, 100%, $E$9)</f>
        <v>120.4635</v>
      </c>
      <c r="D988" s="14">
        <f>CHOOSE(CONTROL!$C$42, 120.6716, 120.6716) * CHOOSE(CONTROL!$C$21, $C$9, 100%, $E$9)</f>
        <v>120.6716</v>
      </c>
      <c r="E988" s="14">
        <f>CHOOSE(CONTROL!$C$42, 120.7037, 120.7037) * CHOOSE(CONTROL!$C$21, $C$9, 100%, $E$9)</f>
        <v>120.7037</v>
      </c>
      <c r="F988" s="14">
        <f>CHOOSE(CONTROL!$C$42, 120.4464, 120.4464)*CHOOSE(CONTROL!$C$21, $C$9, 100%, $E$9)</f>
        <v>120.4464</v>
      </c>
      <c r="G988" s="14">
        <f>CHOOSE(CONTROL!$C$42, 120.4623, 120.4623)*CHOOSE(CONTROL!$C$21, $C$9, 100%, $E$9)</f>
        <v>120.4623</v>
      </c>
      <c r="H988" s="14">
        <f>CHOOSE(CONTROL!$C$42, 120.6935, 120.6935) * CHOOSE(CONTROL!$C$21, $C$9, 100%, $E$9)</f>
        <v>120.6935</v>
      </c>
      <c r="I988" s="14">
        <f>CHOOSE(CONTROL!$C$42, 120.8457, 120.8457)* CHOOSE(CONTROL!$C$21, $C$9, 100%, $E$9)</f>
        <v>120.84569999999999</v>
      </c>
      <c r="J988" s="14">
        <f>CHOOSE(CONTROL!$C$42, 120.4394, 120.4394)* CHOOSE(CONTROL!$C$21, $C$9, 100%, $E$9)</f>
        <v>120.43940000000001</v>
      </c>
      <c r="K988" s="53">
        <f>CHOOSE(CONTROL!$C$42, 120.8419, 120.8419) * CHOOSE(CONTROL!$C$21, $C$9, 100%, $E$9)</f>
        <v>120.8419</v>
      </c>
      <c r="L988" s="14">
        <f>CHOOSE(CONTROL!$C$42, 121.2805, 121.2805) * CHOOSE(CONTROL!$C$21, $C$9, 100%, $E$9)</f>
        <v>121.2805</v>
      </c>
      <c r="M988" s="14">
        <f>CHOOSE(CONTROL!$C$42, 117.9794, 117.9794) * CHOOSE(CONTROL!$C$21, $C$9, 100%, $E$9)</f>
        <v>117.9794</v>
      </c>
      <c r="N988" s="14">
        <f>CHOOSE(CONTROL!$C$42, 117.995, 117.995) * CHOOSE(CONTROL!$C$21, $C$9, 100%, $E$9)</f>
        <v>117.995</v>
      </c>
      <c r="O988" s="14">
        <f>CHOOSE(CONTROL!$C$42, 118.2283, 118.2283) * CHOOSE(CONTROL!$C$21, $C$9, 100%, $E$9)</f>
        <v>118.2283</v>
      </c>
      <c r="P988" s="14">
        <f>CHOOSE(CONTROL!$C$42, 118.3699, 118.3699) * CHOOSE(CONTROL!$C$21, $C$9, 100%, $E$9)</f>
        <v>118.3699</v>
      </c>
      <c r="Q988" s="14">
        <f>CHOOSE(CONTROL!$C$42, 118.823, 118.823) * CHOOSE(CONTROL!$C$21, $C$9, 100%, $E$9)</f>
        <v>118.82299999999999</v>
      </c>
      <c r="R988" s="14">
        <f>CHOOSE(CONTROL!$C$42, 119.7071, 119.7071) * CHOOSE(CONTROL!$C$21, $C$9, 100%, $E$9)</f>
        <v>119.7071</v>
      </c>
      <c r="S988" s="14">
        <f>CHOOSE(CONTROL!$C$42, 115.7398, 115.7398) * CHOOSE(CONTROL!$C$21, $C$9, 100%, $E$9)</f>
        <v>115.7398</v>
      </c>
      <c r="T9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7">
        <f>(1000*CHOOSE(CONTROL!$C$42, 695, 695)*CHOOSE(CONTROL!$C$42, 0.5599, 0.5599)*CHOOSE(CONTROL!$C$42, 30, 30))/1000000</f>
        <v>11.673914999999997</v>
      </c>
      <c r="V988" s="57">
        <f>(1000*CHOOSE(CONTROL!$C$42, 500, 500)*CHOOSE(CONTROL!$C$42, 0.275, 0.275)*CHOOSE(CONTROL!$C$42, 30, 30))/1000000</f>
        <v>4.125</v>
      </c>
      <c r="W988" s="57">
        <f>(1000*CHOOSE(CONTROL!$C$42, 0.1146, 0.1146)*CHOOSE(CONTROL!$C$42, 121.5, 121.5)*CHOOSE(CONTROL!$C$42, 30, 30))/1000000</f>
        <v>0.417717</v>
      </c>
      <c r="X988" s="57">
        <f>(30*0.1790888*245000/1000000)+(30*0.2374*100000/1000000)</f>
        <v>2.0285026799999999</v>
      </c>
      <c r="Y988" s="57"/>
      <c r="Z988" s="14"/>
      <c r="AA988" s="56"/>
      <c r="AB988" s="50">
        <f>(B988*141.293+C988*267.993+D988*115.016+E988*89.698+F988*40+G988*185+H988*0+I988*100+J988*300)/(141.293+267.993+115.016+89.698+0+40+185+100+300)</f>
        <v>120.52397495617433</v>
      </c>
      <c r="AC988" s="45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118.14929568345325</v>
      </c>
    </row>
    <row r="989" spans="1:29" ht="15.75" x14ac:dyDescent="0.25">
      <c r="A989" s="32">
        <v>71010</v>
      </c>
      <c r="B989" s="14">
        <f>CHOOSE(CONTROL!$C$42, 121.5235, 121.5235) * CHOOSE(CONTROL!$C$21, $C$9, 100%, $E$9)</f>
        <v>121.5235</v>
      </c>
      <c r="C989" s="14">
        <f>CHOOSE(CONTROL!$C$42, 121.5316, 121.5316) * CHOOSE(CONTROL!$C$21, $C$9, 100%, $E$9)</f>
        <v>121.5316</v>
      </c>
      <c r="D989" s="14">
        <f>CHOOSE(CONTROL!$C$42, 121.7365, 121.7365) * CHOOSE(CONTROL!$C$21, $C$9, 100%, $E$9)</f>
        <v>121.73650000000001</v>
      </c>
      <c r="E989" s="14">
        <f>CHOOSE(CONTROL!$C$42, 121.768, 121.768) * CHOOSE(CONTROL!$C$21, $C$9, 100%, $E$9)</f>
        <v>121.768</v>
      </c>
      <c r="F989" s="14">
        <f>CHOOSE(CONTROL!$C$42, 121.5097, 121.5097)*CHOOSE(CONTROL!$C$21, $C$9, 100%, $E$9)</f>
        <v>121.5097</v>
      </c>
      <c r="G989" s="14">
        <f>CHOOSE(CONTROL!$C$42, 121.5261, 121.5261)*CHOOSE(CONTROL!$C$21, $C$9, 100%, $E$9)</f>
        <v>121.5261</v>
      </c>
      <c r="H989" s="14">
        <f>CHOOSE(CONTROL!$C$42, 121.7566, 121.7566) * CHOOSE(CONTROL!$C$21, $C$9, 100%, $E$9)</f>
        <v>121.75660000000001</v>
      </c>
      <c r="I989" s="14">
        <f>CHOOSE(CONTROL!$C$42, 121.9122, 121.9122)* CHOOSE(CONTROL!$C$21, $C$9, 100%, $E$9)</f>
        <v>121.9122</v>
      </c>
      <c r="J989" s="14">
        <f>CHOOSE(CONTROL!$C$42, 121.5027, 121.5027)* CHOOSE(CONTROL!$C$21, $C$9, 100%, $E$9)</f>
        <v>121.5027</v>
      </c>
      <c r="K989" s="53">
        <f>CHOOSE(CONTROL!$C$42, 121.9083, 121.9083) * CHOOSE(CONTROL!$C$21, $C$9, 100%, $E$9)</f>
        <v>121.9083</v>
      </c>
      <c r="L989" s="14">
        <f>CHOOSE(CONTROL!$C$42, 122.3436, 122.3436) * CHOOSE(CONTROL!$C$21, $C$9, 100%, $E$9)</f>
        <v>122.3436</v>
      </c>
      <c r="M989" s="14">
        <f>CHOOSE(CONTROL!$C$42, 119.0209, 119.0209) * CHOOSE(CONTROL!$C$21, $C$9, 100%, $E$9)</f>
        <v>119.0209</v>
      </c>
      <c r="N989" s="14">
        <f>CHOOSE(CONTROL!$C$42, 119.037, 119.037) * CHOOSE(CONTROL!$C$21, $C$9, 100%, $E$9)</f>
        <v>119.03700000000001</v>
      </c>
      <c r="O989" s="14">
        <f>CHOOSE(CONTROL!$C$42, 119.2696, 119.2696) * CHOOSE(CONTROL!$C$21, $C$9, 100%, $E$9)</f>
        <v>119.2696</v>
      </c>
      <c r="P989" s="14">
        <f>CHOOSE(CONTROL!$C$42, 119.4144, 119.4144) * CHOOSE(CONTROL!$C$21, $C$9, 100%, $E$9)</f>
        <v>119.4144</v>
      </c>
      <c r="Q989" s="14">
        <f>CHOOSE(CONTROL!$C$42, 119.8643, 119.8643) * CHOOSE(CONTROL!$C$21, $C$9, 100%, $E$9)</f>
        <v>119.8643</v>
      </c>
      <c r="R989" s="14">
        <f>CHOOSE(CONTROL!$C$42, 120.751, 120.751) * CHOOSE(CONTROL!$C$21, $C$9, 100%, $E$9)</f>
        <v>120.751</v>
      </c>
      <c r="S989" s="14">
        <f>CHOOSE(CONTROL!$C$42, 116.7613, 116.7613) * CHOOSE(CONTROL!$C$21, $C$9, 100%, $E$9)</f>
        <v>116.76130000000001</v>
      </c>
      <c r="T9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7">
        <f>(1000*CHOOSE(CONTROL!$C$42, 695, 695)*CHOOSE(CONTROL!$C$42, 0.5599, 0.5599)*CHOOSE(CONTROL!$C$42, 31, 31))/1000000</f>
        <v>12.063045499999998</v>
      </c>
      <c r="V989" s="57">
        <f>(1000*CHOOSE(CONTROL!$C$42, 500, 500)*CHOOSE(CONTROL!$C$42, 0.275, 0.275)*CHOOSE(CONTROL!$C$42, 31, 31))/1000000</f>
        <v>4.2625000000000002</v>
      </c>
      <c r="W989" s="57">
        <f>(1000*CHOOSE(CONTROL!$C$42, 0.1146, 0.1146)*CHOOSE(CONTROL!$C$42, 121.5, 121.5)*CHOOSE(CONTROL!$C$42, 31, 31))/1000000</f>
        <v>0.43164089999999994</v>
      </c>
      <c r="X989" s="57">
        <f>(31*0.1790888*245000/1000000)+(31*0.2374*100000/1000000)</f>
        <v>2.0961194359999999</v>
      </c>
      <c r="Y989" s="57"/>
      <c r="Z989" s="14"/>
      <c r="AA989" s="56"/>
      <c r="AB989" s="50">
        <f>(B989*194.205+C989*267.466+D989*133.845+E989*53.484+F989*40+G989*185+H989*0+I989*100+J989*300)/(194.205+267.466+133.845+53.484+0+40+185+100+300)</f>
        <v>121.58339897770803</v>
      </c>
      <c r="AC989" s="45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119.19116546762589</v>
      </c>
    </row>
    <row r="990" spans="1:29" ht="15.75" x14ac:dyDescent="0.25">
      <c r="A990" s="32">
        <v>71040</v>
      </c>
      <c r="B990" s="14">
        <f>CHOOSE(CONTROL!$C$42, 124.9704, 124.9704) * CHOOSE(CONTROL!$C$21, $C$9, 100%, $E$9)</f>
        <v>124.9704</v>
      </c>
      <c r="C990" s="14">
        <f>CHOOSE(CONTROL!$C$42, 124.9784, 124.9784) * CHOOSE(CONTROL!$C$21, $C$9, 100%, $E$9)</f>
        <v>124.97839999999999</v>
      </c>
      <c r="D990" s="14">
        <f>CHOOSE(CONTROL!$C$42, 125.1834, 125.1834) * CHOOSE(CONTROL!$C$21, $C$9, 100%, $E$9)</f>
        <v>125.18340000000001</v>
      </c>
      <c r="E990" s="14">
        <f>CHOOSE(CONTROL!$C$42, 125.2148, 125.2148) * CHOOSE(CONTROL!$C$21, $C$9, 100%, $E$9)</f>
        <v>125.2148</v>
      </c>
      <c r="F990" s="14">
        <f>CHOOSE(CONTROL!$C$42, 124.9569, 124.9569)*CHOOSE(CONTROL!$C$21, $C$9, 100%, $E$9)</f>
        <v>124.9569</v>
      </c>
      <c r="G990" s="14">
        <f>CHOOSE(CONTROL!$C$42, 124.9735, 124.9735)*CHOOSE(CONTROL!$C$21, $C$9, 100%, $E$9)</f>
        <v>124.9735</v>
      </c>
      <c r="H990" s="14">
        <f>CHOOSE(CONTROL!$C$42, 125.2035, 125.2035) * CHOOSE(CONTROL!$C$21, $C$9, 100%, $E$9)</f>
        <v>125.20350000000001</v>
      </c>
      <c r="I990" s="14">
        <f>CHOOSE(CONTROL!$C$42, 125.3698, 125.3698)* CHOOSE(CONTROL!$C$21, $C$9, 100%, $E$9)</f>
        <v>125.3698</v>
      </c>
      <c r="J990" s="14">
        <f>CHOOSE(CONTROL!$C$42, 124.9499, 124.9499)* CHOOSE(CONTROL!$C$21, $C$9, 100%, $E$9)</f>
        <v>124.9499</v>
      </c>
      <c r="K990" s="53">
        <f>CHOOSE(CONTROL!$C$42, 125.3659, 125.3659) * CHOOSE(CONTROL!$C$21, $C$9, 100%, $E$9)</f>
        <v>125.3659</v>
      </c>
      <c r="L990" s="14">
        <f>CHOOSE(CONTROL!$C$42, 125.7905, 125.7905) * CHOOSE(CONTROL!$C$21, $C$9, 100%, $E$9)</f>
        <v>125.79049999999999</v>
      </c>
      <c r="M990" s="14">
        <f>CHOOSE(CONTROL!$C$42, 122.3975, 122.3975) * CHOOSE(CONTROL!$C$21, $C$9, 100%, $E$9)</f>
        <v>122.39749999999999</v>
      </c>
      <c r="N990" s="14">
        <f>CHOOSE(CONTROL!$C$42, 122.4137, 122.4137) * CHOOSE(CONTROL!$C$21, $C$9, 100%, $E$9)</f>
        <v>122.41370000000001</v>
      </c>
      <c r="O990" s="14">
        <f>CHOOSE(CONTROL!$C$42, 122.6458, 122.6458) * CHOOSE(CONTROL!$C$21, $C$9, 100%, $E$9)</f>
        <v>122.64579999999999</v>
      </c>
      <c r="P990" s="14">
        <f>CHOOSE(CONTROL!$C$42, 122.801, 122.801) * CHOOSE(CONTROL!$C$21, $C$9, 100%, $E$9)</f>
        <v>122.801</v>
      </c>
      <c r="Q990" s="14">
        <f>CHOOSE(CONTROL!$C$42, 123.2405, 123.2405) * CHOOSE(CONTROL!$C$21, $C$9, 100%, $E$9)</f>
        <v>123.2405</v>
      </c>
      <c r="R990" s="14">
        <f>CHOOSE(CONTROL!$C$42, 124.1356, 124.1356) * CHOOSE(CONTROL!$C$21, $C$9, 100%, $E$9)</f>
        <v>124.1356</v>
      </c>
      <c r="S990" s="14">
        <f>CHOOSE(CONTROL!$C$42, 120.0734, 120.0734) * CHOOSE(CONTROL!$C$21, $C$9, 100%, $E$9)</f>
        <v>120.07340000000001</v>
      </c>
      <c r="T9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7">
        <f>(1000*CHOOSE(CONTROL!$C$42, 695, 695)*CHOOSE(CONTROL!$C$42, 0.5599, 0.5599)*CHOOSE(CONTROL!$C$42, 30, 30))/1000000</f>
        <v>11.673914999999997</v>
      </c>
      <c r="V990" s="57">
        <f>(1000*CHOOSE(CONTROL!$C$42, 500, 500)*CHOOSE(CONTROL!$C$42, 0.275, 0.275)*CHOOSE(CONTROL!$C$42, 30, 30))/1000000</f>
        <v>4.125</v>
      </c>
      <c r="W990" s="57">
        <f>(1000*CHOOSE(CONTROL!$C$42, 0.1146, 0.1146)*CHOOSE(CONTROL!$C$42, 121.5, 121.5)*CHOOSE(CONTROL!$C$42, 30, 30))/1000000</f>
        <v>0.417717</v>
      </c>
      <c r="X990" s="57">
        <f>(30*0.1790888*245000/1000000)+(30*0.2374*100000/1000000)</f>
        <v>2.0285026799999999</v>
      </c>
      <c r="Y990" s="57"/>
      <c r="Z990" s="14"/>
      <c r="AA990" s="56"/>
      <c r="AB990" s="50">
        <f>(B990*194.205+C990*267.466+D990*133.845+E990*53.484+F990*40+G990*185+H990*0+I990*100+J990*300)/(194.205+267.466+133.845+53.484+0+40+185+100+300)</f>
        <v>125.03126632857145</v>
      </c>
      <c r="AC990" s="45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122.56902877697843</v>
      </c>
    </row>
    <row r="991" spans="1:29" ht="15.75" x14ac:dyDescent="0.25">
      <c r="A991" s="32">
        <v>71071</v>
      </c>
      <c r="B991" s="14">
        <f>CHOOSE(CONTROL!$C$42, 122.5731, 122.5731) * CHOOSE(CONTROL!$C$21, $C$9, 100%, $E$9)</f>
        <v>122.5731</v>
      </c>
      <c r="C991" s="14">
        <f>CHOOSE(CONTROL!$C$42, 122.5811, 122.5811) * CHOOSE(CONTROL!$C$21, $C$9, 100%, $E$9)</f>
        <v>122.58110000000001</v>
      </c>
      <c r="D991" s="14">
        <f>CHOOSE(CONTROL!$C$42, 122.7861, 122.7861) * CHOOSE(CONTROL!$C$21, $C$9, 100%, $E$9)</f>
        <v>122.7861</v>
      </c>
      <c r="E991" s="14">
        <f>CHOOSE(CONTROL!$C$42, 122.8175, 122.8175) * CHOOSE(CONTROL!$C$21, $C$9, 100%, $E$9)</f>
        <v>122.8175</v>
      </c>
      <c r="F991" s="14">
        <f>CHOOSE(CONTROL!$C$42, 122.5601, 122.5601)*CHOOSE(CONTROL!$C$21, $C$9, 100%, $E$9)</f>
        <v>122.56010000000001</v>
      </c>
      <c r="G991" s="14">
        <f>CHOOSE(CONTROL!$C$42, 122.5767, 122.5767)*CHOOSE(CONTROL!$C$21, $C$9, 100%, $E$9)</f>
        <v>122.5767</v>
      </c>
      <c r="H991" s="14">
        <f>CHOOSE(CONTROL!$C$42, 122.8062, 122.8062) * CHOOSE(CONTROL!$C$21, $C$9, 100%, $E$9)</f>
        <v>122.8062</v>
      </c>
      <c r="I991" s="14">
        <f>CHOOSE(CONTROL!$C$42, 122.965, 122.965)* CHOOSE(CONTROL!$C$21, $C$9, 100%, $E$9)</f>
        <v>122.965</v>
      </c>
      <c r="J991" s="14">
        <f>CHOOSE(CONTROL!$C$42, 122.5531, 122.5531)* CHOOSE(CONTROL!$C$21, $C$9, 100%, $E$9)</f>
        <v>122.5531</v>
      </c>
      <c r="K991" s="53">
        <f>CHOOSE(CONTROL!$C$42, 122.9611, 122.9611) * CHOOSE(CONTROL!$C$21, $C$9, 100%, $E$9)</f>
        <v>122.9611</v>
      </c>
      <c r="L991" s="14">
        <f>CHOOSE(CONTROL!$C$42, 123.3932, 123.3932) * CHOOSE(CONTROL!$C$21, $C$9, 100%, $E$9)</f>
        <v>123.39319999999999</v>
      </c>
      <c r="M991" s="14">
        <f>CHOOSE(CONTROL!$C$42, 120.0497, 120.0497) * CHOOSE(CONTROL!$C$21, $C$9, 100%, $E$9)</f>
        <v>120.0497</v>
      </c>
      <c r="N991" s="14">
        <f>CHOOSE(CONTROL!$C$42, 120.066, 120.066) * CHOOSE(CONTROL!$C$21, $C$9, 100%, $E$9)</f>
        <v>120.066</v>
      </c>
      <c r="O991" s="14">
        <f>CHOOSE(CONTROL!$C$42, 120.2977, 120.2977) * CHOOSE(CONTROL!$C$21, $C$9, 100%, $E$9)</f>
        <v>120.29770000000001</v>
      </c>
      <c r="P991" s="14">
        <f>CHOOSE(CONTROL!$C$42, 120.4456, 120.4456) * CHOOSE(CONTROL!$C$21, $C$9, 100%, $E$9)</f>
        <v>120.4456</v>
      </c>
      <c r="Q991" s="14">
        <f>CHOOSE(CONTROL!$C$42, 120.8924, 120.8924) * CHOOSE(CONTROL!$C$21, $C$9, 100%, $E$9)</f>
        <v>120.89239999999999</v>
      </c>
      <c r="R991" s="14">
        <f>CHOOSE(CONTROL!$C$42, 121.7816, 121.7816) * CHOOSE(CONTROL!$C$21, $C$9, 100%, $E$9)</f>
        <v>121.7816</v>
      </c>
      <c r="S991" s="14">
        <f>CHOOSE(CONTROL!$C$42, 117.7698, 117.7698) * CHOOSE(CONTROL!$C$21, $C$9, 100%, $E$9)</f>
        <v>117.7698</v>
      </c>
      <c r="T9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7">
        <f>(1000*CHOOSE(CONTROL!$C$42, 695, 695)*CHOOSE(CONTROL!$C$42, 0.5599, 0.5599)*CHOOSE(CONTROL!$C$42, 31, 31))/1000000</f>
        <v>12.063045499999998</v>
      </c>
      <c r="V991" s="57">
        <f>(1000*CHOOSE(CONTROL!$C$42, 500, 500)*CHOOSE(CONTROL!$C$42, 0.275, 0.275)*CHOOSE(CONTROL!$C$42, 31, 31))/1000000</f>
        <v>4.2625000000000002</v>
      </c>
      <c r="W991" s="57">
        <f>(1000*CHOOSE(CONTROL!$C$42, 0.1146, 0.1146)*CHOOSE(CONTROL!$C$42, 121.5, 121.5)*CHOOSE(CONTROL!$C$42, 31, 31))/1000000</f>
        <v>0.43164089999999994</v>
      </c>
      <c r="X991" s="57">
        <f>(31*0.1790888*245000/1000000)+(31*0.2374*100000/1000000)</f>
        <v>2.0961194359999999</v>
      </c>
      <c r="Y991" s="57"/>
      <c r="Z991" s="14"/>
      <c r="AA991" s="56"/>
      <c r="AB991" s="50">
        <f>(B991*194.205+C991*267.466+D991*133.845+E991*53.484+F991*40+G991*185+H991*0+I991*100+J991*300)/(194.205+267.466+133.845+53.484+0+40+185+100+300)</f>
        <v>122.6335836755102</v>
      </c>
      <c r="AC991" s="45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120.22000503597123</v>
      </c>
    </row>
    <row r="992" spans="1:29" ht="15.75" x14ac:dyDescent="0.25">
      <c r="A992" s="32">
        <v>71102</v>
      </c>
      <c r="B992" s="14">
        <f>CHOOSE(CONTROL!$C$42, 116.5191, 116.5191) * CHOOSE(CONTROL!$C$21, $C$9, 100%, $E$9)</f>
        <v>116.51909999999999</v>
      </c>
      <c r="C992" s="14">
        <f>CHOOSE(CONTROL!$C$42, 116.5272, 116.5272) * CHOOSE(CONTROL!$C$21, $C$9, 100%, $E$9)</f>
        <v>116.52719999999999</v>
      </c>
      <c r="D992" s="14">
        <f>CHOOSE(CONTROL!$C$42, 116.7321, 116.7321) * CHOOSE(CONTROL!$C$21, $C$9, 100%, $E$9)</f>
        <v>116.7321</v>
      </c>
      <c r="E992" s="14">
        <f>CHOOSE(CONTROL!$C$42, 116.7636, 116.7636) * CHOOSE(CONTROL!$C$21, $C$9, 100%, $E$9)</f>
        <v>116.7636</v>
      </c>
      <c r="F992" s="14">
        <f>CHOOSE(CONTROL!$C$42, 116.5063, 116.5063)*CHOOSE(CONTROL!$C$21, $C$9, 100%, $E$9)</f>
        <v>116.5063</v>
      </c>
      <c r="G992" s="14">
        <f>CHOOSE(CONTROL!$C$42, 116.523, 116.523)*CHOOSE(CONTROL!$C$21, $C$9, 100%, $E$9)</f>
        <v>116.523</v>
      </c>
      <c r="H992" s="14">
        <f>CHOOSE(CONTROL!$C$42, 116.7522, 116.7522) * CHOOSE(CONTROL!$C$21, $C$9, 100%, $E$9)</f>
        <v>116.7522</v>
      </c>
      <c r="I992" s="14">
        <f>CHOOSE(CONTROL!$C$42, 116.8921, 116.8921)* CHOOSE(CONTROL!$C$21, $C$9, 100%, $E$9)</f>
        <v>116.8921</v>
      </c>
      <c r="J992" s="14">
        <f>CHOOSE(CONTROL!$C$42, 116.4993, 116.4993)* CHOOSE(CONTROL!$C$21, $C$9, 100%, $E$9)</f>
        <v>116.49930000000001</v>
      </c>
      <c r="K992" s="53">
        <f>CHOOSE(CONTROL!$C$42, 116.8882, 116.8882) * CHOOSE(CONTROL!$C$21, $C$9, 100%, $E$9)</f>
        <v>116.8882</v>
      </c>
      <c r="L992" s="14">
        <f>CHOOSE(CONTROL!$C$42, 117.3392, 117.3392) * CHOOSE(CONTROL!$C$21, $C$9, 100%, $E$9)</f>
        <v>117.33920000000001</v>
      </c>
      <c r="M992" s="14">
        <f>CHOOSE(CONTROL!$C$42, 114.12, 114.12) * CHOOSE(CONTROL!$C$21, $C$9, 100%, $E$9)</f>
        <v>114.12</v>
      </c>
      <c r="N992" s="14">
        <f>CHOOSE(CONTROL!$C$42, 114.1364, 114.1364) * CHOOSE(CONTROL!$C$21, $C$9, 100%, $E$9)</f>
        <v>114.13639999999999</v>
      </c>
      <c r="O992" s="14">
        <f>CHOOSE(CONTROL!$C$42, 114.3678, 114.3678) * CHOOSE(CONTROL!$C$21, $C$9, 100%, $E$9)</f>
        <v>114.3678</v>
      </c>
      <c r="P992" s="14">
        <f>CHOOSE(CONTROL!$C$42, 114.4975, 114.4975) * CHOOSE(CONTROL!$C$21, $C$9, 100%, $E$9)</f>
        <v>114.4975</v>
      </c>
      <c r="Q992" s="14">
        <f>CHOOSE(CONTROL!$C$42, 114.9625, 114.9625) * CHOOSE(CONTROL!$C$21, $C$9, 100%, $E$9)</f>
        <v>114.96250000000001</v>
      </c>
      <c r="R992" s="14">
        <f>CHOOSE(CONTROL!$C$42, 115.8369, 115.8369) * CHOOSE(CONTROL!$C$21, $C$9, 100%, $E$9)</f>
        <v>115.8369</v>
      </c>
      <c r="S992" s="14">
        <f>CHOOSE(CONTROL!$C$42, 111.9526, 111.9526) * CHOOSE(CONTROL!$C$21, $C$9, 100%, $E$9)</f>
        <v>111.9526</v>
      </c>
      <c r="T9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7">
        <f>(1000*CHOOSE(CONTROL!$C$42, 695, 695)*CHOOSE(CONTROL!$C$42, 0.5599, 0.5599)*CHOOSE(CONTROL!$C$42, 31, 31))/1000000</f>
        <v>12.063045499999998</v>
      </c>
      <c r="V992" s="57">
        <f>(1000*CHOOSE(CONTROL!$C$42, 500, 500)*CHOOSE(CONTROL!$C$42, 0.275, 0.275)*CHOOSE(CONTROL!$C$42, 31, 31))/1000000</f>
        <v>4.2625000000000002</v>
      </c>
      <c r="W992" s="57">
        <f>(1000*CHOOSE(CONTROL!$C$42, 0.1146, 0.1146)*CHOOSE(CONTROL!$C$42, 121.5, 121.5)*CHOOSE(CONTROL!$C$42, 31, 31))/1000000</f>
        <v>0.43164089999999994</v>
      </c>
      <c r="X992" s="57">
        <f>(31*0.1790888*245000/1000000)+(31*0.2374*100000/1000000)</f>
        <v>2.0961194359999999</v>
      </c>
      <c r="Y992" s="57"/>
      <c r="Z992" s="14"/>
      <c r="AA992" s="56"/>
      <c r="AB992" s="50">
        <f>(B992*194.205+C992*267.466+D992*133.845+E992*53.484+F992*40+G992*185+H992*0+I992*100+J992*300)/(194.205+267.466+133.845+53.484+0+40+185+100+300)</f>
        <v>116.57822229010988</v>
      </c>
      <c r="AC992" s="45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114.28757266187053</v>
      </c>
    </row>
    <row r="993" spans="1:29" ht="15.75" x14ac:dyDescent="0.25">
      <c r="A993" s="32">
        <v>71132</v>
      </c>
      <c r="B993" s="14">
        <f>CHOOSE(CONTROL!$C$42, 109.122, 109.122) * CHOOSE(CONTROL!$C$21, $C$9, 100%, $E$9)</f>
        <v>109.122</v>
      </c>
      <c r="C993" s="14">
        <f>CHOOSE(CONTROL!$C$42, 109.13, 109.13) * CHOOSE(CONTROL!$C$21, $C$9, 100%, $E$9)</f>
        <v>109.13</v>
      </c>
      <c r="D993" s="14">
        <f>CHOOSE(CONTROL!$C$42, 109.335, 109.335) * CHOOSE(CONTROL!$C$21, $C$9, 100%, $E$9)</f>
        <v>109.33499999999999</v>
      </c>
      <c r="E993" s="14">
        <f>CHOOSE(CONTROL!$C$42, 109.3664, 109.3664) * CHOOSE(CONTROL!$C$21, $C$9, 100%, $E$9)</f>
        <v>109.3664</v>
      </c>
      <c r="F993" s="14">
        <f>CHOOSE(CONTROL!$C$42, 109.1091, 109.1091)*CHOOSE(CONTROL!$C$21, $C$9, 100%, $E$9)</f>
        <v>109.1091</v>
      </c>
      <c r="G993" s="14">
        <f>CHOOSE(CONTROL!$C$42, 109.1258, 109.1258)*CHOOSE(CONTROL!$C$21, $C$9, 100%, $E$9)</f>
        <v>109.1258</v>
      </c>
      <c r="H993" s="14">
        <f>CHOOSE(CONTROL!$C$42, 109.3551, 109.3551) * CHOOSE(CONTROL!$C$21, $C$9, 100%, $E$9)</f>
        <v>109.35509999999999</v>
      </c>
      <c r="I993" s="14">
        <f>CHOOSE(CONTROL!$C$42, 109.4718, 109.4718)* CHOOSE(CONTROL!$C$21, $C$9, 100%, $E$9)</f>
        <v>109.4718</v>
      </c>
      <c r="J993" s="14">
        <f>CHOOSE(CONTROL!$C$42, 109.1021, 109.1021)* CHOOSE(CONTROL!$C$21, $C$9, 100%, $E$9)</f>
        <v>109.10209999999999</v>
      </c>
      <c r="K993" s="53">
        <f>CHOOSE(CONTROL!$C$42, 109.4679, 109.4679) * CHOOSE(CONTROL!$C$21, $C$9, 100%, $E$9)</f>
        <v>109.4679</v>
      </c>
      <c r="L993" s="14">
        <f>CHOOSE(CONTROL!$C$42, 109.9421, 109.9421) * CHOOSE(CONTROL!$C$21, $C$9, 100%, $E$9)</f>
        <v>109.9421</v>
      </c>
      <c r="M993" s="14">
        <f>CHOOSE(CONTROL!$C$42, 106.8744, 106.8744) * CHOOSE(CONTROL!$C$21, $C$9, 100%, $E$9)</f>
        <v>106.87439999999999</v>
      </c>
      <c r="N993" s="14">
        <f>CHOOSE(CONTROL!$C$42, 106.8907, 106.8907) * CHOOSE(CONTROL!$C$21, $C$9, 100%, $E$9)</f>
        <v>106.8907</v>
      </c>
      <c r="O993" s="14">
        <f>CHOOSE(CONTROL!$C$42, 107.1221, 107.1221) * CHOOSE(CONTROL!$C$21, $C$9, 100%, $E$9)</f>
        <v>107.1221</v>
      </c>
      <c r="P993" s="14">
        <f>CHOOSE(CONTROL!$C$42, 107.2297, 107.2297) * CHOOSE(CONTROL!$C$21, $C$9, 100%, $E$9)</f>
        <v>107.22969999999999</v>
      </c>
      <c r="Q993" s="14">
        <f>CHOOSE(CONTROL!$C$42, 107.7168, 107.7168) * CHOOSE(CONTROL!$C$21, $C$9, 100%, $E$9)</f>
        <v>107.71680000000001</v>
      </c>
      <c r="R993" s="14">
        <f>CHOOSE(CONTROL!$C$42, 108.5731, 108.5731) * CHOOSE(CONTROL!$C$21, $C$9, 100%, $E$9)</f>
        <v>108.5731</v>
      </c>
      <c r="S993" s="14">
        <f>CHOOSE(CONTROL!$C$42, 104.8447, 104.8447) * CHOOSE(CONTROL!$C$21, $C$9, 100%, $E$9)</f>
        <v>104.8447</v>
      </c>
      <c r="T9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7">
        <f>(1000*CHOOSE(CONTROL!$C$42, 695, 695)*CHOOSE(CONTROL!$C$42, 0.5599, 0.5599)*CHOOSE(CONTROL!$C$42, 30, 30))/1000000</f>
        <v>11.673914999999997</v>
      </c>
      <c r="V993" s="57">
        <f>(1000*CHOOSE(CONTROL!$C$42, 500, 500)*CHOOSE(CONTROL!$C$42, 0.275, 0.275)*CHOOSE(CONTROL!$C$42, 30, 30))/1000000</f>
        <v>4.125</v>
      </c>
      <c r="W993" s="57">
        <f>(1000*CHOOSE(CONTROL!$C$42, 0.1146, 0.1146)*CHOOSE(CONTROL!$C$42, 121.5, 121.5)*CHOOSE(CONTROL!$C$42, 30, 30))/1000000</f>
        <v>0.417717</v>
      </c>
      <c r="X993" s="57">
        <f>(30*0.1790888*245000/1000000)+(30*0.2374*100000/1000000)</f>
        <v>2.0285026799999999</v>
      </c>
      <c r="Y993" s="57"/>
      <c r="Z993" s="14"/>
      <c r="AA993" s="56"/>
      <c r="AB993" s="50">
        <f>(B993*194.205+C993*267.466+D993*133.845+E993*53.484+F993*40+G993*185+H993*0+I993*100+J993*300)/(194.205+267.466+133.845+53.484+0+40+185+100+300)</f>
        <v>109.17923485290424</v>
      </c>
      <c r="AC993" s="45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107.0387273381295</v>
      </c>
    </row>
    <row r="994" spans="1:29" ht="15.75" x14ac:dyDescent="0.25">
      <c r="A994" s="32">
        <v>71163</v>
      </c>
      <c r="B994" s="14">
        <f>CHOOSE(CONTROL!$C$42, 106.9048, 106.9048) * CHOOSE(CONTROL!$C$21, $C$9, 100%, $E$9)</f>
        <v>106.90479999999999</v>
      </c>
      <c r="C994" s="14">
        <f>CHOOSE(CONTROL!$C$42, 106.9101, 106.9101) * CHOOSE(CONTROL!$C$21, $C$9, 100%, $E$9)</f>
        <v>106.9101</v>
      </c>
      <c r="D994" s="14">
        <f>CHOOSE(CONTROL!$C$42, 107.1201, 107.1201) * CHOOSE(CONTROL!$C$21, $C$9, 100%, $E$9)</f>
        <v>107.12009999999999</v>
      </c>
      <c r="E994" s="14">
        <f>CHOOSE(CONTROL!$C$42, 107.1492, 107.1492) * CHOOSE(CONTROL!$C$21, $C$9, 100%, $E$9)</f>
        <v>107.14919999999999</v>
      </c>
      <c r="F994" s="14">
        <f>CHOOSE(CONTROL!$C$42, 106.894, 106.894)*CHOOSE(CONTROL!$C$21, $C$9, 100%, $E$9)</f>
        <v>106.89400000000001</v>
      </c>
      <c r="G994" s="14">
        <f>CHOOSE(CONTROL!$C$42, 106.9104, 106.9104)*CHOOSE(CONTROL!$C$21, $C$9, 100%, $E$9)</f>
        <v>106.9104</v>
      </c>
      <c r="H994" s="14">
        <f>CHOOSE(CONTROL!$C$42, 107.1397, 107.1397) * CHOOSE(CONTROL!$C$21, $C$9, 100%, $E$9)</f>
        <v>107.1397</v>
      </c>
      <c r="I994" s="14">
        <f>CHOOSE(CONTROL!$C$42, 107.2494, 107.2494)* CHOOSE(CONTROL!$C$21, $C$9, 100%, $E$9)</f>
        <v>107.24939999999999</v>
      </c>
      <c r="J994" s="14">
        <f>CHOOSE(CONTROL!$C$42, 106.887, 106.887)* CHOOSE(CONTROL!$C$21, $C$9, 100%, $E$9)</f>
        <v>106.887</v>
      </c>
      <c r="K994" s="53">
        <f>CHOOSE(CONTROL!$C$42, 107.2456, 107.2456) * CHOOSE(CONTROL!$C$21, $C$9, 100%, $E$9)</f>
        <v>107.2456</v>
      </c>
      <c r="L994" s="14">
        <f>CHOOSE(CONTROL!$C$42, 107.7267, 107.7267) * CHOOSE(CONTROL!$C$21, $C$9, 100%, $E$9)</f>
        <v>107.72669999999999</v>
      </c>
      <c r="M994" s="14">
        <f>CHOOSE(CONTROL!$C$42, 104.7047, 104.7047) * CHOOSE(CONTROL!$C$21, $C$9, 100%, $E$9)</f>
        <v>104.7047</v>
      </c>
      <c r="N994" s="14">
        <f>CHOOSE(CONTROL!$C$42, 104.7207, 104.7207) * CHOOSE(CONTROL!$C$21, $C$9, 100%, $E$9)</f>
        <v>104.72069999999999</v>
      </c>
      <c r="O994" s="14">
        <f>CHOOSE(CONTROL!$C$42, 104.9522, 104.9522) * CHOOSE(CONTROL!$C$21, $C$9, 100%, $E$9)</f>
        <v>104.9522</v>
      </c>
      <c r="P994" s="14">
        <f>CHOOSE(CONTROL!$C$42, 105.053, 105.053) * CHOOSE(CONTROL!$C$21, $C$9, 100%, $E$9)</f>
        <v>105.053</v>
      </c>
      <c r="Q994" s="14">
        <f>CHOOSE(CONTROL!$C$42, 105.5469, 105.5469) * CHOOSE(CONTROL!$C$21, $C$9, 100%, $E$9)</f>
        <v>105.54689999999999</v>
      </c>
      <c r="R994" s="14">
        <f>CHOOSE(CONTROL!$C$42, 106.3977, 106.3977) * CHOOSE(CONTROL!$C$21, $C$9, 100%, $E$9)</f>
        <v>106.3977</v>
      </c>
      <c r="S994" s="14">
        <f>CHOOSE(CONTROL!$C$42, 102.7159, 102.7159) * CHOOSE(CONTROL!$C$21, $C$9, 100%, $E$9)</f>
        <v>102.7159</v>
      </c>
      <c r="T9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7">
        <f>(1000*CHOOSE(CONTROL!$C$42, 695, 695)*CHOOSE(CONTROL!$C$42, 0.5599, 0.5599)*CHOOSE(CONTROL!$C$42, 31, 31))/1000000</f>
        <v>12.063045499999998</v>
      </c>
      <c r="V994" s="57">
        <f>(1000*CHOOSE(CONTROL!$C$42, 500, 500)*CHOOSE(CONTROL!$C$42, 0.275, 0.275)*CHOOSE(CONTROL!$C$42, 31, 31))/1000000</f>
        <v>4.2625000000000002</v>
      </c>
      <c r="W994" s="57">
        <f>(1000*CHOOSE(CONTROL!$C$42, 0.1146, 0.1146)*CHOOSE(CONTROL!$C$42, 121.5, 121.5)*CHOOSE(CONTROL!$C$42, 31, 31))/1000000</f>
        <v>0.43164089999999994</v>
      </c>
      <c r="X994" s="57">
        <f>(31*0.1790888*245000/1000000)+(31*0.2374*100000/1000000)</f>
        <v>2.0961194359999999</v>
      </c>
      <c r="Y994" s="57"/>
      <c r="Z994" s="14"/>
      <c r="AA994" s="56"/>
      <c r="AB994" s="50">
        <f>(B994*131.881+C994*277.167+D994*79.08+E994*125.872+F994*40+G994*185+H994*0+I994*100+J994*300)/(131.881+277.167+79.08+125.872+0+40+185+100+300)</f>
        <v>106.9685465907183</v>
      </c>
      <c r="AC994" s="45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104.86791223021582</v>
      </c>
    </row>
    <row r="995" spans="1:29" ht="15.75" x14ac:dyDescent="0.25">
      <c r="A995" s="32">
        <v>71193</v>
      </c>
      <c r="B995" s="14">
        <f>CHOOSE(CONTROL!$C$42, 109.7205, 109.7205) * CHOOSE(CONTROL!$C$21, $C$9, 100%, $E$9)</f>
        <v>109.7205</v>
      </c>
      <c r="C995" s="14">
        <f>CHOOSE(CONTROL!$C$42, 109.7256, 109.7256) * CHOOSE(CONTROL!$C$21, $C$9, 100%, $E$9)</f>
        <v>109.7256</v>
      </c>
      <c r="D995" s="14">
        <f>CHOOSE(CONTROL!$C$42, 109.7894, 109.7894) * CHOOSE(CONTROL!$C$21, $C$9, 100%, $E$9)</f>
        <v>109.7894</v>
      </c>
      <c r="E995" s="14">
        <f>CHOOSE(CONTROL!$C$42, 109.8235, 109.8235) * CHOOSE(CONTROL!$C$21, $C$9, 100%, $E$9)</f>
        <v>109.8235</v>
      </c>
      <c r="F995" s="14">
        <f>CHOOSE(CONTROL!$C$42, 109.7228, 109.7228)*CHOOSE(CONTROL!$C$21, $C$9, 100%, $E$9)</f>
        <v>109.72280000000001</v>
      </c>
      <c r="G995" s="14">
        <f>CHOOSE(CONTROL!$C$42, 109.7394, 109.7394)*CHOOSE(CONTROL!$C$21, $C$9, 100%, $E$9)</f>
        <v>109.7394</v>
      </c>
      <c r="H995" s="14">
        <f>CHOOSE(CONTROL!$C$42, 109.8127, 109.8127) * CHOOSE(CONTROL!$C$21, $C$9, 100%, $E$9)</f>
        <v>109.81270000000001</v>
      </c>
      <c r="I995" s="14">
        <f>CHOOSE(CONTROL!$C$42, 110.078, 110.078)* CHOOSE(CONTROL!$C$21, $C$9, 100%, $E$9)</f>
        <v>110.078</v>
      </c>
      <c r="J995" s="14">
        <f>CHOOSE(CONTROL!$C$42, 109.7158, 109.7158)* CHOOSE(CONTROL!$C$21, $C$9, 100%, $E$9)</f>
        <v>109.7158</v>
      </c>
      <c r="K995" s="53">
        <f>CHOOSE(CONTROL!$C$42, 110.0742, 110.0742) * CHOOSE(CONTROL!$C$21, $C$9, 100%, $E$9)</f>
        <v>110.0742</v>
      </c>
      <c r="L995" s="14">
        <f>CHOOSE(CONTROL!$C$42, 110.3997, 110.3997) * CHOOSE(CONTROL!$C$21, $C$9, 100%, $E$9)</f>
        <v>110.3997</v>
      </c>
      <c r="M995" s="14">
        <f>CHOOSE(CONTROL!$C$42, 107.4755, 107.4755) * CHOOSE(CONTROL!$C$21, $C$9, 100%, $E$9)</f>
        <v>107.4755</v>
      </c>
      <c r="N995" s="14">
        <f>CHOOSE(CONTROL!$C$42, 107.4918, 107.4918) * CHOOSE(CONTROL!$C$21, $C$9, 100%, $E$9)</f>
        <v>107.4918</v>
      </c>
      <c r="O995" s="14">
        <f>CHOOSE(CONTROL!$C$42, 107.5704, 107.5704) * CHOOSE(CONTROL!$C$21, $C$9, 100%, $E$9)</f>
        <v>107.57040000000001</v>
      </c>
      <c r="P995" s="14">
        <f>CHOOSE(CONTROL!$C$42, 107.8235, 107.8235) * CHOOSE(CONTROL!$C$21, $C$9, 100%, $E$9)</f>
        <v>107.8235</v>
      </c>
      <c r="Q995" s="14">
        <f>CHOOSE(CONTROL!$C$42, 108.1651, 108.1651) * CHOOSE(CONTROL!$C$21, $C$9, 100%, $E$9)</f>
        <v>108.1651</v>
      </c>
      <c r="R995" s="14">
        <f>CHOOSE(CONTROL!$C$42, 109.0225, 109.0225) * CHOOSE(CONTROL!$C$21, $C$9, 100%, $E$9)</f>
        <v>109.02249999999999</v>
      </c>
      <c r="S995" s="14">
        <f>CHOOSE(CONTROL!$C$42, 105.4219, 105.4219) * CHOOSE(CONTROL!$C$21, $C$9, 100%, $E$9)</f>
        <v>105.42189999999999</v>
      </c>
      <c r="T9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7">
        <f>(1000*CHOOSE(CONTROL!$C$42, 695, 695)*CHOOSE(CONTROL!$C$42, 0.5599, 0.5599)*CHOOSE(CONTROL!$C$42, 30, 30))/1000000</f>
        <v>11.673914999999997</v>
      </c>
      <c r="V995" s="57">
        <f>(1000*CHOOSE(CONTROL!$C$42, 500, 500)*CHOOSE(CONTROL!$C$42, 0.275, 0.275)*CHOOSE(CONTROL!$C$42, 30, 30))/1000000</f>
        <v>4.125</v>
      </c>
      <c r="W995" s="57">
        <f>(1000*CHOOSE(CONTROL!$C$42, 0.1146, 0.1146)*CHOOSE(CONTROL!$C$42, 121.5, 121.5)*CHOOSE(CONTROL!$C$42, 30, 30))/1000000</f>
        <v>0.417717</v>
      </c>
      <c r="X995" s="57">
        <f>(30*0.1790888*100000/1000000)+(30*0.2374*100000/1000000)</f>
        <v>1.2494664</v>
      </c>
      <c r="Y995" s="57"/>
      <c r="Z995" s="14"/>
      <c r="AA995" s="56"/>
      <c r="AB995" s="50">
        <f>(B995*122.58+C995*297.941+D995*89.177+E995*40.302+F995*40+G995*160+H995*0+I995*100+J995*300)/(122.58+297.941+89.177+40.302+0+40+160+100+300)</f>
        <v>109.76334426121741</v>
      </c>
      <c r="AC995" s="45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107.56952230215828</v>
      </c>
    </row>
    <row r="996" spans="1:29" ht="15.75" x14ac:dyDescent="0.25">
      <c r="A996" s="32">
        <v>71224</v>
      </c>
      <c r="B996" s="14">
        <f>CHOOSE(CONTROL!$C$42, 117.2006, 117.2006) * CHOOSE(CONTROL!$C$21, $C$9, 100%, $E$9)</f>
        <v>117.20059999999999</v>
      </c>
      <c r="C996" s="14">
        <f>CHOOSE(CONTROL!$C$42, 117.2056, 117.2056) * CHOOSE(CONTROL!$C$21, $C$9, 100%, $E$9)</f>
        <v>117.2056</v>
      </c>
      <c r="D996" s="14">
        <f>CHOOSE(CONTROL!$C$42, 117.2694, 117.2694) * CHOOSE(CONTROL!$C$21, $C$9, 100%, $E$9)</f>
        <v>117.2694</v>
      </c>
      <c r="E996" s="14">
        <f>CHOOSE(CONTROL!$C$42, 117.3035, 117.3035) * CHOOSE(CONTROL!$C$21, $C$9, 100%, $E$9)</f>
        <v>117.3035</v>
      </c>
      <c r="F996" s="14">
        <f>CHOOSE(CONTROL!$C$42, 117.2049, 117.2049)*CHOOSE(CONTROL!$C$21, $C$9, 100%, $E$9)</f>
        <v>117.20489999999999</v>
      </c>
      <c r="G996" s="14">
        <f>CHOOSE(CONTROL!$C$42, 117.2221, 117.2221)*CHOOSE(CONTROL!$C$21, $C$9, 100%, $E$9)</f>
        <v>117.2221</v>
      </c>
      <c r="H996" s="14">
        <f>CHOOSE(CONTROL!$C$42, 117.2927, 117.2927) * CHOOSE(CONTROL!$C$21, $C$9, 100%, $E$9)</f>
        <v>117.2927</v>
      </c>
      <c r="I996" s="14">
        <f>CHOOSE(CONTROL!$C$42, 117.5815, 117.5815)* CHOOSE(CONTROL!$C$21, $C$9, 100%, $E$9)</f>
        <v>117.58150000000001</v>
      </c>
      <c r="J996" s="14">
        <f>CHOOSE(CONTROL!$C$42, 117.1979, 117.1979)* CHOOSE(CONTROL!$C$21, $C$9, 100%, $E$9)</f>
        <v>117.1979</v>
      </c>
      <c r="K996" s="53">
        <f>CHOOSE(CONTROL!$C$42, 117.5776, 117.5776) * CHOOSE(CONTROL!$C$21, $C$9, 100%, $E$9)</f>
        <v>117.5776</v>
      </c>
      <c r="L996" s="14">
        <f>CHOOSE(CONTROL!$C$42, 117.8797, 117.8797) * CHOOSE(CONTROL!$C$21, $C$9, 100%, $E$9)</f>
        <v>117.8797</v>
      </c>
      <c r="M996" s="14">
        <f>CHOOSE(CONTROL!$C$42, 114.8043, 114.8043) * CHOOSE(CONTROL!$C$21, $C$9, 100%, $E$9)</f>
        <v>114.8043</v>
      </c>
      <c r="N996" s="14">
        <f>CHOOSE(CONTROL!$C$42, 114.8211, 114.8211) * CHOOSE(CONTROL!$C$21, $C$9, 100%, $E$9)</f>
        <v>114.8211</v>
      </c>
      <c r="O996" s="14">
        <f>CHOOSE(CONTROL!$C$42, 114.8972, 114.8972) * CHOOSE(CONTROL!$C$21, $C$9, 100%, $E$9)</f>
        <v>114.8972</v>
      </c>
      <c r="P996" s="14">
        <f>CHOOSE(CONTROL!$C$42, 115.1727, 115.1727) * CHOOSE(CONTROL!$C$21, $C$9, 100%, $E$9)</f>
        <v>115.17270000000001</v>
      </c>
      <c r="Q996" s="14">
        <f>CHOOSE(CONTROL!$C$42, 115.4919, 115.4919) * CHOOSE(CONTROL!$C$21, $C$9, 100%, $E$9)</f>
        <v>115.4919</v>
      </c>
      <c r="R996" s="14">
        <f>CHOOSE(CONTROL!$C$42, 116.3676, 116.3676) * CHOOSE(CONTROL!$C$21, $C$9, 100%, $E$9)</f>
        <v>116.3676</v>
      </c>
      <c r="S996" s="14">
        <f>CHOOSE(CONTROL!$C$42, 112.6095, 112.6095) * CHOOSE(CONTROL!$C$21, $C$9, 100%, $E$9)</f>
        <v>112.6095</v>
      </c>
      <c r="T9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7">
        <f>(1000*CHOOSE(CONTROL!$C$42, 695, 695)*CHOOSE(CONTROL!$C$42, 0.5599, 0.5599)*CHOOSE(CONTROL!$C$42, 31, 31))/1000000</f>
        <v>12.063045499999998</v>
      </c>
      <c r="V996" s="57">
        <f>(1000*CHOOSE(CONTROL!$C$42, 500, 500)*CHOOSE(CONTROL!$C$42, 0.275, 0.275)*CHOOSE(CONTROL!$C$42, 31, 31))/1000000</f>
        <v>4.2625000000000002</v>
      </c>
      <c r="W996" s="57">
        <f>(1000*CHOOSE(CONTROL!$C$42, 0.1146, 0.1146)*CHOOSE(CONTROL!$C$42, 121.5, 121.5)*CHOOSE(CONTROL!$C$42, 31, 31))/1000000</f>
        <v>0.43164089999999994</v>
      </c>
      <c r="X996" s="57">
        <f>(31*0.1790888*100000/1000000)+(31*0.2374*100000/1000000)</f>
        <v>1.2911152800000001</v>
      </c>
      <c r="Y996" s="57"/>
      <c r="Z996" s="14"/>
      <c r="AA996" s="56"/>
      <c r="AB996" s="50">
        <f>(B996*122.58+C996*297.941+D996*89.177+E996*40.302+F996*40+G996*160+H996*0+I996*100+J996*300)/(122.58+297.941+89.177+40.302+0+40+160+100+300)</f>
        <v>117.24639492034781</v>
      </c>
      <c r="AC996" s="45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114.90037985611512</v>
      </c>
    </row>
    <row r="997" spans="1:29" ht="15.75" x14ac:dyDescent="0.25">
      <c r="A997" s="32">
        <v>71255</v>
      </c>
      <c r="B997" s="14">
        <f>CHOOSE(CONTROL!$C$42, 126.8002, 126.8002) * CHOOSE(CONTROL!$C$21, $C$9, 100%, $E$9)</f>
        <v>126.8002</v>
      </c>
      <c r="C997" s="14">
        <f>CHOOSE(CONTROL!$C$42, 126.8052, 126.8052) * CHOOSE(CONTROL!$C$21, $C$9, 100%, $E$9)</f>
        <v>126.8052</v>
      </c>
      <c r="D997" s="14">
        <f>CHOOSE(CONTROL!$C$42, 126.8638, 126.8638) * CHOOSE(CONTROL!$C$21, $C$9, 100%, $E$9)</f>
        <v>126.8638</v>
      </c>
      <c r="E997" s="14">
        <f>CHOOSE(CONTROL!$C$42, 126.8979, 126.8979) * CHOOSE(CONTROL!$C$21, $C$9, 100%, $E$9)</f>
        <v>126.89790000000001</v>
      </c>
      <c r="F997" s="14">
        <f>CHOOSE(CONTROL!$C$42, 126.7993, 126.7993)*CHOOSE(CONTROL!$C$21, $C$9, 100%, $E$9)</f>
        <v>126.7993</v>
      </c>
      <c r="G997" s="14">
        <f>CHOOSE(CONTROL!$C$42, 126.8156, 126.8156)*CHOOSE(CONTROL!$C$21, $C$9, 100%, $E$9)</f>
        <v>126.8156</v>
      </c>
      <c r="H997" s="14">
        <f>CHOOSE(CONTROL!$C$42, 126.8871, 126.8871) * CHOOSE(CONTROL!$C$21, $C$9, 100%, $E$9)</f>
        <v>126.8871</v>
      </c>
      <c r="I997" s="14">
        <f>CHOOSE(CONTROL!$C$42, 127.2075, 127.2075)* CHOOSE(CONTROL!$C$21, $C$9, 100%, $E$9)</f>
        <v>127.2075</v>
      </c>
      <c r="J997" s="14">
        <f>CHOOSE(CONTROL!$C$42, 126.7923, 126.7923)* CHOOSE(CONTROL!$C$21, $C$9, 100%, $E$9)</f>
        <v>126.7923</v>
      </c>
      <c r="K997" s="53">
        <f>CHOOSE(CONTROL!$C$42, 127.2036, 127.2036) * CHOOSE(CONTROL!$C$21, $C$9, 100%, $E$9)</f>
        <v>127.20359999999999</v>
      </c>
      <c r="L997" s="14">
        <f>CHOOSE(CONTROL!$C$42, 127.4741, 127.4741) * CHOOSE(CONTROL!$C$21, $C$9, 100%, $E$9)</f>
        <v>127.47410000000001</v>
      </c>
      <c r="M997" s="14">
        <f>CHOOSE(CONTROL!$C$42, 124.2021, 124.2021) * CHOOSE(CONTROL!$C$21, $C$9, 100%, $E$9)</f>
        <v>124.2021</v>
      </c>
      <c r="N997" s="14">
        <f>CHOOSE(CONTROL!$C$42, 124.2181, 124.2181) * CHOOSE(CONTROL!$C$21, $C$9, 100%, $E$9)</f>
        <v>124.21810000000001</v>
      </c>
      <c r="O997" s="14">
        <f>CHOOSE(CONTROL!$C$42, 124.295, 124.295) * CHOOSE(CONTROL!$C$21, $C$9, 100%, $E$9)</f>
        <v>124.295</v>
      </c>
      <c r="P997" s="14">
        <f>CHOOSE(CONTROL!$C$42, 124.6009, 124.6009) * CHOOSE(CONTROL!$C$21, $C$9, 100%, $E$9)</f>
        <v>124.6009</v>
      </c>
      <c r="Q997" s="14">
        <f>CHOOSE(CONTROL!$C$42, 124.8897, 124.8897) * CHOOSE(CONTROL!$C$21, $C$9, 100%, $E$9)</f>
        <v>124.8897</v>
      </c>
      <c r="R997" s="14">
        <f>CHOOSE(CONTROL!$C$42, 125.7889, 125.7889) * CHOOSE(CONTROL!$C$21, $C$9, 100%, $E$9)</f>
        <v>125.7889</v>
      </c>
      <c r="S997" s="14">
        <f>CHOOSE(CONTROL!$C$42, 121.8337, 121.8337) * CHOOSE(CONTROL!$C$21, $C$9, 100%, $E$9)</f>
        <v>121.83369999999999</v>
      </c>
      <c r="T9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7">
        <f>(1000*CHOOSE(CONTROL!$C$42, 695, 695)*CHOOSE(CONTROL!$C$42, 0.5599, 0.5599)*CHOOSE(CONTROL!$C$42, 31, 31))/1000000</f>
        <v>12.063045499999998</v>
      </c>
      <c r="V997" s="57">
        <f>(1000*CHOOSE(CONTROL!$C$42, 500, 500)*CHOOSE(CONTROL!$C$42, 0.275, 0.275)*CHOOSE(CONTROL!$C$42, 31, 31))/1000000</f>
        <v>4.2625000000000002</v>
      </c>
      <c r="W997" s="57">
        <f>(1000*CHOOSE(CONTROL!$C$42, 0.1146, 0.1146)*CHOOSE(CONTROL!$C$42, 121.5, 121.5)*CHOOSE(CONTROL!$C$42, 31, 31))/1000000</f>
        <v>0.43164089999999994</v>
      </c>
      <c r="X997" s="57">
        <f>(31*0.1790888*100000/1000000)+(31*0.2374*100000/1000000)</f>
        <v>1.2911152800000001</v>
      </c>
      <c r="Y997" s="57"/>
      <c r="Z997" s="14"/>
      <c r="AA997" s="56"/>
      <c r="AB997" s="50">
        <f>(B997*122.58+C997*297.941+D997*89.177+E997*40.302+F997*40+G997*160+H997*0+I997*100+J997*300)/(122.58+297.941+89.177+40.302+0+40+160+100+300)</f>
        <v>126.84531901530436</v>
      </c>
      <c r="AC997" s="45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124.30250791366907</v>
      </c>
    </row>
    <row r="998" spans="1:29" ht="15.75" x14ac:dyDescent="0.25">
      <c r="A998" s="32">
        <v>71283</v>
      </c>
      <c r="B998" s="14">
        <f>CHOOSE(CONTROL!$C$42, 129.0572, 129.0572) * CHOOSE(CONTROL!$C$21, $C$9, 100%, $E$9)</f>
        <v>129.05719999999999</v>
      </c>
      <c r="C998" s="14">
        <f>CHOOSE(CONTROL!$C$42, 129.0623, 129.0623) * CHOOSE(CONTROL!$C$21, $C$9, 100%, $E$9)</f>
        <v>129.06229999999999</v>
      </c>
      <c r="D998" s="14">
        <f>CHOOSE(CONTROL!$C$42, 129.1209, 129.1209) * CHOOSE(CONTROL!$C$21, $C$9, 100%, $E$9)</f>
        <v>129.12090000000001</v>
      </c>
      <c r="E998" s="14">
        <f>CHOOSE(CONTROL!$C$42, 129.155, 129.155) * CHOOSE(CONTROL!$C$21, $C$9, 100%, $E$9)</f>
        <v>129.155</v>
      </c>
      <c r="F998" s="14">
        <f>CHOOSE(CONTROL!$C$42, 129.0563, 129.0563)*CHOOSE(CONTROL!$C$21, $C$9, 100%, $E$9)</f>
        <v>129.05629999999999</v>
      </c>
      <c r="G998" s="14">
        <f>CHOOSE(CONTROL!$C$42, 129.0727, 129.0727)*CHOOSE(CONTROL!$C$21, $C$9, 100%, $E$9)</f>
        <v>129.0727</v>
      </c>
      <c r="H998" s="14">
        <f>CHOOSE(CONTROL!$C$42, 129.1442, 129.1442) * CHOOSE(CONTROL!$C$21, $C$9, 100%, $E$9)</f>
        <v>129.14420000000001</v>
      </c>
      <c r="I998" s="14">
        <f>CHOOSE(CONTROL!$C$42, 129.4716, 129.4716)* CHOOSE(CONTROL!$C$21, $C$9, 100%, $E$9)</f>
        <v>129.4716</v>
      </c>
      <c r="J998" s="14">
        <f>CHOOSE(CONTROL!$C$42, 129.0493, 129.0493)* CHOOSE(CONTROL!$C$21, $C$9, 100%, $E$9)</f>
        <v>129.04929999999999</v>
      </c>
      <c r="K998" s="53">
        <f>CHOOSE(CONTROL!$C$42, 129.4677, 129.4677) * CHOOSE(CONTROL!$C$21, $C$9, 100%, $E$9)</f>
        <v>129.46770000000001</v>
      </c>
      <c r="L998" s="14">
        <f>CHOOSE(CONTROL!$C$42, 129.7312, 129.7312) * CHOOSE(CONTROL!$C$21, $C$9, 100%, $E$9)</f>
        <v>129.7312</v>
      </c>
      <c r="M998" s="14">
        <f>CHOOSE(CONTROL!$C$42, 126.4129, 126.4129) * CHOOSE(CONTROL!$C$21, $C$9, 100%, $E$9)</f>
        <v>126.41289999999999</v>
      </c>
      <c r="N998" s="14">
        <f>CHOOSE(CONTROL!$C$42, 126.4289, 126.4289) * CHOOSE(CONTROL!$C$21, $C$9, 100%, $E$9)</f>
        <v>126.4289</v>
      </c>
      <c r="O998" s="14">
        <f>CHOOSE(CONTROL!$C$42, 126.5058, 126.5058) * CHOOSE(CONTROL!$C$21, $C$9, 100%, $E$9)</f>
        <v>126.50579999999999</v>
      </c>
      <c r="P998" s="14">
        <f>CHOOSE(CONTROL!$C$42, 126.8185, 126.8185) * CHOOSE(CONTROL!$C$21, $C$9, 100%, $E$9)</f>
        <v>126.8185</v>
      </c>
      <c r="Q998" s="14">
        <f>CHOOSE(CONTROL!$C$42, 127.1005, 127.1005) * CHOOSE(CONTROL!$C$21, $C$9, 100%, $E$9)</f>
        <v>127.1005</v>
      </c>
      <c r="R998" s="14">
        <f>CHOOSE(CONTROL!$C$42, 128.0053, 128.0053) * CHOOSE(CONTROL!$C$21, $C$9, 100%, $E$9)</f>
        <v>128.00530000000001</v>
      </c>
      <c r="S998" s="14">
        <f>CHOOSE(CONTROL!$C$42, 124.0025, 124.0025) * CHOOSE(CONTROL!$C$21, $C$9, 100%, $E$9)</f>
        <v>124.0025</v>
      </c>
      <c r="T9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7">
        <f>(1000*CHOOSE(CONTROL!$C$42, 695, 695)*CHOOSE(CONTROL!$C$42, 0.5599, 0.5599)*CHOOSE(CONTROL!$C$42, 28, 28))/1000000</f>
        <v>10.895653999999999</v>
      </c>
      <c r="V998" s="57">
        <f>(1000*CHOOSE(CONTROL!$C$42, 500, 500)*CHOOSE(CONTROL!$C$42, 0.275, 0.275)*CHOOSE(CONTROL!$C$42, 28, 28))/1000000</f>
        <v>3.85</v>
      </c>
      <c r="W998" s="57">
        <f>(1000*CHOOSE(CONTROL!$C$42, 0.1146, 0.1146)*CHOOSE(CONTROL!$C$42, 121.5, 121.5)*CHOOSE(CONTROL!$C$42, 28, 28))/1000000</f>
        <v>0.38986920000000003</v>
      </c>
      <c r="X998" s="57">
        <f>(28*0.1790888*100000/1000000)+(28*0.2374*100000/1000000)</f>
        <v>1.16616864</v>
      </c>
      <c r="Y998" s="57"/>
      <c r="Z998" s="14"/>
      <c r="AA998" s="56"/>
      <c r="AB998" s="50">
        <f>(B998*122.58+C998*297.941+D998*89.177+E998*40.302+F998*40+G998*160+H998*0+I998*100+J998*300)/(122.58+297.941+89.177+40.302+0+40+160+100+300)</f>
        <v>129.10298748660867</v>
      </c>
      <c r="AC998" s="45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126.51428633093526</v>
      </c>
    </row>
    <row r="999" spans="1:29" ht="15.75" x14ac:dyDescent="0.25">
      <c r="A999" s="32">
        <v>71314</v>
      </c>
      <c r="B999" s="14">
        <f>CHOOSE(CONTROL!$C$42, 125.3935, 125.3935) * CHOOSE(CONTROL!$C$21, $C$9, 100%, $E$9)</f>
        <v>125.3935</v>
      </c>
      <c r="C999" s="14">
        <f>CHOOSE(CONTROL!$C$42, 125.3985, 125.3985) * CHOOSE(CONTROL!$C$21, $C$9, 100%, $E$9)</f>
        <v>125.3985</v>
      </c>
      <c r="D999" s="14">
        <f>CHOOSE(CONTROL!$C$42, 125.4571, 125.4571) * CHOOSE(CONTROL!$C$21, $C$9, 100%, $E$9)</f>
        <v>125.4571</v>
      </c>
      <c r="E999" s="14">
        <f>CHOOSE(CONTROL!$C$42, 125.4912, 125.4912) * CHOOSE(CONTROL!$C$21, $C$9, 100%, $E$9)</f>
        <v>125.49120000000001</v>
      </c>
      <c r="F999" s="14">
        <f>CHOOSE(CONTROL!$C$42, 125.392, 125.392)*CHOOSE(CONTROL!$C$21, $C$9, 100%, $E$9)</f>
        <v>125.392</v>
      </c>
      <c r="G999" s="14">
        <f>CHOOSE(CONTROL!$C$42, 125.4083, 125.4083)*CHOOSE(CONTROL!$C$21, $C$9, 100%, $E$9)</f>
        <v>125.4083</v>
      </c>
      <c r="H999" s="14">
        <f>CHOOSE(CONTROL!$C$42, 125.4804, 125.4804) * CHOOSE(CONTROL!$C$21, $C$9, 100%, $E$9)</f>
        <v>125.4804</v>
      </c>
      <c r="I999" s="14">
        <f>CHOOSE(CONTROL!$C$42, 125.7964, 125.7964)* CHOOSE(CONTROL!$C$21, $C$9, 100%, $E$9)</f>
        <v>125.79640000000001</v>
      </c>
      <c r="J999" s="14">
        <f>CHOOSE(CONTROL!$C$42, 125.385, 125.385)* CHOOSE(CONTROL!$C$21, $C$9, 100%, $E$9)</f>
        <v>125.38500000000001</v>
      </c>
      <c r="K999" s="53">
        <f>CHOOSE(CONTROL!$C$42, 125.7925, 125.7925) * CHOOSE(CONTROL!$C$21, $C$9, 100%, $E$9)</f>
        <v>125.7925</v>
      </c>
      <c r="L999" s="14">
        <f>CHOOSE(CONTROL!$C$42, 126.0674, 126.0674) * CHOOSE(CONTROL!$C$21, $C$9, 100%, $E$9)</f>
        <v>126.06740000000001</v>
      </c>
      <c r="M999" s="14">
        <f>CHOOSE(CONTROL!$C$42, 122.8237, 122.8237) * CHOOSE(CONTROL!$C$21, $C$9, 100%, $E$9)</f>
        <v>122.8237</v>
      </c>
      <c r="N999" s="14">
        <f>CHOOSE(CONTROL!$C$42, 122.8396, 122.8396) * CHOOSE(CONTROL!$C$21, $C$9, 100%, $E$9)</f>
        <v>122.8396</v>
      </c>
      <c r="O999" s="14">
        <f>CHOOSE(CONTROL!$C$42, 122.9171, 122.9171) * CHOOSE(CONTROL!$C$21, $C$9, 100%, $E$9)</f>
        <v>122.9171</v>
      </c>
      <c r="P999" s="14">
        <f>CHOOSE(CONTROL!$C$42, 123.2188, 123.2188) * CHOOSE(CONTROL!$C$21, $C$9, 100%, $E$9)</f>
        <v>123.2188</v>
      </c>
      <c r="Q999" s="14">
        <f>CHOOSE(CONTROL!$C$42, 123.5118, 123.5118) * CHOOSE(CONTROL!$C$21, $C$9, 100%, $E$9)</f>
        <v>123.51179999999999</v>
      </c>
      <c r="R999" s="14">
        <f>CHOOSE(CONTROL!$C$42, 124.4076, 124.4076) * CHOOSE(CONTROL!$C$21, $C$9, 100%, $E$9)</f>
        <v>124.4076</v>
      </c>
      <c r="S999" s="14">
        <f>CHOOSE(CONTROL!$C$42, 120.482, 120.482) * CHOOSE(CONTROL!$C$21, $C$9, 100%, $E$9)</f>
        <v>120.482</v>
      </c>
      <c r="T9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7">
        <f>(1000*CHOOSE(CONTROL!$C$42, 695, 695)*CHOOSE(CONTROL!$C$42, 0.5599, 0.5599)*CHOOSE(CONTROL!$C$42, 31, 31))/1000000</f>
        <v>12.063045499999998</v>
      </c>
      <c r="V999" s="57">
        <f>(1000*CHOOSE(CONTROL!$C$42, 500, 500)*CHOOSE(CONTROL!$C$42, 0.275, 0.275)*CHOOSE(CONTROL!$C$42, 31, 31))/1000000</f>
        <v>4.2625000000000002</v>
      </c>
      <c r="W999" s="57">
        <f>(1000*CHOOSE(CONTROL!$C$42, 0.1146, 0.1146)*CHOOSE(CONTROL!$C$42, 121.5, 121.5)*CHOOSE(CONTROL!$C$42, 31, 31))/1000000</f>
        <v>0.43164089999999994</v>
      </c>
      <c r="X999" s="57">
        <f>(31*0.1790888*100000/1000000)+(31*0.2374*100000/1000000)</f>
        <v>1.2911152800000001</v>
      </c>
      <c r="Y999" s="57"/>
      <c r="Z999" s="14"/>
      <c r="AA999" s="56"/>
      <c r="AB999" s="50">
        <f>(B999*122.58+C999*297.941+D999*89.177+E999*40.302+F999*40+G999*160+H999*0+I999*100+J999*300)/(122.58+297.941+89.177+40.302+0+40+160+100+300)</f>
        <v>125.43797553704349</v>
      </c>
      <c r="AC999" s="45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122.92379640287771</v>
      </c>
    </row>
    <row r="1000" spans="1:29" ht="15.75" x14ac:dyDescent="0.25">
      <c r="A1000" s="32">
        <v>71344</v>
      </c>
      <c r="B1000" s="14">
        <f>CHOOSE(CONTROL!$C$42, 125.0192, 125.0192) * CHOOSE(CONTROL!$C$21, $C$9, 100%, $E$9)</f>
        <v>125.0192</v>
      </c>
      <c r="C1000" s="14">
        <f>CHOOSE(CONTROL!$C$42, 125.0237, 125.0237) * CHOOSE(CONTROL!$C$21, $C$9, 100%, $E$9)</f>
        <v>125.02370000000001</v>
      </c>
      <c r="D1000" s="14">
        <f>CHOOSE(CONTROL!$C$42, 125.2318, 125.2318) * CHOOSE(CONTROL!$C$21, $C$9, 100%, $E$9)</f>
        <v>125.23180000000001</v>
      </c>
      <c r="E1000" s="14">
        <f>CHOOSE(CONTROL!$C$42, 125.2639, 125.2639) * CHOOSE(CONTROL!$C$21, $C$9, 100%, $E$9)</f>
        <v>125.26390000000001</v>
      </c>
      <c r="F1000" s="14">
        <f>CHOOSE(CONTROL!$C$42, 125.0065, 125.0065)*CHOOSE(CONTROL!$C$21, $C$9, 100%, $E$9)</f>
        <v>125.0065</v>
      </c>
      <c r="G1000" s="14">
        <f>CHOOSE(CONTROL!$C$42, 125.0225, 125.0225)*CHOOSE(CONTROL!$C$21, $C$9, 100%, $E$9)</f>
        <v>125.02249999999999</v>
      </c>
      <c r="H1000" s="14">
        <f>CHOOSE(CONTROL!$C$42, 125.2537, 125.2537) * CHOOSE(CONTROL!$C$21, $C$9, 100%, $E$9)</f>
        <v>125.25369999999999</v>
      </c>
      <c r="I1000" s="14">
        <f>CHOOSE(CONTROL!$C$42, 125.4202, 125.4202)* CHOOSE(CONTROL!$C$21, $C$9, 100%, $E$9)</f>
        <v>125.42019999999999</v>
      </c>
      <c r="J1000" s="14">
        <f>CHOOSE(CONTROL!$C$42, 124.9995, 124.9995)* CHOOSE(CONTROL!$C$21, $C$9, 100%, $E$9)</f>
        <v>124.9995</v>
      </c>
      <c r="K1000" s="53">
        <f>CHOOSE(CONTROL!$C$42, 125.4163, 125.4163) * CHOOSE(CONTROL!$C$21, $C$9, 100%, $E$9)</f>
        <v>125.41630000000001</v>
      </c>
      <c r="L1000" s="14">
        <f>CHOOSE(CONTROL!$C$42, 125.8407, 125.8407) * CHOOSE(CONTROL!$C$21, $C$9, 100%, $E$9)</f>
        <v>125.8407</v>
      </c>
      <c r="M1000" s="14">
        <f>CHOOSE(CONTROL!$C$42, 122.4461, 122.4461) * CHOOSE(CONTROL!$C$21, $C$9, 100%, $E$9)</f>
        <v>122.4461</v>
      </c>
      <c r="N1000" s="14">
        <f>CHOOSE(CONTROL!$C$42, 122.4617, 122.4617) * CHOOSE(CONTROL!$C$21, $C$9, 100%, $E$9)</f>
        <v>122.46169999999999</v>
      </c>
      <c r="O1000" s="14">
        <f>CHOOSE(CONTROL!$C$42, 122.695, 122.695) * CHOOSE(CONTROL!$C$21, $C$9, 100%, $E$9)</f>
        <v>122.69499999999999</v>
      </c>
      <c r="P1000" s="14">
        <f>CHOOSE(CONTROL!$C$42, 122.8503, 122.8503) * CHOOSE(CONTROL!$C$21, $C$9, 100%, $E$9)</f>
        <v>122.8503</v>
      </c>
      <c r="Q1000" s="14">
        <f>CHOOSE(CONTROL!$C$42, 123.2897, 123.2897) * CHOOSE(CONTROL!$C$21, $C$9, 100%, $E$9)</f>
        <v>123.2897</v>
      </c>
      <c r="R1000" s="14">
        <f>CHOOSE(CONTROL!$C$42, 124.185, 124.185) * CHOOSE(CONTROL!$C$21, $C$9, 100%, $E$9)</f>
        <v>124.185</v>
      </c>
      <c r="S1000" s="14">
        <f>CHOOSE(CONTROL!$C$42, 120.1217, 120.1217) * CHOOSE(CONTROL!$C$21, $C$9, 100%, $E$9)</f>
        <v>120.1217</v>
      </c>
      <c r="T10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7">
        <f>(1000*CHOOSE(CONTROL!$C$42, 695, 695)*CHOOSE(CONTROL!$C$42, 0.5599, 0.5599)*CHOOSE(CONTROL!$C$42, 30, 30))/1000000</f>
        <v>11.673914999999997</v>
      </c>
      <c r="V1000" s="57">
        <f>(1000*CHOOSE(CONTROL!$C$42, 500, 500)*CHOOSE(CONTROL!$C$42, 0.275, 0.275)*CHOOSE(CONTROL!$C$42, 30, 30))/1000000</f>
        <v>4.125</v>
      </c>
      <c r="W1000" s="57">
        <f>(1000*CHOOSE(CONTROL!$C$42, 0.1146, 0.1146)*CHOOSE(CONTROL!$C$42, 121.5, 121.5)*CHOOSE(CONTROL!$C$42, 30, 30))/1000000</f>
        <v>0.417717</v>
      </c>
      <c r="X1000" s="57">
        <f>(30*0.1790888*245000/1000000)+(30*0.2374*100000/1000000)</f>
        <v>2.0285026799999999</v>
      </c>
      <c r="Y1000" s="57"/>
      <c r="Z1000" s="14"/>
      <c r="AA1000" s="56"/>
      <c r="AB1000" s="50">
        <f>(B1000*141.293+C1000*267.993+D1000*115.016+E1000*89.698+F1000*40+G1000*185+H1000*0+I1000*100+J1000*300)/(141.293+267.993+115.016+89.698+0+40+185+100+300)</f>
        <v>125.08530167126713</v>
      </c>
      <c r="AC1000" s="45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122.61796690647481</v>
      </c>
    </row>
    <row r="1001" spans="1:29" ht="15.75" x14ac:dyDescent="0.25">
      <c r="A1001" s="32">
        <v>71375</v>
      </c>
      <c r="B1001" s="14">
        <f>CHOOSE(CONTROL!$C$42, 126.1239, 126.1239) * CHOOSE(CONTROL!$C$21, $C$9, 100%, $E$9)</f>
        <v>126.12390000000001</v>
      </c>
      <c r="C1001" s="14">
        <f>CHOOSE(CONTROL!$C$42, 126.132, 126.132) * CHOOSE(CONTROL!$C$21, $C$9, 100%, $E$9)</f>
        <v>126.13200000000001</v>
      </c>
      <c r="D1001" s="14">
        <f>CHOOSE(CONTROL!$C$42, 126.3369, 126.3369) * CHOOSE(CONTROL!$C$21, $C$9, 100%, $E$9)</f>
        <v>126.3369</v>
      </c>
      <c r="E1001" s="14">
        <f>CHOOSE(CONTROL!$C$42, 126.3684, 126.3684) * CHOOSE(CONTROL!$C$21, $C$9, 100%, $E$9)</f>
        <v>126.36839999999999</v>
      </c>
      <c r="F1001" s="14">
        <f>CHOOSE(CONTROL!$C$42, 126.1101, 126.1101)*CHOOSE(CONTROL!$C$21, $C$9, 100%, $E$9)</f>
        <v>126.1101</v>
      </c>
      <c r="G1001" s="14">
        <f>CHOOSE(CONTROL!$C$42, 126.1265, 126.1265)*CHOOSE(CONTROL!$C$21, $C$9, 100%, $E$9)</f>
        <v>126.12649999999999</v>
      </c>
      <c r="H1001" s="14">
        <f>CHOOSE(CONTROL!$C$42, 126.357, 126.357) * CHOOSE(CONTROL!$C$21, $C$9, 100%, $E$9)</f>
        <v>126.357</v>
      </c>
      <c r="I1001" s="14">
        <f>CHOOSE(CONTROL!$C$42, 126.527, 126.527)* CHOOSE(CONTROL!$C$21, $C$9, 100%, $E$9)</f>
        <v>126.527</v>
      </c>
      <c r="J1001" s="14">
        <f>CHOOSE(CONTROL!$C$42, 126.1031, 126.1031)* CHOOSE(CONTROL!$C$21, $C$9, 100%, $E$9)</f>
        <v>126.1031</v>
      </c>
      <c r="K1001" s="53">
        <f>CHOOSE(CONTROL!$C$42, 126.5231, 126.5231) * CHOOSE(CONTROL!$C$21, $C$9, 100%, $E$9)</f>
        <v>126.5231</v>
      </c>
      <c r="L1001" s="14">
        <f>CHOOSE(CONTROL!$C$42, 126.944, 126.944) * CHOOSE(CONTROL!$C$21, $C$9, 100%, $E$9)</f>
        <v>126.944</v>
      </c>
      <c r="M1001" s="14">
        <f>CHOOSE(CONTROL!$C$42, 123.5271, 123.5271) * CHOOSE(CONTROL!$C$21, $C$9, 100%, $E$9)</f>
        <v>123.5271</v>
      </c>
      <c r="N1001" s="14">
        <f>CHOOSE(CONTROL!$C$42, 123.5431, 123.5431) * CHOOSE(CONTROL!$C$21, $C$9, 100%, $E$9)</f>
        <v>123.5431</v>
      </c>
      <c r="O1001" s="14">
        <f>CHOOSE(CONTROL!$C$42, 123.7758, 123.7758) * CHOOSE(CONTROL!$C$21, $C$9, 100%, $E$9)</f>
        <v>123.7758</v>
      </c>
      <c r="P1001" s="14">
        <f>CHOOSE(CONTROL!$C$42, 123.9344, 123.9344) * CHOOSE(CONTROL!$C$21, $C$9, 100%, $E$9)</f>
        <v>123.9344</v>
      </c>
      <c r="Q1001" s="14">
        <f>CHOOSE(CONTROL!$C$42, 124.3705, 124.3705) * CHOOSE(CONTROL!$C$21, $C$9, 100%, $E$9)</f>
        <v>124.37050000000001</v>
      </c>
      <c r="R1001" s="14">
        <f>CHOOSE(CONTROL!$C$42, 125.2684, 125.2684) * CHOOSE(CONTROL!$C$21, $C$9, 100%, $E$9)</f>
        <v>125.2684</v>
      </c>
      <c r="S1001" s="14">
        <f>CHOOSE(CONTROL!$C$42, 121.1819, 121.1819) * CHOOSE(CONTROL!$C$21, $C$9, 100%, $E$9)</f>
        <v>121.1819</v>
      </c>
      <c r="T10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7">
        <f>(1000*CHOOSE(CONTROL!$C$42, 695, 695)*CHOOSE(CONTROL!$C$42, 0.5599, 0.5599)*CHOOSE(CONTROL!$C$42, 31, 31))/1000000</f>
        <v>12.063045499999998</v>
      </c>
      <c r="V1001" s="57">
        <f>(1000*CHOOSE(CONTROL!$C$42, 500, 500)*CHOOSE(CONTROL!$C$42, 0.275, 0.275)*CHOOSE(CONTROL!$C$42, 31, 31))/1000000</f>
        <v>4.2625000000000002</v>
      </c>
      <c r="W1001" s="57">
        <f>(1000*CHOOSE(CONTROL!$C$42, 0.1146, 0.1146)*CHOOSE(CONTROL!$C$42, 121.5, 121.5)*CHOOSE(CONTROL!$C$42, 31, 31))/1000000</f>
        <v>0.43164089999999994</v>
      </c>
      <c r="X1001" s="57">
        <f>(31*0.1790888*245000/1000000)+(31*0.2374*100000/1000000)</f>
        <v>2.0961194359999999</v>
      </c>
      <c r="Y1001" s="57"/>
      <c r="Z1001" s="14"/>
      <c r="AA1001" s="56"/>
      <c r="AB1001" s="50">
        <f>(B1001*194.205+C1001*267.466+D1001*133.845+E1001*53.484+F1001*40+G1001*185+H1001*0+I1001*100+J1001*300)/(194.205+267.466+133.845+53.484+0+40+185+100+300)</f>
        <v>126.18492927598115</v>
      </c>
      <c r="AC1001" s="45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123.69934532374103</v>
      </c>
    </row>
    <row r="1002" spans="1:29" ht="15.75" x14ac:dyDescent="0.25">
      <c r="A1002" s="32">
        <v>71405</v>
      </c>
      <c r="B1002" s="14">
        <f>CHOOSE(CONTROL!$C$42, 129.7013, 129.7013) * CHOOSE(CONTROL!$C$21, $C$9, 100%, $E$9)</f>
        <v>129.7013</v>
      </c>
      <c r="C1002" s="14">
        <f>CHOOSE(CONTROL!$C$42, 129.7093, 129.7093) * CHOOSE(CONTROL!$C$21, $C$9, 100%, $E$9)</f>
        <v>129.70930000000001</v>
      </c>
      <c r="D1002" s="14">
        <f>CHOOSE(CONTROL!$C$42, 129.9143, 129.9143) * CHOOSE(CONTROL!$C$21, $C$9, 100%, $E$9)</f>
        <v>129.9143</v>
      </c>
      <c r="E1002" s="14">
        <f>CHOOSE(CONTROL!$C$42, 129.9458, 129.9458) * CHOOSE(CONTROL!$C$21, $C$9, 100%, $E$9)</f>
        <v>129.94579999999999</v>
      </c>
      <c r="F1002" s="14">
        <f>CHOOSE(CONTROL!$C$42, 129.6879, 129.6879)*CHOOSE(CONTROL!$C$21, $C$9, 100%, $E$9)</f>
        <v>129.68790000000001</v>
      </c>
      <c r="G1002" s="14">
        <f>CHOOSE(CONTROL!$C$42, 129.7044, 129.7044)*CHOOSE(CONTROL!$C$21, $C$9, 100%, $E$9)</f>
        <v>129.70439999999999</v>
      </c>
      <c r="H1002" s="14">
        <f>CHOOSE(CONTROL!$C$42, 129.9344, 129.9344) * CHOOSE(CONTROL!$C$21, $C$9, 100%, $E$9)</f>
        <v>129.93440000000001</v>
      </c>
      <c r="I1002" s="14">
        <f>CHOOSE(CONTROL!$C$42, 130.1155, 130.1155)* CHOOSE(CONTROL!$C$21, $C$9, 100%, $E$9)</f>
        <v>130.1155</v>
      </c>
      <c r="J1002" s="14">
        <f>CHOOSE(CONTROL!$C$42, 129.6809, 129.6809)* CHOOSE(CONTROL!$C$21, $C$9, 100%, $E$9)</f>
        <v>129.68090000000001</v>
      </c>
      <c r="K1002" s="53">
        <f>CHOOSE(CONTROL!$C$42, 130.1117, 130.1117) * CHOOSE(CONTROL!$C$21, $C$9, 100%, $E$9)</f>
        <v>130.11170000000001</v>
      </c>
      <c r="L1002" s="14">
        <f>CHOOSE(CONTROL!$C$42, 130.5214, 130.5214) * CHOOSE(CONTROL!$C$21, $C$9, 100%, $E$9)</f>
        <v>130.5214</v>
      </c>
      <c r="M1002" s="14">
        <f>CHOOSE(CONTROL!$C$42, 127.0315, 127.0315) * CHOOSE(CONTROL!$C$21, $C$9, 100%, $E$9)</f>
        <v>127.03149999999999</v>
      </c>
      <c r="N1002" s="14">
        <f>CHOOSE(CONTROL!$C$42, 127.0476, 127.0476) * CHOOSE(CONTROL!$C$21, $C$9, 100%, $E$9)</f>
        <v>127.0476</v>
      </c>
      <c r="O1002" s="14">
        <f>CHOOSE(CONTROL!$C$42, 127.2798, 127.2798) * CHOOSE(CONTROL!$C$21, $C$9, 100%, $E$9)</f>
        <v>127.27979999999999</v>
      </c>
      <c r="P1002" s="14">
        <f>CHOOSE(CONTROL!$C$42, 127.4492, 127.4492) * CHOOSE(CONTROL!$C$21, $C$9, 100%, $E$9)</f>
        <v>127.4492</v>
      </c>
      <c r="Q1002" s="14">
        <f>CHOOSE(CONTROL!$C$42, 127.8745, 127.8745) * CHOOSE(CONTROL!$C$21, $C$9, 100%, $E$9)</f>
        <v>127.8745</v>
      </c>
      <c r="R1002" s="14">
        <f>CHOOSE(CONTROL!$C$42, 128.7812, 128.7812) * CHOOSE(CONTROL!$C$21, $C$9, 100%, $E$9)</f>
        <v>128.78120000000001</v>
      </c>
      <c r="S1002" s="14">
        <f>CHOOSE(CONTROL!$C$42, 124.6193, 124.6193) * CHOOSE(CONTROL!$C$21, $C$9, 100%, $E$9)</f>
        <v>124.6193</v>
      </c>
      <c r="T10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7">
        <f>(1000*CHOOSE(CONTROL!$C$42, 695, 695)*CHOOSE(CONTROL!$C$42, 0.5599, 0.5599)*CHOOSE(CONTROL!$C$42, 30, 30))/1000000</f>
        <v>11.673914999999997</v>
      </c>
      <c r="V1002" s="57">
        <f>(1000*CHOOSE(CONTROL!$C$42, 500, 500)*CHOOSE(CONTROL!$C$42, 0.275, 0.275)*CHOOSE(CONTROL!$C$42, 30, 30))/1000000</f>
        <v>4.125</v>
      </c>
      <c r="W1002" s="57">
        <f>(1000*CHOOSE(CONTROL!$C$42, 0.1146, 0.1146)*CHOOSE(CONTROL!$C$42, 121.5, 121.5)*CHOOSE(CONTROL!$C$42, 30, 30))/1000000</f>
        <v>0.417717</v>
      </c>
      <c r="X1002" s="57">
        <f>(30*0.1790888*245000/1000000)+(30*0.2374*100000/1000000)</f>
        <v>2.0285026799999999</v>
      </c>
      <c r="Y1002" s="57"/>
      <c r="Z1002" s="14"/>
      <c r="AA1002" s="56"/>
      <c r="AB1002" s="50">
        <f>(B1002*194.205+C1002*267.466+D1002*133.845+E1002*53.484+F1002*40+G1002*185+H1002*0+I1002*100+J1002*300)/(194.205+267.466+133.845+53.484+0+40+185+100+300)</f>
        <v>129.76335890973314</v>
      </c>
      <c r="AC1002" s="45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127.20506618705035</v>
      </c>
    </row>
    <row r="1003" spans="1:29" ht="15.75" x14ac:dyDescent="0.25">
      <c r="A1003" s="32">
        <v>71436</v>
      </c>
      <c r="B1003" s="14">
        <f>CHOOSE(CONTROL!$C$42, 127.2132, 127.2132) * CHOOSE(CONTROL!$C$21, $C$9, 100%, $E$9)</f>
        <v>127.2132</v>
      </c>
      <c r="C1003" s="14">
        <f>CHOOSE(CONTROL!$C$42, 127.2213, 127.2213) * CHOOSE(CONTROL!$C$21, $C$9, 100%, $E$9)</f>
        <v>127.2213</v>
      </c>
      <c r="D1003" s="14">
        <f>CHOOSE(CONTROL!$C$42, 127.4262, 127.4262) * CHOOSE(CONTROL!$C$21, $C$9, 100%, $E$9)</f>
        <v>127.42619999999999</v>
      </c>
      <c r="E1003" s="14">
        <f>CHOOSE(CONTROL!$C$42, 127.4577, 127.4577) * CHOOSE(CONTROL!$C$21, $C$9, 100%, $E$9)</f>
        <v>127.4577</v>
      </c>
      <c r="F1003" s="14">
        <f>CHOOSE(CONTROL!$C$42, 127.2002, 127.2002)*CHOOSE(CONTROL!$C$21, $C$9, 100%, $E$9)</f>
        <v>127.2002</v>
      </c>
      <c r="G1003" s="14">
        <f>CHOOSE(CONTROL!$C$42, 127.2168, 127.2168)*CHOOSE(CONTROL!$C$21, $C$9, 100%, $E$9)</f>
        <v>127.21680000000001</v>
      </c>
      <c r="H1003" s="14">
        <f>CHOOSE(CONTROL!$C$42, 127.4463, 127.4463) * CHOOSE(CONTROL!$C$21, $C$9, 100%, $E$9)</f>
        <v>127.44629999999999</v>
      </c>
      <c r="I1003" s="14">
        <f>CHOOSE(CONTROL!$C$42, 127.6197, 127.6197)* CHOOSE(CONTROL!$C$21, $C$9, 100%, $E$9)</f>
        <v>127.61969999999999</v>
      </c>
      <c r="J1003" s="14">
        <f>CHOOSE(CONTROL!$C$42, 127.1932, 127.1932)* CHOOSE(CONTROL!$C$21, $C$9, 100%, $E$9)</f>
        <v>127.1932</v>
      </c>
      <c r="K1003" s="53">
        <f>CHOOSE(CONTROL!$C$42, 127.6158, 127.6158) * CHOOSE(CONTROL!$C$21, $C$9, 100%, $E$9)</f>
        <v>127.61579999999999</v>
      </c>
      <c r="L1003" s="14">
        <f>CHOOSE(CONTROL!$C$42, 128.0333, 128.0333) * CHOOSE(CONTROL!$C$21, $C$9, 100%, $E$9)</f>
        <v>128.0333</v>
      </c>
      <c r="M1003" s="14">
        <f>CHOOSE(CONTROL!$C$42, 124.5948, 124.5948) * CHOOSE(CONTROL!$C$21, $C$9, 100%, $E$9)</f>
        <v>124.59480000000001</v>
      </c>
      <c r="N1003" s="14">
        <f>CHOOSE(CONTROL!$C$42, 124.6111, 124.6111) * CHOOSE(CONTROL!$C$21, $C$9, 100%, $E$9)</f>
        <v>124.61109999999999</v>
      </c>
      <c r="O1003" s="14">
        <f>CHOOSE(CONTROL!$C$42, 124.8427, 124.8427) * CHOOSE(CONTROL!$C$21, $C$9, 100%, $E$9)</f>
        <v>124.84269999999999</v>
      </c>
      <c r="P1003" s="14">
        <f>CHOOSE(CONTROL!$C$42, 125.0046, 125.0046) * CHOOSE(CONTROL!$C$21, $C$9, 100%, $E$9)</f>
        <v>125.0046</v>
      </c>
      <c r="Q1003" s="14">
        <f>CHOOSE(CONTROL!$C$42, 125.4374, 125.4374) * CHOOSE(CONTROL!$C$21, $C$9, 100%, $E$9)</f>
        <v>125.4374</v>
      </c>
      <c r="R1003" s="14">
        <f>CHOOSE(CONTROL!$C$42, 126.338, 126.338) * CHOOSE(CONTROL!$C$21, $C$9, 100%, $E$9)</f>
        <v>126.33799999999999</v>
      </c>
      <c r="S1003" s="14">
        <f>CHOOSE(CONTROL!$C$42, 122.2286, 122.2286) * CHOOSE(CONTROL!$C$21, $C$9, 100%, $E$9)</f>
        <v>122.2286</v>
      </c>
      <c r="T10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7">
        <f>(1000*CHOOSE(CONTROL!$C$42, 695, 695)*CHOOSE(CONTROL!$C$42, 0.5599, 0.5599)*CHOOSE(CONTROL!$C$42, 31, 31))/1000000</f>
        <v>12.063045499999998</v>
      </c>
      <c r="V1003" s="57">
        <f>(1000*CHOOSE(CONTROL!$C$42, 500, 500)*CHOOSE(CONTROL!$C$42, 0.275, 0.275)*CHOOSE(CONTROL!$C$42, 31, 31))/1000000</f>
        <v>4.2625000000000002</v>
      </c>
      <c r="W1003" s="57">
        <f>(1000*CHOOSE(CONTROL!$C$42, 0.1146, 0.1146)*CHOOSE(CONTROL!$C$42, 121.5, 121.5)*CHOOSE(CONTROL!$C$42, 31, 31))/1000000</f>
        <v>0.43164089999999994</v>
      </c>
      <c r="X1003" s="57">
        <f>(31*0.1790888*245000/1000000)+(31*0.2374*100000/1000000)</f>
        <v>2.0961194359999999</v>
      </c>
      <c r="Y1003" s="57"/>
      <c r="Z1003" s="14"/>
      <c r="AA1003" s="56"/>
      <c r="AB1003" s="50">
        <f>(B1003*194.205+C1003*267.466+D1003*133.845+E1003*53.484+F1003*40+G1003*185+H1003*0+I1003*100+J1003*300)/(194.205+267.466+133.845+53.484+0+40+185+100+300)</f>
        <v>127.27485486467818</v>
      </c>
      <c r="AC1003" s="45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124.76705971223021</v>
      </c>
    </row>
    <row r="1004" spans="1:29" ht="15.75" x14ac:dyDescent="0.25">
      <c r="A1004" s="32">
        <v>71467</v>
      </c>
      <c r="B1004" s="14">
        <f>CHOOSE(CONTROL!$C$42, 120.9301, 120.9301) * CHOOSE(CONTROL!$C$21, $C$9, 100%, $E$9)</f>
        <v>120.9301</v>
      </c>
      <c r="C1004" s="14">
        <f>CHOOSE(CONTROL!$C$42, 120.9381, 120.9381) * CHOOSE(CONTROL!$C$21, $C$9, 100%, $E$9)</f>
        <v>120.93810000000001</v>
      </c>
      <c r="D1004" s="14">
        <f>CHOOSE(CONTROL!$C$42, 121.1431, 121.1431) * CHOOSE(CONTROL!$C$21, $C$9, 100%, $E$9)</f>
        <v>121.1431</v>
      </c>
      <c r="E1004" s="14">
        <f>CHOOSE(CONTROL!$C$42, 121.1746, 121.1746) * CHOOSE(CONTROL!$C$21, $C$9, 100%, $E$9)</f>
        <v>121.1746</v>
      </c>
      <c r="F1004" s="14">
        <f>CHOOSE(CONTROL!$C$42, 120.9173, 120.9173)*CHOOSE(CONTROL!$C$21, $C$9, 100%, $E$9)</f>
        <v>120.9173</v>
      </c>
      <c r="G1004" s="14">
        <f>CHOOSE(CONTROL!$C$42, 120.934, 120.934)*CHOOSE(CONTROL!$C$21, $C$9, 100%, $E$9)</f>
        <v>120.934</v>
      </c>
      <c r="H1004" s="14">
        <f>CHOOSE(CONTROL!$C$42, 121.1632, 121.1632) * CHOOSE(CONTROL!$C$21, $C$9, 100%, $E$9)</f>
        <v>121.1632</v>
      </c>
      <c r="I1004" s="14">
        <f>CHOOSE(CONTROL!$C$42, 121.3169, 121.3169)* CHOOSE(CONTROL!$C$21, $C$9, 100%, $E$9)</f>
        <v>121.3169</v>
      </c>
      <c r="J1004" s="14">
        <f>CHOOSE(CONTROL!$C$42, 120.9103, 120.9103)* CHOOSE(CONTROL!$C$21, $C$9, 100%, $E$9)</f>
        <v>120.91030000000001</v>
      </c>
      <c r="K1004" s="53">
        <f>CHOOSE(CONTROL!$C$42, 121.313, 121.313) * CHOOSE(CONTROL!$C$21, $C$9, 100%, $E$9)</f>
        <v>121.313</v>
      </c>
      <c r="L1004" s="14">
        <f>CHOOSE(CONTROL!$C$42, 121.7502, 121.7502) * CHOOSE(CONTROL!$C$21, $C$9, 100%, $E$9)</f>
        <v>121.75020000000001</v>
      </c>
      <c r="M1004" s="14">
        <f>CHOOSE(CONTROL!$C$42, 118.4406, 118.4406) * CHOOSE(CONTROL!$C$21, $C$9, 100%, $E$9)</f>
        <v>118.4406</v>
      </c>
      <c r="N1004" s="14">
        <f>CHOOSE(CONTROL!$C$42, 118.4569, 118.4569) * CHOOSE(CONTROL!$C$21, $C$9, 100%, $E$9)</f>
        <v>118.4569</v>
      </c>
      <c r="O1004" s="14">
        <f>CHOOSE(CONTROL!$C$42, 118.6883, 118.6883) * CHOOSE(CONTROL!$C$21, $C$9, 100%, $E$9)</f>
        <v>118.6883</v>
      </c>
      <c r="P1004" s="14">
        <f>CHOOSE(CONTROL!$C$42, 118.8313, 118.8313) * CHOOSE(CONTROL!$C$21, $C$9, 100%, $E$9)</f>
        <v>118.8313</v>
      </c>
      <c r="Q1004" s="14">
        <f>CHOOSE(CONTROL!$C$42, 119.283, 119.283) * CHOOSE(CONTROL!$C$21, $C$9, 100%, $E$9)</f>
        <v>119.283</v>
      </c>
      <c r="R1004" s="14">
        <f>CHOOSE(CONTROL!$C$42, 120.1682, 120.1682) * CHOOSE(CONTROL!$C$21, $C$9, 100%, $E$9)</f>
        <v>120.1682</v>
      </c>
      <c r="S1004" s="14">
        <f>CHOOSE(CONTROL!$C$42, 116.1911, 116.1911) * CHOOSE(CONTROL!$C$21, $C$9, 100%, $E$9)</f>
        <v>116.19110000000001</v>
      </c>
      <c r="T10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7">
        <f>(1000*CHOOSE(CONTROL!$C$42, 695, 695)*CHOOSE(CONTROL!$C$42, 0.5599, 0.5599)*CHOOSE(CONTROL!$C$42, 31, 31))/1000000</f>
        <v>12.063045499999998</v>
      </c>
      <c r="V1004" s="57">
        <f>(1000*CHOOSE(CONTROL!$C$42, 500, 500)*CHOOSE(CONTROL!$C$42, 0.275, 0.275)*CHOOSE(CONTROL!$C$42, 31, 31))/1000000</f>
        <v>4.2625000000000002</v>
      </c>
      <c r="W1004" s="57">
        <f>(1000*CHOOSE(CONTROL!$C$42, 0.1146, 0.1146)*CHOOSE(CONTROL!$C$42, 121.5, 121.5)*CHOOSE(CONTROL!$C$42, 31, 31))/1000000</f>
        <v>0.43164089999999994</v>
      </c>
      <c r="X1004" s="57">
        <f>(31*0.1790888*245000/1000000)+(31*0.2374*100000/1000000)</f>
        <v>2.0961194359999999</v>
      </c>
      <c r="Y1004" s="57"/>
      <c r="Z1004" s="14"/>
      <c r="AA1004" s="56"/>
      <c r="AB1004" s="50">
        <f>(B1004*194.205+C1004*267.466+D1004*133.845+E1004*53.484+F1004*40+G1004*185+H1004*0+I1004*100+J1004*300)/(194.205+267.466+133.845+53.484+0+40+185+100+300)</f>
        <v>120.99028449843014</v>
      </c>
      <c r="AC1004" s="45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118.61002086330936</v>
      </c>
    </row>
    <row r="1005" spans="1:29" ht="15.75" x14ac:dyDescent="0.25">
      <c r="A1005" s="32">
        <v>71497</v>
      </c>
      <c r="B1005" s="14">
        <f>CHOOSE(CONTROL!$C$42, 113.2529, 113.2529) * CHOOSE(CONTROL!$C$21, $C$9, 100%, $E$9)</f>
        <v>113.2529</v>
      </c>
      <c r="C1005" s="14">
        <f>CHOOSE(CONTROL!$C$42, 113.2609, 113.2609) * CHOOSE(CONTROL!$C$21, $C$9, 100%, $E$9)</f>
        <v>113.26090000000001</v>
      </c>
      <c r="D1005" s="14">
        <f>CHOOSE(CONTROL!$C$42, 113.4659, 113.4659) * CHOOSE(CONTROL!$C$21, $C$9, 100%, $E$9)</f>
        <v>113.4659</v>
      </c>
      <c r="E1005" s="14">
        <f>CHOOSE(CONTROL!$C$42, 113.4973, 113.4973) * CHOOSE(CONTROL!$C$21, $C$9, 100%, $E$9)</f>
        <v>113.4973</v>
      </c>
      <c r="F1005" s="14">
        <f>CHOOSE(CONTROL!$C$42, 113.24, 113.24)*CHOOSE(CONTROL!$C$21, $C$9, 100%, $E$9)</f>
        <v>113.24</v>
      </c>
      <c r="G1005" s="14">
        <f>CHOOSE(CONTROL!$C$42, 113.2567, 113.2567)*CHOOSE(CONTROL!$C$21, $C$9, 100%, $E$9)</f>
        <v>113.2567</v>
      </c>
      <c r="H1005" s="14">
        <f>CHOOSE(CONTROL!$C$42, 113.486, 113.486) * CHOOSE(CONTROL!$C$21, $C$9, 100%, $E$9)</f>
        <v>113.486</v>
      </c>
      <c r="I1005" s="14">
        <f>CHOOSE(CONTROL!$C$42, 113.6156, 113.6156)* CHOOSE(CONTROL!$C$21, $C$9, 100%, $E$9)</f>
        <v>113.6156</v>
      </c>
      <c r="J1005" s="14">
        <f>CHOOSE(CONTROL!$C$42, 113.233, 113.233)* CHOOSE(CONTROL!$C$21, $C$9, 100%, $E$9)</f>
        <v>113.233</v>
      </c>
      <c r="K1005" s="53">
        <f>CHOOSE(CONTROL!$C$42, 113.6117, 113.6117) * CHOOSE(CONTROL!$C$21, $C$9, 100%, $E$9)</f>
        <v>113.6117</v>
      </c>
      <c r="L1005" s="14">
        <f>CHOOSE(CONTROL!$C$42, 114.073, 114.073) * CHOOSE(CONTROL!$C$21, $C$9, 100%, $E$9)</f>
        <v>114.07299999999999</v>
      </c>
      <c r="M1005" s="14">
        <f>CHOOSE(CONTROL!$C$42, 110.9207, 110.9207) * CHOOSE(CONTROL!$C$21, $C$9, 100%, $E$9)</f>
        <v>110.9207</v>
      </c>
      <c r="N1005" s="14">
        <f>CHOOSE(CONTROL!$C$42, 110.937, 110.937) * CHOOSE(CONTROL!$C$21, $C$9, 100%, $E$9)</f>
        <v>110.937</v>
      </c>
      <c r="O1005" s="14">
        <f>CHOOSE(CONTROL!$C$42, 111.1684, 111.1684) * CHOOSE(CONTROL!$C$21, $C$9, 100%, $E$9)</f>
        <v>111.16840000000001</v>
      </c>
      <c r="P1005" s="14">
        <f>CHOOSE(CONTROL!$C$42, 111.2883, 111.2883) * CHOOSE(CONTROL!$C$21, $C$9, 100%, $E$9)</f>
        <v>111.28830000000001</v>
      </c>
      <c r="Q1005" s="14">
        <f>CHOOSE(CONTROL!$C$42, 111.7631, 111.7631) * CHOOSE(CONTROL!$C$21, $C$9, 100%, $E$9)</f>
        <v>111.76309999999999</v>
      </c>
      <c r="R1005" s="14">
        <f>CHOOSE(CONTROL!$C$42, 112.6295, 112.6295) * CHOOSE(CONTROL!$C$21, $C$9, 100%, $E$9)</f>
        <v>112.62949999999999</v>
      </c>
      <c r="S1005" s="14">
        <f>CHOOSE(CONTROL!$C$42, 108.814, 108.814) * CHOOSE(CONTROL!$C$21, $C$9, 100%, $E$9)</f>
        <v>108.81399999999999</v>
      </c>
      <c r="T10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7">
        <f>(1000*CHOOSE(CONTROL!$C$42, 695, 695)*CHOOSE(CONTROL!$C$42, 0.5599, 0.5599)*CHOOSE(CONTROL!$C$42, 30, 30))/1000000</f>
        <v>11.673914999999997</v>
      </c>
      <c r="V1005" s="57">
        <f>(1000*CHOOSE(CONTROL!$C$42, 500, 500)*CHOOSE(CONTROL!$C$42, 0.275, 0.275)*CHOOSE(CONTROL!$C$42, 30, 30))/1000000</f>
        <v>4.125</v>
      </c>
      <c r="W1005" s="57">
        <f>(1000*CHOOSE(CONTROL!$C$42, 0.1146, 0.1146)*CHOOSE(CONTROL!$C$42, 121.5, 121.5)*CHOOSE(CONTROL!$C$42, 30, 30))/1000000</f>
        <v>0.417717</v>
      </c>
      <c r="X1005" s="57">
        <f>(30*0.1790888*245000/1000000)+(30*0.2374*100000/1000000)</f>
        <v>2.0285026799999999</v>
      </c>
      <c r="Y1005" s="57"/>
      <c r="Z1005" s="14"/>
      <c r="AA1005" s="56"/>
      <c r="AB1005" s="50">
        <f>(B1005*194.205+C1005*267.466+D1005*133.845+E1005*53.484+F1005*40+G1005*185+H1005*0+I1005*100+J1005*300)/(194.205+267.466+133.845+53.484+0+40+185+100+300)</f>
        <v>113.31114741177394</v>
      </c>
      <c r="AC1005" s="45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111.08679712230217</v>
      </c>
    </row>
    <row r="1006" spans="1:29" ht="15.75" x14ac:dyDescent="0.25">
      <c r="A1006" s="32">
        <v>71528</v>
      </c>
      <c r="B1006" s="14">
        <f>CHOOSE(CONTROL!$C$42, 110.9519, 110.9519) * CHOOSE(CONTROL!$C$21, $C$9, 100%, $E$9)</f>
        <v>110.95189999999999</v>
      </c>
      <c r="C1006" s="14">
        <f>CHOOSE(CONTROL!$C$42, 110.9572, 110.9572) * CHOOSE(CONTROL!$C$21, $C$9, 100%, $E$9)</f>
        <v>110.9572</v>
      </c>
      <c r="D1006" s="14">
        <f>CHOOSE(CONTROL!$C$42, 111.1671, 111.1671) * CHOOSE(CONTROL!$C$21, $C$9, 100%, $E$9)</f>
        <v>111.1671</v>
      </c>
      <c r="E1006" s="14">
        <f>CHOOSE(CONTROL!$C$42, 111.1962, 111.1962) * CHOOSE(CONTROL!$C$21, $C$9, 100%, $E$9)</f>
        <v>111.1962</v>
      </c>
      <c r="F1006" s="14">
        <f>CHOOSE(CONTROL!$C$42, 110.9411, 110.9411)*CHOOSE(CONTROL!$C$21, $C$9, 100%, $E$9)</f>
        <v>110.94110000000001</v>
      </c>
      <c r="G1006" s="14">
        <f>CHOOSE(CONTROL!$C$42, 110.9574, 110.9574)*CHOOSE(CONTROL!$C$21, $C$9, 100%, $E$9)</f>
        <v>110.95740000000001</v>
      </c>
      <c r="H1006" s="14">
        <f>CHOOSE(CONTROL!$C$42, 111.1867, 111.1867) * CHOOSE(CONTROL!$C$21, $C$9, 100%, $E$9)</f>
        <v>111.1867</v>
      </c>
      <c r="I1006" s="14">
        <f>CHOOSE(CONTROL!$C$42, 111.3092, 111.3092)* CHOOSE(CONTROL!$C$21, $C$9, 100%, $E$9)</f>
        <v>111.3092</v>
      </c>
      <c r="J1006" s="14">
        <f>CHOOSE(CONTROL!$C$42, 110.9341, 110.9341)* CHOOSE(CONTROL!$C$21, $C$9, 100%, $E$9)</f>
        <v>110.9341</v>
      </c>
      <c r="K1006" s="53">
        <f>CHOOSE(CONTROL!$C$42, 111.3053, 111.3053) * CHOOSE(CONTROL!$C$21, $C$9, 100%, $E$9)</f>
        <v>111.3053</v>
      </c>
      <c r="L1006" s="14">
        <f>CHOOSE(CONTROL!$C$42, 111.7737, 111.7737) * CHOOSE(CONTROL!$C$21, $C$9, 100%, $E$9)</f>
        <v>111.77370000000001</v>
      </c>
      <c r="M1006" s="14">
        <f>CHOOSE(CONTROL!$C$42, 108.6688, 108.6688) * CHOOSE(CONTROL!$C$21, $C$9, 100%, $E$9)</f>
        <v>108.6688</v>
      </c>
      <c r="N1006" s="14">
        <f>CHOOSE(CONTROL!$C$42, 108.6848, 108.6848) * CHOOSE(CONTROL!$C$21, $C$9, 100%, $E$9)</f>
        <v>108.6848</v>
      </c>
      <c r="O1006" s="14">
        <f>CHOOSE(CONTROL!$C$42, 108.9163, 108.9163) * CHOOSE(CONTROL!$C$21, $C$9, 100%, $E$9)</f>
        <v>108.91630000000001</v>
      </c>
      <c r="P1006" s="14">
        <f>CHOOSE(CONTROL!$C$42, 109.0293, 109.0293) * CHOOSE(CONTROL!$C$21, $C$9, 100%, $E$9)</f>
        <v>109.02930000000001</v>
      </c>
      <c r="Q1006" s="14">
        <f>CHOOSE(CONTROL!$C$42, 109.511, 109.511) * CHOOSE(CONTROL!$C$21, $C$9, 100%, $E$9)</f>
        <v>109.511</v>
      </c>
      <c r="R1006" s="14">
        <f>CHOOSE(CONTROL!$C$42, 110.3717, 110.3717) * CHOOSE(CONTROL!$C$21, $C$9, 100%, $E$9)</f>
        <v>110.3717</v>
      </c>
      <c r="S1006" s="14">
        <f>CHOOSE(CONTROL!$C$42, 106.6047, 106.6047) * CHOOSE(CONTROL!$C$21, $C$9, 100%, $E$9)</f>
        <v>106.60469999999999</v>
      </c>
      <c r="T10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7">
        <f>(1000*CHOOSE(CONTROL!$C$42, 695, 695)*CHOOSE(CONTROL!$C$42, 0.5599, 0.5599)*CHOOSE(CONTROL!$C$42, 31, 31))/1000000</f>
        <v>12.063045499999998</v>
      </c>
      <c r="V1006" s="57">
        <f>(1000*CHOOSE(CONTROL!$C$42, 500, 500)*CHOOSE(CONTROL!$C$42, 0.275, 0.275)*CHOOSE(CONTROL!$C$42, 31, 31))/1000000</f>
        <v>4.2625000000000002</v>
      </c>
      <c r="W1006" s="57">
        <f>(1000*CHOOSE(CONTROL!$C$42, 0.1146, 0.1146)*CHOOSE(CONTROL!$C$42, 121.5, 121.5)*CHOOSE(CONTROL!$C$42, 31, 31))/1000000</f>
        <v>0.43164089999999994</v>
      </c>
      <c r="X1006" s="57">
        <f>(31*0.1790888*245000/1000000)+(31*0.2374*100000/1000000)</f>
        <v>2.0961194359999999</v>
      </c>
      <c r="Y1006" s="57"/>
      <c r="Z1006" s="14"/>
      <c r="AA1006" s="56"/>
      <c r="AB1006" s="50">
        <f>(B1006*131.881+C1006*277.167+D1006*79.08+E1006*125.872+F1006*40+G1006*185+H1006*0+I1006*100+J1006*300)/(131.881+277.167+79.08+125.872+0+40+185+100+300)</f>
        <v>111.0166401377724</v>
      </c>
      <c r="AC1006" s="45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108.83376762589928</v>
      </c>
    </row>
    <row r="1007" spans="1:29" ht="15.75" x14ac:dyDescent="0.25">
      <c r="A1007" s="32">
        <v>71558</v>
      </c>
      <c r="B1007" s="14">
        <f>CHOOSE(CONTROL!$C$42, 113.8742, 113.8742) * CHOOSE(CONTROL!$C$21, $C$9, 100%, $E$9)</f>
        <v>113.8742</v>
      </c>
      <c r="C1007" s="14">
        <f>CHOOSE(CONTROL!$C$42, 113.8792, 113.8792) * CHOOSE(CONTROL!$C$21, $C$9, 100%, $E$9)</f>
        <v>113.8792</v>
      </c>
      <c r="D1007" s="14">
        <f>CHOOSE(CONTROL!$C$42, 113.9431, 113.9431) * CHOOSE(CONTROL!$C$21, $C$9, 100%, $E$9)</f>
        <v>113.9431</v>
      </c>
      <c r="E1007" s="14">
        <f>CHOOSE(CONTROL!$C$42, 113.9772, 113.9772) * CHOOSE(CONTROL!$C$21, $C$9, 100%, $E$9)</f>
        <v>113.9772</v>
      </c>
      <c r="F1007" s="14">
        <f>CHOOSE(CONTROL!$C$42, 113.8764, 113.8764)*CHOOSE(CONTROL!$C$21, $C$9, 100%, $E$9)</f>
        <v>113.8764</v>
      </c>
      <c r="G1007" s="14">
        <f>CHOOSE(CONTROL!$C$42, 113.8931, 113.8931)*CHOOSE(CONTROL!$C$21, $C$9, 100%, $E$9)</f>
        <v>113.8931</v>
      </c>
      <c r="H1007" s="14">
        <f>CHOOSE(CONTROL!$C$42, 113.9664, 113.9664) * CHOOSE(CONTROL!$C$21, $C$9, 100%, $E$9)</f>
        <v>113.96639999999999</v>
      </c>
      <c r="I1007" s="14">
        <f>CHOOSE(CONTROL!$C$42, 114.2447, 114.2447)* CHOOSE(CONTROL!$C$21, $C$9, 100%, $E$9)</f>
        <v>114.24469999999999</v>
      </c>
      <c r="J1007" s="14">
        <f>CHOOSE(CONTROL!$C$42, 113.8694, 113.8694)* CHOOSE(CONTROL!$C$21, $C$9, 100%, $E$9)</f>
        <v>113.8694</v>
      </c>
      <c r="K1007" s="53">
        <f>CHOOSE(CONTROL!$C$42, 114.2408, 114.2408) * CHOOSE(CONTROL!$C$21, $C$9, 100%, $E$9)</f>
        <v>114.24079999999999</v>
      </c>
      <c r="L1007" s="14">
        <f>CHOOSE(CONTROL!$C$42, 114.5534, 114.5534) * CHOOSE(CONTROL!$C$21, $C$9, 100%, $E$9)</f>
        <v>114.5534</v>
      </c>
      <c r="M1007" s="14">
        <f>CHOOSE(CONTROL!$C$42, 111.544, 111.544) * CHOOSE(CONTROL!$C$21, $C$9, 100%, $E$9)</f>
        <v>111.544</v>
      </c>
      <c r="N1007" s="14">
        <f>CHOOSE(CONTROL!$C$42, 111.5603, 111.5603) * CHOOSE(CONTROL!$C$21, $C$9, 100%, $E$9)</f>
        <v>111.5603</v>
      </c>
      <c r="O1007" s="14">
        <f>CHOOSE(CONTROL!$C$42, 111.639, 111.639) * CHOOSE(CONTROL!$C$21, $C$9, 100%, $E$9)</f>
        <v>111.639</v>
      </c>
      <c r="P1007" s="14">
        <f>CHOOSE(CONTROL!$C$42, 111.9045, 111.9045) * CHOOSE(CONTROL!$C$21, $C$9, 100%, $E$9)</f>
        <v>111.9045</v>
      </c>
      <c r="Q1007" s="14">
        <f>CHOOSE(CONTROL!$C$42, 112.2337, 112.2337) * CHOOSE(CONTROL!$C$21, $C$9, 100%, $E$9)</f>
        <v>112.2337</v>
      </c>
      <c r="R1007" s="14">
        <f>CHOOSE(CONTROL!$C$42, 113.1012, 113.1012) * CHOOSE(CONTROL!$C$21, $C$9, 100%, $E$9)</f>
        <v>113.10120000000001</v>
      </c>
      <c r="S1007" s="14">
        <f>CHOOSE(CONTROL!$C$42, 109.4132, 109.4132) * CHOOSE(CONTROL!$C$21, $C$9, 100%, $E$9)</f>
        <v>109.4132</v>
      </c>
      <c r="T10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7">
        <f>(1000*CHOOSE(CONTROL!$C$42, 695, 695)*CHOOSE(CONTROL!$C$42, 0.5599, 0.5599)*CHOOSE(CONTROL!$C$42, 30, 30))/1000000</f>
        <v>11.673914999999997</v>
      </c>
      <c r="V1007" s="57">
        <f>(1000*CHOOSE(CONTROL!$C$42, 500, 500)*CHOOSE(CONTROL!$C$42, 0.275, 0.275)*CHOOSE(CONTROL!$C$42, 30, 30))/1000000</f>
        <v>4.125</v>
      </c>
      <c r="W1007" s="57">
        <f>(1000*CHOOSE(CONTROL!$C$42, 0.1146, 0.1146)*CHOOSE(CONTROL!$C$42, 121.5, 121.5)*CHOOSE(CONTROL!$C$42, 30, 30))/1000000</f>
        <v>0.417717</v>
      </c>
      <c r="X1007" s="57">
        <f>(30*0.1790888*100000/1000000)+(30*0.2374*100000/1000000)</f>
        <v>1.2494664</v>
      </c>
      <c r="Y1007" s="57"/>
      <c r="Z1007" s="14"/>
      <c r="AA1007" s="56"/>
      <c r="AB1007" s="50">
        <f>(B1007*122.58+C1007*297.941+D1007*89.177+E1007*40.302+F1007*40+G1007*160+H1007*0+I1007*100+J1007*300)/(122.58+297.941+89.177+40.302+0+40+160+100+300)</f>
        <v>113.91811922286959</v>
      </c>
      <c r="AC1007" s="45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111.63986618705036</v>
      </c>
    </row>
    <row r="1008" spans="1:29" ht="15.75" x14ac:dyDescent="0.25">
      <c r="A1008" s="32">
        <v>71589</v>
      </c>
      <c r="B1008" s="14">
        <f>CHOOSE(CONTROL!$C$42, 121.6374, 121.6374) * CHOOSE(CONTROL!$C$21, $C$9, 100%, $E$9)</f>
        <v>121.6374</v>
      </c>
      <c r="C1008" s="14">
        <f>CHOOSE(CONTROL!$C$42, 121.6425, 121.6425) * CHOOSE(CONTROL!$C$21, $C$9, 100%, $E$9)</f>
        <v>121.6425</v>
      </c>
      <c r="D1008" s="14">
        <f>CHOOSE(CONTROL!$C$42, 121.7063, 121.7063) * CHOOSE(CONTROL!$C$21, $C$9, 100%, $E$9)</f>
        <v>121.7063</v>
      </c>
      <c r="E1008" s="14">
        <f>CHOOSE(CONTROL!$C$42, 121.7404, 121.7404) * CHOOSE(CONTROL!$C$21, $C$9, 100%, $E$9)</f>
        <v>121.74039999999999</v>
      </c>
      <c r="F1008" s="14">
        <f>CHOOSE(CONTROL!$C$42, 121.6417, 121.6417)*CHOOSE(CONTROL!$C$21, $C$9, 100%, $E$9)</f>
        <v>121.6417</v>
      </c>
      <c r="G1008" s="14">
        <f>CHOOSE(CONTROL!$C$42, 121.6589, 121.6589)*CHOOSE(CONTROL!$C$21, $C$9, 100%, $E$9)</f>
        <v>121.6589</v>
      </c>
      <c r="H1008" s="14">
        <f>CHOOSE(CONTROL!$C$42, 121.7296, 121.7296) * CHOOSE(CONTROL!$C$21, $C$9, 100%, $E$9)</f>
        <v>121.7296</v>
      </c>
      <c r="I1008" s="14">
        <f>CHOOSE(CONTROL!$C$42, 122.0322, 122.0322)* CHOOSE(CONTROL!$C$21, $C$9, 100%, $E$9)</f>
        <v>122.0322</v>
      </c>
      <c r="J1008" s="14">
        <f>CHOOSE(CONTROL!$C$42, 121.6347, 121.6347)* CHOOSE(CONTROL!$C$21, $C$9, 100%, $E$9)</f>
        <v>121.6347</v>
      </c>
      <c r="K1008" s="53">
        <f>CHOOSE(CONTROL!$C$42, 122.0284, 122.0284) * CHOOSE(CONTROL!$C$21, $C$9, 100%, $E$9)</f>
        <v>122.0284</v>
      </c>
      <c r="L1008" s="14">
        <f>CHOOSE(CONTROL!$C$42, 122.3166, 122.3166) * CHOOSE(CONTROL!$C$21, $C$9, 100%, $E$9)</f>
        <v>122.31659999999999</v>
      </c>
      <c r="M1008" s="14">
        <f>CHOOSE(CONTROL!$C$42, 119.1502, 119.1502) * CHOOSE(CONTROL!$C$21, $C$9, 100%, $E$9)</f>
        <v>119.1502</v>
      </c>
      <c r="N1008" s="14">
        <f>CHOOSE(CONTROL!$C$42, 119.1671, 119.1671) * CHOOSE(CONTROL!$C$21, $C$9, 100%, $E$9)</f>
        <v>119.1671</v>
      </c>
      <c r="O1008" s="14">
        <f>CHOOSE(CONTROL!$C$42, 119.2431, 119.2431) * CHOOSE(CONTROL!$C$21, $C$9, 100%, $E$9)</f>
        <v>119.2431</v>
      </c>
      <c r="P1008" s="14">
        <f>CHOOSE(CONTROL!$C$42, 119.532, 119.532) * CHOOSE(CONTROL!$C$21, $C$9, 100%, $E$9)</f>
        <v>119.532</v>
      </c>
      <c r="Q1008" s="14">
        <f>CHOOSE(CONTROL!$C$42, 119.8378, 119.8378) * CHOOSE(CONTROL!$C$21, $C$9, 100%, $E$9)</f>
        <v>119.8378</v>
      </c>
      <c r="R1008" s="14">
        <f>CHOOSE(CONTROL!$C$42, 120.7244, 120.7244) * CHOOSE(CONTROL!$C$21, $C$9, 100%, $E$9)</f>
        <v>120.7244</v>
      </c>
      <c r="S1008" s="14">
        <f>CHOOSE(CONTROL!$C$42, 116.8728, 116.8728) * CHOOSE(CONTROL!$C$21, $C$9, 100%, $E$9)</f>
        <v>116.8728</v>
      </c>
      <c r="T10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7">
        <f>(1000*CHOOSE(CONTROL!$C$42, 695, 695)*CHOOSE(CONTROL!$C$42, 0.5599, 0.5599)*CHOOSE(CONTROL!$C$42, 31, 31))/1000000</f>
        <v>12.063045499999998</v>
      </c>
      <c r="V1008" s="57">
        <f>(1000*CHOOSE(CONTROL!$C$42, 500, 500)*CHOOSE(CONTROL!$C$42, 0.275, 0.275)*CHOOSE(CONTROL!$C$42, 31, 31))/1000000</f>
        <v>4.2625000000000002</v>
      </c>
      <c r="W1008" s="57">
        <f>(1000*CHOOSE(CONTROL!$C$42, 0.1146, 0.1146)*CHOOSE(CONTROL!$C$42, 121.5, 121.5)*CHOOSE(CONTROL!$C$42, 31, 31))/1000000</f>
        <v>0.43164089999999994</v>
      </c>
      <c r="X1008" s="57">
        <f>(31*0.1790888*100000/1000000)+(31*0.2374*100000/1000000)</f>
        <v>1.2911152800000001</v>
      </c>
      <c r="Y1008" s="57"/>
      <c r="Z1008" s="14"/>
      <c r="AA1008" s="56"/>
      <c r="AB1008" s="50">
        <f>(B1008*122.58+C1008*297.941+D1008*89.177+E1008*40.302+F1008*40+G1008*160+H1008*0+I1008*100+J1008*300)/(122.58+297.941+89.177+40.302+0+40+160+100+300)</f>
        <v>121.68444078295651</v>
      </c>
      <c r="AC1008" s="45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119.24821366906474</v>
      </c>
    </row>
    <row r="1009" spans="1:29" ht="15.75" x14ac:dyDescent="0.25">
      <c r="A1009" s="32">
        <v>71620</v>
      </c>
      <c r="B1009" s="14">
        <f>CHOOSE(CONTROL!$C$42, 131.6004, 131.6004) * CHOOSE(CONTROL!$C$21, $C$9, 100%, $E$9)</f>
        <v>131.60040000000001</v>
      </c>
      <c r="C1009" s="14">
        <f>CHOOSE(CONTROL!$C$42, 131.6055, 131.6055) * CHOOSE(CONTROL!$C$21, $C$9, 100%, $E$9)</f>
        <v>131.60550000000001</v>
      </c>
      <c r="D1009" s="14">
        <f>CHOOSE(CONTROL!$C$42, 131.6641, 131.6641) * CHOOSE(CONTROL!$C$21, $C$9, 100%, $E$9)</f>
        <v>131.66409999999999</v>
      </c>
      <c r="E1009" s="14">
        <f>CHOOSE(CONTROL!$C$42, 131.6982, 131.6982) * CHOOSE(CONTROL!$C$21, $C$9, 100%, $E$9)</f>
        <v>131.69820000000001</v>
      </c>
      <c r="F1009" s="14">
        <f>CHOOSE(CONTROL!$C$42, 131.5995, 131.5995)*CHOOSE(CONTROL!$C$21, $C$9, 100%, $E$9)</f>
        <v>131.59950000000001</v>
      </c>
      <c r="G1009" s="14">
        <f>CHOOSE(CONTROL!$C$42, 131.6159, 131.6159)*CHOOSE(CONTROL!$C$21, $C$9, 100%, $E$9)</f>
        <v>131.61590000000001</v>
      </c>
      <c r="H1009" s="14">
        <f>CHOOSE(CONTROL!$C$42, 131.6874, 131.6874) * CHOOSE(CONTROL!$C$21, $C$9, 100%, $E$9)</f>
        <v>131.6874</v>
      </c>
      <c r="I1009" s="14">
        <f>CHOOSE(CONTROL!$C$42, 132.0228, 132.0228)* CHOOSE(CONTROL!$C$21, $C$9, 100%, $E$9)</f>
        <v>132.02279999999999</v>
      </c>
      <c r="J1009" s="14">
        <f>CHOOSE(CONTROL!$C$42, 131.5925, 131.5925)* CHOOSE(CONTROL!$C$21, $C$9, 100%, $E$9)</f>
        <v>131.5925</v>
      </c>
      <c r="K1009" s="53">
        <f>CHOOSE(CONTROL!$C$42, 132.0189, 132.0189) * CHOOSE(CONTROL!$C$21, $C$9, 100%, $E$9)</f>
        <v>132.0189</v>
      </c>
      <c r="L1009" s="14">
        <f>CHOOSE(CONTROL!$C$42, 132.2744, 132.2744) * CHOOSE(CONTROL!$C$21, $C$9, 100%, $E$9)</f>
        <v>132.27440000000001</v>
      </c>
      <c r="M1009" s="14">
        <f>CHOOSE(CONTROL!$C$42, 128.904, 128.904) * CHOOSE(CONTROL!$C$21, $C$9, 100%, $E$9)</f>
        <v>128.904</v>
      </c>
      <c r="N1009" s="14">
        <f>CHOOSE(CONTROL!$C$42, 128.92, 128.92) * CHOOSE(CONTROL!$C$21, $C$9, 100%, $E$9)</f>
        <v>128.91999999999999</v>
      </c>
      <c r="O1009" s="14">
        <f>CHOOSE(CONTROL!$C$42, 128.9969, 128.9969) * CHOOSE(CONTROL!$C$21, $C$9, 100%, $E$9)</f>
        <v>128.99690000000001</v>
      </c>
      <c r="P1009" s="14">
        <f>CHOOSE(CONTROL!$C$42, 129.3172, 129.3172) * CHOOSE(CONTROL!$C$21, $C$9, 100%, $E$9)</f>
        <v>129.31720000000001</v>
      </c>
      <c r="Q1009" s="14">
        <f>CHOOSE(CONTROL!$C$42, 129.5916, 129.5916) * CHOOSE(CONTROL!$C$21, $C$9, 100%, $E$9)</f>
        <v>129.5916</v>
      </c>
      <c r="R1009" s="14">
        <f>CHOOSE(CONTROL!$C$42, 130.5026, 130.5026) * CHOOSE(CONTROL!$C$21, $C$9, 100%, $E$9)</f>
        <v>130.5026</v>
      </c>
      <c r="S1009" s="14">
        <f>CHOOSE(CONTROL!$C$42, 126.4463, 126.4463) * CHOOSE(CONTROL!$C$21, $C$9, 100%, $E$9)</f>
        <v>126.44629999999999</v>
      </c>
      <c r="T10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7">
        <f>(1000*CHOOSE(CONTROL!$C$42, 695, 695)*CHOOSE(CONTROL!$C$42, 0.5599, 0.5599)*CHOOSE(CONTROL!$C$42, 31, 31))/1000000</f>
        <v>12.063045499999998</v>
      </c>
      <c r="V1009" s="57">
        <f>(1000*CHOOSE(CONTROL!$C$42, 500, 500)*CHOOSE(CONTROL!$C$42, 0.275, 0.275)*CHOOSE(CONTROL!$C$42, 31, 31))/1000000</f>
        <v>4.2625000000000002</v>
      </c>
      <c r="W1009" s="57">
        <f>(1000*CHOOSE(CONTROL!$C$42, 0.1146, 0.1146)*CHOOSE(CONTROL!$C$42, 121.5, 121.5)*CHOOSE(CONTROL!$C$42, 31, 31))/1000000</f>
        <v>0.43164089999999994</v>
      </c>
      <c r="X1009" s="57">
        <f>(31*0.1790888*100000/1000000)+(31*0.2374*100000/1000000)</f>
        <v>1.2911152800000001</v>
      </c>
      <c r="Y1009" s="57"/>
      <c r="Z1009" s="14"/>
      <c r="AA1009" s="56"/>
      <c r="AB1009" s="50">
        <f>(B1009*122.58+C1009*297.941+D1009*89.177+E1009*40.302+F1009*40+G1009*160+H1009*0+I1009*100+J1009*300)/(122.58+297.941+89.177+40.302+0+40+160+100+300)</f>
        <v>131.64688313878261</v>
      </c>
      <c r="AC1009" s="45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129.00647985611511</v>
      </c>
    </row>
    <row r="1010" spans="1:29" ht="15.75" x14ac:dyDescent="0.25">
      <c r="A1010" s="32">
        <v>71649</v>
      </c>
      <c r="B1010" s="14">
        <f>CHOOSE(CONTROL!$C$42, 133.943, 133.943) * CHOOSE(CONTROL!$C$21, $C$9, 100%, $E$9)</f>
        <v>133.94300000000001</v>
      </c>
      <c r="C1010" s="14">
        <f>CHOOSE(CONTROL!$C$42, 133.948, 133.948) * CHOOSE(CONTROL!$C$21, $C$9, 100%, $E$9)</f>
        <v>133.94800000000001</v>
      </c>
      <c r="D1010" s="14">
        <f>CHOOSE(CONTROL!$C$42, 134.0066, 134.0066) * CHOOSE(CONTROL!$C$21, $C$9, 100%, $E$9)</f>
        <v>134.00659999999999</v>
      </c>
      <c r="E1010" s="14">
        <f>CHOOSE(CONTROL!$C$42, 134.0407, 134.0407) * CHOOSE(CONTROL!$C$21, $C$9, 100%, $E$9)</f>
        <v>134.04069999999999</v>
      </c>
      <c r="F1010" s="14">
        <f>CHOOSE(CONTROL!$C$42, 133.942, 133.942)*CHOOSE(CONTROL!$C$21, $C$9, 100%, $E$9)</f>
        <v>133.94200000000001</v>
      </c>
      <c r="G1010" s="14">
        <f>CHOOSE(CONTROL!$C$42, 133.9584, 133.9584)*CHOOSE(CONTROL!$C$21, $C$9, 100%, $E$9)</f>
        <v>133.95840000000001</v>
      </c>
      <c r="H1010" s="14">
        <f>CHOOSE(CONTROL!$C$42, 134.0299, 134.0299) * CHOOSE(CONTROL!$C$21, $C$9, 100%, $E$9)</f>
        <v>134.0299</v>
      </c>
      <c r="I1010" s="14">
        <f>CHOOSE(CONTROL!$C$42, 134.3727, 134.3727)* CHOOSE(CONTROL!$C$21, $C$9, 100%, $E$9)</f>
        <v>134.37270000000001</v>
      </c>
      <c r="J1010" s="14">
        <f>CHOOSE(CONTROL!$C$42, 133.935, 133.935)* CHOOSE(CONTROL!$C$21, $C$9, 100%, $E$9)</f>
        <v>133.935</v>
      </c>
      <c r="K1010" s="53">
        <f>CHOOSE(CONTROL!$C$42, 134.3688, 134.3688) * CHOOSE(CONTROL!$C$21, $C$9, 100%, $E$9)</f>
        <v>134.36879999999999</v>
      </c>
      <c r="L1010" s="14">
        <f>CHOOSE(CONTROL!$C$42, 134.6169, 134.6169) * CHOOSE(CONTROL!$C$21, $C$9, 100%, $E$9)</f>
        <v>134.61689999999999</v>
      </c>
      <c r="M1010" s="14">
        <f>CHOOSE(CONTROL!$C$42, 131.1985, 131.1985) * CHOOSE(CONTROL!$C$21, $C$9, 100%, $E$9)</f>
        <v>131.1985</v>
      </c>
      <c r="N1010" s="14">
        <f>CHOOSE(CONTROL!$C$42, 131.2145, 131.2145) * CHOOSE(CONTROL!$C$21, $C$9, 100%, $E$9)</f>
        <v>131.21449999999999</v>
      </c>
      <c r="O1010" s="14">
        <f>CHOOSE(CONTROL!$C$42, 131.2914, 131.2914) * CHOOSE(CONTROL!$C$21, $C$9, 100%, $E$9)</f>
        <v>131.29140000000001</v>
      </c>
      <c r="P1010" s="14">
        <f>CHOOSE(CONTROL!$C$42, 131.6188, 131.6188) * CHOOSE(CONTROL!$C$21, $C$9, 100%, $E$9)</f>
        <v>131.61879999999999</v>
      </c>
      <c r="Q1010" s="14">
        <f>CHOOSE(CONTROL!$C$42, 131.8861, 131.8861) * CHOOSE(CONTROL!$C$21, $C$9, 100%, $E$9)</f>
        <v>131.8861</v>
      </c>
      <c r="R1010" s="14">
        <f>CHOOSE(CONTROL!$C$42, 132.8029, 132.8029) * CHOOSE(CONTROL!$C$21, $C$9, 100%, $E$9)</f>
        <v>132.80289999999999</v>
      </c>
      <c r="S1010" s="14">
        <f>CHOOSE(CONTROL!$C$42, 128.6972, 128.6972) * CHOOSE(CONTROL!$C$21, $C$9, 100%, $E$9)</f>
        <v>128.69720000000001</v>
      </c>
      <c r="T101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7">
        <f>(1000*CHOOSE(CONTROL!$C$42, 695, 695)*CHOOSE(CONTROL!$C$42, 0.5599, 0.5599)*CHOOSE(CONTROL!$C$42, 29, 29))/1000000</f>
        <v>11.284784499999999</v>
      </c>
      <c r="V1010" s="57">
        <f>(1000*CHOOSE(CONTROL!$C$42, 500, 500)*CHOOSE(CONTROL!$C$42, 0.275, 0.275)*CHOOSE(CONTROL!$C$42, 29, 29))/1000000</f>
        <v>3.9874999999999998</v>
      </c>
      <c r="W1010" s="57">
        <f>(1000*CHOOSE(CONTROL!$C$42, 0.1146, 0.1146)*CHOOSE(CONTROL!$C$42, 121.5, 121.5)*CHOOSE(CONTROL!$C$42, 29, 29))/1000000</f>
        <v>0.40379309999999996</v>
      </c>
      <c r="X1010" s="57">
        <f>(29*0.1790888*100000/1000000)+(29*0.2374*100000/1000000)</f>
        <v>1.2078175199999999</v>
      </c>
      <c r="Y1010" s="57"/>
      <c r="Z1010" s="14"/>
      <c r="AA1010" s="56"/>
      <c r="AB1010" s="50">
        <f>(B1010*122.58+C1010*297.941+D1010*89.177+E1010*40.302+F1010*40+G1010*160+H1010*0+I1010*100+J1010*300)/(122.58+297.941+89.177+40.302+0+40+160+100+300)</f>
        <v>133.99003727617389</v>
      </c>
      <c r="AC1010" s="45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131.30200143884892</v>
      </c>
    </row>
    <row r="1011" spans="1:29" ht="15.75" x14ac:dyDescent="0.25">
      <c r="A1011" s="32">
        <v>71680</v>
      </c>
      <c r="B1011" s="14">
        <f>CHOOSE(CONTROL!$C$42, 130.1405, 130.1405) * CHOOSE(CONTROL!$C$21, $C$9, 100%, $E$9)</f>
        <v>130.1405</v>
      </c>
      <c r="C1011" s="14">
        <f>CHOOSE(CONTROL!$C$42, 130.1456, 130.1456) * CHOOSE(CONTROL!$C$21, $C$9, 100%, $E$9)</f>
        <v>130.1456</v>
      </c>
      <c r="D1011" s="14">
        <f>CHOOSE(CONTROL!$C$42, 130.2042, 130.2042) * CHOOSE(CONTROL!$C$21, $C$9, 100%, $E$9)</f>
        <v>130.20419999999999</v>
      </c>
      <c r="E1011" s="14">
        <f>CHOOSE(CONTROL!$C$42, 130.2383, 130.2383) * CHOOSE(CONTROL!$C$21, $C$9, 100%, $E$9)</f>
        <v>130.23830000000001</v>
      </c>
      <c r="F1011" s="14">
        <f>CHOOSE(CONTROL!$C$42, 130.1391, 130.1391)*CHOOSE(CONTROL!$C$21, $C$9, 100%, $E$9)</f>
        <v>130.13910000000001</v>
      </c>
      <c r="G1011" s="14">
        <f>CHOOSE(CONTROL!$C$42, 130.1553, 130.1553)*CHOOSE(CONTROL!$C$21, $C$9, 100%, $E$9)</f>
        <v>130.15530000000001</v>
      </c>
      <c r="H1011" s="14">
        <f>CHOOSE(CONTROL!$C$42, 130.2275, 130.2275) * CHOOSE(CONTROL!$C$21, $C$9, 100%, $E$9)</f>
        <v>130.22749999999999</v>
      </c>
      <c r="I1011" s="14">
        <f>CHOOSE(CONTROL!$C$42, 130.5583, 130.5583)* CHOOSE(CONTROL!$C$21, $C$9, 100%, $E$9)</f>
        <v>130.5583</v>
      </c>
      <c r="J1011" s="14">
        <f>CHOOSE(CONTROL!$C$42, 130.1321, 130.1321)* CHOOSE(CONTROL!$C$21, $C$9, 100%, $E$9)</f>
        <v>130.13210000000001</v>
      </c>
      <c r="K1011" s="53">
        <f>CHOOSE(CONTROL!$C$42, 130.5544, 130.5544) * CHOOSE(CONTROL!$C$21, $C$9, 100%, $E$9)</f>
        <v>130.55439999999999</v>
      </c>
      <c r="L1011" s="14">
        <f>CHOOSE(CONTROL!$C$42, 130.8145, 130.8145) * CHOOSE(CONTROL!$C$21, $C$9, 100%, $E$9)</f>
        <v>130.81450000000001</v>
      </c>
      <c r="M1011" s="14">
        <f>CHOOSE(CONTROL!$C$42, 127.4734, 127.4734) * CHOOSE(CONTROL!$C$21, $C$9, 100%, $E$9)</f>
        <v>127.4734</v>
      </c>
      <c r="N1011" s="14">
        <f>CHOOSE(CONTROL!$C$42, 127.4893, 127.4893) * CHOOSE(CONTROL!$C$21, $C$9, 100%, $E$9)</f>
        <v>127.4893</v>
      </c>
      <c r="O1011" s="14">
        <f>CHOOSE(CONTROL!$C$42, 127.5669, 127.5669) * CHOOSE(CONTROL!$C$21, $C$9, 100%, $E$9)</f>
        <v>127.5669</v>
      </c>
      <c r="P1011" s="14">
        <f>CHOOSE(CONTROL!$C$42, 127.8828, 127.8828) * CHOOSE(CONTROL!$C$21, $C$9, 100%, $E$9)</f>
        <v>127.8828</v>
      </c>
      <c r="Q1011" s="14">
        <f>CHOOSE(CONTROL!$C$42, 128.1616, 128.1616) * CHOOSE(CONTROL!$C$21, $C$9, 100%, $E$9)</f>
        <v>128.16159999999999</v>
      </c>
      <c r="R1011" s="14">
        <f>CHOOSE(CONTROL!$C$42, 129.069, 129.069) * CHOOSE(CONTROL!$C$21, $C$9, 100%, $E$9)</f>
        <v>129.06899999999999</v>
      </c>
      <c r="S1011" s="14">
        <f>CHOOSE(CONTROL!$C$42, 125.0435, 125.0435) * CHOOSE(CONTROL!$C$21, $C$9, 100%, $E$9)</f>
        <v>125.04349999999999</v>
      </c>
      <c r="T10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7">
        <f>(1000*CHOOSE(CONTROL!$C$42, 695, 695)*CHOOSE(CONTROL!$C$42, 0.5599, 0.5599)*CHOOSE(CONTROL!$C$42, 31, 31))/1000000</f>
        <v>12.063045499999998</v>
      </c>
      <c r="V1011" s="57">
        <f>(1000*CHOOSE(CONTROL!$C$42, 500, 500)*CHOOSE(CONTROL!$C$42, 0.275, 0.275)*CHOOSE(CONTROL!$C$42, 31, 31))/1000000</f>
        <v>4.2625000000000002</v>
      </c>
      <c r="W1011" s="57">
        <f>(1000*CHOOSE(CONTROL!$C$42, 0.1146, 0.1146)*CHOOSE(CONTROL!$C$42, 121.5, 121.5)*CHOOSE(CONTROL!$C$42, 31, 31))/1000000</f>
        <v>0.43164089999999994</v>
      </c>
      <c r="X1011" s="57">
        <f>(31*0.1790888*100000/1000000)+(31*0.2374*100000/1000000)</f>
        <v>1.2911152800000001</v>
      </c>
      <c r="Y1011" s="57"/>
      <c r="Z1011" s="14"/>
      <c r="AA1011" s="56"/>
      <c r="AB1011" s="50">
        <f>(B1011*122.58+C1011*297.941+D1011*89.177+E1011*40.302+F1011*40+G1011*160+H1011*0+I1011*100+J1011*300)/(122.58+297.941+89.177+40.302+0+40+160+100+300)</f>
        <v>130.1863379213913</v>
      </c>
      <c r="AC1011" s="45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127.57559928057553</v>
      </c>
    </row>
    <row r="1012" spans="1:29" ht="15.75" x14ac:dyDescent="0.25">
      <c r="A1012" s="32">
        <v>71710</v>
      </c>
      <c r="B1012" s="14">
        <f>CHOOSE(CONTROL!$C$42, 129.752, 129.752) * CHOOSE(CONTROL!$C$21, $C$9, 100%, $E$9)</f>
        <v>129.75200000000001</v>
      </c>
      <c r="C1012" s="14">
        <f>CHOOSE(CONTROL!$C$42, 129.7565, 129.7565) * CHOOSE(CONTROL!$C$21, $C$9, 100%, $E$9)</f>
        <v>129.75649999999999</v>
      </c>
      <c r="D1012" s="14">
        <f>CHOOSE(CONTROL!$C$42, 129.9646, 129.9646) * CHOOSE(CONTROL!$C$21, $C$9, 100%, $E$9)</f>
        <v>129.96459999999999</v>
      </c>
      <c r="E1012" s="14">
        <f>CHOOSE(CONTROL!$C$42, 129.9967, 129.9967) * CHOOSE(CONTROL!$C$21, $C$9, 100%, $E$9)</f>
        <v>129.9967</v>
      </c>
      <c r="F1012" s="14">
        <f>CHOOSE(CONTROL!$C$42, 129.7394, 129.7394)*CHOOSE(CONTROL!$C$21, $C$9, 100%, $E$9)</f>
        <v>129.73939999999999</v>
      </c>
      <c r="G1012" s="14">
        <f>CHOOSE(CONTROL!$C$42, 129.7553, 129.7553)*CHOOSE(CONTROL!$C$21, $C$9, 100%, $E$9)</f>
        <v>129.75530000000001</v>
      </c>
      <c r="H1012" s="14">
        <f>CHOOSE(CONTROL!$C$42, 129.9865, 129.9865) * CHOOSE(CONTROL!$C$21, $C$9, 100%, $E$9)</f>
        <v>129.98650000000001</v>
      </c>
      <c r="I1012" s="14">
        <f>CHOOSE(CONTROL!$C$42, 130.1678, 130.1678)* CHOOSE(CONTROL!$C$21, $C$9, 100%, $E$9)</f>
        <v>130.1678</v>
      </c>
      <c r="J1012" s="14">
        <f>CHOOSE(CONTROL!$C$42, 129.7324, 129.7324)* CHOOSE(CONTROL!$C$21, $C$9, 100%, $E$9)</f>
        <v>129.73240000000001</v>
      </c>
      <c r="K1012" s="53">
        <f>CHOOSE(CONTROL!$C$42, 130.1639, 130.1639) * CHOOSE(CONTROL!$C$21, $C$9, 100%, $E$9)</f>
        <v>130.16390000000001</v>
      </c>
      <c r="L1012" s="14">
        <f>CHOOSE(CONTROL!$C$42, 130.5735, 130.5735) * CHOOSE(CONTROL!$C$21, $C$9, 100%, $E$9)</f>
        <v>130.5735</v>
      </c>
      <c r="M1012" s="14">
        <f>CHOOSE(CONTROL!$C$42, 127.0819, 127.0819) * CHOOSE(CONTROL!$C$21, $C$9, 100%, $E$9)</f>
        <v>127.0819</v>
      </c>
      <c r="N1012" s="14">
        <f>CHOOSE(CONTROL!$C$42, 127.0976, 127.0976) * CHOOSE(CONTROL!$C$21, $C$9, 100%, $E$9)</f>
        <v>127.0976</v>
      </c>
      <c r="O1012" s="14">
        <f>CHOOSE(CONTROL!$C$42, 127.3309, 127.3309) * CHOOSE(CONTROL!$C$21, $C$9, 100%, $E$9)</f>
        <v>127.3309</v>
      </c>
      <c r="P1012" s="14">
        <f>CHOOSE(CONTROL!$C$42, 127.5004, 127.5004) * CHOOSE(CONTROL!$C$21, $C$9, 100%, $E$9)</f>
        <v>127.5004</v>
      </c>
      <c r="Q1012" s="14">
        <f>CHOOSE(CONTROL!$C$42, 127.9256, 127.9256) * CHOOSE(CONTROL!$C$21, $C$9, 100%, $E$9)</f>
        <v>127.9256</v>
      </c>
      <c r="R1012" s="14">
        <f>CHOOSE(CONTROL!$C$42, 128.8324, 128.8324) * CHOOSE(CONTROL!$C$21, $C$9, 100%, $E$9)</f>
        <v>128.83240000000001</v>
      </c>
      <c r="S1012" s="14">
        <f>CHOOSE(CONTROL!$C$42, 124.6694, 124.6694) * CHOOSE(CONTROL!$C$21, $C$9, 100%, $E$9)</f>
        <v>124.6694</v>
      </c>
      <c r="T10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7">
        <f>(1000*CHOOSE(CONTROL!$C$42, 695, 695)*CHOOSE(CONTROL!$C$42, 0.5599, 0.5599)*CHOOSE(CONTROL!$C$42, 30, 30))/1000000</f>
        <v>11.673914999999997</v>
      </c>
      <c r="V1012" s="57">
        <f>(1000*CHOOSE(CONTROL!$C$42, 500, 500)*CHOOSE(CONTROL!$C$42, 0.275, 0.275)*CHOOSE(CONTROL!$C$42, 30, 30))/1000000</f>
        <v>4.125</v>
      </c>
      <c r="W1012" s="57">
        <f>(1000*CHOOSE(CONTROL!$C$42, 0.1146, 0.1146)*CHOOSE(CONTROL!$C$42, 121.5, 121.5)*CHOOSE(CONTROL!$C$42, 30, 30))/1000000</f>
        <v>0.417717</v>
      </c>
      <c r="X1012" s="57">
        <f>(30*0.1790888*245000/1000000)+(30*0.2374*100000/1000000)</f>
        <v>2.0285026799999999</v>
      </c>
      <c r="Y1012" s="57"/>
      <c r="Z1012" s="14"/>
      <c r="AA1012" s="56"/>
      <c r="AB1012" s="50">
        <f>(B1012*141.293+C1012*267.993+D1012*115.016+E1012*89.698+F1012*40+G1012*185+H1012*0+I1012*100+J1012*300)/(141.293+267.993+115.016+89.698+0+40+185+100+300)</f>
        <v>129.81932362445519</v>
      </c>
      <c r="AC1012" s="45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127.25587553956834</v>
      </c>
    </row>
    <row r="1013" spans="1:29" ht="15.75" x14ac:dyDescent="0.25">
      <c r="A1013" s="32">
        <v>71741</v>
      </c>
      <c r="B1013" s="14">
        <f>CHOOSE(CONTROL!$C$42, 130.8985, 130.8985) * CHOOSE(CONTROL!$C$21, $C$9, 100%, $E$9)</f>
        <v>130.89850000000001</v>
      </c>
      <c r="C1013" s="14">
        <f>CHOOSE(CONTROL!$C$42, 130.9066, 130.9066) * CHOOSE(CONTROL!$C$21, $C$9, 100%, $E$9)</f>
        <v>130.9066</v>
      </c>
      <c r="D1013" s="14">
        <f>CHOOSE(CONTROL!$C$42, 131.1115, 131.1115) * CHOOSE(CONTROL!$C$21, $C$9, 100%, $E$9)</f>
        <v>131.11150000000001</v>
      </c>
      <c r="E1013" s="14">
        <f>CHOOSE(CONTROL!$C$42, 131.143, 131.143) * CHOOSE(CONTROL!$C$21, $C$9, 100%, $E$9)</f>
        <v>131.143</v>
      </c>
      <c r="F1013" s="14">
        <f>CHOOSE(CONTROL!$C$42, 130.8847, 130.8847)*CHOOSE(CONTROL!$C$21, $C$9, 100%, $E$9)</f>
        <v>130.88470000000001</v>
      </c>
      <c r="G1013" s="14">
        <f>CHOOSE(CONTROL!$C$42, 130.9011, 130.9011)*CHOOSE(CONTROL!$C$21, $C$9, 100%, $E$9)</f>
        <v>130.90110000000001</v>
      </c>
      <c r="H1013" s="14">
        <f>CHOOSE(CONTROL!$C$42, 131.1316, 131.1316) * CHOOSE(CONTROL!$C$21, $C$9, 100%, $E$9)</f>
        <v>131.13159999999999</v>
      </c>
      <c r="I1013" s="14">
        <f>CHOOSE(CONTROL!$C$42, 131.3165, 131.3165)* CHOOSE(CONTROL!$C$21, $C$9, 100%, $E$9)</f>
        <v>131.31649999999999</v>
      </c>
      <c r="J1013" s="14">
        <f>CHOOSE(CONTROL!$C$42, 130.8777, 130.8777)* CHOOSE(CONTROL!$C$21, $C$9, 100%, $E$9)</f>
        <v>130.8777</v>
      </c>
      <c r="K1013" s="53">
        <f>CHOOSE(CONTROL!$C$42, 131.3126, 131.3126) * CHOOSE(CONTROL!$C$21, $C$9, 100%, $E$9)</f>
        <v>131.3126</v>
      </c>
      <c r="L1013" s="14">
        <f>CHOOSE(CONTROL!$C$42, 131.7186, 131.7186) * CHOOSE(CONTROL!$C$21, $C$9, 100%, $E$9)</f>
        <v>131.71860000000001</v>
      </c>
      <c r="M1013" s="14">
        <f>CHOOSE(CONTROL!$C$42, 128.2038, 128.2038) * CHOOSE(CONTROL!$C$21, $C$9, 100%, $E$9)</f>
        <v>128.2038</v>
      </c>
      <c r="N1013" s="14">
        <f>CHOOSE(CONTROL!$C$42, 128.2199, 128.2199) * CHOOSE(CONTROL!$C$21, $C$9, 100%, $E$9)</f>
        <v>128.2199</v>
      </c>
      <c r="O1013" s="14">
        <f>CHOOSE(CONTROL!$C$42, 128.4525, 128.4525) * CHOOSE(CONTROL!$C$21, $C$9, 100%, $E$9)</f>
        <v>128.45249999999999</v>
      </c>
      <c r="P1013" s="14">
        <f>CHOOSE(CONTROL!$C$42, 128.6255, 128.6255) * CHOOSE(CONTROL!$C$21, $C$9, 100%, $E$9)</f>
        <v>128.62549999999999</v>
      </c>
      <c r="Q1013" s="14">
        <f>CHOOSE(CONTROL!$C$42, 129.0472, 129.0472) * CHOOSE(CONTROL!$C$21, $C$9, 100%, $E$9)</f>
        <v>129.0472</v>
      </c>
      <c r="R1013" s="14">
        <f>CHOOSE(CONTROL!$C$42, 129.9568, 129.9568) * CHOOSE(CONTROL!$C$21, $C$9, 100%, $E$9)</f>
        <v>129.95679999999999</v>
      </c>
      <c r="S1013" s="14">
        <f>CHOOSE(CONTROL!$C$42, 125.7698, 125.7698) * CHOOSE(CONTROL!$C$21, $C$9, 100%, $E$9)</f>
        <v>125.7698</v>
      </c>
      <c r="T10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7">
        <f>(1000*CHOOSE(CONTROL!$C$42, 695, 695)*CHOOSE(CONTROL!$C$42, 0.5599, 0.5599)*CHOOSE(CONTROL!$C$42, 31, 31))/1000000</f>
        <v>12.063045499999998</v>
      </c>
      <c r="V1013" s="57">
        <f>(1000*CHOOSE(CONTROL!$C$42, 500, 500)*CHOOSE(CONTROL!$C$42, 0.275, 0.275)*CHOOSE(CONTROL!$C$42, 31, 31))/1000000</f>
        <v>4.2625000000000002</v>
      </c>
      <c r="W1013" s="57">
        <f>(1000*CHOOSE(CONTROL!$C$42, 0.1146, 0.1146)*CHOOSE(CONTROL!$C$42, 121.5, 121.5)*CHOOSE(CONTROL!$C$42, 31, 31))/1000000</f>
        <v>0.43164089999999994</v>
      </c>
      <c r="X1013" s="57">
        <f>(31*0.1790888*245000/1000000)+(31*0.2374*100000/1000000)</f>
        <v>2.0961194359999999</v>
      </c>
      <c r="Y1013" s="57"/>
      <c r="Z1013" s="14"/>
      <c r="AA1013" s="56"/>
      <c r="AB1013" s="50">
        <f>(B1013*194.205+C1013*267.466+D1013*133.845+E1013*53.484+F1013*40+G1013*185+H1013*0+I1013*100+J1013*300)/(194.205+267.466+133.845+53.484+0+40+185+100+300)</f>
        <v>130.96069882072211</v>
      </c>
      <c r="AC1013" s="45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128.37812302158272</v>
      </c>
    </row>
    <row r="1014" spans="1:29" ht="15.75" x14ac:dyDescent="0.25">
      <c r="A1014" s="32">
        <v>71771</v>
      </c>
      <c r="B1014" s="14">
        <f>CHOOSE(CONTROL!$C$42, 134.6113, 134.6113) * CHOOSE(CONTROL!$C$21, $C$9, 100%, $E$9)</f>
        <v>134.6113</v>
      </c>
      <c r="C1014" s="14">
        <f>CHOOSE(CONTROL!$C$42, 134.6193, 134.6193) * CHOOSE(CONTROL!$C$21, $C$9, 100%, $E$9)</f>
        <v>134.61930000000001</v>
      </c>
      <c r="D1014" s="14">
        <f>CHOOSE(CONTROL!$C$42, 134.8243, 134.8243) * CHOOSE(CONTROL!$C$21, $C$9, 100%, $E$9)</f>
        <v>134.82429999999999</v>
      </c>
      <c r="E1014" s="14">
        <f>CHOOSE(CONTROL!$C$42, 134.8558, 134.8558) * CHOOSE(CONTROL!$C$21, $C$9, 100%, $E$9)</f>
        <v>134.85579999999999</v>
      </c>
      <c r="F1014" s="14">
        <f>CHOOSE(CONTROL!$C$42, 134.5979, 134.5979)*CHOOSE(CONTROL!$C$21, $C$9, 100%, $E$9)</f>
        <v>134.59790000000001</v>
      </c>
      <c r="G1014" s="14">
        <f>CHOOSE(CONTROL!$C$42, 134.6144, 134.6144)*CHOOSE(CONTROL!$C$21, $C$9, 100%, $E$9)</f>
        <v>134.61439999999999</v>
      </c>
      <c r="H1014" s="14">
        <f>CHOOSE(CONTROL!$C$42, 134.8444, 134.8444) * CHOOSE(CONTROL!$C$21, $C$9, 100%, $E$9)</f>
        <v>134.84440000000001</v>
      </c>
      <c r="I1014" s="14">
        <f>CHOOSE(CONTROL!$C$42, 135.041, 135.041)* CHOOSE(CONTROL!$C$21, $C$9, 100%, $E$9)</f>
        <v>135.041</v>
      </c>
      <c r="J1014" s="14">
        <f>CHOOSE(CONTROL!$C$42, 134.5909, 134.5909)* CHOOSE(CONTROL!$C$21, $C$9, 100%, $E$9)</f>
        <v>134.5909</v>
      </c>
      <c r="K1014" s="53">
        <f>CHOOSE(CONTROL!$C$42, 135.0371, 135.0371) * CHOOSE(CONTROL!$C$21, $C$9, 100%, $E$9)</f>
        <v>135.03710000000001</v>
      </c>
      <c r="L1014" s="14">
        <f>CHOOSE(CONTROL!$C$42, 135.4314, 135.4314) * CHOOSE(CONTROL!$C$21, $C$9, 100%, $E$9)</f>
        <v>135.4314</v>
      </c>
      <c r="M1014" s="14">
        <f>CHOOSE(CONTROL!$C$42, 131.8409, 131.8409) * CHOOSE(CONTROL!$C$21, $C$9, 100%, $E$9)</f>
        <v>131.8409</v>
      </c>
      <c r="N1014" s="14">
        <f>CHOOSE(CONTROL!$C$42, 131.8571, 131.8571) * CHOOSE(CONTROL!$C$21, $C$9, 100%, $E$9)</f>
        <v>131.8571</v>
      </c>
      <c r="O1014" s="14">
        <f>CHOOSE(CONTROL!$C$42, 132.0892, 132.0892) * CHOOSE(CONTROL!$C$21, $C$9, 100%, $E$9)</f>
        <v>132.08920000000001</v>
      </c>
      <c r="P1014" s="14">
        <f>CHOOSE(CONTROL!$C$42, 132.2733, 132.2733) * CHOOSE(CONTROL!$C$21, $C$9, 100%, $E$9)</f>
        <v>132.27330000000001</v>
      </c>
      <c r="Q1014" s="14">
        <f>CHOOSE(CONTROL!$C$42, 132.6839, 132.6839) * CHOOSE(CONTROL!$C$21, $C$9, 100%, $E$9)</f>
        <v>132.68389999999999</v>
      </c>
      <c r="R1014" s="14">
        <f>CHOOSE(CONTROL!$C$42, 133.6027, 133.6027) * CHOOSE(CONTROL!$C$21, $C$9, 100%, $E$9)</f>
        <v>133.6027</v>
      </c>
      <c r="S1014" s="14">
        <f>CHOOSE(CONTROL!$C$42, 129.3374, 129.3374) * CHOOSE(CONTROL!$C$21, $C$9, 100%, $E$9)</f>
        <v>129.3374</v>
      </c>
      <c r="T10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7">
        <f>(1000*CHOOSE(CONTROL!$C$42, 695, 695)*CHOOSE(CONTROL!$C$42, 0.5599, 0.5599)*CHOOSE(CONTROL!$C$42, 30, 30))/1000000</f>
        <v>11.673914999999997</v>
      </c>
      <c r="V1014" s="57">
        <f>(1000*CHOOSE(CONTROL!$C$42, 500, 500)*CHOOSE(CONTROL!$C$42, 0.275, 0.275)*CHOOSE(CONTROL!$C$42, 30, 30))/1000000</f>
        <v>4.125</v>
      </c>
      <c r="W1014" s="57">
        <f>(1000*CHOOSE(CONTROL!$C$42, 0.1146, 0.1146)*CHOOSE(CONTROL!$C$42, 121.5, 121.5)*CHOOSE(CONTROL!$C$42, 30, 30))/1000000</f>
        <v>0.417717</v>
      </c>
      <c r="X1014" s="57">
        <f>(30*0.1790888*245000/1000000)+(30*0.2374*100000/1000000)</f>
        <v>2.0285026799999999</v>
      </c>
      <c r="Y1014" s="57"/>
      <c r="Z1014" s="14"/>
      <c r="AA1014" s="56"/>
      <c r="AB1014" s="50">
        <f>(B1014*194.205+C1014*267.466+D1014*133.845+E1014*53.484+F1014*40+G1014*185+H1014*0+I1014*100+J1014*300)/(194.205+267.466+133.845+53.484+0+40+185+100+300)</f>
        <v>134.67457555023552</v>
      </c>
      <c r="AC1014" s="45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132.01658705035973</v>
      </c>
    </row>
    <row r="1015" spans="1:29" ht="15.75" x14ac:dyDescent="0.25">
      <c r="A1015" s="32">
        <v>71802</v>
      </c>
      <c r="B1015" s="14">
        <f>CHOOSE(CONTROL!$C$42, 132.0291, 132.0291) * CHOOSE(CONTROL!$C$21, $C$9, 100%, $E$9)</f>
        <v>132.0291</v>
      </c>
      <c r="C1015" s="14">
        <f>CHOOSE(CONTROL!$C$42, 132.0371, 132.0371) * CHOOSE(CONTROL!$C$21, $C$9, 100%, $E$9)</f>
        <v>132.03710000000001</v>
      </c>
      <c r="D1015" s="14">
        <f>CHOOSE(CONTROL!$C$42, 132.2421, 132.2421) * CHOOSE(CONTROL!$C$21, $C$9, 100%, $E$9)</f>
        <v>132.24209999999999</v>
      </c>
      <c r="E1015" s="14">
        <f>CHOOSE(CONTROL!$C$42, 132.2735, 132.2735) * CHOOSE(CONTROL!$C$21, $C$9, 100%, $E$9)</f>
        <v>132.27350000000001</v>
      </c>
      <c r="F1015" s="14">
        <f>CHOOSE(CONTROL!$C$42, 132.016, 132.016)*CHOOSE(CONTROL!$C$21, $C$9, 100%, $E$9)</f>
        <v>132.01599999999999</v>
      </c>
      <c r="G1015" s="14">
        <f>CHOOSE(CONTROL!$C$42, 132.0327, 132.0327)*CHOOSE(CONTROL!$C$21, $C$9, 100%, $E$9)</f>
        <v>132.03270000000001</v>
      </c>
      <c r="H1015" s="14">
        <f>CHOOSE(CONTROL!$C$42, 132.2622, 132.2622) * CHOOSE(CONTROL!$C$21, $C$9, 100%, $E$9)</f>
        <v>132.26220000000001</v>
      </c>
      <c r="I1015" s="14">
        <f>CHOOSE(CONTROL!$C$42, 132.4506, 132.4506)* CHOOSE(CONTROL!$C$21, $C$9, 100%, $E$9)</f>
        <v>132.45060000000001</v>
      </c>
      <c r="J1015" s="14">
        <f>CHOOSE(CONTROL!$C$42, 132.009, 132.009)* CHOOSE(CONTROL!$C$21, $C$9, 100%, $E$9)</f>
        <v>132.00899999999999</v>
      </c>
      <c r="K1015" s="53">
        <f>CHOOSE(CONTROL!$C$42, 132.4467, 132.4467) * CHOOSE(CONTROL!$C$21, $C$9, 100%, $E$9)</f>
        <v>132.44669999999999</v>
      </c>
      <c r="L1015" s="14">
        <f>CHOOSE(CONTROL!$C$42, 132.8492, 132.8492) * CHOOSE(CONTROL!$C$21, $C$9, 100%, $E$9)</f>
        <v>132.8492</v>
      </c>
      <c r="M1015" s="14">
        <f>CHOOSE(CONTROL!$C$42, 129.312, 129.312) * CHOOSE(CONTROL!$C$21, $C$9, 100%, $E$9)</f>
        <v>129.31200000000001</v>
      </c>
      <c r="N1015" s="14">
        <f>CHOOSE(CONTROL!$C$42, 129.3282, 129.3282) * CHOOSE(CONTROL!$C$21, $C$9, 100%, $E$9)</f>
        <v>129.32820000000001</v>
      </c>
      <c r="O1015" s="14">
        <f>CHOOSE(CONTROL!$C$42, 129.5599, 129.5599) * CHOOSE(CONTROL!$C$21, $C$9, 100%, $E$9)</f>
        <v>129.5599</v>
      </c>
      <c r="P1015" s="14">
        <f>CHOOSE(CONTROL!$C$42, 129.7362, 129.7362) * CHOOSE(CONTROL!$C$21, $C$9, 100%, $E$9)</f>
        <v>129.7362</v>
      </c>
      <c r="Q1015" s="14">
        <f>CHOOSE(CONTROL!$C$42, 130.1546, 130.1546) * CHOOSE(CONTROL!$C$21, $C$9, 100%, $E$9)</f>
        <v>130.15459999999999</v>
      </c>
      <c r="R1015" s="14">
        <f>CHOOSE(CONTROL!$C$42, 131.067, 131.067) * CHOOSE(CONTROL!$C$21, $C$9, 100%, $E$9)</f>
        <v>131.06700000000001</v>
      </c>
      <c r="S1015" s="14">
        <f>CHOOSE(CONTROL!$C$42, 126.8561, 126.8561) * CHOOSE(CONTROL!$C$21, $C$9, 100%, $E$9)</f>
        <v>126.8561</v>
      </c>
      <c r="T10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7">
        <f>(1000*CHOOSE(CONTROL!$C$42, 695, 695)*CHOOSE(CONTROL!$C$42, 0.5599, 0.5599)*CHOOSE(CONTROL!$C$42, 31, 31))/1000000</f>
        <v>12.063045499999998</v>
      </c>
      <c r="V1015" s="57">
        <f>(1000*CHOOSE(CONTROL!$C$42, 500, 500)*CHOOSE(CONTROL!$C$42, 0.275, 0.275)*CHOOSE(CONTROL!$C$42, 31, 31))/1000000</f>
        <v>4.2625000000000002</v>
      </c>
      <c r="W1015" s="57">
        <f>(1000*CHOOSE(CONTROL!$C$42, 0.1146, 0.1146)*CHOOSE(CONTROL!$C$42, 121.5, 121.5)*CHOOSE(CONTROL!$C$42, 31, 31))/1000000</f>
        <v>0.43164089999999994</v>
      </c>
      <c r="X1015" s="57">
        <f>(31*0.1790888*245000/1000000)+(31*0.2374*100000/1000000)</f>
        <v>2.0961194359999999</v>
      </c>
      <c r="Y1015" s="57"/>
      <c r="Z1015" s="14"/>
      <c r="AA1015" s="56"/>
      <c r="AB1015" s="50">
        <f>(B1015*194.205+C1015*267.466+D1015*133.845+E1015*53.484+F1015*40+G1015*185+H1015*0+I1015*100+J1015*300)/(194.205+267.466+133.845+53.484+0+40+185+100+300)</f>
        <v>132.09188037880693</v>
      </c>
      <c r="AC1015" s="45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129.48632589928056</v>
      </c>
    </row>
    <row r="1016" spans="1:29" ht="15.75" x14ac:dyDescent="0.25">
      <c r="A1016" s="32">
        <v>71833</v>
      </c>
      <c r="B1016" s="14">
        <f>CHOOSE(CONTROL!$C$42, 125.508, 125.508) * CHOOSE(CONTROL!$C$21, $C$9, 100%, $E$9)</f>
        <v>125.508</v>
      </c>
      <c r="C1016" s="14">
        <f>CHOOSE(CONTROL!$C$42, 125.5161, 125.5161) * CHOOSE(CONTROL!$C$21, $C$9, 100%, $E$9)</f>
        <v>125.51609999999999</v>
      </c>
      <c r="D1016" s="14">
        <f>CHOOSE(CONTROL!$C$42, 125.721, 125.721) * CHOOSE(CONTROL!$C$21, $C$9, 100%, $E$9)</f>
        <v>125.721</v>
      </c>
      <c r="E1016" s="14">
        <f>CHOOSE(CONTROL!$C$42, 125.7525, 125.7525) * CHOOSE(CONTROL!$C$21, $C$9, 100%, $E$9)</f>
        <v>125.7525</v>
      </c>
      <c r="F1016" s="14">
        <f>CHOOSE(CONTROL!$C$42, 125.4952, 125.4952)*CHOOSE(CONTROL!$C$21, $C$9, 100%, $E$9)</f>
        <v>125.4952</v>
      </c>
      <c r="G1016" s="14">
        <f>CHOOSE(CONTROL!$C$42, 125.5119, 125.5119)*CHOOSE(CONTROL!$C$21, $C$9, 100%, $E$9)</f>
        <v>125.5119</v>
      </c>
      <c r="H1016" s="14">
        <f>CHOOSE(CONTROL!$C$42, 125.7411, 125.7411) * CHOOSE(CONTROL!$C$21, $C$9, 100%, $E$9)</f>
        <v>125.7411</v>
      </c>
      <c r="I1016" s="14">
        <f>CHOOSE(CONTROL!$C$42, 125.9092, 125.9092)* CHOOSE(CONTROL!$C$21, $C$9, 100%, $E$9)</f>
        <v>125.9092</v>
      </c>
      <c r="J1016" s="14">
        <f>CHOOSE(CONTROL!$C$42, 125.4882, 125.4882)* CHOOSE(CONTROL!$C$21, $C$9, 100%, $E$9)</f>
        <v>125.48820000000001</v>
      </c>
      <c r="K1016" s="53">
        <f>CHOOSE(CONTROL!$C$42, 125.9053, 125.9053) * CHOOSE(CONTROL!$C$21, $C$9, 100%, $E$9)</f>
        <v>125.9053</v>
      </c>
      <c r="L1016" s="14">
        <f>CHOOSE(CONTROL!$C$42, 126.3281, 126.3281) * CHOOSE(CONTROL!$C$21, $C$9, 100%, $E$9)</f>
        <v>126.32810000000001</v>
      </c>
      <c r="M1016" s="14">
        <f>CHOOSE(CONTROL!$C$42, 122.9247, 122.9247) * CHOOSE(CONTROL!$C$21, $C$9, 100%, $E$9)</f>
        <v>122.9247</v>
      </c>
      <c r="N1016" s="14">
        <f>CHOOSE(CONTROL!$C$42, 122.9411, 122.9411) * CHOOSE(CONTROL!$C$21, $C$9, 100%, $E$9)</f>
        <v>122.94110000000001</v>
      </c>
      <c r="O1016" s="14">
        <f>CHOOSE(CONTROL!$C$42, 123.1725, 123.1725) * CHOOSE(CONTROL!$C$21, $C$9, 100%, $E$9)</f>
        <v>123.1725</v>
      </c>
      <c r="P1016" s="14">
        <f>CHOOSE(CONTROL!$C$42, 123.3292, 123.3292) * CHOOSE(CONTROL!$C$21, $C$9, 100%, $E$9)</f>
        <v>123.3292</v>
      </c>
      <c r="Q1016" s="14">
        <f>CHOOSE(CONTROL!$C$42, 123.7672, 123.7672) * CHOOSE(CONTROL!$C$21, $C$9, 100%, $E$9)</f>
        <v>123.7672</v>
      </c>
      <c r="R1016" s="14">
        <f>CHOOSE(CONTROL!$C$42, 124.6636, 124.6636) * CHOOSE(CONTROL!$C$21, $C$9, 100%, $E$9)</f>
        <v>124.6636</v>
      </c>
      <c r="S1016" s="14">
        <f>CHOOSE(CONTROL!$C$42, 120.59, 120.59) * CHOOSE(CONTROL!$C$21, $C$9, 100%, $E$9)</f>
        <v>120.59</v>
      </c>
      <c r="T10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7">
        <f>(1000*CHOOSE(CONTROL!$C$42, 695, 695)*CHOOSE(CONTROL!$C$42, 0.5599, 0.5599)*CHOOSE(CONTROL!$C$42, 31, 31))/1000000</f>
        <v>12.063045499999998</v>
      </c>
      <c r="V1016" s="57">
        <f>(1000*CHOOSE(CONTROL!$C$42, 500, 500)*CHOOSE(CONTROL!$C$42, 0.275, 0.275)*CHOOSE(CONTROL!$C$42, 31, 31))/1000000</f>
        <v>4.2625000000000002</v>
      </c>
      <c r="W1016" s="57">
        <f>(1000*CHOOSE(CONTROL!$C$42, 0.1146, 0.1146)*CHOOSE(CONTROL!$C$42, 121.5, 121.5)*CHOOSE(CONTROL!$C$42, 31, 31))/1000000</f>
        <v>0.43164089999999994</v>
      </c>
      <c r="X1016" s="57">
        <f>(31*0.1790888*245000/1000000)+(31*0.2374*100000/1000000)</f>
        <v>2.0961194359999999</v>
      </c>
      <c r="Y1016" s="57"/>
      <c r="Z1016" s="14"/>
      <c r="AA1016" s="56"/>
      <c r="AB1016" s="50">
        <f>(B1016*194.205+C1016*267.466+D1016*133.845+E1016*53.484+F1016*40+G1016*185+H1016*0+I1016*100+J1016*300)/(194.205+267.466+133.845+53.484+0+40+185+100+300)</f>
        <v>125.56933579089483</v>
      </c>
      <c r="AC1016" s="45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123.09615755395684</v>
      </c>
    </row>
    <row r="1017" spans="1:29" ht="15.75" x14ac:dyDescent="0.25">
      <c r="A1017" s="32">
        <v>71863</v>
      </c>
      <c r="B1017" s="14">
        <f>CHOOSE(CONTROL!$C$42, 117.5402, 117.5402) * CHOOSE(CONTROL!$C$21, $C$9, 100%, $E$9)</f>
        <v>117.5402</v>
      </c>
      <c r="C1017" s="14">
        <f>CHOOSE(CONTROL!$C$42, 117.5482, 117.5482) * CHOOSE(CONTROL!$C$21, $C$9, 100%, $E$9)</f>
        <v>117.54819999999999</v>
      </c>
      <c r="D1017" s="14">
        <f>CHOOSE(CONTROL!$C$42, 117.7532, 117.7532) * CHOOSE(CONTROL!$C$21, $C$9, 100%, $E$9)</f>
        <v>117.75320000000001</v>
      </c>
      <c r="E1017" s="14">
        <f>CHOOSE(CONTROL!$C$42, 117.7846, 117.7846) * CHOOSE(CONTROL!$C$21, $C$9, 100%, $E$9)</f>
        <v>117.7846</v>
      </c>
      <c r="F1017" s="14">
        <f>CHOOSE(CONTROL!$C$42, 117.5273, 117.5273)*CHOOSE(CONTROL!$C$21, $C$9, 100%, $E$9)</f>
        <v>117.5273</v>
      </c>
      <c r="G1017" s="14">
        <f>CHOOSE(CONTROL!$C$42, 117.544, 117.544)*CHOOSE(CONTROL!$C$21, $C$9, 100%, $E$9)</f>
        <v>117.544</v>
      </c>
      <c r="H1017" s="14">
        <f>CHOOSE(CONTROL!$C$42, 117.7733, 117.7733) * CHOOSE(CONTROL!$C$21, $C$9, 100%, $E$9)</f>
        <v>117.77330000000001</v>
      </c>
      <c r="I1017" s="14">
        <f>CHOOSE(CONTROL!$C$42, 117.9163, 117.9163)* CHOOSE(CONTROL!$C$21, $C$9, 100%, $E$9)</f>
        <v>117.91630000000001</v>
      </c>
      <c r="J1017" s="14">
        <f>CHOOSE(CONTROL!$C$42, 117.5203, 117.5203)* CHOOSE(CONTROL!$C$21, $C$9, 100%, $E$9)</f>
        <v>117.52030000000001</v>
      </c>
      <c r="K1017" s="53">
        <f>CHOOSE(CONTROL!$C$42, 117.9124, 117.9124) * CHOOSE(CONTROL!$C$21, $C$9, 100%, $E$9)</f>
        <v>117.91240000000001</v>
      </c>
      <c r="L1017" s="14">
        <f>CHOOSE(CONTROL!$C$42, 118.3603, 118.3603) * CHOOSE(CONTROL!$C$21, $C$9, 100%, $E$9)</f>
        <v>118.3603</v>
      </c>
      <c r="M1017" s="14">
        <f>CHOOSE(CONTROL!$C$42, 115.1201, 115.1201) * CHOOSE(CONTROL!$C$21, $C$9, 100%, $E$9)</f>
        <v>115.12009999999999</v>
      </c>
      <c r="N1017" s="14">
        <f>CHOOSE(CONTROL!$C$42, 115.1364, 115.1364) * CHOOSE(CONTROL!$C$21, $C$9, 100%, $E$9)</f>
        <v>115.13639999999999</v>
      </c>
      <c r="O1017" s="14">
        <f>CHOOSE(CONTROL!$C$42, 115.3679, 115.3679) * CHOOSE(CONTROL!$C$21, $C$9, 100%, $E$9)</f>
        <v>115.36790000000001</v>
      </c>
      <c r="P1017" s="14">
        <f>CHOOSE(CONTROL!$C$42, 115.5007, 115.5007) * CHOOSE(CONTROL!$C$21, $C$9, 100%, $E$9)</f>
        <v>115.50069999999999</v>
      </c>
      <c r="Q1017" s="14">
        <f>CHOOSE(CONTROL!$C$42, 115.9626, 115.9626) * CHOOSE(CONTROL!$C$21, $C$9, 100%, $E$9)</f>
        <v>115.96259999999999</v>
      </c>
      <c r="R1017" s="14">
        <f>CHOOSE(CONTROL!$C$42, 116.8395, 116.8395) * CHOOSE(CONTROL!$C$21, $C$9, 100%, $E$9)</f>
        <v>116.8395</v>
      </c>
      <c r="S1017" s="14">
        <f>CHOOSE(CONTROL!$C$42, 112.9337, 112.9337) * CHOOSE(CONTROL!$C$21, $C$9, 100%, $E$9)</f>
        <v>112.9337</v>
      </c>
      <c r="T10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7">
        <f>(1000*CHOOSE(CONTROL!$C$42, 695, 695)*CHOOSE(CONTROL!$C$42, 0.5599, 0.5599)*CHOOSE(CONTROL!$C$42, 30, 30))/1000000</f>
        <v>11.673914999999997</v>
      </c>
      <c r="V1017" s="57">
        <f>(1000*CHOOSE(CONTROL!$C$42, 500, 500)*CHOOSE(CONTROL!$C$42, 0.275, 0.275)*CHOOSE(CONTROL!$C$42, 30, 30))/1000000</f>
        <v>4.125</v>
      </c>
      <c r="W1017" s="57">
        <f>(1000*CHOOSE(CONTROL!$C$42, 0.1146, 0.1146)*CHOOSE(CONTROL!$C$42, 121.5, 121.5)*CHOOSE(CONTROL!$C$42, 30, 30))/1000000</f>
        <v>0.417717</v>
      </c>
      <c r="X1017" s="57">
        <f>(30*0.1790888*245000/1000000)+(30*0.2374*100000/1000000)</f>
        <v>2.0285026799999999</v>
      </c>
      <c r="Y1017" s="57"/>
      <c r="Z1017" s="14"/>
      <c r="AA1017" s="56"/>
      <c r="AB1017" s="50">
        <f>(B1017*194.205+C1017*267.466+D1017*133.845+E1017*53.484+F1017*40+G1017*185+H1017*0+I1017*100+J1017*300)/(194.205+267.466+133.845+53.484+0+40+185+100+300)</f>
        <v>117.59949921711147</v>
      </c>
      <c r="AC1017" s="45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115.28811294964029</v>
      </c>
    </row>
    <row r="1018" spans="1:29" ht="15.75" x14ac:dyDescent="0.25">
      <c r="A1018" s="32">
        <v>71894</v>
      </c>
      <c r="B1018" s="14">
        <f>CHOOSE(CONTROL!$C$42, 115.1521, 115.1521) * CHOOSE(CONTROL!$C$21, $C$9, 100%, $E$9)</f>
        <v>115.1521</v>
      </c>
      <c r="C1018" s="14">
        <f>CHOOSE(CONTROL!$C$42, 115.1574, 115.1574) * CHOOSE(CONTROL!$C$21, $C$9, 100%, $E$9)</f>
        <v>115.1574</v>
      </c>
      <c r="D1018" s="14">
        <f>CHOOSE(CONTROL!$C$42, 115.3674, 115.3674) * CHOOSE(CONTROL!$C$21, $C$9, 100%, $E$9)</f>
        <v>115.3674</v>
      </c>
      <c r="E1018" s="14">
        <f>CHOOSE(CONTROL!$C$42, 115.3965, 115.3965) * CHOOSE(CONTROL!$C$21, $C$9, 100%, $E$9)</f>
        <v>115.3965</v>
      </c>
      <c r="F1018" s="14">
        <f>CHOOSE(CONTROL!$C$42, 115.1413, 115.1413)*CHOOSE(CONTROL!$C$21, $C$9, 100%, $E$9)</f>
        <v>115.1413</v>
      </c>
      <c r="G1018" s="14">
        <f>CHOOSE(CONTROL!$C$42, 115.1577, 115.1577)*CHOOSE(CONTROL!$C$21, $C$9, 100%, $E$9)</f>
        <v>115.15770000000001</v>
      </c>
      <c r="H1018" s="14">
        <f>CHOOSE(CONTROL!$C$42, 115.387, 115.387) * CHOOSE(CONTROL!$C$21, $C$9, 100%, $E$9)</f>
        <v>115.387</v>
      </c>
      <c r="I1018" s="14">
        <f>CHOOSE(CONTROL!$C$42, 115.5226, 115.5226)* CHOOSE(CONTROL!$C$21, $C$9, 100%, $E$9)</f>
        <v>115.5226</v>
      </c>
      <c r="J1018" s="14">
        <f>CHOOSE(CONTROL!$C$42, 115.1343, 115.1343)* CHOOSE(CONTROL!$C$21, $C$9, 100%, $E$9)</f>
        <v>115.1343</v>
      </c>
      <c r="K1018" s="53">
        <f>CHOOSE(CONTROL!$C$42, 115.5187, 115.5187) * CHOOSE(CONTROL!$C$21, $C$9, 100%, $E$9)</f>
        <v>115.5187</v>
      </c>
      <c r="L1018" s="14">
        <f>CHOOSE(CONTROL!$C$42, 115.974, 115.974) * CHOOSE(CONTROL!$C$21, $C$9, 100%, $E$9)</f>
        <v>115.974</v>
      </c>
      <c r="M1018" s="14">
        <f>CHOOSE(CONTROL!$C$42, 112.783, 112.783) * CHOOSE(CONTROL!$C$21, $C$9, 100%, $E$9)</f>
        <v>112.783</v>
      </c>
      <c r="N1018" s="14">
        <f>CHOOSE(CONTROL!$C$42, 112.799, 112.799) * CHOOSE(CONTROL!$C$21, $C$9, 100%, $E$9)</f>
        <v>112.79900000000001</v>
      </c>
      <c r="O1018" s="14">
        <f>CHOOSE(CONTROL!$C$42, 113.0305, 113.0305) * CHOOSE(CONTROL!$C$21, $C$9, 100%, $E$9)</f>
        <v>113.0305</v>
      </c>
      <c r="P1018" s="14">
        <f>CHOOSE(CONTROL!$C$42, 113.1561, 113.1561) * CHOOSE(CONTROL!$C$21, $C$9, 100%, $E$9)</f>
        <v>113.1561</v>
      </c>
      <c r="Q1018" s="14">
        <f>CHOOSE(CONTROL!$C$42, 113.6252, 113.6252) * CHOOSE(CONTROL!$C$21, $C$9, 100%, $E$9)</f>
        <v>113.62520000000001</v>
      </c>
      <c r="R1018" s="14">
        <f>CHOOSE(CONTROL!$C$42, 114.4962, 114.4962) * CHOOSE(CONTROL!$C$21, $C$9, 100%, $E$9)</f>
        <v>114.4962</v>
      </c>
      <c r="S1018" s="14">
        <f>CHOOSE(CONTROL!$C$42, 110.6407, 110.6407) * CHOOSE(CONTROL!$C$21, $C$9, 100%, $E$9)</f>
        <v>110.6407</v>
      </c>
      <c r="T10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7">
        <f>(1000*CHOOSE(CONTROL!$C$42, 695, 695)*CHOOSE(CONTROL!$C$42, 0.5599, 0.5599)*CHOOSE(CONTROL!$C$42, 31, 31))/1000000</f>
        <v>12.063045499999998</v>
      </c>
      <c r="V1018" s="57">
        <f>(1000*CHOOSE(CONTROL!$C$42, 500, 500)*CHOOSE(CONTROL!$C$42, 0.275, 0.275)*CHOOSE(CONTROL!$C$42, 31, 31))/1000000</f>
        <v>4.2625000000000002</v>
      </c>
      <c r="W1018" s="57">
        <f>(1000*CHOOSE(CONTROL!$C$42, 0.1146, 0.1146)*CHOOSE(CONTROL!$C$42, 121.5, 121.5)*CHOOSE(CONTROL!$C$42, 31, 31))/1000000</f>
        <v>0.43164089999999994</v>
      </c>
      <c r="X1018" s="57">
        <f>(31*0.1790888*245000/1000000)+(31*0.2374*100000/1000000)</f>
        <v>2.0961194359999999</v>
      </c>
      <c r="Y1018" s="57"/>
      <c r="Z1018" s="14"/>
      <c r="AA1018" s="56"/>
      <c r="AB1018" s="50">
        <f>(B1018*131.881+C1018*277.167+D1018*79.08+E1018*125.872+F1018*40+G1018*185+H1018*0+I1018*100+J1018*300)/(131.881+277.167+79.08+125.872+0+40+185+100+300)</f>
        <v>115.21793698619854</v>
      </c>
      <c r="AC1018" s="45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112.94978057553958</v>
      </c>
    </row>
    <row r="1019" spans="1:29" ht="15.75" x14ac:dyDescent="0.25">
      <c r="A1019" s="32">
        <v>71924</v>
      </c>
      <c r="B1019" s="14">
        <f>CHOOSE(CONTROL!$C$42, 118.1851, 118.1851) * CHOOSE(CONTROL!$C$21, $C$9, 100%, $E$9)</f>
        <v>118.18510000000001</v>
      </c>
      <c r="C1019" s="14">
        <f>CHOOSE(CONTROL!$C$42, 118.1901, 118.1901) * CHOOSE(CONTROL!$C$21, $C$9, 100%, $E$9)</f>
        <v>118.1901</v>
      </c>
      <c r="D1019" s="14">
        <f>CHOOSE(CONTROL!$C$42, 118.254, 118.254) * CHOOSE(CONTROL!$C$21, $C$9, 100%, $E$9)</f>
        <v>118.254</v>
      </c>
      <c r="E1019" s="14">
        <f>CHOOSE(CONTROL!$C$42, 118.2881, 118.2881) * CHOOSE(CONTROL!$C$21, $C$9, 100%, $E$9)</f>
        <v>118.2881</v>
      </c>
      <c r="F1019" s="14">
        <f>CHOOSE(CONTROL!$C$42, 118.1873, 118.1873)*CHOOSE(CONTROL!$C$21, $C$9, 100%, $E$9)</f>
        <v>118.18729999999999</v>
      </c>
      <c r="G1019" s="14">
        <f>CHOOSE(CONTROL!$C$42, 118.204, 118.204)*CHOOSE(CONTROL!$C$21, $C$9, 100%, $E$9)</f>
        <v>118.20399999999999</v>
      </c>
      <c r="H1019" s="14">
        <f>CHOOSE(CONTROL!$C$42, 118.2773, 118.2773) * CHOOSE(CONTROL!$C$21, $C$9, 100%, $E$9)</f>
        <v>118.2773</v>
      </c>
      <c r="I1019" s="14">
        <f>CHOOSE(CONTROL!$C$42, 118.5691, 118.5691)* CHOOSE(CONTROL!$C$21, $C$9, 100%, $E$9)</f>
        <v>118.56910000000001</v>
      </c>
      <c r="J1019" s="14">
        <f>CHOOSE(CONTROL!$C$42, 118.1803, 118.1803)* CHOOSE(CONTROL!$C$21, $C$9, 100%, $E$9)</f>
        <v>118.1803</v>
      </c>
      <c r="K1019" s="53">
        <f>CHOOSE(CONTROL!$C$42, 118.5652, 118.5652) * CHOOSE(CONTROL!$C$21, $C$9, 100%, $E$9)</f>
        <v>118.5652</v>
      </c>
      <c r="L1019" s="14">
        <f>CHOOSE(CONTROL!$C$42, 118.8643, 118.8643) * CHOOSE(CONTROL!$C$21, $C$9, 100%, $E$9)</f>
        <v>118.8643</v>
      </c>
      <c r="M1019" s="14">
        <f>CHOOSE(CONTROL!$C$42, 115.7666, 115.7666) * CHOOSE(CONTROL!$C$21, $C$9, 100%, $E$9)</f>
        <v>115.7666</v>
      </c>
      <c r="N1019" s="14">
        <f>CHOOSE(CONTROL!$C$42, 115.7829, 115.7829) * CHOOSE(CONTROL!$C$21, $C$9, 100%, $E$9)</f>
        <v>115.7829</v>
      </c>
      <c r="O1019" s="14">
        <f>CHOOSE(CONTROL!$C$42, 115.8615, 115.8615) * CHOOSE(CONTROL!$C$21, $C$9, 100%, $E$9)</f>
        <v>115.86150000000001</v>
      </c>
      <c r="P1019" s="14">
        <f>CHOOSE(CONTROL!$C$42, 116.14, 116.14) * CHOOSE(CONTROL!$C$21, $C$9, 100%, $E$9)</f>
        <v>116.14</v>
      </c>
      <c r="Q1019" s="14">
        <f>CHOOSE(CONTROL!$C$42, 116.4562, 116.4562) * CHOOSE(CONTROL!$C$21, $C$9, 100%, $E$9)</f>
        <v>116.4562</v>
      </c>
      <c r="R1019" s="14">
        <f>CHOOSE(CONTROL!$C$42, 117.3344, 117.3344) * CHOOSE(CONTROL!$C$21, $C$9, 100%, $E$9)</f>
        <v>117.3344</v>
      </c>
      <c r="S1019" s="14">
        <f>CHOOSE(CONTROL!$C$42, 113.5555, 113.5555) * CHOOSE(CONTROL!$C$21, $C$9, 100%, $E$9)</f>
        <v>113.55549999999999</v>
      </c>
      <c r="T10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7">
        <f>(1000*CHOOSE(CONTROL!$C$42, 695, 695)*CHOOSE(CONTROL!$C$42, 0.5599, 0.5599)*CHOOSE(CONTROL!$C$42, 30, 30))/1000000</f>
        <v>11.673914999999997</v>
      </c>
      <c r="V1019" s="57">
        <f>(1000*CHOOSE(CONTROL!$C$42, 500, 500)*CHOOSE(CONTROL!$C$42, 0.275, 0.275)*CHOOSE(CONTROL!$C$42, 30, 30))/1000000</f>
        <v>4.125</v>
      </c>
      <c r="W1019" s="57">
        <f>(1000*CHOOSE(CONTROL!$C$42, 0.1146, 0.1146)*CHOOSE(CONTROL!$C$42, 121.5, 121.5)*CHOOSE(CONTROL!$C$42, 30, 30))/1000000</f>
        <v>0.417717</v>
      </c>
      <c r="X1019" s="57">
        <f>(30*0.1790888*100000/1000000)+(30*0.2374*100000/1000000)</f>
        <v>1.2494664</v>
      </c>
      <c r="Y1019" s="57"/>
      <c r="Z1019" s="14"/>
      <c r="AA1019" s="56"/>
      <c r="AB1019" s="50">
        <f>(B1019*122.58+C1019*297.941+D1019*89.177+E1019*40.302+F1019*40+G1019*160+H1019*0+I1019*100+J1019*300)/(122.58+297.941+89.177+40.302+0+40+160+100+300)</f>
        <v>118.23019313591304</v>
      </c>
      <c r="AC1019" s="45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115.86427697841727</v>
      </c>
    </row>
    <row r="1020" spans="1:29" ht="15.75" x14ac:dyDescent="0.25">
      <c r="A1020" s="32">
        <v>71955</v>
      </c>
      <c r="B1020" s="14">
        <f>CHOOSE(CONTROL!$C$42, 126.2422, 126.2422) * CHOOSE(CONTROL!$C$21, $C$9, 100%, $E$9)</f>
        <v>126.2422</v>
      </c>
      <c r="C1020" s="14">
        <f>CHOOSE(CONTROL!$C$42, 126.2473, 126.2473) * CHOOSE(CONTROL!$C$21, $C$9, 100%, $E$9)</f>
        <v>126.2473</v>
      </c>
      <c r="D1020" s="14">
        <f>CHOOSE(CONTROL!$C$42, 126.3111, 126.3111) * CHOOSE(CONTROL!$C$21, $C$9, 100%, $E$9)</f>
        <v>126.3111</v>
      </c>
      <c r="E1020" s="14">
        <f>CHOOSE(CONTROL!$C$42, 126.3452, 126.3452) * CHOOSE(CONTROL!$C$21, $C$9, 100%, $E$9)</f>
        <v>126.34520000000001</v>
      </c>
      <c r="F1020" s="14">
        <f>CHOOSE(CONTROL!$C$42, 126.2465, 126.2465)*CHOOSE(CONTROL!$C$21, $C$9, 100%, $E$9)</f>
        <v>126.2465</v>
      </c>
      <c r="G1020" s="14">
        <f>CHOOSE(CONTROL!$C$42, 126.2637, 126.2637)*CHOOSE(CONTROL!$C$21, $C$9, 100%, $E$9)</f>
        <v>126.2637</v>
      </c>
      <c r="H1020" s="14">
        <f>CHOOSE(CONTROL!$C$42, 126.3344, 126.3344) * CHOOSE(CONTROL!$C$21, $C$9, 100%, $E$9)</f>
        <v>126.3344</v>
      </c>
      <c r="I1020" s="14">
        <f>CHOOSE(CONTROL!$C$42, 126.6515, 126.6515)* CHOOSE(CONTROL!$C$21, $C$9, 100%, $E$9)</f>
        <v>126.6515</v>
      </c>
      <c r="J1020" s="14">
        <f>CHOOSE(CONTROL!$C$42, 126.2395, 126.2395)* CHOOSE(CONTROL!$C$21, $C$9, 100%, $E$9)</f>
        <v>126.23950000000001</v>
      </c>
      <c r="K1020" s="53">
        <f>CHOOSE(CONTROL!$C$42, 126.6476, 126.6476) * CHOOSE(CONTROL!$C$21, $C$9, 100%, $E$9)</f>
        <v>126.6476</v>
      </c>
      <c r="L1020" s="14">
        <f>CHOOSE(CONTROL!$C$42, 126.9214, 126.9214) * CHOOSE(CONTROL!$C$21, $C$9, 100%, $E$9)</f>
        <v>126.92140000000001</v>
      </c>
      <c r="M1020" s="14">
        <f>CHOOSE(CONTROL!$C$42, 123.6607, 123.6607) * CHOOSE(CONTROL!$C$21, $C$9, 100%, $E$9)</f>
        <v>123.66070000000001</v>
      </c>
      <c r="N1020" s="14">
        <f>CHOOSE(CONTROL!$C$42, 123.6775, 123.6775) * CHOOSE(CONTROL!$C$21, $C$9, 100%, $E$9)</f>
        <v>123.67749999999999</v>
      </c>
      <c r="O1020" s="14">
        <f>CHOOSE(CONTROL!$C$42, 123.7536, 123.7536) * CHOOSE(CONTROL!$C$21, $C$9, 100%, $E$9)</f>
        <v>123.75360000000001</v>
      </c>
      <c r="P1020" s="14">
        <f>CHOOSE(CONTROL!$C$42, 124.0563, 124.0563) * CHOOSE(CONTROL!$C$21, $C$9, 100%, $E$9)</f>
        <v>124.05629999999999</v>
      </c>
      <c r="Q1020" s="14">
        <f>CHOOSE(CONTROL!$C$42, 124.3483, 124.3483) * CHOOSE(CONTROL!$C$21, $C$9, 100%, $E$9)</f>
        <v>124.34829999999999</v>
      </c>
      <c r="R1020" s="14">
        <f>CHOOSE(CONTROL!$C$42, 125.2462, 125.2462) * CHOOSE(CONTROL!$C$21, $C$9, 100%, $E$9)</f>
        <v>125.2462</v>
      </c>
      <c r="S1020" s="14">
        <f>CHOOSE(CONTROL!$C$42, 121.2976, 121.2976) * CHOOSE(CONTROL!$C$21, $C$9, 100%, $E$9)</f>
        <v>121.2976</v>
      </c>
      <c r="T10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7">
        <f>(1000*CHOOSE(CONTROL!$C$42, 695, 695)*CHOOSE(CONTROL!$C$42, 0.5599, 0.5599)*CHOOSE(CONTROL!$C$42, 31, 31))/1000000</f>
        <v>12.063045499999998</v>
      </c>
      <c r="V1020" s="57">
        <f>(1000*CHOOSE(CONTROL!$C$42, 500, 500)*CHOOSE(CONTROL!$C$42, 0.275, 0.275)*CHOOSE(CONTROL!$C$42, 31, 31))/1000000</f>
        <v>4.2625000000000002</v>
      </c>
      <c r="W1020" s="57">
        <f>(1000*CHOOSE(CONTROL!$C$42, 0.1146, 0.1146)*CHOOSE(CONTROL!$C$42, 121.5, 121.5)*CHOOSE(CONTROL!$C$42, 31, 31))/1000000</f>
        <v>0.43164089999999994</v>
      </c>
      <c r="X1020" s="57">
        <f>(31*0.1790888*100000/1000000)+(31*0.2374*100000/1000000)</f>
        <v>1.2911152800000001</v>
      </c>
      <c r="Y1020" s="57"/>
      <c r="Z1020" s="14"/>
      <c r="AA1020" s="56"/>
      <c r="AB1020" s="50">
        <f>(B1020*122.58+C1020*297.941+D1020*89.177+E1020*40.302+F1020*40+G1020*160+H1020*0+I1020*100+J1020*300)/(122.58+297.941+89.177+40.302+0+40+160+100+300)</f>
        <v>126.29050165252173</v>
      </c>
      <c r="AC1020" s="45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123.76069352517987</v>
      </c>
    </row>
    <row r="1021" spans="1:29" ht="15.75" x14ac:dyDescent="0.25">
      <c r="A1021" s="32">
        <v>71986</v>
      </c>
      <c r="B1021" s="14">
        <f>CHOOSE(CONTROL!$C$42, 136.5825, 136.5825) * CHOOSE(CONTROL!$C$21, $C$9, 100%, $E$9)</f>
        <v>136.58250000000001</v>
      </c>
      <c r="C1021" s="14">
        <f>CHOOSE(CONTROL!$C$42, 136.5875, 136.5875) * CHOOSE(CONTROL!$C$21, $C$9, 100%, $E$9)</f>
        <v>136.58750000000001</v>
      </c>
      <c r="D1021" s="14">
        <f>CHOOSE(CONTROL!$C$42, 136.6461, 136.6461) * CHOOSE(CONTROL!$C$21, $C$9, 100%, $E$9)</f>
        <v>136.64609999999999</v>
      </c>
      <c r="E1021" s="14">
        <f>CHOOSE(CONTROL!$C$42, 136.6802, 136.6802) * CHOOSE(CONTROL!$C$21, $C$9, 100%, $E$9)</f>
        <v>136.68020000000001</v>
      </c>
      <c r="F1021" s="14">
        <f>CHOOSE(CONTROL!$C$42, 136.5816, 136.5816)*CHOOSE(CONTROL!$C$21, $C$9, 100%, $E$9)</f>
        <v>136.58160000000001</v>
      </c>
      <c r="G1021" s="14">
        <f>CHOOSE(CONTROL!$C$42, 136.598, 136.598)*CHOOSE(CONTROL!$C$21, $C$9, 100%, $E$9)</f>
        <v>136.59800000000001</v>
      </c>
      <c r="H1021" s="14">
        <f>CHOOSE(CONTROL!$C$42, 136.6694, 136.6694) * CHOOSE(CONTROL!$C$21, $C$9, 100%, $E$9)</f>
        <v>136.6694</v>
      </c>
      <c r="I1021" s="14">
        <f>CHOOSE(CONTROL!$C$42, 137.0205, 137.0205)* CHOOSE(CONTROL!$C$21, $C$9, 100%, $E$9)</f>
        <v>137.0205</v>
      </c>
      <c r="J1021" s="14">
        <f>CHOOSE(CONTROL!$C$42, 136.5746, 136.5746)* CHOOSE(CONTROL!$C$21, $C$9, 100%, $E$9)</f>
        <v>136.5746</v>
      </c>
      <c r="K1021" s="53">
        <f>CHOOSE(CONTROL!$C$42, 137.0166, 137.0166) * CHOOSE(CONTROL!$C$21, $C$9, 100%, $E$9)</f>
        <v>137.01660000000001</v>
      </c>
      <c r="L1021" s="14">
        <f>CHOOSE(CONTROL!$C$42, 137.2564, 137.2564) * CHOOSE(CONTROL!$C$21, $C$9, 100%, $E$9)</f>
        <v>137.25640000000001</v>
      </c>
      <c r="M1021" s="14">
        <f>CHOOSE(CONTROL!$C$42, 133.7839, 133.7839) * CHOOSE(CONTROL!$C$21, $C$9, 100%, $E$9)</f>
        <v>133.78389999999999</v>
      </c>
      <c r="N1021" s="14">
        <f>CHOOSE(CONTROL!$C$42, 133.8, 133.8) * CHOOSE(CONTROL!$C$21, $C$9, 100%, $E$9)</f>
        <v>133.80000000000001</v>
      </c>
      <c r="O1021" s="14">
        <f>CHOOSE(CONTROL!$C$42, 133.8769, 133.8769) * CHOOSE(CONTROL!$C$21, $C$9, 100%, $E$9)</f>
        <v>133.87690000000001</v>
      </c>
      <c r="P1021" s="14">
        <f>CHOOSE(CONTROL!$C$42, 134.2122, 134.2122) * CHOOSE(CONTROL!$C$21, $C$9, 100%, $E$9)</f>
        <v>134.2122</v>
      </c>
      <c r="Q1021" s="14">
        <f>CHOOSE(CONTROL!$C$42, 134.4716, 134.4716) * CHOOSE(CONTROL!$C$21, $C$9, 100%, $E$9)</f>
        <v>134.4716</v>
      </c>
      <c r="R1021" s="14">
        <f>CHOOSE(CONTROL!$C$42, 135.3948, 135.3948) * CHOOSE(CONTROL!$C$21, $C$9, 100%, $E$9)</f>
        <v>135.3948</v>
      </c>
      <c r="S1021" s="14">
        <f>CHOOSE(CONTROL!$C$42, 131.2336, 131.2336) * CHOOSE(CONTROL!$C$21, $C$9, 100%, $E$9)</f>
        <v>131.2336</v>
      </c>
      <c r="T10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7">
        <f>(1000*CHOOSE(CONTROL!$C$42, 695, 695)*CHOOSE(CONTROL!$C$42, 0.5599, 0.5599)*CHOOSE(CONTROL!$C$42, 31, 31))/1000000</f>
        <v>12.063045499999998</v>
      </c>
      <c r="V1021" s="57">
        <f>(1000*CHOOSE(CONTROL!$C$42, 500, 500)*CHOOSE(CONTROL!$C$42, 0.275, 0.275)*CHOOSE(CONTROL!$C$42, 31, 31))/1000000</f>
        <v>4.2625000000000002</v>
      </c>
      <c r="W1021" s="57">
        <f>(1000*CHOOSE(CONTROL!$C$42, 0.1146, 0.1146)*CHOOSE(CONTROL!$C$42, 121.5, 121.5)*CHOOSE(CONTROL!$C$42, 31, 31))/1000000</f>
        <v>0.43164089999999994</v>
      </c>
      <c r="X1021" s="57">
        <f>(31*0.1790888*100000/1000000)+(31*0.2374*100000/1000000)</f>
        <v>1.2911152800000001</v>
      </c>
      <c r="Y1021" s="57"/>
      <c r="Z1021" s="14"/>
      <c r="AA1021" s="56"/>
      <c r="AB1021" s="50">
        <f>(B1021*122.58+C1021*297.941+D1021*89.177+E1021*40.302+F1021*40+G1021*160+H1021*0+I1021*100+J1021*300)/(122.58+297.941+89.177+40.302+0+40+160+100+300)</f>
        <v>136.63030249356521</v>
      </c>
      <c r="AC1021" s="45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133.88860359712228</v>
      </c>
    </row>
    <row r="1022" spans="1:29" ht="15.75" x14ac:dyDescent="0.25">
      <c r="A1022" s="32">
        <v>72014</v>
      </c>
      <c r="B1022" s="14">
        <f>CHOOSE(CONTROL!$C$42, 139.0137, 139.0137) * CHOOSE(CONTROL!$C$21, $C$9, 100%, $E$9)</f>
        <v>139.0137</v>
      </c>
      <c r="C1022" s="14">
        <f>CHOOSE(CONTROL!$C$42, 139.0187, 139.0187) * CHOOSE(CONTROL!$C$21, $C$9, 100%, $E$9)</f>
        <v>139.0187</v>
      </c>
      <c r="D1022" s="14">
        <f>CHOOSE(CONTROL!$C$42, 139.0773, 139.0773) * CHOOSE(CONTROL!$C$21, $C$9, 100%, $E$9)</f>
        <v>139.07730000000001</v>
      </c>
      <c r="E1022" s="14">
        <f>CHOOSE(CONTROL!$C$42, 139.1114, 139.1114) * CHOOSE(CONTROL!$C$21, $C$9, 100%, $E$9)</f>
        <v>139.1114</v>
      </c>
      <c r="F1022" s="14">
        <f>CHOOSE(CONTROL!$C$42, 139.0127, 139.0127)*CHOOSE(CONTROL!$C$21, $C$9, 100%, $E$9)</f>
        <v>139.0127</v>
      </c>
      <c r="G1022" s="14">
        <f>CHOOSE(CONTROL!$C$42, 139.0291, 139.0291)*CHOOSE(CONTROL!$C$21, $C$9, 100%, $E$9)</f>
        <v>139.0291</v>
      </c>
      <c r="H1022" s="14">
        <f>CHOOSE(CONTROL!$C$42, 139.1006, 139.1006) * CHOOSE(CONTROL!$C$21, $C$9, 100%, $E$9)</f>
        <v>139.10059999999999</v>
      </c>
      <c r="I1022" s="14">
        <f>CHOOSE(CONTROL!$C$42, 139.4593, 139.4593)* CHOOSE(CONTROL!$C$21, $C$9, 100%, $E$9)</f>
        <v>139.45930000000001</v>
      </c>
      <c r="J1022" s="14">
        <f>CHOOSE(CONTROL!$C$42, 139.0057, 139.0057)* CHOOSE(CONTROL!$C$21, $C$9, 100%, $E$9)</f>
        <v>139.00569999999999</v>
      </c>
      <c r="K1022" s="53">
        <f>CHOOSE(CONTROL!$C$42, 139.4554, 139.4554) * CHOOSE(CONTROL!$C$21, $C$9, 100%, $E$9)</f>
        <v>139.4554</v>
      </c>
      <c r="L1022" s="14">
        <f>CHOOSE(CONTROL!$C$42, 139.6876, 139.6876) * CHOOSE(CONTROL!$C$21, $C$9, 100%, $E$9)</f>
        <v>139.6876</v>
      </c>
      <c r="M1022" s="14">
        <f>CHOOSE(CONTROL!$C$42, 136.1653, 136.1653) * CHOOSE(CONTROL!$C$21, $C$9, 100%, $E$9)</f>
        <v>136.1653</v>
      </c>
      <c r="N1022" s="14">
        <f>CHOOSE(CONTROL!$C$42, 136.1813, 136.1813) * CHOOSE(CONTROL!$C$21, $C$9, 100%, $E$9)</f>
        <v>136.18129999999999</v>
      </c>
      <c r="O1022" s="14">
        <f>CHOOSE(CONTROL!$C$42, 136.2583, 136.2583) * CHOOSE(CONTROL!$C$21, $C$9, 100%, $E$9)</f>
        <v>136.25829999999999</v>
      </c>
      <c r="P1022" s="14">
        <f>CHOOSE(CONTROL!$C$42, 136.6009, 136.6009) * CHOOSE(CONTROL!$C$21, $C$9, 100%, $E$9)</f>
        <v>136.6009</v>
      </c>
      <c r="Q1022" s="14">
        <f>CHOOSE(CONTROL!$C$42, 136.853, 136.853) * CHOOSE(CONTROL!$C$21, $C$9, 100%, $E$9)</f>
        <v>136.85300000000001</v>
      </c>
      <c r="R1022" s="14">
        <f>CHOOSE(CONTROL!$C$42, 137.7821, 137.7821) * CHOOSE(CONTROL!$C$21, $C$9, 100%, $E$9)</f>
        <v>137.78210000000001</v>
      </c>
      <c r="S1022" s="14">
        <f>CHOOSE(CONTROL!$C$42, 133.5697, 133.5697) * CHOOSE(CONTROL!$C$21, $C$9, 100%, $E$9)</f>
        <v>133.56970000000001</v>
      </c>
      <c r="T10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7">
        <f>(1000*CHOOSE(CONTROL!$C$42, 695, 695)*CHOOSE(CONTROL!$C$42, 0.5599, 0.5599)*CHOOSE(CONTROL!$C$42, 28, 28))/1000000</f>
        <v>10.895653999999999</v>
      </c>
      <c r="V1022" s="57">
        <f>(1000*CHOOSE(CONTROL!$C$42, 500, 500)*CHOOSE(CONTROL!$C$42, 0.275, 0.275)*CHOOSE(CONTROL!$C$42, 28, 28))/1000000</f>
        <v>3.85</v>
      </c>
      <c r="W1022" s="57">
        <f>(1000*CHOOSE(CONTROL!$C$42, 0.1146, 0.1146)*CHOOSE(CONTROL!$C$42, 121.5, 121.5)*CHOOSE(CONTROL!$C$42, 28, 28))/1000000</f>
        <v>0.38986920000000003</v>
      </c>
      <c r="X1022" s="57">
        <f>(28*0.1790888*100000/1000000)+(28*0.2374*100000/1000000)</f>
        <v>1.16616864</v>
      </c>
      <c r="Y1022" s="57"/>
      <c r="Z1022" s="14"/>
      <c r="AA1022" s="56"/>
      <c r="AB1022" s="50">
        <f>(B1022*122.58+C1022*297.941+D1022*89.177+E1022*40.302+F1022*40+G1022*160+H1022*0+I1022*100+J1022*300)/(122.58+297.941+89.177+40.302+0+40+160+100+300)</f>
        <v>139.06211988486956</v>
      </c>
      <c r="AC1022" s="45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136.27104820143884</v>
      </c>
    </row>
    <row r="1023" spans="1:29" ht="15.75" x14ac:dyDescent="0.25">
      <c r="A1023" s="32">
        <v>72045</v>
      </c>
      <c r="B1023" s="14">
        <f>CHOOSE(CONTROL!$C$42, 135.0672, 135.0672) * CHOOSE(CONTROL!$C$21, $C$9, 100%, $E$9)</f>
        <v>135.06720000000001</v>
      </c>
      <c r="C1023" s="14">
        <f>CHOOSE(CONTROL!$C$42, 135.0723, 135.0723) * CHOOSE(CONTROL!$C$21, $C$9, 100%, $E$9)</f>
        <v>135.07230000000001</v>
      </c>
      <c r="D1023" s="14">
        <f>CHOOSE(CONTROL!$C$42, 135.1309, 135.1309) * CHOOSE(CONTROL!$C$21, $C$9, 100%, $E$9)</f>
        <v>135.1309</v>
      </c>
      <c r="E1023" s="14">
        <f>CHOOSE(CONTROL!$C$42, 135.165, 135.165) * CHOOSE(CONTROL!$C$21, $C$9, 100%, $E$9)</f>
        <v>135.16499999999999</v>
      </c>
      <c r="F1023" s="14">
        <f>CHOOSE(CONTROL!$C$42, 135.0658, 135.0658)*CHOOSE(CONTROL!$C$21, $C$9, 100%, $E$9)</f>
        <v>135.0658</v>
      </c>
      <c r="G1023" s="14">
        <f>CHOOSE(CONTROL!$C$42, 135.0821, 135.0821)*CHOOSE(CONTROL!$C$21, $C$9, 100%, $E$9)</f>
        <v>135.0821</v>
      </c>
      <c r="H1023" s="14">
        <f>CHOOSE(CONTROL!$C$42, 135.1542, 135.1542) * CHOOSE(CONTROL!$C$21, $C$9, 100%, $E$9)</f>
        <v>135.1542</v>
      </c>
      <c r="I1023" s="14">
        <f>CHOOSE(CONTROL!$C$42, 135.5005, 135.5005)* CHOOSE(CONTROL!$C$21, $C$9, 100%, $E$9)</f>
        <v>135.50049999999999</v>
      </c>
      <c r="J1023" s="14">
        <f>CHOOSE(CONTROL!$C$42, 135.0588, 135.0588)* CHOOSE(CONTROL!$C$21, $C$9, 100%, $E$9)</f>
        <v>135.05879999999999</v>
      </c>
      <c r="K1023" s="53">
        <f>CHOOSE(CONTROL!$C$42, 135.4966, 135.4966) * CHOOSE(CONTROL!$C$21, $C$9, 100%, $E$9)</f>
        <v>135.4966</v>
      </c>
      <c r="L1023" s="14">
        <f>CHOOSE(CONTROL!$C$42, 135.7412, 135.7412) * CHOOSE(CONTROL!$C$21, $C$9, 100%, $E$9)</f>
        <v>135.74119999999999</v>
      </c>
      <c r="M1023" s="14">
        <f>CHOOSE(CONTROL!$C$42, 132.2992, 132.2992) * CHOOSE(CONTROL!$C$21, $C$9, 100%, $E$9)</f>
        <v>132.29920000000001</v>
      </c>
      <c r="N1023" s="14">
        <f>CHOOSE(CONTROL!$C$42, 132.3152, 132.3152) * CHOOSE(CONTROL!$C$21, $C$9, 100%, $E$9)</f>
        <v>132.3152</v>
      </c>
      <c r="O1023" s="14">
        <f>CHOOSE(CONTROL!$C$42, 132.3927, 132.3927) * CHOOSE(CONTROL!$C$21, $C$9, 100%, $E$9)</f>
        <v>132.39269999999999</v>
      </c>
      <c r="P1023" s="14">
        <f>CHOOSE(CONTROL!$C$42, 132.7234, 132.7234) * CHOOSE(CONTROL!$C$21, $C$9, 100%, $E$9)</f>
        <v>132.7234</v>
      </c>
      <c r="Q1023" s="14">
        <f>CHOOSE(CONTROL!$C$42, 132.9874, 132.9874) * CHOOSE(CONTROL!$C$21, $C$9, 100%, $E$9)</f>
        <v>132.98740000000001</v>
      </c>
      <c r="R1023" s="14">
        <f>CHOOSE(CONTROL!$C$42, 133.9069, 133.9069) * CHOOSE(CONTROL!$C$21, $C$9, 100%, $E$9)</f>
        <v>133.90690000000001</v>
      </c>
      <c r="S1023" s="14">
        <f>CHOOSE(CONTROL!$C$42, 129.7776, 129.7776) * CHOOSE(CONTROL!$C$21, $C$9, 100%, $E$9)</f>
        <v>129.77760000000001</v>
      </c>
      <c r="T10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7">
        <f>(1000*CHOOSE(CONTROL!$C$42, 695, 695)*CHOOSE(CONTROL!$C$42, 0.5599, 0.5599)*CHOOSE(CONTROL!$C$42, 31, 31))/1000000</f>
        <v>12.063045499999998</v>
      </c>
      <c r="V1023" s="57">
        <f>(1000*CHOOSE(CONTROL!$C$42, 500, 500)*CHOOSE(CONTROL!$C$42, 0.275, 0.275)*CHOOSE(CONTROL!$C$42, 31, 31))/1000000</f>
        <v>4.2625000000000002</v>
      </c>
      <c r="W1023" s="57">
        <f>(1000*CHOOSE(CONTROL!$C$42, 0.1146, 0.1146)*CHOOSE(CONTROL!$C$42, 121.5, 121.5)*CHOOSE(CONTROL!$C$42, 31, 31))/1000000</f>
        <v>0.43164089999999994</v>
      </c>
      <c r="X1023" s="57">
        <f>(31*0.1790888*100000/1000000)+(31*0.2374*100000/1000000)</f>
        <v>1.2911152800000001</v>
      </c>
      <c r="Y1023" s="57"/>
      <c r="Z1023" s="14"/>
      <c r="AA1023" s="56"/>
      <c r="AB1023" s="50">
        <f>(B1023*122.58+C1023*297.941+D1023*89.177+E1023*40.302+F1023*40+G1023*160+H1023*0+I1023*100+J1023*300)/(122.58+297.941+89.177+40.302+0+40+160+100+300)</f>
        <v>135.11439966052174</v>
      </c>
      <c r="AC1023" s="45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132.4035345323741</v>
      </c>
    </row>
    <row r="1024" spans="1:29" ht="15.75" x14ac:dyDescent="0.25">
      <c r="A1024" s="32">
        <v>72075</v>
      </c>
      <c r="B1024" s="14">
        <f>CHOOSE(CONTROL!$C$42, 134.664, 134.664) * CHOOSE(CONTROL!$C$21, $C$9, 100%, $E$9)</f>
        <v>134.66399999999999</v>
      </c>
      <c r="C1024" s="14">
        <f>CHOOSE(CONTROL!$C$42, 134.6685, 134.6685) * CHOOSE(CONTROL!$C$21, $C$9, 100%, $E$9)</f>
        <v>134.66849999999999</v>
      </c>
      <c r="D1024" s="14">
        <f>CHOOSE(CONTROL!$C$42, 134.8766, 134.8766) * CHOOSE(CONTROL!$C$21, $C$9, 100%, $E$9)</f>
        <v>134.8766</v>
      </c>
      <c r="E1024" s="14">
        <f>CHOOSE(CONTROL!$C$42, 134.9087, 134.9087) * CHOOSE(CONTROL!$C$21, $C$9, 100%, $E$9)</f>
        <v>134.90870000000001</v>
      </c>
      <c r="F1024" s="14">
        <f>CHOOSE(CONTROL!$C$42, 134.6514, 134.6514)*CHOOSE(CONTROL!$C$21, $C$9, 100%, $E$9)</f>
        <v>134.6514</v>
      </c>
      <c r="G1024" s="14">
        <f>CHOOSE(CONTROL!$C$42, 134.6673, 134.6673)*CHOOSE(CONTROL!$C$21, $C$9, 100%, $E$9)</f>
        <v>134.66730000000001</v>
      </c>
      <c r="H1024" s="14">
        <f>CHOOSE(CONTROL!$C$42, 134.8985, 134.8985) * CHOOSE(CONTROL!$C$21, $C$9, 100%, $E$9)</f>
        <v>134.89850000000001</v>
      </c>
      <c r="I1024" s="14">
        <f>CHOOSE(CONTROL!$C$42, 135.0952, 135.0952)* CHOOSE(CONTROL!$C$21, $C$9, 100%, $E$9)</f>
        <v>135.09520000000001</v>
      </c>
      <c r="J1024" s="14">
        <f>CHOOSE(CONTROL!$C$42, 134.6444, 134.6444)* CHOOSE(CONTROL!$C$21, $C$9, 100%, $E$9)</f>
        <v>134.64439999999999</v>
      </c>
      <c r="K1024" s="53">
        <f>CHOOSE(CONTROL!$C$42, 135.0913, 135.0913) * CHOOSE(CONTROL!$C$21, $C$9, 100%, $E$9)</f>
        <v>135.09129999999999</v>
      </c>
      <c r="L1024" s="14">
        <f>CHOOSE(CONTROL!$C$42, 135.4855, 135.4855) * CHOOSE(CONTROL!$C$21, $C$9, 100%, $E$9)</f>
        <v>135.4855</v>
      </c>
      <c r="M1024" s="14">
        <f>CHOOSE(CONTROL!$C$42, 131.8933, 131.8933) * CHOOSE(CONTROL!$C$21, $C$9, 100%, $E$9)</f>
        <v>131.89330000000001</v>
      </c>
      <c r="N1024" s="14">
        <f>CHOOSE(CONTROL!$C$42, 131.9089, 131.9089) * CHOOSE(CONTROL!$C$21, $C$9, 100%, $E$9)</f>
        <v>131.90889999999999</v>
      </c>
      <c r="O1024" s="14">
        <f>CHOOSE(CONTROL!$C$42, 132.1422, 132.1422) * CHOOSE(CONTROL!$C$21, $C$9, 100%, $E$9)</f>
        <v>132.1422</v>
      </c>
      <c r="P1024" s="14">
        <f>CHOOSE(CONTROL!$C$42, 132.3265, 132.3265) * CHOOSE(CONTROL!$C$21, $C$9, 100%, $E$9)</f>
        <v>132.32650000000001</v>
      </c>
      <c r="Q1024" s="14">
        <f>CHOOSE(CONTROL!$C$42, 132.7369, 132.7369) * CHOOSE(CONTROL!$C$21, $C$9, 100%, $E$9)</f>
        <v>132.73689999999999</v>
      </c>
      <c r="R1024" s="14">
        <f>CHOOSE(CONTROL!$C$42, 133.6558, 133.6558) * CHOOSE(CONTROL!$C$21, $C$9, 100%, $E$9)</f>
        <v>133.6558</v>
      </c>
      <c r="S1024" s="14">
        <f>CHOOSE(CONTROL!$C$42, 129.3894, 129.3894) * CHOOSE(CONTROL!$C$21, $C$9, 100%, $E$9)</f>
        <v>129.38939999999999</v>
      </c>
      <c r="T10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7">
        <f>(1000*CHOOSE(CONTROL!$C$42, 695, 695)*CHOOSE(CONTROL!$C$42, 0.5599, 0.5599)*CHOOSE(CONTROL!$C$42, 30, 30))/1000000</f>
        <v>11.673914999999997</v>
      </c>
      <c r="V1024" s="57">
        <f>(1000*CHOOSE(CONTROL!$C$42, 500, 500)*CHOOSE(CONTROL!$C$42, 0.275, 0.275)*CHOOSE(CONTROL!$C$42, 30, 30))/1000000</f>
        <v>4.125</v>
      </c>
      <c r="W1024" s="57">
        <f>(1000*CHOOSE(CONTROL!$C$42, 0.1146, 0.1146)*CHOOSE(CONTROL!$C$42, 121.5, 121.5)*CHOOSE(CONTROL!$C$42, 30, 30))/1000000</f>
        <v>0.417717</v>
      </c>
      <c r="X1024" s="57">
        <f>(30*0.1790888*245000/1000000)+(30*0.2374*100000/1000000)</f>
        <v>2.0285026799999999</v>
      </c>
      <c r="Y1024" s="57"/>
      <c r="Z1024" s="14"/>
      <c r="AA1024" s="56"/>
      <c r="AB1024" s="50">
        <f>(B1024*141.293+C1024*267.993+D1024*115.016+E1024*89.698+F1024*40+G1024*185+H1024*0+I1024*100+J1024*300)/(141.293+267.993+115.016+89.698+0+40+185+100+300)</f>
        <v>134.73256656230831</v>
      </c>
      <c r="AC1024" s="45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132.0693395683453</v>
      </c>
    </row>
    <row r="1025" spans="1:29" ht="15.75" x14ac:dyDescent="0.25">
      <c r="A1025" s="32">
        <v>72106</v>
      </c>
      <c r="B1025" s="14">
        <f>CHOOSE(CONTROL!$C$42, 135.8539, 135.8539) * CHOOSE(CONTROL!$C$21, $C$9, 100%, $E$9)</f>
        <v>135.85390000000001</v>
      </c>
      <c r="C1025" s="14">
        <f>CHOOSE(CONTROL!$C$42, 135.8619, 135.8619) * CHOOSE(CONTROL!$C$21, $C$9, 100%, $E$9)</f>
        <v>135.86189999999999</v>
      </c>
      <c r="D1025" s="14">
        <f>CHOOSE(CONTROL!$C$42, 136.0669, 136.0669) * CHOOSE(CONTROL!$C$21, $C$9, 100%, $E$9)</f>
        <v>136.0669</v>
      </c>
      <c r="E1025" s="14">
        <f>CHOOSE(CONTROL!$C$42, 136.0984, 136.0984) * CHOOSE(CONTROL!$C$21, $C$9, 100%, $E$9)</f>
        <v>136.0984</v>
      </c>
      <c r="F1025" s="14">
        <f>CHOOSE(CONTROL!$C$42, 135.8401, 135.8401)*CHOOSE(CONTROL!$C$21, $C$9, 100%, $E$9)</f>
        <v>135.84010000000001</v>
      </c>
      <c r="G1025" s="14">
        <f>CHOOSE(CONTROL!$C$42, 135.8565, 135.8565)*CHOOSE(CONTROL!$C$21, $C$9, 100%, $E$9)</f>
        <v>135.85650000000001</v>
      </c>
      <c r="H1025" s="14">
        <f>CHOOSE(CONTROL!$C$42, 136.087, 136.087) * CHOOSE(CONTROL!$C$21, $C$9, 100%, $E$9)</f>
        <v>136.08699999999999</v>
      </c>
      <c r="I1025" s="14">
        <f>CHOOSE(CONTROL!$C$42, 136.2874, 136.2874)* CHOOSE(CONTROL!$C$21, $C$9, 100%, $E$9)</f>
        <v>136.28739999999999</v>
      </c>
      <c r="J1025" s="14">
        <f>CHOOSE(CONTROL!$C$42, 135.8331, 135.8331)* CHOOSE(CONTROL!$C$21, $C$9, 100%, $E$9)</f>
        <v>135.8331</v>
      </c>
      <c r="K1025" s="53">
        <f>CHOOSE(CONTROL!$C$42, 136.2835, 136.2835) * CHOOSE(CONTROL!$C$21, $C$9, 100%, $E$9)</f>
        <v>136.2835</v>
      </c>
      <c r="L1025" s="14">
        <f>CHOOSE(CONTROL!$C$42, 136.674, 136.674) * CHOOSE(CONTROL!$C$21, $C$9, 100%, $E$9)</f>
        <v>136.67400000000001</v>
      </c>
      <c r="M1025" s="14">
        <f>CHOOSE(CONTROL!$C$42, 133.0576, 133.0576) * CHOOSE(CONTROL!$C$21, $C$9, 100%, $E$9)</f>
        <v>133.05760000000001</v>
      </c>
      <c r="N1025" s="14">
        <f>CHOOSE(CONTROL!$C$42, 133.0737, 133.0737) * CHOOSE(CONTROL!$C$21, $C$9, 100%, $E$9)</f>
        <v>133.0737</v>
      </c>
      <c r="O1025" s="14">
        <f>CHOOSE(CONTROL!$C$42, 133.3064, 133.3064) * CHOOSE(CONTROL!$C$21, $C$9, 100%, $E$9)</f>
        <v>133.3064</v>
      </c>
      <c r="P1025" s="14">
        <f>CHOOSE(CONTROL!$C$42, 133.4942, 133.4942) * CHOOSE(CONTROL!$C$21, $C$9, 100%, $E$9)</f>
        <v>133.49420000000001</v>
      </c>
      <c r="Q1025" s="14">
        <f>CHOOSE(CONTROL!$C$42, 133.9011, 133.9011) * CHOOSE(CONTROL!$C$21, $C$9, 100%, $E$9)</f>
        <v>133.90110000000001</v>
      </c>
      <c r="R1025" s="14">
        <f>CHOOSE(CONTROL!$C$42, 134.8228, 134.8228) * CHOOSE(CONTROL!$C$21, $C$9, 100%, $E$9)</f>
        <v>134.8228</v>
      </c>
      <c r="S1025" s="14">
        <f>CHOOSE(CONTROL!$C$42, 130.5314, 130.5314) * CHOOSE(CONTROL!$C$21, $C$9, 100%, $E$9)</f>
        <v>130.53139999999999</v>
      </c>
      <c r="T10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7">
        <f>(1000*CHOOSE(CONTROL!$C$42, 695, 695)*CHOOSE(CONTROL!$C$42, 0.5599, 0.5599)*CHOOSE(CONTROL!$C$42, 31, 31))/1000000</f>
        <v>12.063045499999998</v>
      </c>
      <c r="V1025" s="57">
        <f>(1000*CHOOSE(CONTROL!$C$42, 500, 500)*CHOOSE(CONTROL!$C$42, 0.275, 0.275)*CHOOSE(CONTROL!$C$42, 31, 31))/1000000</f>
        <v>4.2625000000000002</v>
      </c>
      <c r="W1025" s="57">
        <f>(1000*CHOOSE(CONTROL!$C$42, 0.1146, 0.1146)*CHOOSE(CONTROL!$C$42, 121.5, 121.5)*CHOOSE(CONTROL!$C$42, 31, 31))/1000000</f>
        <v>0.43164089999999994</v>
      </c>
      <c r="X1025" s="57">
        <f>(31*0.1790888*245000/1000000)+(31*0.2374*100000/1000000)</f>
        <v>2.0961194359999999</v>
      </c>
      <c r="Y1025" s="57"/>
      <c r="Z1025" s="14"/>
      <c r="AA1025" s="56"/>
      <c r="AB1025" s="50">
        <f>(B1025*194.205+C1025*267.466+D1025*133.845+E1025*53.484+F1025*40+G1025*185+H1025*0+I1025*100+J1025*300)/(194.205+267.466+133.845+53.484+0+40+185+100+300)</f>
        <v>135.91729446703295</v>
      </c>
      <c r="AC1025" s="45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133.23411223021583</v>
      </c>
    </row>
    <row r="1026" spans="1:29" ht="15.75" x14ac:dyDescent="0.25">
      <c r="A1026" s="32">
        <v>72136</v>
      </c>
      <c r="B1026" s="14">
        <f>CHOOSE(CONTROL!$C$42, 139.7072, 139.7072) * CHOOSE(CONTROL!$C$21, $C$9, 100%, $E$9)</f>
        <v>139.7072</v>
      </c>
      <c r="C1026" s="14">
        <f>CHOOSE(CONTROL!$C$42, 139.7153, 139.7153) * CHOOSE(CONTROL!$C$21, $C$9, 100%, $E$9)</f>
        <v>139.71530000000001</v>
      </c>
      <c r="D1026" s="14">
        <f>CHOOSE(CONTROL!$C$42, 139.9202, 139.9202) * CHOOSE(CONTROL!$C$21, $C$9, 100%, $E$9)</f>
        <v>139.92019999999999</v>
      </c>
      <c r="E1026" s="14">
        <f>CHOOSE(CONTROL!$C$42, 139.9517, 139.9517) * CHOOSE(CONTROL!$C$21, $C$9, 100%, $E$9)</f>
        <v>139.95169999999999</v>
      </c>
      <c r="F1026" s="14">
        <f>CHOOSE(CONTROL!$C$42, 139.6938, 139.6938)*CHOOSE(CONTROL!$C$21, $C$9, 100%, $E$9)</f>
        <v>139.69380000000001</v>
      </c>
      <c r="G1026" s="14">
        <f>CHOOSE(CONTROL!$C$42, 139.7103, 139.7103)*CHOOSE(CONTROL!$C$21, $C$9, 100%, $E$9)</f>
        <v>139.71029999999999</v>
      </c>
      <c r="H1026" s="14">
        <f>CHOOSE(CONTROL!$C$42, 139.9403, 139.9403) * CHOOSE(CONTROL!$C$21, $C$9, 100%, $E$9)</f>
        <v>139.94030000000001</v>
      </c>
      <c r="I1026" s="14">
        <f>CHOOSE(CONTROL!$C$42, 140.1528, 140.1528)* CHOOSE(CONTROL!$C$21, $C$9, 100%, $E$9)</f>
        <v>140.15280000000001</v>
      </c>
      <c r="J1026" s="14">
        <f>CHOOSE(CONTROL!$C$42, 139.6868, 139.6868)* CHOOSE(CONTROL!$C$21, $C$9, 100%, $E$9)</f>
        <v>139.68680000000001</v>
      </c>
      <c r="K1026" s="53">
        <f>CHOOSE(CONTROL!$C$42, 140.1489, 140.1489) * CHOOSE(CONTROL!$C$21, $C$9, 100%, $E$9)</f>
        <v>140.1489</v>
      </c>
      <c r="L1026" s="14">
        <f>CHOOSE(CONTROL!$C$42, 140.5273, 140.5273) * CHOOSE(CONTROL!$C$21, $C$9, 100%, $E$9)</f>
        <v>140.5273</v>
      </c>
      <c r="M1026" s="14">
        <f>CHOOSE(CONTROL!$C$42, 136.8324, 136.8324) * CHOOSE(CONTROL!$C$21, $C$9, 100%, $E$9)</f>
        <v>136.83240000000001</v>
      </c>
      <c r="N1026" s="14">
        <f>CHOOSE(CONTROL!$C$42, 136.8486, 136.8486) * CHOOSE(CONTROL!$C$21, $C$9, 100%, $E$9)</f>
        <v>136.8486</v>
      </c>
      <c r="O1026" s="14">
        <f>CHOOSE(CONTROL!$C$42, 137.0807, 137.0807) * CHOOSE(CONTROL!$C$21, $C$9, 100%, $E$9)</f>
        <v>137.08070000000001</v>
      </c>
      <c r="P1026" s="14">
        <f>CHOOSE(CONTROL!$C$42, 137.2802, 137.2802) * CHOOSE(CONTROL!$C$21, $C$9, 100%, $E$9)</f>
        <v>137.28020000000001</v>
      </c>
      <c r="Q1026" s="14">
        <f>CHOOSE(CONTROL!$C$42, 137.6754, 137.6754) * CHOOSE(CONTROL!$C$21, $C$9, 100%, $E$9)</f>
        <v>137.6754</v>
      </c>
      <c r="R1026" s="14">
        <f>CHOOSE(CONTROL!$C$42, 138.6066, 138.6066) * CHOOSE(CONTROL!$C$21, $C$9, 100%, $E$9)</f>
        <v>138.60659999999999</v>
      </c>
      <c r="S1026" s="14">
        <f>CHOOSE(CONTROL!$C$42, 134.2341, 134.2341) * CHOOSE(CONTROL!$C$21, $C$9, 100%, $E$9)</f>
        <v>134.23410000000001</v>
      </c>
      <c r="T10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7">
        <f>(1000*CHOOSE(CONTROL!$C$42, 695, 695)*CHOOSE(CONTROL!$C$42, 0.5599, 0.5599)*CHOOSE(CONTROL!$C$42, 30, 30))/1000000</f>
        <v>11.673914999999997</v>
      </c>
      <c r="V1026" s="57">
        <f>(1000*CHOOSE(CONTROL!$C$42, 500, 500)*CHOOSE(CONTROL!$C$42, 0.275, 0.275)*CHOOSE(CONTROL!$C$42, 30, 30))/1000000</f>
        <v>4.125</v>
      </c>
      <c r="W1026" s="57">
        <f>(1000*CHOOSE(CONTROL!$C$42, 0.1146, 0.1146)*CHOOSE(CONTROL!$C$42, 121.5, 121.5)*CHOOSE(CONTROL!$C$42, 30, 30))/1000000</f>
        <v>0.417717</v>
      </c>
      <c r="X1026" s="57">
        <f>(30*0.1790888*245000/1000000)+(30*0.2374*100000/1000000)</f>
        <v>2.0285026799999999</v>
      </c>
      <c r="Y1026" s="57"/>
      <c r="Z1026" s="14"/>
      <c r="AA1026" s="56"/>
      <c r="AB1026" s="50">
        <f>(B1026*194.205+C1026*267.466+D1026*133.845+E1026*53.484+F1026*40+G1026*185+H1026*0+I1026*100+J1026*300)/(194.205+267.466+133.845+53.484+0+40+185+100+300)</f>
        <v>139.77174458210362</v>
      </c>
      <c r="AC1026" s="45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137.01030287769785</v>
      </c>
    </row>
    <row r="1027" spans="1:29" ht="15.75" x14ac:dyDescent="0.25">
      <c r="A1027" s="32">
        <v>72167</v>
      </c>
      <c r="B1027" s="14">
        <f>CHOOSE(CONTROL!$C$42, 137.0272, 137.0272) * CHOOSE(CONTROL!$C$21, $C$9, 100%, $E$9)</f>
        <v>137.02719999999999</v>
      </c>
      <c r="C1027" s="14">
        <f>CHOOSE(CONTROL!$C$42, 137.0352, 137.0352) * CHOOSE(CONTROL!$C$21, $C$9, 100%, $E$9)</f>
        <v>137.0352</v>
      </c>
      <c r="D1027" s="14">
        <f>CHOOSE(CONTROL!$C$42, 137.2402, 137.2402) * CHOOSE(CONTROL!$C$21, $C$9, 100%, $E$9)</f>
        <v>137.24019999999999</v>
      </c>
      <c r="E1027" s="14">
        <f>CHOOSE(CONTROL!$C$42, 137.2717, 137.2717) * CHOOSE(CONTROL!$C$21, $C$9, 100%, $E$9)</f>
        <v>137.27170000000001</v>
      </c>
      <c r="F1027" s="14">
        <f>CHOOSE(CONTROL!$C$42, 137.0142, 137.0142)*CHOOSE(CONTROL!$C$21, $C$9, 100%, $E$9)</f>
        <v>137.01419999999999</v>
      </c>
      <c r="G1027" s="14">
        <f>CHOOSE(CONTROL!$C$42, 137.0308, 137.0308)*CHOOSE(CONTROL!$C$21, $C$9, 100%, $E$9)</f>
        <v>137.0308</v>
      </c>
      <c r="H1027" s="14">
        <f>CHOOSE(CONTROL!$C$42, 137.2603, 137.2603) * CHOOSE(CONTROL!$C$21, $C$9, 100%, $E$9)</f>
        <v>137.2603</v>
      </c>
      <c r="I1027" s="14">
        <f>CHOOSE(CONTROL!$C$42, 137.4644, 137.4644)* CHOOSE(CONTROL!$C$21, $C$9, 100%, $E$9)</f>
        <v>137.46440000000001</v>
      </c>
      <c r="J1027" s="14">
        <f>CHOOSE(CONTROL!$C$42, 137.0072, 137.0072)* CHOOSE(CONTROL!$C$21, $C$9, 100%, $E$9)</f>
        <v>137.00720000000001</v>
      </c>
      <c r="K1027" s="53">
        <f>CHOOSE(CONTROL!$C$42, 137.4605, 137.4605) * CHOOSE(CONTROL!$C$21, $C$9, 100%, $E$9)</f>
        <v>137.4605</v>
      </c>
      <c r="L1027" s="14">
        <f>CHOOSE(CONTROL!$C$42, 137.8473, 137.8473) * CHOOSE(CONTROL!$C$21, $C$9, 100%, $E$9)</f>
        <v>137.84729999999999</v>
      </c>
      <c r="M1027" s="14">
        <f>CHOOSE(CONTROL!$C$42, 134.2077, 134.2077) * CHOOSE(CONTROL!$C$21, $C$9, 100%, $E$9)</f>
        <v>134.20769999999999</v>
      </c>
      <c r="N1027" s="14">
        <f>CHOOSE(CONTROL!$C$42, 134.224, 134.224) * CHOOSE(CONTROL!$C$21, $C$9, 100%, $E$9)</f>
        <v>134.22399999999999</v>
      </c>
      <c r="O1027" s="14">
        <f>CHOOSE(CONTROL!$C$42, 134.4556, 134.4556) * CHOOSE(CONTROL!$C$21, $C$9, 100%, $E$9)</f>
        <v>134.4556</v>
      </c>
      <c r="P1027" s="14">
        <f>CHOOSE(CONTROL!$C$42, 134.647, 134.647) * CHOOSE(CONTROL!$C$21, $C$9, 100%, $E$9)</f>
        <v>134.64699999999999</v>
      </c>
      <c r="Q1027" s="14">
        <f>CHOOSE(CONTROL!$C$42, 135.0503, 135.0503) * CHOOSE(CONTROL!$C$21, $C$9, 100%, $E$9)</f>
        <v>135.05029999999999</v>
      </c>
      <c r="R1027" s="14">
        <f>CHOOSE(CONTROL!$C$42, 135.975, 135.975) * CHOOSE(CONTROL!$C$21, $C$9, 100%, $E$9)</f>
        <v>135.97499999999999</v>
      </c>
      <c r="S1027" s="14">
        <f>CHOOSE(CONTROL!$C$42, 131.6588, 131.6588) * CHOOSE(CONTROL!$C$21, $C$9, 100%, $E$9)</f>
        <v>131.65880000000001</v>
      </c>
      <c r="T10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7">
        <f>(1000*CHOOSE(CONTROL!$C$42, 695, 695)*CHOOSE(CONTROL!$C$42, 0.5599, 0.5599)*CHOOSE(CONTROL!$C$42, 31, 31))/1000000</f>
        <v>12.063045499999998</v>
      </c>
      <c r="V1027" s="57">
        <f>(1000*CHOOSE(CONTROL!$C$42, 500, 500)*CHOOSE(CONTROL!$C$42, 0.275, 0.275)*CHOOSE(CONTROL!$C$42, 31, 31))/1000000</f>
        <v>4.2625000000000002</v>
      </c>
      <c r="W1027" s="57">
        <f>(1000*CHOOSE(CONTROL!$C$42, 0.1146, 0.1146)*CHOOSE(CONTROL!$C$42, 121.5, 121.5)*CHOOSE(CONTROL!$C$42, 31, 31))/1000000</f>
        <v>0.43164089999999994</v>
      </c>
      <c r="X1027" s="57">
        <f>(31*0.1790888*245000/1000000)+(31*0.2374*100000/1000000)</f>
        <v>2.0961194359999999</v>
      </c>
      <c r="Y1027" s="57"/>
      <c r="Z1027" s="14"/>
      <c r="AA1027" s="56"/>
      <c r="AB1027" s="50">
        <f>(B1027*194.205+C1027*267.466+D1027*133.845+E1027*53.484+F1027*40+G1027*185+H1027*0+I1027*100+J1027*300)/(194.205+267.466+133.845+53.484+0+40+185+100+300)</f>
        <v>137.09124360361068</v>
      </c>
      <c r="AC1027" s="45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134.38420431654677</v>
      </c>
    </row>
    <row r="1028" spans="1:29" ht="15.75" x14ac:dyDescent="0.25">
      <c r="A1028" s="32">
        <v>72198</v>
      </c>
      <c r="B1028" s="14">
        <f>CHOOSE(CONTROL!$C$42, 130.2593, 130.2593) * CHOOSE(CONTROL!$C$21, $C$9, 100%, $E$9)</f>
        <v>130.2593</v>
      </c>
      <c r="C1028" s="14">
        <f>CHOOSE(CONTROL!$C$42, 130.2673, 130.2673) * CHOOSE(CONTROL!$C$21, $C$9, 100%, $E$9)</f>
        <v>130.26730000000001</v>
      </c>
      <c r="D1028" s="14">
        <f>CHOOSE(CONTROL!$C$42, 130.4723, 130.4723) * CHOOSE(CONTROL!$C$21, $C$9, 100%, $E$9)</f>
        <v>130.47229999999999</v>
      </c>
      <c r="E1028" s="14">
        <f>CHOOSE(CONTROL!$C$42, 130.5038, 130.5038) * CHOOSE(CONTROL!$C$21, $C$9, 100%, $E$9)</f>
        <v>130.50380000000001</v>
      </c>
      <c r="F1028" s="14">
        <f>CHOOSE(CONTROL!$C$42, 130.2465, 130.2465)*CHOOSE(CONTROL!$C$21, $C$9, 100%, $E$9)</f>
        <v>130.2465</v>
      </c>
      <c r="G1028" s="14">
        <f>CHOOSE(CONTROL!$C$42, 130.2632, 130.2632)*CHOOSE(CONTROL!$C$21, $C$9, 100%, $E$9)</f>
        <v>130.26320000000001</v>
      </c>
      <c r="H1028" s="14">
        <f>CHOOSE(CONTROL!$C$42, 130.4924, 130.4924) * CHOOSE(CONTROL!$C$21, $C$9, 100%, $E$9)</f>
        <v>130.4924</v>
      </c>
      <c r="I1028" s="14">
        <f>CHOOSE(CONTROL!$C$42, 130.6753, 130.6753)* CHOOSE(CONTROL!$C$21, $C$9, 100%, $E$9)</f>
        <v>130.67529999999999</v>
      </c>
      <c r="J1028" s="14">
        <f>CHOOSE(CONTROL!$C$42, 130.2395, 130.2395)* CHOOSE(CONTROL!$C$21, $C$9, 100%, $E$9)</f>
        <v>130.23949999999999</v>
      </c>
      <c r="K1028" s="53">
        <f>CHOOSE(CONTROL!$C$42, 130.6714, 130.6714) * CHOOSE(CONTROL!$C$21, $C$9, 100%, $E$9)</f>
        <v>130.67140000000001</v>
      </c>
      <c r="L1028" s="14">
        <f>CHOOSE(CONTROL!$C$42, 131.0794, 131.0794) * CHOOSE(CONTROL!$C$21, $C$9, 100%, $E$9)</f>
        <v>131.07939999999999</v>
      </c>
      <c r="M1028" s="14">
        <f>CHOOSE(CONTROL!$C$42, 127.5787, 127.5787) * CHOOSE(CONTROL!$C$21, $C$9, 100%, $E$9)</f>
        <v>127.5787</v>
      </c>
      <c r="N1028" s="14">
        <f>CHOOSE(CONTROL!$C$42, 127.595, 127.595) * CHOOSE(CONTROL!$C$21, $C$9, 100%, $E$9)</f>
        <v>127.595</v>
      </c>
      <c r="O1028" s="14">
        <f>CHOOSE(CONTROL!$C$42, 127.8264, 127.8264) * CHOOSE(CONTROL!$C$21, $C$9, 100%, $E$9)</f>
        <v>127.82640000000001</v>
      </c>
      <c r="P1028" s="14">
        <f>CHOOSE(CONTROL!$C$42, 127.9974, 127.9974) * CHOOSE(CONTROL!$C$21, $C$9, 100%, $E$9)</f>
        <v>127.9974</v>
      </c>
      <c r="Q1028" s="14">
        <f>CHOOSE(CONTROL!$C$42, 128.4211, 128.4211) * CHOOSE(CONTROL!$C$21, $C$9, 100%, $E$9)</f>
        <v>128.4211</v>
      </c>
      <c r="R1028" s="14">
        <f>CHOOSE(CONTROL!$C$42, 129.3291, 129.3291) * CHOOSE(CONTROL!$C$21, $C$9, 100%, $E$9)</f>
        <v>129.32910000000001</v>
      </c>
      <c r="S1028" s="14">
        <f>CHOOSE(CONTROL!$C$42, 125.1555, 125.1555) * CHOOSE(CONTROL!$C$21, $C$9, 100%, $E$9)</f>
        <v>125.1555</v>
      </c>
      <c r="T10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7">
        <f>(1000*CHOOSE(CONTROL!$C$42, 695, 695)*CHOOSE(CONTROL!$C$42, 0.5599, 0.5599)*CHOOSE(CONTROL!$C$42, 31, 31))/1000000</f>
        <v>12.063045499999998</v>
      </c>
      <c r="V1028" s="57">
        <f>(1000*CHOOSE(CONTROL!$C$42, 500, 500)*CHOOSE(CONTROL!$C$42, 0.275, 0.275)*CHOOSE(CONTROL!$C$42, 31, 31))/1000000</f>
        <v>4.2625000000000002</v>
      </c>
      <c r="W1028" s="57">
        <f>(1000*CHOOSE(CONTROL!$C$42, 0.1146, 0.1146)*CHOOSE(CONTROL!$C$42, 121.5, 121.5)*CHOOSE(CONTROL!$C$42, 31, 31))/1000000</f>
        <v>0.43164089999999994</v>
      </c>
      <c r="X1028" s="57">
        <f>(31*0.1790888*245000/1000000)+(31*0.2374*100000/1000000)</f>
        <v>2.0961194359999999</v>
      </c>
      <c r="Y1028" s="57"/>
      <c r="Z1028" s="14"/>
      <c r="AA1028" s="56"/>
      <c r="AB1028" s="50">
        <f>(B1028*194.205+C1028*267.466+D1028*133.845+E1028*53.484+F1028*40+G1028*185+H1028*0+I1028*100+J1028*300)/(194.205+267.466+133.845+53.484+0+40+185+100+300)</f>
        <v>130.32177649215072</v>
      </c>
      <c r="AC1028" s="45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127.75214964028778</v>
      </c>
    </row>
    <row r="1029" spans="1:29" ht="15.75" x14ac:dyDescent="0.25">
      <c r="A1029" s="32">
        <v>72228</v>
      </c>
      <c r="B1029" s="14">
        <f>CHOOSE(CONTROL!$C$42, 121.9898, 121.9898) * CHOOSE(CONTROL!$C$21, $C$9, 100%, $E$9)</f>
        <v>121.9898</v>
      </c>
      <c r="C1029" s="14">
        <f>CHOOSE(CONTROL!$C$42, 121.9978, 121.9978) * CHOOSE(CONTROL!$C$21, $C$9, 100%, $E$9)</f>
        <v>121.9978</v>
      </c>
      <c r="D1029" s="14">
        <f>CHOOSE(CONTROL!$C$42, 122.2028, 122.2028) * CHOOSE(CONTROL!$C$21, $C$9, 100%, $E$9)</f>
        <v>122.2028</v>
      </c>
      <c r="E1029" s="14">
        <f>CHOOSE(CONTROL!$C$42, 122.2343, 122.2343) * CHOOSE(CONTROL!$C$21, $C$9, 100%, $E$9)</f>
        <v>122.2343</v>
      </c>
      <c r="F1029" s="14">
        <f>CHOOSE(CONTROL!$C$42, 121.977, 121.977)*CHOOSE(CONTROL!$C$21, $C$9, 100%, $E$9)</f>
        <v>121.977</v>
      </c>
      <c r="G1029" s="14">
        <f>CHOOSE(CONTROL!$C$42, 121.9936, 121.9936)*CHOOSE(CONTROL!$C$21, $C$9, 100%, $E$9)</f>
        <v>121.9936</v>
      </c>
      <c r="H1029" s="14">
        <f>CHOOSE(CONTROL!$C$42, 122.2229, 122.2229) * CHOOSE(CONTROL!$C$21, $C$9, 100%, $E$9)</f>
        <v>122.2229</v>
      </c>
      <c r="I1029" s="14">
        <f>CHOOSE(CONTROL!$C$42, 122.3799, 122.3799)* CHOOSE(CONTROL!$C$21, $C$9, 100%, $E$9)</f>
        <v>122.37990000000001</v>
      </c>
      <c r="J1029" s="14">
        <f>CHOOSE(CONTROL!$C$42, 121.97, 121.97)* CHOOSE(CONTROL!$C$21, $C$9, 100%, $E$9)</f>
        <v>121.97</v>
      </c>
      <c r="K1029" s="53">
        <f>CHOOSE(CONTROL!$C$42, 122.376, 122.376) * CHOOSE(CONTROL!$C$21, $C$9, 100%, $E$9)</f>
        <v>122.376</v>
      </c>
      <c r="L1029" s="14">
        <f>CHOOSE(CONTROL!$C$42, 122.8099, 122.8099) * CHOOSE(CONTROL!$C$21, $C$9, 100%, $E$9)</f>
        <v>122.8099</v>
      </c>
      <c r="M1029" s="14">
        <f>CHOOSE(CONTROL!$C$42, 119.4786, 119.4786) * CHOOSE(CONTROL!$C$21, $C$9, 100%, $E$9)</f>
        <v>119.4786</v>
      </c>
      <c r="N1029" s="14">
        <f>CHOOSE(CONTROL!$C$42, 119.4949, 119.4949) * CHOOSE(CONTROL!$C$21, $C$9, 100%, $E$9)</f>
        <v>119.4949</v>
      </c>
      <c r="O1029" s="14">
        <f>CHOOSE(CONTROL!$C$42, 119.7263, 119.7263) * CHOOSE(CONTROL!$C$21, $C$9, 100%, $E$9)</f>
        <v>119.72629999999999</v>
      </c>
      <c r="P1029" s="14">
        <f>CHOOSE(CONTROL!$C$42, 119.8725, 119.8725) * CHOOSE(CONTROL!$C$21, $C$9, 100%, $E$9)</f>
        <v>119.8725</v>
      </c>
      <c r="Q1029" s="14">
        <f>CHOOSE(CONTROL!$C$42, 120.321, 120.321) * CHOOSE(CONTROL!$C$21, $C$9, 100%, $E$9)</f>
        <v>120.321</v>
      </c>
      <c r="R1029" s="14">
        <f>CHOOSE(CONTROL!$C$42, 121.2088, 121.2088) * CHOOSE(CONTROL!$C$21, $C$9, 100%, $E$9)</f>
        <v>121.2088</v>
      </c>
      <c r="S1029" s="14">
        <f>CHOOSE(CONTROL!$C$42, 117.2094, 117.2094) * CHOOSE(CONTROL!$C$21, $C$9, 100%, $E$9)</f>
        <v>117.2094</v>
      </c>
      <c r="T10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7">
        <f>(1000*CHOOSE(CONTROL!$C$42, 695, 695)*CHOOSE(CONTROL!$C$42, 0.5599, 0.5599)*CHOOSE(CONTROL!$C$42, 30, 30))/1000000</f>
        <v>11.673914999999997</v>
      </c>
      <c r="V1029" s="57">
        <f>(1000*CHOOSE(CONTROL!$C$42, 500, 500)*CHOOSE(CONTROL!$C$42, 0.275, 0.275)*CHOOSE(CONTROL!$C$42, 30, 30))/1000000</f>
        <v>4.125</v>
      </c>
      <c r="W1029" s="57">
        <f>(1000*CHOOSE(CONTROL!$C$42, 0.1146, 0.1146)*CHOOSE(CONTROL!$C$42, 121.5, 121.5)*CHOOSE(CONTROL!$C$42, 30, 30))/1000000</f>
        <v>0.417717</v>
      </c>
      <c r="X1029" s="57">
        <f>(30*0.1790888*245000/1000000)+(30*0.2374*100000/1000000)</f>
        <v>2.0285026799999999</v>
      </c>
      <c r="Y1029" s="57"/>
      <c r="Z1029" s="14"/>
      <c r="AA1029" s="56"/>
      <c r="AB1029" s="50">
        <f>(B1029*194.205+C1029*267.466+D1029*133.845+E1029*53.484+F1029*40+G1029*185+H1029*0+I1029*100+J1029*300)/(194.205+267.466+133.845+53.484+0+40+185+100+300)</f>
        <v>122.05022900392464</v>
      </c>
      <c r="AC1029" s="45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119.64848129496404</v>
      </c>
    </row>
    <row r="1030" spans="1:29" ht="15.75" x14ac:dyDescent="0.25">
      <c r="A1030" s="32">
        <v>72259</v>
      </c>
      <c r="B1030" s="14">
        <f>CHOOSE(CONTROL!$C$42, 119.5114, 119.5114) * CHOOSE(CONTROL!$C$21, $C$9, 100%, $E$9)</f>
        <v>119.51139999999999</v>
      </c>
      <c r="C1030" s="14">
        <f>CHOOSE(CONTROL!$C$42, 119.5167, 119.5167) * CHOOSE(CONTROL!$C$21, $C$9, 100%, $E$9)</f>
        <v>119.5167</v>
      </c>
      <c r="D1030" s="14">
        <f>CHOOSE(CONTROL!$C$42, 119.7266, 119.7266) * CHOOSE(CONTROL!$C$21, $C$9, 100%, $E$9)</f>
        <v>119.7266</v>
      </c>
      <c r="E1030" s="14">
        <f>CHOOSE(CONTROL!$C$42, 119.7558, 119.7558) * CHOOSE(CONTROL!$C$21, $C$9, 100%, $E$9)</f>
        <v>119.75579999999999</v>
      </c>
      <c r="F1030" s="14">
        <f>CHOOSE(CONTROL!$C$42, 119.5006, 119.5006)*CHOOSE(CONTROL!$C$21, $C$9, 100%, $E$9)</f>
        <v>119.50060000000001</v>
      </c>
      <c r="G1030" s="14">
        <f>CHOOSE(CONTROL!$C$42, 119.517, 119.517)*CHOOSE(CONTROL!$C$21, $C$9, 100%, $E$9)</f>
        <v>119.517</v>
      </c>
      <c r="H1030" s="14">
        <f>CHOOSE(CONTROL!$C$42, 119.7462, 119.7462) * CHOOSE(CONTROL!$C$21, $C$9, 100%, $E$9)</f>
        <v>119.7462</v>
      </c>
      <c r="I1030" s="14">
        <f>CHOOSE(CONTROL!$C$42, 119.8955, 119.8955)* CHOOSE(CONTROL!$C$21, $C$9, 100%, $E$9)</f>
        <v>119.8955</v>
      </c>
      <c r="J1030" s="14">
        <f>CHOOSE(CONTROL!$C$42, 119.4936, 119.4936)* CHOOSE(CONTROL!$C$21, $C$9, 100%, $E$9)</f>
        <v>119.4936</v>
      </c>
      <c r="K1030" s="53">
        <f>CHOOSE(CONTROL!$C$42, 119.8916, 119.8916) * CHOOSE(CONTROL!$C$21, $C$9, 100%, $E$9)</f>
        <v>119.8916</v>
      </c>
      <c r="L1030" s="14">
        <f>CHOOSE(CONTROL!$C$42, 120.3332, 120.3332) * CHOOSE(CONTROL!$C$21, $C$9, 100%, $E$9)</f>
        <v>120.33320000000001</v>
      </c>
      <c r="M1030" s="14">
        <f>CHOOSE(CONTROL!$C$42, 117.053, 117.053) * CHOOSE(CONTROL!$C$21, $C$9, 100%, $E$9)</f>
        <v>117.053</v>
      </c>
      <c r="N1030" s="14">
        <f>CHOOSE(CONTROL!$C$42, 117.069, 117.069) * CHOOSE(CONTROL!$C$21, $C$9, 100%, $E$9)</f>
        <v>117.069</v>
      </c>
      <c r="O1030" s="14">
        <f>CHOOSE(CONTROL!$C$42, 117.3004, 117.3004) * CHOOSE(CONTROL!$C$21, $C$9, 100%, $E$9)</f>
        <v>117.3004</v>
      </c>
      <c r="P1030" s="14">
        <f>CHOOSE(CONTROL!$C$42, 117.4392, 117.4392) * CHOOSE(CONTROL!$C$21, $C$9, 100%, $E$9)</f>
        <v>117.4392</v>
      </c>
      <c r="Q1030" s="14">
        <f>CHOOSE(CONTROL!$C$42, 117.8951, 117.8951) * CHOOSE(CONTROL!$C$21, $C$9, 100%, $E$9)</f>
        <v>117.8951</v>
      </c>
      <c r="R1030" s="14">
        <f>CHOOSE(CONTROL!$C$42, 118.7769, 118.7769) * CHOOSE(CONTROL!$C$21, $C$9, 100%, $E$9)</f>
        <v>118.7769</v>
      </c>
      <c r="S1030" s="14">
        <f>CHOOSE(CONTROL!$C$42, 114.8295, 114.8295) * CHOOSE(CONTROL!$C$21, $C$9, 100%, $E$9)</f>
        <v>114.8295</v>
      </c>
      <c r="T10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7">
        <f>(1000*CHOOSE(CONTROL!$C$42, 695, 695)*CHOOSE(CONTROL!$C$42, 0.5599, 0.5599)*CHOOSE(CONTROL!$C$42, 31, 31))/1000000</f>
        <v>12.063045499999998</v>
      </c>
      <c r="V1030" s="57">
        <f>(1000*CHOOSE(CONTROL!$C$42, 500, 500)*CHOOSE(CONTROL!$C$42, 0.275, 0.275)*CHOOSE(CONTROL!$C$42, 31, 31))/1000000</f>
        <v>4.2625000000000002</v>
      </c>
      <c r="W1030" s="57">
        <f>(1000*CHOOSE(CONTROL!$C$42, 0.1146, 0.1146)*CHOOSE(CONTROL!$C$42, 121.5, 121.5)*CHOOSE(CONTROL!$C$42, 31, 31))/1000000</f>
        <v>0.43164089999999994</v>
      </c>
      <c r="X1030" s="57">
        <f>(31*0.1790888*245000/1000000)+(31*0.2374*100000/1000000)</f>
        <v>2.0961194359999999</v>
      </c>
      <c r="Y1030" s="57"/>
      <c r="Z1030" s="14"/>
      <c r="AA1030" s="56"/>
      <c r="AB1030" s="50">
        <f>(B1030*131.881+C1030*277.167+D1030*79.08+E1030*125.872+F1030*40+G1030*185+H1030*0+I1030*100+J1030*300)/(131.881+277.167+79.08+125.872+0+40+185+100+300)</f>
        <v>119.57832826303471</v>
      </c>
      <c r="AC1030" s="45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117.22162014388489</v>
      </c>
    </row>
    <row r="1031" spans="1:29" ht="15.75" x14ac:dyDescent="0.25">
      <c r="A1031" s="32">
        <v>72289</v>
      </c>
      <c r="B1031" s="14">
        <f>CHOOSE(CONTROL!$C$42, 122.6592, 122.6592) * CHOOSE(CONTROL!$C$21, $C$9, 100%, $E$9)</f>
        <v>122.6592</v>
      </c>
      <c r="C1031" s="14">
        <f>CHOOSE(CONTROL!$C$42, 122.6643, 122.6643) * CHOOSE(CONTROL!$C$21, $C$9, 100%, $E$9)</f>
        <v>122.6643</v>
      </c>
      <c r="D1031" s="14">
        <f>CHOOSE(CONTROL!$C$42, 122.7281, 122.7281) * CHOOSE(CONTROL!$C$21, $C$9, 100%, $E$9)</f>
        <v>122.7281</v>
      </c>
      <c r="E1031" s="14">
        <f>CHOOSE(CONTROL!$C$42, 122.7622, 122.7622) * CHOOSE(CONTROL!$C$21, $C$9, 100%, $E$9)</f>
        <v>122.76220000000001</v>
      </c>
      <c r="F1031" s="14">
        <f>CHOOSE(CONTROL!$C$42, 122.6614, 122.6614)*CHOOSE(CONTROL!$C$21, $C$9, 100%, $E$9)</f>
        <v>122.6614</v>
      </c>
      <c r="G1031" s="14">
        <f>CHOOSE(CONTROL!$C$42, 122.6781, 122.6781)*CHOOSE(CONTROL!$C$21, $C$9, 100%, $E$9)</f>
        <v>122.6781</v>
      </c>
      <c r="H1031" s="14">
        <f>CHOOSE(CONTROL!$C$42, 122.7514, 122.7514) * CHOOSE(CONTROL!$C$21, $C$9, 100%, $E$9)</f>
        <v>122.7514</v>
      </c>
      <c r="I1031" s="14">
        <f>CHOOSE(CONTROL!$C$42, 123.0572, 123.0572)* CHOOSE(CONTROL!$C$21, $C$9, 100%, $E$9)</f>
        <v>123.05719999999999</v>
      </c>
      <c r="J1031" s="14">
        <f>CHOOSE(CONTROL!$C$42, 122.6544, 122.6544)* CHOOSE(CONTROL!$C$21, $C$9, 100%, $E$9)</f>
        <v>122.6544</v>
      </c>
      <c r="K1031" s="53">
        <f>CHOOSE(CONTROL!$C$42, 123.0534, 123.0534) * CHOOSE(CONTROL!$C$21, $C$9, 100%, $E$9)</f>
        <v>123.0534</v>
      </c>
      <c r="L1031" s="14">
        <f>CHOOSE(CONTROL!$C$42, 123.3384, 123.3384) * CHOOSE(CONTROL!$C$21, $C$9, 100%, $E$9)</f>
        <v>123.33839999999999</v>
      </c>
      <c r="M1031" s="14">
        <f>CHOOSE(CONTROL!$C$42, 120.149, 120.149) * CHOOSE(CONTROL!$C$21, $C$9, 100%, $E$9)</f>
        <v>120.149</v>
      </c>
      <c r="N1031" s="14">
        <f>CHOOSE(CONTROL!$C$42, 120.1654, 120.1654) * CHOOSE(CONTROL!$C$21, $C$9, 100%, $E$9)</f>
        <v>120.16540000000001</v>
      </c>
      <c r="O1031" s="14">
        <f>CHOOSE(CONTROL!$C$42, 120.244, 120.244) * CHOOSE(CONTROL!$C$21, $C$9, 100%, $E$9)</f>
        <v>120.244</v>
      </c>
      <c r="P1031" s="14">
        <f>CHOOSE(CONTROL!$C$42, 120.5359, 120.5359) * CHOOSE(CONTROL!$C$21, $C$9, 100%, $E$9)</f>
        <v>120.5359</v>
      </c>
      <c r="Q1031" s="14">
        <f>CHOOSE(CONTROL!$C$42, 120.8387, 120.8387) * CHOOSE(CONTROL!$C$21, $C$9, 100%, $E$9)</f>
        <v>120.8387</v>
      </c>
      <c r="R1031" s="14">
        <f>CHOOSE(CONTROL!$C$42, 121.7278, 121.7278) * CHOOSE(CONTROL!$C$21, $C$9, 100%, $E$9)</f>
        <v>121.7278</v>
      </c>
      <c r="S1031" s="14">
        <f>CHOOSE(CONTROL!$C$42, 117.8547, 117.8547) * CHOOSE(CONTROL!$C$21, $C$9, 100%, $E$9)</f>
        <v>117.85469999999999</v>
      </c>
      <c r="T10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7">
        <f>(1000*CHOOSE(CONTROL!$C$42, 695, 695)*CHOOSE(CONTROL!$C$42, 0.5599, 0.5599)*CHOOSE(CONTROL!$C$42, 30, 30))/1000000</f>
        <v>11.673914999999997</v>
      </c>
      <c r="V1031" s="57">
        <f>(1000*CHOOSE(CONTROL!$C$42, 500, 500)*CHOOSE(CONTROL!$C$42, 0.275, 0.275)*CHOOSE(CONTROL!$C$42, 30, 30))/1000000</f>
        <v>4.125</v>
      </c>
      <c r="W1031" s="57">
        <f>(1000*CHOOSE(CONTROL!$C$42, 0.1146, 0.1146)*CHOOSE(CONTROL!$C$42, 121.5, 121.5)*CHOOSE(CONTROL!$C$42, 30, 30))/1000000</f>
        <v>0.417717</v>
      </c>
      <c r="X1031" s="57">
        <f>(30*0.1790888*100000/1000000)+(30*0.2374*100000/1000000)</f>
        <v>1.2494664</v>
      </c>
      <c r="Y1031" s="57"/>
      <c r="Z1031" s="14"/>
      <c r="AA1031" s="56"/>
      <c r="AB1031" s="50">
        <f>(B1031*122.58+C1031*297.941+D1031*89.177+E1031*40.302+F1031*40+G1031*160+H1031*0+I1031*100+J1031*300)/(122.58+297.941+89.177+40.302+0+40+160+100+300)</f>
        <v>122.70553643513043</v>
      </c>
      <c r="AC1031" s="45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120.24867050359713</v>
      </c>
    </row>
    <row r="1032" spans="1:29" ht="15.75" x14ac:dyDescent="0.25">
      <c r="A1032" s="32">
        <v>72320</v>
      </c>
      <c r="B1032" s="14">
        <f>CHOOSE(CONTROL!$C$42, 131.0214, 131.0214) * CHOOSE(CONTROL!$C$21, $C$9, 100%, $E$9)</f>
        <v>131.0214</v>
      </c>
      <c r="C1032" s="14">
        <f>CHOOSE(CONTROL!$C$42, 131.0265, 131.0265) * CHOOSE(CONTROL!$C$21, $C$9, 100%, $E$9)</f>
        <v>131.0265</v>
      </c>
      <c r="D1032" s="14">
        <f>CHOOSE(CONTROL!$C$42, 131.0903, 131.0903) * CHOOSE(CONTROL!$C$21, $C$9, 100%, $E$9)</f>
        <v>131.09030000000001</v>
      </c>
      <c r="E1032" s="14">
        <f>CHOOSE(CONTROL!$C$42, 131.1244, 131.1244) * CHOOSE(CONTROL!$C$21, $C$9, 100%, $E$9)</f>
        <v>131.12440000000001</v>
      </c>
      <c r="F1032" s="14">
        <f>CHOOSE(CONTROL!$C$42, 131.0257, 131.0257)*CHOOSE(CONTROL!$C$21, $C$9, 100%, $E$9)</f>
        <v>131.0257</v>
      </c>
      <c r="G1032" s="14">
        <f>CHOOSE(CONTROL!$C$42, 131.0429, 131.0429)*CHOOSE(CONTROL!$C$21, $C$9, 100%, $E$9)</f>
        <v>131.0429</v>
      </c>
      <c r="H1032" s="14">
        <f>CHOOSE(CONTROL!$C$42, 131.1136, 131.1136) * CHOOSE(CONTROL!$C$21, $C$9, 100%, $E$9)</f>
        <v>131.11359999999999</v>
      </c>
      <c r="I1032" s="14">
        <f>CHOOSE(CONTROL!$C$42, 131.4456, 131.4456)* CHOOSE(CONTROL!$C$21, $C$9, 100%, $E$9)</f>
        <v>131.44560000000001</v>
      </c>
      <c r="J1032" s="14">
        <f>CHOOSE(CONTROL!$C$42, 131.0187, 131.0187)* CHOOSE(CONTROL!$C$21, $C$9, 100%, $E$9)</f>
        <v>131.0187</v>
      </c>
      <c r="K1032" s="53">
        <f>CHOOSE(CONTROL!$C$42, 131.4417, 131.4417) * CHOOSE(CONTROL!$C$21, $C$9, 100%, $E$9)</f>
        <v>131.4417</v>
      </c>
      <c r="L1032" s="14">
        <f>CHOOSE(CONTROL!$C$42, 131.7006, 131.7006) * CHOOSE(CONTROL!$C$21, $C$9, 100%, $E$9)</f>
        <v>131.70060000000001</v>
      </c>
      <c r="M1032" s="14">
        <f>CHOOSE(CONTROL!$C$42, 128.3419, 128.3419) * CHOOSE(CONTROL!$C$21, $C$9, 100%, $E$9)</f>
        <v>128.34190000000001</v>
      </c>
      <c r="N1032" s="14">
        <f>CHOOSE(CONTROL!$C$42, 128.3588, 128.3588) * CHOOSE(CONTROL!$C$21, $C$9, 100%, $E$9)</f>
        <v>128.3588</v>
      </c>
      <c r="O1032" s="14">
        <f>CHOOSE(CONTROL!$C$42, 128.4348, 128.4348) * CHOOSE(CONTROL!$C$21, $C$9, 100%, $E$9)</f>
        <v>128.4348</v>
      </c>
      <c r="P1032" s="14">
        <f>CHOOSE(CONTROL!$C$42, 128.7519, 128.7519) * CHOOSE(CONTROL!$C$21, $C$9, 100%, $E$9)</f>
        <v>128.75190000000001</v>
      </c>
      <c r="Q1032" s="14">
        <f>CHOOSE(CONTROL!$C$42, 129.0295, 129.0295) * CHOOSE(CONTROL!$C$21, $C$9, 100%, $E$9)</f>
        <v>129.02950000000001</v>
      </c>
      <c r="R1032" s="14">
        <f>CHOOSE(CONTROL!$C$42, 129.9391, 129.9391) * CHOOSE(CONTROL!$C$21, $C$9, 100%, $E$9)</f>
        <v>129.9391</v>
      </c>
      <c r="S1032" s="14">
        <f>CHOOSE(CONTROL!$C$42, 125.8899, 125.8899) * CHOOSE(CONTROL!$C$21, $C$9, 100%, $E$9)</f>
        <v>125.8899</v>
      </c>
      <c r="T10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7">
        <f>(1000*CHOOSE(CONTROL!$C$42, 695, 695)*CHOOSE(CONTROL!$C$42, 0.5599, 0.5599)*CHOOSE(CONTROL!$C$42, 31, 31))/1000000</f>
        <v>12.063045499999998</v>
      </c>
      <c r="V1032" s="57">
        <f>(1000*CHOOSE(CONTROL!$C$42, 500, 500)*CHOOSE(CONTROL!$C$42, 0.275, 0.275)*CHOOSE(CONTROL!$C$42, 31, 31))/1000000</f>
        <v>4.2625000000000002</v>
      </c>
      <c r="W1032" s="57">
        <f>(1000*CHOOSE(CONTROL!$C$42, 0.1146, 0.1146)*CHOOSE(CONTROL!$C$42, 121.5, 121.5)*CHOOSE(CONTROL!$C$42, 31, 31))/1000000</f>
        <v>0.43164089999999994</v>
      </c>
      <c r="X1032" s="57">
        <f>(31*0.1790888*100000/1000000)+(31*0.2374*100000/1000000)</f>
        <v>1.2911152800000001</v>
      </c>
      <c r="Y1032" s="57"/>
      <c r="Z1032" s="14"/>
      <c r="AA1032" s="56"/>
      <c r="AB1032" s="50">
        <f>(B1032*122.58+C1032*297.941+D1032*89.177+E1032*40.302+F1032*40+G1032*160+H1032*0+I1032*100+J1032*300)/(122.58+297.941+89.177+40.302+0+40+160+100+300)</f>
        <v>131.07099730469565</v>
      </c>
      <c r="AC1032" s="45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128.44397122302158</v>
      </c>
    </row>
    <row r="1033" spans="1:29" ht="15.75" x14ac:dyDescent="0.25">
      <c r="A1033" s="32">
        <v>72351</v>
      </c>
      <c r="B1033" s="14">
        <f>CHOOSE(CONTROL!$C$42, 141.7531, 141.7531) * CHOOSE(CONTROL!$C$21, $C$9, 100%, $E$9)</f>
        <v>141.75309999999999</v>
      </c>
      <c r="C1033" s="14">
        <f>CHOOSE(CONTROL!$C$42, 141.7582, 141.7582) * CHOOSE(CONTROL!$C$21, $C$9, 100%, $E$9)</f>
        <v>141.75819999999999</v>
      </c>
      <c r="D1033" s="14">
        <f>CHOOSE(CONTROL!$C$42, 141.8168, 141.8168) * CHOOSE(CONTROL!$C$21, $C$9, 100%, $E$9)</f>
        <v>141.8168</v>
      </c>
      <c r="E1033" s="14">
        <f>CHOOSE(CONTROL!$C$42, 141.8509, 141.8509) * CHOOSE(CONTROL!$C$21, $C$9, 100%, $E$9)</f>
        <v>141.8509</v>
      </c>
      <c r="F1033" s="14">
        <f>CHOOSE(CONTROL!$C$42, 141.7522, 141.7522)*CHOOSE(CONTROL!$C$21, $C$9, 100%, $E$9)</f>
        <v>141.75219999999999</v>
      </c>
      <c r="G1033" s="14">
        <f>CHOOSE(CONTROL!$C$42, 141.7686, 141.7686)*CHOOSE(CONTROL!$C$21, $C$9, 100%, $E$9)</f>
        <v>141.76859999999999</v>
      </c>
      <c r="H1033" s="14">
        <f>CHOOSE(CONTROL!$C$42, 141.8401, 141.8401) * CHOOSE(CONTROL!$C$21, $C$9, 100%, $E$9)</f>
        <v>141.84010000000001</v>
      </c>
      <c r="I1033" s="14">
        <f>CHOOSE(CONTROL!$C$42, 142.2073, 142.2073)* CHOOSE(CONTROL!$C$21, $C$9, 100%, $E$9)</f>
        <v>142.2073</v>
      </c>
      <c r="J1033" s="14">
        <f>CHOOSE(CONTROL!$C$42, 141.7452, 141.7452)* CHOOSE(CONTROL!$C$21, $C$9, 100%, $E$9)</f>
        <v>141.74520000000001</v>
      </c>
      <c r="K1033" s="53">
        <f>CHOOSE(CONTROL!$C$42, 142.2034, 142.2034) * CHOOSE(CONTROL!$C$21, $C$9, 100%, $E$9)</f>
        <v>142.20339999999999</v>
      </c>
      <c r="L1033" s="14">
        <f>CHOOSE(CONTROL!$C$42, 142.4271, 142.4271) * CHOOSE(CONTROL!$C$21, $C$9, 100%, $E$9)</f>
        <v>142.4271</v>
      </c>
      <c r="M1033" s="14">
        <f>CHOOSE(CONTROL!$C$42, 138.8486, 138.8486) * CHOOSE(CONTROL!$C$21, $C$9, 100%, $E$9)</f>
        <v>138.8486</v>
      </c>
      <c r="N1033" s="14">
        <f>CHOOSE(CONTROL!$C$42, 138.8647, 138.8647) * CHOOSE(CONTROL!$C$21, $C$9, 100%, $E$9)</f>
        <v>138.8647</v>
      </c>
      <c r="O1033" s="14">
        <f>CHOOSE(CONTROL!$C$42, 138.9416, 138.9416) * CHOOSE(CONTROL!$C$21, $C$9, 100%, $E$9)</f>
        <v>138.94159999999999</v>
      </c>
      <c r="P1033" s="14">
        <f>CHOOSE(CONTROL!$C$42, 139.2924, 139.2924) * CHOOSE(CONTROL!$C$21, $C$9, 100%, $E$9)</f>
        <v>139.29239999999999</v>
      </c>
      <c r="Q1033" s="14">
        <f>CHOOSE(CONTROL!$C$42, 139.5363, 139.5363) * CHOOSE(CONTROL!$C$21, $C$9, 100%, $E$9)</f>
        <v>139.53630000000001</v>
      </c>
      <c r="R1033" s="14">
        <f>CHOOSE(CONTROL!$C$42, 140.4721, 140.4721) * CHOOSE(CONTROL!$C$21, $C$9, 100%, $E$9)</f>
        <v>140.47210000000001</v>
      </c>
      <c r="S1033" s="14">
        <f>CHOOSE(CONTROL!$C$42, 136.202, 136.202) * CHOOSE(CONTROL!$C$21, $C$9, 100%, $E$9)</f>
        <v>136.202</v>
      </c>
      <c r="T10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7">
        <f>(1000*CHOOSE(CONTROL!$C$42, 695, 695)*CHOOSE(CONTROL!$C$42, 0.5599, 0.5599)*CHOOSE(CONTROL!$C$42, 31, 31))/1000000</f>
        <v>12.063045499999998</v>
      </c>
      <c r="V1033" s="57">
        <f>(1000*CHOOSE(CONTROL!$C$42, 500, 500)*CHOOSE(CONTROL!$C$42, 0.275, 0.275)*CHOOSE(CONTROL!$C$42, 31, 31))/1000000</f>
        <v>4.2625000000000002</v>
      </c>
      <c r="W1033" s="57">
        <f>(1000*CHOOSE(CONTROL!$C$42, 0.1146, 0.1146)*CHOOSE(CONTROL!$C$42, 121.5, 121.5)*CHOOSE(CONTROL!$C$42, 31, 31))/1000000</f>
        <v>0.43164089999999994</v>
      </c>
      <c r="X1033" s="57">
        <f>(31*0.1790888*100000/1000000)+(31*0.2374*100000/1000000)</f>
        <v>1.2911152800000001</v>
      </c>
      <c r="Y1033" s="57"/>
      <c r="Z1033" s="14"/>
      <c r="AA1033" s="56"/>
      <c r="AB1033" s="50">
        <f>(B1033*122.58+C1033*297.941+D1033*89.177+E1033*40.302+F1033*40+G1033*160+H1033*0+I1033*100+J1033*300)/(122.58+297.941+89.177+40.302+0+40+160+100+300)</f>
        <v>141.80234835617392</v>
      </c>
      <c r="AC1033" s="45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138.95553381294962</v>
      </c>
    </row>
    <row r="1034" spans="1:29" ht="15.75" x14ac:dyDescent="0.25">
      <c r="A1034" s="32">
        <v>72379</v>
      </c>
      <c r="B1034" s="14">
        <f>CHOOSE(CONTROL!$C$42, 144.2764, 144.2764) * CHOOSE(CONTROL!$C$21, $C$9, 100%, $E$9)</f>
        <v>144.2764</v>
      </c>
      <c r="C1034" s="14">
        <f>CHOOSE(CONTROL!$C$42, 144.2814, 144.2814) * CHOOSE(CONTROL!$C$21, $C$9, 100%, $E$9)</f>
        <v>144.28139999999999</v>
      </c>
      <c r="D1034" s="14">
        <f>CHOOSE(CONTROL!$C$42, 144.34, 144.34) * CHOOSE(CONTROL!$C$21, $C$9, 100%, $E$9)</f>
        <v>144.34</v>
      </c>
      <c r="E1034" s="14">
        <f>CHOOSE(CONTROL!$C$42, 144.3741, 144.3741) * CHOOSE(CONTROL!$C$21, $C$9, 100%, $E$9)</f>
        <v>144.3741</v>
      </c>
      <c r="F1034" s="14">
        <f>CHOOSE(CONTROL!$C$42, 144.2754, 144.2754)*CHOOSE(CONTROL!$C$21, $C$9, 100%, $E$9)</f>
        <v>144.27539999999999</v>
      </c>
      <c r="G1034" s="14">
        <f>CHOOSE(CONTROL!$C$42, 144.2918, 144.2918)*CHOOSE(CONTROL!$C$21, $C$9, 100%, $E$9)</f>
        <v>144.29179999999999</v>
      </c>
      <c r="H1034" s="14">
        <f>CHOOSE(CONTROL!$C$42, 144.3633, 144.3633) * CHOOSE(CONTROL!$C$21, $C$9, 100%, $E$9)</f>
        <v>144.36330000000001</v>
      </c>
      <c r="I1034" s="14">
        <f>CHOOSE(CONTROL!$C$42, 144.7384, 144.7384)* CHOOSE(CONTROL!$C$21, $C$9, 100%, $E$9)</f>
        <v>144.73840000000001</v>
      </c>
      <c r="J1034" s="14">
        <f>CHOOSE(CONTROL!$C$42, 144.2684, 144.2684)* CHOOSE(CONTROL!$C$21, $C$9, 100%, $E$9)</f>
        <v>144.26840000000001</v>
      </c>
      <c r="K1034" s="53">
        <f>CHOOSE(CONTROL!$C$42, 144.7345, 144.7345) * CHOOSE(CONTROL!$C$21, $C$9, 100%, $E$9)</f>
        <v>144.7345</v>
      </c>
      <c r="L1034" s="14">
        <f>CHOOSE(CONTROL!$C$42, 144.9503, 144.9503) * CHOOSE(CONTROL!$C$21, $C$9, 100%, $E$9)</f>
        <v>144.9503</v>
      </c>
      <c r="M1034" s="14">
        <f>CHOOSE(CONTROL!$C$42, 141.3202, 141.3202) * CHOOSE(CONTROL!$C$21, $C$9, 100%, $E$9)</f>
        <v>141.3202</v>
      </c>
      <c r="N1034" s="14">
        <f>CHOOSE(CONTROL!$C$42, 141.3362, 141.3362) * CHOOSE(CONTROL!$C$21, $C$9, 100%, $E$9)</f>
        <v>141.33619999999999</v>
      </c>
      <c r="O1034" s="14">
        <f>CHOOSE(CONTROL!$C$42, 141.4131, 141.4131) * CHOOSE(CONTROL!$C$21, $C$9, 100%, $E$9)</f>
        <v>141.41309999999999</v>
      </c>
      <c r="P1034" s="14">
        <f>CHOOSE(CONTROL!$C$42, 141.7715, 141.7715) * CHOOSE(CONTROL!$C$21, $C$9, 100%, $E$9)</f>
        <v>141.7715</v>
      </c>
      <c r="Q1034" s="14">
        <f>CHOOSE(CONTROL!$C$42, 142.0078, 142.0078) * CHOOSE(CONTROL!$C$21, $C$9, 100%, $E$9)</f>
        <v>142.0078</v>
      </c>
      <c r="R1034" s="14">
        <f>CHOOSE(CONTROL!$C$42, 142.9498, 142.9498) * CHOOSE(CONTROL!$C$21, $C$9, 100%, $E$9)</f>
        <v>142.94980000000001</v>
      </c>
      <c r="S1034" s="14">
        <f>CHOOSE(CONTROL!$C$42, 138.6266, 138.6266) * CHOOSE(CONTROL!$C$21, $C$9, 100%, $E$9)</f>
        <v>138.6266</v>
      </c>
      <c r="T10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7">
        <f>(1000*CHOOSE(CONTROL!$C$42, 695, 695)*CHOOSE(CONTROL!$C$42, 0.5599, 0.5599)*CHOOSE(CONTROL!$C$42, 28, 28))/1000000</f>
        <v>10.895653999999999</v>
      </c>
      <c r="V1034" s="57">
        <f>(1000*CHOOSE(CONTROL!$C$42, 500, 500)*CHOOSE(CONTROL!$C$42, 0.275, 0.275)*CHOOSE(CONTROL!$C$42, 28, 28))/1000000</f>
        <v>3.85</v>
      </c>
      <c r="W1034" s="57">
        <f>(1000*CHOOSE(CONTROL!$C$42, 0.1146, 0.1146)*CHOOSE(CONTROL!$C$42, 121.5, 121.5)*CHOOSE(CONTROL!$C$42, 28, 28))/1000000</f>
        <v>0.38986920000000003</v>
      </c>
      <c r="X1034" s="57">
        <f>(28*0.1790888*100000/1000000)+(28*0.2374*100000/1000000)</f>
        <v>1.16616864</v>
      </c>
      <c r="Y1034" s="57"/>
      <c r="Z1034" s="14"/>
      <c r="AA1034" s="56"/>
      <c r="AB1034" s="50">
        <f>(B1034*122.58+C1034*297.941+D1034*89.177+E1034*40.302+F1034*40+G1034*160+H1034*0+I1034*100+J1034*300)/(122.58+297.941+89.177+40.302+0+40+160+100+300)</f>
        <v>144.3262459718261</v>
      </c>
      <c r="AC1034" s="45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141.42816187050357</v>
      </c>
    </row>
    <row r="1035" spans="1:29" ht="15.75" x14ac:dyDescent="0.25">
      <c r="A1035" s="32">
        <v>72410</v>
      </c>
      <c r="B1035" s="14">
        <f>CHOOSE(CONTROL!$C$42, 140.1805, 140.1805) * CHOOSE(CONTROL!$C$21, $C$9, 100%, $E$9)</f>
        <v>140.18049999999999</v>
      </c>
      <c r="C1035" s="14">
        <f>CHOOSE(CONTROL!$C$42, 140.1856, 140.1856) * CHOOSE(CONTROL!$C$21, $C$9, 100%, $E$9)</f>
        <v>140.18559999999999</v>
      </c>
      <c r="D1035" s="14">
        <f>CHOOSE(CONTROL!$C$42, 140.2442, 140.2442) * CHOOSE(CONTROL!$C$21, $C$9, 100%, $E$9)</f>
        <v>140.24420000000001</v>
      </c>
      <c r="E1035" s="14">
        <f>CHOOSE(CONTROL!$C$42, 140.2783, 140.2783) * CHOOSE(CONTROL!$C$21, $C$9, 100%, $E$9)</f>
        <v>140.2783</v>
      </c>
      <c r="F1035" s="14">
        <f>CHOOSE(CONTROL!$C$42, 140.1791, 140.1791)*CHOOSE(CONTROL!$C$21, $C$9, 100%, $E$9)</f>
        <v>140.17910000000001</v>
      </c>
      <c r="G1035" s="14">
        <f>CHOOSE(CONTROL!$C$42, 140.1953, 140.1953)*CHOOSE(CONTROL!$C$21, $C$9, 100%, $E$9)</f>
        <v>140.1953</v>
      </c>
      <c r="H1035" s="14">
        <f>CHOOSE(CONTROL!$C$42, 140.2675, 140.2675) * CHOOSE(CONTROL!$C$21, $C$9, 100%, $E$9)</f>
        <v>140.26750000000001</v>
      </c>
      <c r="I1035" s="14">
        <f>CHOOSE(CONTROL!$C$42, 140.6298, 140.6298)* CHOOSE(CONTROL!$C$21, $C$9, 100%, $E$9)</f>
        <v>140.62979999999999</v>
      </c>
      <c r="J1035" s="14">
        <f>CHOOSE(CONTROL!$C$42, 140.1721, 140.1721)* CHOOSE(CONTROL!$C$21, $C$9, 100%, $E$9)</f>
        <v>140.1721</v>
      </c>
      <c r="K1035" s="53">
        <f>CHOOSE(CONTROL!$C$42, 140.6259, 140.6259) * CHOOSE(CONTROL!$C$21, $C$9, 100%, $E$9)</f>
        <v>140.6259</v>
      </c>
      <c r="L1035" s="14">
        <f>CHOOSE(CONTROL!$C$42, 140.8545, 140.8545) * CHOOSE(CONTROL!$C$21, $C$9, 100%, $E$9)</f>
        <v>140.8545</v>
      </c>
      <c r="M1035" s="14">
        <f>CHOOSE(CONTROL!$C$42, 137.3078, 137.3078) * CHOOSE(CONTROL!$C$21, $C$9, 100%, $E$9)</f>
        <v>137.30779999999999</v>
      </c>
      <c r="N1035" s="14">
        <f>CHOOSE(CONTROL!$C$42, 137.3237, 137.3237) * CHOOSE(CONTROL!$C$21, $C$9, 100%, $E$9)</f>
        <v>137.3237</v>
      </c>
      <c r="O1035" s="14">
        <f>CHOOSE(CONTROL!$C$42, 137.4012, 137.4012) * CHOOSE(CONTROL!$C$21, $C$9, 100%, $E$9)</f>
        <v>137.40119999999999</v>
      </c>
      <c r="P1035" s="14">
        <f>CHOOSE(CONTROL!$C$42, 137.7473, 137.7473) * CHOOSE(CONTROL!$C$21, $C$9, 100%, $E$9)</f>
        <v>137.7473</v>
      </c>
      <c r="Q1035" s="14">
        <f>CHOOSE(CONTROL!$C$42, 137.9959, 137.9959) * CHOOSE(CONTROL!$C$21, $C$9, 100%, $E$9)</f>
        <v>137.99590000000001</v>
      </c>
      <c r="R1035" s="14">
        <f>CHOOSE(CONTROL!$C$42, 138.9279, 138.9279) * CHOOSE(CONTROL!$C$21, $C$9, 100%, $E$9)</f>
        <v>138.92789999999999</v>
      </c>
      <c r="S1035" s="14">
        <f>CHOOSE(CONTROL!$C$42, 134.6909, 134.6909) * CHOOSE(CONTROL!$C$21, $C$9, 100%, $E$9)</f>
        <v>134.6909</v>
      </c>
      <c r="T10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7">
        <f>(1000*CHOOSE(CONTROL!$C$42, 695, 695)*CHOOSE(CONTROL!$C$42, 0.5599, 0.5599)*CHOOSE(CONTROL!$C$42, 31, 31))/1000000</f>
        <v>12.063045499999998</v>
      </c>
      <c r="V1035" s="57">
        <f>(1000*CHOOSE(CONTROL!$C$42, 500, 500)*CHOOSE(CONTROL!$C$42, 0.275, 0.275)*CHOOSE(CONTROL!$C$42, 31, 31))/1000000</f>
        <v>4.2625000000000002</v>
      </c>
      <c r="W1035" s="57">
        <f>(1000*CHOOSE(CONTROL!$C$42, 0.1146, 0.1146)*CHOOSE(CONTROL!$C$42, 121.5, 121.5)*CHOOSE(CONTROL!$C$42, 31, 31))/1000000</f>
        <v>0.43164089999999994</v>
      </c>
      <c r="X1035" s="57">
        <f>(31*0.1790888*100000/1000000)+(31*0.2374*100000/1000000)</f>
        <v>1.2911152800000001</v>
      </c>
      <c r="Y1035" s="57"/>
      <c r="Z1035" s="14"/>
      <c r="AA1035" s="56"/>
      <c r="AB1035" s="50">
        <f>(B1035*122.58+C1035*297.941+D1035*89.177+E1035*40.302+F1035*40+G1035*160+H1035*0+I1035*100+J1035*300)/(122.58+297.941+89.177+40.302+0+40+160+100+300)</f>
        <v>140.22907705182607</v>
      </c>
      <c r="AC1035" s="45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137.4142848920863</v>
      </c>
    </row>
    <row r="1036" spans="1:29" ht="15.75" x14ac:dyDescent="0.25">
      <c r="A1036" s="32">
        <v>72440</v>
      </c>
      <c r="B1036" s="14">
        <f>CHOOSE(CONTROL!$C$42, 139.762, 139.762) * CHOOSE(CONTROL!$C$21, $C$9, 100%, $E$9)</f>
        <v>139.762</v>
      </c>
      <c r="C1036" s="14">
        <f>CHOOSE(CONTROL!$C$42, 139.7665, 139.7665) * CHOOSE(CONTROL!$C$21, $C$9, 100%, $E$9)</f>
        <v>139.76650000000001</v>
      </c>
      <c r="D1036" s="14">
        <f>CHOOSE(CONTROL!$C$42, 139.9746, 139.9746) * CHOOSE(CONTROL!$C$21, $C$9, 100%, $E$9)</f>
        <v>139.97460000000001</v>
      </c>
      <c r="E1036" s="14">
        <f>CHOOSE(CONTROL!$C$42, 140.0067, 140.0067) * CHOOSE(CONTROL!$C$21, $C$9, 100%, $E$9)</f>
        <v>140.0067</v>
      </c>
      <c r="F1036" s="14">
        <f>CHOOSE(CONTROL!$C$42, 139.7493, 139.7493)*CHOOSE(CONTROL!$C$21, $C$9, 100%, $E$9)</f>
        <v>139.74930000000001</v>
      </c>
      <c r="G1036" s="14">
        <f>CHOOSE(CONTROL!$C$42, 139.7653, 139.7653)*CHOOSE(CONTROL!$C$21, $C$9, 100%, $E$9)</f>
        <v>139.7653</v>
      </c>
      <c r="H1036" s="14">
        <f>CHOOSE(CONTROL!$C$42, 139.9965, 139.9965) * CHOOSE(CONTROL!$C$21, $C$9, 100%, $E$9)</f>
        <v>139.9965</v>
      </c>
      <c r="I1036" s="14">
        <f>CHOOSE(CONTROL!$C$42, 140.2092, 140.2092)* CHOOSE(CONTROL!$C$21, $C$9, 100%, $E$9)</f>
        <v>140.20920000000001</v>
      </c>
      <c r="J1036" s="14">
        <f>CHOOSE(CONTROL!$C$42, 139.7423, 139.7423)* CHOOSE(CONTROL!$C$21, $C$9, 100%, $E$9)</f>
        <v>139.7423</v>
      </c>
      <c r="K1036" s="53">
        <f>CHOOSE(CONTROL!$C$42, 140.2053, 140.2053) * CHOOSE(CONTROL!$C$21, $C$9, 100%, $E$9)</f>
        <v>140.20529999999999</v>
      </c>
      <c r="L1036" s="14">
        <f>CHOOSE(CONTROL!$C$42, 140.5835, 140.5835) * CHOOSE(CONTROL!$C$21, $C$9, 100%, $E$9)</f>
        <v>140.58349999999999</v>
      </c>
      <c r="M1036" s="14">
        <f>CHOOSE(CONTROL!$C$42, 136.8868, 136.8868) * CHOOSE(CONTROL!$C$21, $C$9, 100%, $E$9)</f>
        <v>136.88679999999999</v>
      </c>
      <c r="N1036" s="14">
        <f>CHOOSE(CONTROL!$C$42, 136.9024, 136.9024) * CHOOSE(CONTROL!$C$21, $C$9, 100%, $E$9)</f>
        <v>136.9024</v>
      </c>
      <c r="O1036" s="14">
        <f>CHOOSE(CONTROL!$C$42, 137.1357, 137.1357) * CHOOSE(CONTROL!$C$21, $C$9, 100%, $E$9)</f>
        <v>137.13570000000001</v>
      </c>
      <c r="P1036" s="14">
        <f>CHOOSE(CONTROL!$C$42, 137.3353, 137.3353) * CHOOSE(CONTROL!$C$21, $C$9, 100%, $E$9)</f>
        <v>137.33529999999999</v>
      </c>
      <c r="Q1036" s="14">
        <f>CHOOSE(CONTROL!$C$42, 137.7304, 137.7304) * CHOOSE(CONTROL!$C$21, $C$9, 100%, $E$9)</f>
        <v>137.7304</v>
      </c>
      <c r="R1036" s="14">
        <f>CHOOSE(CONTROL!$C$42, 138.6618, 138.6618) * CHOOSE(CONTROL!$C$21, $C$9, 100%, $E$9)</f>
        <v>138.6618</v>
      </c>
      <c r="S1036" s="14">
        <f>CHOOSE(CONTROL!$C$42, 134.288, 134.288) * CHOOSE(CONTROL!$C$21, $C$9, 100%, $E$9)</f>
        <v>134.28800000000001</v>
      </c>
      <c r="T10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7">
        <f>(1000*CHOOSE(CONTROL!$C$42, 695, 695)*CHOOSE(CONTROL!$C$42, 0.5599, 0.5599)*CHOOSE(CONTROL!$C$42, 30, 30))/1000000</f>
        <v>11.673914999999997</v>
      </c>
      <c r="V1036" s="57">
        <f>(1000*CHOOSE(CONTROL!$C$42, 500, 500)*CHOOSE(CONTROL!$C$42, 0.275, 0.275)*CHOOSE(CONTROL!$C$42, 30, 30))/1000000</f>
        <v>4.125</v>
      </c>
      <c r="W1036" s="57">
        <f>(1000*CHOOSE(CONTROL!$C$42, 0.1146, 0.1146)*CHOOSE(CONTROL!$C$42, 121.5, 121.5)*CHOOSE(CONTROL!$C$42, 30, 30))/1000000</f>
        <v>0.417717</v>
      </c>
      <c r="X1036" s="57">
        <f>(30*0.1790888*245000/1000000)+(30*0.2374*100000/1000000)</f>
        <v>2.0285026799999999</v>
      </c>
      <c r="Y1036" s="57"/>
      <c r="Z1036" s="14"/>
      <c r="AA1036" s="56"/>
      <c r="AB1036" s="50">
        <f>(B1036*141.293+C1036*267.993+D1036*115.016+E1036*89.698+F1036*40+G1036*185+H1036*0+I1036*100+J1036*300)/(141.293+267.993+115.016+89.698+0+40+185+100+300)</f>
        <v>139.83183048482647</v>
      </c>
      <c r="AC1036" s="45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137.06504100719425</v>
      </c>
    </row>
    <row r="1037" spans="1:29" ht="15.75" x14ac:dyDescent="0.25">
      <c r="A1037" s="32">
        <v>72471</v>
      </c>
      <c r="B1037" s="14">
        <f>CHOOSE(CONTROL!$C$42, 140.9969, 140.9969) * CHOOSE(CONTROL!$C$21, $C$9, 100%, $E$9)</f>
        <v>140.99690000000001</v>
      </c>
      <c r="C1037" s="14">
        <f>CHOOSE(CONTROL!$C$42, 141.0049, 141.0049) * CHOOSE(CONTROL!$C$21, $C$9, 100%, $E$9)</f>
        <v>141.00489999999999</v>
      </c>
      <c r="D1037" s="14">
        <f>CHOOSE(CONTROL!$C$42, 141.2099, 141.2099) * CHOOSE(CONTROL!$C$21, $C$9, 100%, $E$9)</f>
        <v>141.2099</v>
      </c>
      <c r="E1037" s="14">
        <f>CHOOSE(CONTROL!$C$42, 141.2413, 141.2413) * CHOOSE(CONTROL!$C$21, $C$9, 100%, $E$9)</f>
        <v>141.2413</v>
      </c>
      <c r="F1037" s="14">
        <f>CHOOSE(CONTROL!$C$42, 140.983, 140.983)*CHOOSE(CONTROL!$C$21, $C$9, 100%, $E$9)</f>
        <v>140.983</v>
      </c>
      <c r="G1037" s="14">
        <f>CHOOSE(CONTROL!$C$42, 140.9994, 140.9994)*CHOOSE(CONTROL!$C$21, $C$9, 100%, $E$9)</f>
        <v>140.99940000000001</v>
      </c>
      <c r="H1037" s="14">
        <f>CHOOSE(CONTROL!$C$42, 141.2299, 141.2299) * CHOOSE(CONTROL!$C$21, $C$9, 100%, $E$9)</f>
        <v>141.22989999999999</v>
      </c>
      <c r="I1037" s="14">
        <f>CHOOSE(CONTROL!$C$42, 141.4465, 141.4465)* CHOOSE(CONTROL!$C$21, $C$9, 100%, $E$9)</f>
        <v>141.44649999999999</v>
      </c>
      <c r="J1037" s="14">
        <f>CHOOSE(CONTROL!$C$42, 140.976, 140.976)* CHOOSE(CONTROL!$C$21, $C$9, 100%, $E$9)</f>
        <v>140.976</v>
      </c>
      <c r="K1037" s="53">
        <f>CHOOSE(CONTROL!$C$42, 141.4426, 141.4426) * CHOOSE(CONTROL!$C$21, $C$9, 100%, $E$9)</f>
        <v>141.4426</v>
      </c>
      <c r="L1037" s="14">
        <f>CHOOSE(CONTROL!$C$42, 141.8169, 141.8169) * CHOOSE(CONTROL!$C$21, $C$9, 100%, $E$9)</f>
        <v>141.8169</v>
      </c>
      <c r="M1037" s="14">
        <f>CHOOSE(CONTROL!$C$42, 138.0952, 138.0952) * CHOOSE(CONTROL!$C$21, $C$9, 100%, $E$9)</f>
        <v>138.09520000000001</v>
      </c>
      <c r="N1037" s="14">
        <f>CHOOSE(CONTROL!$C$42, 138.1113, 138.1113) * CHOOSE(CONTROL!$C$21, $C$9, 100%, $E$9)</f>
        <v>138.1113</v>
      </c>
      <c r="O1037" s="14">
        <f>CHOOSE(CONTROL!$C$42, 138.3439, 138.3439) * CHOOSE(CONTROL!$C$21, $C$9, 100%, $E$9)</f>
        <v>138.34389999999999</v>
      </c>
      <c r="P1037" s="14">
        <f>CHOOSE(CONTROL!$C$42, 138.5472, 138.5472) * CHOOSE(CONTROL!$C$21, $C$9, 100%, $E$9)</f>
        <v>138.5472</v>
      </c>
      <c r="Q1037" s="14">
        <f>CHOOSE(CONTROL!$C$42, 138.9386, 138.9386) * CHOOSE(CONTROL!$C$21, $C$9, 100%, $E$9)</f>
        <v>138.93860000000001</v>
      </c>
      <c r="R1037" s="14">
        <f>CHOOSE(CONTROL!$C$42, 139.873, 139.873) * CHOOSE(CONTROL!$C$21, $C$9, 100%, $E$9)</f>
        <v>139.87299999999999</v>
      </c>
      <c r="S1037" s="14">
        <f>CHOOSE(CONTROL!$C$42, 135.4732, 135.4732) * CHOOSE(CONTROL!$C$21, $C$9, 100%, $E$9)</f>
        <v>135.47319999999999</v>
      </c>
      <c r="T10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7">
        <f>(1000*CHOOSE(CONTROL!$C$42, 695, 695)*CHOOSE(CONTROL!$C$42, 0.5599, 0.5599)*CHOOSE(CONTROL!$C$42, 31, 31))/1000000</f>
        <v>12.063045499999998</v>
      </c>
      <c r="V1037" s="57">
        <f>(1000*CHOOSE(CONTROL!$C$42, 500, 500)*CHOOSE(CONTROL!$C$42, 0.275, 0.275)*CHOOSE(CONTROL!$C$42, 31, 31))/1000000</f>
        <v>4.2625000000000002</v>
      </c>
      <c r="W1037" s="57">
        <f>(1000*CHOOSE(CONTROL!$C$42, 0.1146, 0.1146)*CHOOSE(CONTROL!$C$42, 121.5, 121.5)*CHOOSE(CONTROL!$C$42, 31, 31))/1000000</f>
        <v>0.43164089999999994</v>
      </c>
      <c r="X1037" s="57">
        <f>(31*0.1790888*245000/1000000)+(31*0.2374*100000/1000000)</f>
        <v>2.0961194359999999</v>
      </c>
      <c r="Y1037" s="57"/>
      <c r="Z1037" s="14"/>
      <c r="AA1037" s="56"/>
      <c r="AB1037" s="50">
        <f>(B1037*194.205+C1037*267.466+D1037*133.845+E1037*53.484+F1037*40+G1037*185+H1037*0+I1037*100+J1037*300)/(194.205+267.466+133.845+53.484+0+40+185+100+300)</f>
        <v>141.06151279638934</v>
      </c>
      <c r="AC1037" s="45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138.27388273381294</v>
      </c>
    </row>
    <row r="1038" spans="1:29" ht="15.75" x14ac:dyDescent="0.25">
      <c r="A1038" s="32">
        <v>72501</v>
      </c>
      <c r="B1038" s="14">
        <f>CHOOSE(CONTROL!$C$42, 144.9961, 144.9961) * CHOOSE(CONTROL!$C$21, $C$9, 100%, $E$9)</f>
        <v>144.99610000000001</v>
      </c>
      <c r="C1038" s="14">
        <f>CHOOSE(CONTROL!$C$42, 145.0041, 145.0041) * CHOOSE(CONTROL!$C$21, $C$9, 100%, $E$9)</f>
        <v>145.00409999999999</v>
      </c>
      <c r="D1038" s="14">
        <f>CHOOSE(CONTROL!$C$42, 145.2091, 145.2091) * CHOOSE(CONTROL!$C$21, $C$9, 100%, $E$9)</f>
        <v>145.20910000000001</v>
      </c>
      <c r="E1038" s="14">
        <f>CHOOSE(CONTROL!$C$42, 145.2406, 145.2406) * CHOOSE(CONTROL!$C$21, $C$9, 100%, $E$9)</f>
        <v>145.2406</v>
      </c>
      <c r="F1038" s="14">
        <f>CHOOSE(CONTROL!$C$42, 144.9826, 144.9826)*CHOOSE(CONTROL!$C$21, $C$9, 100%, $E$9)</f>
        <v>144.98259999999999</v>
      </c>
      <c r="G1038" s="14">
        <f>CHOOSE(CONTROL!$C$42, 144.9992, 144.9992)*CHOOSE(CONTROL!$C$21, $C$9, 100%, $E$9)</f>
        <v>144.9992</v>
      </c>
      <c r="H1038" s="14">
        <f>CHOOSE(CONTROL!$C$42, 145.2292, 145.2292) * CHOOSE(CONTROL!$C$21, $C$9, 100%, $E$9)</f>
        <v>145.22919999999999</v>
      </c>
      <c r="I1038" s="14">
        <f>CHOOSE(CONTROL!$C$42, 145.4582, 145.4582)* CHOOSE(CONTROL!$C$21, $C$9, 100%, $E$9)</f>
        <v>145.45820000000001</v>
      </c>
      <c r="J1038" s="14">
        <f>CHOOSE(CONTROL!$C$42, 144.9756, 144.9756)* CHOOSE(CONTROL!$C$21, $C$9, 100%, $E$9)</f>
        <v>144.97559999999999</v>
      </c>
      <c r="K1038" s="53">
        <f>CHOOSE(CONTROL!$C$42, 145.4544, 145.4544) * CHOOSE(CONTROL!$C$21, $C$9, 100%, $E$9)</f>
        <v>145.45439999999999</v>
      </c>
      <c r="L1038" s="14">
        <f>CHOOSE(CONTROL!$C$42, 145.8162, 145.8162) * CHOOSE(CONTROL!$C$21, $C$9, 100%, $E$9)</f>
        <v>145.81620000000001</v>
      </c>
      <c r="M1038" s="14">
        <f>CHOOSE(CONTROL!$C$42, 142.0129, 142.0129) * CHOOSE(CONTROL!$C$21, $C$9, 100%, $E$9)</f>
        <v>142.0129</v>
      </c>
      <c r="N1038" s="14">
        <f>CHOOSE(CONTROL!$C$42, 142.0291, 142.0291) * CHOOSE(CONTROL!$C$21, $C$9, 100%, $E$9)</f>
        <v>142.0291</v>
      </c>
      <c r="O1038" s="14">
        <f>CHOOSE(CONTROL!$C$42, 142.2612, 142.2612) * CHOOSE(CONTROL!$C$21, $C$9, 100%, $E$9)</f>
        <v>142.2612</v>
      </c>
      <c r="P1038" s="14">
        <f>CHOOSE(CONTROL!$C$42, 142.4765, 142.4765) * CHOOSE(CONTROL!$C$21, $C$9, 100%, $E$9)</f>
        <v>142.47649999999999</v>
      </c>
      <c r="Q1038" s="14">
        <f>CHOOSE(CONTROL!$C$42, 142.8559, 142.8559) * CHOOSE(CONTROL!$C$21, $C$9, 100%, $E$9)</f>
        <v>142.85589999999999</v>
      </c>
      <c r="R1038" s="14">
        <f>CHOOSE(CONTROL!$C$42, 143.8001, 143.8001) * CHOOSE(CONTROL!$C$21, $C$9, 100%, $E$9)</f>
        <v>143.80009999999999</v>
      </c>
      <c r="S1038" s="14">
        <f>CHOOSE(CONTROL!$C$42, 139.3161, 139.3161) * CHOOSE(CONTROL!$C$21, $C$9, 100%, $E$9)</f>
        <v>139.31610000000001</v>
      </c>
      <c r="T10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7">
        <f>(1000*CHOOSE(CONTROL!$C$42, 695, 695)*CHOOSE(CONTROL!$C$42, 0.5599, 0.5599)*CHOOSE(CONTROL!$C$42, 30, 30))/1000000</f>
        <v>11.673914999999997</v>
      </c>
      <c r="V1038" s="57">
        <f>(1000*CHOOSE(CONTROL!$C$42, 500, 500)*CHOOSE(CONTROL!$C$42, 0.275, 0.275)*CHOOSE(CONTROL!$C$42, 30, 30))/1000000</f>
        <v>4.125</v>
      </c>
      <c r="W1038" s="57">
        <f>(1000*CHOOSE(CONTROL!$C$42, 0.1146, 0.1146)*CHOOSE(CONTROL!$C$42, 121.5, 121.5)*CHOOSE(CONTROL!$C$42, 30, 30))/1000000</f>
        <v>0.417717</v>
      </c>
      <c r="X1038" s="57">
        <f>(30*0.1790888*245000/1000000)+(30*0.2374*100000/1000000)</f>
        <v>2.0285026799999999</v>
      </c>
      <c r="Y1038" s="57"/>
      <c r="Z1038" s="14"/>
      <c r="AA1038" s="56"/>
      <c r="AB1038" s="50">
        <f>(B1038*194.205+C1038*267.466+D1038*133.845+E1038*53.484+F1038*40+G1038*185+H1038*0+I1038*100+J1038*300)/(194.205+267.466+133.845+53.484+0+40+185+100+300)</f>
        <v>145.06189203375195</v>
      </c>
      <c r="AC1038" s="45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142.19307625899279</v>
      </c>
    </row>
    <row r="1039" spans="1:29" ht="15.75" x14ac:dyDescent="0.25">
      <c r="A1039" s="32">
        <v>72532</v>
      </c>
      <c r="B1039" s="14">
        <f>CHOOSE(CONTROL!$C$42, 142.2146, 142.2146) * CHOOSE(CONTROL!$C$21, $C$9, 100%, $E$9)</f>
        <v>142.21459999999999</v>
      </c>
      <c r="C1039" s="14">
        <f>CHOOSE(CONTROL!$C$42, 142.2226, 142.2226) * CHOOSE(CONTROL!$C$21, $C$9, 100%, $E$9)</f>
        <v>142.2226</v>
      </c>
      <c r="D1039" s="14">
        <f>CHOOSE(CONTROL!$C$42, 142.4276, 142.4276) * CHOOSE(CONTROL!$C$21, $C$9, 100%, $E$9)</f>
        <v>142.42760000000001</v>
      </c>
      <c r="E1039" s="14">
        <f>CHOOSE(CONTROL!$C$42, 142.4591, 142.4591) * CHOOSE(CONTROL!$C$21, $C$9, 100%, $E$9)</f>
        <v>142.45910000000001</v>
      </c>
      <c r="F1039" s="14">
        <f>CHOOSE(CONTROL!$C$42, 142.2016, 142.2016)*CHOOSE(CONTROL!$C$21, $C$9, 100%, $E$9)</f>
        <v>142.20160000000001</v>
      </c>
      <c r="G1039" s="14">
        <f>CHOOSE(CONTROL!$C$42, 142.2182, 142.2182)*CHOOSE(CONTROL!$C$21, $C$9, 100%, $E$9)</f>
        <v>142.2182</v>
      </c>
      <c r="H1039" s="14">
        <f>CHOOSE(CONTROL!$C$42, 142.4477, 142.4477) * CHOOSE(CONTROL!$C$21, $C$9, 100%, $E$9)</f>
        <v>142.4477</v>
      </c>
      <c r="I1039" s="14">
        <f>CHOOSE(CONTROL!$C$42, 142.668, 142.668)* CHOOSE(CONTROL!$C$21, $C$9, 100%, $E$9)</f>
        <v>142.66800000000001</v>
      </c>
      <c r="J1039" s="14">
        <f>CHOOSE(CONTROL!$C$42, 142.1946, 142.1946)* CHOOSE(CONTROL!$C$21, $C$9, 100%, $E$9)</f>
        <v>142.19460000000001</v>
      </c>
      <c r="K1039" s="53">
        <f>CHOOSE(CONTROL!$C$42, 142.6642, 142.6642) * CHOOSE(CONTROL!$C$21, $C$9, 100%, $E$9)</f>
        <v>142.66419999999999</v>
      </c>
      <c r="L1039" s="14">
        <f>CHOOSE(CONTROL!$C$42, 143.0347, 143.0347) * CHOOSE(CONTROL!$C$21, $C$9, 100%, $E$9)</f>
        <v>143.03469999999999</v>
      </c>
      <c r="M1039" s="14">
        <f>CHOOSE(CONTROL!$C$42, 139.2888, 139.2888) * CHOOSE(CONTROL!$C$21, $C$9, 100%, $E$9)</f>
        <v>139.28880000000001</v>
      </c>
      <c r="N1039" s="14">
        <f>CHOOSE(CONTROL!$C$42, 139.3051, 139.3051) * CHOOSE(CONTROL!$C$21, $C$9, 100%, $E$9)</f>
        <v>139.30510000000001</v>
      </c>
      <c r="O1039" s="14">
        <f>CHOOSE(CONTROL!$C$42, 139.5367, 139.5367) * CHOOSE(CONTROL!$C$21, $C$9, 100%, $E$9)</f>
        <v>139.5367</v>
      </c>
      <c r="P1039" s="14">
        <f>CHOOSE(CONTROL!$C$42, 139.7437, 139.7437) * CHOOSE(CONTROL!$C$21, $C$9, 100%, $E$9)</f>
        <v>139.74369999999999</v>
      </c>
      <c r="Q1039" s="14">
        <f>CHOOSE(CONTROL!$C$42, 140.1314, 140.1314) * CHOOSE(CONTROL!$C$21, $C$9, 100%, $E$9)</f>
        <v>140.13140000000001</v>
      </c>
      <c r="R1039" s="14">
        <f>CHOOSE(CONTROL!$C$42, 141.0688, 141.0688) * CHOOSE(CONTROL!$C$21, $C$9, 100%, $E$9)</f>
        <v>141.06880000000001</v>
      </c>
      <c r="S1039" s="14">
        <f>CHOOSE(CONTROL!$C$42, 136.6434, 136.6434) * CHOOSE(CONTROL!$C$21, $C$9, 100%, $E$9)</f>
        <v>136.64340000000001</v>
      </c>
      <c r="T10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7">
        <f>(1000*CHOOSE(CONTROL!$C$42, 695, 695)*CHOOSE(CONTROL!$C$42, 0.5599, 0.5599)*CHOOSE(CONTROL!$C$42, 31, 31))/1000000</f>
        <v>12.063045499999998</v>
      </c>
      <c r="V1039" s="57">
        <f>(1000*CHOOSE(CONTROL!$C$42, 500, 500)*CHOOSE(CONTROL!$C$42, 0.275, 0.275)*CHOOSE(CONTROL!$C$42, 31, 31))/1000000</f>
        <v>4.2625000000000002</v>
      </c>
      <c r="W1039" s="57">
        <f>(1000*CHOOSE(CONTROL!$C$42, 0.1146, 0.1146)*CHOOSE(CONTROL!$C$42, 121.5, 121.5)*CHOOSE(CONTROL!$C$42, 31, 31))/1000000</f>
        <v>0.43164089999999994</v>
      </c>
      <c r="X1039" s="57">
        <f>(31*0.1790888*245000/1000000)+(31*0.2374*100000/1000000)</f>
        <v>2.0961194359999999</v>
      </c>
      <c r="Y1039" s="57"/>
      <c r="Z1039" s="14"/>
      <c r="AA1039" s="56"/>
      <c r="AB1039" s="50">
        <f>(B1039*194.205+C1039*267.466+D1039*133.845+E1039*53.484+F1039*40+G1039*185+H1039*0+I1039*100+J1039*300)/(194.205+267.466+133.845+53.484+0+40+185+100+300)</f>
        <v>142.27991518916798</v>
      </c>
      <c r="AC1039" s="45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139.46754892086329</v>
      </c>
    </row>
    <row r="1040" spans="1:29" ht="15.75" x14ac:dyDescent="0.25">
      <c r="A1040" s="32">
        <v>72563</v>
      </c>
      <c r="B1040" s="14">
        <f>CHOOSE(CONTROL!$C$42, 135.1905, 135.1905) * CHOOSE(CONTROL!$C$21, $C$9, 100%, $E$9)</f>
        <v>135.19049999999999</v>
      </c>
      <c r="C1040" s="14">
        <f>CHOOSE(CONTROL!$C$42, 135.1985, 135.1985) * CHOOSE(CONTROL!$C$21, $C$9, 100%, $E$9)</f>
        <v>135.1985</v>
      </c>
      <c r="D1040" s="14">
        <f>CHOOSE(CONTROL!$C$42, 135.4035, 135.4035) * CHOOSE(CONTROL!$C$21, $C$9, 100%, $E$9)</f>
        <v>135.40350000000001</v>
      </c>
      <c r="E1040" s="14">
        <f>CHOOSE(CONTROL!$C$42, 135.4349, 135.4349) * CHOOSE(CONTROL!$C$21, $C$9, 100%, $E$9)</f>
        <v>135.4349</v>
      </c>
      <c r="F1040" s="14">
        <f>CHOOSE(CONTROL!$C$42, 135.1776, 135.1776)*CHOOSE(CONTROL!$C$21, $C$9, 100%, $E$9)</f>
        <v>135.17760000000001</v>
      </c>
      <c r="G1040" s="14">
        <f>CHOOSE(CONTROL!$C$42, 135.1943, 135.1943)*CHOOSE(CONTROL!$C$21, $C$9, 100%, $E$9)</f>
        <v>135.1943</v>
      </c>
      <c r="H1040" s="14">
        <f>CHOOSE(CONTROL!$C$42, 135.4236, 135.4236) * CHOOSE(CONTROL!$C$21, $C$9, 100%, $E$9)</f>
        <v>135.42359999999999</v>
      </c>
      <c r="I1040" s="14">
        <f>CHOOSE(CONTROL!$C$42, 135.6219, 135.6219)* CHOOSE(CONTROL!$C$21, $C$9, 100%, $E$9)</f>
        <v>135.62190000000001</v>
      </c>
      <c r="J1040" s="14">
        <f>CHOOSE(CONTROL!$C$42, 135.1706, 135.1706)* CHOOSE(CONTROL!$C$21, $C$9, 100%, $E$9)</f>
        <v>135.17060000000001</v>
      </c>
      <c r="K1040" s="53">
        <f>CHOOSE(CONTROL!$C$42, 135.618, 135.618) * CHOOSE(CONTROL!$C$21, $C$9, 100%, $E$9)</f>
        <v>135.61799999999999</v>
      </c>
      <c r="L1040" s="14">
        <f>CHOOSE(CONTROL!$C$42, 136.0106, 136.0106) * CHOOSE(CONTROL!$C$21, $C$9, 100%, $E$9)</f>
        <v>136.01060000000001</v>
      </c>
      <c r="M1040" s="14">
        <f>CHOOSE(CONTROL!$C$42, 132.4088, 132.4088) * CHOOSE(CONTROL!$C$21, $C$9, 100%, $E$9)</f>
        <v>132.40880000000001</v>
      </c>
      <c r="N1040" s="14">
        <f>CHOOSE(CONTROL!$C$42, 132.4251, 132.4251) * CHOOSE(CONTROL!$C$21, $C$9, 100%, $E$9)</f>
        <v>132.42509999999999</v>
      </c>
      <c r="O1040" s="14">
        <f>CHOOSE(CONTROL!$C$42, 132.6565, 132.6565) * CHOOSE(CONTROL!$C$21, $C$9, 100%, $E$9)</f>
        <v>132.65649999999999</v>
      </c>
      <c r="P1040" s="14">
        <f>CHOOSE(CONTROL!$C$42, 132.8424, 132.8424) * CHOOSE(CONTROL!$C$21, $C$9, 100%, $E$9)</f>
        <v>132.8424</v>
      </c>
      <c r="Q1040" s="14">
        <f>CHOOSE(CONTROL!$C$42, 133.2512, 133.2512) * CHOOSE(CONTROL!$C$21, $C$9, 100%, $E$9)</f>
        <v>133.25120000000001</v>
      </c>
      <c r="R1040" s="14">
        <f>CHOOSE(CONTROL!$C$42, 134.1713, 134.1713) * CHOOSE(CONTROL!$C$21, $C$9, 100%, $E$9)</f>
        <v>134.1713</v>
      </c>
      <c r="S1040" s="14">
        <f>CHOOSE(CONTROL!$C$42, 129.8939, 129.8939) * CHOOSE(CONTROL!$C$21, $C$9, 100%, $E$9)</f>
        <v>129.8939</v>
      </c>
      <c r="T10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7">
        <f>(1000*CHOOSE(CONTROL!$C$42, 695, 695)*CHOOSE(CONTROL!$C$42, 0.5599, 0.5599)*CHOOSE(CONTROL!$C$42, 31, 31))/1000000</f>
        <v>12.063045499999998</v>
      </c>
      <c r="V1040" s="57">
        <f>(1000*CHOOSE(CONTROL!$C$42, 500, 500)*CHOOSE(CONTROL!$C$42, 0.275, 0.275)*CHOOSE(CONTROL!$C$42, 31, 31))/1000000</f>
        <v>4.2625000000000002</v>
      </c>
      <c r="W1040" s="57">
        <f>(1000*CHOOSE(CONTROL!$C$42, 0.1146, 0.1146)*CHOOSE(CONTROL!$C$42, 121.5, 121.5)*CHOOSE(CONTROL!$C$42, 31, 31))/1000000</f>
        <v>0.43164089999999994</v>
      </c>
      <c r="X1040" s="57">
        <f>(31*0.1790888*245000/1000000)+(31*0.2374*100000/1000000)</f>
        <v>2.0961194359999999</v>
      </c>
      <c r="Y1040" s="57"/>
      <c r="Z1040" s="14"/>
      <c r="AA1040" s="56"/>
      <c r="AB1040" s="50">
        <f>(B1040*194.205+C1040*267.466+D1040*133.845+E1040*53.484+F1040*40+G1040*185+H1040*0+I1040*100+J1040*300)/(194.205+267.466+133.845+53.484+0+40+185+100+300)</f>
        <v>135.25413987645209</v>
      </c>
      <c r="AC1040" s="45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132.58439352517985</v>
      </c>
    </row>
    <row r="1041" spans="1:29" ht="15.75" x14ac:dyDescent="0.25">
      <c r="A1041" s="32">
        <v>72593</v>
      </c>
      <c r="B1041" s="14">
        <f>CHOOSE(CONTROL!$C$42, 126.6079, 126.6079) * CHOOSE(CONTROL!$C$21, $C$9, 100%, $E$9)</f>
        <v>126.6079</v>
      </c>
      <c r="C1041" s="14">
        <f>CHOOSE(CONTROL!$C$42, 126.6159, 126.6159) * CHOOSE(CONTROL!$C$21, $C$9, 100%, $E$9)</f>
        <v>126.6159</v>
      </c>
      <c r="D1041" s="14">
        <f>CHOOSE(CONTROL!$C$42, 126.8209, 126.8209) * CHOOSE(CONTROL!$C$21, $C$9, 100%, $E$9)</f>
        <v>126.82089999999999</v>
      </c>
      <c r="E1041" s="14">
        <f>CHOOSE(CONTROL!$C$42, 126.8523, 126.8523) * CHOOSE(CONTROL!$C$21, $C$9, 100%, $E$9)</f>
        <v>126.8523</v>
      </c>
      <c r="F1041" s="14">
        <f>CHOOSE(CONTROL!$C$42, 126.595, 126.595)*CHOOSE(CONTROL!$C$21, $C$9, 100%, $E$9)</f>
        <v>126.595</v>
      </c>
      <c r="G1041" s="14">
        <f>CHOOSE(CONTROL!$C$42, 126.6117, 126.6117)*CHOOSE(CONTROL!$C$21, $C$9, 100%, $E$9)</f>
        <v>126.6117</v>
      </c>
      <c r="H1041" s="14">
        <f>CHOOSE(CONTROL!$C$42, 126.841, 126.841) * CHOOSE(CONTROL!$C$21, $C$9, 100%, $E$9)</f>
        <v>126.84099999999999</v>
      </c>
      <c r="I1041" s="14">
        <f>CHOOSE(CONTROL!$C$42, 127.0124, 127.0124)* CHOOSE(CONTROL!$C$21, $C$9, 100%, $E$9)</f>
        <v>127.0124</v>
      </c>
      <c r="J1041" s="14">
        <f>CHOOSE(CONTROL!$C$42, 126.588, 126.588)* CHOOSE(CONTROL!$C$21, $C$9, 100%, $E$9)</f>
        <v>126.58799999999999</v>
      </c>
      <c r="K1041" s="53">
        <f>CHOOSE(CONTROL!$C$42, 127.0085, 127.0085) * CHOOSE(CONTROL!$C$21, $C$9, 100%, $E$9)</f>
        <v>127.0085</v>
      </c>
      <c r="L1041" s="14">
        <f>CHOOSE(CONTROL!$C$42, 127.428, 127.428) * CHOOSE(CONTROL!$C$21, $C$9, 100%, $E$9)</f>
        <v>127.428</v>
      </c>
      <c r="M1041" s="14">
        <f>CHOOSE(CONTROL!$C$42, 124.002, 124.002) * CHOOSE(CONTROL!$C$21, $C$9, 100%, $E$9)</f>
        <v>124.002</v>
      </c>
      <c r="N1041" s="14">
        <f>CHOOSE(CONTROL!$C$42, 124.0184, 124.0184) * CHOOSE(CONTROL!$C$21, $C$9, 100%, $E$9)</f>
        <v>124.0184</v>
      </c>
      <c r="O1041" s="14">
        <f>CHOOSE(CONTROL!$C$42, 124.2498, 124.2498) * CHOOSE(CONTROL!$C$21, $C$9, 100%, $E$9)</f>
        <v>124.24979999999999</v>
      </c>
      <c r="P1041" s="14">
        <f>CHOOSE(CONTROL!$C$42, 124.4098, 124.4098) * CHOOSE(CONTROL!$C$21, $C$9, 100%, $E$9)</f>
        <v>124.4098</v>
      </c>
      <c r="Q1041" s="14">
        <f>CHOOSE(CONTROL!$C$42, 124.8445, 124.8445) * CHOOSE(CONTROL!$C$21, $C$9, 100%, $E$9)</f>
        <v>124.8445</v>
      </c>
      <c r="R1041" s="14">
        <f>CHOOSE(CONTROL!$C$42, 125.7436, 125.7436) * CHOOSE(CONTROL!$C$21, $C$9, 100%, $E$9)</f>
        <v>125.7436</v>
      </c>
      <c r="S1041" s="14">
        <f>CHOOSE(CONTROL!$C$42, 121.6469, 121.6469) * CHOOSE(CONTROL!$C$21, $C$9, 100%, $E$9)</f>
        <v>121.6469</v>
      </c>
      <c r="T10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7">
        <f>(1000*CHOOSE(CONTROL!$C$42, 695, 695)*CHOOSE(CONTROL!$C$42, 0.5599, 0.5599)*CHOOSE(CONTROL!$C$42, 30, 30))/1000000</f>
        <v>11.673914999999997</v>
      </c>
      <c r="V1041" s="57">
        <f>(1000*CHOOSE(CONTROL!$C$42, 500, 500)*CHOOSE(CONTROL!$C$42, 0.275, 0.275)*CHOOSE(CONTROL!$C$42, 30, 30))/1000000</f>
        <v>4.125</v>
      </c>
      <c r="W1041" s="57">
        <f>(1000*CHOOSE(CONTROL!$C$42, 0.1146, 0.1146)*CHOOSE(CONTROL!$C$42, 121.5, 121.5)*CHOOSE(CONTROL!$C$42, 30, 30))/1000000</f>
        <v>0.417717</v>
      </c>
      <c r="X1041" s="57">
        <f>(30*0.1790888*245000/1000000)+(30*0.2374*100000/1000000)</f>
        <v>2.0285026799999999</v>
      </c>
      <c r="Y1041" s="57"/>
      <c r="Z1041" s="14"/>
      <c r="AA1041" s="56"/>
      <c r="AB1041" s="50">
        <f>(B1041*194.205+C1041*267.466+D1041*133.845+E1041*53.484+F1041*40+G1041*185+H1041*0+I1041*100+J1041*300)/(194.205+267.466+133.845+53.484+0+40+185+100+300)</f>
        <v>126.66942841648354</v>
      </c>
      <c r="AC1041" s="45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124.1739323741007</v>
      </c>
    </row>
    <row r="1042" spans="1:29" ht="15.75" x14ac:dyDescent="0.25">
      <c r="A1042" s="32">
        <v>72624</v>
      </c>
      <c r="B1042" s="14">
        <f>CHOOSE(CONTROL!$C$42, 124.0357, 124.0357) * CHOOSE(CONTROL!$C$21, $C$9, 100%, $E$9)</f>
        <v>124.03570000000001</v>
      </c>
      <c r="C1042" s="14">
        <f>CHOOSE(CONTROL!$C$42, 124.041, 124.041) * CHOOSE(CONTROL!$C$21, $C$9, 100%, $E$9)</f>
        <v>124.041</v>
      </c>
      <c r="D1042" s="14">
        <f>CHOOSE(CONTROL!$C$42, 124.251, 124.251) * CHOOSE(CONTROL!$C$21, $C$9, 100%, $E$9)</f>
        <v>124.251</v>
      </c>
      <c r="E1042" s="14">
        <f>CHOOSE(CONTROL!$C$42, 124.2801, 124.2801) * CHOOSE(CONTROL!$C$21, $C$9, 100%, $E$9)</f>
        <v>124.2801</v>
      </c>
      <c r="F1042" s="14">
        <f>CHOOSE(CONTROL!$C$42, 124.0249, 124.0249)*CHOOSE(CONTROL!$C$21, $C$9, 100%, $E$9)</f>
        <v>124.0249</v>
      </c>
      <c r="G1042" s="14">
        <f>CHOOSE(CONTROL!$C$42, 124.0413, 124.0413)*CHOOSE(CONTROL!$C$21, $C$9, 100%, $E$9)</f>
        <v>124.04130000000001</v>
      </c>
      <c r="H1042" s="14">
        <f>CHOOSE(CONTROL!$C$42, 124.2706, 124.2706) * CHOOSE(CONTROL!$C$21, $C$9, 100%, $E$9)</f>
        <v>124.2706</v>
      </c>
      <c r="I1042" s="14">
        <f>CHOOSE(CONTROL!$C$42, 124.434, 124.434)* CHOOSE(CONTROL!$C$21, $C$9, 100%, $E$9)</f>
        <v>124.434</v>
      </c>
      <c r="J1042" s="14">
        <f>CHOOSE(CONTROL!$C$42, 124.0179, 124.0179)* CHOOSE(CONTROL!$C$21, $C$9, 100%, $E$9)</f>
        <v>124.0179</v>
      </c>
      <c r="K1042" s="53">
        <f>CHOOSE(CONTROL!$C$42, 124.4301, 124.4301) * CHOOSE(CONTROL!$C$21, $C$9, 100%, $E$9)</f>
        <v>124.4301</v>
      </c>
      <c r="L1042" s="14">
        <f>CHOOSE(CONTROL!$C$42, 124.8576, 124.8576) * CHOOSE(CONTROL!$C$21, $C$9, 100%, $E$9)</f>
        <v>124.85760000000001</v>
      </c>
      <c r="M1042" s="14">
        <f>CHOOSE(CONTROL!$C$42, 121.4846, 121.4846) * CHOOSE(CONTROL!$C$21, $C$9, 100%, $E$9)</f>
        <v>121.4846</v>
      </c>
      <c r="N1042" s="14">
        <f>CHOOSE(CONTROL!$C$42, 121.5006, 121.5006) * CHOOSE(CONTROL!$C$21, $C$9, 100%, $E$9)</f>
        <v>121.50060000000001</v>
      </c>
      <c r="O1042" s="14">
        <f>CHOOSE(CONTROL!$C$42, 121.732, 121.732) * CHOOSE(CONTROL!$C$21, $C$9, 100%, $E$9)</f>
        <v>121.732</v>
      </c>
      <c r="P1042" s="14">
        <f>CHOOSE(CONTROL!$C$42, 121.8844, 121.8844) * CHOOSE(CONTROL!$C$21, $C$9, 100%, $E$9)</f>
        <v>121.8844</v>
      </c>
      <c r="Q1042" s="14">
        <f>CHOOSE(CONTROL!$C$42, 122.3267, 122.3267) * CHOOSE(CONTROL!$C$21, $C$9, 100%, $E$9)</f>
        <v>122.3267</v>
      </c>
      <c r="R1042" s="14">
        <f>CHOOSE(CONTROL!$C$42, 123.2196, 123.2196) * CHOOSE(CONTROL!$C$21, $C$9, 100%, $E$9)</f>
        <v>123.2196</v>
      </c>
      <c r="S1042" s="14">
        <f>CHOOSE(CONTROL!$C$42, 119.177, 119.177) * CHOOSE(CONTROL!$C$21, $C$9, 100%, $E$9)</f>
        <v>119.17700000000001</v>
      </c>
      <c r="T10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7">
        <f>(1000*CHOOSE(CONTROL!$C$42, 695, 695)*CHOOSE(CONTROL!$C$42, 0.5599, 0.5599)*CHOOSE(CONTROL!$C$42, 31, 31))/1000000</f>
        <v>12.063045499999998</v>
      </c>
      <c r="V1042" s="57">
        <f>(1000*CHOOSE(CONTROL!$C$42, 500, 500)*CHOOSE(CONTROL!$C$42, 0.275, 0.275)*CHOOSE(CONTROL!$C$42, 31, 31))/1000000</f>
        <v>4.2625000000000002</v>
      </c>
      <c r="W1042" s="57">
        <f>(1000*CHOOSE(CONTROL!$C$42, 0.1146, 0.1146)*CHOOSE(CONTROL!$C$42, 121.5, 121.5)*CHOOSE(CONTROL!$C$42, 31, 31))/1000000</f>
        <v>0.43164089999999994</v>
      </c>
      <c r="X1042" s="57">
        <f>(31*0.1790888*245000/1000000)+(31*0.2374*100000/1000000)</f>
        <v>2.0961194359999999</v>
      </c>
      <c r="Y1042" s="57"/>
      <c r="Z1042" s="14"/>
      <c r="AA1042" s="56"/>
      <c r="AB1042" s="50">
        <f>(B1042*131.881+C1042*277.167+D1042*79.08+E1042*125.872+F1042*40+G1042*185+H1042*0+I1042*100+J1042*300)/(131.881+277.167+79.08+125.872+0+40+185+100+300)</f>
        <v>124.10378073115415</v>
      </c>
      <c r="AC1042" s="45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121.65517697841726</v>
      </c>
    </row>
    <row r="1043" spans="1:29" ht="15.75" x14ac:dyDescent="0.25">
      <c r="A1043" s="32">
        <v>72654</v>
      </c>
      <c r="B1043" s="14">
        <f>CHOOSE(CONTROL!$C$42, 127.3027, 127.3027) * CHOOSE(CONTROL!$C$21, $C$9, 100%, $E$9)</f>
        <v>127.3027</v>
      </c>
      <c r="C1043" s="14">
        <f>CHOOSE(CONTROL!$C$42, 127.3078, 127.3078) * CHOOSE(CONTROL!$C$21, $C$9, 100%, $E$9)</f>
        <v>127.3078</v>
      </c>
      <c r="D1043" s="14">
        <f>CHOOSE(CONTROL!$C$42, 127.3716, 127.3716) * CHOOSE(CONTROL!$C$21, $C$9, 100%, $E$9)</f>
        <v>127.3716</v>
      </c>
      <c r="E1043" s="14">
        <f>CHOOSE(CONTROL!$C$42, 127.4057, 127.4057) * CHOOSE(CONTROL!$C$21, $C$9, 100%, $E$9)</f>
        <v>127.4057</v>
      </c>
      <c r="F1043" s="14">
        <f>CHOOSE(CONTROL!$C$42, 127.305, 127.305)*CHOOSE(CONTROL!$C$21, $C$9, 100%, $E$9)</f>
        <v>127.30500000000001</v>
      </c>
      <c r="G1043" s="14">
        <f>CHOOSE(CONTROL!$C$42, 127.3216, 127.3216)*CHOOSE(CONTROL!$C$21, $C$9, 100%, $E$9)</f>
        <v>127.3216</v>
      </c>
      <c r="H1043" s="14">
        <f>CHOOSE(CONTROL!$C$42, 127.3949, 127.3949) * CHOOSE(CONTROL!$C$21, $C$9, 100%, $E$9)</f>
        <v>127.39490000000001</v>
      </c>
      <c r="I1043" s="14">
        <f>CHOOSE(CONTROL!$C$42, 127.7153, 127.7153)* CHOOSE(CONTROL!$C$21, $C$9, 100%, $E$9)</f>
        <v>127.7153</v>
      </c>
      <c r="J1043" s="14">
        <f>CHOOSE(CONTROL!$C$42, 127.298, 127.298)* CHOOSE(CONTROL!$C$21, $C$9, 100%, $E$9)</f>
        <v>127.298</v>
      </c>
      <c r="K1043" s="53">
        <f>CHOOSE(CONTROL!$C$42, 127.7114, 127.7114) * CHOOSE(CONTROL!$C$21, $C$9, 100%, $E$9)</f>
        <v>127.7114</v>
      </c>
      <c r="L1043" s="14">
        <f>CHOOSE(CONTROL!$C$42, 127.9819, 127.9819) * CHOOSE(CONTROL!$C$21, $C$9, 100%, $E$9)</f>
        <v>127.9819</v>
      </c>
      <c r="M1043" s="14">
        <f>CHOOSE(CONTROL!$C$42, 124.6974, 124.6974) * CHOOSE(CONTROL!$C$21, $C$9, 100%, $E$9)</f>
        <v>124.6974</v>
      </c>
      <c r="N1043" s="14">
        <f>CHOOSE(CONTROL!$C$42, 124.7137, 124.7137) * CHOOSE(CONTROL!$C$21, $C$9, 100%, $E$9)</f>
        <v>124.7137</v>
      </c>
      <c r="O1043" s="14">
        <f>CHOOSE(CONTROL!$C$42, 124.7924, 124.7924) * CHOOSE(CONTROL!$C$21, $C$9, 100%, $E$9)</f>
        <v>124.7924</v>
      </c>
      <c r="P1043" s="14">
        <f>CHOOSE(CONTROL!$C$42, 125.0982, 125.0982) * CHOOSE(CONTROL!$C$21, $C$9, 100%, $E$9)</f>
        <v>125.09820000000001</v>
      </c>
      <c r="Q1043" s="14">
        <f>CHOOSE(CONTROL!$C$42, 125.3871, 125.3871) * CHOOSE(CONTROL!$C$21, $C$9, 100%, $E$9)</f>
        <v>125.3871</v>
      </c>
      <c r="R1043" s="14">
        <f>CHOOSE(CONTROL!$C$42, 126.2875, 126.2875) * CHOOSE(CONTROL!$C$21, $C$9, 100%, $E$9)</f>
        <v>126.28749999999999</v>
      </c>
      <c r="S1043" s="14">
        <f>CHOOSE(CONTROL!$C$42, 122.3166, 122.3166) * CHOOSE(CONTROL!$C$21, $C$9, 100%, $E$9)</f>
        <v>122.31659999999999</v>
      </c>
      <c r="T10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7">
        <f>(1000*CHOOSE(CONTROL!$C$42, 695, 695)*CHOOSE(CONTROL!$C$42, 0.5599, 0.5599)*CHOOSE(CONTROL!$C$42, 30, 30))/1000000</f>
        <v>11.673914999999997</v>
      </c>
      <c r="V1043" s="57">
        <f>(1000*CHOOSE(CONTROL!$C$42, 500, 500)*CHOOSE(CONTROL!$C$42, 0.275, 0.275)*CHOOSE(CONTROL!$C$42, 30, 30))/1000000</f>
        <v>4.125</v>
      </c>
      <c r="W1043" s="57">
        <f>(1000*CHOOSE(CONTROL!$C$42, 0.1146, 0.1146)*CHOOSE(CONTROL!$C$42, 121.5, 121.5)*CHOOSE(CONTROL!$C$42, 30, 30))/1000000</f>
        <v>0.417717</v>
      </c>
      <c r="X1043" s="57">
        <f>(30*0.1790888*100000/1000000)+(30*0.2374*100000/1000000)</f>
        <v>1.2494664</v>
      </c>
      <c r="Y1043" s="57"/>
      <c r="Z1043" s="14"/>
      <c r="AA1043" s="56"/>
      <c r="AB1043" s="50">
        <f>(B1043*122.58+C1043*297.941+D1043*89.177+E1043*40.302+F1043*40+G1043*160+H1043*0+I1043*100+J1043*300)/(122.58+297.941+89.177+40.302+0+40+160+100+300)</f>
        <v>127.35033556556522</v>
      </c>
      <c r="AC1043" s="45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124.79906474820145</v>
      </c>
    </row>
    <row r="1044" spans="1:29" ht="15.75" x14ac:dyDescent="0.25">
      <c r="A1044" s="32">
        <v>72685</v>
      </c>
      <c r="B1044" s="14">
        <f>CHOOSE(CONTROL!$C$42, 135.9815, 135.9815) * CHOOSE(CONTROL!$C$21, $C$9, 100%, $E$9)</f>
        <v>135.98150000000001</v>
      </c>
      <c r="C1044" s="14">
        <f>CHOOSE(CONTROL!$C$42, 135.9866, 135.9866) * CHOOSE(CONTROL!$C$21, $C$9, 100%, $E$9)</f>
        <v>135.98660000000001</v>
      </c>
      <c r="D1044" s="14">
        <f>CHOOSE(CONTROL!$C$42, 136.0504, 136.0504) * CHOOSE(CONTROL!$C$21, $C$9, 100%, $E$9)</f>
        <v>136.0504</v>
      </c>
      <c r="E1044" s="14">
        <f>CHOOSE(CONTROL!$C$42, 136.0845, 136.0845) * CHOOSE(CONTROL!$C$21, $C$9, 100%, $E$9)</f>
        <v>136.08449999999999</v>
      </c>
      <c r="F1044" s="14">
        <f>CHOOSE(CONTROL!$C$42, 135.9858, 135.9858)*CHOOSE(CONTROL!$C$21, $C$9, 100%, $E$9)</f>
        <v>135.98580000000001</v>
      </c>
      <c r="G1044" s="14">
        <f>CHOOSE(CONTROL!$C$42, 136.003, 136.003)*CHOOSE(CONTROL!$C$21, $C$9, 100%, $E$9)</f>
        <v>136.00299999999999</v>
      </c>
      <c r="H1044" s="14">
        <f>CHOOSE(CONTROL!$C$42, 136.0737, 136.0737) * CHOOSE(CONTROL!$C$21, $C$9, 100%, $E$9)</f>
        <v>136.0737</v>
      </c>
      <c r="I1044" s="14">
        <f>CHOOSE(CONTROL!$C$42, 136.4213, 136.4213)* CHOOSE(CONTROL!$C$21, $C$9, 100%, $E$9)</f>
        <v>136.4213</v>
      </c>
      <c r="J1044" s="14">
        <f>CHOOSE(CONTROL!$C$42, 135.9788, 135.9788)* CHOOSE(CONTROL!$C$21, $C$9, 100%, $E$9)</f>
        <v>135.97880000000001</v>
      </c>
      <c r="K1044" s="53">
        <f>CHOOSE(CONTROL!$C$42, 136.4174, 136.4174) * CHOOSE(CONTROL!$C$21, $C$9, 100%, $E$9)</f>
        <v>136.41739999999999</v>
      </c>
      <c r="L1044" s="14">
        <f>CHOOSE(CONTROL!$C$42, 136.6607, 136.6607) * CHOOSE(CONTROL!$C$21, $C$9, 100%, $E$9)</f>
        <v>136.66069999999999</v>
      </c>
      <c r="M1044" s="14">
        <f>CHOOSE(CONTROL!$C$42, 133.2004, 133.2004) * CHOOSE(CONTROL!$C$21, $C$9, 100%, $E$9)</f>
        <v>133.2004</v>
      </c>
      <c r="N1044" s="14">
        <f>CHOOSE(CONTROL!$C$42, 133.2172, 133.2172) * CHOOSE(CONTROL!$C$21, $C$9, 100%, $E$9)</f>
        <v>133.21719999999999</v>
      </c>
      <c r="O1044" s="14">
        <f>CHOOSE(CONTROL!$C$42, 133.2933, 133.2933) * CHOOSE(CONTROL!$C$21, $C$9, 100%, $E$9)</f>
        <v>133.29329999999999</v>
      </c>
      <c r="P1044" s="14">
        <f>CHOOSE(CONTROL!$C$42, 133.6253, 133.6253) * CHOOSE(CONTROL!$C$21, $C$9, 100%, $E$9)</f>
        <v>133.62530000000001</v>
      </c>
      <c r="Q1044" s="14">
        <f>CHOOSE(CONTROL!$C$42, 133.888, 133.888) * CHOOSE(CONTROL!$C$21, $C$9, 100%, $E$9)</f>
        <v>133.88800000000001</v>
      </c>
      <c r="R1044" s="14">
        <f>CHOOSE(CONTROL!$C$42, 134.8097, 134.8097) * CHOOSE(CONTROL!$C$21, $C$9, 100%, $E$9)</f>
        <v>134.80969999999999</v>
      </c>
      <c r="S1044" s="14">
        <f>CHOOSE(CONTROL!$C$42, 130.6561, 130.6561) * CHOOSE(CONTROL!$C$21, $C$9, 100%, $E$9)</f>
        <v>130.65610000000001</v>
      </c>
      <c r="T10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7">
        <f>(1000*CHOOSE(CONTROL!$C$42, 695, 695)*CHOOSE(CONTROL!$C$42, 0.5599, 0.5599)*CHOOSE(CONTROL!$C$42, 31, 31))/1000000</f>
        <v>12.063045499999998</v>
      </c>
      <c r="V1044" s="57">
        <f>(1000*CHOOSE(CONTROL!$C$42, 500, 500)*CHOOSE(CONTROL!$C$42, 0.275, 0.275)*CHOOSE(CONTROL!$C$42, 31, 31))/1000000</f>
        <v>4.2625000000000002</v>
      </c>
      <c r="W1044" s="57">
        <f>(1000*CHOOSE(CONTROL!$C$42, 0.1146, 0.1146)*CHOOSE(CONTROL!$C$42, 121.5, 121.5)*CHOOSE(CONTROL!$C$42, 31, 31))/1000000</f>
        <v>0.43164089999999994</v>
      </c>
      <c r="X1044" s="57">
        <f>(31*0.1790888*100000/1000000)+(31*0.2374*100000/1000000)</f>
        <v>1.2911152800000001</v>
      </c>
      <c r="Y1044" s="57"/>
      <c r="Z1044" s="14"/>
      <c r="AA1044" s="56"/>
      <c r="AB1044" s="50">
        <f>(B1044*122.58+C1044*297.941+D1044*89.177+E1044*40.302+F1044*40+G1044*160+H1044*0+I1044*100+J1044*300)/(122.58+297.941+89.177+40.302+0+40+160+100+300)</f>
        <v>136.03245382643479</v>
      </c>
      <c r="AC1044" s="45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133.30460935251799</v>
      </c>
    </row>
    <row r="1045" spans="1:29" ht="15.75" x14ac:dyDescent="0.25">
      <c r="A1045" s="32">
        <v>72716</v>
      </c>
      <c r="B1045" s="14">
        <f>CHOOSE(CONTROL!$C$42, 147.1195, 147.1195) * CHOOSE(CONTROL!$C$21, $C$9, 100%, $E$9)</f>
        <v>147.11949999999999</v>
      </c>
      <c r="C1045" s="14">
        <f>CHOOSE(CONTROL!$C$42, 147.1246, 147.1246) * CHOOSE(CONTROL!$C$21, $C$9, 100%, $E$9)</f>
        <v>147.12459999999999</v>
      </c>
      <c r="D1045" s="14">
        <f>CHOOSE(CONTROL!$C$42, 147.1832, 147.1832) * CHOOSE(CONTROL!$C$21, $C$9, 100%, $E$9)</f>
        <v>147.1832</v>
      </c>
      <c r="E1045" s="14">
        <f>CHOOSE(CONTROL!$C$42, 147.2173, 147.2173) * CHOOSE(CONTROL!$C$21, $C$9, 100%, $E$9)</f>
        <v>147.21729999999999</v>
      </c>
      <c r="F1045" s="14">
        <f>CHOOSE(CONTROL!$C$42, 147.1186, 147.1186)*CHOOSE(CONTROL!$C$21, $C$9, 100%, $E$9)</f>
        <v>147.11859999999999</v>
      </c>
      <c r="G1045" s="14">
        <f>CHOOSE(CONTROL!$C$42, 147.135, 147.135)*CHOOSE(CONTROL!$C$21, $C$9, 100%, $E$9)</f>
        <v>147.13499999999999</v>
      </c>
      <c r="H1045" s="14">
        <f>CHOOSE(CONTROL!$C$42, 147.2065, 147.2065) * CHOOSE(CONTROL!$C$21, $C$9, 100%, $E$9)</f>
        <v>147.20650000000001</v>
      </c>
      <c r="I1045" s="14">
        <f>CHOOSE(CONTROL!$C$42, 147.5905, 147.5905)* CHOOSE(CONTROL!$C$21, $C$9, 100%, $E$9)</f>
        <v>147.59049999999999</v>
      </c>
      <c r="J1045" s="14">
        <f>CHOOSE(CONTROL!$C$42, 147.1116, 147.1116)* CHOOSE(CONTROL!$C$21, $C$9, 100%, $E$9)</f>
        <v>147.11160000000001</v>
      </c>
      <c r="K1045" s="53">
        <f>CHOOSE(CONTROL!$C$42, 147.5866, 147.5866) * CHOOSE(CONTROL!$C$21, $C$9, 100%, $E$9)</f>
        <v>147.5866</v>
      </c>
      <c r="L1045" s="14">
        <f>CHOOSE(CONTROL!$C$42, 147.7935, 147.7935) * CHOOSE(CONTROL!$C$21, $C$9, 100%, $E$9)</f>
        <v>147.79349999999999</v>
      </c>
      <c r="M1045" s="14">
        <f>CHOOSE(CONTROL!$C$42, 144.1051, 144.1051) * CHOOSE(CONTROL!$C$21, $C$9, 100%, $E$9)</f>
        <v>144.10509999999999</v>
      </c>
      <c r="N1045" s="14">
        <f>CHOOSE(CONTROL!$C$42, 144.1211, 144.1211) * CHOOSE(CONTROL!$C$21, $C$9, 100%, $E$9)</f>
        <v>144.12110000000001</v>
      </c>
      <c r="O1045" s="14">
        <f>CHOOSE(CONTROL!$C$42, 144.198, 144.198) * CHOOSE(CONTROL!$C$21, $C$9, 100%, $E$9)</f>
        <v>144.19800000000001</v>
      </c>
      <c r="P1045" s="14">
        <f>CHOOSE(CONTROL!$C$42, 144.565, 144.565) * CHOOSE(CONTROL!$C$21, $C$9, 100%, $E$9)</f>
        <v>144.565</v>
      </c>
      <c r="Q1045" s="14">
        <f>CHOOSE(CONTROL!$C$42, 144.7927, 144.7927) * CHOOSE(CONTROL!$C$21, $C$9, 100%, $E$9)</f>
        <v>144.7927</v>
      </c>
      <c r="R1045" s="14">
        <f>CHOOSE(CONTROL!$C$42, 145.7417, 145.7417) * CHOOSE(CONTROL!$C$21, $C$9, 100%, $E$9)</f>
        <v>145.74170000000001</v>
      </c>
      <c r="S1045" s="14">
        <f>CHOOSE(CONTROL!$C$42, 141.3586, 141.3586) * CHOOSE(CONTROL!$C$21, $C$9, 100%, $E$9)</f>
        <v>141.3586</v>
      </c>
      <c r="T10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7">
        <f>(1000*CHOOSE(CONTROL!$C$42, 695, 695)*CHOOSE(CONTROL!$C$42, 0.5599, 0.5599)*CHOOSE(CONTROL!$C$42, 31, 31))/1000000</f>
        <v>12.063045499999998</v>
      </c>
      <c r="V1045" s="57">
        <f>(1000*CHOOSE(CONTROL!$C$42, 500, 500)*CHOOSE(CONTROL!$C$42, 0.275, 0.275)*CHOOSE(CONTROL!$C$42, 31, 31))/1000000</f>
        <v>4.2625000000000002</v>
      </c>
      <c r="W1045" s="57">
        <f>(1000*CHOOSE(CONTROL!$C$42, 0.1146, 0.1146)*CHOOSE(CONTROL!$C$42, 121.5, 121.5)*CHOOSE(CONTROL!$C$42, 31, 31))/1000000</f>
        <v>0.43164089999999994</v>
      </c>
      <c r="X1045" s="57">
        <f>(31*0.1790888*100000/1000000)+(31*0.2374*100000/1000000)</f>
        <v>1.2911152800000001</v>
      </c>
      <c r="Y1045" s="57"/>
      <c r="Z1045" s="14"/>
      <c r="AA1045" s="56"/>
      <c r="AB1045" s="50">
        <f>(B1045*122.58+C1045*297.941+D1045*89.177+E1045*40.302+F1045*40+G1045*160+H1045*0+I1045*100+J1045*300)/(122.58+297.941+89.177+40.302+0+40+160+100+300)</f>
        <v>147.17020922573914</v>
      </c>
      <c r="AC1045" s="45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144.21429928057555</v>
      </c>
    </row>
    <row r="1046" spans="1:29" ht="15.75" x14ac:dyDescent="0.25">
      <c r="A1046" s="32">
        <v>72744</v>
      </c>
      <c r="B1046" s="14">
        <f>CHOOSE(CONTROL!$C$42, 149.7383, 149.7383) * CHOOSE(CONTROL!$C$21, $C$9, 100%, $E$9)</f>
        <v>149.73830000000001</v>
      </c>
      <c r="C1046" s="14">
        <f>CHOOSE(CONTROL!$C$42, 149.7434, 149.7434) * CHOOSE(CONTROL!$C$21, $C$9, 100%, $E$9)</f>
        <v>149.74340000000001</v>
      </c>
      <c r="D1046" s="14">
        <f>CHOOSE(CONTROL!$C$42, 149.802, 149.802) * CHOOSE(CONTROL!$C$21, $C$9, 100%, $E$9)</f>
        <v>149.80199999999999</v>
      </c>
      <c r="E1046" s="14">
        <f>CHOOSE(CONTROL!$C$42, 149.8361, 149.8361) * CHOOSE(CONTROL!$C$21, $C$9, 100%, $E$9)</f>
        <v>149.83609999999999</v>
      </c>
      <c r="F1046" s="14">
        <f>CHOOSE(CONTROL!$C$42, 149.7374, 149.7374)*CHOOSE(CONTROL!$C$21, $C$9, 100%, $E$9)</f>
        <v>149.73740000000001</v>
      </c>
      <c r="G1046" s="14">
        <f>CHOOSE(CONTROL!$C$42, 149.7537, 149.7537)*CHOOSE(CONTROL!$C$21, $C$9, 100%, $E$9)</f>
        <v>149.75370000000001</v>
      </c>
      <c r="H1046" s="14">
        <f>CHOOSE(CONTROL!$C$42, 149.8253, 149.8253) * CHOOSE(CONTROL!$C$21, $C$9, 100%, $E$9)</f>
        <v>149.8253</v>
      </c>
      <c r="I1046" s="14">
        <f>CHOOSE(CONTROL!$C$42, 150.2175, 150.2175)* CHOOSE(CONTROL!$C$21, $C$9, 100%, $E$9)</f>
        <v>150.2175</v>
      </c>
      <c r="J1046" s="14">
        <f>CHOOSE(CONTROL!$C$42, 149.7304, 149.7304)* CHOOSE(CONTROL!$C$21, $C$9, 100%, $E$9)</f>
        <v>149.7304</v>
      </c>
      <c r="K1046" s="53">
        <f>CHOOSE(CONTROL!$C$42, 150.2136, 150.2136) * CHOOSE(CONTROL!$C$21, $C$9, 100%, $E$9)</f>
        <v>150.21360000000001</v>
      </c>
      <c r="L1046" s="14">
        <f>CHOOSE(CONTROL!$C$42, 150.4123, 150.4123) * CHOOSE(CONTROL!$C$21, $C$9, 100%, $E$9)</f>
        <v>150.41229999999999</v>
      </c>
      <c r="M1046" s="14">
        <f>CHOOSE(CONTROL!$C$42, 146.6702, 146.6702) * CHOOSE(CONTROL!$C$21, $C$9, 100%, $E$9)</f>
        <v>146.67019999999999</v>
      </c>
      <c r="N1046" s="14">
        <f>CHOOSE(CONTROL!$C$42, 146.6862, 146.6862) * CHOOSE(CONTROL!$C$21, $C$9, 100%, $E$9)</f>
        <v>146.68620000000001</v>
      </c>
      <c r="O1046" s="14">
        <f>CHOOSE(CONTROL!$C$42, 146.7631, 146.7631) * CHOOSE(CONTROL!$C$21, $C$9, 100%, $E$9)</f>
        <v>146.76310000000001</v>
      </c>
      <c r="P1046" s="14">
        <f>CHOOSE(CONTROL!$C$42, 147.138, 147.138) * CHOOSE(CONTROL!$C$21, $C$9, 100%, $E$9)</f>
        <v>147.13800000000001</v>
      </c>
      <c r="Q1046" s="14">
        <f>CHOOSE(CONTROL!$C$42, 147.3578, 147.3578) * CHOOSE(CONTROL!$C$21, $C$9, 100%, $E$9)</f>
        <v>147.3578</v>
      </c>
      <c r="R1046" s="14">
        <f>CHOOSE(CONTROL!$C$42, 148.3132, 148.3132) * CHOOSE(CONTROL!$C$21, $C$9, 100%, $E$9)</f>
        <v>148.31319999999999</v>
      </c>
      <c r="S1046" s="14">
        <f>CHOOSE(CONTROL!$C$42, 143.875, 143.875) * CHOOSE(CONTROL!$C$21, $C$9, 100%, $E$9)</f>
        <v>143.875</v>
      </c>
      <c r="T10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7">
        <f>(1000*CHOOSE(CONTROL!$C$42, 695, 695)*CHOOSE(CONTROL!$C$42, 0.5599, 0.5599)*CHOOSE(CONTROL!$C$42, 28, 28))/1000000</f>
        <v>10.895653999999999</v>
      </c>
      <c r="V1046" s="57">
        <f>(1000*CHOOSE(CONTROL!$C$42, 500, 500)*CHOOSE(CONTROL!$C$42, 0.275, 0.275)*CHOOSE(CONTROL!$C$42, 28, 28))/1000000</f>
        <v>3.85</v>
      </c>
      <c r="W1046" s="57">
        <f>(1000*CHOOSE(CONTROL!$C$42, 0.1146, 0.1146)*CHOOSE(CONTROL!$C$42, 121.5, 121.5)*CHOOSE(CONTROL!$C$42, 28, 28))/1000000</f>
        <v>0.38986920000000003</v>
      </c>
      <c r="X1046" s="57">
        <f>(28*0.1790888*100000/1000000)+(28*0.2374*100000/1000000)</f>
        <v>1.16616864</v>
      </c>
      <c r="Y1046" s="57"/>
      <c r="Z1046" s="14"/>
      <c r="AA1046" s="56"/>
      <c r="AB1046" s="50">
        <f>(B1046*122.58+C1046*297.941+D1046*89.177+E1046*40.302+F1046*40+G1046*160+H1046*0+I1046*100+J1046*300)/(122.58+297.941+89.177+40.302+0+40+160+100+300)</f>
        <v>149.78970835617392</v>
      </c>
      <c r="AC1046" s="45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146.78053597122306</v>
      </c>
    </row>
    <row r="1047" spans="1:29" ht="15.75" x14ac:dyDescent="0.25">
      <c r="A1047" s="32">
        <v>72775</v>
      </c>
      <c r="B1047" s="14">
        <f>CHOOSE(CONTROL!$C$42, 145.4874, 145.4874) * CHOOSE(CONTROL!$C$21, $C$9, 100%, $E$9)</f>
        <v>145.48740000000001</v>
      </c>
      <c r="C1047" s="14">
        <f>CHOOSE(CONTROL!$C$42, 145.4924, 145.4924) * CHOOSE(CONTROL!$C$21, $C$9, 100%, $E$9)</f>
        <v>145.4924</v>
      </c>
      <c r="D1047" s="14">
        <f>CHOOSE(CONTROL!$C$42, 145.5511, 145.5511) * CHOOSE(CONTROL!$C$21, $C$9, 100%, $E$9)</f>
        <v>145.55109999999999</v>
      </c>
      <c r="E1047" s="14">
        <f>CHOOSE(CONTROL!$C$42, 145.5852, 145.5852) * CHOOSE(CONTROL!$C$21, $C$9, 100%, $E$9)</f>
        <v>145.58519999999999</v>
      </c>
      <c r="F1047" s="14">
        <f>CHOOSE(CONTROL!$C$42, 145.486, 145.486)*CHOOSE(CONTROL!$C$21, $C$9, 100%, $E$9)</f>
        <v>145.48599999999999</v>
      </c>
      <c r="G1047" s="14">
        <f>CHOOSE(CONTROL!$C$42, 145.5022, 145.5022)*CHOOSE(CONTROL!$C$21, $C$9, 100%, $E$9)</f>
        <v>145.50219999999999</v>
      </c>
      <c r="H1047" s="14">
        <f>CHOOSE(CONTROL!$C$42, 145.5744, 145.5744) * CHOOSE(CONTROL!$C$21, $C$9, 100%, $E$9)</f>
        <v>145.5744</v>
      </c>
      <c r="I1047" s="14">
        <f>CHOOSE(CONTROL!$C$42, 145.9533, 145.9533)* CHOOSE(CONTROL!$C$21, $C$9, 100%, $E$9)</f>
        <v>145.95330000000001</v>
      </c>
      <c r="J1047" s="14">
        <f>CHOOSE(CONTROL!$C$42, 145.479, 145.479)* CHOOSE(CONTROL!$C$21, $C$9, 100%, $E$9)</f>
        <v>145.47900000000001</v>
      </c>
      <c r="K1047" s="53">
        <f>CHOOSE(CONTROL!$C$42, 145.9494, 145.9494) * CHOOSE(CONTROL!$C$21, $C$9, 100%, $E$9)</f>
        <v>145.9494</v>
      </c>
      <c r="L1047" s="14">
        <f>CHOOSE(CONTROL!$C$42, 146.1614, 146.1614) * CHOOSE(CONTROL!$C$21, $C$9, 100%, $E$9)</f>
        <v>146.16139999999999</v>
      </c>
      <c r="M1047" s="14">
        <f>CHOOSE(CONTROL!$C$42, 142.5059, 142.5059) * CHOOSE(CONTROL!$C$21, $C$9, 100%, $E$9)</f>
        <v>142.5059</v>
      </c>
      <c r="N1047" s="14">
        <f>CHOOSE(CONTROL!$C$42, 142.5218, 142.5218) * CHOOSE(CONTROL!$C$21, $C$9, 100%, $E$9)</f>
        <v>142.52180000000001</v>
      </c>
      <c r="O1047" s="14">
        <f>CHOOSE(CONTROL!$C$42, 142.5993, 142.5993) * CHOOSE(CONTROL!$C$21, $C$9, 100%, $E$9)</f>
        <v>142.5993</v>
      </c>
      <c r="P1047" s="14">
        <f>CHOOSE(CONTROL!$C$42, 142.9614, 142.9614) * CHOOSE(CONTROL!$C$21, $C$9, 100%, $E$9)</f>
        <v>142.9614</v>
      </c>
      <c r="Q1047" s="14">
        <f>CHOOSE(CONTROL!$C$42, 143.194, 143.194) * CHOOSE(CONTROL!$C$21, $C$9, 100%, $E$9)</f>
        <v>143.19399999999999</v>
      </c>
      <c r="R1047" s="14">
        <f>CHOOSE(CONTROL!$C$42, 144.139, 144.139) * CHOOSE(CONTROL!$C$21, $C$9, 100%, $E$9)</f>
        <v>144.13900000000001</v>
      </c>
      <c r="S1047" s="14">
        <f>CHOOSE(CONTROL!$C$42, 139.7903, 139.7903) * CHOOSE(CONTROL!$C$21, $C$9, 100%, $E$9)</f>
        <v>139.7903</v>
      </c>
      <c r="T10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7">
        <f>(1000*CHOOSE(CONTROL!$C$42, 695, 695)*CHOOSE(CONTROL!$C$42, 0.5599, 0.5599)*CHOOSE(CONTROL!$C$42, 31, 31))/1000000</f>
        <v>12.063045499999998</v>
      </c>
      <c r="V1047" s="57">
        <f>(1000*CHOOSE(CONTROL!$C$42, 500, 500)*CHOOSE(CONTROL!$C$42, 0.275, 0.275)*CHOOSE(CONTROL!$C$42, 31, 31))/1000000</f>
        <v>4.2625000000000002</v>
      </c>
      <c r="W1047" s="57">
        <f>(1000*CHOOSE(CONTROL!$C$42, 0.1146, 0.1146)*CHOOSE(CONTROL!$C$42, 121.5, 121.5)*CHOOSE(CONTROL!$C$42, 31, 31))/1000000</f>
        <v>0.43164089999999994</v>
      </c>
      <c r="X1047" s="57">
        <f>(31*0.1790888*100000/1000000)+(31*0.2374*100000/1000000)</f>
        <v>1.2911152800000001</v>
      </c>
      <c r="Y1047" s="57"/>
      <c r="Z1047" s="14"/>
      <c r="AA1047" s="56"/>
      <c r="AB1047" s="50">
        <f>(B1047*122.58+C1047*297.941+D1047*89.177+E1047*40.302+F1047*40+G1047*160+H1047*0+I1047*100+J1047*300)/(122.58+297.941+89.177+40.302+0+40+160+100+300)</f>
        <v>145.53739462217391</v>
      </c>
      <c r="AC1047" s="45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142.61468705035972</v>
      </c>
    </row>
    <row r="1048" spans="1:29" ht="15.75" x14ac:dyDescent="0.25">
      <c r="A1048" s="32">
        <v>72805</v>
      </c>
      <c r="B1048" s="14">
        <f>CHOOSE(CONTROL!$C$42, 145.053, 145.053) * CHOOSE(CONTROL!$C$21, $C$9, 100%, $E$9)</f>
        <v>145.053</v>
      </c>
      <c r="C1048" s="14">
        <f>CHOOSE(CONTROL!$C$42, 145.0574, 145.0574) * CHOOSE(CONTROL!$C$21, $C$9, 100%, $E$9)</f>
        <v>145.0574</v>
      </c>
      <c r="D1048" s="14">
        <f>CHOOSE(CONTROL!$C$42, 145.2656, 145.2656) * CHOOSE(CONTROL!$C$21, $C$9, 100%, $E$9)</f>
        <v>145.26560000000001</v>
      </c>
      <c r="E1048" s="14">
        <f>CHOOSE(CONTROL!$C$42, 145.2977, 145.2977) * CHOOSE(CONTROL!$C$21, $C$9, 100%, $E$9)</f>
        <v>145.29769999999999</v>
      </c>
      <c r="F1048" s="14">
        <f>CHOOSE(CONTROL!$C$42, 145.0403, 145.0403)*CHOOSE(CONTROL!$C$21, $C$9, 100%, $E$9)</f>
        <v>145.0403</v>
      </c>
      <c r="G1048" s="14">
        <f>CHOOSE(CONTROL!$C$42, 145.0563, 145.0563)*CHOOSE(CONTROL!$C$21, $C$9, 100%, $E$9)</f>
        <v>145.05629999999999</v>
      </c>
      <c r="H1048" s="14">
        <f>CHOOSE(CONTROL!$C$42, 145.2875, 145.2875) * CHOOSE(CONTROL!$C$21, $C$9, 100%, $E$9)</f>
        <v>145.28749999999999</v>
      </c>
      <c r="I1048" s="14">
        <f>CHOOSE(CONTROL!$C$42, 145.5167, 145.5167)* CHOOSE(CONTROL!$C$21, $C$9, 100%, $E$9)</f>
        <v>145.51669999999999</v>
      </c>
      <c r="J1048" s="14">
        <f>CHOOSE(CONTROL!$C$42, 145.0333, 145.0333)* CHOOSE(CONTROL!$C$21, $C$9, 100%, $E$9)</f>
        <v>145.0333</v>
      </c>
      <c r="K1048" s="53">
        <f>CHOOSE(CONTROL!$C$42, 145.5128, 145.5128) * CHOOSE(CONTROL!$C$21, $C$9, 100%, $E$9)</f>
        <v>145.5128</v>
      </c>
      <c r="L1048" s="14">
        <f>CHOOSE(CONTROL!$C$42, 145.8745, 145.8745) * CHOOSE(CONTROL!$C$21, $C$9, 100%, $E$9)</f>
        <v>145.87450000000001</v>
      </c>
      <c r="M1048" s="14">
        <f>CHOOSE(CONTROL!$C$42, 142.0694, 142.0694) * CHOOSE(CONTROL!$C$21, $C$9, 100%, $E$9)</f>
        <v>142.0694</v>
      </c>
      <c r="N1048" s="14">
        <f>CHOOSE(CONTROL!$C$42, 142.085, 142.085) * CHOOSE(CONTROL!$C$21, $C$9, 100%, $E$9)</f>
        <v>142.08500000000001</v>
      </c>
      <c r="O1048" s="14">
        <f>CHOOSE(CONTROL!$C$42, 142.3183, 142.3183) * CHOOSE(CONTROL!$C$21, $C$9, 100%, $E$9)</f>
        <v>142.31829999999999</v>
      </c>
      <c r="P1048" s="14">
        <f>CHOOSE(CONTROL!$C$42, 142.5338, 142.5338) * CHOOSE(CONTROL!$C$21, $C$9, 100%, $E$9)</f>
        <v>142.53380000000001</v>
      </c>
      <c r="Q1048" s="14">
        <f>CHOOSE(CONTROL!$C$42, 142.913, 142.913) * CHOOSE(CONTROL!$C$21, $C$9, 100%, $E$9)</f>
        <v>142.91300000000001</v>
      </c>
      <c r="R1048" s="14">
        <f>CHOOSE(CONTROL!$C$42, 143.8573, 143.8573) * CHOOSE(CONTROL!$C$21, $C$9, 100%, $E$9)</f>
        <v>143.85730000000001</v>
      </c>
      <c r="S1048" s="14">
        <f>CHOOSE(CONTROL!$C$42, 139.3721, 139.3721) * CHOOSE(CONTROL!$C$21, $C$9, 100%, $E$9)</f>
        <v>139.37209999999999</v>
      </c>
      <c r="T10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7">
        <f>(1000*CHOOSE(CONTROL!$C$42, 695, 695)*CHOOSE(CONTROL!$C$42, 0.5599, 0.5599)*CHOOSE(CONTROL!$C$42, 30, 30))/1000000</f>
        <v>11.673914999999997</v>
      </c>
      <c r="V1048" s="57">
        <f>(1000*CHOOSE(CONTROL!$C$42, 500, 500)*CHOOSE(CONTROL!$C$42, 0.275, 0.275)*CHOOSE(CONTROL!$C$42, 30, 30))/1000000</f>
        <v>4.125</v>
      </c>
      <c r="W1048" s="57">
        <f>(1000*CHOOSE(CONTROL!$C$42, 0.1146, 0.1146)*CHOOSE(CONTROL!$C$42, 121.5, 121.5)*CHOOSE(CONTROL!$C$42, 30, 30))/1000000</f>
        <v>0.417717</v>
      </c>
      <c r="X1048" s="57">
        <f>(30*0.1790888*245000/1000000)+(30*0.2374*100000/1000000)</f>
        <v>2.0285026799999999</v>
      </c>
      <c r="Y1048" s="57"/>
      <c r="Z1048" s="14"/>
      <c r="AA1048" s="56"/>
      <c r="AB1048" s="50">
        <f>(B1048*141.293+C1048*267.993+D1048*115.016+E1048*89.698+F1048*40+G1048*185+H1048*0+I1048*100+J1048*300)/(141.293+267.993+115.016+89.698+0+40+185+100+300)</f>
        <v>145.12414057417269</v>
      </c>
      <c r="AC1048" s="45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142.24992877697844</v>
      </c>
    </row>
    <row r="1049" spans="1:29" ht="15.75" x14ac:dyDescent="0.25">
      <c r="A1049" s="32">
        <v>72836</v>
      </c>
      <c r="B1049" s="14">
        <f>CHOOSE(CONTROL!$C$42, 146.3345, 146.3345) * CHOOSE(CONTROL!$C$21, $C$9, 100%, $E$9)</f>
        <v>146.33449999999999</v>
      </c>
      <c r="C1049" s="14">
        <f>CHOOSE(CONTROL!$C$42, 146.3426, 146.3426) * CHOOSE(CONTROL!$C$21, $C$9, 100%, $E$9)</f>
        <v>146.3426</v>
      </c>
      <c r="D1049" s="14">
        <f>CHOOSE(CONTROL!$C$42, 146.5475, 146.5475) * CHOOSE(CONTROL!$C$21, $C$9, 100%, $E$9)</f>
        <v>146.54750000000001</v>
      </c>
      <c r="E1049" s="14">
        <f>CHOOSE(CONTROL!$C$42, 146.579, 146.579) * CHOOSE(CONTROL!$C$21, $C$9, 100%, $E$9)</f>
        <v>146.57900000000001</v>
      </c>
      <c r="F1049" s="14">
        <f>CHOOSE(CONTROL!$C$42, 146.3207, 146.3207)*CHOOSE(CONTROL!$C$21, $C$9, 100%, $E$9)</f>
        <v>146.32069999999999</v>
      </c>
      <c r="G1049" s="14">
        <f>CHOOSE(CONTROL!$C$42, 146.3371, 146.3371)*CHOOSE(CONTROL!$C$21, $C$9, 100%, $E$9)</f>
        <v>146.33709999999999</v>
      </c>
      <c r="H1049" s="14">
        <f>CHOOSE(CONTROL!$C$42, 146.5676, 146.5676) * CHOOSE(CONTROL!$C$21, $C$9, 100%, $E$9)</f>
        <v>146.5676</v>
      </c>
      <c r="I1049" s="14">
        <f>CHOOSE(CONTROL!$C$42, 146.8009, 146.8009)* CHOOSE(CONTROL!$C$21, $C$9, 100%, $E$9)</f>
        <v>146.80090000000001</v>
      </c>
      <c r="J1049" s="14">
        <f>CHOOSE(CONTROL!$C$42, 146.3137, 146.3137)* CHOOSE(CONTROL!$C$21, $C$9, 100%, $E$9)</f>
        <v>146.31370000000001</v>
      </c>
      <c r="K1049" s="53">
        <f>CHOOSE(CONTROL!$C$42, 146.797, 146.797) * CHOOSE(CONTROL!$C$21, $C$9, 100%, $E$9)</f>
        <v>146.797</v>
      </c>
      <c r="L1049" s="14">
        <f>CHOOSE(CONTROL!$C$42, 147.1546, 147.1546) * CHOOSE(CONTROL!$C$21, $C$9, 100%, $E$9)</f>
        <v>147.15459999999999</v>
      </c>
      <c r="M1049" s="14">
        <f>CHOOSE(CONTROL!$C$42, 143.3235, 143.3235) * CHOOSE(CONTROL!$C$21, $C$9, 100%, $E$9)</f>
        <v>143.3235</v>
      </c>
      <c r="N1049" s="14">
        <f>CHOOSE(CONTROL!$C$42, 143.3396, 143.3396) * CHOOSE(CONTROL!$C$21, $C$9, 100%, $E$9)</f>
        <v>143.33959999999999</v>
      </c>
      <c r="O1049" s="14">
        <f>CHOOSE(CONTROL!$C$42, 143.5722, 143.5722) * CHOOSE(CONTROL!$C$21, $C$9, 100%, $E$9)</f>
        <v>143.57220000000001</v>
      </c>
      <c r="P1049" s="14">
        <f>CHOOSE(CONTROL!$C$42, 143.7916, 143.7916) * CHOOSE(CONTROL!$C$21, $C$9, 100%, $E$9)</f>
        <v>143.79159999999999</v>
      </c>
      <c r="Q1049" s="14">
        <f>CHOOSE(CONTROL!$C$42, 144.1669, 144.1669) * CHOOSE(CONTROL!$C$21, $C$9, 100%, $E$9)</f>
        <v>144.1669</v>
      </c>
      <c r="R1049" s="14">
        <f>CHOOSE(CONTROL!$C$42, 145.1144, 145.1144) * CHOOSE(CONTROL!$C$21, $C$9, 100%, $E$9)</f>
        <v>145.11439999999999</v>
      </c>
      <c r="S1049" s="14">
        <f>CHOOSE(CONTROL!$C$42, 140.6022, 140.6022) * CHOOSE(CONTROL!$C$21, $C$9, 100%, $E$9)</f>
        <v>140.60220000000001</v>
      </c>
      <c r="T10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7">
        <f>(1000*CHOOSE(CONTROL!$C$42, 695, 695)*CHOOSE(CONTROL!$C$42, 0.5599, 0.5599)*CHOOSE(CONTROL!$C$42, 31, 31))/1000000</f>
        <v>12.063045499999998</v>
      </c>
      <c r="V1049" s="57">
        <f>(1000*CHOOSE(CONTROL!$C$42, 500, 500)*CHOOSE(CONTROL!$C$42, 0.275, 0.275)*CHOOSE(CONTROL!$C$42, 31, 31))/1000000</f>
        <v>4.2625000000000002</v>
      </c>
      <c r="W1049" s="57">
        <f>(1000*CHOOSE(CONTROL!$C$42, 0.1146, 0.1146)*CHOOSE(CONTROL!$C$42, 121.5, 121.5)*CHOOSE(CONTROL!$C$42, 31, 31))/1000000</f>
        <v>0.43164089999999994</v>
      </c>
      <c r="X1049" s="57">
        <f>(31*0.1790888*245000/1000000)+(31*0.2374*100000/1000000)</f>
        <v>2.0961194359999999</v>
      </c>
      <c r="Y1049" s="57"/>
      <c r="Z1049" s="14"/>
      <c r="AA1049" s="56"/>
      <c r="AB1049" s="50">
        <f>(B1049*194.205+C1049*267.466+D1049*133.845+E1049*53.484+F1049*40+G1049*185+H1049*0+I1049*100+J1049*300)/(194.205+267.466+133.845+53.484+0+40+185+100+300)</f>
        <v>146.4004978788069</v>
      </c>
      <c r="AC1049" s="45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143.50449928057554</v>
      </c>
    </row>
    <row r="1050" spans="1:29" ht="15.75" x14ac:dyDescent="0.25">
      <c r="A1050" s="32">
        <v>72866</v>
      </c>
      <c r="B1050" s="14">
        <f>CHOOSE(CONTROL!$C$42, 150.4852, 150.4852) * CHOOSE(CONTROL!$C$21, $C$9, 100%, $E$9)</f>
        <v>150.48519999999999</v>
      </c>
      <c r="C1050" s="14">
        <f>CHOOSE(CONTROL!$C$42, 150.4932, 150.4932) * CHOOSE(CONTROL!$C$21, $C$9, 100%, $E$9)</f>
        <v>150.4932</v>
      </c>
      <c r="D1050" s="14">
        <f>CHOOSE(CONTROL!$C$42, 150.6982, 150.6982) * CHOOSE(CONTROL!$C$21, $C$9, 100%, $E$9)</f>
        <v>150.69820000000001</v>
      </c>
      <c r="E1050" s="14">
        <f>CHOOSE(CONTROL!$C$42, 150.7296, 150.7296) * CHOOSE(CONTROL!$C$21, $C$9, 100%, $E$9)</f>
        <v>150.7296</v>
      </c>
      <c r="F1050" s="14">
        <f>CHOOSE(CONTROL!$C$42, 150.4717, 150.4717)*CHOOSE(CONTROL!$C$21, $C$9, 100%, $E$9)</f>
        <v>150.4717</v>
      </c>
      <c r="G1050" s="14">
        <f>CHOOSE(CONTROL!$C$42, 150.4882, 150.4882)*CHOOSE(CONTROL!$C$21, $C$9, 100%, $E$9)</f>
        <v>150.48820000000001</v>
      </c>
      <c r="H1050" s="14">
        <f>CHOOSE(CONTROL!$C$42, 150.7183, 150.7183) * CHOOSE(CONTROL!$C$21, $C$9, 100%, $E$9)</f>
        <v>150.7183</v>
      </c>
      <c r="I1050" s="14">
        <f>CHOOSE(CONTROL!$C$42, 150.9645, 150.9645)* CHOOSE(CONTROL!$C$21, $C$9, 100%, $E$9)</f>
        <v>150.96449999999999</v>
      </c>
      <c r="J1050" s="14">
        <f>CHOOSE(CONTROL!$C$42, 150.4647, 150.4647)* CHOOSE(CONTROL!$C$21, $C$9, 100%, $E$9)</f>
        <v>150.46469999999999</v>
      </c>
      <c r="K1050" s="53">
        <f>CHOOSE(CONTROL!$C$42, 150.9606, 150.9606) * CHOOSE(CONTROL!$C$21, $C$9, 100%, $E$9)</f>
        <v>150.9606</v>
      </c>
      <c r="L1050" s="14">
        <f>CHOOSE(CONTROL!$C$42, 151.3053, 151.3053) * CHOOSE(CONTROL!$C$21, $C$9, 100%, $E$9)</f>
        <v>151.30529999999999</v>
      </c>
      <c r="M1050" s="14">
        <f>CHOOSE(CONTROL!$C$42, 147.3895, 147.3895) * CHOOSE(CONTROL!$C$21, $C$9, 100%, $E$9)</f>
        <v>147.3895</v>
      </c>
      <c r="N1050" s="14">
        <f>CHOOSE(CONTROL!$C$42, 147.4057, 147.4057) * CHOOSE(CONTROL!$C$21, $C$9, 100%, $E$9)</f>
        <v>147.4057</v>
      </c>
      <c r="O1050" s="14">
        <f>CHOOSE(CONTROL!$C$42, 147.6379, 147.6379) * CHOOSE(CONTROL!$C$21, $C$9, 100%, $E$9)</f>
        <v>147.6379</v>
      </c>
      <c r="P1050" s="14">
        <f>CHOOSE(CONTROL!$C$42, 147.8696, 147.8696) * CHOOSE(CONTROL!$C$21, $C$9, 100%, $E$9)</f>
        <v>147.86959999999999</v>
      </c>
      <c r="Q1050" s="14">
        <f>CHOOSE(CONTROL!$C$42, 148.2326, 148.2326) * CHOOSE(CONTROL!$C$21, $C$9, 100%, $E$9)</f>
        <v>148.23259999999999</v>
      </c>
      <c r="R1050" s="14">
        <f>CHOOSE(CONTROL!$C$42, 149.1901, 149.1901) * CHOOSE(CONTROL!$C$21, $C$9, 100%, $E$9)</f>
        <v>149.1901</v>
      </c>
      <c r="S1050" s="14">
        <f>CHOOSE(CONTROL!$C$42, 144.5906, 144.5906) * CHOOSE(CONTROL!$C$21, $C$9, 100%, $E$9)</f>
        <v>144.59059999999999</v>
      </c>
      <c r="T10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7">
        <f>(1000*CHOOSE(CONTROL!$C$42, 695, 695)*CHOOSE(CONTROL!$C$42, 0.5599, 0.5599)*CHOOSE(CONTROL!$C$42, 30, 30))/1000000</f>
        <v>11.673914999999997</v>
      </c>
      <c r="V1050" s="57">
        <f>(1000*CHOOSE(CONTROL!$C$42, 500, 500)*CHOOSE(CONTROL!$C$42, 0.275, 0.275)*CHOOSE(CONTROL!$C$42, 30, 30))/1000000</f>
        <v>4.125</v>
      </c>
      <c r="W1050" s="57">
        <f>(1000*CHOOSE(CONTROL!$C$42, 0.1146, 0.1146)*CHOOSE(CONTROL!$C$42, 121.5, 121.5)*CHOOSE(CONTROL!$C$42, 30, 30))/1000000</f>
        <v>0.417717</v>
      </c>
      <c r="X1050" s="57">
        <f>(30*0.1790888*245000/1000000)+(30*0.2374*100000/1000000)</f>
        <v>2.0285026799999999</v>
      </c>
      <c r="Y1050" s="57"/>
      <c r="Z1050" s="14"/>
      <c r="AA1050" s="56"/>
      <c r="AB1050" s="50">
        <f>(B1050*194.205+C1050*267.466+D1050*133.845+E1050*53.484+F1050*40+G1050*185+H1050*0+I1050*100+J1050*300)/(194.205+267.466+133.845+53.484+0+40+185+100+300)</f>
        <v>150.55232339293565</v>
      </c>
      <c r="AC1050" s="45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147.57209568345323</v>
      </c>
    </row>
    <row r="1051" spans="1:29" ht="15.75" x14ac:dyDescent="0.25">
      <c r="A1051" s="32">
        <v>72897</v>
      </c>
      <c r="B1051" s="14">
        <f>CHOOSE(CONTROL!$C$42, 147.5984, 147.5984) * CHOOSE(CONTROL!$C$21, $C$9, 100%, $E$9)</f>
        <v>147.5984</v>
      </c>
      <c r="C1051" s="14">
        <f>CHOOSE(CONTROL!$C$42, 147.6064, 147.6064) * CHOOSE(CONTROL!$C$21, $C$9, 100%, $E$9)</f>
        <v>147.60640000000001</v>
      </c>
      <c r="D1051" s="14">
        <f>CHOOSE(CONTROL!$C$42, 147.8114, 147.8114) * CHOOSE(CONTROL!$C$21, $C$9, 100%, $E$9)</f>
        <v>147.81139999999999</v>
      </c>
      <c r="E1051" s="14">
        <f>CHOOSE(CONTROL!$C$42, 147.8428, 147.8428) * CHOOSE(CONTROL!$C$21, $C$9, 100%, $E$9)</f>
        <v>147.84280000000001</v>
      </c>
      <c r="F1051" s="14">
        <f>CHOOSE(CONTROL!$C$42, 147.5854, 147.5854)*CHOOSE(CONTROL!$C$21, $C$9, 100%, $E$9)</f>
        <v>147.58539999999999</v>
      </c>
      <c r="G1051" s="14">
        <f>CHOOSE(CONTROL!$C$42, 147.602, 147.602)*CHOOSE(CONTROL!$C$21, $C$9, 100%, $E$9)</f>
        <v>147.602</v>
      </c>
      <c r="H1051" s="14">
        <f>CHOOSE(CONTROL!$C$42, 147.8315, 147.8315) * CHOOSE(CONTROL!$C$21, $C$9, 100%, $E$9)</f>
        <v>147.83150000000001</v>
      </c>
      <c r="I1051" s="14">
        <f>CHOOSE(CONTROL!$C$42, 148.0687, 148.0687)* CHOOSE(CONTROL!$C$21, $C$9, 100%, $E$9)</f>
        <v>148.06870000000001</v>
      </c>
      <c r="J1051" s="14">
        <f>CHOOSE(CONTROL!$C$42, 147.5784, 147.5784)* CHOOSE(CONTROL!$C$21, $C$9, 100%, $E$9)</f>
        <v>147.57839999999999</v>
      </c>
      <c r="K1051" s="53">
        <f>CHOOSE(CONTROL!$C$42, 148.0648, 148.0648) * CHOOSE(CONTROL!$C$21, $C$9, 100%, $E$9)</f>
        <v>148.06479999999999</v>
      </c>
      <c r="L1051" s="14">
        <f>CHOOSE(CONTROL!$C$42, 148.4185, 148.4185) * CHOOSE(CONTROL!$C$21, $C$9, 100%, $E$9)</f>
        <v>148.41849999999999</v>
      </c>
      <c r="M1051" s="14">
        <f>CHOOSE(CONTROL!$C$42, 144.5623, 144.5623) * CHOOSE(CONTROL!$C$21, $C$9, 100%, $E$9)</f>
        <v>144.56229999999999</v>
      </c>
      <c r="N1051" s="14">
        <f>CHOOSE(CONTROL!$C$42, 144.5785, 144.5785) * CHOOSE(CONTROL!$C$21, $C$9, 100%, $E$9)</f>
        <v>144.57849999999999</v>
      </c>
      <c r="O1051" s="14">
        <f>CHOOSE(CONTROL!$C$42, 144.8102, 144.8102) * CHOOSE(CONTROL!$C$21, $C$9, 100%, $E$9)</f>
        <v>144.81020000000001</v>
      </c>
      <c r="P1051" s="14">
        <f>CHOOSE(CONTROL!$C$42, 145.0333, 145.0333) * CHOOSE(CONTROL!$C$21, $C$9, 100%, $E$9)</f>
        <v>145.0333</v>
      </c>
      <c r="Q1051" s="14">
        <f>CHOOSE(CONTROL!$C$42, 145.4049, 145.4049) * CHOOSE(CONTROL!$C$21, $C$9, 100%, $E$9)</f>
        <v>145.4049</v>
      </c>
      <c r="R1051" s="14">
        <f>CHOOSE(CONTROL!$C$42, 146.3554, 146.3554) * CHOOSE(CONTROL!$C$21, $C$9, 100%, $E$9)</f>
        <v>146.3554</v>
      </c>
      <c r="S1051" s="14">
        <f>CHOOSE(CONTROL!$C$42, 141.8166, 141.8166) * CHOOSE(CONTROL!$C$21, $C$9, 100%, $E$9)</f>
        <v>141.81659999999999</v>
      </c>
      <c r="T10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7">
        <f>(1000*CHOOSE(CONTROL!$C$42, 695, 695)*CHOOSE(CONTROL!$C$42, 0.5599, 0.5599)*CHOOSE(CONTROL!$C$42, 31, 31))/1000000</f>
        <v>12.063045499999998</v>
      </c>
      <c r="V1051" s="57">
        <f>(1000*CHOOSE(CONTROL!$C$42, 500, 500)*CHOOSE(CONTROL!$C$42, 0.275, 0.275)*CHOOSE(CONTROL!$C$42, 31, 31))/1000000</f>
        <v>4.2625000000000002</v>
      </c>
      <c r="W1051" s="57">
        <f>(1000*CHOOSE(CONTROL!$C$42, 0.1146, 0.1146)*CHOOSE(CONTROL!$C$42, 121.5, 121.5)*CHOOSE(CONTROL!$C$42, 31, 31))/1000000</f>
        <v>0.43164089999999994</v>
      </c>
      <c r="X1051" s="57">
        <f>(31*0.1790888*245000/1000000)+(31*0.2374*100000/1000000)</f>
        <v>2.0961194359999999</v>
      </c>
      <c r="Y1051" s="57"/>
      <c r="Z1051" s="14"/>
      <c r="AA1051" s="56"/>
      <c r="AB1051" s="50">
        <f>(B1051*194.205+C1051*267.466+D1051*133.845+E1051*53.484+F1051*40+G1051*185+H1051*0+I1051*100+J1051*300)/(194.205+267.466+133.845+53.484+0+40+185+100+300)</f>
        <v>147.66503752166403</v>
      </c>
      <c r="AC1051" s="45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144.74335971223022</v>
      </c>
    </row>
    <row r="1052" spans="1:29" ht="15.75" x14ac:dyDescent="0.25">
      <c r="A1052" s="32">
        <v>72928</v>
      </c>
      <c r="B1052" s="14">
        <f>CHOOSE(CONTROL!$C$42, 140.3083, 140.3083) * CHOOSE(CONTROL!$C$21, $C$9, 100%, $E$9)</f>
        <v>140.3083</v>
      </c>
      <c r="C1052" s="14">
        <f>CHOOSE(CONTROL!$C$42, 140.3163, 140.3163) * CHOOSE(CONTROL!$C$21, $C$9, 100%, $E$9)</f>
        <v>140.31630000000001</v>
      </c>
      <c r="D1052" s="14">
        <f>CHOOSE(CONTROL!$C$42, 140.5213, 140.5213) * CHOOSE(CONTROL!$C$21, $C$9, 100%, $E$9)</f>
        <v>140.5213</v>
      </c>
      <c r="E1052" s="14">
        <f>CHOOSE(CONTROL!$C$42, 140.5528, 140.5528) * CHOOSE(CONTROL!$C$21, $C$9, 100%, $E$9)</f>
        <v>140.55279999999999</v>
      </c>
      <c r="F1052" s="14">
        <f>CHOOSE(CONTROL!$C$42, 140.2955, 140.2955)*CHOOSE(CONTROL!$C$21, $C$9, 100%, $E$9)</f>
        <v>140.2955</v>
      </c>
      <c r="G1052" s="14">
        <f>CHOOSE(CONTROL!$C$42, 140.3122, 140.3122)*CHOOSE(CONTROL!$C$21, $C$9, 100%, $E$9)</f>
        <v>140.31219999999999</v>
      </c>
      <c r="H1052" s="14">
        <f>CHOOSE(CONTROL!$C$42, 140.5414, 140.5414) * CHOOSE(CONTROL!$C$21, $C$9, 100%, $E$9)</f>
        <v>140.54140000000001</v>
      </c>
      <c r="I1052" s="14">
        <f>CHOOSE(CONTROL!$C$42, 140.7558, 140.7558)* CHOOSE(CONTROL!$C$21, $C$9, 100%, $E$9)</f>
        <v>140.75579999999999</v>
      </c>
      <c r="J1052" s="14">
        <f>CHOOSE(CONTROL!$C$42, 140.2885, 140.2885)* CHOOSE(CONTROL!$C$21, $C$9, 100%, $E$9)</f>
        <v>140.2885</v>
      </c>
      <c r="K1052" s="53">
        <f>CHOOSE(CONTROL!$C$42, 140.7519, 140.7519) * CHOOSE(CONTROL!$C$21, $C$9, 100%, $E$9)</f>
        <v>140.75190000000001</v>
      </c>
      <c r="L1052" s="14">
        <f>CHOOSE(CONTROL!$C$42, 141.1284, 141.1284) * CHOOSE(CONTROL!$C$21, $C$9, 100%, $E$9)</f>
        <v>141.1284</v>
      </c>
      <c r="M1052" s="14">
        <f>CHOOSE(CONTROL!$C$42, 137.4218, 137.4218) * CHOOSE(CONTROL!$C$21, $C$9, 100%, $E$9)</f>
        <v>137.42179999999999</v>
      </c>
      <c r="N1052" s="14">
        <f>CHOOSE(CONTROL!$C$42, 137.4381, 137.4381) * CHOOSE(CONTROL!$C$21, $C$9, 100%, $E$9)</f>
        <v>137.43809999999999</v>
      </c>
      <c r="O1052" s="14">
        <f>CHOOSE(CONTROL!$C$42, 137.6695, 137.6695) * CHOOSE(CONTROL!$C$21, $C$9, 100%, $E$9)</f>
        <v>137.6695</v>
      </c>
      <c r="P1052" s="14">
        <f>CHOOSE(CONTROL!$C$42, 137.8707, 137.8707) * CHOOSE(CONTROL!$C$21, $C$9, 100%, $E$9)</f>
        <v>137.8707</v>
      </c>
      <c r="Q1052" s="14">
        <f>CHOOSE(CONTROL!$C$42, 138.2642, 138.2642) * CHOOSE(CONTROL!$C$21, $C$9, 100%, $E$9)</f>
        <v>138.26419999999999</v>
      </c>
      <c r="R1052" s="14">
        <f>CHOOSE(CONTROL!$C$42, 139.1969, 139.1969) * CHOOSE(CONTROL!$C$21, $C$9, 100%, $E$9)</f>
        <v>139.1969</v>
      </c>
      <c r="S1052" s="14">
        <f>CHOOSE(CONTROL!$C$42, 134.8116, 134.8116) * CHOOSE(CONTROL!$C$21, $C$9, 100%, $E$9)</f>
        <v>134.8116</v>
      </c>
      <c r="T10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7">
        <f>(1000*CHOOSE(CONTROL!$C$42, 695, 695)*CHOOSE(CONTROL!$C$42, 0.5599, 0.5599)*CHOOSE(CONTROL!$C$42, 31, 31))/1000000</f>
        <v>12.063045499999998</v>
      </c>
      <c r="V1052" s="57">
        <f>(1000*CHOOSE(CONTROL!$C$42, 500, 500)*CHOOSE(CONTROL!$C$42, 0.275, 0.275)*CHOOSE(CONTROL!$C$42, 31, 31))/1000000</f>
        <v>4.2625000000000002</v>
      </c>
      <c r="W1052" s="57">
        <f>(1000*CHOOSE(CONTROL!$C$42, 0.1146, 0.1146)*CHOOSE(CONTROL!$C$42, 121.5, 121.5)*CHOOSE(CONTROL!$C$42, 31, 31))/1000000</f>
        <v>0.43164089999999994</v>
      </c>
      <c r="X1052" s="57">
        <f>(31*0.1790888*245000/1000000)+(31*0.2374*100000/1000000)</f>
        <v>2.0961194359999999</v>
      </c>
      <c r="Y1052" s="57"/>
      <c r="Z1052" s="14"/>
      <c r="AA1052" s="56"/>
      <c r="AB1052" s="50">
        <f>(B1052*194.205+C1052*267.466+D1052*133.845+E1052*53.484+F1052*40+G1052*185+H1052*0+I1052*100+J1052*300)/(194.205+267.466+133.845+53.484+0+40+185+100+300)</f>
        <v>140.37324901962324</v>
      </c>
      <c r="AC1052" s="45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137.59959496402877</v>
      </c>
    </row>
    <row r="1053" spans="1:29" ht="15.75" x14ac:dyDescent="0.25">
      <c r="A1053" s="32">
        <v>72958</v>
      </c>
      <c r="B1053" s="14">
        <f>CHOOSE(CONTROL!$C$42, 131.4008, 131.4008) * CHOOSE(CONTROL!$C$21, $C$9, 100%, $E$9)</f>
        <v>131.4008</v>
      </c>
      <c r="C1053" s="14">
        <f>CHOOSE(CONTROL!$C$42, 131.4088, 131.4088) * CHOOSE(CONTROL!$C$21, $C$9, 100%, $E$9)</f>
        <v>131.40880000000001</v>
      </c>
      <c r="D1053" s="14">
        <f>CHOOSE(CONTROL!$C$42, 131.6138, 131.6138) * CHOOSE(CONTROL!$C$21, $C$9, 100%, $E$9)</f>
        <v>131.6138</v>
      </c>
      <c r="E1053" s="14">
        <f>CHOOSE(CONTROL!$C$42, 131.6453, 131.6453) * CHOOSE(CONTROL!$C$21, $C$9, 100%, $E$9)</f>
        <v>131.64529999999999</v>
      </c>
      <c r="F1053" s="14">
        <f>CHOOSE(CONTROL!$C$42, 131.388, 131.388)*CHOOSE(CONTROL!$C$21, $C$9, 100%, $E$9)</f>
        <v>131.38800000000001</v>
      </c>
      <c r="G1053" s="14">
        <f>CHOOSE(CONTROL!$C$42, 131.4046, 131.4046)*CHOOSE(CONTROL!$C$21, $C$9, 100%, $E$9)</f>
        <v>131.40459999999999</v>
      </c>
      <c r="H1053" s="14">
        <f>CHOOSE(CONTROL!$C$42, 131.6339, 131.6339) * CHOOSE(CONTROL!$C$21, $C$9, 100%, $E$9)</f>
        <v>131.63390000000001</v>
      </c>
      <c r="I1053" s="14">
        <f>CHOOSE(CONTROL!$C$42, 131.8204, 131.8204)* CHOOSE(CONTROL!$C$21, $C$9, 100%, $E$9)</f>
        <v>131.82040000000001</v>
      </c>
      <c r="J1053" s="14">
        <f>CHOOSE(CONTROL!$C$42, 131.381, 131.381)* CHOOSE(CONTROL!$C$21, $C$9, 100%, $E$9)</f>
        <v>131.381</v>
      </c>
      <c r="K1053" s="53">
        <f>CHOOSE(CONTROL!$C$42, 131.8165, 131.8165) * CHOOSE(CONTROL!$C$21, $C$9, 100%, $E$9)</f>
        <v>131.81649999999999</v>
      </c>
      <c r="L1053" s="14">
        <f>CHOOSE(CONTROL!$C$42, 132.2209, 132.2209) * CHOOSE(CONTROL!$C$21, $C$9, 100%, $E$9)</f>
        <v>132.2209</v>
      </c>
      <c r="M1053" s="14">
        <f>CHOOSE(CONTROL!$C$42, 128.6967, 128.6967) * CHOOSE(CONTROL!$C$21, $C$9, 100%, $E$9)</f>
        <v>128.69669999999999</v>
      </c>
      <c r="N1053" s="14">
        <f>CHOOSE(CONTROL!$C$42, 128.7131, 128.7131) * CHOOSE(CONTROL!$C$21, $C$9, 100%, $E$9)</f>
        <v>128.7131</v>
      </c>
      <c r="O1053" s="14">
        <f>CHOOSE(CONTROL!$C$42, 128.9445, 128.9445) * CHOOSE(CONTROL!$C$21, $C$9, 100%, $E$9)</f>
        <v>128.94450000000001</v>
      </c>
      <c r="P1053" s="14">
        <f>CHOOSE(CONTROL!$C$42, 129.119, 129.119) * CHOOSE(CONTROL!$C$21, $C$9, 100%, $E$9)</f>
        <v>129.119</v>
      </c>
      <c r="Q1053" s="14">
        <f>CHOOSE(CONTROL!$C$42, 129.5392, 129.5392) * CHOOSE(CONTROL!$C$21, $C$9, 100%, $E$9)</f>
        <v>129.53919999999999</v>
      </c>
      <c r="R1053" s="14">
        <f>CHOOSE(CONTROL!$C$42, 130.45, 130.45) * CHOOSE(CONTROL!$C$21, $C$9, 100%, $E$9)</f>
        <v>130.44999999999999</v>
      </c>
      <c r="S1053" s="14">
        <f>CHOOSE(CONTROL!$C$42, 126.2524, 126.2524) * CHOOSE(CONTROL!$C$21, $C$9, 100%, $E$9)</f>
        <v>126.25239999999999</v>
      </c>
      <c r="T10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7">
        <f>(1000*CHOOSE(CONTROL!$C$42, 695, 695)*CHOOSE(CONTROL!$C$42, 0.5599, 0.5599)*CHOOSE(CONTROL!$C$42, 30, 30))/1000000</f>
        <v>11.673914999999997</v>
      </c>
      <c r="V1053" s="57">
        <f>(1000*CHOOSE(CONTROL!$C$42, 500, 500)*CHOOSE(CONTROL!$C$42, 0.275, 0.275)*CHOOSE(CONTROL!$C$42, 30, 30))/1000000</f>
        <v>4.125</v>
      </c>
      <c r="W1053" s="57">
        <f>(1000*CHOOSE(CONTROL!$C$42, 0.1146, 0.1146)*CHOOSE(CONTROL!$C$42, 121.5, 121.5)*CHOOSE(CONTROL!$C$42, 30, 30))/1000000</f>
        <v>0.417717</v>
      </c>
      <c r="X1053" s="57">
        <f>(30*0.1790888*245000/1000000)+(30*0.2374*100000/1000000)</f>
        <v>2.0285026799999999</v>
      </c>
      <c r="Y1053" s="57"/>
      <c r="Z1053" s="14"/>
      <c r="AA1053" s="56"/>
      <c r="AB1053" s="50">
        <f>(B1053*194.205+C1053*267.466+D1053*133.845+E1053*53.484+F1053*40+G1053*185+H1053*0+I1053*100+J1053*300)/(194.205+267.466+133.845+53.484+0+40+185+100+300)</f>
        <v>131.46354454552591</v>
      </c>
      <c r="AC1053" s="45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128.87071870503598</v>
      </c>
    </row>
    <row r="1054" spans="1:29" ht="15.75" x14ac:dyDescent="0.25">
      <c r="A1054" s="32">
        <v>72989</v>
      </c>
      <c r="B1054" s="14">
        <f>CHOOSE(CONTROL!$C$42, 128.7313, 128.7313) * CHOOSE(CONTROL!$C$21, $C$9, 100%, $E$9)</f>
        <v>128.7313</v>
      </c>
      <c r="C1054" s="14">
        <f>CHOOSE(CONTROL!$C$42, 128.7366, 128.7366) * CHOOSE(CONTROL!$C$21, $C$9, 100%, $E$9)</f>
        <v>128.73660000000001</v>
      </c>
      <c r="D1054" s="14">
        <f>CHOOSE(CONTROL!$C$42, 128.9466, 128.9466) * CHOOSE(CONTROL!$C$21, $C$9, 100%, $E$9)</f>
        <v>128.94659999999999</v>
      </c>
      <c r="E1054" s="14">
        <f>CHOOSE(CONTROL!$C$42, 128.9757, 128.9757) * CHOOSE(CONTROL!$C$21, $C$9, 100%, $E$9)</f>
        <v>128.97569999999999</v>
      </c>
      <c r="F1054" s="14">
        <f>CHOOSE(CONTROL!$C$42, 128.7205, 128.7205)*CHOOSE(CONTROL!$C$21, $C$9, 100%, $E$9)</f>
        <v>128.72049999999999</v>
      </c>
      <c r="G1054" s="14">
        <f>CHOOSE(CONTROL!$C$42, 128.7369, 128.7369)*CHOOSE(CONTROL!$C$21, $C$9, 100%, $E$9)</f>
        <v>128.73689999999999</v>
      </c>
      <c r="H1054" s="14">
        <f>CHOOSE(CONTROL!$C$42, 128.9662, 128.9662) * CHOOSE(CONTROL!$C$21, $C$9, 100%, $E$9)</f>
        <v>128.96619999999999</v>
      </c>
      <c r="I1054" s="14">
        <f>CHOOSE(CONTROL!$C$42, 129.1443, 129.1443)* CHOOSE(CONTROL!$C$21, $C$9, 100%, $E$9)</f>
        <v>129.14429999999999</v>
      </c>
      <c r="J1054" s="14">
        <f>CHOOSE(CONTROL!$C$42, 128.7135, 128.7135)* CHOOSE(CONTROL!$C$21, $C$9, 100%, $E$9)</f>
        <v>128.71350000000001</v>
      </c>
      <c r="K1054" s="53">
        <f>CHOOSE(CONTROL!$C$42, 129.1404, 129.1404) * CHOOSE(CONTROL!$C$21, $C$9, 100%, $E$9)</f>
        <v>129.1404</v>
      </c>
      <c r="L1054" s="14">
        <f>CHOOSE(CONTROL!$C$42, 129.5532, 129.5532) * CHOOSE(CONTROL!$C$21, $C$9, 100%, $E$9)</f>
        <v>129.5532</v>
      </c>
      <c r="M1054" s="14">
        <f>CHOOSE(CONTROL!$C$42, 126.084, 126.084) * CHOOSE(CONTROL!$C$21, $C$9, 100%, $E$9)</f>
        <v>126.084</v>
      </c>
      <c r="N1054" s="14">
        <f>CHOOSE(CONTROL!$C$42, 126.1, 126.1) * CHOOSE(CONTROL!$C$21, $C$9, 100%, $E$9)</f>
        <v>126.1</v>
      </c>
      <c r="O1054" s="14">
        <f>CHOOSE(CONTROL!$C$42, 126.3314, 126.3314) * CHOOSE(CONTROL!$C$21, $C$9, 100%, $E$9)</f>
        <v>126.3314</v>
      </c>
      <c r="P1054" s="14">
        <f>CHOOSE(CONTROL!$C$42, 126.4979, 126.4979) * CHOOSE(CONTROL!$C$21, $C$9, 100%, $E$9)</f>
        <v>126.4979</v>
      </c>
      <c r="Q1054" s="14">
        <f>CHOOSE(CONTROL!$C$42, 126.9261, 126.9261) * CHOOSE(CONTROL!$C$21, $C$9, 100%, $E$9)</f>
        <v>126.92610000000001</v>
      </c>
      <c r="R1054" s="14">
        <f>CHOOSE(CONTROL!$C$42, 127.8304, 127.8304) * CHOOSE(CONTROL!$C$21, $C$9, 100%, $E$9)</f>
        <v>127.8304</v>
      </c>
      <c r="S1054" s="14">
        <f>CHOOSE(CONTROL!$C$42, 123.689, 123.689) * CHOOSE(CONTROL!$C$21, $C$9, 100%, $E$9)</f>
        <v>123.68899999999999</v>
      </c>
      <c r="T10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7">
        <f>(1000*CHOOSE(CONTROL!$C$42, 695, 695)*CHOOSE(CONTROL!$C$42, 0.5599, 0.5599)*CHOOSE(CONTROL!$C$42, 31, 31))/1000000</f>
        <v>12.063045499999998</v>
      </c>
      <c r="V1054" s="57">
        <f>(1000*CHOOSE(CONTROL!$C$42, 500, 500)*CHOOSE(CONTROL!$C$42, 0.275, 0.275)*CHOOSE(CONTROL!$C$42, 31, 31))/1000000</f>
        <v>4.2625000000000002</v>
      </c>
      <c r="W1054" s="57">
        <f>(1000*CHOOSE(CONTROL!$C$42, 0.1146, 0.1146)*CHOOSE(CONTROL!$C$42, 121.5, 121.5)*CHOOSE(CONTROL!$C$42, 31, 31))/1000000</f>
        <v>0.43164089999999994</v>
      </c>
      <c r="X1054" s="57">
        <f>(31*0.1790888*245000/1000000)+(31*0.2374*100000/1000000)</f>
        <v>2.0961194359999999</v>
      </c>
      <c r="Y1054" s="57"/>
      <c r="Z1054" s="14"/>
      <c r="AA1054" s="56"/>
      <c r="AB1054" s="50">
        <f>(B1054*131.881+C1054*277.167+D1054*79.08+E1054*125.872+F1054*40+G1054*185+H1054*0+I1054*100+J1054*300)/(131.881+277.167+79.08+125.872+0+40+185+100+300)</f>
        <v>128.80056717183211</v>
      </c>
      <c r="AC1054" s="45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126.25660575539571</v>
      </c>
    </row>
    <row r="1055" spans="1:29" ht="15.75" x14ac:dyDescent="0.25">
      <c r="A1055" s="32">
        <v>73019</v>
      </c>
      <c r="B1055" s="14">
        <f>CHOOSE(CONTROL!$C$42, 132.122, 132.122) * CHOOSE(CONTROL!$C$21, $C$9, 100%, $E$9)</f>
        <v>132.12200000000001</v>
      </c>
      <c r="C1055" s="14">
        <f>CHOOSE(CONTROL!$C$42, 132.1271, 132.1271) * CHOOSE(CONTROL!$C$21, $C$9, 100%, $E$9)</f>
        <v>132.12710000000001</v>
      </c>
      <c r="D1055" s="14">
        <f>CHOOSE(CONTROL!$C$42, 132.1909, 132.1909) * CHOOSE(CONTROL!$C$21, $C$9, 100%, $E$9)</f>
        <v>132.1909</v>
      </c>
      <c r="E1055" s="14">
        <f>CHOOSE(CONTROL!$C$42, 132.225, 132.225) * CHOOSE(CONTROL!$C$21, $C$9, 100%, $E$9)</f>
        <v>132.22499999999999</v>
      </c>
      <c r="F1055" s="14">
        <f>CHOOSE(CONTROL!$C$42, 132.1243, 132.1243)*CHOOSE(CONTROL!$C$21, $C$9, 100%, $E$9)</f>
        <v>132.12430000000001</v>
      </c>
      <c r="G1055" s="14">
        <f>CHOOSE(CONTROL!$C$42, 132.1409, 132.1409)*CHOOSE(CONTROL!$C$21, $C$9, 100%, $E$9)</f>
        <v>132.14089999999999</v>
      </c>
      <c r="H1055" s="14">
        <f>CHOOSE(CONTROL!$C$42, 132.2142, 132.2142) * CHOOSE(CONTROL!$C$21, $C$9, 100%, $E$9)</f>
        <v>132.21420000000001</v>
      </c>
      <c r="I1055" s="14">
        <f>CHOOSE(CONTROL!$C$42, 132.5497, 132.5497)* CHOOSE(CONTROL!$C$21, $C$9, 100%, $E$9)</f>
        <v>132.5497</v>
      </c>
      <c r="J1055" s="14">
        <f>CHOOSE(CONTROL!$C$42, 132.1173, 132.1173)* CHOOSE(CONTROL!$C$21, $C$9, 100%, $E$9)</f>
        <v>132.1173</v>
      </c>
      <c r="K1055" s="53">
        <f>CHOOSE(CONTROL!$C$42, 132.5458, 132.5458) * CHOOSE(CONTROL!$C$21, $C$9, 100%, $E$9)</f>
        <v>132.54580000000001</v>
      </c>
      <c r="L1055" s="14">
        <f>CHOOSE(CONTROL!$C$42, 132.8012, 132.8012) * CHOOSE(CONTROL!$C$21, $C$9, 100%, $E$9)</f>
        <v>132.80119999999999</v>
      </c>
      <c r="M1055" s="14">
        <f>CHOOSE(CONTROL!$C$42, 129.418, 129.418) * CHOOSE(CONTROL!$C$21, $C$9, 100%, $E$9)</f>
        <v>129.41800000000001</v>
      </c>
      <c r="N1055" s="14">
        <f>CHOOSE(CONTROL!$C$42, 129.4343, 129.4343) * CHOOSE(CONTROL!$C$21, $C$9, 100%, $E$9)</f>
        <v>129.43430000000001</v>
      </c>
      <c r="O1055" s="14">
        <f>CHOOSE(CONTROL!$C$42, 129.5129, 129.5129) * CHOOSE(CONTROL!$C$21, $C$9, 100%, $E$9)</f>
        <v>129.5129</v>
      </c>
      <c r="P1055" s="14">
        <f>CHOOSE(CONTROL!$C$42, 129.8333, 129.8333) * CHOOSE(CONTROL!$C$21, $C$9, 100%, $E$9)</f>
        <v>129.83330000000001</v>
      </c>
      <c r="Q1055" s="14">
        <f>CHOOSE(CONTROL!$C$42, 130.1076, 130.1076) * CHOOSE(CONTROL!$C$21, $C$9, 100%, $E$9)</f>
        <v>130.10759999999999</v>
      </c>
      <c r="R1055" s="14">
        <f>CHOOSE(CONTROL!$C$42, 131.0199, 131.0199) * CHOOSE(CONTROL!$C$21, $C$9, 100%, $E$9)</f>
        <v>131.01990000000001</v>
      </c>
      <c r="S1055" s="14">
        <f>CHOOSE(CONTROL!$C$42, 126.9475, 126.9475) * CHOOSE(CONTROL!$C$21, $C$9, 100%, $E$9)</f>
        <v>126.94750000000001</v>
      </c>
      <c r="T10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7">
        <f>(1000*CHOOSE(CONTROL!$C$42, 695, 695)*CHOOSE(CONTROL!$C$42, 0.5599, 0.5599)*CHOOSE(CONTROL!$C$42, 30, 30))/1000000</f>
        <v>11.673914999999997</v>
      </c>
      <c r="V1055" s="57">
        <f>(1000*CHOOSE(CONTROL!$C$42, 500, 500)*CHOOSE(CONTROL!$C$42, 0.275, 0.275)*CHOOSE(CONTROL!$C$42, 30, 30))/1000000</f>
        <v>4.125</v>
      </c>
      <c r="W1055" s="57">
        <f>(1000*CHOOSE(CONTROL!$C$42, 0.1146, 0.1146)*CHOOSE(CONTROL!$C$42, 121.5, 121.5)*CHOOSE(CONTROL!$C$42, 30, 30))/1000000</f>
        <v>0.417717</v>
      </c>
      <c r="X1055" s="57">
        <f>(30*0.1790888*100000/1000000)+(30*0.2374*100000/1000000)</f>
        <v>1.2494664</v>
      </c>
      <c r="Y1055" s="57"/>
      <c r="Z1055" s="14"/>
      <c r="AA1055" s="56"/>
      <c r="AB1055" s="50">
        <f>(B1055*122.58+C1055*297.941+D1055*89.177+E1055*40.302+F1055*40+G1055*160+H1055*0+I1055*100+J1055*300)/(122.58+297.941+89.177+40.302+0+40+160+100+300)</f>
        <v>132.17094860904348</v>
      </c>
      <c r="AC1055" s="45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129.52170575539569</v>
      </c>
    </row>
    <row r="1056" spans="1:29" ht="15.75" x14ac:dyDescent="0.25">
      <c r="A1056" s="32">
        <v>73050</v>
      </c>
      <c r="B1056" s="14">
        <f>CHOOSE(CONTROL!$C$42, 141.1294, 141.1294) * CHOOSE(CONTROL!$C$21, $C$9, 100%, $E$9)</f>
        <v>141.1294</v>
      </c>
      <c r="C1056" s="14">
        <f>CHOOSE(CONTROL!$C$42, 141.1345, 141.1345) * CHOOSE(CONTROL!$C$21, $C$9, 100%, $E$9)</f>
        <v>141.1345</v>
      </c>
      <c r="D1056" s="14">
        <f>CHOOSE(CONTROL!$C$42, 141.1983, 141.1983) * CHOOSE(CONTROL!$C$21, $C$9, 100%, $E$9)</f>
        <v>141.19829999999999</v>
      </c>
      <c r="E1056" s="14">
        <f>CHOOSE(CONTROL!$C$42, 141.2324, 141.2324) * CHOOSE(CONTROL!$C$21, $C$9, 100%, $E$9)</f>
        <v>141.23240000000001</v>
      </c>
      <c r="F1056" s="14">
        <f>CHOOSE(CONTROL!$C$42, 141.1337, 141.1337)*CHOOSE(CONTROL!$C$21, $C$9, 100%, $E$9)</f>
        <v>141.1337</v>
      </c>
      <c r="G1056" s="14">
        <f>CHOOSE(CONTROL!$C$42, 141.1509, 141.1509)*CHOOSE(CONTROL!$C$21, $C$9, 100%, $E$9)</f>
        <v>141.15090000000001</v>
      </c>
      <c r="H1056" s="14">
        <f>CHOOSE(CONTROL!$C$42, 141.2216, 141.2216) * CHOOSE(CONTROL!$C$21, $C$9, 100%, $E$9)</f>
        <v>141.2216</v>
      </c>
      <c r="I1056" s="14">
        <f>CHOOSE(CONTROL!$C$42, 141.5853, 141.5853)* CHOOSE(CONTROL!$C$21, $C$9, 100%, $E$9)</f>
        <v>141.58529999999999</v>
      </c>
      <c r="J1056" s="14">
        <f>CHOOSE(CONTROL!$C$42, 141.1267, 141.1267)* CHOOSE(CONTROL!$C$21, $C$9, 100%, $E$9)</f>
        <v>141.1267</v>
      </c>
      <c r="K1056" s="53">
        <f>CHOOSE(CONTROL!$C$42, 141.5814, 141.5814) * CHOOSE(CONTROL!$C$21, $C$9, 100%, $E$9)</f>
        <v>141.5814</v>
      </c>
      <c r="L1056" s="14">
        <f>CHOOSE(CONTROL!$C$42, 141.8086, 141.8086) * CHOOSE(CONTROL!$C$21, $C$9, 100%, $E$9)</f>
        <v>141.80860000000001</v>
      </c>
      <c r="M1056" s="14">
        <f>CHOOSE(CONTROL!$C$42, 138.2428, 138.2428) * CHOOSE(CONTROL!$C$21, $C$9, 100%, $E$9)</f>
        <v>138.24279999999999</v>
      </c>
      <c r="N1056" s="14">
        <f>CHOOSE(CONTROL!$C$42, 138.2597, 138.2597) * CHOOSE(CONTROL!$C$21, $C$9, 100%, $E$9)</f>
        <v>138.25970000000001</v>
      </c>
      <c r="O1056" s="14">
        <f>CHOOSE(CONTROL!$C$42, 138.3357, 138.3357) * CHOOSE(CONTROL!$C$21, $C$9, 100%, $E$9)</f>
        <v>138.3357</v>
      </c>
      <c r="P1056" s="14">
        <f>CHOOSE(CONTROL!$C$42, 138.6832, 138.6832) * CHOOSE(CONTROL!$C$21, $C$9, 100%, $E$9)</f>
        <v>138.6832</v>
      </c>
      <c r="Q1056" s="14">
        <f>CHOOSE(CONTROL!$C$42, 138.9304, 138.9304) * CHOOSE(CONTROL!$C$21, $C$9, 100%, $E$9)</f>
        <v>138.93039999999999</v>
      </c>
      <c r="R1056" s="14">
        <f>CHOOSE(CONTROL!$C$42, 139.8648, 139.8648) * CHOOSE(CONTROL!$C$21, $C$9, 100%, $E$9)</f>
        <v>139.8648</v>
      </c>
      <c r="S1056" s="14">
        <f>CHOOSE(CONTROL!$C$42, 135.6027, 135.6027) * CHOOSE(CONTROL!$C$21, $C$9, 100%, $E$9)</f>
        <v>135.6027</v>
      </c>
      <c r="T10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7">
        <f>(1000*CHOOSE(CONTROL!$C$42, 695, 695)*CHOOSE(CONTROL!$C$42, 0.5599, 0.5599)*CHOOSE(CONTROL!$C$42, 31, 31))/1000000</f>
        <v>12.063045499999998</v>
      </c>
      <c r="V1056" s="57">
        <f>(1000*CHOOSE(CONTROL!$C$42, 500, 500)*CHOOSE(CONTROL!$C$42, 0.275, 0.275)*CHOOSE(CONTROL!$C$42, 31, 31))/1000000</f>
        <v>4.2625000000000002</v>
      </c>
      <c r="W1056" s="57">
        <f>(1000*CHOOSE(CONTROL!$C$42, 0.1146, 0.1146)*CHOOSE(CONTROL!$C$42, 121.5, 121.5)*CHOOSE(CONTROL!$C$42, 31, 31))/1000000</f>
        <v>0.43164089999999994</v>
      </c>
      <c r="X1056" s="57">
        <f>(31*0.1790888*100000/1000000)+(31*0.2374*100000/1000000)</f>
        <v>1.2911152800000001</v>
      </c>
      <c r="Y1056" s="57"/>
      <c r="Z1056" s="14"/>
      <c r="AA1056" s="56"/>
      <c r="AB1056" s="50">
        <f>(B1056*122.58+C1056*297.941+D1056*89.177+E1056*40.302+F1056*40+G1056*160+H1056*0+I1056*100+J1056*300)/(122.58+297.941+89.177+40.302+0+40+160+100+300)</f>
        <v>141.18175382643477</v>
      </c>
      <c r="AC1056" s="45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138.349245323741</v>
      </c>
    </row>
    <row r="1057" spans="1:29" ht="15.75" x14ac:dyDescent="0.25">
      <c r="A1057" s="32">
        <v>73081</v>
      </c>
      <c r="B1057" s="14">
        <f>CHOOSE(CONTROL!$C$42, 152.6891, 152.6891) * CHOOSE(CONTROL!$C$21, $C$9, 100%, $E$9)</f>
        <v>152.6891</v>
      </c>
      <c r="C1057" s="14">
        <f>CHOOSE(CONTROL!$C$42, 152.6942, 152.6942) * CHOOSE(CONTROL!$C$21, $C$9, 100%, $E$9)</f>
        <v>152.6942</v>
      </c>
      <c r="D1057" s="14">
        <f>CHOOSE(CONTROL!$C$42, 152.7528, 152.7528) * CHOOSE(CONTROL!$C$21, $C$9, 100%, $E$9)</f>
        <v>152.75280000000001</v>
      </c>
      <c r="E1057" s="14">
        <f>CHOOSE(CONTROL!$C$42, 152.7869, 152.7869) * CHOOSE(CONTROL!$C$21, $C$9, 100%, $E$9)</f>
        <v>152.7869</v>
      </c>
      <c r="F1057" s="14">
        <f>CHOOSE(CONTROL!$C$42, 152.6882, 152.6882)*CHOOSE(CONTROL!$C$21, $C$9, 100%, $E$9)</f>
        <v>152.68819999999999</v>
      </c>
      <c r="G1057" s="14">
        <f>CHOOSE(CONTROL!$C$42, 152.7046, 152.7046)*CHOOSE(CONTROL!$C$21, $C$9, 100%, $E$9)</f>
        <v>152.7046</v>
      </c>
      <c r="H1057" s="14">
        <f>CHOOSE(CONTROL!$C$42, 152.7761, 152.7761) * CHOOSE(CONTROL!$C$21, $C$9, 100%, $E$9)</f>
        <v>152.77610000000001</v>
      </c>
      <c r="I1057" s="14">
        <f>CHOOSE(CONTROL!$C$42, 153.1775, 153.1775)* CHOOSE(CONTROL!$C$21, $C$9, 100%, $E$9)</f>
        <v>153.17750000000001</v>
      </c>
      <c r="J1057" s="14">
        <f>CHOOSE(CONTROL!$C$42, 152.6812, 152.6812)* CHOOSE(CONTROL!$C$21, $C$9, 100%, $E$9)</f>
        <v>152.68119999999999</v>
      </c>
      <c r="K1057" s="53">
        <f>CHOOSE(CONTROL!$C$42, 153.1736, 153.1736) * CHOOSE(CONTROL!$C$21, $C$9, 100%, $E$9)</f>
        <v>153.17359999999999</v>
      </c>
      <c r="L1057" s="14">
        <f>CHOOSE(CONTROL!$C$42, 153.3631, 153.3631) * CHOOSE(CONTROL!$C$21, $C$9, 100%, $E$9)</f>
        <v>153.3631</v>
      </c>
      <c r="M1057" s="14">
        <f>CHOOSE(CONTROL!$C$42, 149.5606, 149.5606) * CHOOSE(CONTROL!$C$21, $C$9, 100%, $E$9)</f>
        <v>149.56059999999999</v>
      </c>
      <c r="N1057" s="14">
        <f>CHOOSE(CONTROL!$C$42, 149.5766, 149.5766) * CHOOSE(CONTROL!$C$21, $C$9, 100%, $E$9)</f>
        <v>149.57660000000001</v>
      </c>
      <c r="O1057" s="14">
        <f>CHOOSE(CONTROL!$C$42, 149.6535, 149.6535) * CHOOSE(CONTROL!$C$21, $C$9, 100%, $E$9)</f>
        <v>149.65350000000001</v>
      </c>
      <c r="P1057" s="14">
        <f>CHOOSE(CONTROL!$C$42, 150.0372, 150.0372) * CHOOSE(CONTROL!$C$21, $C$9, 100%, $E$9)</f>
        <v>150.03720000000001</v>
      </c>
      <c r="Q1057" s="14">
        <f>CHOOSE(CONTROL!$C$42, 150.2482, 150.2482) * CHOOSE(CONTROL!$C$21, $C$9, 100%, $E$9)</f>
        <v>150.2482</v>
      </c>
      <c r="R1057" s="14">
        <f>CHOOSE(CONTROL!$C$42, 151.2108, 151.2108) * CHOOSE(CONTROL!$C$21, $C$9, 100%, $E$9)</f>
        <v>151.21080000000001</v>
      </c>
      <c r="S1057" s="14">
        <f>CHOOSE(CONTROL!$C$42, 146.7104, 146.7104) * CHOOSE(CONTROL!$C$21, $C$9, 100%, $E$9)</f>
        <v>146.71039999999999</v>
      </c>
      <c r="T10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7">
        <f>(1000*CHOOSE(CONTROL!$C$42, 695, 695)*CHOOSE(CONTROL!$C$42, 0.5599, 0.5599)*CHOOSE(CONTROL!$C$42, 31, 31))/1000000</f>
        <v>12.063045499999998</v>
      </c>
      <c r="V1057" s="57">
        <f>(1000*CHOOSE(CONTROL!$C$42, 500, 500)*CHOOSE(CONTROL!$C$42, 0.275, 0.275)*CHOOSE(CONTROL!$C$42, 31, 31))/1000000</f>
        <v>4.2625000000000002</v>
      </c>
      <c r="W1057" s="57">
        <f>(1000*CHOOSE(CONTROL!$C$42, 0.1146, 0.1146)*CHOOSE(CONTROL!$C$42, 121.5, 121.5)*CHOOSE(CONTROL!$C$42, 31, 31))/1000000</f>
        <v>0.43164089999999994</v>
      </c>
      <c r="X1057" s="57">
        <f>(31*0.1790888*100000/1000000)+(31*0.2374*100000/1000000)</f>
        <v>1.2911152800000001</v>
      </c>
      <c r="Y1057" s="57"/>
      <c r="Z1057" s="14"/>
      <c r="AA1057" s="56"/>
      <c r="AB1057" s="50">
        <f>(B1057*122.58+C1057*297.941+D1057*89.177+E1057*40.302+F1057*40+G1057*160+H1057*0+I1057*100+J1057*300)/(122.58+297.941+89.177+40.302+0+40+160+100+300)</f>
        <v>152.74132226921739</v>
      </c>
      <c r="AC1057" s="45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149.67220215827339</v>
      </c>
    </row>
    <row r="1058" spans="1:29" ht="15.75" x14ac:dyDescent="0.25">
      <c r="A1058" s="32">
        <v>73109</v>
      </c>
      <c r="B1058" s="14">
        <f>CHOOSE(CONTROL!$C$42, 155.407, 155.407) * CHOOSE(CONTROL!$C$21, $C$9, 100%, $E$9)</f>
        <v>155.40700000000001</v>
      </c>
      <c r="C1058" s="14">
        <f>CHOOSE(CONTROL!$C$42, 155.4121, 155.4121) * CHOOSE(CONTROL!$C$21, $C$9, 100%, $E$9)</f>
        <v>155.41210000000001</v>
      </c>
      <c r="D1058" s="14">
        <f>CHOOSE(CONTROL!$C$42, 155.4707, 155.4707) * CHOOSE(CONTROL!$C$21, $C$9, 100%, $E$9)</f>
        <v>155.47069999999999</v>
      </c>
      <c r="E1058" s="14">
        <f>CHOOSE(CONTROL!$C$42, 155.5048, 155.5048) * CHOOSE(CONTROL!$C$21, $C$9, 100%, $E$9)</f>
        <v>155.50479999999999</v>
      </c>
      <c r="F1058" s="14">
        <f>CHOOSE(CONTROL!$C$42, 155.4061, 155.4061)*CHOOSE(CONTROL!$C$21, $C$9, 100%, $E$9)</f>
        <v>155.40610000000001</v>
      </c>
      <c r="G1058" s="14">
        <f>CHOOSE(CONTROL!$C$42, 155.4225, 155.4225)*CHOOSE(CONTROL!$C$21, $C$9, 100%, $E$9)</f>
        <v>155.42250000000001</v>
      </c>
      <c r="H1058" s="14">
        <f>CHOOSE(CONTROL!$C$42, 155.494, 155.494) * CHOOSE(CONTROL!$C$21, $C$9, 100%, $E$9)</f>
        <v>155.494</v>
      </c>
      <c r="I1058" s="14">
        <f>CHOOSE(CONTROL!$C$42, 155.904, 155.904)* CHOOSE(CONTROL!$C$21, $C$9, 100%, $E$9)</f>
        <v>155.904</v>
      </c>
      <c r="J1058" s="14">
        <f>CHOOSE(CONTROL!$C$42, 155.3991, 155.3991)* CHOOSE(CONTROL!$C$21, $C$9, 100%, $E$9)</f>
        <v>155.3991</v>
      </c>
      <c r="K1058" s="53">
        <f>CHOOSE(CONTROL!$C$42, 155.9001, 155.9001) * CHOOSE(CONTROL!$C$21, $C$9, 100%, $E$9)</f>
        <v>155.90010000000001</v>
      </c>
      <c r="L1058" s="14">
        <f>CHOOSE(CONTROL!$C$42, 156.081, 156.081) * CHOOSE(CONTROL!$C$21, $C$9, 100%, $E$9)</f>
        <v>156.08099999999999</v>
      </c>
      <c r="M1058" s="14">
        <f>CHOOSE(CONTROL!$C$42, 152.2228, 152.2228) * CHOOSE(CONTROL!$C$21, $C$9, 100%, $E$9)</f>
        <v>152.22280000000001</v>
      </c>
      <c r="N1058" s="14">
        <f>CHOOSE(CONTROL!$C$42, 152.2388, 152.2388) * CHOOSE(CONTROL!$C$21, $C$9, 100%, $E$9)</f>
        <v>152.2388</v>
      </c>
      <c r="O1058" s="14">
        <f>CHOOSE(CONTROL!$C$42, 152.3157, 152.3157) * CHOOSE(CONTROL!$C$21, $C$9, 100%, $E$9)</f>
        <v>152.31569999999999</v>
      </c>
      <c r="P1058" s="14">
        <f>CHOOSE(CONTROL!$C$42, 152.7076, 152.7076) * CHOOSE(CONTROL!$C$21, $C$9, 100%, $E$9)</f>
        <v>152.70760000000001</v>
      </c>
      <c r="Q1058" s="14">
        <f>CHOOSE(CONTROL!$C$42, 152.9104, 152.9104) * CHOOSE(CONTROL!$C$21, $C$9, 100%, $E$9)</f>
        <v>152.91040000000001</v>
      </c>
      <c r="R1058" s="14">
        <f>CHOOSE(CONTROL!$C$42, 153.8797, 153.8797) * CHOOSE(CONTROL!$C$21, $C$9, 100%, $E$9)</f>
        <v>153.87970000000001</v>
      </c>
      <c r="S1058" s="14">
        <f>CHOOSE(CONTROL!$C$42, 149.3221, 149.3221) * CHOOSE(CONTROL!$C$21, $C$9, 100%, $E$9)</f>
        <v>149.32210000000001</v>
      </c>
      <c r="T105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7">
        <f>(1000*CHOOSE(CONTROL!$C$42, 695, 695)*CHOOSE(CONTROL!$C$42, 0.5599, 0.5599)*CHOOSE(CONTROL!$C$42, 29, 29))/1000000</f>
        <v>11.284784499999999</v>
      </c>
      <c r="V1058" s="57">
        <f>(1000*CHOOSE(CONTROL!$C$42, 500, 500)*CHOOSE(CONTROL!$C$42, 0.275, 0.275)*CHOOSE(CONTROL!$C$42, 29, 29))/1000000</f>
        <v>3.9874999999999998</v>
      </c>
      <c r="W1058" s="57">
        <f>(1000*CHOOSE(CONTROL!$C$42, 0.1146, 0.1146)*CHOOSE(CONTROL!$C$42, 121.5, 121.5)*CHOOSE(CONTROL!$C$42, 29, 29))/1000000</f>
        <v>0.40379309999999996</v>
      </c>
      <c r="X1058" s="57">
        <f>(28*0.1790888*100000/1000000)+(28*0.2374*100000/1000000)</f>
        <v>1.16616864</v>
      </c>
      <c r="Y1058" s="57"/>
      <c r="Z1058" s="14"/>
      <c r="AA1058" s="56"/>
      <c r="AB1058" s="50">
        <f>(B1058*122.58+C1058*297.941+D1058*89.177+E1058*40.302+F1058*40+G1058*160+H1058*0+I1058*100+J1058*300)/(122.58+297.941+89.177+40.302+0+40+160+100+300)</f>
        <v>155.45997009530436</v>
      </c>
      <c r="AC1058" s="45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152.33558201438851</v>
      </c>
    </row>
    <row r="1059" spans="1:29" ht="15.75" x14ac:dyDescent="0.25">
      <c r="A1059" s="32">
        <v>73140</v>
      </c>
      <c r="B1059" s="14">
        <f>CHOOSE(CONTROL!$C$42, 150.9952, 150.9952) * CHOOSE(CONTROL!$C$21, $C$9, 100%, $E$9)</f>
        <v>150.99520000000001</v>
      </c>
      <c r="C1059" s="14">
        <f>CHOOSE(CONTROL!$C$42, 151.0002, 151.0002) * CHOOSE(CONTROL!$C$21, $C$9, 100%, $E$9)</f>
        <v>151.00020000000001</v>
      </c>
      <c r="D1059" s="14">
        <f>CHOOSE(CONTROL!$C$42, 151.0588, 151.0588) * CHOOSE(CONTROL!$C$21, $C$9, 100%, $E$9)</f>
        <v>151.05879999999999</v>
      </c>
      <c r="E1059" s="14">
        <f>CHOOSE(CONTROL!$C$42, 151.0929, 151.0929) * CHOOSE(CONTROL!$C$21, $C$9, 100%, $E$9)</f>
        <v>151.09289999999999</v>
      </c>
      <c r="F1059" s="14">
        <f>CHOOSE(CONTROL!$C$42, 150.9937, 150.9937)*CHOOSE(CONTROL!$C$21, $C$9, 100%, $E$9)</f>
        <v>150.99369999999999</v>
      </c>
      <c r="G1059" s="14">
        <f>CHOOSE(CONTROL!$C$42, 151.01, 151.01)*CHOOSE(CONTROL!$C$21, $C$9, 100%, $E$9)</f>
        <v>151.01</v>
      </c>
      <c r="H1059" s="14">
        <f>CHOOSE(CONTROL!$C$42, 151.0821, 151.0821) * CHOOSE(CONTROL!$C$21, $C$9, 100%, $E$9)</f>
        <v>151.0821</v>
      </c>
      <c r="I1059" s="14">
        <f>CHOOSE(CONTROL!$C$42, 151.4783, 151.4783)* CHOOSE(CONTROL!$C$21, $C$9, 100%, $E$9)</f>
        <v>151.47829999999999</v>
      </c>
      <c r="J1059" s="14">
        <f>CHOOSE(CONTROL!$C$42, 150.9867, 150.9867)* CHOOSE(CONTROL!$C$21, $C$9, 100%, $E$9)</f>
        <v>150.98670000000001</v>
      </c>
      <c r="K1059" s="53">
        <f>CHOOSE(CONTROL!$C$42, 151.4744, 151.4744) * CHOOSE(CONTROL!$C$21, $C$9, 100%, $E$9)</f>
        <v>151.4744</v>
      </c>
      <c r="L1059" s="14">
        <f>CHOOSE(CONTROL!$C$42, 151.6691, 151.6691) * CHOOSE(CONTROL!$C$21, $C$9, 100%, $E$9)</f>
        <v>151.66909999999999</v>
      </c>
      <c r="M1059" s="14">
        <f>CHOOSE(CONTROL!$C$42, 147.9008, 147.9008) * CHOOSE(CONTROL!$C$21, $C$9, 100%, $E$9)</f>
        <v>147.9008</v>
      </c>
      <c r="N1059" s="14">
        <f>CHOOSE(CONTROL!$C$42, 147.9167, 147.9167) * CHOOSE(CONTROL!$C$21, $C$9, 100%, $E$9)</f>
        <v>147.91669999999999</v>
      </c>
      <c r="O1059" s="14">
        <f>CHOOSE(CONTROL!$C$42, 147.9943, 147.9943) * CHOOSE(CONTROL!$C$21, $C$9, 100%, $E$9)</f>
        <v>147.99430000000001</v>
      </c>
      <c r="P1059" s="14">
        <f>CHOOSE(CONTROL!$C$42, 148.3729, 148.3729) * CHOOSE(CONTROL!$C$21, $C$9, 100%, $E$9)</f>
        <v>148.37289999999999</v>
      </c>
      <c r="Q1059" s="14">
        <f>CHOOSE(CONTROL!$C$42, 148.589, 148.589) * CHOOSE(CONTROL!$C$21, $C$9, 100%, $E$9)</f>
        <v>148.589</v>
      </c>
      <c r="R1059" s="14">
        <f>CHOOSE(CONTROL!$C$42, 149.5474, 149.5474) * CHOOSE(CONTROL!$C$21, $C$9, 100%, $E$9)</f>
        <v>149.54740000000001</v>
      </c>
      <c r="S1059" s="14">
        <f>CHOOSE(CONTROL!$C$42, 145.0827, 145.0827) * CHOOSE(CONTROL!$C$21, $C$9, 100%, $E$9)</f>
        <v>145.08269999999999</v>
      </c>
      <c r="T10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7">
        <f>(1000*CHOOSE(CONTROL!$C$42, 695, 695)*CHOOSE(CONTROL!$C$42, 0.5599, 0.5599)*CHOOSE(CONTROL!$C$42, 31, 31))/1000000</f>
        <v>12.063045499999998</v>
      </c>
      <c r="V1059" s="57">
        <f>(1000*CHOOSE(CONTROL!$C$42, 500, 500)*CHOOSE(CONTROL!$C$42, 0.275, 0.275)*CHOOSE(CONTROL!$C$42, 31, 31))/1000000</f>
        <v>4.2625000000000002</v>
      </c>
      <c r="W1059" s="57">
        <f>(1000*CHOOSE(CONTROL!$C$42, 0.1146, 0.1146)*CHOOSE(CONTROL!$C$42, 121.5, 121.5)*CHOOSE(CONTROL!$C$42, 31, 31))/1000000</f>
        <v>0.43164089999999994</v>
      </c>
      <c r="X1059" s="57">
        <f>(31*0.1790888*100000/1000000)+(31*0.2374*100000/1000000)</f>
        <v>1.2911152800000001</v>
      </c>
      <c r="Y1059" s="57"/>
      <c r="Z1059" s="14"/>
      <c r="AA1059" s="56"/>
      <c r="AB1059" s="50">
        <f>(B1059*122.58+C1059*297.941+D1059*89.177+E1059*40.302+F1059*40+G1059*160+H1059*0+I1059*100+J1059*300)/(122.58+297.941+89.177+40.302+0+40+160+100+300)</f>
        <v>151.04664945008696</v>
      </c>
      <c r="AC1059" s="45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148.01202086330935</v>
      </c>
    </row>
    <row r="1060" spans="1:29" ht="15.75" x14ac:dyDescent="0.25">
      <c r="A1060" s="32">
        <v>73170</v>
      </c>
      <c r="B1060" s="14">
        <f>CHOOSE(CONTROL!$C$42, 150.5443, 150.5443) * CHOOSE(CONTROL!$C$21, $C$9, 100%, $E$9)</f>
        <v>150.54429999999999</v>
      </c>
      <c r="C1060" s="14">
        <f>CHOOSE(CONTROL!$C$42, 150.5487, 150.5487) * CHOOSE(CONTROL!$C$21, $C$9, 100%, $E$9)</f>
        <v>150.5487</v>
      </c>
      <c r="D1060" s="14">
        <f>CHOOSE(CONTROL!$C$42, 150.7569, 150.7569) * CHOOSE(CONTROL!$C$21, $C$9, 100%, $E$9)</f>
        <v>150.7569</v>
      </c>
      <c r="E1060" s="14">
        <f>CHOOSE(CONTROL!$C$42, 150.789, 150.789) * CHOOSE(CONTROL!$C$21, $C$9, 100%, $E$9)</f>
        <v>150.78899999999999</v>
      </c>
      <c r="F1060" s="14">
        <f>CHOOSE(CONTROL!$C$42, 150.5316, 150.5316)*CHOOSE(CONTROL!$C$21, $C$9, 100%, $E$9)</f>
        <v>150.5316</v>
      </c>
      <c r="G1060" s="14">
        <f>CHOOSE(CONTROL!$C$42, 150.5476, 150.5476)*CHOOSE(CONTROL!$C$21, $C$9, 100%, $E$9)</f>
        <v>150.54759999999999</v>
      </c>
      <c r="H1060" s="14">
        <f>CHOOSE(CONTROL!$C$42, 150.7788, 150.7788) * CHOOSE(CONTROL!$C$21, $C$9, 100%, $E$9)</f>
        <v>150.77879999999999</v>
      </c>
      <c r="I1060" s="14">
        <f>CHOOSE(CONTROL!$C$42, 151.0252, 151.0252)* CHOOSE(CONTROL!$C$21, $C$9, 100%, $E$9)</f>
        <v>151.02520000000001</v>
      </c>
      <c r="J1060" s="14">
        <f>CHOOSE(CONTROL!$C$42, 150.5246, 150.5246)* CHOOSE(CONTROL!$C$21, $C$9, 100%, $E$9)</f>
        <v>150.52459999999999</v>
      </c>
      <c r="K1060" s="53">
        <f>CHOOSE(CONTROL!$C$42, 151.0213, 151.0213) * CHOOSE(CONTROL!$C$21, $C$9, 100%, $E$9)</f>
        <v>151.0213</v>
      </c>
      <c r="L1060" s="14">
        <f>CHOOSE(CONTROL!$C$42, 151.3658, 151.3658) * CHOOSE(CONTROL!$C$21, $C$9, 100%, $E$9)</f>
        <v>151.36580000000001</v>
      </c>
      <c r="M1060" s="14">
        <f>CHOOSE(CONTROL!$C$42, 147.4481, 147.4481) * CHOOSE(CONTROL!$C$21, $C$9, 100%, $E$9)</f>
        <v>147.44810000000001</v>
      </c>
      <c r="N1060" s="14">
        <f>CHOOSE(CONTROL!$C$42, 147.4638, 147.4638) * CHOOSE(CONTROL!$C$21, $C$9, 100%, $E$9)</f>
        <v>147.46379999999999</v>
      </c>
      <c r="O1060" s="14">
        <f>CHOOSE(CONTROL!$C$42, 147.6971, 147.6971) * CHOOSE(CONTROL!$C$21, $C$9, 100%, $E$9)</f>
        <v>147.69710000000001</v>
      </c>
      <c r="P1060" s="14">
        <f>CHOOSE(CONTROL!$C$42, 147.9291, 147.9291) * CHOOSE(CONTROL!$C$21, $C$9, 100%, $E$9)</f>
        <v>147.92910000000001</v>
      </c>
      <c r="Q1060" s="14">
        <f>CHOOSE(CONTROL!$C$42, 148.2918, 148.2918) * CHOOSE(CONTROL!$C$21, $C$9, 100%, $E$9)</f>
        <v>148.29179999999999</v>
      </c>
      <c r="R1060" s="14">
        <f>CHOOSE(CONTROL!$C$42, 149.2495, 149.2495) * CHOOSE(CONTROL!$C$21, $C$9, 100%, $E$9)</f>
        <v>149.24950000000001</v>
      </c>
      <c r="S1060" s="14">
        <f>CHOOSE(CONTROL!$C$42, 144.6487, 144.6487) * CHOOSE(CONTROL!$C$21, $C$9, 100%, $E$9)</f>
        <v>144.64869999999999</v>
      </c>
      <c r="T10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7">
        <f>(1000*CHOOSE(CONTROL!$C$42, 695, 695)*CHOOSE(CONTROL!$C$42, 0.5599, 0.5599)*CHOOSE(CONTROL!$C$42, 30, 30))/1000000</f>
        <v>11.673914999999997</v>
      </c>
      <c r="V1060" s="57">
        <f>(1000*CHOOSE(CONTROL!$C$42, 500, 500)*CHOOSE(CONTROL!$C$42, 0.275, 0.275)*CHOOSE(CONTROL!$C$42, 30, 30))/1000000</f>
        <v>4.125</v>
      </c>
      <c r="W1060" s="57">
        <f>(1000*CHOOSE(CONTROL!$C$42, 0.1146, 0.1146)*CHOOSE(CONTROL!$C$42, 121.5, 121.5)*CHOOSE(CONTROL!$C$42, 30, 30))/1000000</f>
        <v>0.417717</v>
      </c>
      <c r="X1060" s="57">
        <f>(30*0.1790888*245000/1000000)+(30*0.2374*100000/1000000)</f>
        <v>2.0285026799999999</v>
      </c>
      <c r="Y1060" s="57"/>
      <c r="Z1060" s="14"/>
      <c r="AA1060" s="56"/>
      <c r="AB1060" s="50">
        <f>(B1060*141.293+C1060*267.993+D1060*115.016+E1060*89.698+F1060*40+G1060*185+H1060*0+I1060*100+J1060*300)/(141.293+267.993+115.016+89.698+0+40+185+100+300)</f>
        <v>150.61682879047618</v>
      </c>
      <c r="AC1060" s="45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147.63106834532377</v>
      </c>
    </row>
    <row r="1061" spans="1:29" ht="15.75" x14ac:dyDescent="0.25">
      <c r="A1061" s="32">
        <v>73201</v>
      </c>
      <c r="B1061" s="14">
        <f>CHOOSE(CONTROL!$C$42, 151.8743, 151.8743) * CHOOSE(CONTROL!$C$21, $C$9, 100%, $E$9)</f>
        <v>151.87430000000001</v>
      </c>
      <c r="C1061" s="14">
        <f>CHOOSE(CONTROL!$C$42, 151.8823, 151.8823) * CHOOSE(CONTROL!$C$21, $C$9, 100%, $E$9)</f>
        <v>151.88229999999999</v>
      </c>
      <c r="D1061" s="14">
        <f>CHOOSE(CONTROL!$C$42, 152.0873, 152.0873) * CHOOSE(CONTROL!$C$21, $C$9, 100%, $E$9)</f>
        <v>152.0873</v>
      </c>
      <c r="E1061" s="14">
        <f>CHOOSE(CONTROL!$C$42, 152.1188, 152.1188) * CHOOSE(CONTROL!$C$21, $C$9, 100%, $E$9)</f>
        <v>152.11879999999999</v>
      </c>
      <c r="F1061" s="14">
        <f>CHOOSE(CONTROL!$C$42, 151.8605, 151.8605)*CHOOSE(CONTROL!$C$21, $C$9, 100%, $E$9)</f>
        <v>151.8605</v>
      </c>
      <c r="G1061" s="14">
        <f>CHOOSE(CONTROL!$C$42, 151.8769, 151.8769)*CHOOSE(CONTROL!$C$21, $C$9, 100%, $E$9)</f>
        <v>151.87690000000001</v>
      </c>
      <c r="H1061" s="14">
        <f>CHOOSE(CONTROL!$C$42, 152.1074, 152.1074) * CHOOSE(CONTROL!$C$21, $C$9, 100%, $E$9)</f>
        <v>152.10740000000001</v>
      </c>
      <c r="I1061" s="14">
        <f>CHOOSE(CONTROL!$C$42, 152.358, 152.358)* CHOOSE(CONTROL!$C$21, $C$9, 100%, $E$9)</f>
        <v>152.358</v>
      </c>
      <c r="J1061" s="14">
        <f>CHOOSE(CONTROL!$C$42, 151.8535, 151.8535)* CHOOSE(CONTROL!$C$21, $C$9, 100%, $E$9)</f>
        <v>151.8535</v>
      </c>
      <c r="K1061" s="53">
        <f>CHOOSE(CONTROL!$C$42, 152.3541, 152.3541) * CHOOSE(CONTROL!$C$21, $C$9, 100%, $E$9)</f>
        <v>152.35409999999999</v>
      </c>
      <c r="L1061" s="14">
        <f>CHOOSE(CONTROL!$C$42, 152.6944, 152.6944) * CHOOSE(CONTROL!$C$21, $C$9, 100%, $E$9)</f>
        <v>152.6944</v>
      </c>
      <c r="M1061" s="14">
        <f>CHOOSE(CONTROL!$C$42, 148.7498, 148.7498) * CHOOSE(CONTROL!$C$21, $C$9, 100%, $E$9)</f>
        <v>148.74979999999999</v>
      </c>
      <c r="N1061" s="14">
        <f>CHOOSE(CONTROL!$C$42, 148.7659, 148.7659) * CHOOSE(CONTROL!$C$21, $C$9, 100%, $E$9)</f>
        <v>148.76589999999999</v>
      </c>
      <c r="O1061" s="14">
        <f>CHOOSE(CONTROL!$C$42, 148.9985, 148.9985) * CHOOSE(CONTROL!$C$21, $C$9, 100%, $E$9)</f>
        <v>148.99850000000001</v>
      </c>
      <c r="P1061" s="14">
        <f>CHOOSE(CONTROL!$C$42, 149.2345, 149.2345) * CHOOSE(CONTROL!$C$21, $C$9, 100%, $E$9)</f>
        <v>149.2345</v>
      </c>
      <c r="Q1061" s="14">
        <f>CHOOSE(CONTROL!$C$42, 149.5932, 149.5932) * CHOOSE(CONTROL!$C$21, $C$9, 100%, $E$9)</f>
        <v>149.5932</v>
      </c>
      <c r="R1061" s="14">
        <f>CHOOSE(CONTROL!$C$42, 150.5542, 150.5542) * CHOOSE(CONTROL!$C$21, $C$9, 100%, $E$9)</f>
        <v>150.55420000000001</v>
      </c>
      <c r="S1061" s="14">
        <f>CHOOSE(CONTROL!$C$42, 145.9254, 145.9254) * CHOOSE(CONTROL!$C$21, $C$9, 100%, $E$9)</f>
        <v>145.9254</v>
      </c>
      <c r="T10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7">
        <f>(1000*CHOOSE(CONTROL!$C$42, 695, 695)*CHOOSE(CONTROL!$C$42, 0.5599, 0.5599)*CHOOSE(CONTROL!$C$42, 31, 31))/1000000</f>
        <v>12.063045499999998</v>
      </c>
      <c r="V1061" s="57">
        <f>(1000*CHOOSE(CONTROL!$C$42, 500, 500)*CHOOSE(CONTROL!$C$42, 0.275, 0.275)*CHOOSE(CONTROL!$C$42, 31, 31))/1000000</f>
        <v>4.2625000000000002</v>
      </c>
      <c r="W1061" s="57">
        <f>(1000*CHOOSE(CONTROL!$C$42, 0.1146, 0.1146)*CHOOSE(CONTROL!$C$42, 121.5, 121.5)*CHOOSE(CONTROL!$C$42, 31, 31))/1000000</f>
        <v>0.43164089999999994</v>
      </c>
      <c r="X1061" s="57">
        <f>(31*0.1790888*245000/1000000)+(31*0.2374*100000/1000000)</f>
        <v>2.0961194359999999</v>
      </c>
      <c r="Y1061" s="57"/>
      <c r="Z1061" s="14"/>
      <c r="AA1061" s="56"/>
      <c r="AB1061" s="50">
        <f>(B1061*194.205+C1061*267.466+D1061*133.845+E1061*53.484+F1061*40+G1061*185+H1061*0+I1061*100+J1061*300)/(194.205+267.466+133.845+53.484+0+40+185+100+300)</f>
        <v>151.94163481240187</v>
      </c>
      <c r="AC1061" s="45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148.93318776978415</v>
      </c>
    </row>
    <row r="1062" spans="1:29" ht="15.75" x14ac:dyDescent="0.25">
      <c r="A1062" s="32">
        <v>73231</v>
      </c>
      <c r="B1062" s="14">
        <f>CHOOSE(CONTROL!$C$42, 156.1821, 156.1821) * CHOOSE(CONTROL!$C$21, $C$9, 100%, $E$9)</f>
        <v>156.18209999999999</v>
      </c>
      <c r="C1062" s="14">
        <f>CHOOSE(CONTROL!$C$42, 156.1901, 156.1901) * CHOOSE(CONTROL!$C$21, $C$9, 100%, $E$9)</f>
        <v>156.1901</v>
      </c>
      <c r="D1062" s="14">
        <f>CHOOSE(CONTROL!$C$42, 156.3951, 156.3951) * CHOOSE(CONTROL!$C$21, $C$9, 100%, $E$9)</f>
        <v>156.39510000000001</v>
      </c>
      <c r="E1062" s="14">
        <f>CHOOSE(CONTROL!$C$42, 156.4265, 156.4265) * CHOOSE(CONTROL!$C$21, $C$9, 100%, $E$9)</f>
        <v>156.4265</v>
      </c>
      <c r="F1062" s="14">
        <f>CHOOSE(CONTROL!$C$42, 156.1686, 156.1686)*CHOOSE(CONTROL!$C$21, $C$9, 100%, $E$9)</f>
        <v>156.1686</v>
      </c>
      <c r="G1062" s="14">
        <f>CHOOSE(CONTROL!$C$42, 156.1852, 156.1852)*CHOOSE(CONTROL!$C$21, $C$9, 100%, $E$9)</f>
        <v>156.18520000000001</v>
      </c>
      <c r="H1062" s="14">
        <f>CHOOSE(CONTROL!$C$42, 156.4152, 156.4152) * CHOOSE(CONTROL!$C$21, $C$9, 100%, $E$9)</f>
        <v>156.4152</v>
      </c>
      <c r="I1062" s="14">
        <f>CHOOSE(CONTROL!$C$42, 156.6793, 156.6793)* CHOOSE(CONTROL!$C$21, $C$9, 100%, $E$9)</f>
        <v>156.67930000000001</v>
      </c>
      <c r="J1062" s="14">
        <f>CHOOSE(CONTROL!$C$42, 156.1616, 156.1616)* CHOOSE(CONTROL!$C$21, $C$9, 100%, $E$9)</f>
        <v>156.16159999999999</v>
      </c>
      <c r="K1062" s="53">
        <f>CHOOSE(CONTROL!$C$42, 156.6754, 156.6754) * CHOOSE(CONTROL!$C$21, $C$9, 100%, $E$9)</f>
        <v>156.6754</v>
      </c>
      <c r="L1062" s="14">
        <f>CHOOSE(CONTROL!$C$42, 157.0022, 157.0022) * CHOOSE(CONTROL!$C$21, $C$9, 100%, $E$9)</f>
        <v>157.00219999999999</v>
      </c>
      <c r="M1062" s="14">
        <f>CHOOSE(CONTROL!$C$42, 152.9697, 152.9697) * CHOOSE(CONTROL!$C$21, $C$9, 100%, $E$9)</f>
        <v>152.96969999999999</v>
      </c>
      <c r="N1062" s="14">
        <f>CHOOSE(CONTROL!$C$42, 152.9859, 152.9859) * CHOOSE(CONTROL!$C$21, $C$9, 100%, $E$9)</f>
        <v>152.98589999999999</v>
      </c>
      <c r="O1062" s="14">
        <f>CHOOSE(CONTROL!$C$42, 153.218, 153.218) * CHOOSE(CONTROL!$C$21, $C$9, 100%, $E$9)</f>
        <v>153.21799999999999</v>
      </c>
      <c r="P1062" s="14">
        <f>CHOOSE(CONTROL!$C$42, 153.4669, 153.4669) * CHOOSE(CONTROL!$C$21, $C$9, 100%, $E$9)</f>
        <v>153.46690000000001</v>
      </c>
      <c r="Q1062" s="14">
        <f>CHOOSE(CONTROL!$C$42, 153.8127, 153.8127) * CHOOSE(CONTROL!$C$21, $C$9, 100%, $E$9)</f>
        <v>153.81270000000001</v>
      </c>
      <c r="R1062" s="14">
        <f>CHOOSE(CONTROL!$C$42, 154.7843, 154.7843) * CHOOSE(CONTROL!$C$21, $C$9, 100%, $E$9)</f>
        <v>154.7843</v>
      </c>
      <c r="S1062" s="14">
        <f>CHOOSE(CONTROL!$C$42, 150.0647, 150.0647) * CHOOSE(CONTROL!$C$21, $C$9, 100%, $E$9)</f>
        <v>150.06469999999999</v>
      </c>
      <c r="T10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7">
        <f>(1000*CHOOSE(CONTROL!$C$42, 695, 695)*CHOOSE(CONTROL!$C$42, 0.5599, 0.5599)*CHOOSE(CONTROL!$C$42, 30, 30))/1000000</f>
        <v>11.673914999999997</v>
      </c>
      <c r="V1062" s="57">
        <f>(1000*CHOOSE(CONTROL!$C$42, 500, 500)*CHOOSE(CONTROL!$C$42, 0.275, 0.275)*CHOOSE(CONTROL!$C$42, 30, 30))/1000000</f>
        <v>4.125</v>
      </c>
      <c r="W1062" s="57">
        <f>(1000*CHOOSE(CONTROL!$C$42, 0.1146, 0.1146)*CHOOSE(CONTROL!$C$42, 121.5, 121.5)*CHOOSE(CONTROL!$C$42, 30, 30))/1000000</f>
        <v>0.417717</v>
      </c>
      <c r="X1062" s="57">
        <f>(30*0.1790888*245000/1000000)+(30*0.2374*100000/1000000)</f>
        <v>2.0285026799999999</v>
      </c>
      <c r="Y1062" s="57"/>
      <c r="Z1062" s="14"/>
      <c r="AA1062" s="56"/>
      <c r="AB1062" s="50">
        <f>(B1062*194.205+C1062*267.466+D1062*133.845+E1062*53.484+F1062*40+G1062*185+H1062*0+I1062*100+J1062*300)/(194.205+267.466+133.845+53.484+0+40+185+100+300)</f>
        <v>156.25064293767659</v>
      </c>
      <c r="AC1062" s="45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153.15471079136691</v>
      </c>
    </row>
    <row r="1063" spans="1:29" ht="15.75" x14ac:dyDescent="0.25">
      <c r="A1063" s="32">
        <v>73262</v>
      </c>
      <c r="B1063" s="14">
        <f>CHOOSE(CONTROL!$C$42, 153.186, 153.186) * CHOOSE(CONTROL!$C$21, $C$9, 100%, $E$9)</f>
        <v>153.18600000000001</v>
      </c>
      <c r="C1063" s="14">
        <f>CHOOSE(CONTROL!$C$42, 153.194, 153.194) * CHOOSE(CONTROL!$C$21, $C$9, 100%, $E$9)</f>
        <v>153.19399999999999</v>
      </c>
      <c r="D1063" s="14">
        <f>CHOOSE(CONTROL!$C$42, 153.399, 153.399) * CHOOSE(CONTROL!$C$21, $C$9, 100%, $E$9)</f>
        <v>153.399</v>
      </c>
      <c r="E1063" s="14">
        <f>CHOOSE(CONTROL!$C$42, 153.4304, 153.4304) * CHOOSE(CONTROL!$C$21, $C$9, 100%, $E$9)</f>
        <v>153.43039999999999</v>
      </c>
      <c r="F1063" s="14">
        <f>CHOOSE(CONTROL!$C$42, 153.173, 153.173)*CHOOSE(CONTROL!$C$21, $C$9, 100%, $E$9)</f>
        <v>153.173</v>
      </c>
      <c r="G1063" s="14">
        <f>CHOOSE(CONTROL!$C$42, 153.1896, 153.1896)*CHOOSE(CONTROL!$C$21, $C$9, 100%, $E$9)</f>
        <v>153.18960000000001</v>
      </c>
      <c r="H1063" s="14">
        <f>CHOOSE(CONTROL!$C$42, 153.4191, 153.4191) * CHOOSE(CONTROL!$C$21, $C$9, 100%, $E$9)</f>
        <v>153.41909999999999</v>
      </c>
      <c r="I1063" s="14">
        <f>CHOOSE(CONTROL!$C$42, 153.6738, 153.6738)* CHOOSE(CONTROL!$C$21, $C$9, 100%, $E$9)</f>
        <v>153.6738</v>
      </c>
      <c r="J1063" s="14">
        <f>CHOOSE(CONTROL!$C$42, 153.166, 153.166)* CHOOSE(CONTROL!$C$21, $C$9, 100%, $E$9)</f>
        <v>153.166</v>
      </c>
      <c r="K1063" s="53">
        <f>CHOOSE(CONTROL!$C$42, 153.6699, 153.6699) * CHOOSE(CONTROL!$C$21, $C$9, 100%, $E$9)</f>
        <v>153.66990000000001</v>
      </c>
      <c r="L1063" s="14">
        <f>CHOOSE(CONTROL!$C$42, 154.0061, 154.0061) * CHOOSE(CONTROL!$C$21, $C$9, 100%, $E$9)</f>
        <v>154.0061</v>
      </c>
      <c r="M1063" s="14">
        <f>CHOOSE(CONTROL!$C$42, 150.0354, 150.0354) * CHOOSE(CONTROL!$C$21, $C$9, 100%, $E$9)</f>
        <v>150.03540000000001</v>
      </c>
      <c r="N1063" s="14">
        <f>CHOOSE(CONTROL!$C$42, 150.0517, 150.0517) * CHOOSE(CONTROL!$C$21, $C$9, 100%, $E$9)</f>
        <v>150.05170000000001</v>
      </c>
      <c r="O1063" s="14">
        <f>CHOOSE(CONTROL!$C$42, 150.2833, 150.2833) * CHOOSE(CONTROL!$C$21, $C$9, 100%, $E$9)</f>
        <v>150.2833</v>
      </c>
      <c r="P1063" s="14">
        <f>CHOOSE(CONTROL!$C$42, 150.5232, 150.5232) * CHOOSE(CONTROL!$C$21, $C$9, 100%, $E$9)</f>
        <v>150.5232</v>
      </c>
      <c r="Q1063" s="14">
        <f>CHOOSE(CONTROL!$C$42, 150.878, 150.878) * CHOOSE(CONTROL!$C$21, $C$9, 100%, $E$9)</f>
        <v>150.87799999999999</v>
      </c>
      <c r="R1063" s="14">
        <f>CHOOSE(CONTROL!$C$42, 151.8422, 151.8422) * CHOOSE(CONTROL!$C$21, $C$9, 100%, $E$9)</f>
        <v>151.84219999999999</v>
      </c>
      <c r="S1063" s="14">
        <f>CHOOSE(CONTROL!$C$42, 147.1858, 147.1858) * CHOOSE(CONTROL!$C$21, $C$9, 100%, $E$9)</f>
        <v>147.1858</v>
      </c>
      <c r="T10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7">
        <f>(1000*CHOOSE(CONTROL!$C$42, 695, 695)*CHOOSE(CONTROL!$C$42, 0.5599, 0.5599)*CHOOSE(CONTROL!$C$42, 31, 31))/1000000</f>
        <v>12.063045499999998</v>
      </c>
      <c r="V1063" s="57">
        <f>(1000*CHOOSE(CONTROL!$C$42, 500, 500)*CHOOSE(CONTROL!$C$42, 0.275, 0.275)*CHOOSE(CONTROL!$C$42, 31, 31))/1000000</f>
        <v>4.2625000000000002</v>
      </c>
      <c r="W1063" s="57">
        <f>(1000*CHOOSE(CONTROL!$C$42, 0.1146, 0.1146)*CHOOSE(CONTROL!$C$42, 121.5, 121.5)*CHOOSE(CONTROL!$C$42, 31, 31))/1000000</f>
        <v>0.43164089999999994</v>
      </c>
      <c r="X1063" s="57">
        <f>(31*0.1790888*245000/1000000)+(31*0.2374*100000/1000000)</f>
        <v>2.0961194359999999</v>
      </c>
      <c r="Y1063" s="57"/>
      <c r="Z1063" s="14"/>
      <c r="AA1063" s="56"/>
      <c r="AB1063" s="50">
        <f>(B1063*194.205+C1063*267.466+D1063*133.845+E1063*53.484+F1063*40+G1063*185+H1063*0+I1063*100+J1063*300)/(194.205+267.466+133.845+53.484+0+40+185+100+300)</f>
        <v>153.25401114803768</v>
      </c>
      <c r="AC1063" s="45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150.21888273381293</v>
      </c>
    </row>
    <row r="1064" spans="1:29" ht="15.75" x14ac:dyDescent="0.25">
      <c r="A1064" s="32">
        <v>73293</v>
      </c>
      <c r="B1064" s="14">
        <f>CHOOSE(CONTROL!$C$42, 145.6199, 145.6199) * CHOOSE(CONTROL!$C$21, $C$9, 100%, $E$9)</f>
        <v>145.6199</v>
      </c>
      <c r="C1064" s="14">
        <f>CHOOSE(CONTROL!$C$42, 145.6279, 145.6279) * CHOOSE(CONTROL!$C$21, $C$9, 100%, $E$9)</f>
        <v>145.62790000000001</v>
      </c>
      <c r="D1064" s="14">
        <f>CHOOSE(CONTROL!$C$42, 145.8329, 145.8329) * CHOOSE(CONTROL!$C$21, $C$9, 100%, $E$9)</f>
        <v>145.8329</v>
      </c>
      <c r="E1064" s="14">
        <f>CHOOSE(CONTROL!$C$42, 145.8644, 145.8644) * CHOOSE(CONTROL!$C$21, $C$9, 100%, $E$9)</f>
        <v>145.86439999999999</v>
      </c>
      <c r="F1064" s="14">
        <f>CHOOSE(CONTROL!$C$42, 145.6071, 145.6071)*CHOOSE(CONTROL!$C$21, $C$9, 100%, $E$9)</f>
        <v>145.6071</v>
      </c>
      <c r="G1064" s="14">
        <f>CHOOSE(CONTROL!$C$42, 145.6238, 145.6238)*CHOOSE(CONTROL!$C$21, $C$9, 100%, $E$9)</f>
        <v>145.62379999999999</v>
      </c>
      <c r="H1064" s="14">
        <f>CHOOSE(CONTROL!$C$42, 145.853, 145.853) * CHOOSE(CONTROL!$C$21, $C$9, 100%, $E$9)</f>
        <v>145.85300000000001</v>
      </c>
      <c r="I1064" s="14">
        <f>CHOOSE(CONTROL!$C$42, 146.084, 146.084)* CHOOSE(CONTROL!$C$21, $C$9, 100%, $E$9)</f>
        <v>146.084</v>
      </c>
      <c r="J1064" s="14">
        <f>CHOOSE(CONTROL!$C$42, 145.6001, 145.6001)* CHOOSE(CONTROL!$C$21, $C$9, 100%, $E$9)</f>
        <v>145.6001</v>
      </c>
      <c r="K1064" s="53">
        <f>CHOOSE(CONTROL!$C$42, 146.0801, 146.0801) * CHOOSE(CONTROL!$C$21, $C$9, 100%, $E$9)</f>
        <v>146.08009999999999</v>
      </c>
      <c r="L1064" s="14">
        <f>CHOOSE(CONTROL!$C$42, 146.44, 146.44) * CHOOSE(CONTROL!$C$21, $C$9, 100%, $E$9)</f>
        <v>146.44</v>
      </c>
      <c r="M1064" s="14">
        <f>CHOOSE(CONTROL!$C$42, 142.6245, 142.6245) * CHOOSE(CONTROL!$C$21, $C$9, 100%, $E$9)</f>
        <v>142.62450000000001</v>
      </c>
      <c r="N1064" s="14">
        <f>CHOOSE(CONTROL!$C$42, 142.6409, 142.6409) * CHOOSE(CONTROL!$C$21, $C$9, 100%, $E$9)</f>
        <v>142.64089999999999</v>
      </c>
      <c r="O1064" s="14">
        <f>CHOOSE(CONTROL!$C$42, 142.8723, 142.8723) * CHOOSE(CONTROL!$C$21, $C$9, 100%, $E$9)</f>
        <v>142.8723</v>
      </c>
      <c r="P1064" s="14">
        <f>CHOOSE(CONTROL!$C$42, 143.0894, 143.0894) * CHOOSE(CONTROL!$C$21, $C$9, 100%, $E$9)</f>
        <v>143.08940000000001</v>
      </c>
      <c r="Q1064" s="14">
        <f>CHOOSE(CONTROL!$C$42, 143.467, 143.467) * CHOOSE(CONTROL!$C$21, $C$9, 100%, $E$9)</f>
        <v>143.46700000000001</v>
      </c>
      <c r="R1064" s="14">
        <f>CHOOSE(CONTROL!$C$42, 144.4126, 144.4126) * CHOOSE(CONTROL!$C$21, $C$9, 100%, $E$9)</f>
        <v>144.4126</v>
      </c>
      <c r="S1064" s="14">
        <f>CHOOSE(CONTROL!$C$42, 139.9155, 139.9155) * CHOOSE(CONTROL!$C$21, $C$9, 100%, $E$9)</f>
        <v>139.91550000000001</v>
      </c>
      <c r="T10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7">
        <f>(1000*CHOOSE(CONTROL!$C$42, 695, 695)*CHOOSE(CONTROL!$C$42, 0.5599, 0.5599)*CHOOSE(CONTROL!$C$42, 31, 31))/1000000</f>
        <v>12.063045499999998</v>
      </c>
      <c r="V1064" s="57">
        <f>(1000*CHOOSE(CONTROL!$C$42, 500, 500)*CHOOSE(CONTROL!$C$42, 0.275, 0.275)*CHOOSE(CONTROL!$C$42, 31, 31))/1000000</f>
        <v>4.2625000000000002</v>
      </c>
      <c r="W1064" s="57">
        <f>(1000*CHOOSE(CONTROL!$C$42, 0.1146, 0.1146)*CHOOSE(CONTROL!$C$42, 121.5, 121.5)*CHOOSE(CONTROL!$C$42, 31, 31))/1000000</f>
        <v>0.43164089999999994</v>
      </c>
      <c r="X1064" s="57">
        <f>(31*0.1790888*245000/1000000)+(31*0.2374*100000/1000000)</f>
        <v>2.0961194359999999</v>
      </c>
      <c r="Y1064" s="57"/>
      <c r="Z1064" s="14"/>
      <c r="AA1064" s="56"/>
      <c r="AB1064" s="50">
        <f>(B1064*194.205+C1064*267.466+D1064*133.845+E1064*53.484+F1064*40+G1064*185+H1064*0+I1064*100+J1064*300)/(194.205+267.466+133.845+53.484+0+40+185+100+300)</f>
        <v>145.68615200235479</v>
      </c>
      <c r="AC1064" s="45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142.80464820143885</v>
      </c>
    </row>
    <row r="1065" spans="1:29" ht="15.75" x14ac:dyDescent="0.25">
      <c r="A1065" s="32">
        <v>73323</v>
      </c>
      <c r="B1065" s="14">
        <f>CHOOSE(CONTROL!$C$42, 136.3752, 136.3752) * CHOOSE(CONTROL!$C$21, $C$9, 100%, $E$9)</f>
        <v>136.37520000000001</v>
      </c>
      <c r="C1065" s="14">
        <f>CHOOSE(CONTROL!$C$42, 136.3832, 136.3832) * CHOOSE(CONTROL!$C$21, $C$9, 100%, $E$9)</f>
        <v>136.38319999999999</v>
      </c>
      <c r="D1065" s="14">
        <f>CHOOSE(CONTROL!$C$42, 136.5882, 136.5882) * CHOOSE(CONTROL!$C$21, $C$9, 100%, $E$9)</f>
        <v>136.5882</v>
      </c>
      <c r="E1065" s="14">
        <f>CHOOSE(CONTROL!$C$42, 136.6196, 136.6196) * CHOOSE(CONTROL!$C$21, $C$9, 100%, $E$9)</f>
        <v>136.61959999999999</v>
      </c>
      <c r="F1065" s="14">
        <f>CHOOSE(CONTROL!$C$42, 136.3623, 136.3623)*CHOOSE(CONTROL!$C$21, $C$9, 100%, $E$9)</f>
        <v>136.3623</v>
      </c>
      <c r="G1065" s="14">
        <f>CHOOSE(CONTROL!$C$42, 136.379, 136.379)*CHOOSE(CONTROL!$C$21, $C$9, 100%, $E$9)</f>
        <v>136.37899999999999</v>
      </c>
      <c r="H1065" s="14">
        <f>CHOOSE(CONTROL!$C$42, 136.6083, 136.6083) * CHOOSE(CONTROL!$C$21, $C$9, 100%, $E$9)</f>
        <v>136.60830000000001</v>
      </c>
      <c r="I1065" s="14">
        <f>CHOOSE(CONTROL!$C$42, 136.8103, 136.8103)* CHOOSE(CONTROL!$C$21, $C$9, 100%, $E$9)</f>
        <v>136.81030000000001</v>
      </c>
      <c r="J1065" s="14">
        <f>CHOOSE(CONTROL!$C$42, 136.3553, 136.3553)* CHOOSE(CONTROL!$C$21, $C$9, 100%, $E$9)</f>
        <v>136.3553</v>
      </c>
      <c r="K1065" s="53">
        <f>CHOOSE(CONTROL!$C$42, 136.8064, 136.8064) * CHOOSE(CONTROL!$C$21, $C$9, 100%, $E$9)</f>
        <v>136.8064</v>
      </c>
      <c r="L1065" s="14">
        <f>CHOOSE(CONTROL!$C$42, 137.1953, 137.1953) * CHOOSE(CONTROL!$C$21, $C$9, 100%, $E$9)</f>
        <v>137.1953</v>
      </c>
      <c r="M1065" s="14">
        <f>CHOOSE(CONTROL!$C$42, 133.5692, 133.5692) * CHOOSE(CONTROL!$C$21, $C$9, 100%, $E$9)</f>
        <v>133.5692</v>
      </c>
      <c r="N1065" s="14">
        <f>CHOOSE(CONTROL!$C$42, 133.5855, 133.5855) * CHOOSE(CONTROL!$C$21, $C$9, 100%, $E$9)</f>
        <v>133.5855</v>
      </c>
      <c r="O1065" s="14">
        <f>CHOOSE(CONTROL!$C$42, 133.817, 133.817) * CHOOSE(CONTROL!$C$21, $C$9, 100%, $E$9)</f>
        <v>133.81700000000001</v>
      </c>
      <c r="P1065" s="14">
        <f>CHOOSE(CONTROL!$C$42, 134.0064, 134.0064) * CHOOSE(CONTROL!$C$21, $C$9, 100%, $E$9)</f>
        <v>134.00640000000001</v>
      </c>
      <c r="Q1065" s="14">
        <f>CHOOSE(CONTROL!$C$42, 134.4117, 134.4117) * CHOOSE(CONTROL!$C$21, $C$9, 100%, $E$9)</f>
        <v>134.4117</v>
      </c>
      <c r="R1065" s="14">
        <f>CHOOSE(CONTROL!$C$42, 135.3347, 135.3347) * CHOOSE(CONTROL!$C$21, $C$9, 100%, $E$9)</f>
        <v>135.3347</v>
      </c>
      <c r="S1065" s="14">
        <f>CHOOSE(CONTROL!$C$42, 131.0323, 131.0323) * CHOOSE(CONTROL!$C$21, $C$9, 100%, $E$9)</f>
        <v>131.03229999999999</v>
      </c>
      <c r="T10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7">
        <f>(1000*CHOOSE(CONTROL!$C$42, 695, 695)*CHOOSE(CONTROL!$C$42, 0.5599, 0.5599)*CHOOSE(CONTROL!$C$42, 30, 30))/1000000</f>
        <v>11.673914999999997</v>
      </c>
      <c r="V1065" s="57">
        <f>(1000*CHOOSE(CONTROL!$C$42, 500, 500)*CHOOSE(CONTROL!$C$42, 0.275, 0.275)*CHOOSE(CONTROL!$C$42, 30, 30))/1000000</f>
        <v>4.125</v>
      </c>
      <c r="W1065" s="57">
        <f>(1000*CHOOSE(CONTROL!$C$42, 0.1146, 0.1146)*CHOOSE(CONTROL!$C$42, 121.5, 121.5)*CHOOSE(CONTROL!$C$42, 30, 30))/1000000</f>
        <v>0.417717</v>
      </c>
      <c r="X1065" s="57">
        <f>(30*0.1790888*245000/1000000)+(30*0.2374*100000/1000000)</f>
        <v>2.0285026799999999</v>
      </c>
      <c r="Y1065" s="57"/>
      <c r="Z1065" s="14"/>
      <c r="AA1065" s="56"/>
      <c r="AB1065" s="50">
        <f>(B1065*194.205+C1065*267.466+D1065*133.845+E1065*53.484+F1065*40+G1065*185+H1065*0+I1065*100+J1065*300)/(194.205+267.466+133.845+53.484+0+40+185+100+300)</f>
        <v>136.43913030031396</v>
      </c>
      <c r="AC1065" s="45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133.74535683453237</v>
      </c>
    </row>
    <row r="1066" spans="1:29" ht="15.75" x14ac:dyDescent="0.25">
      <c r="A1066" s="32">
        <v>73354</v>
      </c>
      <c r="B1066" s="14">
        <f>CHOOSE(CONTROL!$C$42, 133.6047, 133.6047) * CHOOSE(CONTROL!$C$21, $C$9, 100%, $E$9)</f>
        <v>133.60470000000001</v>
      </c>
      <c r="C1066" s="14">
        <f>CHOOSE(CONTROL!$C$42, 133.61, 133.61) * CHOOSE(CONTROL!$C$21, $C$9, 100%, $E$9)</f>
        <v>133.61000000000001</v>
      </c>
      <c r="D1066" s="14">
        <f>CHOOSE(CONTROL!$C$42, 133.82, 133.82) * CHOOSE(CONTROL!$C$21, $C$9, 100%, $E$9)</f>
        <v>133.82</v>
      </c>
      <c r="E1066" s="14">
        <f>CHOOSE(CONTROL!$C$42, 133.8491, 133.8491) * CHOOSE(CONTROL!$C$21, $C$9, 100%, $E$9)</f>
        <v>133.84909999999999</v>
      </c>
      <c r="F1066" s="14">
        <f>CHOOSE(CONTROL!$C$42, 133.5939, 133.5939)*CHOOSE(CONTROL!$C$21, $C$9, 100%, $E$9)</f>
        <v>133.59389999999999</v>
      </c>
      <c r="G1066" s="14">
        <f>CHOOSE(CONTROL!$C$42, 133.6103, 133.6103)*CHOOSE(CONTROL!$C$21, $C$9, 100%, $E$9)</f>
        <v>133.6103</v>
      </c>
      <c r="H1066" s="14">
        <f>CHOOSE(CONTROL!$C$42, 133.8395, 133.8395) * CHOOSE(CONTROL!$C$21, $C$9, 100%, $E$9)</f>
        <v>133.83949999999999</v>
      </c>
      <c r="I1066" s="14">
        <f>CHOOSE(CONTROL!$C$42, 134.0329, 134.0329)* CHOOSE(CONTROL!$C$21, $C$9, 100%, $E$9)</f>
        <v>134.03290000000001</v>
      </c>
      <c r="J1066" s="14">
        <f>CHOOSE(CONTROL!$C$42, 133.5869, 133.5869)* CHOOSE(CONTROL!$C$21, $C$9, 100%, $E$9)</f>
        <v>133.58690000000001</v>
      </c>
      <c r="K1066" s="53">
        <f>CHOOSE(CONTROL!$C$42, 134.029, 134.029) * CHOOSE(CONTROL!$C$21, $C$9, 100%, $E$9)</f>
        <v>134.029</v>
      </c>
      <c r="L1066" s="14">
        <f>CHOOSE(CONTROL!$C$42, 134.4265, 134.4265) * CHOOSE(CONTROL!$C$21, $C$9, 100%, $E$9)</f>
        <v>134.4265</v>
      </c>
      <c r="M1066" s="14">
        <f>CHOOSE(CONTROL!$C$42, 130.8575, 130.8575) * CHOOSE(CONTROL!$C$21, $C$9, 100%, $E$9)</f>
        <v>130.85749999999999</v>
      </c>
      <c r="N1066" s="14">
        <f>CHOOSE(CONTROL!$C$42, 130.8735, 130.8735) * CHOOSE(CONTROL!$C$21, $C$9, 100%, $E$9)</f>
        <v>130.87350000000001</v>
      </c>
      <c r="O1066" s="14">
        <f>CHOOSE(CONTROL!$C$42, 131.105, 131.105) * CHOOSE(CONTROL!$C$21, $C$9, 100%, $E$9)</f>
        <v>131.10499999999999</v>
      </c>
      <c r="P1066" s="14">
        <f>CHOOSE(CONTROL!$C$42, 131.286, 131.286) * CHOOSE(CONTROL!$C$21, $C$9, 100%, $E$9)</f>
        <v>131.286</v>
      </c>
      <c r="Q1066" s="14">
        <f>CHOOSE(CONTROL!$C$42, 131.6997, 131.6997) * CHOOSE(CONTROL!$C$21, $C$9, 100%, $E$9)</f>
        <v>131.69970000000001</v>
      </c>
      <c r="R1066" s="14">
        <f>CHOOSE(CONTROL!$C$42, 132.6159, 132.6159) * CHOOSE(CONTROL!$C$21, $C$9, 100%, $E$9)</f>
        <v>132.61590000000001</v>
      </c>
      <c r="S1066" s="14">
        <f>CHOOSE(CONTROL!$C$42, 128.3718, 128.3718) * CHOOSE(CONTROL!$C$21, $C$9, 100%, $E$9)</f>
        <v>128.37180000000001</v>
      </c>
      <c r="T10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7">
        <f>(1000*CHOOSE(CONTROL!$C$42, 695, 695)*CHOOSE(CONTROL!$C$42, 0.5599, 0.5599)*CHOOSE(CONTROL!$C$42, 31, 31))/1000000</f>
        <v>12.063045499999998</v>
      </c>
      <c r="V1066" s="57">
        <f>(1000*CHOOSE(CONTROL!$C$42, 500, 500)*CHOOSE(CONTROL!$C$42, 0.275, 0.275)*CHOOSE(CONTROL!$C$42, 31, 31))/1000000</f>
        <v>4.2625000000000002</v>
      </c>
      <c r="W1066" s="57">
        <f>(1000*CHOOSE(CONTROL!$C$42, 0.1146, 0.1146)*CHOOSE(CONTROL!$C$42, 121.5, 121.5)*CHOOSE(CONTROL!$C$42, 31, 31))/1000000</f>
        <v>0.43164089999999994</v>
      </c>
      <c r="X1066" s="57">
        <f>(31*0.1790888*245000/1000000)+(31*0.2374*100000/1000000)</f>
        <v>2.0961194359999999</v>
      </c>
      <c r="Y1066" s="57"/>
      <c r="Z1066" s="14"/>
      <c r="AA1066" s="56"/>
      <c r="AB1066" s="50">
        <f>(B1066*131.881+C1066*277.167+D1066*79.08+E1066*125.872+F1066*40+G1066*185+H1066*0+I1066*100+J1066*300)/(131.881+277.167+79.08+125.872+0+40+185+100+300)</f>
        <v>133.67519396763521</v>
      </c>
      <c r="AC1066" s="45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131.03225179856116</v>
      </c>
    </row>
    <row r="1067" spans="1:29" ht="15.75" x14ac:dyDescent="0.25">
      <c r="A1067" s="32">
        <v>73384</v>
      </c>
      <c r="B1067" s="14">
        <f>CHOOSE(CONTROL!$C$42, 137.1238, 137.1238) * CHOOSE(CONTROL!$C$21, $C$9, 100%, $E$9)</f>
        <v>137.12379999999999</v>
      </c>
      <c r="C1067" s="14">
        <f>CHOOSE(CONTROL!$C$42, 137.1289, 137.1289) * CHOOSE(CONTROL!$C$21, $C$9, 100%, $E$9)</f>
        <v>137.12889999999999</v>
      </c>
      <c r="D1067" s="14">
        <f>CHOOSE(CONTROL!$C$42, 137.1927, 137.1927) * CHOOSE(CONTROL!$C$21, $C$9, 100%, $E$9)</f>
        <v>137.1927</v>
      </c>
      <c r="E1067" s="14">
        <f>CHOOSE(CONTROL!$C$42, 137.2268, 137.2268) * CHOOSE(CONTROL!$C$21, $C$9, 100%, $E$9)</f>
        <v>137.2268</v>
      </c>
      <c r="F1067" s="14">
        <f>CHOOSE(CONTROL!$C$42, 137.126, 137.126)*CHOOSE(CONTROL!$C$21, $C$9, 100%, $E$9)</f>
        <v>137.126</v>
      </c>
      <c r="G1067" s="14">
        <f>CHOOSE(CONTROL!$C$42, 137.1427, 137.1427)*CHOOSE(CONTROL!$C$21, $C$9, 100%, $E$9)</f>
        <v>137.14269999999999</v>
      </c>
      <c r="H1067" s="14">
        <f>CHOOSE(CONTROL!$C$42, 137.216, 137.216) * CHOOSE(CONTROL!$C$21, $C$9, 100%, $E$9)</f>
        <v>137.21600000000001</v>
      </c>
      <c r="I1067" s="14">
        <f>CHOOSE(CONTROL!$C$42, 137.5671, 137.5671)* CHOOSE(CONTROL!$C$21, $C$9, 100%, $E$9)</f>
        <v>137.56710000000001</v>
      </c>
      <c r="J1067" s="14">
        <f>CHOOSE(CONTROL!$C$42, 137.119, 137.119)* CHOOSE(CONTROL!$C$21, $C$9, 100%, $E$9)</f>
        <v>137.119</v>
      </c>
      <c r="K1067" s="53">
        <f>CHOOSE(CONTROL!$C$42, 137.5632, 137.5632) * CHOOSE(CONTROL!$C$21, $C$9, 100%, $E$9)</f>
        <v>137.56319999999999</v>
      </c>
      <c r="L1067" s="14">
        <f>CHOOSE(CONTROL!$C$42, 137.803, 137.803) * CHOOSE(CONTROL!$C$21, $C$9, 100%, $E$9)</f>
        <v>137.803</v>
      </c>
      <c r="M1067" s="14">
        <f>CHOOSE(CONTROL!$C$42, 134.3173, 134.3173) * CHOOSE(CONTROL!$C$21, $C$9, 100%, $E$9)</f>
        <v>134.31729999999999</v>
      </c>
      <c r="N1067" s="14">
        <f>CHOOSE(CONTROL!$C$42, 134.3336, 134.3336) * CHOOSE(CONTROL!$C$21, $C$9, 100%, $E$9)</f>
        <v>134.33359999999999</v>
      </c>
      <c r="O1067" s="14">
        <f>CHOOSE(CONTROL!$C$42, 134.4122, 134.4122) * CHOOSE(CONTROL!$C$21, $C$9, 100%, $E$9)</f>
        <v>134.41220000000001</v>
      </c>
      <c r="P1067" s="14">
        <f>CHOOSE(CONTROL!$C$42, 134.7476, 134.7476) * CHOOSE(CONTROL!$C$21, $C$9, 100%, $E$9)</f>
        <v>134.74760000000001</v>
      </c>
      <c r="Q1067" s="14">
        <f>CHOOSE(CONTROL!$C$42, 135.0069, 135.0069) * CHOOSE(CONTROL!$C$21, $C$9, 100%, $E$9)</f>
        <v>135.0069</v>
      </c>
      <c r="R1067" s="14">
        <f>CHOOSE(CONTROL!$C$42, 135.9314, 135.9314) * CHOOSE(CONTROL!$C$21, $C$9, 100%, $E$9)</f>
        <v>135.9314</v>
      </c>
      <c r="S1067" s="14">
        <f>CHOOSE(CONTROL!$C$42, 131.7537, 131.7537) * CHOOSE(CONTROL!$C$21, $C$9, 100%, $E$9)</f>
        <v>131.75370000000001</v>
      </c>
      <c r="T10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7">
        <f>(1000*CHOOSE(CONTROL!$C$42, 695, 695)*CHOOSE(CONTROL!$C$42, 0.5599, 0.5599)*CHOOSE(CONTROL!$C$42, 30, 30))/1000000</f>
        <v>11.673914999999997</v>
      </c>
      <c r="V1067" s="57">
        <f>(1000*CHOOSE(CONTROL!$C$42, 500, 500)*CHOOSE(CONTROL!$C$42, 0.275, 0.275)*CHOOSE(CONTROL!$C$42, 30, 30))/1000000</f>
        <v>4.125</v>
      </c>
      <c r="W1067" s="57">
        <f>(1000*CHOOSE(CONTROL!$C$42, 0.1146, 0.1146)*CHOOSE(CONTROL!$C$42, 121.5, 121.5)*CHOOSE(CONTROL!$C$42, 30, 30))/1000000</f>
        <v>0.417717</v>
      </c>
      <c r="X1067" s="57">
        <f>(30*0.1790888*100000/1000000)+(30*0.2374*100000/1000000)</f>
        <v>1.2494664</v>
      </c>
      <c r="Y1067" s="57"/>
      <c r="Z1067" s="14"/>
      <c r="AA1067" s="56"/>
      <c r="AB1067" s="50">
        <f>(B1067*122.58+C1067*297.941+D1067*89.177+E1067*40.302+F1067*40+G1067*160+H1067*0+I1067*100+J1067*300)/(122.58+297.941+89.177+40.302+0+40+160+100+300)</f>
        <v>137.1740755655652</v>
      </c>
      <c r="AC1067" s="45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134.42316402877699</v>
      </c>
    </row>
    <row r="1068" spans="1:29" ht="15.75" x14ac:dyDescent="0.25">
      <c r="A1068" s="32">
        <v>73415</v>
      </c>
      <c r="B1068" s="14">
        <f>CHOOSE(CONTROL!$C$42, 146.4714, 146.4714) * CHOOSE(CONTROL!$C$21, $C$9, 100%, $E$9)</f>
        <v>146.47139999999999</v>
      </c>
      <c r="C1068" s="14">
        <f>CHOOSE(CONTROL!$C$42, 146.4764, 146.4764) * CHOOSE(CONTROL!$C$21, $C$9, 100%, $E$9)</f>
        <v>146.47640000000001</v>
      </c>
      <c r="D1068" s="14">
        <f>CHOOSE(CONTROL!$C$42, 146.5402, 146.5402) * CHOOSE(CONTROL!$C$21, $C$9, 100%, $E$9)</f>
        <v>146.5402</v>
      </c>
      <c r="E1068" s="14">
        <f>CHOOSE(CONTROL!$C$42, 146.5743, 146.5743) * CHOOSE(CONTROL!$C$21, $C$9, 100%, $E$9)</f>
        <v>146.57429999999999</v>
      </c>
      <c r="F1068" s="14">
        <f>CHOOSE(CONTROL!$C$42, 146.4757, 146.4757)*CHOOSE(CONTROL!$C$21, $C$9, 100%, $E$9)</f>
        <v>146.47569999999999</v>
      </c>
      <c r="G1068" s="14">
        <f>CHOOSE(CONTROL!$C$42, 146.4929, 146.4929)*CHOOSE(CONTROL!$C$21, $C$9, 100%, $E$9)</f>
        <v>146.49289999999999</v>
      </c>
      <c r="H1068" s="14">
        <f>CHOOSE(CONTROL!$C$42, 146.5635, 146.5635) * CHOOSE(CONTROL!$C$21, $C$9, 100%, $E$9)</f>
        <v>146.5635</v>
      </c>
      <c r="I1068" s="14">
        <f>CHOOSE(CONTROL!$C$42, 146.944, 146.944)* CHOOSE(CONTROL!$C$21, $C$9, 100%, $E$9)</f>
        <v>146.94399999999999</v>
      </c>
      <c r="J1068" s="14">
        <f>CHOOSE(CONTROL!$C$42, 146.4687, 146.4687)* CHOOSE(CONTROL!$C$21, $C$9, 100%, $E$9)</f>
        <v>146.46870000000001</v>
      </c>
      <c r="K1068" s="53">
        <f>CHOOSE(CONTROL!$C$42, 146.9401, 146.9401) * CHOOSE(CONTROL!$C$21, $C$9, 100%, $E$9)</f>
        <v>146.9401</v>
      </c>
      <c r="L1068" s="14">
        <f>CHOOSE(CONTROL!$C$42, 147.1505, 147.1505) * CHOOSE(CONTROL!$C$21, $C$9, 100%, $E$9)</f>
        <v>147.15049999999999</v>
      </c>
      <c r="M1068" s="14">
        <f>CHOOSE(CONTROL!$C$42, 143.4753, 143.4753) * CHOOSE(CONTROL!$C$21, $C$9, 100%, $E$9)</f>
        <v>143.4753</v>
      </c>
      <c r="N1068" s="14">
        <f>CHOOSE(CONTROL!$C$42, 143.4922, 143.4922) * CHOOSE(CONTROL!$C$21, $C$9, 100%, $E$9)</f>
        <v>143.4922</v>
      </c>
      <c r="O1068" s="14">
        <f>CHOOSE(CONTROL!$C$42, 143.5682, 143.5682) * CHOOSE(CONTROL!$C$21, $C$9, 100%, $E$9)</f>
        <v>143.56819999999999</v>
      </c>
      <c r="P1068" s="14">
        <f>CHOOSE(CONTROL!$C$42, 143.9317, 143.9317) * CHOOSE(CONTROL!$C$21, $C$9, 100%, $E$9)</f>
        <v>143.93170000000001</v>
      </c>
      <c r="Q1068" s="14">
        <f>CHOOSE(CONTROL!$C$42, 144.1629, 144.1629) * CHOOSE(CONTROL!$C$21, $C$9, 100%, $E$9)</f>
        <v>144.16290000000001</v>
      </c>
      <c r="R1068" s="14">
        <f>CHOOSE(CONTROL!$C$42, 145.1104, 145.1104) * CHOOSE(CONTROL!$C$21, $C$9, 100%, $E$9)</f>
        <v>145.1104</v>
      </c>
      <c r="S1068" s="14">
        <f>CHOOSE(CONTROL!$C$42, 140.7358, 140.7358) * CHOOSE(CONTROL!$C$21, $C$9, 100%, $E$9)</f>
        <v>140.73580000000001</v>
      </c>
      <c r="T10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7">
        <f>(1000*CHOOSE(CONTROL!$C$42, 695, 695)*CHOOSE(CONTROL!$C$42, 0.5599, 0.5599)*CHOOSE(CONTROL!$C$42, 31, 31))/1000000</f>
        <v>12.063045499999998</v>
      </c>
      <c r="V1068" s="57">
        <f>(1000*CHOOSE(CONTROL!$C$42, 500, 500)*CHOOSE(CONTROL!$C$42, 0.275, 0.275)*CHOOSE(CONTROL!$C$42, 31, 31))/1000000</f>
        <v>4.2625000000000002</v>
      </c>
      <c r="W1068" s="57">
        <f>(1000*CHOOSE(CONTROL!$C$42, 0.1146, 0.1146)*CHOOSE(CONTROL!$C$42, 121.5, 121.5)*CHOOSE(CONTROL!$C$42, 31, 31))/1000000</f>
        <v>0.43164089999999994</v>
      </c>
      <c r="X1068" s="57">
        <f>(31*0.1790888*100000/1000000)+(31*0.2374*100000/1000000)</f>
        <v>1.2911152800000001</v>
      </c>
      <c r="Y1068" s="57"/>
      <c r="Z1068" s="14"/>
      <c r="AA1068" s="56"/>
      <c r="AB1068" s="50">
        <f>(B1068*122.58+C1068*297.941+D1068*89.177+E1068*40.302+F1068*40+G1068*160+H1068*0+I1068*100+J1068*300)/(122.58+297.941+89.177+40.302+0+40+160+100+300)</f>
        <v>146.52516883339132</v>
      </c>
      <c r="AC1068" s="45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143.5840474820144</v>
      </c>
    </row>
    <row r="1069" spans="1:29" ht="15" x14ac:dyDescent="0.2">
      <c r="A1069" s="12"/>
    </row>
    <row r="1070" spans="1:29" ht="15.75" x14ac:dyDescent="0.25">
      <c r="A1070" s="10">
        <v>2013</v>
      </c>
      <c r="B1070" s="14">
        <f t="shared" ref="B1070:J1070" si="3">AVERAGE(B13:B24)</f>
        <v>3.8491069346497575</v>
      </c>
      <c r="C1070" s="14">
        <f t="shared" si="3"/>
        <v>3.8553873071430096</v>
      </c>
      <c r="D1070" s="14">
        <f t="shared" si="3"/>
        <v>3.9890891971221869</v>
      </c>
      <c r="E1070" s="14">
        <f t="shared" si="3"/>
        <v>4.0214230279620873</v>
      </c>
      <c r="F1070" s="14">
        <f t="shared" si="3"/>
        <v>3.8500477370554087</v>
      </c>
      <c r="G1070" s="14">
        <f t="shared" si="3"/>
        <v>3.8653713451334268</v>
      </c>
      <c r="H1070" s="14">
        <f t="shared" si="3"/>
        <v>4.0104632410776011</v>
      </c>
      <c r="I1070" s="14">
        <f t="shared" si="3"/>
        <v>3.8691728845455127</v>
      </c>
      <c r="J1070" s="14">
        <f t="shared" si="3"/>
        <v>3.8429477370554093</v>
      </c>
      <c r="K1070" s="53"/>
      <c r="L1070" s="14">
        <f t="shared" ref="L1070:S1070" si="4">AVERAGE(L13:L24)</f>
        <v>4.5974632410776008</v>
      </c>
      <c r="M1070" s="14">
        <f t="shared" si="4"/>
        <v>3.7834143383721703</v>
      </c>
      <c r="N1070" s="14">
        <f t="shared" si="4"/>
        <v>3.7984513324918132</v>
      </c>
      <c r="O1070" s="14">
        <f t="shared" si="4"/>
        <v>3.9479372255603398</v>
      </c>
      <c r="P1070" s="14">
        <f t="shared" si="4"/>
        <v>3.809057937954011</v>
      </c>
      <c r="Q1070" s="14">
        <f t="shared" si="4"/>
        <v>4.5426372255603393</v>
      </c>
      <c r="R1070" s="14">
        <f t="shared" si="4"/>
        <v>5.1410021727909081</v>
      </c>
      <c r="S1070" s="14">
        <f t="shared" si="4"/>
        <v>3.69644979802667</v>
      </c>
      <c r="T1070" s="49">
        <f t="shared" ref="T1070:Y1070" si="5">SUM(T13:T24)</f>
        <v>360.24599949999998</v>
      </c>
      <c r="U1070" s="49">
        <f t="shared" si="5"/>
        <v>142.03795599999998</v>
      </c>
      <c r="V1070" s="49">
        <f t="shared" si="5"/>
        <v>58.217499999999994</v>
      </c>
      <c r="W1070" s="49">
        <f t="shared" si="5"/>
        <v>8.0932340000000007</v>
      </c>
      <c r="X1070" s="49">
        <f t="shared" si="5"/>
        <v>5.5571254639999994</v>
      </c>
      <c r="Y1070" s="49">
        <f t="shared" si="5"/>
        <v>4.7699999999999996</v>
      </c>
      <c r="Z1070" s="14">
        <f>AVERAGE(Z13:Z24)</f>
        <v>3.8031025568338492</v>
      </c>
      <c r="AA1070" s="49">
        <f>SUM(AA13:AA24)</f>
        <v>10.084160000000001</v>
      </c>
      <c r="AB1070" s="50">
        <f>AVERAGE(AB13:AB24)</f>
        <v>3.8960998049219202</v>
      </c>
      <c r="AC1070" s="45">
        <f>AVERAGE(AC13:AC24)</f>
        <v>3.8524236819339603</v>
      </c>
    </row>
    <row r="1071" spans="1:29" ht="15.75" x14ac:dyDescent="0.25">
      <c r="A1071" s="10">
        <v>2014</v>
      </c>
      <c r="B1071" s="14">
        <f t="shared" ref="B1071:J1071" si="6">AVERAGE(B25:B36)</f>
        <v>4.1511083333333341</v>
      </c>
      <c r="C1071" s="14">
        <f t="shared" si="6"/>
        <v>4.1573666666666673</v>
      </c>
      <c r="D1071" s="14">
        <f t="shared" si="6"/>
        <v>4.3029083333333329</v>
      </c>
      <c r="E1071" s="14">
        <f t="shared" si="6"/>
        <v>4.3353333333333337</v>
      </c>
      <c r="F1071" s="14">
        <f t="shared" si="6"/>
        <v>4.1439333333333339</v>
      </c>
      <c r="G1071" s="14">
        <f t="shared" si="6"/>
        <v>4.1604333333333328</v>
      </c>
      <c r="H1071" s="14">
        <f t="shared" si="6"/>
        <v>4.3244499999999997</v>
      </c>
      <c r="I1071" s="14">
        <f t="shared" si="6"/>
        <v>4.1739416666666669</v>
      </c>
      <c r="J1071" s="14">
        <f t="shared" si="6"/>
        <v>4.1369333333333334</v>
      </c>
      <c r="K1071" s="53"/>
      <c r="L1071" s="14">
        <f t="shared" ref="L1071:S1071" si="7">AVERAGE(L25:L36)</f>
        <v>4.9114500000000003</v>
      </c>
      <c r="M1071" s="14">
        <f t="shared" si="7"/>
        <v>4.0598583333333336</v>
      </c>
      <c r="N1071" s="14">
        <f t="shared" si="7"/>
        <v>4.0760250000000005</v>
      </c>
      <c r="O1071" s="14">
        <f t="shared" si="7"/>
        <v>4.2435500000000008</v>
      </c>
      <c r="P1071" s="14">
        <f t="shared" si="7"/>
        <v>4.0959333333333339</v>
      </c>
      <c r="Q1071" s="14">
        <f t="shared" si="7"/>
        <v>4.8382500000000013</v>
      </c>
      <c r="R1071" s="14">
        <f t="shared" si="7"/>
        <v>5.4373166666666677</v>
      </c>
      <c r="S1071" s="14">
        <f t="shared" si="7"/>
        <v>3.9793000000000003</v>
      </c>
      <c r="T1071" s="49">
        <f t="shared" ref="T1071:Y1071" si="8">SUM(T25:T36)</f>
        <v>364.742681</v>
      </c>
      <c r="U1071" s="49">
        <f t="shared" si="8"/>
        <v>142.03263249999998</v>
      </c>
      <c r="V1071" s="49">
        <f t="shared" si="8"/>
        <v>58.217499999999994</v>
      </c>
      <c r="W1071" s="49">
        <f t="shared" si="8"/>
        <v>8.3657999999999983</v>
      </c>
      <c r="X1071" s="49">
        <f t="shared" si="8"/>
        <v>5.5571254639999994</v>
      </c>
      <c r="Y1071" s="49">
        <f t="shared" si="8"/>
        <v>1.2000000000000002</v>
      </c>
      <c r="Z1071" s="14">
        <f>AVERAGE(Z25:Z36)</f>
        <v>4.0874999999999995</v>
      </c>
      <c r="AA1071" s="49">
        <f>SUM(AA25:AA36)</f>
        <v>12.630990000000001</v>
      </c>
      <c r="AB1071" s="50">
        <f>AVERAGE(AB25:AB36)</f>
        <v>4.2008744399591604</v>
      </c>
      <c r="AC1071" s="45">
        <f>AVERAGE(AC25:AC36)</f>
        <v>4.1355073141486818</v>
      </c>
    </row>
    <row r="1072" spans="1:29" ht="15.75" x14ac:dyDescent="0.25">
      <c r="A1072" s="10">
        <v>2015</v>
      </c>
      <c r="B1072" s="14">
        <f t="shared" ref="B1072:J1072" si="9">AVERAGE(B37:B48)</f>
        <v>4.3397250000000005</v>
      </c>
      <c r="C1072" s="14">
        <f t="shared" si="9"/>
        <v>4.3460166666666664</v>
      </c>
      <c r="D1072" s="14">
        <f t="shared" si="9"/>
        <v>4.4915333333333329</v>
      </c>
      <c r="E1072" s="14">
        <f t="shared" si="9"/>
        <v>4.5239666666666674</v>
      </c>
      <c r="F1072" s="14">
        <f t="shared" si="9"/>
        <v>4.3325500000000003</v>
      </c>
      <c r="G1072" s="14">
        <f t="shared" si="9"/>
        <v>4.349050000000001</v>
      </c>
      <c r="H1072" s="14">
        <f t="shared" si="9"/>
        <v>4.5130666666666661</v>
      </c>
      <c r="I1072" s="14">
        <f t="shared" si="9"/>
        <v>4.3631666666666673</v>
      </c>
      <c r="J1072" s="14">
        <f t="shared" si="9"/>
        <v>4.3255500000000007</v>
      </c>
      <c r="K1072" s="53"/>
      <c r="L1072" s="14">
        <f t="shared" ref="L1072:S1072" si="10">AVERAGE(L37:L48)</f>
        <v>5.1000666666666676</v>
      </c>
      <c r="M1072" s="14">
        <f t="shared" si="10"/>
        <v>4.244625000000001</v>
      </c>
      <c r="N1072" s="14">
        <f t="shared" si="10"/>
        <v>4.2607749999999998</v>
      </c>
      <c r="O1072" s="14">
        <f t="shared" si="10"/>
        <v>4.4282833333333329</v>
      </c>
      <c r="P1072" s="14">
        <f t="shared" si="10"/>
        <v>4.2812499999999991</v>
      </c>
      <c r="Q1072" s="14">
        <f t="shared" si="10"/>
        <v>5.0229833333333334</v>
      </c>
      <c r="R1072" s="14">
        <f t="shared" si="10"/>
        <v>5.6225500000000004</v>
      </c>
      <c r="S1072" s="14">
        <f t="shared" si="10"/>
        <v>4.1605499999999997</v>
      </c>
      <c r="T1072" s="49">
        <f>SUM(T37:T48)</f>
        <v>364.742681</v>
      </c>
      <c r="U1072" s="49">
        <f>SUM(U37:U48)</f>
        <v>142.03263249999998</v>
      </c>
      <c r="V1072" s="49">
        <f>SUM(V37:V48)</f>
        <v>58.217499999999994</v>
      </c>
      <c r="W1072" s="49">
        <f>SUM(W37:W48)</f>
        <v>8.3657999999999983</v>
      </c>
      <c r="X1072" s="49">
        <f>SUM(X37:X48)</f>
        <v>17.010567464000001</v>
      </c>
      <c r="Y1072" s="49"/>
      <c r="Z1072" s="14">
        <f>AVERAGE(Z37:Z48)</f>
        <v>4.2730333333333332</v>
      </c>
      <c r="AA1072" s="49">
        <f>SUM(AA37:AA48)</f>
        <v>12.811459999999997</v>
      </c>
      <c r="AB1072" s="50">
        <f>AVERAGE(AB37:AB48)</f>
        <v>4.3703240955481428</v>
      </c>
      <c r="AC1072" s="45">
        <f>AVERAGE(AC37:AC48)</f>
        <v>4.3118061151079141</v>
      </c>
    </row>
    <row r="1073" spans="1:29" ht="15.75" x14ac:dyDescent="0.25">
      <c r="A1073" s="10">
        <v>2016</v>
      </c>
      <c r="B1073" s="14">
        <f t="shared" ref="B1073:J1073" si="11">AVERAGE(B49:B60)</f>
        <v>4.6702083333333331</v>
      </c>
      <c r="C1073" s="14">
        <f t="shared" si="11"/>
        <v>4.6764750000000008</v>
      </c>
      <c r="D1073" s="14">
        <f t="shared" si="11"/>
        <v>4.8220166666666673</v>
      </c>
      <c r="E1073" s="14">
        <f t="shared" si="11"/>
        <v>4.854449999999999</v>
      </c>
      <c r="F1073" s="14">
        <f t="shared" si="11"/>
        <v>4.6630583333333329</v>
      </c>
      <c r="G1073" s="14">
        <f t="shared" si="11"/>
        <v>4.6795416666666663</v>
      </c>
      <c r="H1073" s="14">
        <f t="shared" si="11"/>
        <v>4.8435583333333332</v>
      </c>
      <c r="I1073" s="14">
        <f t="shared" si="11"/>
        <v>4.6946749999999993</v>
      </c>
      <c r="J1073" s="14">
        <f t="shared" si="11"/>
        <v>4.6560583333333341</v>
      </c>
      <c r="K1073" s="53"/>
      <c r="L1073" s="14">
        <f t="shared" ref="L1073:S1073" si="12">AVERAGE(L49:L60)</f>
        <v>5.4305583333333338</v>
      </c>
      <c r="M1073" s="14">
        <f t="shared" si="12"/>
        <v>4.568341666666667</v>
      </c>
      <c r="N1073" s="14">
        <f t="shared" si="12"/>
        <v>4.584508333333333</v>
      </c>
      <c r="O1073" s="14">
        <f t="shared" si="12"/>
        <v>4.7520083333333334</v>
      </c>
      <c r="P1073" s="14">
        <f t="shared" si="12"/>
        <v>4.6059499999999991</v>
      </c>
      <c r="Q1073" s="14">
        <f t="shared" si="12"/>
        <v>5.346708333333333</v>
      </c>
      <c r="R1073" s="14">
        <f t="shared" si="12"/>
        <v>5.9470833333333326</v>
      </c>
      <c r="S1073" s="14">
        <f t="shared" si="12"/>
        <v>4.4780999999999986</v>
      </c>
      <c r="T1073" s="49">
        <f>SUM(T49:T60)</f>
        <v>358.17703550000004</v>
      </c>
      <c r="U1073" s="49">
        <f>SUM(U49:U60)</f>
        <v>142.42176299999997</v>
      </c>
      <c r="V1073" s="49">
        <f>SUM(V49:V60)</f>
        <v>58.377000000000002</v>
      </c>
      <c r="W1073" s="49">
        <f>SUM(W49:W60)</f>
        <v>6.1846754999999982</v>
      </c>
      <c r="X1073" s="49">
        <f>SUM(X49:X60)</f>
        <v>20.800615543999996</v>
      </c>
      <c r="Y1073" s="49"/>
      <c r="Z1073" s="14"/>
      <c r="AA1073" s="49"/>
      <c r="AB1073" s="50">
        <f>AVERAGE(AB49:AB60)</f>
        <v>4.6948468160906822</v>
      </c>
      <c r="AC1073" s="45">
        <f>AVERAGE(AC49:AC60)</f>
        <v>4.6345610911270985</v>
      </c>
    </row>
    <row r="1074" spans="1:29" ht="15.75" x14ac:dyDescent="0.25">
      <c r="A1074" s="10">
        <v>2017</v>
      </c>
      <c r="B1074" s="14">
        <f t="shared" ref="B1074:S1074" si="13">AVERAGE(B61:B72)</f>
        <v>5.0078333333333331</v>
      </c>
      <c r="C1074" s="14">
        <f t="shared" si="13"/>
        <v>5.0141249999999991</v>
      </c>
      <c r="D1074" s="14">
        <f t="shared" si="13"/>
        <v>5.1596500000000001</v>
      </c>
      <c r="E1074" s="14">
        <f t="shared" si="13"/>
        <v>5.1920750000000009</v>
      </c>
      <c r="F1074" s="14">
        <f t="shared" si="13"/>
        <v>5.0006750000000002</v>
      </c>
      <c r="G1074" s="14">
        <f t="shared" si="13"/>
        <v>5.0171750000000008</v>
      </c>
      <c r="H1074" s="14">
        <f t="shared" si="13"/>
        <v>5.181191666666666</v>
      </c>
      <c r="I1074" s="14">
        <f t="shared" si="13"/>
        <v>5.0333749999999995</v>
      </c>
      <c r="J1074" s="14">
        <f t="shared" si="13"/>
        <v>4.9936749999999996</v>
      </c>
      <c r="K1074" s="53">
        <f t="shared" si="13"/>
        <v>5.0294833333333342</v>
      </c>
      <c r="L1074" s="14">
        <f t="shared" si="13"/>
        <v>5.7681916666666666</v>
      </c>
      <c r="M1074" s="14">
        <f t="shared" si="13"/>
        <v>4.8990333333333336</v>
      </c>
      <c r="N1074" s="14">
        <f t="shared" si="13"/>
        <v>4.9152250000000004</v>
      </c>
      <c r="O1074" s="14">
        <f t="shared" si="13"/>
        <v>5.0827333333333335</v>
      </c>
      <c r="P1074" s="14">
        <f t="shared" si="13"/>
        <v>4.9376916666666659</v>
      </c>
      <c r="Q1074" s="14">
        <f t="shared" si="13"/>
        <v>5.6774333333333331</v>
      </c>
      <c r="R1074" s="14">
        <f t="shared" si="13"/>
        <v>6.2786</v>
      </c>
      <c r="S1074" s="14">
        <f t="shared" si="13"/>
        <v>4.8025333333333338</v>
      </c>
      <c r="T1074" s="49">
        <f>SUM(T61:T72)</f>
        <v>357.24568100000005</v>
      </c>
      <c r="U1074" s="49">
        <f>SUM(U61:U72)</f>
        <v>142.03263249999998</v>
      </c>
      <c r="V1074" s="49">
        <f>SUM(V61:V72)</f>
        <v>58.217499999999994</v>
      </c>
      <c r="W1074" s="49">
        <f>SUM(W61:W72)</f>
        <v>5.0822234999999996</v>
      </c>
      <c r="X1074" s="49">
        <f>SUM(X61:X72)</f>
        <v>20.758966663999999</v>
      </c>
      <c r="Y1074" s="49"/>
      <c r="Z1074" s="14"/>
      <c r="AA1074" s="14"/>
      <c r="AB1074" s="50">
        <f>AVERAGE(AB61:AB72)</f>
        <v>5.0325653148769947</v>
      </c>
      <c r="AC1074" s="45">
        <f>AVERAGE(AC61:AC72)</f>
        <v>4.9654189448441253</v>
      </c>
    </row>
    <row r="1075" spans="1:29" ht="15.75" x14ac:dyDescent="0.25">
      <c r="A1075" s="10">
        <v>2018</v>
      </c>
      <c r="B1075" s="14">
        <f t="shared" ref="B1075:S1075" si="14">AVERAGE(B73:B84)</f>
        <v>6.0052916666666674</v>
      </c>
      <c r="C1075" s="14">
        <f t="shared" si="14"/>
        <v>6.0115583333333333</v>
      </c>
      <c r="D1075" s="14">
        <f t="shared" si="14"/>
        <v>6.1570999999999998</v>
      </c>
      <c r="E1075" s="14">
        <f t="shared" si="14"/>
        <v>6.1895166666666661</v>
      </c>
      <c r="F1075" s="14">
        <f t="shared" si="14"/>
        <v>5.9981166666666672</v>
      </c>
      <c r="G1075" s="14">
        <f t="shared" si="14"/>
        <v>6.0146250000000014</v>
      </c>
      <c r="H1075" s="14">
        <f t="shared" si="14"/>
        <v>6.1786416666666666</v>
      </c>
      <c r="I1075" s="14">
        <f t="shared" si="14"/>
        <v>6.0339499999999999</v>
      </c>
      <c r="J1075" s="14">
        <f t="shared" si="14"/>
        <v>5.9911166666666666</v>
      </c>
      <c r="K1075" s="53">
        <f t="shared" si="14"/>
        <v>6.0300500000000001</v>
      </c>
      <c r="L1075" s="14">
        <f t="shared" si="14"/>
        <v>6.7656416666666672</v>
      </c>
      <c r="M1075" s="14">
        <f t="shared" si="14"/>
        <v>5.8760416666666666</v>
      </c>
      <c r="N1075" s="14">
        <f t="shared" si="14"/>
        <v>5.8922333333333325</v>
      </c>
      <c r="O1075" s="14">
        <f t="shared" si="14"/>
        <v>6.0597416666666675</v>
      </c>
      <c r="P1075" s="14">
        <f t="shared" si="14"/>
        <v>5.9176916666666664</v>
      </c>
      <c r="Q1075" s="14">
        <f t="shared" si="14"/>
        <v>6.6544416666666661</v>
      </c>
      <c r="R1075" s="14">
        <f t="shared" si="14"/>
        <v>7.2580583333333344</v>
      </c>
      <c r="S1075" s="14">
        <f t="shared" si="14"/>
        <v>5.7609749999999993</v>
      </c>
      <c r="T1075" s="49">
        <f>SUM(T73:T84)</f>
        <v>357.24568100000005</v>
      </c>
      <c r="U1075" s="49">
        <f>SUM(U73:U84)</f>
        <v>142.03263249999998</v>
      </c>
      <c r="V1075" s="49">
        <f>SUM(V73:V84)</f>
        <v>50.187500000000007</v>
      </c>
      <c r="W1075" s="49">
        <f>SUM(W73:W84)</f>
        <v>5.0822234999999996</v>
      </c>
      <c r="X1075" s="49">
        <f>SUM(X73:X84)</f>
        <v>20.758966663999999</v>
      </c>
      <c r="Y1075" s="49"/>
      <c r="Z1075" s="14"/>
      <c r="AA1075" s="14"/>
      <c r="AB1075" s="50">
        <f>AVERAGE(AB73:AB84)</f>
        <v>6.0302677960190421</v>
      </c>
      <c r="AC1075" s="45">
        <f>AVERAGE(AC73:AC84)</f>
        <v>5.94285773381295</v>
      </c>
    </row>
    <row r="1076" spans="1:29" ht="15.75" x14ac:dyDescent="0.25">
      <c r="A1076" s="10">
        <v>2019</v>
      </c>
      <c r="B1076" s="14">
        <f t="shared" ref="B1076:S1076" si="15">AVERAGE(B85:B96)</f>
        <v>6.5665416666666667</v>
      </c>
      <c r="C1076" s="14">
        <f t="shared" si="15"/>
        <v>6.5728250000000008</v>
      </c>
      <c r="D1076" s="14">
        <f t="shared" si="15"/>
        <v>6.71835</v>
      </c>
      <c r="E1076" s="14">
        <f t="shared" si="15"/>
        <v>6.750775</v>
      </c>
      <c r="F1076" s="14">
        <f t="shared" si="15"/>
        <v>6.5593666666666666</v>
      </c>
      <c r="G1076" s="14">
        <f t="shared" si="15"/>
        <v>6.5758666666666663</v>
      </c>
      <c r="H1076" s="14">
        <f t="shared" si="15"/>
        <v>6.7398916666666659</v>
      </c>
      <c r="I1076" s="14">
        <f t="shared" si="15"/>
        <v>6.5969333333333333</v>
      </c>
      <c r="J1076" s="14">
        <f t="shared" si="15"/>
        <v>6.5523666666666678</v>
      </c>
      <c r="K1076" s="53">
        <f t="shared" si="15"/>
        <v>6.5930500000000007</v>
      </c>
      <c r="L1076" s="14">
        <f t="shared" si="15"/>
        <v>7.3268916666666657</v>
      </c>
      <c r="M1076" s="14">
        <f t="shared" si="15"/>
        <v>6.4258083333333333</v>
      </c>
      <c r="N1076" s="14">
        <f t="shared" si="15"/>
        <v>6.441983333333333</v>
      </c>
      <c r="O1076" s="14">
        <f t="shared" si="15"/>
        <v>6.6094833333333325</v>
      </c>
      <c r="P1076" s="14">
        <f t="shared" si="15"/>
        <v>6.4691416666666663</v>
      </c>
      <c r="Q1076" s="14">
        <f t="shared" si="15"/>
        <v>7.2041833333333329</v>
      </c>
      <c r="R1076" s="14">
        <f t="shared" si="15"/>
        <v>7.8091833333333343</v>
      </c>
      <c r="S1076" s="14">
        <f t="shared" si="15"/>
        <v>6.3002833333333328</v>
      </c>
      <c r="T1076" s="49">
        <f>SUM(T85:T96)</f>
        <v>357.24568100000005</v>
      </c>
      <c r="U1076" s="49">
        <f>SUM(U85:U96)</f>
        <v>142.03263249999998</v>
      </c>
      <c r="V1076" s="49">
        <f>SUM(V85:V96)</f>
        <v>50.187500000000007</v>
      </c>
      <c r="W1076" s="49">
        <f>SUM(W85:W96)</f>
        <v>5.0822234999999996</v>
      </c>
      <c r="X1076" s="49">
        <f>SUM(X85:X96)</f>
        <v>20.758966663999999</v>
      </c>
      <c r="Y1076" s="49"/>
      <c r="Z1076" s="14"/>
      <c r="AA1076" s="14"/>
      <c r="AB1076" s="50">
        <f>AVERAGE(AB85:AB96)</f>
        <v>6.5916643867092874</v>
      </c>
      <c r="AC1076" s="45">
        <f>AVERAGE(AC85:AC96)</f>
        <v>6.4928557553956834</v>
      </c>
    </row>
    <row r="1077" spans="1:29" ht="15.75" x14ac:dyDescent="0.25">
      <c r="A1077" s="10">
        <v>2020</v>
      </c>
      <c r="B1077" s="14">
        <f t="shared" ref="B1077:S1077" si="16">AVERAGE(B97:B108)</f>
        <v>7.1249000000000002</v>
      </c>
      <c r="C1077" s="14">
        <f t="shared" si="16"/>
        <v>7.1311833333333325</v>
      </c>
      <c r="D1077" s="14">
        <f t="shared" si="16"/>
        <v>7.2767083333333327</v>
      </c>
      <c r="E1077" s="14">
        <f t="shared" si="16"/>
        <v>7.3091333333333344</v>
      </c>
      <c r="F1077" s="14">
        <f t="shared" si="16"/>
        <v>7.1177250000000001</v>
      </c>
      <c r="G1077" s="14">
        <f t="shared" si="16"/>
        <v>7.134241666666667</v>
      </c>
      <c r="H1077" s="14">
        <f t="shared" si="16"/>
        <v>7.2982499999999995</v>
      </c>
      <c r="I1077" s="14">
        <f t="shared" si="16"/>
        <v>7.1570500000000008</v>
      </c>
      <c r="J1077" s="14">
        <f t="shared" si="16"/>
        <v>7.1107249999999995</v>
      </c>
      <c r="K1077" s="53">
        <f t="shared" si="16"/>
        <v>7.1531583333333328</v>
      </c>
      <c r="L1077" s="14">
        <f t="shared" si="16"/>
        <v>7.8852500000000001</v>
      </c>
      <c r="M1077" s="14">
        <f t="shared" si="16"/>
        <v>6.9727333333333332</v>
      </c>
      <c r="N1077" s="14">
        <f t="shared" si="16"/>
        <v>6.9889000000000001</v>
      </c>
      <c r="O1077" s="14">
        <f t="shared" si="16"/>
        <v>7.1563999999999988</v>
      </c>
      <c r="P1077" s="14">
        <f t="shared" si="16"/>
        <v>7.0177416666666668</v>
      </c>
      <c r="Q1077" s="14">
        <f t="shared" si="16"/>
        <v>7.7511000000000001</v>
      </c>
      <c r="R1077" s="14">
        <f t="shared" si="16"/>
        <v>8.3574833333333327</v>
      </c>
      <c r="S1077" s="14">
        <f t="shared" si="16"/>
        <v>6.8368083333333329</v>
      </c>
      <c r="T1077" s="49">
        <f>SUM(T97:T108)</f>
        <v>358.17703550000004</v>
      </c>
      <c r="U1077" s="49">
        <f>SUM(U97:U108)</f>
        <v>142.42176299999997</v>
      </c>
      <c r="V1077" s="49">
        <f>SUM(V97:V108)</f>
        <v>50.325000000000003</v>
      </c>
      <c r="W1077" s="49">
        <f>SUM(W97:W108)</f>
        <v>5.0961473999999995</v>
      </c>
      <c r="X1077" s="49">
        <f>SUM(X97:X108)</f>
        <v>20.800615543999996</v>
      </c>
      <c r="Y1077" s="49"/>
      <c r="Z1077" s="14"/>
      <c r="AA1077" s="14"/>
      <c r="AB1077" s="50">
        <f>AVERAGE(AB97:AB108)</f>
        <v>7.1501702030168595</v>
      </c>
      <c r="AC1077" s="45">
        <f>AVERAGE(AC97:AC108)</f>
        <v>7.0400175059952046</v>
      </c>
    </row>
    <row r="1078" spans="1:29" ht="15.75" x14ac:dyDescent="0.25">
      <c r="A1078" s="10">
        <v>2021</v>
      </c>
      <c r="B1078" s="14">
        <f t="shared" ref="B1078:S1078" si="17">AVERAGE(B109:B120)</f>
        <v>7.5397666666666661</v>
      </c>
      <c r="C1078" s="14">
        <f t="shared" si="17"/>
        <v>7.5460416666666674</v>
      </c>
      <c r="D1078" s="14">
        <f t="shared" si="17"/>
        <v>7.6915583333333331</v>
      </c>
      <c r="E1078" s="14">
        <f t="shared" si="17"/>
        <v>7.7239916666666666</v>
      </c>
      <c r="F1078" s="14">
        <f t="shared" si="17"/>
        <v>7.5326083333333331</v>
      </c>
      <c r="G1078" s="14">
        <f t="shared" si="17"/>
        <v>7.5491000000000001</v>
      </c>
      <c r="H1078" s="14">
        <f t="shared" si="17"/>
        <v>7.7131000000000007</v>
      </c>
      <c r="I1078" s="14">
        <f t="shared" si="17"/>
        <v>7.5732249999999999</v>
      </c>
      <c r="J1078" s="14">
        <f t="shared" si="17"/>
        <v>7.5256083333333335</v>
      </c>
      <c r="K1078" s="53">
        <f t="shared" si="17"/>
        <v>7.5693249999999992</v>
      </c>
      <c r="L1078" s="14">
        <f t="shared" si="17"/>
        <v>8.3001000000000005</v>
      </c>
      <c r="M1078" s="14">
        <f t="shared" si="17"/>
        <v>7.379108333333332</v>
      </c>
      <c r="N1078" s="14">
        <f t="shared" si="17"/>
        <v>7.3952499999999981</v>
      </c>
      <c r="O1078" s="14">
        <f t="shared" si="17"/>
        <v>7.5627750000000011</v>
      </c>
      <c r="P1078" s="14">
        <f t="shared" si="17"/>
        <v>7.4253500000000017</v>
      </c>
      <c r="Q1078" s="14">
        <f t="shared" si="17"/>
        <v>8.157474999999998</v>
      </c>
      <c r="R1078" s="14">
        <f t="shared" si="17"/>
        <v>8.7648583333333345</v>
      </c>
      <c r="S1078" s="14">
        <f t="shared" si="17"/>
        <v>7.2354666666666665</v>
      </c>
      <c r="T1078" s="49">
        <f>SUM(T109:T120)</f>
        <v>357.24568100000005</v>
      </c>
      <c r="U1078" s="49">
        <f>SUM(U109:U120)</f>
        <v>142.03263249999998</v>
      </c>
      <c r="V1078" s="49">
        <f>SUM(V109:V120)</f>
        <v>50.187500000000007</v>
      </c>
      <c r="W1078" s="49">
        <f>SUM(W109:W120)</f>
        <v>5.0822234999999996</v>
      </c>
      <c r="X1078" s="49">
        <f>SUM(X109:X120)</f>
        <v>20.758966663999999</v>
      </c>
      <c r="Y1078" s="49"/>
      <c r="Z1078" s="14"/>
      <c r="AA1078" s="14"/>
      <c r="AB1078" s="50">
        <f>AVERAGE(AB109:AB120)</f>
        <v>7.56514311630536</v>
      </c>
      <c r="AC1078" s="45">
        <f>AVERAGE(AC109:AC120)</f>
        <v>7.4465656474820152</v>
      </c>
    </row>
    <row r="1079" spans="1:29" ht="15.75" x14ac:dyDescent="0.25">
      <c r="A1079" s="10">
        <v>2022</v>
      </c>
      <c r="B1079" s="14">
        <f t="shared" ref="B1079:S1079" si="18">AVERAGE(B121:B132)</f>
        <v>7.856608333333333</v>
      </c>
      <c r="C1079" s="14">
        <f t="shared" si="18"/>
        <v>7.8628916666666671</v>
      </c>
      <c r="D1079" s="14">
        <f t="shared" si="18"/>
        <v>8.0084166666666672</v>
      </c>
      <c r="E1079" s="14">
        <f t="shared" si="18"/>
        <v>8.0408416666666653</v>
      </c>
      <c r="F1079" s="14">
        <f t="shared" si="18"/>
        <v>7.8494416666666664</v>
      </c>
      <c r="G1079" s="14">
        <f t="shared" si="18"/>
        <v>7.8659416666666671</v>
      </c>
      <c r="H1079" s="14">
        <f t="shared" si="18"/>
        <v>8.0299583333333349</v>
      </c>
      <c r="I1079" s="14">
        <f t="shared" si="18"/>
        <v>7.8910416666666663</v>
      </c>
      <c r="J1079" s="14">
        <f t="shared" si="18"/>
        <v>7.8424416666666685</v>
      </c>
      <c r="K1079" s="53">
        <f t="shared" si="18"/>
        <v>7.887150000000001</v>
      </c>
      <c r="L1079" s="14">
        <f t="shared" si="18"/>
        <v>8.6169583333333346</v>
      </c>
      <c r="M1079" s="14">
        <f t="shared" si="18"/>
        <v>7.6894583333333335</v>
      </c>
      <c r="N1079" s="14">
        <f t="shared" si="18"/>
        <v>7.7056166666666668</v>
      </c>
      <c r="O1079" s="14">
        <f t="shared" si="18"/>
        <v>7.8731083333333318</v>
      </c>
      <c r="P1079" s="14">
        <f t="shared" si="18"/>
        <v>7.7366416666666664</v>
      </c>
      <c r="Q1079" s="14">
        <f t="shared" si="18"/>
        <v>8.467808333333334</v>
      </c>
      <c r="R1079" s="14">
        <f t="shared" si="18"/>
        <v>9.0759916666666669</v>
      </c>
      <c r="S1079" s="14">
        <f t="shared" si="18"/>
        <v>7.5399083333333321</v>
      </c>
      <c r="T1079" s="49">
        <f>SUM(T121:T132)</f>
        <v>357.24568100000005</v>
      </c>
      <c r="U1079" s="49">
        <f>SUM(U121:U132)</f>
        <v>142.03263249999998</v>
      </c>
      <c r="V1079" s="49">
        <f>SUM(V121:V132)</f>
        <v>50.187500000000007</v>
      </c>
      <c r="W1079" s="49">
        <f>SUM(W121:W132)</f>
        <v>5.0822234999999996</v>
      </c>
      <c r="X1079" s="49">
        <f>SUM(X121:X132)</f>
        <v>20.758966663999999</v>
      </c>
      <c r="Y1079" s="49"/>
      <c r="Z1079" s="14"/>
      <c r="AA1079" s="14"/>
      <c r="AB1079" s="50">
        <f>AVERAGE(AB121:AB132)</f>
        <v>7.8820677702355537</v>
      </c>
      <c r="AC1079" s="45">
        <f>AVERAGE(AC121:AC132)</f>
        <v>7.7570488609112713</v>
      </c>
    </row>
    <row r="1080" spans="1:29" ht="15.75" x14ac:dyDescent="0.25">
      <c r="A1080" s="10">
        <v>2023</v>
      </c>
      <c r="B1080" s="14">
        <f t="shared" ref="B1080:S1080" si="19">AVERAGE(B133:B144)</f>
        <v>8.5068500000000018</v>
      </c>
      <c r="C1080" s="14">
        <f t="shared" si="19"/>
        <v>8.5131250000000005</v>
      </c>
      <c r="D1080" s="14">
        <f t="shared" si="19"/>
        <v>8.6586499999999997</v>
      </c>
      <c r="E1080" s="14">
        <f t="shared" si="19"/>
        <v>8.6910666666666661</v>
      </c>
      <c r="F1080" s="14">
        <f t="shared" si="19"/>
        <v>8.4996833333333317</v>
      </c>
      <c r="G1080" s="14">
        <f t="shared" si="19"/>
        <v>8.5161833333333323</v>
      </c>
      <c r="H1080" s="14">
        <f t="shared" si="19"/>
        <v>8.6801916666666656</v>
      </c>
      <c r="I1080" s="14">
        <f t="shared" si="19"/>
        <v>8.5433249999999994</v>
      </c>
      <c r="J1080" s="14">
        <f t="shared" si="19"/>
        <v>8.4926833333333338</v>
      </c>
      <c r="K1080" s="53">
        <f t="shared" si="19"/>
        <v>8.5394416666666668</v>
      </c>
      <c r="L1080" s="14">
        <f t="shared" si="19"/>
        <v>9.2671916666666672</v>
      </c>
      <c r="M1080" s="14">
        <f t="shared" si="19"/>
        <v>8.3263500000000015</v>
      </c>
      <c r="N1080" s="14">
        <f t="shared" si="19"/>
        <v>8.3425250000000002</v>
      </c>
      <c r="O1080" s="14">
        <f t="shared" si="19"/>
        <v>8.5100416666666661</v>
      </c>
      <c r="P1080" s="14">
        <f t="shared" si="19"/>
        <v>8.3755249999999997</v>
      </c>
      <c r="Q1080" s="14">
        <f t="shared" si="19"/>
        <v>9.1047416666666674</v>
      </c>
      <c r="R1080" s="14">
        <f t="shared" si="19"/>
        <v>9.7144999999999992</v>
      </c>
      <c r="S1080" s="14">
        <f t="shared" si="19"/>
        <v>8.1647333333333343</v>
      </c>
      <c r="T1080" s="49">
        <f>SUM(T133:T144)</f>
        <v>357.24568100000005</v>
      </c>
      <c r="U1080" s="49">
        <f>SUM(U133:U144)</f>
        <v>142.03263249999998</v>
      </c>
      <c r="V1080" s="49">
        <f>SUM(V133:V144)</f>
        <v>50.187500000000007</v>
      </c>
      <c r="W1080" s="49">
        <f>SUM(W133:W144)</f>
        <v>5.0822234999999996</v>
      </c>
      <c r="X1080" s="49">
        <f>SUM(X133:X144)</f>
        <v>20.758966663999999</v>
      </c>
      <c r="Y1080" s="49"/>
      <c r="Z1080" s="14"/>
      <c r="AA1080" s="14"/>
      <c r="AB1080" s="50">
        <f>AVERAGE(AB133:AB144)</f>
        <v>8.5324736510604478</v>
      </c>
      <c r="AC1080" s="45">
        <f>AVERAGE(AC133:AC144)</f>
        <v>8.3942440647482002</v>
      </c>
    </row>
    <row r="1081" spans="1:29" ht="15.75" x14ac:dyDescent="0.25">
      <c r="A1081" s="10">
        <v>2024</v>
      </c>
      <c r="B1081" s="14">
        <f t="shared" ref="B1081:S1081" si="20">AVERAGE(B145:B156)</f>
        <v>8.8844000000000012</v>
      </c>
      <c r="C1081" s="14">
        <f t="shared" si="20"/>
        <v>8.8906666666666663</v>
      </c>
      <c r="D1081" s="14">
        <f t="shared" si="20"/>
        <v>9.0362083333333327</v>
      </c>
      <c r="E1081" s="14">
        <f t="shared" si="20"/>
        <v>9.0686416666666663</v>
      </c>
      <c r="F1081" s="14">
        <f t="shared" si="20"/>
        <v>8.8772416666666683</v>
      </c>
      <c r="G1081" s="14">
        <f t="shared" si="20"/>
        <v>8.8937500000000025</v>
      </c>
      <c r="H1081" s="14">
        <f t="shared" si="20"/>
        <v>9.0577500000000004</v>
      </c>
      <c r="I1081" s="14">
        <f t="shared" si="20"/>
        <v>8.9220666666666659</v>
      </c>
      <c r="J1081" s="14">
        <f t="shared" si="20"/>
        <v>8.8702416666666668</v>
      </c>
      <c r="K1081" s="53">
        <f t="shared" si="20"/>
        <v>8.9181749999999997</v>
      </c>
      <c r="L1081" s="14">
        <f t="shared" si="20"/>
        <v>9.6447499999999984</v>
      </c>
      <c r="M1081" s="14">
        <f t="shared" si="20"/>
        <v>8.696183333333332</v>
      </c>
      <c r="N1081" s="14">
        <f t="shared" si="20"/>
        <v>8.7123583333333343</v>
      </c>
      <c r="O1081" s="14">
        <f t="shared" si="20"/>
        <v>8.8798416666666657</v>
      </c>
      <c r="P1081" s="14">
        <f t="shared" si="20"/>
        <v>8.7464833333333338</v>
      </c>
      <c r="Q1081" s="14">
        <f t="shared" si="20"/>
        <v>9.4745416666666689</v>
      </c>
      <c r="R1081" s="14">
        <f t="shared" si="20"/>
        <v>10.085224999999999</v>
      </c>
      <c r="S1081" s="14">
        <f t="shared" si="20"/>
        <v>8.5275166666666671</v>
      </c>
      <c r="T1081" s="49">
        <f>SUM(T145:T156)</f>
        <v>358.17703550000004</v>
      </c>
      <c r="U1081" s="49">
        <f>SUM(U145:U156)</f>
        <v>142.42176299999997</v>
      </c>
      <c r="V1081" s="49">
        <f>SUM(V145:V156)</f>
        <v>50.325000000000003</v>
      </c>
      <c r="W1081" s="49">
        <f>SUM(W145:W156)</f>
        <v>5.0961473999999995</v>
      </c>
      <c r="X1081" s="49">
        <f>SUM(X145:X156)</f>
        <v>20.800615543999996</v>
      </c>
      <c r="Y1081" s="49"/>
      <c r="Z1081" s="14"/>
      <c r="AA1081" s="14"/>
      <c r="AB1081" s="50">
        <f>AVERAGE(AB145:AB156)</f>
        <v>8.9101258068868514</v>
      </c>
      <c r="AC1081" s="45">
        <f>AVERAGE(AC145:AC156)</f>
        <v>8.764225599520385</v>
      </c>
    </row>
    <row r="1082" spans="1:29" ht="15.75" x14ac:dyDescent="0.25">
      <c r="A1082" s="10">
        <v>2025</v>
      </c>
      <c r="B1082" s="14">
        <f t="shared" ref="B1082:S1082" si="21">AVERAGE(B157:B168)</f>
        <v>9.2601416666666676</v>
      </c>
      <c r="C1082" s="14">
        <f t="shared" si="21"/>
        <v>9.2664166666666663</v>
      </c>
      <c r="D1082" s="14">
        <f t="shared" si="21"/>
        <v>9.4119499999999992</v>
      </c>
      <c r="E1082" s="14">
        <f t="shared" si="21"/>
        <v>9.4443583333333319</v>
      </c>
      <c r="F1082" s="14">
        <f t="shared" si="21"/>
        <v>9.2529666666666675</v>
      </c>
      <c r="G1082" s="14">
        <f t="shared" si="21"/>
        <v>9.2694666666666681</v>
      </c>
      <c r="H1082" s="14">
        <f t="shared" si="21"/>
        <v>9.4334833333333332</v>
      </c>
      <c r="I1082" s="14">
        <f t="shared" si="21"/>
        <v>9.2989750000000004</v>
      </c>
      <c r="J1082" s="14">
        <f t="shared" si="21"/>
        <v>9.245966666666666</v>
      </c>
      <c r="K1082" s="53">
        <f t="shared" si="21"/>
        <v>9.2950833333333325</v>
      </c>
      <c r="L1082" s="14">
        <f t="shared" si="21"/>
        <v>10.020483333333333</v>
      </c>
      <c r="M1082" s="14">
        <f t="shared" si="21"/>
        <v>9.0642249999999986</v>
      </c>
      <c r="N1082" s="14">
        <f t="shared" si="21"/>
        <v>9.0803833333333337</v>
      </c>
      <c r="O1082" s="14">
        <f t="shared" si="21"/>
        <v>9.2478833333333323</v>
      </c>
      <c r="P1082" s="14">
        <f t="shared" si="21"/>
        <v>9.1156333333333333</v>
      </c>
      <c r="Q1082" s="14">
        <f t="shared" si="21"/>
        <v>9.8425833333333319</v>
      </c>
      <c r="R1082" s="14">
        <f t="shared" si="21"/>
        <v>10.454183333333335</v>
      </c>
      <c r="S1082" s="14">
        <f t="shared" si="21"/>
        <v>8.8885500000000004</v>
      </c>
      <c r="T1082" s="49">
        <f>SUM(T157:T168)</f>
        <v>357.24568100000005</v>
      </c>
      <c r="U1082" s="49">
        <f>SUM(U157:U168)</f>
        <v>142.03263249999998</v>
      </c>
      <c r="V1082" s="49">
        <f>SUM(V157:V168)</f>
        <v>50.187500000000007</v>
      </c>
      <c r="W1082" s="49">
        <f>SUM(W157:W168)</f>
        <v>5.0822234999999996</v>
      </c>
      <c r="X1082" s="49">
        <f>SUM(X157:X168)</f>
        <v>20.758966663999999</v>
      </c>
      <c r="Y1082" s="49"/>
      <c r="Z1082" s="14"/>
      <c r="AA1082" s="14"/>
      <c r="AB1082" s="50">
        <f>AVERAGE(AB157:AB168)</f>
        <v>9.2859571546145734</v>
      </c>
      <c r="AC1082" s="45">
        <f>AVERAGE(AC157:AC168)</f>
        <v>9.132424340527578</v>
      </c>
    </row>
    <row r="1083" spans="1:29" ht="15.75" x14ac:dyDescent="0.25">
      <c r="A1083" s="10">
        <v>2026</v>
      </c>
      <c r="B1083" s="14">
        <f t="shared" ref="B1083:S1083" si="22">AVERAGE(B169:B180)</f>
        <v>9.593891666666666</v>
      </c>
      <c r="C1083" s="14">
        <f t="shared" si="22"/>
        <v>9.6001999999999992</v>
      </c>
      <c r="D1083" s="14">
        <f t="shared" si="22"/>
        <v>9.7457083333333347</v>
      </c>
      <c r="E1083" s="14">
        <f t="shared" si="22"/>
        <v>9.7781333333333329</v>
      </c>
      <c r="F1083" s="14">
        <f t="shared" si="22"/>
        <v>9.5867249999999995</v>
      </c>
      <c r="G1083" s="14">
        <f t="shared" si="22"/>
        <v>9.603233333333332</v>
      </c>
      <c r="H1083" s="14">
        <f t="shared" si="22"/>
        <v>9.7672499999999989</v>
      </c>
      <c r="I1083" s="14">
        <f t="shared" si="22"/>
        <v>9.6337833333333336</v>
      </c>
      <c r="J1083" s="14">
        <f t="shared" si="22"/>
        <v>9.5797250000000016</v>
      </c>
      <c r="K1083" s="53">
        <f t="shared" si="22"/>
        <v>9.629883333333332</v>
      </c>
      <c r="L1083" s="14">
        <f t="shared" si="22"/>
        <v>10.35425</v>
      </c>
      <c r="M1083" s="14">
        <f t="shared" si="22"/>
        <v>9.3911416666666661</v>
      </c>
      <c r="N1083" s="14">
        <f t="shared" si="22"/>
        <v>9.4073083333333312</v>
      </c>
      <c r="O1083" s="14">
        <f t="shared" si="22"/>
        <v>9.5748249999999988</v>
      </c>
      <c r="P1083" s="14">
        <f t="shared" si="22"/>
        <v>9.4435500000000001</v>
      </c>
      <c r="Q1083" s="14">
        <f t="shared" si="22"/>
        <v>10.169524999999998</v>
      </c>
      <c r="R1083" s="14">
        <f t="shared" si="22"/>
        <v>10.78195</v>
      </c>
      <c r="S1083" s="14">
        <f t="shared" si="22"/>
        <v>9.2092749999999999</v>
      </c>
      <c r="T1083" s="49">
        <f>SUM(T169:T180)</f>
        <v>357.24568100000005</v>
      </c>
      <c r="U1083" s="49">
        <f>SUM(U169:U180)</f>
        <v>142.03263249999998</v>
      </c>
      <c r="V1083" s="49">
        <f>SUM(V169:V180)</f>
        <v>50.187500000000007</v>
      </c>
      <c r="W1083" s="49">
        <f>SUM(W169:W180)</f>
        <v>5.0822234999999996</v>
      </c>
      <c r="X1083" s="49">
        <f>SUM(X169:X180)</f>
        <v>20.758966663999999</v>
      </c>
      <c r="Y1083" s="49"/>
      <c r="Z1083" s="14"/>
      <c r="AA1083" s="14"/>
      <c r="AB1083" s="50">
        <f>AVERAGE(AB169:AB180)</f>
        <v>9.6198081498852819</v>
      </c>
      <c r="AC1083" s="45">
        <f>AVERAGE(AC169:AC180)</f>
        <v>9.4594967026378889</v>
      </c>
    </row>
    <row r="1084" spans="1:29" ht="15.75" x14ac:dyDescent="0.25">
      <c r="A1084" s="10">
        <v>2027</v>
      </c>
      <c r="B1084" s="14">
        <f t="shared" ref="B1084:S1084" si="23">AVERAGE(B181:B192)</f>
        <v>9.9223999999999997</v>
      </c>
      <c r="C1084" s="14">
        <f t="shared" si="23"/>
        <v>9.9286750000000001</v>
      </c>
      <c r="D1084" s="14">
        <f t="shared" si="23"/>
        <v>10.074208333333333</v>
      </c>
      <c r="E1084" s="14">
        <f t="shared" si="23"/>
        <v>10.106641666666667</v>
      </c>
      <c r="F1084" s="14">
        <f t="shared" si="23"/>
        <v>9.9152416666666667</v>
      </c>
      <c r="G1084" s="14">
        <f t="shared" si="23"/>
        <v>9.9317333333333337</v>
      </c>
      <c r="H1084" s="14">
        <f t="shared" si="23"/>
        <v>10.095750000000001</v>
      </c>
      <c r="I1084" s="14">
        <f t="shared" si="23"/>
        <v>9.9633250000000029</v>
      </c>
      <c r="J1084" s="14">
        <f t="shared" si="23"/>
        <v>9.9082416666666653</v>
      </c>
      <c r="K1084" s="53">
        <f t="shared" si="23"/>
        <v>9.9594333333333349</v>
      </c>
      <c r="L1084" s="14">
        <f t="shared" si="23"/>
        <v>10.682749999999999</v>
      </c>
      <c r="M1084" s="14">
        <f t="shared" si="23"/>
        <v>9.7129166666666666</v>
      </c>
      <c r="N1084" s="14">
        <f t="shared" si="23"/>
        <v>9.7290749999999999</v>
      </c>
      <c r="O1084" s="14">
        <f t="shared" si="23"/>
        <v>9.8965916666666676</v>
      </c>
      <c r="P1084" s="14">
        <f t="shared" si="23"/>
        <v>9.7663166666666665</v>
      </c>
      <c r="Q1084" s="14">
        <f t="shared" si="23"/>
        <v>10.491291666666665</v>
      </c>
      <c r="R1084" s="14">
        <f t="shared" si="23"/>
        <v>11.104533333333331</v>
      </c>
      <c r="S1084" s="14">
        <f t="shared" si="23"/>
        <v>9.5249499999999987</v>
      </c>
      <c r="T1084" s="49">
        <f>SUM(T181:T192)</f>
        <v>357.24568100000005</v>
      </c>
      <c r="U1084" s="49">
        <f>SUM(U181:U192)</f>
        <v>142.03263249999998</v>
      </c>
      <c r="V1084" s="49">
        <f>SUM(V181:V192)</f>
        <v>50.187500000000007</v>
      </c>
      <c r="W1084" s="49">
        <f>SUM(W181:W192)</f>
        <v>5.0822234999999996</v>
      </c>
      <c r="X1084" s="49">
        <f>SUM(X181:X192)</f>
        <v>20.758966663999999</v>
      </c>
      <c r="Y1084" s="49"/>
      <c r="Z1084" s="14"/>
      <c r="AA1084" s="14"/>
      <c r="AB1084" s="50">
        <f>AVERAGE(AB181:AB192)</f>
        <v>9.9483946975534128</v>
      </c>
      <c r="AC1084" s="45">
        <f>AVERAGE(AC181:AC192)</f>
        <v>9.7814101318944857</v>
      </c>
    </row>
    <row r="1085" spans="1:29" ht="15.75" x14ac:dyDescent="0.25">
      <c r="A1085" s="10">
        <v>2028</v>
      </c>
      <c r="B1085" s="14">
        <f t="shared" ref="B1085:S1085" si="24">AVERAGE(B193:B204)</f>
        <v>10.253066666666667</v>
      </c>
      <c r="C1085" s="14">
        <f t="shared" si="24"/>
        <v>10.259341666666666</v>
      </c>
      <c r="D1085" s="14">
        <f t="shared" si="24"/>
        <v>10.404850000000001</v>
      </c>
      <c r="E1085" s="14">
        <f t="shared" si="24"/>
        <v>10.437291666666669</v>
      </c>
      <c r="F1085" s="14">
        <f t="shared" si="24"/>
        <v>10.245900000000001</v>
      </c>
      <c r="G1085" s="14">
        <f t="shared" si="24"/>
        <v>10.262408333333333</v>
      </c>
      <c r="H1085" s="14">
        <f t="shared" si="24"/>
        <v>10.426383333333336</v>
      </c>
      <c r="I1085" s="14">
        <f t="shared" si="24"/>
        <v>10.295008333333332</v>
      </c>
      <c r="J1085" s="14">
        <f t="shared" si="24"/>
        <v>10.238899999999999</v>
      </c>
      <c r="K1085" s="53">
        <f t="shared" si="24"/>
        <v>10.291108333333334</v>
      </c>
      <c r="L1085" s="14">
        <f t="shared" si="24"/>
        <v>11.013383333333332</v>
      </c>
      <c r="M1085" s="14">
        <f t="shared" si="24"/>
        <v>10.036800000000001</v>
      </c>
      <c r="N1085" s="14">
        <f t="shared" si="24"/>
        <v>10.052966666666668</v>
      </c>
      <c r="O1085" s="14">
        <f t="shared" si="24"/>
        <v>10.220466666666667</v>
      </c>
      <c r="P1085" s="14">
        <f t="shared" si="24"/>
        <v>10.091199999999999</v>
      </c>
      <c r="Q1085" s="14">
        <f t="shared" si="24"/>
        <v>10.815166666666668</v>
      </c>
      <c r="R1085" s="14">
        <f t="shared" si="24"/>
        <v>11.429225000000001</v>
      </c>
      <c r="S1085" s="14">
        <f t="shared" si="24"/>
        <v>9.8426500000000008</v>
      </c>
      <c r="T1085" s="49">
        <f>SUM(T193:T204)</f>
        <v>358.17703550000004</v>
      </c>
      <c r="U1085" s="49">
        <f>SUM(U193:U204)</f>
        <v>142.42176299999997</v>
      </c>
      <c r="V1085" s="49">
        <f>SUM(V193:V204)</f>
        <v>50.325000000000003</v>
      </c>
      <c r="W1085" s="49">
        <f>SUM(W193:W204)</f>
        <v>5.0961473999999995</v>
      </c>
      <c r="X1085" s="49">
        <f>SUM(X193:X204)</f>
        <v>20.800615543999996</v>
      </c>
      <c r="Y1085" s="49"/>
      <c r="Z1085" s="14"/>
      <c r="AA1085" s="14"/>
      <c r="AB1085" s="50">
        <f>AVERAGE(AB193:AB204)</f>
        <v>10.279140063279968</v>
      </c>
      <c r="AC1085" s="45">
        <f>AVERAGE(AC193:AC204)</f>
        <v>10.105434052757793</v>
      </c>
    </row>
    <row r="1086" spans="1:29" ht="15.75" x14ac:dyDescent="0.25">
      <c r="A1086" s="10">
        <v>2029</v>
      </c>
      <c r="B1086" s="14">
        <f t="shared" ref="B1086:S1086" si="25">AVERAGE(B205:B216)</f>
        <v>10.594066666666668</v>
      </c>
      <c r="C1086" s="14">
        <f t="shared" si="25"/>
        <v>10.600333333333333</v>
      </c>
      <c r="D1086" s="14">
        <f t="shared" si="25"/>
        <v>10.745875</v>
      </c>
      <c r="E1086" s="14">
        <f t="shared" si="25"/>
        <v>10.778291666666666</v>
      </c>
      <c r="F1086" s="14">
        <f t="shared" si="25"/>
        <v>10.586891666666666</v>
      </c>
      <c r="G1086" s="14">
        <f t="shared" si="25"/>
        <v>10.603400000000001</v>
      </c>
      <c r="H1086" s="14">
        <f t="shared" si="25"/>
        <v>10.767416666666668</v>
      </c>
      <c r="I1086" s="14">
        <f t="shared" si="25"/>
        <v>10.637075000000001</v>
      </c>
      <c r="J1086" s="14">
        <f t="shared" si="25"/>
        <v>10.579891666666667</v>
      </c>
      <c r="K1086" s="53">
        <f t="shared" si="25"/>
        <v>10.633183333333333</v>
      </c>
      <c r="L1086" s="14">
        <f t="shared" si="25"/>
        <v>11.354416666666665</v>
      </c>
      <c r="M1086" s="14">
        <f t="shared" si="25"/>
        <v>10.370791666666667</v>
      </c>
      <c r="N1086" s="14">
        <f t="shared" si="25"/>
        <v>10.386983333333335</v>
      </c>
      <c r="O1086" s="14">
        <f t="shared" si="25"/>
        <v>10.554475</v>
      </c>
      <c r="P1086" s="14">
        <f t="shared" si="25"/>
        <v>10.426216666666665</v>
      </c>
      <c r="Q1086" s="14">
        <f t="shared" si="25"/>
        <v>11.149175</v>
      </c>
      <c r="R1086" s="14">
        <f t="shared" si="25"/>
        <v>11.764041666666666</v>
      </c>
      <c r="S1086" s="14">
        <f t="shared" si="25"/>
        <v>10.170325000000002</v>
      </c>
      <c r="T1086" s="49">
        <f>SUM(T205:T216)</f>
        <v>357.24568100000005</v>
      </c>
      <c r="U1086" s="49">
        <f>SUM(U205:U216)</f>
        <v>142.03263249999998</v>
      </c>
      <c r="V1086" s="49">
        <f>SUM(V205:V216)</f>
        <v>50.187500000000007</v>
      </c>
      <c r="W1086" s="49">
        <f>SUM(W205:W216)</f>
        <v>5.0822234999999996</v>
      </c>
      <c r="X1086" s="49">
        <f>SUM(X205:X216)</f>
        <v>20.758966663999999</v>
      </c>
      <c r="Y1086" s="49"/>
      <c r="Z1086" s="14"/>
      <c r="AA1086" s="14"/>
      <c r="AB1086" s="50">
        <f>AVERAGE(AB205:AB216)</f>
        <v>10.620225973556574</v>
      </c>
      <c r="AC1086" s="45">
        <f>AVERAGE(AC205:AC216)</f>
        <v>10.439585071942444</v>
      </c>
    </row>
    <row r="1087" spans="1:29" ht="15.75" x14ac:dyDescent="0.25">
      <c r="A1087" s="10">
        <v>2030</v>
      </c>
      <c r="B1087" s="14">
        <f t="shared" ref="B1087:S1087" si="26">AVERAGE(B217:B228)</f>
        <v>10.901499999999999</v>
      </c>
      <c r="C1087" s="14">
        <f t="shared" si="26"/>
        <v>10.90775</v>
      </c>
      <c r="D1087" s="14">
        <f t="shared" si="26"/>
        <v>11.053299999999998</v>
      </c>
      <c r="E1087" s="14">
        <f t="shared" si="26"/>
        <v>11.085733333333335</v>
      </c>
      <c r="F1087" s="14">
        <f t="shared" si="26"/>
        <v>10.894316666666667</v>
      </c>
      <c r="G1087" s="14">
        <f t="shared" si="26"/>
        <v>10.910841666666668</v>
      </c>
      <c r="H1087" s="14">
        <f t="shared" si="26"/>
        <v>11.074841666666666</v>
      </c>
      <c r="I1087" s="14">
        <f t="shared" si="26"/>
        <v>10.945475</v>
      </c>
      <c r="J1087" s="14">
        <f t="shared" si="26"/>
        <v>10.887316666666669</v>
      </c>
      <c r="K1087" s="53">
        <f t="shared" si="26"/>
        <v>10.941583333333332</v>
      </c>
      <c r="L1087" s="14">
        <f t="shared" si="26"/>
        <v>11.661841666666666</v>
      </c>
      <c r="M1087" s="14">
        <f t="shared" si="26"/>
        <v>10.671933333333335</v>
      </c>
      <c r="N1087" s="14">
        <f t="shared" si="26"/>
        <v>10.688116666666666</v>
      </c>
      <c r="O1087" s="14">
        <f t="shared" si="26"/>
        <v>10.855625000000002</v>
      </c>
      <c r="P1087" s="14">
        <f t="shared" si="26"/>
        <v>10.728299999999999</v>
      </c>
      <c r="Q1087" s="14">
        <f t="shared" si="26"/>
        <v>11.450324999999999</v>
      </c>
      <c r="R1087" s="14">
        <f t="shared" si="26"/>
        <v>12.065950000000001</v>
      </c>
      <c r="S1087" s="14">
        <f t="shared" si="26"/>
        <v>10.46575</v>
      </c>
      <c r="T1087" s="49">
        <f>SUM(T217:T228)</f>
        <v>357.24568100000005</v>
      </c>
      <c r="U1087" s="49">
        <f>SUM(U217:U228)</f>
        <v>142.03263249999998</v>
      </c>
      <c r="V1087" s="49">
        <f>SUM(V217:V228)</f>
        <v>50.187500000000007</v>
      </c>
      <c r="W1087" s="49">
        <f>SUM(W217:W228)</f>
        <v>5.0822234999999996</v>
      </c>
      <c r="X1087" s="49">
        <f>SUM(X217:X228)</f>
        <v>20.758966663999999</v>
      </c>
      <c r="Y1087" s="49"/>
      <c r="Z1087" s="14"/>
      <c r="AA1087" s="14"/>
      <c r="AB1087" s="50">
        <f>AVERAGE(AB217:AB228)</f>
        <v>10.927732546090537</v>
      </c>
      <c r="AC1087" s="45">
        <f>AVERAGE(AC217:AC228)</f>
        <v>10.740864088729019</v>
      </c>
    </row>
    <row r="1088" spans="1:29" ht="15.75" x14ac:dyDescent="0.25">
      <c r="A1088" s="10">
        <v>2031</v>
      </c>
      <c r="B1088" s="14">
        <f t="shared" ref="B1088:S1088" si="27">AVERAGE(B229:B240)</f>
        <v>11.366291666666667</v>
      </c>
      <c r="C1088" s="14">
        <f t="shared" si="27"/>
        <v>11.372574999999999</v>
      </c>
      <c r="D1088" s="14">
        <f t="shared" si="27"/>
        <v>11.518108333333331</v>
      </c>
      <c r="E1088" s="14">
        <f t="shared" si="27"/>
        <v>11.550508333333333</v>
      </c>
      <c r="F1088" s="14">
        <f t="shared" si="27"/>
        <v>11.359116666666665</v>
      </c>
      <c r="G1088" s="14">
        <f t="shared" si="27"/>
        <v>11.375616666666666</v>
      </c>
      <c r="H1088" s="14">
        <f t="shared" si="27"/>
        <v>11.53965</v>
      </c>
      <c r="I1088" s="14">
        <f t="shared" si="27"/>
        <v>11.411724999999999</v>
      </c>
      <c r="J1088" s="14">
        <f t="shared" si="27"/>
        <v>11.352116666666667</v>
      </c>
      <c r="K1088" s="53">
        <f t="shared" si="27"/>
        <v>11.407833333333334</v>
      </c>
      <c r="L1088" s="14">
        <f t="shared" si="27"/>
        <v>12.12665</v>
      </c>
      <c r="M1088" s="14">
        <f t="shared" si="27"/>
        <v>11.127225000000001</v>
      </c>
      <c r="N1088" s="14">
        <f t="shared" si="27"/>
        <v>11.1434</v>
      </c>
      <c r="O1088" s="14">
        <f t="shared" si="27"/>
        <v>11.310875000000001</v>
      </c>
      <c r="P1088" s="14">
        <f t="shared" si="27"/>
        <v>11.184949999999999</v>
      </c>
      <c r="Q1088" s="14">
        <f t="shared" si="27"/>
        <v>11.905574999999999</v>
      </c>
      <c r="R1088" s="14">
        <f t="shared" si="27"/>
        <v>12.522341666666668</v>
      </c>
      <c r="S1088" s="14">
        <f t="shared" si="27"/>
        <v>10.912358333333332</v>
      </c>
      <c r="T1088" s="49">
        <f>SUM(T229:T240)</f>
        <v>357.24568100000005</v>
      </c>
      <c r="U1088" s="49">
        <f>SUM(U229:U240)</f>
        <v>142.03263249999998</v>
      </c>
      <c r="V1088" s="49">
        <f>SUM(V229:V240)</f>
        <v>50.187500000000007</v>
      </c>
      <c r="W1088" s="49">
        <f>SUM(W229:W240)</f>
        <v>5.0822234999999996</v>
      </c>
      <c r="X1088" s="49">
        <f>SUM(X229:X240)</f>
        <v>20.758966663999999</v>
      </c>
      <c r="Y1088" s="49"/>
      <c r="Z1088" s="14"/>
      <c r="AA1088" s="14"/>
      <c r="AB1088" s="50">
        <f>AVERAGE(AB229:AB240)</f>
        <v>11.392653564224441</v>
      </c>
      <c r="AC1088" s="45">
        <f>AVERAGE(AC229:AC240)</f>
        <v>11.196336151079137</v>
      </c>
    </row>
    <row r="1089" spans="1:29" ht="15.75" x14ac:dyDescent="0.25">
      <c r="A1089" s="10">
        <v>2032</v>
      </c>
      <c r="B1089" s="14">
        <f t="shared" ref="B1089:S1089" si="28">AVERAGE(B241:B252)</f>
        <v>11.796200000000001</v>
      </c>
      <c r="C1089" s="14">
        <f t="shared" si="28"/>
        <v>11.8025</v>
      </c>
      <c r="D1089" s="14">
        <f t="shared" si="28"/>
        <v>11.947999999999999</v>
      </c>
      <c r="E1089" s="14">
        <f t="shared" si="28"/>
        <v>11.980425000000002</v>
      </c>
      <c r="F1089" s="14">
        <f t="shared" si="28"/>
        <v>11.789041666666668</v>
      </c>
      <c r="G1089" s="14">
        <f t="shared" si="28"/>
        <v>11.805541666666665</v>
      </c>
      <c r="H1089" s="14">
        <f t="shared" si="28"/>
        <v>11.969541666666665</v>
      </c>
      <c r="I1089" s="14">
        <f t="shared" si="28"/>
        <v>11.842983333333331</v>
      </c>
      <c r="J1089" s="14">
        <f t="shared" si="28"/>
        <v>11.782041666666666</v>
      </c>
      <c r="K1089" s="53">
        <f t="shared" si="28"/>
        <v>11.839091666666667</v>
      </c>
      <c r="L1089" s="14">
        <f t="shared" si="28"/>
        <v>12.55654166666667</v>
      </c>
      <c r="M1089" s="14">
        <f t="shared" si="28"/>
        <v>11.548333333333332</v>
      </c>
      <c r="N1089" s="14">
        <f t="shared" si="28"/>
        <v>11.564483333333335</v>
      </c>
      <c r="O1089" s="14">
        <f t="shared" si="28"/>
        <v>11.732008333333333</v>
      </c>
      <c r="P1089" s="14">
        <f t="shared" si="28"/>
        <v>11.607366666666664</v>
      </c>
      <c r="Q1089" s="14">
        <f t="shared" si="28"/>
        <v>12.326708333333334</v>
      </c>
      <c r="R1089" s="14">
        <f t="shared" si="28"/>
        <v>12.944508333333333</v>
      </c>
      <c r="S1089" s="14">
        <f t="shared" si="28"/>
        <v>11.325474999999999</v>
      </c>
      <c r="T1089" s="49">
        <f>SUM(T241:T252)</f>
        <v>358.17703550000004</v>
      </c>
      <c r="U1089" s="49">
        <f>SUM(U241:U252)</f>
        <v>142.42176299999997</v>
      </c>
      <c r="V1089" s="49">
        <f>SUM(V241:V252)</f>
        <v>50.325000000000003</v>
      </c>
      <c r="W1089" s="49">
        <f>SUM(W241:W252)</f>
        <v>5.0961473999999995</v>
      </c>
      <c r="X1089" s="49">
        <f>SUM(X241:X252)</f>
        <v>20.800615543999996</v>
      </c>
      <c r="Y1089" s="49"/>
      <c r="Z1089" s="14"/>
      <c r="AA1089" s="14"/>
      <c r="AB1089" s="50">
        <f>AVERAGE(AB241:AB252)</f>
        <v>11.8226822010232</v>
      </c>
      <c r="AC1089" s="45">
        <f>AVERAGE(AC241:AC252)</f>
        <v>11.617635431654675</v>
      </c>
    </row>
    <row r="1090" spans="1:29" ht="15.75" x14ac:dyDescent="0.25">
      <c r="A1090" s="10">
        <v>2033</v>
      </c>
      <c r="B1090" s="14">
        <f t="shared" ref="B1090:S1090" si="29">AVERAGE(B253:B264)</f>
        <v>12.242408333333332</v>
      </c>
      <c r="C1090" s="14">
        <f t="shared" si="29"/>
        <v>12.248666666666665</v>
      </c>
      <c r="D1090" s="14">
        <f t="shared" si="29"/>
        <v>12.394216666666667</v>
      </c>
      <c r="E1090" s="14">
        <f t="shared" si="29"/>
        <v>12.426625</v>
      </c>
      <c r="F1090" s="14">
        <f t="shared" si="29"/>
        <v>12.235225</v>
      </c>
      <c r="G1090" s="14">
        <f t="shared" si="29"/>
        <v>12.251724999999999</v>
      </c>
      <c r="H1090" s="14">
        <f t="shared" si="29"/>
        <v>12.415733333333336</v>
      </c>
      <c r="I1090" s="14">
        <f t="shared" si="29"/>
        <v>12.290583333333336</v>
      </c>
      <c r="J1090" s="14">
        <f t="shared" si="29"/>
        <v>12.228224999999997</v>
      </c>
      <c r="K1090" s="53">
        <f t="shared" si="29"/>
        <v>12.286691666666664</v>
      </c>
      <c r="L1090" s="14">
        <f t="shared" si="29"/>
        <v>13.002733333333332</v>
      </c>
      <c r="M1090" s="14">
        <f t="shared" si="29"/>
        <v>11.985383333333333</v>
      </c>
      <c r="N1090" s="14">
        <f t="shared" si="29"/>
        <v>12.001533333333333</v>
      </c>
      <c r="O1090" s="14">
        <f t="shared" si="29"/>
        <v>12.169041666666667</v>
      </c>
      <c r="P1090" s="14">
        <f t="shared" si="29"/>
        <v>12.04575</v>
      </c>
      <c r="Q1090" s="14">
        <f t="shared" si="29"/>
        <v>12.763741666666666</v>
      </c>
      <c r="R1090" s="14">
        <f t="shared" si="29"/>
        <v>13.38265</v>
      </c>
      <c r="S1090" s="14">
        <f t="shared" si="29"/>
        <v>11.754216666666666</v>
      </c>
      <c r="T1090" s="49">
        <f>SUM(T253:T264)</f>
        <v>357.24568100000005</v>
      </c>
      <c r="U1090" s="49">
        <f>SUM(U253:U264)</f>
        <v>142.03263249999998</v>
      </c>
      <c r="V1090" s="49">
        <f>SUM(V253:V264)</f>
        <v>50.187500000000007</v>
      </c>
      <c r="W1090" s="49">
        <f>SUM(W253:W264)</f>
        <v>5.0822234999999996</v>
      </c>
      <c r="X1090" s="49">
        <f>SUM(X253:X264)</f>
        <v>20.758966663999999</v>
      </c>
      <c r="Y1090" s="49"/>
      <c r="Z1090" s="14"/>
      <c r="AA1090" s="14"/>
      <c r="AB1090" s="50">
        <f>AVERAGE(AB253:AB264)</f>
        <v>12.268986182546294</v>
      </c>
      <c r="AC1090" s="45">
        <f>AVERAGE(AC253:AC264)</f>
        <v>12.054871163069544</v>
      </c>
    </row>
    <row r="1091" spans="1:29" ht="15.75" x14ac:dyDescent="0.25">
      <c r="A1091" s="10">
        <v>2034</v>
      </c>
      <c r="B1091" s="14">
        <f t="shared" ref="B1091:S1091" si="30">AVERAGE(B265:B276)</f>
        <v>12.705475</v>
      </c>
      <c r="C1091" s="14">
        <f t="shared" si="30"/>
        <v>12.71175</v>
      </c>
      <c r="D1091" s="14">
        <f t="shared" si="30"/>
        <v>12.857291666666669</v>
      </c>
      <c r="E1091" s="14">
        <f t="shared" si="30"/>
        <v>12.889716666666667</v>
      </c>
      <c r="F1091" s="14">
        <f t="shared" si="30"/>
        <v>12.698299999999998</v>
      </c>
      <c r="G1091" s="14">
        <f t="shared" si="30"/>
        <v>12.714816666666666</v>
      </c>
      <c r="H1091" s="14">
        <f t="shared" si="30"/>
        <v>12.878833333333333</v>
      </c>
      <c r="I1091" s="14">
        <f t="shared" si="30"/>
        <v>12.755108333333334</v>
      </c>
      <c r="J1091" s="14">
        <f t="shared" si="30"/>
        <v>12.691299999999996</v>
      </c>
      <c r="K1091" s="53">
        <f t="shared" si="30"/>
        <v>12.751216666666666</v>
      </c>
      <c r="L1091" s="14">
        <f t="shared" si="30"/>
        <v>13.465833333333334</v>
      </c>
      <c r="M1091" s="14">
        <f t="shared" si="30"/>
        <v>12.438966666666666</v>
      </c>
      <c r="N1091" s="14">
        <f t="shared" si="30"/>
        <v>12.455141666666668</v>
      </c>
      <c r="O1091" s="14">
        <f t="shared" si="30"/>
        <v>12.622641666666667</v>
      </c>
      <c r="P1091" s="14">
        <f t="shared" si="30"/>
        <v>12.500733333333335</v>
      </c>
      <c r="Q1091" s="14">
        <f t="shared" si="30"/>
        <v>13.217341666666668</v>
      </c>
      <c r="R1091" s="14">
        <f t="shared" si="30"/>
        <v>13.837391666666663</v>
      </c>
      <c r="S1091" s="14">
        <f t="shared" si="30"/>
        <v>12.199199999999999</v>
      </c>
      <c r="T1091" s="49">
        <f>SUM(T265:T276)</f>
        <v>357.24568100000005</v>
      </c>
      <c r="U1091" s="49">
        <f>SUM(U265:U276)</f>
        <v>142.03263249999998</v>
      </c>
      <c r="V1091" s="49">
        <f>SUM(V265:V276)</f>
        <v>50.187500000000007</v>
      </c>
      <c r="W1091" s="49">
        <f>SUM(W265:W276)</f>
        <v>5.0822234999999996</v>
      </c>
      <c r="X1091" s="49">
        <f>SUM(X265:X276)</f>
        <v>20.758966663999999</v>
      </c>
      <c r="Y1091" s="49"/>
      <c r="Z1091" s="14"/>
      <c r="AA1091" s="14"/>
      <c r="AB1091" s="50">
        <f>AVERAGE(AB265:AB276)</f>
        <v>12.732185139751023</v>
      </c>
      <c r="AC1091" s="45">
        <f>AVERAGE(AC265:AC276)</f>
        <v>12.508664928057556</v>
      </c>
    </row>
    <row r="1092" spans="1:29" ht="15.75" x14ac:dyDescent="0.25">
      <c r="A1092" s="10">
        <v>2035</v>
      </c>
      <c r="B1092" s="14">
        <f t="shared" ref="B1092:S1092" si="31">AVERAGE(B277:B288)</f>
        <v>13.186100000000001</v>
      </c>
      <c r="C1092" s="14">
        <f t="shared" si="31"/>
        <v>13.192391666666666</v>
      </c>
      <c r="D1092" s="14">
        <f t="shared" si="31"/>
        <v>13.337916666666665</v>
      </c>
      <c r="E1092" s="14">
        <f t="shared" si="31"/>
        <v>13.370333333333333</v>
      </c>
      <c r="F1092" s="14">
        <f t="shared" si="31"/>
        <v>13.178941666666665</v>
      </c>
      <c r="G1092" s="14">
        <f t="shared" si="31"/>
        <v>13.195433333333336</v>
      </c>
      <c r="H1092" s="14">
        <f t="shared" si="31"/>
        <v>13.359458333333331</v>
      </c>
      <c r="I1092" s="14">
        <f t="shared" si="31"/>
        <v>13.237233333333336</v>
      </c>
      <c r="J1092" s="14">
        <f t="shared" si="31"/>
        <v>13.171941666666669</v>
      </c>
      <c r="K1092" s="53">
        <f t="shared" si="31"/>
        <v>13.233350000000002</v>
      </c>
      <c r="L1092" s="14">
        <f t="shared" si="31"/>
        <v>13.946458333333332</v>
      </c>
      <c r="M1092" s="14">
        <f t="shared" si="31"/>
        <v>12.909741666666667</v>
      </c>
      <c r="N1092" s="14">
        <f t="shared" si="31"/>
        <v>12.925908333333334</v>
      </c>
      <c r="O1092" s="14">
        <f t="shared" si="31"/>
        <v>13.093425000000002</v>
      </c>
      <c r="P1092" s="14">
        <f t="shared" si="31"/>
        <v>12.972941666666665</v>
      </c>
      <c r="Q1092" s="14">
        <f t="shared" si="31"/>
        <v>13.688124999999999</v>
      </c>
      <c r="R1092" s="14">
        <f t="shared" si="31"/>
        <v>14.309341666666667</v>
      </c>
      <c r="S1092" s="14">
        <f t="shared" si="31"/>
        <v>12.661008333333335</v>
      </c>
      <c r="T1092" s="49">
        <f>SUM(T277:T288)</f>
        <v>357.24568100000005</v>
      </c>
      <c r="U1092" s="49">
        <f>SUM(U277:U288)</f>
        <v>142.03263249999998</v>
      </c>
      <c r="V1092" s="49">
        <f>SUM(V277:V288)</f>
        <v>50.187500000000007</v>
      </c>
      <c r="W1092" s="49">
        <f>SUM(W277:W288)</f>
        <v>5.0822234999999996</v>
      </c>
      <c r="X1092" s="49">
        <f>SUM(X277:X288)</f>
        <v>20.758966663999999</v>
      </c>
      <c r="Y1092" s="49"/>
      <c r="Z1092" s="14"/>
      <c r="AA1092" s="14"/>
      <c r="AB1092" s="50">
        <f>AVERAGE(AB277:AB288)</f>
        <v>13.212939928942051</v>
      </c>
      <c r="AC1092" s="45">
        <f>AVERAGE(AC277:AC288)</f>
        <v>12.979649460431654</v>
      </c>
    </row>
    <row r="1093" spans="1:29" ht="15.75" x14ac:dyDescent="0.25">
      <c r="A1093" s="10">
        <v>2036</v>
      </c>
      <c r="B1093" s="14">
        <f t="shared" ref="B1093:S1093" si="32">AVERAGE(B289:B300)</f>
        <v>13.684925</v>
      </c>
      <c r="C1093" s="14">
        <f t="shared" si="32"/>
        <v>13.691191666666667</v>
      </c>
      <c r="D1093" s="14">
        <f t="shared" si="32"/>
        <v>13.836725000000001</v>
      </c>
      <c r="E1093" s="14">
        <f t="shared" si="32"/>
        <v>13.869141666666666</v>
      </c>
      <c r="F1093" s="14">
        <f t="shared" si="32"/>
        <v>13.677750000000001</v>
      </c>
      <c r="G1093" s="14">
        <f t="shared" si="32"/>
        <v>13.694241666666668</v>
      </c>
      <c r="H1093" s="14">
        <f t="shared" si="32"/>
        <v>13.858258333333334</v>
      </c>
      <c r="I1093" s="14">
        <f t="shared" si="32"/>
        <v>13.737608333333332</v>
      </c>
      <c r="J1093" s="14">
        <f t="shared" si="32"/>
        <v>13.67075</v>
      </c>
      <c r="K1093" s="53">
        <f t="shared" si="32"/>
        <v>13.733716666666666</v>
      </c>
      <c r="L1093" s="14">
        <f t="shared" si="32"/>
        <v>14.445258333333333</v>
      </c>
      <c r="M1093" s="14">
        <f t="shared" si="32"/>
        <v>13.398333333333333</v>
      </c>
      <c r="N1093" s="14">
        <f t="shared" si="32"/>
        <v>13.414499999999999</v>
      </c>
      <c r="O1093" s="14">
        <f t="shared" si="32"/>
        <v>13.581999999999999</v>
      </c>
      <c r="P1093" s="14">
        <f t="shared" si="32"/>
        <v>13.463041666666667</v>
      </c>
      <c r="Q1093" s="14">
        <f t="shared" si="32"/>
        <v>14.176699999999999</v>
      </c>
      <c r="R1093" s="14">
        <f t="shared" si="32"/>
        <v>14.799149999999999</v>
      </c>
      <c r="S1093" s="14">
        <f t="shared" si="32"/>
        <v>13.140333333333331</v>
      </c>
      <c r="T1093" s="49">
        <f>SUM(T289:T300)</f>
        <v>358.17703550000004</v>
      </c>
      <c r="U1093" s="49">
        <f>SUM(U289:U300)</f>
        <v>142.42176299999997</v>
      </c>
      <c r="V1093" s="49">
        <f>SUM(V289:V300)</f>
        <v>50.325000000000003</v>
      </c>
      <c r="W1093" s="49">
        <f>SUM(W289:W300)</f>
        <v>5.0961473999999995</v>
      </c>
      <c r="X1093" s="49">
        <f>SUM(X289:X300)</f>
        <v>20.800615543999996</v>
      </c>
      <c r="Y1093" s="49"/>
      <c r="Z1093" s="14"/>
      <c r="AA1093" s="14"/>
      <c r="AB1093" s="50">
        <f>AVERAGE(AB289:AB300)</f>
        <v>13.711877985087261</v>
      </c>
      <c r="AC1093" s="45">
        <f>AVERAGE(AC289:AC300)</f>
        <v>13.468453477218226</v>
      </c>
    </row>
    <row r="1094" spans="1:29" ht="15.75" x14ac:dyDescent="0.25">
      <c r="A1094" s="10">
        <v>2037</v>
      </c>
      <c r="B1094" s="14">
        <f t="shared" ref="B1094:S1094" si="33">AVERAGE(B301:B312)</f>
        <v>14.202633333333333</v>
      </c>
      <c r="C1094" s="14">
        <f t="shared" si="33"/>
        <v>14.208883333333333</v>
      </c>
      <c r="D1094" s="14">
        <f t="shared" si="33"/>
        <v>14.35440833333333</v>
      </c>
      <c r="E1094" s="14">
        <f t="shared" si="33"/>
        <v>14.386833333333334</v>
      </c>
      <c r="F1094" s="14">
        <f t="shared" si="33"/>
        <v>14.195450000000001</v>
      </c>
      <c r="G1094" s="14">
        <f t="shared" si="33"/>
        <v>14.211950000000002</v>
      </c>
      <c r="H1094" s="14">
        <f t="shared" si="33"/>
        <v>14.375950000000001</v>
      </c>
      <c r="I1094" s="14">
        <f t="shared" si="33"/>
        <v>14.256925000000001</v>
      </c>
      <c r="J1094" s="14">
        <f t="shared" si="33"/>
        <v>14.188450000000001</v>
      </c>
      <c r="K1094" s="53">
        <f t="shared" si="33"/>
        <v>14.253024999999999</v>
      </c>
      <c r="L1094" s="14">
        <f t="shared" si="33"/>
        <v>14.962950000000001</v>
      </c>
      <c r="M1094" s="14">
        <f t="shared" si="33"/>
        <v>13.905416666666666</v>
      </c>
      <c r="N1094" s="14">
        <f t="shared" si="33"/>
        <v>13.921583333333333</v>
      </c>
      <c r="O1094" s="14">
        <f t="shared" si="33"/>
        <v>14.089100000000002</v>
      </c>
      <c r="P1094" s="14">
        <f t="shared" si="33"/>
        <v>13.971691666666667</v>
      </c>
      <c r="Q1094" s="14">
        <f t="shared" si="33"/>
        <v>14.683799999999998</v>
      </c>
      <c r="R1094" s="14">
        <f t="shared" si="33"/>
        <v>15.307508333333333</v>
      </c>
      <c r="S1094" s="14">
        <f t="shared" si="33"/>
        <v>13.637766666666666</v>
      </c>
      <c r="T1094" s="49">
        <f>SUM(T301:T312)</f>
        <v>357.24568100000005</v>
      </c>
      <c r="U1094" s="49">
        <f>SUM(U301:U312)</f>
        <v>142.03263249999998</v>
      </c>
      <c r="V1094" s="49">
        <f>SUM(V301:V312)</f>
        <v>50.187500000000007</v>
      </c>
      <c r="W1094" s="49">
        <f>SUM(W301:W312)</f>
        <v>5.0822234999999996</v>
      </c>
      <c r="X1094" s="49">
        <f>SUM(X301:X312)</f>
        <v>20.758966663999999</v>
      </c>
      <c r="Y1094" s="49"/>
      <c r="Z1094" s="14"/>
      <c r="AA1094" s="14"/>
      <c r="AB1094" s="50">
        <f>AVERAGE(AB301:AB312)</f>
        <v>14.229708714852054</v>
      </c>
      <c r="AC1094" s="45">
        <f>AVERAGE(AC301:AC312)</f>
        <v>13.975766906474822</v>
      </c>
    </row>
    <row r="1095" spans="1:29" ht="15.75" x14ac:dyDescent="0.25">
      <c r="A1095" s="10">
        <f t="shared" ref="A1095:A1126" si="34">A1094+1</f>
        <v>2038</v>
      </c>
      <c r="B1095" s="14">
        <f t="shared" ref="B1095:S1095" si="35">AVERAGE(B313:B324)</f>
        <v>14.739916666666671</v>
      </c>
      <c r="C1095" s="14">
        <f t="shared" si="35"/>
        <v>14.746175000000001</v>
      </c>
      <c r="D1095" s="14">
        <f t="shared" si="35"/>
        <v>14.891725000000001</v>
      </c>
      <c r="E1095" s="14">
        <f t="shared" si="35"/>
        <v>14.924133333333337</v>
      </c>
      <c r="F1095" s="14">
        <f t="shared" si="35"/>
        <v>14.732716666666667</v>
      </c>
      <c r="G1095" s="14">
        <f t="shared" si="35"/>
        <v>14.749250000000004</v>
      </c>
      <c r="H1095" s="14">
        <f t="shared" si="35"/>
        <v>14.913266666666667</v>
      </c>
      <c r="I1095" s="14">
        <f t="shared" si="35"/>
        <v>14.79591666666667</v>
      </c>
      <c r="J1095" s="14">
        <f t="shared" si="35"/>
        <v>14.725716666666669</v>
      </c>
      <c r="K1095" s="53">
        <f t="shared" si="35"/>
        <v>14.792033333333331</v>
      </c>
      <c r="L1095" s="14">
        <f t="shared" si="35"/>
        <v>15.500266666666667</v>
      </c>
      <c r="M1095" s="14">
        <f t="shared" si="35"/>
        <v>14.431708333333333</v>
      </c>
      <c r="N1095" s="14">
        <f t="shared" si="35"/>
        <v>14.447883333333332</v>
      </c>
      <c r="O1095" s="14">
        <f t="shared" si="35"/>
        <v>14.615374999999998</v>
      </c>
      <c r="P1095" s="14">
        <f t="shared" si="35"/>
        <v>14.499600000000001</v>
      </c>
      <c r="Q1095" s="14">
        <f t="shared" si="35"/>
        <v>15.210075000000002</v>
      </c>
      <c r="R1095" s="14">
        <f t="shared" si="35"/>
        <v>15.835125</v>
      </c>
      <c r="S1095" s="14">
        <f t="shared" si="35"/>
        <v>14.154083333333334</v>
      </c>
      <c r="T1095" s="49">
        <f>SUM(T313:T324)</f>
        <v>357.24568100000005</v>
      </c>
      <c r="U1095" s="49">
        <f>SUM(U313:U324)</f>
        <v>142.03263249999998</v>
      </c>
      <c r="V1095" s="49">
        <f>SUM(V313:V324)</f>
        <v>50.187500000000007</v>
      </c>
      <c r="W1095" s="49">
        <f>SUM(W313:W324)</f>
        <v>5.0822234999999996</v>
      </c>
      <c r="X1095" s="49">
        <f>SUM(X313:X324)</f>
        <v>20.758966663999999</v>
      </c>
      <c r="Y1095" s="49"/>
      <c r="Z1095" s="14"/>
      <c r="AA1095" s="14"/>
      <c r="AB1095" s="50">
        <f>AVERAGE(AB313:AB324)</f>
        <v>14.767137030235702</v>
      </c>
      <c r="AC1095" s="45">
        <f>AVERAGE(AC313:AC324)</f>
        <v>14.502286990407674</v>
      </c>
    </row>
    <row r="1096" spans="1:29" ht="15.75" x14ac:dyDescent="0.25">
      <c r="A1096" s="10">
        <f t="shared" si="34"/>
        <v>2039</v>
      </c>
      <c r="B1096" s="14">
        <f t="shared" ref="B1096:S1096" si="36">AVERAGE(B325:B336)</f>
        <v>15.297550000000001</v>
      </c>
      <c r="C1096" s="14">
        <f t="shared" si="36"/>
        <v>15.303816666666668</v>
      </c>
      <c r="D1096" s="14">
        <f t="shared" si="36"/>
        <v>15.449341666666667</v>
      </c>
      <c r="E1096" s="14">
        <f t="shared" si="36"/>
        <v>15.481774999999999</v>
      </c>
      <c r="F1096" s="14">
        <f t="shared" si="36"/>
        <v>15.29039166666667</v>
      </c>
      <c r="G1096" s="14">
        <f t="shared" si="36"/>
        <v>15.306900000000001</v>
      </c>
      <c r="H1096" s="14">
        <f t="shared" si="36"/>
        <v>15.470891666666667</v>
      </c>
      <c r="I1096" s="14">
        <f t="shared" si="36"/>
        <v>15.355308333333333</v>
      </c>
      <c r="J1096" s="14">
        <f t="shared" si="36"/>
        <v>15.283391666666665</v>
      </c>
      <c r="K1096" s="53">
        <f t="shared" si="36"/>
        <v>15.351408333333334</v>
      </c>
      <c r="L1096" s="14">
        <f t="shared" si="36"/>
        <v>16.057891666666666</v>
      </c>
      <c r="M1096" s="14">
        <f t="shared" si="36"/>
        <v>14.977924999999999</v>
      </c>
      <c r="N1096" s="14">
        <f t="shared" si="36"/>
        <v>14.994091666666668</v>
      </c>
      <c r="O1096" s="14">
        <f t="shared" si="36"/>
        <v>15.1616</v>
      </c>
      <c r="P1096" s="14">
        <f t="shared" si="36"/>
        <v>15.047475</v>
      </c>
      <c r="Q1096" s="14">
        <f t="shared" si="36"/>
        <v>15.756299999999998</v>
      </c>
      <c r="R1096" s="14">
        <f t="shared" si="36"/>
        <v>16.382683333333336</v>
      </c>
      <c r="S1096" s="14">
        <f t="shared" si="36"/>
        <v>14.689891666666668</v>
      </c>
      <c r="T1096" s="49">
        <f>SUM(T325:T336)</f>
        <v>357.24568100000005</v>
      </c>
      <c r="U1096" s="49">
        <f>SUM(U325:U336)</f>
        <v>142.03263249999998</v>
      </c>
      <c r="V1096" s="49">
        <f>SUM(V325:V336)</f>
        <v>50.187500000000007</v>
      </c>
      <c r="W1096" s="49">
        <f>SUM(W325:W336)</f>
        <v>5.0822234999999996</v>
      </c>
      <c r="X1096" s="49">
        <f>SUM(X325:X336)</f>
        <v>20.758966663999999</v>
      </c>
      <c r="Y1096" s="49"/>
      <c r="Z1096" s="55"/>
      <c r="AA1096" s="54"/>
      <c r="AB1096" s="50">
        <f>AVERAGE(AB325:AB336)</f>
        <v>15.324929552423393</v>
      </c>
      <c r="AC1096" s="45">
        <f>AVERAGE(AC325:AC336)</f>
        <v>15.04874556354916</v>
      </c>
    </row>
    <row r="1097" spans="1:29" ht="15.75" x14ac:dyDescent="0.25">
      <c r="A1097" s="10">
        <f t="shared" si="34"/>
        <v>2040</v>
      </c>
      <c r="B1097" s="14">
        <f t="shared" ref="B1097:S1097" si="37">AVERAGE(B337:B348)</f>
        <v>15.876308333333334</v>
      </c>
      <c r="C1097" s="14">
        <f t="shared" si="37"/>
        <v>15.882558333333336</v>
      </c>
      <c r="D1097" s="14">
        <f t="shared" si="37"/>
        <v>16.028108333333332</v>
      </c>
      <c r="E1097" s="14">
        <f t="shared" si="37"/>
        <v>16.060533333333332</v>
      </c>
      <c r="F1097" s="14">
        <f t="shared" si="37"/>
        <v>15.869141666666664</v>
      </c>
      <c r="G1097" s="14">
        <f t="shared" si="37"/>
        <v>15.885649999999998</v>
      </c>
      <c r="H1097" s="14">
        <f t="shared" si="37"/>
        <v>16.04965</v>
      </c>
      <c r="I1097" s="14">
        <f t="shared" si="37"/>
        <v>15.935866666666669</v>
      </c>
      <c r="J1097" s="14">
        <f t="shared" si="37"/>
        <v>15.862141666666668</v>
      </c>
      <c r="K1097" s="53">
        <f t="shared" si="37"/>
        <v>15.931966666666662</v>
      </c>
      <c r="L1097" s="14">
        <f t="shared" si="37"/>
        <v>16.636649999999999</v>
      </c>
      <c r="M1097" s="14">
        <f t="shared" si="37"/>
        <v>15.544825000000001</v>
      </c>
      <c r="N1097" s="14">
        <f t="shared" si="37"/>
        <v>15.560991666666668</v>
      </c>
      <c r="O1097" s="14">
        <f t="shared" si="37"/>
        <v>15.728499999999999</v>
      </c>
      <c r="P1097" s="14">
        <f t="shared" si="37"/>
        <v>15.616116666666668</v>
      </c>
      <c r="Q1097" s="14">
        <f t="shared" si="37"/>
        <v>16.3232</v>
      </c>
      <c r="R1097" s="14">
        <f t="shared" si="37"/>
        <v>16.951008333333334</v>
      </c>
      <c r="S1097" s="14">
        <f t="shared" si="37"/>
        <v>15.246041666666665</v>
      </c>
      <c r="T1097" s="49">
        <f>SUM(T337:T348)</f>
        <v>358.17703550000004</v>
      </c>
      <c r="U1097" s="49">
        <f>SUM(U337:U348)</f>
        <v>142.42176299999997</v>
      </c>
      <c r="V1097" s="49">
        <f>SUM(V337:V348)</f>
        <v>50.325000000000003</v>
      </c>
      <c r="W1097" s="49">
        <f>SUM(W337:W348)</f>
        <v>5.0961473999999995</v>
      </c>
      <c r="X1097" s="49">
        <f>SUM(X337:X348)</f>
        <v>20.800615543999996</v>
      </c>
      <c r="Y1097" s="49"/>
      <c r="Z1097" s="55"/>
      <c r="AA1097" s="54"/>
      <c r="AB1097" s="50">
        <f>AVERAGE(AB337:AB348)</f>
        <v>15.903829837586322</v>
      </c>
      <c r="AC1097" s="45">
        <f>AVERAGE(AC337:AC348)</f>
        <v>15.615894724220622</v>
      </c>
    </row>
    <row r="1098" spans="1:29" ht="15.75" x14ac:dyDescent="0.25">
      <c r="A1098" s="10">
        <f t="shared" si="34"/>
        <v>2041</v>
      </c>
      <c r="B1098" s="14">
        <f t="shared" ref="B1098:S1098" si="38">AVERAGE(B349:B360)</f>
        <v>16.476966666666666</v>
      </c>
      <c r="C1098" s="14">
        <f t="shared" si="38"/>
        <v>16.483241666666668</v>
      </c>
      <c r="D1098" s="14">
        <f t="shared" si="38"/>
        <v>16.628758333333334</v>
      </c>
      <c r="E1098" s="14">
        <f t="shared" si="38"/>
        <v>16.661200000000004</v>
      </c>
      <c r="F1098" s="14">
        <f t="shared" si="38"/>
        <v>16.469799999999999</v>
      </c>
      <c r="G1098" s="14">
        <f t="shared" si="38"/>
        <v>16.486308333333337</v>
      </c>
      <c r="H1098" s="14">
        <f t="shared" si="38"/>
        <v>16.650299999999998</v>
      </c>
      <c r="I1098" s="14">
        <f t="shared" si="38"/>
        <v>16.538408333333333</v>
      </c>
      <c r="J1098" s="14">
        <f t="shared" si="38"/>
        <v>16.462799999999998</v>
      </c>
      <c r="K1098" s="53">
        <f t="shared" si="38"/>
        <v>16.534516666666665</v>
      </c>
      <c r="L1098" s="14">
        <f t="shared" si="38"/>
        <v>17.237300000000001</v>
      </c>
      <c r="M1098" s="14">
        <f t="shared" si="38"/>
        <v>16.133191666666669</v>
      </c>
      <c r="N1098" s="14">
        <f t="shared" si="38"/>
        <v>16.149358333333332</v>
      </c>
      <c r="O1098" s="14">
        <f t="shared" si="38"/>
        <v>16.316858333333332</v>
      </c>
      <c r="P1098" s="14">
        <f t="shared" si="38"/>
        <v>16.206275000000002</v>
      </c>
      <c r="Q1098" s="14">
        <f t="shared" si="38"/>
        <v>16.911558333333332</v>
      </c>
      <c r="R1098" s="14">
        <f t="shared" si="38"/>
        <v>17.540841666666669</v>
      </c>
      <c r="S1098" s="14">
        <f t="shared" si="38"/>
        <v>15.823216666666665</v>
      </c>
      <c r="T1098" s="49">
        <f>SUM(T349:T360)</f>
        <v>357.24568100000005</v>
      </c>
      <c r="U1098" s="49">
        <f>SUM(U349:U360)</f>
        <v>142.03263249999998</v>
      </c>
      <c r="V1098" s="49">
        <f>SUM(V349:V360)</f>
        <v>50.187500000000007</v>
      </c>
      <c r="W1098" s="49">
        <f>SUM(W349:W360)</f>
        <v>5.0822234999999996</v>
      </c>
      <c r="X1098" s="49">
        <f>SUM(X349:X360)</f>
        <v>20.758966663999999</v>
      </c>
      <c r="Y1098" s="49"/>
      <c r="Z1098" s="55"/>
      <c r="AA1098" s="54"/>
      <c r="AB1098" s="50">
        <f>AVERAGE(AB349:AB360)</f>
        <v>16.504649115774843</v>
      </c>
      <c r="AC1098" s="45">
        <f>AVERAGE(AC349:AC360)</f>
        <v>16.204516846522782</v>
      </c>
    </row>
    <row r="1099" spans="1:29" ht="15.75" x14ac:dyDescent="0.25">
      <c r="A1099" s="10">
        <f t="shared" si="34"/>
        <v>2042</v>
      </c>
      <c r="B1099" s="14">
        <f t="shared" ref="B1099:S1099" si="39">AVERAGE(B361:B372)</f>
        <v>17.100383333333333</v>
      </c>
      <c r="C1099" s="14">
        <f t="shared" si="39"/>
        <v>17.106650000000005</v>
      </c>
      <c r="D1099" s="14">
        <f t="shared" si="39"/>
        <v>17.252183333333335</v>
      </c>
      <c r="E1099" s="14">
        <f t="shared" si="39"/>
        <v>17.284600000000001</v>
      </c>
      <c r="F1099" s="14">
        <f t="shared" si="39"/>
        <v>17.093208333333333</v>
      </c>
      <c r="G1099" s="14">
        <f t="shared" si="39"/>
        <v>17.109708333333334</v>
      </c>
      <c r="H1099" s="14">
        <f t="shared" si="39"/>
        <v>17.273724999999999</v>
      </c>
      <c r="I1099" s="14">
        <f t="shared" si="39"/>
        <v>17.163766666666668</v>
      </c>
      <c r="J1099" s="14">
        <f t="shared" si="39"/>
        <v>17.086208333333335</v>
      </c>
      <c r="K1099" s="53">
        <f t="shared" si="39"/>
        <v>17.159875</v>
      </c>
      <c r="L1099" s="14">
        <f t="shared" si="39"/>
        <v>17.860725000000002</v>
      </c>
      <c r="M1099" s="14">
        <f t="shared" si="39"/>
        <v>16.743808333333334</v>
      </c>
      <c r="N1099" s="14">
        <f t="shared" si="39"/>
        <v>16.759983333333334</v>
      </c>
      <c r="O1099" s="14">
        <f t="shared" si="39"/>
        <v>16.927491666666668</v>
      </c>
      <c r="P1099" s="14">
        <f t="shared" si="39"/>
        <v>16.818775000000002</v>
      </c>
      <c r="Q1099" s="14">
        <f t="shared" si="39"/>
        <v>17.522191666666664</v>
      </c>
      <c r="R1099" s="14">
        <f t="shared" si="39"/>
        <v>18.152991666666669</v>
      </c>
      <c r="S1099" s="14">
        <f t="shared" si="39"/>
        <v>16.422250000000002</v>
      </c>
      <c r="T1099" s="49">
        <f>SUM(T361:T372)</f>
        <v>357.24568100000005</v>
      </c>
      <c r="U1099" s="49">
        <f>SUM(U361:U372)</f>
        <v>142.03263249999998</v>
      </c>
      <c r="V1099" s="49">
        <f>SUM(V361:V372)</f>
        <v>50.187500000000007</v>
      </c>
      <c r="W1099" s="49">
        <f>SUM(W361:W372)</f>
        <v>5.0822234999999996</v>
      </c>
      <c r="X1099" s="49">
        <f>SUM(X361:X372)</f>
        <v>20.758966663999999</v>
      </c>
      <c r="Y1099" s="49"/>
      <c r="Z1099" s="55"/>
      <c r="AA1099" s="54"/>
      <c r="AB1099" s="50">
        <f>AVERAGE(AB361:AB372)</f>
        <v>17.128219181380686</v>
      </c>
      <c r="AC1099" s="45">
        <f>AVERAGE(AC361:AC372)</f>
        <v>16.8154110911271</v>
      </c>
    </row>
    <row r="1100" spans="1:29" ht="15.75" x14ac:dyDescent="0.25">
      <c r="A1100" s="10">
        <f t="shared" si="34"/>
        <v>2043</v>
      </c>
      <c r="B1100" s="14">
        <f t="shared" ref="B1100:S1100" si="40">AVERAGE(B373:B384)</f>
        <v>17.747383333333332</v>
      </c>
      <c r="C1100" s="14">
        <f t="shared" si="40"/>
        <v>17.753658333333334</v>
      </c>
      <c r="D1100" s="14">
        <f t="shared" si="40"/>
        <v>17.899183333333333</v>
      </c>
      <c r="E1100" s="14">
        <f t="shared" si="40"/>
        <v>17.931608333333333</v>
      </c>
      <c r="F1100" s="14">
        <f t="shared" si="40"/>
        <v>17.740216666666669</v>
      </c>
      <c r="G1100" s="14">
        <f t="shared" si="40"/>
        <v>17.756716666666666</v>
      </c>
      <c r="H1100" s="14">
        <f t="shared" si="40"/>
        <v>17.920725000000001</v>
      </c>
      <c r="I1100" s="14">
        <f t="shared" si="40"/>
        <v>17.812791666666669</v>
      </c>
      <c r="J1100" s="14">
        <f t="shared" si="40"/>
        <v>17.733216666666671</v>
      </c>
      <c r="K1100" s="53">
        <f t="shared" si="40"/>
        <v>17.808900000000001</v>
      </c>
      <c r="L1100" s="14">
        <f t="shared" si="40"/>
        <v>18.507724999999997</v>
      </c>
      <c r="M1100" s="14">
        <f t="shared" si="40"/>
        <v>17.377566666666667</v>
      </c>
      <c r="N1100" s="14">
        <f t="shared" si="40"/>
        <v>17.393733333333333</v>
      </c>
      <c r="O1100" s="14">
        <f t="shared" si="40"/>
        <v>17.561233333333334</v>
      </c>
      <c r="P1100" s="14">
        <f t="shared" si="40"/>
        <v>17.454483333333332</v>
      </c>
      <c r="Q1100" s="14">
        <f t="shared" si="40"/>
        <v>18.155933333333333</v>
      </c>
      <c r="R1100" s="14">
        <f t="shared" si="40"/>
        <v>18.78833333333333</v>
      </c>
      <c r="S1100" s="14">
        <f t="shared" si="40"/>
        <v>17.043966666666666</v>
      </c>
      <c r="T1100" s="49">
        <f>SUM(T373:T384)</f>
        <v>357.24568100000005</v>
      </c>
      <c r="U1100" s="49">
        <f>SUM(U373:U384)</f>
        <v>142.03263249999998</v>
      </c>
      <c r="V1100" s="49">
        <f>SUM(V373:V384)</f>
        <v>50.187500000000007</v>
      </c>
      <c r="W1100" s="49">
        <f>SUM(W373:W384)</f>
        <v>5.0822234999999996</v>
      </c>
      <c r="X1100" s="49">
        <f>SUM(X373:X384)</f>
        <v>20.758966663999999</v>
      </c>
      <c r="Y1100" s="49"/>
      <c r="Z1100" s="55"/>
      <c r="AA1100" s="54"/>
      <c r="AB1100" s="50">
        <f>AVERAGE(AB373:AB384)</f>
        <v>17.77539139356707</v>
      </c>
      <c r="AC1100" s="45">
        <f>AVERAGE(AC373:AC384)</f>
        <v>17.449441966426857</v>
      </c>
    </row>
    <row r="1101" spans="1:29" ht="15.75" x14ac:dyDescent="0.25">
      <c r="A1101" s="10">
        <f t="shared" si="34"/>
        <v>2044</v>
      </c>
      <c r="B1101" s="14">
        <f t="shared" ref="B1101:S1101" si="41">AVERAGE(B385:B396)</f>
        <v>18.418891666666664</v>
      </c>
      <c r="C1101" s="14">
        <f t="shared" si="41"/>
        <v>18.425158333333332</v>
      </c>
      <c r="D1101" s="14">
        <f t="shared" si="41"/>
        <v>18.570700000000002</v>
      </c>
      <c r="E1101" s="14">
        <f t="shared" si="41"/>
        <v>18.603116666666665</v>
      </c>
      <c r="F1101" s="14">
        <f t="shared" si="41"/>
        <v>18.411725000000001</v>
      </c>
      <c r="G1101" s="14">
        <f t="shared" si="41"/>
        <v>18.428225000000001</v>
      </c>
      <c r="H1101" s="14">
        <f t="shared" si="41"/>
        <v>18.59224166666667</v>
      </c>
      <c r="I1101" s="14">
        <f t="shared" si="41"/>
        <v>18.4864</v>
      </c>
      <c r="J1101" s="14">
        <f t="shared" si="41"/>
        <v>18.404724999999999</v>
      </c>
      <c r="K1101" s="53">
        <f t="shared" si="41"/>
        <v>18.482508333333332</v>
      </c>
      <c r="L1101" s="14">
        <f t="shared" si="41"/>
        <v>19.179241666666666</v>
      </c>
      <c r="M1101" s="14">
        <f t="shared" si="41"/>
        <v>18.035316666666667</v>
      </c>
      <c r="N1101" s="14">
        <f t="shared" si="41"/>
        <v>18.051475000000003</v>
      </c>
      <c r="O1101" s="14">
        <f t="shared" si="41"/>
        <v>18.218991666666671</v>
      </c>
      <c r="P1101" s="14">
        <f t="shared" si="41"/>
        <v>18.114249999999998</v>
      </c>
      <c r="Q1101" s="14">
        <f t="shared" si="41"/>
        <v>18.813691666666664</v>
      </c>
      <c r="R1101" s="14">
        <f t="shared" si="41"/>
        <v>19.447716666666665</v>
      </c>
      <c r="S1101" s="14">
        <f t="shared" si="41"/>
        <v>17.68920833333333</v>
      </c>
      <c r="T1101" s="49">
        <f>SUM(T385:T396)</f>
        <v>358.17703550000004</v>
      </c>
      <c r="U1101" s="49">
        <f>SUM(U385:U396)</f>
        <v>142.42176299999997</v>
      </c>
      <c r="V1101" s="49">
        <f>SUM(V385:V396)</f>
        <v>50.325000000000003</v>
      </c>
      <c r="W1101" s="49">
        <f>SUM(W385:W396)</f>
        <v>5.0961473999999995</v>
      </c>
      <c r="X1101" s="49">
        <f>SUM(X385:X396)</f>
        <v>20.800615543999996</v>
      </c>
      <c r="Y1101" s="49"/>
      <c r="Z1101" s="55"/>
      <c r="AA1101" s="54"/>
      <c r="AB1101" s="50">
        <f>AVERAGE(AB385:AB396)</f>
        <v>18.447072717004662</v>
      </c>
      <c r="AC1101" s="45">
        <f>AVERAGE(AC385:AC396)</f>
        <v>18.107483992805751</v>
      </c>
    </row>
    <row r="1102" spans="1:29" ht="15.75" x14ac:dyDescent="0.25">
      <c r="A1102" s="10">
        <f t="shared" si="34"/>
        <v>2045</v>
      </c>
      <c r="B1102" s="14">
        <f t="shared" ref="B1102:S1102" si="42">AVERAGE(B397:B408)</f>
        <v>19.115800000000004</v>
      </c>
      <c r="C1102" s="14">
        <f t="shared" si="42"/>
        <v>19.122083333333332</v>
      </c>
      <c r="D1102" s="14">
        <f t="shared" si="42"/>
        <v>19.267608333333332</v>
      </c>
      <c r="E1102" s="14">
        <f t="shared" si="42"/>
        <v>19.300058333333329</v>
      </c>
      <c r="F1102" s="14">
        <f t="shared" si="42"/>
        <v>19.108641666666667</v>
      </c>
      <c r="G1102" s="14">
        <f t="shared" si="42"/>
        <v>19.125133333333334</v>
      </c>
      <c r="H1102" s="14">
        <f t="shared" si="42"/>
        <v>19.289149999999996</v>
      </c>
      <c r="I1102" s="14">
        <f t="shared" si="42"/>
        <v>19.185516666666668</v>
      </c>
      <c r="J1102" s="14">
        <f t="shared" si="42"/>
        <v>19.101641666666666</v>
      </c>
      <c r="K1102" s="53">
        <f t="shared" si="42"/>
        <v>19.181633333333334</v>
      </c>
      <c r="L1102" s="14">
        <f t="shared" si="42"/>
        <v>19.876149999999999</v>
      </c>
      <c r="M1102" s="14">
        <f t="shared" si="42"/>
        <v>18.717958333333332</v>
      </c>
      <c r="N1102" s="14">
        <f t="shared" si="42"/>
        <v>18.734108333333332</v>
      </c>
      <c r="O1102" s="14">
        <f t="shared" si="42"/>
        <v>18.901633333333333</v>
      </c>
      <c r="P1102" s="14">
        <f t="shared" si="42"/>
        <v>18.798999999999999</v>
      </c>
      <c r="Q1102" s="14">
        <f t="shared" si="42"/>
        <v>19.496333333333336</v>
      </c>
      <c r="R1102" s="14">
        <f t="shared" si="42"/>
        <v>20.132066666666663</v>
      </c>
      <c r="S1102" s="14">
        <f t="shared" si="42"/>
        <v>18.358883333333331</v>
      </c>
      <c r="T1102" s="49">
        <f>SUM(T397:T408)</f>
        <v>357.24568100000005</v>
      </c>
      <c r="U1102" s="49">
        <f>SUM(U397:U408)</f>
        <v>142.03263249999998</v>
      </c>
      <c r="V1102" s="49">
        <f>SUM(V397:V408)</f>
        <v>50.187500000000007</v>
      </c>
      <c r="W1102" s="49">
        <f>SUM(W397:W408)</f>
        <v>5.0822234999999996</v>
      </c>
      <c r="X1102" s="49">
        <f>SUM(X397:X408)</f>
        <v>20.758966663999999</v>
      </c>
      <c r="Y1102" s="49"/>
      <c r="Z1102" s="55"/>
      <c r="AA1102" s="54"/>
      <c r="AB1102" s="50">
        <f>AVERAGE(AB397:AB408)</f>
        <v>19.144169222537901</v>
      </c>
      <c r="AC1102" s="45">
        <f>AVERAGE(AC397:AC408)</f>
        <v>18.790427098321342</v>
      </c>
    </row>
    <row r="1103" spans="1:29" ht="15.75" x14ac:dyDescent="0.25">
      <c r="A1103" s="10">
        <f t="shared" si="34"/>
        <v>2046</v>
      </c>
      <c r="B1103" s="14">
        <f t="shared" ref="B1103:S1103" si="43">AVERAGE(B409:B420)</f>
        <v>19.83915</v>
      </c>
      <c r="C1103" s="14">
        <f t="shared" si="43"/>
        <v>19.845399999999998</v>
      </c>
      <c r="D1103" s="14">
        <f t="shared" si="43"/>
        <v>19.990941666666668</v>
      </c>
      <c r="E1103" s="14">
        <f t="shared" si="43"/>
        <v>20.023358333333331</v>
      </c>
      <c r="F1103" s="14">
        <f t="shared" si="43"/>
        <v>19.831958333333336</v>
      </c>
      <c r="G1103" s="14">
        <f t="shared" si="43"/>
        <v>19.848466666666663</v>
      </c>
      <c r="H1103" s="14">
        <f t="shared" si="43"/>
        <v>20.012483333333332</v>
      </c>
      <c r="I1103" s="14">
        <f t="shared" si="43"/>
        <v>19.911091666666668</v>
      </c>
      <c r="J1103" s="14">
        <f t="shared" si="43"/>
        <v>19.824958333333335</v>
      </c>
      <c r="K1103" s="53">
        <f t="shared" si="43"/>
        <v>19.9072</v>
      </c>
      <c r="L1103" s="14">
        <f t="shared" si="43"/>
        <v>20.599483333333335</v>
      </c>
      <c r="M1103" s="14">
        <f t="shared" si="43"/>
        <v>19.426433333333332</v>
      </c>
      <c r="N1103" s="14">
        <f t="shared" si="43"/>
        <v>19.442625</v>
      </c>
      <c r="O1103" s="14">
        <f t="shared" si="43"/>
        <v>19.610133333333334</v>
      </c>
      <c r="P1103" s="14">
        <f t="shared" si="43"/>
        <v>19.509666666666668</v>
      </c>
      <c r="Q1103" s="14">
        <f t="shared" si="43"/>
        <v>20.204833333333333</v>
      </c>
      <c r="R1103" s="14">
        <f t="shared" si="43"/>
        <v>20.842333333333332</v>
      </c>
      <c r="S1103" s="14">
        <f t="shared" si="43"/>
        <v>19.053908333333336</v>
      </c>
      <c r="T1103" s="49">
        <f>SUM(T409:T420)</f>
        <v>357.24568100000005</v>
      </c>
      <c r="U1103" s="49">
        <f>SUM(U409:U420)</f>
        <v>142.03263249999998</v>
      </c>
      <c r="V1103" s="49">
        <f>SUM(V409:V420)</f>
        <v>50.187500000000007</v>
      </c>
      <c r="W1103" s="49">
        <f>SUM(W409:W420)</f>
        <v>5.0822234999999996</v>
      </c>
      <c r="X1103" s="49">
        <f>SUM(X409:X420)</f>
        <v>20.758966663999999</v>
      </c>
      <c r="Y1103" s="49"/>
      <c r="Z1103" s="55"/>
      <c r="AA1103" s="54"/>
      <c r="AB1103" s="50">
        <f>AVERAGE(AB409:AB420)</f>
        <v>19.867679847072214</v>
      </c>
      <c r="AC1103" s="45">
        <f>AVERAGE(AC409:AC420)</f>
        <v>19.499234052757796</v>
      </c>
    </row>
    <row r="1104" spans="1:29" ht="15.75" x14ac:dyDescent="0.25">
      <c r="A1104" s="10">
        <f t="shared" si="34"/>
        <v>2047</v>
      </c>
      <c r="B1104" s="14">
        <f t="shared" ref="B1104:S1104" si="44">AVERAGE(B421:B432)</f>
        <v>20.589833333333335</v>
      </c>
      <c r="C1104" s="14">
        <f t="shared" si="44"/>
        <v>20.59609166666667</v>
      </c>
      <c r="D1104" s="14">
        <f t="shared" si="44"/>
        <v>20.741624999999999</v>
      </c>
      <c r="E1104" s="14">
        <f t="shared" si="44"/>
        <v>20.774050000000003</v>
      </c>
      <c r="F1104" s="14">
        <f t="shared" si="44"/>
        <v>20.582666666666672</v>
      </c>
      <c r="G1104" s="14">
        <f t="shared" si="44"/>
        <v>20.599158333333335</v>
      </c>
      <c r="H1104" s="14">
        <f t="shared" si="44"/>
        <v>20.763166666666667</v>
      </c>
      <c r="I1104" s="14">
        <f t="shared" si="44"/>
        <v>20.664141666666669</v>
      </c>
      <c r="J1104" s="14">
        <f t="shared" si="44"/>
        <v>20.575666666666667</v>
      </c>
      <c r="K1104" s="53">
        <f t="shared" si="44"/>
        <v>20.660250000000001</v>
      </c>
      <c r="L1104" s="14">
        <f t="shared" si="44"/>
        <v>21.350166666666667</v>
      </c>
      <c r="M1104" s="14">
        <f t="shared" si="44"/>
        <v>20.161766666666665</v>
      </c>
      <c r="N1104" s="14">
        <f t="shared" si="44"/>
        <v>20.177933333333332</v>
      </c>
      <c r="O1104" s="14">
        <f t="shared" si="44"/>
        <v>20.345433333333336</v>
      </c>
      <c r="P1104" s="14">
        <f t="shared" si="44"/>
        <v>20.247233333333334</v>
      </c>
      <c r="Q1104" s="14">
        <f t="shared" si="44"/>
        <v>20.940133333333328</v>
      </c>
      <c r="R1104" s="14">
        <f t="shared" si="44"/>
        <v>21.579491666666666</v>
      </c>
      <c r="S1104" s="14">
        <f t="shared" si="44"/>
        <v>19.77525833333333</v>
      </c>
      <c r="T1104" s="49">
        <f>SUM(T421:T432)</f>
        <v>357.24568100000005</v>
      </c>
      <c r="U1104" s="49">
        <f>SUM(U421:U432)</f>
        <v>142.03263249999998</v>
      </c>
      <c r="V1104" s="49">
        <f>SUM(V421:V432)</f>
        <v>50.187500000000007</v>
      </c>
      <c r="W1104" s="49">
        <f>SUM(W421:W432)</f>
        <v>5.0822234999999996</v>
      </c>
      <c r="X1104" s="49">
        <f>SUM(X421:X432)</f>
        <v>20.758966663999999</v>
      </c>
      <c r="Y1104" s="49"/>
      <c r="Z1104" s="55"/>
      <c r="AA1104" s="54"/>
      <c r="AB1104" s="50">
        <f>AVERAGE(AB421:AB432)</f>
        <v>20.618568996983118</v>
      </c>
      <c r="AC1104" s="45">
        <f>AVERAGE(AC421:AC432)</f>
        <v>20.234873621103116</v>
      </c>
    </row>
    <row r="1105" spans="1:29" ht="15.75" x14ac:dyDescent="0.25">
      <c r="A1105" s="10">
        <f t="shared" si="34"/>
        <v>2048</v>
      </c>
      <c r="B1105" s="14">
        <f t="shared" ref="B1105:S1105" si="45">AVERAGE(B433:B444)</f>
        <v>21.368950000000002</v>
      </c>
      <c r="C1105" s="14">
        <f t="shared" si="45"/>
        <v>21.375208333333333</v>
      </c>
      <c r="D1105" s="14">
        <f t="shared" si="45"/>
        <v>21.520750000000003</v>
      </c>
      <c r="E1105" s="14">
        <f t="shared" si="45"/>
        <v>21.553175</v>
      </c>
      <c r="F1105" s="14">
        <f t="shared" si="45"/>
        <v>21.361766666666671</v>
      </c>
      <c r="G1105" s="14">
        <f t="shared" si="45"/>
        <v>21.378283333333332</v>
      </c>
      <c r="H1105" s="14">
        <f t="shared" si="45"/>
        <v>21.542291666666671</v>
      </c>
      <c r="I1105" s="14">
        <f t="shared" si="45"/>
        <v>21.445699999999999</v>
      </c>
      <c r="J1105" s="14">
        <f t="shared" si="45"/>
        <v>21.354766666666666</v>
      </c>
      <c r="K1105" s="53">
        <f t="shared" si="45"/>
        <v>21.441800000000001</v>
      </c>
      <c r="L1105" s="14">
        <f t="shared" si="45"/>
        <v>22.129291666666663</v>
      </c>
      <c r="M1105" s="14">
        <f t="shared" si="45"/>
        <v>20.924916666666665</v>
      </c>
      <c r="N1105" s="14">
        <f t="shared" si="45"/>
        <v>20.941091666666665</v>
      </c>
      <c r="O1105" s="14">
        <f t="shared" si="45"/>
        <v>21.108616666666666</v>
      </c>
      <c r="P1105" s="14">
        <f t="shared" si="45"/>
        <v>21.012716666666666</v>
      </c>
      <c r="Q1105" s="14">
        <f t="shared" si="45"/>
        <v>21.703316666666666</v>
      </c>
      <c r="R1105" s="14">
        <f t="shared" si="45"/>
        <v>22.344541666666668</v>
      </c>
      <c r="S1105" s="14">
        <f t="shared" si="45"/>
        <v>20.523916666666665</v>
      </c>
      <c r="T1105" s="49">
        <f>SUM(T433:T444)</f>
        <v>358.17703550000004</v>
      </c>
      <c r="U1105" s="49">
        <f>SUM(U433:U444)</f>
        <v>142.42176299999997</v>
      </c>
      <c r="V1105" s="49">
        <f>SUM(V433:V444)</f>
        <v>50.325000000000003</v>
      </c>
      <c r="W1105" s="49">
        <f>SUM(W433:W444)</f>
        <v>5.0961473999999995</v>
      </c>
      <c r="X1105" s="49">
        <f>SUM(X433:X444)</f>
        <v>20.800615543999996</v>
      </c>
      <c r="Y1105" s="49"/>
      <c r="Z1105" s="55"/>
      <c r="AA1105" s="54"/>
      <c r="AB1105" s="50">
        <f>AVERAGE(AB433:AB444)</f>
        <v>21.397884669502691</v>
      </c>
      <c r="AC1105" s="45">
        <f>AVERAGE(AC433:AC444)</f>
        <v>20.998370623501199</v>
      </c>
    </row>
    <row r="1106" spans="1:29" ht="15.75" x14ac:dyDescent="0.25">
      <c r="A1106" s="10">
        <f t="shared" si="34"/>
        <v>2049</v>
      </c>
      <c r="B1106" s="14">
        <f t="shared" ref="B1106:S1106" si="46">AVERAGE(B445:B456)</f>
        <v>22.177566666666667</v>
      </c>
      <c r="C1106" s="14">
        <f t="shared" si="46"/>
        <v>22.183833333333329</v>
      </c>
      <c r="D1106" s="14">
        <f t="shared" si="46"/>
        <v>22.329375000000002</v>
      </c>
      <c r="E1106" s="14">
        <f t="shared" si="46"/>
        <v>22.361783333333335</v>
      </c>
      <c r="F1106" s="14">
        <f t="shared" si="46"/>
        <v>22.170383333333334</v>
      </c>
      <c r="G1106" s="14">
        <f t="shared" si="46"/>
        <v>22.186891666666668</v>
      </c>
      <c r="H1106" s="14">
        <f t="shared" si="46"/>
        <v>22.350916666666667</v>
      </c>
      <c r="I1106" s="14">
        <f t="shared" si="46"/>
        <v>22.25684166666667</v>
      </c>
      <c r="J1106" s="14">
        <f t="shared" si="46"/>
        <v>22.163383333333332</v>
      </c>
      <c r="K1106" s="53">
        <f t="shared" si="46"/>
        <v>22.252958333333336</v>
      </c>
      <c r="L1106" s="14">
        <f t="shared" si="46"/>
        <v>22.937916666666666</v>
      </c>
      <c r="M1106" s="14">
        <f t="shared" si="46"/>
        <v>21.716966666666668</v>
      </c>
      <c r="N1106" s="14">
        <f t="shared" si="46"/>
        <v>21.733133333333331</v>
      </c>
      <c r="O1106" s="14">
        <f t="shared" si="46"/>
        <v>21.900650000000002</v>
      </c>
      <c r="P1106" s="14">
        <f t="shared" si="46"/>
        <v>21.807191666666665</v>
      </c>
      <c r="Q1106" s="14">
        <f t="shared" si="46"/>
        <v>22.495350000000002</v>
      </c>
      <c r="R1106" s="14">
        <f t="shared" si="46"/>
        <v>23.13858333333333</v>
      </c>
      <c r="S1106" s="14">
        <f t="shared" si="46"/>
        <v>21.300908333333332</v>
      </c>
      <c r="T1106" s="49">
        <f>SUM(T445:T456)</f>
        <v>357.24568100000005</v>
      </c>
      <c r="U1106" s="49">
        <f>SUM(U445:U456)</f>
        <v>142.03263249999998</v>
      </c>
      <c r="V1106" s="49">
        <f>SUM(V445:V456)</f>
        <v>50.187500000000007</v>
      </c>
      <c r="W1106" s="49">
        <f>SUM(W445:W456)</f>
        <v>5.0822234999999996</v>
      </c>
      <c r="X1106" s="49">
        <f>SUM(X445:X456)</f>
        <v>20.758966663999999</v>
      </c>
      <c r="Y1106" s="49"/>
      <c r="Z1106" s="55"/>
      <c r="AA1106" s="54"/>
      <c r="AB1106" s="50">
        <f>AVERAGE(AB445:AB456)</f>
        <v>22.2067102270275</v>
      </c>
      <c r="AC1106" s="45">
        <f>AVERAGE(AC445:AC456)</f>
        <v>21.790761510791366</v>
      </c>
    </row>
    <row r="1107" spans="1:29" ht="15.75" x14ac:dyDescent="0.25">
      <c r="A1107" s="10">
        <f t="shared" si="34"/>
        <v>2050</v>
      </c>
      <c r="B1107" s="14">
        <f t="shared" ref="B1107:S1107" si="47">AVERAGE(B457:B468)</f>
        <v>23.016791666666666</v>
      </c>
      <c r="C1107" s="14">
        <f t="shared" si="47"/>
        <v>23.023075000000002</v>
      </c>
      <c r="D1107" s="14">
        <f t="shared" si="47"/>
        <v>23.168600000000001</v>
      </c>
      <c r="E1107" s="14">
        <f t="shared" si="47"/>
        <v>23.201016666666664</v>
      </c>
      <c r="F1107" s="14">
        <f t="shared" si="47"/>
        <v>23.009616666666663</v>
      </c>
      <c r="G1107" s="14">
        <f t="shared" si="47"/>
        <v>23.026116666666667</v>
      </c>
      <c r="H1107" s="14">
        <f t="shared" si="47"/>
        <v>23.190141666666666</v>
      </c>
      <c r="I1107" s="14">
        <f t="shared" si="47"/>
        <v>23.098716666666665</v>
      </c>
      <c r="J1107" s="14">
        <f t="shared" si="47"/>
        <v>23.002616666666672</v>
      </c>
      <c r="K1107" s="53">
        <f t="shared" si="47"/>
        <v>23.09481666666667</v>
      </c>
      <c r="L1107" s="14">
        <f t="shared" si="47"/>
        <v>23.777141666666669</v>
      </c>
      <c r="M1107" s="14">
        <f t="shared" si="47"/>
        <v>22.538999999999998</v>
      </c>
      <c r="N1107" s="14">
        <f t="shared" si="47"/>
        <v>22.555175000000002</v>
      </c>
      <c r="O1107" s="14">
        <f t="shared" si="47"/>
        <v>22.722666666666669</v>
      </c>
      <c r="P1107" s="14">
        <f t="shared" si="47"/>
        <v>22.631766666666667</v>
      </c>
      <c r="Q1107" s="14">
        <f t="shared" si="47"/>
        <v>23.317366666666661</v>
      </c>
      <c r="R1107" s="14">
        <f t="shared" si="47"/>
        <v>23.962666666666664</v>
      </c>
      <c r="S1107" s="14">
        <f t="shared" si="47"/>
        <v>22.107333333333333</v>
      </c>
      <c r="T1107" s="49">
        <f>SUM(T457:T468)</f>
        <v>357.24568100000005</v>
      </c>
      <c r="U1107" s="49">
        <f>SUM(U457:U468)</f>
        <v>142.03263249999998</v>
      </c>
      <c r="V1107" s="49">
        <f>SUM(V457:V468)</f>
        <v>50.187500000000007</v>
      </c>
      <c r="W1107" s="49">
        <f>SUM(W457:W468)</f>
        <v>5.0822234999999996</v>
      </c>
      <c r="X1107" s="49">
        <f>SUM(X457:X468)</f>
        <v>20.758966663999999</v>
      </c>
      <c r="Y1107" s="49"/>
      <c r="Z1107" s="55"/>
      <c r="AA1107" s="54"/>
      <c r="AB1107" s="50">
        <f>AVERAGE(AB457:AB468)</f>
        <v>23.046159977063244</v>
      </c>
      <c r="AC1107" s="45">
        <f>AVERAGE(AC457:AC468)</f>
        <v>22.613157793764987</v>
      </c>
    </row>
    <row r="1108" spans="1:29" ht="15.75" x14ac:dyDescent="0.25">
      <c r="A1108" s="10">
        <f t="shared" si="34"/>
        <v>2051</v>
      </c>
      <c r="B1108" s="14">
        <f t="shared" ref="B1108:S1108" si="48">AVERAGE(B469:B480)</f>
        <v>23.887783333333331</v>
      </c>
      <c r="C1108" s="14">
        <f t="shared" si="48"/>
        <v>23.894083333333331</v>
      </c>
      <c r="D1108" s="14">
        <f t="shared" si="48"/>
        <v>24.039591666666666</v>
      </c>
      <c r="E1108" s="14">
        <f t="shared" si="48"/>
        <v>24.072025</v>
      </c>
      <c r="F1108" s="14">
        <f t="shared" si="48"/>
        <v>23.880624999999998</v>
      </c>
      <c r="G1108" s="14">
        <f t="shared" si="48"/>
        <v>23.897116666666673</v>
      </c>
      <c r="H1108" s="14">
        <f t="shared" si="48"/>
        <v>24.061133333333331</v>
      </c>
      <c r="I1108" s="14">
        <f t="shared" si="48"/>
        <v>23.972433333333331</v>
      </c>
      <c r="J1108" s="14">
        <f t="shared" si="48"/>
        <v>23.873625000000001</v>
      </c>
      <c r="K1108" s="53">
        <f t="shared" si="48"/>
        <v>23.968541666666667</v>
      </c>
      <c r="L1108" s="14">
        <f t="shared" si="48"/>
        <v>24.64813333333333</v>
      </c>
      <c r="M1108" s="14">
        <f t="shared" si="48"/>
        <v>23.392149999999997</v>
      </c>
      <c r="N1108" s="14">
        <f t="shared" si="48"/>
        <v>23.408333333333328</v>
      </c>
      <c r="O1108" s="14">
        <f t="shared" si="48"/>
        <v>23.575833333333332</v>
      </c>
      <c r="P1108" s="14">
        <f t="shared" si="48"/>
        <v>23.487525000000002</v>
      </c>
      <c r="Q1108" s="14">
        <f t="shared" si="48"/>
        <v>24.170533333333335</v>
      </c>
      <c r="R1108" s="14">
        <f t="shared" si="48"/>
        <v>24.817966666666667</v>
      </c>
      <c r="S1108" s="14">
        <f t="shared" si="48"/>
        <v>22.944275000000001</v>
      </c>
      <c r="T1108" s="49">
        <f>SUM(T469:T480)</f>
        <v>357.24568100000005</v>
      </c>
      <c r="U1108" s="49">
        <f>SUM(U469:U480)</f>
        <v>142.03263249999998</v>
      </c>
      <c r="V1108" s="49">
        <f>SUM(V469:V480)</f>
        <v>50.187500000000007</v>
      </c>
      <c r="W1108" s="49">
        <f>SUM(W469:W480)</f>
        <v>5.0822234999999996</v>
      </c>
      <c r="X1108" s="49">
        <f>SUM(X469:X480)</f>
        <v>20.758966663999999</v>
      </c>
      <c r="Y1108" s="49"/>
      <c r="Z1108" s="55"/>
      <c r="AA1108" s="54"/>
      <c r="AB1108" s="50">
        <f>AVERAGE(AB469:AB480)</f>
        <v>23.917386815291085</v>
      </c>
      <c r="AC1108" s="45">
        <f>AVERAGE(AC469:AC480)</f>
        <v>23.466689688249403</v>
      </c>
    </row>
    <row r="1109" spans="1:29" ht="15.75" x14ac:dyDescent="0.25">
      <c r="A1109" s="10">
        <f t="shared" si="34"/>
        <v>2052</v>
      </c>
      <c r="B1109" s="14">
        <f t="shared" ref="B1109:S1109" si="49">AVERAGE(B481:B492)</f>
        <v>24.791766666666664</v>
      </c>
      <c r="C1109" s="14">
        <f t="shared" si="49"/>
        <v>24.79805</v>
      </c>
      <c r="D1109" s="14">
        <f t="shared" si="49"/>
        <v>24.943574999999996</v>
      </c>
      <c r="E1109" s="14">
        <f t="shared" si="49"/>
        <v>24.976000000000003</v>
      </c>
      <c r="F1109" s="14">
        <f t="shared" si="49"/>
        <v>24.784608333333335</v>
      </c>
      <c r="G1109" s="14">
        <f t="shared" si="49"/>
        <v>24.801108333333332</v>
      </c>
      <c r="H1109" s="14">
        <f t="shared" si="49"/>
        <v>24.965116666666663</v>
      </c>
      <c r="I1109" s="14">
        <f t="shared" si="49"/>
        <v>24.879249999999999</v>
      </c>
      <c r="J1109" s="14">
        <f t="shared" si="49"/>
        <v>24.777608333333333</v>
      </c>
      <c r="K1109" s="53">
        <f t="shared" si="49"/>
        <v>24.875350000000001</v>
      </c>
      <c r="L1109" s="14">
        <f t="shared" si="49"/>
        <v>25.552116666666659</v>
      </c>
      <c r="M1109" s="14">
        <f t="shared" si="49"/>
        <v>24.277624999999997</v>
      </c>
      <c r="N1109" s="14">
        <f t="shared" si="49"/>
        <v>24.293791666666664</v>
      </c>
      <c r="O1109" s="14">
        <f t="shared" si="49"/>
        <v>24.461291666666664</v>
      </c>
      <c r="P1109" s="14">
        <f t="shared" si="49"/>
        <v>24.375700000000005</v>
      </c>
      <c r="Q1109" s="14">
        <f t="shared" si="49"/>
        <v>25.055991666666671</v>
      </c>
      <c r="R1109" s="14">
        <f t="shared" si="49"/>
        <v>25.705641666666665</v>
      </c>
      <c r="S1109" s="14">
        <f t="shared" si="49"/>
        <v>23.812916666666666</v>
      </c>
      <c r="T1109" s="49">
        <f>SUM(T481:T492)</f>
        <v>358.17703550000004</v>
      </c>
      <c r="U1109" s="49">
        <f>SUM(U481:U492)</f>
        <v>142.42176299999997</v>
      </c>
      <c r="V1109" s="49">
        <f>SUM(V481:V492)</f>
        <v>50.325000000000003</v>
      </c>
      <c r="W1109" s="49">
        <f>SUM(W481:W492)</f>
        <v>5.0961473999999995</v>
      </c>
      <c r="X1109" s="49">
        <f>SUM(X481:X492)</f>
        <v>20.800615543999996</v>
      </c>
      <c r="Y1109" s="49"/>
      <c r="Z1109" s="55"/>
      <c r="AA1109" s="54"/>
      <c r="AB1109" s="50">
        <f>AVERAGE(AB481:AB492)</f>
        <v>24.821600052881362</v>
      </c>
      <c r="AC1109" s="45">
        <f>AVERAGE(AC481:AC492)</f>
        <v>24.352544664268581</v>
      </c>
    </row>
    <row r="1110" spans="1:29" ht="15.75" x14ac:dyDescent="0.25">
      <c r="A1110" s="10">
        <f t="shared" si="34"/>
        <v>2053</v>
      </c>
      <c r="B1110" s="14">
        <f t="shared" ref="B1110:S1110" si="50">AVERAGE(B493:B504)</f>
        <v>25.729975</v>
      </c>
      <c r="C1110" s="14">
        <f t="shared" si="50"/>
        <v>25.736258333333339</v>
      </c>
      <c r="D1110" s="14">
        <f t="shared" si="50"/>
        <v>25.881791666666668</v>
      </c>
      <c r="E1110" s="14">
        <f t="shared" si="50"/>
        <v>25.914208333333335</v>
      </c>
      <c r="F1110" s="14">
        <f t="shared" si="50"/>
        <v>25.722800000000003</v>
      </c>
      <c r="G1110" s="14">
        <f t="shared" si="50"/>
        <v>25.73930833333333</v>
      </c>
      <c r="H1110" s="14">
        <f t="shared" si="50"/>
        <v>25.903324999999999</v>
      </c>
      <c r="I1110" s="14">
        <f t="shared" si="50"/>
        <v>25.820375000000002</v>
      </c>
      <c r="J1110" s="14">
        <f t="shared" si="50"/>
        <v>25.715800000000002</v>
      </c>
      <c r="K1110" s="53">
        <f t="shared" si="50"/>
        <v>25.816491666666668</v>
      </c>
      <c r="L1110" s="14">
        <f t="shared" si="50"/>
        <v>26.490324999999999</v>
      </c>
      <c r="M1110" s="14">
        <f t="shared" si="50"/>
        <v>25.196591666666674</v>
      </c>
      <c r="N1110" s="14">
        <f t="shared" si="50"/>
        <v>25.212774999999993</v>
      </c>
      <c r="O1110" s="14">
        <f t="shared" si="50"/>
        <v>25.380291666666665</v>
      </c>
      <c r="P1110" s="14">
        <f t="shared" si="50"/>
        <v>25.297499999999999</v>
      </c>
      <c r="Q1110" s="14">
        <f t="shared" si="50"/>
        <v>25.974991666666664</v>
      </c>
      <c r="R1110" s="14">
        <f t="shared" si="50"/>
        <v>26.626925</v>
      </c>
      <c r="S1110" s="14">
        <f t="shared" si="50"/>
        <v>24.714441666666669</v>
      </c>
      <c r="T1110" s="49">
        <f>SUM(T493:T504)</f>
        <v>357.24568100000005</v>
      </c>
      <c r="U1110" s="49">
        <f>SUM(U493:U504)</f>
        <v>142.03263249999998</v>
      </c>
      <c r="V1110" s="49">
        <f>SUM(V493:V504)</f>
        <v>50.187500000000007</v>
      </c>
      <c r="W1110" s="49">
        <f>SUM(W493:W504)</f>
        <v>5.0822234999999996</v>
      </c>
      <c r="X1110" s="49">
        <f>SUM(X493:X504)</f>
        <v>20.758966663999999</v>
      </c>
      <c r="Y1110" s="49"/>
      <c r="Z1110" s="55"/>
      <c r="AA1110" s="54"/>
      <c r="AB1110" s="50">
        <f>AVERAGE(AB493:AB504)</f>
        <v>25.760044074965037</v>
      </c>
      <c r="AC1110" s="45">
        <f>AVERAGE(AC493:AC504)</f>
        <v>25.271932194244602</v>
      </c>
    </row>
    <row r="1111" spans="1:29" ht="15.75" x14ac:dyDescent="0.25">
      <c r="A1111" s="10">
        <f t="shared" si="34"/>
        <v>2054</v>
      </c>
      <c r="B1111" s="14">
        <f t="shared" ref="B1111:S1111" si="51">AVERAGE(B505:B516)</f>
        <v>26.703708333333335</v>
      </c>
      <c r="C1111" s="14">
        <f t="shared" si="51"/>
        <v>26.709975</v>
      </c>
      <c r="D1111" s="14">
        <f t="shared" si="51"/>
        <v>26.855516666666663</v>
      </c>
      <c r="E1111" s="14">
        <f t="shared" si="51"/>
        <v>26.887924999999999</v>
      </c>
      <c r="F1111" s="14">
        <f t="shared" si="51"/>
        <v>26.696533333333335</v>
      </c>
      <c r="G1111" s="14">
        <f t="shared" si="51"/>
        <v>26.713041666666665</v>
      </c>
      <c r="H1111" s="14">
        <f t="shared" si="51"/>
        <v>26.877050000000001</v>
      </c>
      <c r="I1111" s="14">
        <f t="shared" si="51"/>
        <v>26.797166666666666</v>
      </c>
      <c r="J1111" s="14">
        <f t="shared" si="51"/>
        <v>26.689533333333333</v>
      </c>
      <c r="K1111" s="53">
        <f t="shared" si="51"/>
        <v>26.793274999999998</v>
      </c>
      <c r="L1111" s="14">
        <f t="shared" si="51"/>
        <v>27.464049999999997</v>
      </c>
      <c r="M1111" s="14">
        <f t="shared" si="51"/>
        <v>26.150366666666667</v>
      </c>
      <c r="N1111" s="14">
        <f t="shared" si="51"/>
        <v>26.166541666666664</v>
      </c>
      <c r="O1111" s="14">
        <f t="shared" si="51"/>
        <v>26.334041666666668</v>
      </c>
      <c r="P1111" s="14">
        <f t="shared" si="51"/>
        <v>26.254199999999997</v>
      </c>
      <c r="Q1111" s="14">
        <f t="shared" si="51"/>
        <v>26.928741666666667</v>
      </c>
      <c r="R1111" s="14">
        <f t="shared" si="51"/>
        <v>27.583083333333335</v>
      </c>
      <c r="S1111" s="14">
        <f t="shared" si="51"/>
        <v>25.650083333333331</v>
      </c>
      <c r="T1111" s="49">
        <f>SUM(T505:T516)</f>
        <v>357.24568100000005</v>
      </c>
      <c r="U1111" s="49">
        <f>SUM(U505:U516)</f>
        <v>142.03263249999998</v>
      </c>
      <c r="V1111" s="49">
        <f>SUM(V505:V516)</f>
        <v>50.187500000000007</v>
      </c>
      <c r="W1111" s="49">
        <f>SUM(W505:W516)</f>
        <v>5.0822234999999996</v>
      </c>
      <c r="X1111" s="49">
        <f>SUM(X505:X516)</f>
        <v>20.758966663999999</v>
      </c>
      <c r="Y1111" s="49"/>
      <c r="Z1111" s="52"/>
      <c r="AA1111" s="51"/>
      <c r="AB1111" s="50">
        <f>AVERAGE(AB505:AB516)</f>
        <v>26.734024444493674</v>
      </c>
      <c r="AC1111" s="45">
        <f>AVERAGE(AC505:AC516)</f>
        <v>26.226120563549156</v>
      </c>
    </row>
    <row r="1112" spans="1:29" ht="15.75" x14ac:dyDescent="0.25">
      <c r="A1112" s="10">
        <f t="shared" si="34"/>
        <v>2055</v>
      </c>
      <c r="B1112" s="14">
        <f t="shared" ref="B1112:S1112" si="52">AVERAGE(B517:B528)</f>
        <v>27.714291666666668</v>
      </c>
      <c r="C1112" s="14">
        <f t="shared" si="52"/>
        <v>27.72056666666667</v>
      </c>
      <c r="D1112" s="14">
        <f t="shared" si="52"/>
        <v>27.866099999999999</v>
      </c>
      <c r="E1112" s="14">
        <f t="shared" si="52"/>
        <v>27.898516666666669</v>
      </c>
      <c r="F1112" s="14">
        <f t="shared" si="52"/>
        <v>27.707108333333334</v>
      </c>
      <c r="G1112" s="14">
        <f t="shared" si="52"/>
        <v>27.723641666666666</v>
      </c>
      <c r="H1112" s="14">
        <f t="shared" si="52"/>
        <v>27.887633333333337</v>
      </c>
      <c r="I1112" s="14">
        <f t="shared" si="52"/>
        <v>27.810924999999997</v>
      </c>
      <c r="J1112" s="14">
        <f t="shared" si="52"/>
        <v>27.700108333333333</v>
      </c>
      <c r="K1112" s="53">
        <f t="shared" si="52"/>
        <v>27.807041666666663</v>
      </c>
      <c r="L1112" s="14">
        <f t="shared" si="52"/>
        <v>28.474633333333333</v>
      </c>
      <c r="M1112" s="14">
        <f t="shared" si="52"/>
        <v>27.140250000000005</v>
      </c>
      <c r="N1112" s="14">
        <f t="shared" si="52"/>
        <v>27.156449999999996</v>
      </c>
      <c r="O1112" s="14">
        <f t="shared" si="52"/>
        <v>27.323933333333329</v>
      </c>
      <c r="P1112" s="14">
        <f t="shared" si="52"/>
        <v>27.247141666666668</v>
      </c>
      <c r="Q1112" s="14">
        <f t="shared" si="52"/>
        <v>27.918633333333343</v>
      </c>
      <c r="R1112" s="14">
        <f t="shared" si="52"/>
        <v>28.575424999999999</v>
      </c>
      <c r="S1112" s="14">
        <f t="shared" si="52"/>
        <v>26.621158333333337</v>
      </c>
      <c r="T1112" s="49">
        <f>SUM(T517:T528)</f>
        <v>357.24568100000005</v>
      </c>
      <c r="U1112" s="49">
        <f>SUM(U517:U528)</f>
        <v>142.03263249999998</v>
      </c>
      <c r="V1112" s="49">
        <f>SUM(V517:V528)</f>
        <v>50.187500000000007</v>
      </c>
      <c r="W1112" s="49">
        <f>SUM(W517:W528)</f>
        <v>5.0822234999999996</v>
      </c>
      <c r="X1112" s="49">
        <f>SUM(X517:X528)</f>
        <v>20.758966663999999</v>
      </c>
      <c r="Y1112" s="49"/>
      <c r="Z1112" s="52"/>
      <c r="AA1112" s="51"/>
      <c r="AB1112" s="50">
        <f>AVERAGE(AB517:AB528)</f>
        <v>27.744871075794759</v>
      </c>
      <c r="AC1112" s="45">
        <f>AVERAGE(AC517:AC528)</f>
        <v>27.216449160671459</v>
      </c>
    </row>
    <row r="1113" spans="1:29" ht="15.75" x14ac:dyDescent="0.25">
      <c r="A1113" s="10">
        <f t="shared" si="34"/>
        <v>2056</v>
      </c>
      <c r="B1113" s="14">
        <f t="shared" ref="B1113:S1113" si="53">AVERAGE(B529:B540)</f>
        <v>28.763141666666669</v>
      </c>
      <c r="C1113" s="14">
        <f t="shared" si="53"/>
        <v>28.769416666666661</v>
      </c>
      <c r="D1113" s="14">
        <f t="shared" si="53"/>
        <v>28.914941666666667</v>
      </c>
      <c r="E1113" s="14">
        <f t="shared" si="53"/>
        <v>28.947374999999997</v>
      </c>
      <c r="F1113" s="14">
        <f t="shared" si="53"/>
        <v>28.75599166666667</v>
      </c>
      <c r="G1113" s="14">
        <f t="shared" si="53"/>
        <v>28.77248333333333</v>
      </c>
      <c r="H1113" s="14">
        <f t="shared" si="53"/>
        <v>28.936491666666669</v>
      </c>
      <c r="I1113" s="14">
        <f t="shared" si="53"/>
        <v>28.863066666666665</v>
      </c>
      <c r="J1113" s="14">
        <f t="shared" si="53"/>
        <v>28.748991666666665</v>
      </c>
      <c r="K1113" s="53">
        <f t="shared" si="53"/>
        <v>28.859174999999997</v>
      </c>
      <c r="L1113" s="14">
        <f t="shared" si="53"/>
        <v>29.523491666666668</v>
      </c>
      <c r="M1113" s="14">
        <f t="shared" si="53"/>
        <v>28.167616666666664</v>
      </c>
      <c r="N1113" s="14">
        <f t="shared" si="53"/>
        <v>28.183791666666668</v>
      </c>
      <c r="O1113" s="14">
        <f t="shared" si="53"/>
        <v>28.351291666666665</v>
      </c>
      <c r="P1113" s="14">
        <f t="shared" si="53"/>
        <v>28.277625</v>
      </c>
      <c r="Q1113" s="14">
        <f t="shared" si="53"/>
        <v>28.945991666666668</v>
      </c>
      <c r="R1113" s="14">
        <f t="shared" si="53"/>
        <v>29.605350000000001</v>
      </c>
      <c r="S1113" s="14">
        <f t="shared" si="53"/>
        <v>27.629000000000001</v>
      </c>
      <c r="T1113" s="49">
        <f>SUM(T529:T540)</f>
        <v>358.17703550000004</v>
      </c>
      <c r="U1113" s="49">
        <f>SUM(U529:U540)</f>
        <v>142.42176299999997</v>
      </c>
      <c r="V1113" s="49">
        <f>SUM(V529:V540)</f>
        <v>50.325000000000003</v>
      </c>
      <c r="W1113" s="49">
        <f>SUM(W529:W540)</f>
        <v>5.0961473999999995</v>
      </c>
      <c r="X1113" s="49">
        <f>SUM(X529:X540)</f>
        <v>20.800615543999996</v>
      </c>
      <c r="Y1113" s="49"/>
      <c r="Z1113" s="52"/>
      <c r="AA1113" s="51"/>
      <c r="AB1113" s="50">
        <f>AVERAGE(AB529:AB540)</f>
        <v>28.794000208899337</v>
      </c>
      <c r="AC1113" s="45">
        <f>AVERAGE(AC529:AC540)</f>
        <v>28.244257613908875</v>
      </c>
    </row>
    <row r="1114" spans="1:29" ht="15.75" x14ac:dyDescent="0.25">
      <c r="A1114" s="10">
        <f t="shared" si="34"/>
        <v>2057</v>
      </c>
      <c r="B1114" s="14">
        <f t="shared" ref="B1114:S1114" si="54">AVERAGE(B541:B552)</f>
        <v>29.851716666666665</v>
      </c>
      <c r="C1114" s="14">
        <f t="shared" si="54"/>
        <v>29.857974999999996</v>
      </c>
      <c r="D1114" s="14">
        <f t="shared" si="54"/>
        <v>30.003508333333333</v>
      </c>
      <c r="E1114" s="14">
        <f t="shared" si="54"/>
        <v>30.035933333333332</v>
      </c>
      <c r="F1114" s="14">
        <f t="shared" si="54"/>
        <v>29.844533333333331</v>
      </c>
      <c r="G1114" s="14">
        <f t="shared" si="54"/>
        <v>29.861066666666662</v>
      </c>
      <c r="H1114" s="14">
        <f t="shared" si="54"/>
        <v>30.025049999999997</v>
      </c>
      <c r="I1114" s="14">
        <f t="shared" si="54"/>
        <v>29.955033333333336</v>
      </c>
      <c r="J1114" s="14">
        <f t="shared" si="54"/>
        <v>29.837533333333329</v>
      </c>
      <c r="K1114" s="53">
        <f t="shared" si="54"/>
        <v>29.951149999999998</v>
      </c>
      <c r="L1114" s="14">
        <f t="shared" si="54"/>
        <v>30.61205</v>
      </c>
      <c r="M1114" s="14">
        <f t="shared" si="54"/>
        <v>29.233875000000001</v>
      </c>
      <c r="N1114" s="14">
        <f t="shared" si="54"/>
        <v>29.250050000000005</v>
      </c>
      <c r="O1114" s="14">
        <f t="shared" si="54"/>
        <v>29.417550000000002</v>
      </c>
      <c r="P1114" s="14">
        <f t="shared" si="54"/>
        <v>29.347166666666666</v>
      </c>
      <c r="Q1114" s="14">
        <f t="shared" si="54"/>
        <v>30.012249999999998</v>
      </c>
      <c r="R1114" s="14">
        <f t="shared" si="54"/>
        <v>30.674283333333335</v>
      </c>
      <c r="S1114" s="14">
        <f t="shared" si="54"/>
        <v>28.675000000000001</v>
      </c>
      <c r="T1114" s="49">
        <f>SUM(T541:T552)</f>
        <v>357.24568100000005</v>
      </c>
      <c r="U1114" s="49">
        <f>SUM(U541:U552)</f>
        <v>142.03263249999998</v>
      </c>
      <c r="V1114" s="49">
        <f>SUM(V541:V552)</f>
        <v>50.187500000000007</v>
      </c>
      <c r="W1114" s="49">
        <f>SUM(W541:W552)</f>
        <v>5.0822234999999996</v>
      </c>
      <c r="X1114" s="49">
        <f>SUM(X541:X552)</f>
        <v>20.758966663999999</v>
      </c>
      <c r="Y1114" s="49"/>
      <c r="Z1114" s="52"/>
      <c r="AA1114" s="51"/>
      <c r="AB1114" s="50">
        <f>AVERAGE(AB541:AB552)</f>
        <v>29.882841152960335</v>
      </c>
      <c r="AC1114" s="45">
        <f>AVERAGE(AC541:AC552)</f>
        <v>29.310988369304557</v>
      </c>
    </row>
    <row r="1115" spans="1:29" ht="15.75" x14ac:dyDescent="0.25">
      <c r="A1115" s="10">
        <f t="shared" si="34"/>
        <v>2058</v>
      </c>
      <c r="B1115" s="14">
        <f t="shared" ref="B1115:S1115" si="55">AVERAGE(B553:B564)</f>
        <v>30.981475</v>
      </c>
      <c r="C1115" s="14">
        <f t="shared" si="55"/>
        <v>30.987750000000005</v>
      </c>
      <c r="D1115" s="14">
        <f t="shared" si="55"/>
        <v>31.133266666666668</v>
      </c>
      <c r="E1115" s="14">
        <f t="shared" si="55"/>
        <v>31.165708333333338</v>
      </c>
      <c r="F1115" s="14">
        <f t="shared" si="55"/>
        <v>30.974308333333337</v>
      </c>
      <c r="G1115" s="14">
        <f t="shared" si="55"/>
        <v>30.990816666666664</v>
      </c>
      <c r="H1115" s="14">
        <f t="shared" si="55"/>
        <v>31.154808333333335</v>
      </c>
      <c r="I1115" s="14">
        <f t="shared" si="55"/>
        <v>31.088341666666665</v>
      </c>
      <c r="J1115" s="14">
        <f t="shared" si="55"/>
        <v>30.967308333333339</v>
      </c>
      <c r="K1115" s="53">
        <f t="shared" si="55"/>
        <v>31.08445</v>
      </c>
      <c r="L1115" s="14">
        <f t="shared" si="55"/>
        <v>31.741808333333335</v>
      </c>
      <c r="M1115" s="14">
        <f t="shared" si="55"/>
        <v>30.340499999999995</v>
      </c>
      <c r="N1115" s="14">
        <f t="shared" si="55"/>
        <v>30.356658333333332</v>
      </c>
      <c r="O1115" s="14">
        <f t="shared" si="55"/>
        <v>30.524175</v>
      </c>
      <c r="P1115" s="14">
        <f t="shared" si="55"/>
        <v>30.457174999999996</v>
      </c>
      <c r="Q1115" s="14">
        <f t="shared" si="55"/>
        <v>31.118874999999999</v>
      </c>
      <c r="R1115" s="14">
        <f t="shared" si="55"/>
        <v>31.783666666666665</v>
      </c>
      <c r="S1115" s="14">
        <f t="shared" si="55"/>
        <v>29.7606</v>
      </c>
      <c r="T1115" s="49">
        <f>SUM(T553:T564)</f>
        <v>357.24568100000005</v>
      </c>
      <c r="U1115" s="49">
        <f>SUM(U553:U564)</f>
        <v>142.03263249999998</v>
      </c>
      <c r="V1115" s="49">
        <f>SUM(V553:V564)</f>
        <v>50.187500000000007</v>
      </c>
      <c r="W1115" s="49">
        <f>SUM(W553:W564)</f>
        <v>5.0822234999999996</v>
      </c>
      <c r="X1115" s="49">
        <f>SUM(X553:X564)</f>
        <v>20.758966663999999</v>
      </c>
      <c r="Y1115" s="49"/>
      <c r="Z1115" s="52"/>
      <c r="AA1115" s="51"/>
      <c r="AB1115" s="50">
        <f>AVERAGE(AB553:AB564)</f>
        <v>31.012899515545033</v>
      </c>
      <c r="AC1115" s="45">
        <f>AVERAGE(AC553:AC564)</f>
        <v>30.418097781774581</v>
      </c>
    </row>
    <row r="1116" spans="1:29" ht="15.75" x14ac:dyDescent="0.25">
      <c r="A1116" s="10">
        <f t="shared" si="34"/>
        <v>2059</v>
      </c>
      <c r="B1116" s="14">
        <f t="shared" ref="B1116:S1116" si="56">AVERAGE(B565:B576)</f>
        <v>32.154024999999997</v>
      </c>
      <c r="C1116" s="14">
        <f t="shared" si="56"/>
        <v>32.160299999999999</v>
      </c>
      <c r="D1116" s="14">
        <f t="shared" si="56"/>
        <v>32.305833333333332</v>
      </c>
      <c r="E1116" s="14">
        <f t="shared" si="56"/>
        <v>32.338241666666669</v>
      </c>
      <c r="F1116" s="14">
        <f t="shared" si="56"/>
        <v>32.146858333333334</v>
      </c>
      <c r="G1116" s="14">
        <f t="shared" si="56"/>
        <v>32.163358333333342</v>
      </c>
      <c r="H1116" s="14">
        <f t="shared" si="56"/>
        <v>32.327374999999996</v>
      </c>
      <c r="I1116" s="14">
        <f t="shared" si="56"/>
        <v>32.26455</v>
      </c>
      <c r="J1116" s="14">
        <f t="shared" si="56"/>
        <v>32.139858333333336</v>
      </c>
      <c r="K1116" s="53">
        <f t="shared" si="56"/>
        <v>32.260674999999999</v>
      </c>
      <c r="L1116" s="14">
        <f t="shared" si="56"/>
        <v>32.914375</v>
      </c>
      <c r="M1116" s="14">
        <f t="shared" si="56"/>
        <v>31.489016666666668</v>
      </c>
      <c r="N1116" s="14">
        <f t="shared" si="56"/>
        <v>31.505183333333335</v>
      </c>
      <c r="O1116" s="14">
        <f t="shared" si="56"/>
        <v>31.672700000000003</v>
      </c>
      <c r="P1116" s="14">
        <f t="shared" si="56"/>
        <v>31.609224999999995</v>
      </c>
      <c r="Q1116" s="14">
        <f t="shared" si="56"/>
        <v>32.267400000000002</v>
      </c>
      <c r="R1116" s="14">
        <f t="shared" si="56"/>
        <v>32.935066666666664</v>
      </c>
      <c r="S1116" s="14">
        <f t="shared" si="56"/>
        <v>30.88729166666667</v>
      </c>
      <c r="T1116" s="49">
        <f>SUM(T565:T576)</f>
        <v>357.24568100000005</v>
      </c>
      <c r="U1116" s="49">
        <f>SUM(U565:U576)</f>
        <v>142.03263249999998</v>
      </c>
      <c r="V1116" s="49">
        <f>SUM(V565:V576)</f>
        <v>50.187500000000007</v>
      </c>
      <c r="W1116" s="49">
        <f>SUM(W565:W576)</f>
        <v>5.0822234999999996</v>
      </c>
      <c r="X1116" s="49">
        <f>SUM(X565:X576)</f>
        <v>20.758966663999999</v>
      </c>
      <c r="Y1116" s="49"/>
      <c r="Z1116" s="14"/>
      <c r="AA1116" s="14"/>
      <c r="AB1116" s="50">
        <f>AVERAGE(AB565:AB576)</f>
        <v>32.185751200264825</v>
      </c>
      <c r="AC1116" s="45">
        <f>AVERAGE(AC565:AC576)</f>
        <v>31.567128537170266</v>
      </c>
    </row>
    <row r="1117" spans="1:29" ht="15.75" x14ac:dyDescent="0.25">
      <c r="A1117" s="10">
        <f t="shared" si="34"/>
        <v>2060</v>
      </c>
      <c r="B1117" s="14">
        <f t="shared" ref="B1117:S1117" si="57">AVERAGE(B577:B588)</f>
        <v>33.370966666666668</v>
      </c>
      <c r="C1117" s="14">
        <f t="shared" si="57"/>
        <v>33.377249999999997</v>
      </c>
      <c r="D1117" s="14">
        <f t="shared" si="57"/>
        <v>33.522775000000003</v>
      </c>
      <c r="E1117" s="14">
        <f t="shared" si="57"/>
        <v>33.555191666666666</v>
      </c>
      <c r="F1117" s="14">
        <f t="shared" si="57"/>
        <v>33.363791666666664</v>
      </c>
      <c r="G1117" s="14">
        <f t="shared" si="57"/>
        <v>33.380291666666672</v>
      </c>
      <c r="H1117" s="14">
        <f t="shared" si="57"/>
        <v>33.5443</v>
      </c>
      <c r="I1117" s="14">
        <f t="shared" si="57"/>
        <v>33.485324999999996</v>
      </c>
      <c r="J1117" s="14">
        <f t="shared" si="57"/>
        <v>33.356791666666659</v>
      </c>
      <c r="K1117" s="53">
        <f t="shared" si="57"/>
        <v>33.481433333333335</v>
      </c>
      <c r="L1117" s="14">
        <f t="shared" si="57"/>
        <v>34.131300000000003</v>
      </c>
      <c r="M1117" s="14">
        <f t="shared" si="57"/>
        <v>32.681008333333331</v>
      </c>
      <c r="N1117" s="14">
        <f t="shared" si="57"/>
        <v>32.697200000000002</v>
      </c>
      <c r="O1117" s="14">
        <f t="shared" si="57"/>
        <v>32.864699999999999</v>
      </c>
      <c r="P1117" s="14">
        <f t="shared" si="57"/>
        <v>32.80489166666667</v>
      </c>
      <c r="Q1117" s="14">
        <f t="shared" si="57"/>
        <v>33.459400000000002</v>
      </c>
      <c r="R1117" s="14">
        <f t="shared" si="57"/>
        <v>34.130058333333331</v>
      </c>
      <c r="S1117" s="14">
        <f t="shared" si="57"/>
        <v>32.056641666666657</v>
      </c>
      <c r="T1117" s="49">
        <f>SUM(T577:T588)</f>
        <v>358.17703550000004</v>
      </c>
      <c r="U1117" s="49">
        <f>SUM(U577:U588)</f>
        <v>142.42176299999997</v>
      </c>
      <c r="V1117" s="49">
        <f>SUM(V577:V588)</f>
        <v>50.325000000000003</v>
      </c>
      <c r="W1117" s="49">
        <f>SUM(W577:W588)</f>
        <v>5.0961473999999995</v>
      </c>
      <c r="X1117" s="49">
        <f>SUM(X577:X588)</f>
        <v>20.800615543999996</v>
      </c>
      <c r="Y1117" s="49"/>
      <c r="Z1117" s="52"/>
      <c r="AA1117" s="51"/>
      <c r="AB1117" s="50">
        <f>AVERAGE(AB577:AB588)</f>
        <v>33.403007595078407</v>
      </c>
      <c r="AC1117" s="45">
        <f>AVERAGE(AC577:AC588)</f>
        <v>32.759655635491605</v>
      </c>
    </row>
    <row r="1118" spans="1:29" ht="15.75" x14ac:dyDescent="0.25">
      <c r="A1118" s="10">
        <f t="shared" si="34"/>
        <v>2061</v>
      </c>
      <c r="B1118" s="14">
        <f t="shared" ref="B1118:S1118" si="58">AVERAGE(B589:B600)</f>
        <v>34.633975</v>
      </c>
      <c r="C1118" s="14">
        <f t="shared" si="58"/>
        <v>34.640258333333328</v>
      </c>
      <c r="D1118" s="14">
        <f t="shared" si="58"/>
        <v>34.785774999999994</v>
      </c>
      <c r="E1118" s="14">
        <f t="shared" si="58"/>
        <v>34.818208333333338</v>
      </c>
      <c r="F1118" s="14">
        <f t="shared" si="58"/>
        <v>34.626808333333337</v>
      </c>
      <c r="G1118" s="14">
        <f t="shared" si="58"/>
        <v>34.643291666666677</v>
      </c>
      <c r="H1118" s="14">
        <f t="shared" si="58"/>
        <v>34.807316666666665</v>
      </c>
      <c r="I1118" s="14">
        <f t="shared" si="58"/>
        <v>34.752266666666671</v>
      </c>
      <c r="J1118" s="14">
        <f t="shared" si="58"/>
        <v>34.619808333333332</v>
      </c>
      <c r="K1118" s="53">
        <f t="shared" si="58"/>
        <v>34.748399999999997</v>
      </c>
      <c r="L1118" s="14">
        <f t="shared" si="58"/>
        <v>35.394316666666661</v>
      </c>
      <c r="M1118" s="14">
        <f t="shared" si="58"/>
        <v>33.918166666666671</v>
      </c>
      <c r="N1118" s="14">
        <f t="shared" si="58"/>
        <v>33.934325000000008</v>
      </c>
      <c r="O1118" s="14">
        <f t="shared" si="58"/>
        <v>34.101841666666672</v>
      </c>
      <c r="P1118" s="14">
        <f t="shared" si="58"/>
        <v>34.045816666666667</v>
      </c>
      <c r="Q1118" s="14">
        <f t="shared" si="58"/>
        <v>34.696541666666668</v>
      </c>
      <c r="R1118" s="14">
        <f t="shared" si="58"/>
        <v>35.370283333333333</v>
      </c>
      <c r="S1118" s="14">
        <f t="shared" si="58"/>
        <v>33.270291666666665</v>
      </c>
      <c r="T1118" s="49">
        <f>SUM(T589:T600)</f>
        <v>357.24568100000005</v>
      </c>
      <c r="U1118" s="49">
        <f>SUM(U589:U600)</f>
        <v>142.03263249999998</v>
      </c>
      <c r="V1118" s="49">
        <f>SUM(V589:V600)</f>
        <v>50.187500000000007</v>
      </c>
      <c r="W1118" s="49">
        <f>SUM(W589:W600)</f>
        <v>5.0822234999999996</v>
      </c>
      <c r="X1118" s="49">
        <f>SUM(X589:X600)</f>
        <v>20.758966663999999</v>
      </c>
      <c r="Y1118" s="49"/>
      <c r="Z1118" s="52"/>
      <c r="AA1118" s="51"/>
      <c r="AB1118" s="50">
        <f>AVERAGE(AB589:AB600)</f>
        <v>34.666340867555959</v>
      </c>
      <c r="AC1118" s="45">
        <f>AVERAGE(AC589:AC600)</f>
        <v>33.997342146282982</v>
      </c>
    </row>
    <row r="1119" spans="1:29" ht="15" x14ac:dyDescent="0.2">
      <c r="A1119" s="10">
        <f t="shared" si="34"/>
        <v>2062</v>
      </c>
      <c r="B1119" s="14">
        <f t="shared" ref="B1119:K1128" ca="1" si="59">AVERAGE(OFFSET(B$601,($A1119-$A$1119)*12,0,12,1))</f>
        <v>35.944808333333334</v>
      </c>
      <c r="C1119" s="14">
        <f t="shared" ca="1" si="59"/>
        <v>35.951099999999997</v>
      </c>
      <c r="D1119" s="14">
        <f t="shared" ca="1" si="59"/>
        <v>36.096616666666662</v>
      </c>
      <c r="E1119" s="14">
        <f t="shared" ca="1" si="59"/>
        <v>36.129025000000006</v>
      </c>
      <c r="F1119" s="14">
        <f t="shared" ca="1" si="59"/>
        <v>35.937625000000004</v>
      </c>
      <c r="G1119" s="14">
        <f t="shared" ca="1" si="59"/>
        <v>35.954133333333331</v>
      </c>
      <c r="H1119" s="14">
        <f t="shared" ca="1" si="59"/>
        <v>36.118158333333334</v>
      </c>
      <c r="I1119" s="14">
        <f t="shared" ca="1" si="59"/>
        <v>36.067200000000007</v>
      </c>
      <c r="J1119" s="14">
        <f t="shared" ca="1" si="59"/>
        <v>35.930624999999999</v>
      </c>
      <c r="K1119" s="14">
        <f t="shared" ca="1" si="59"/>
        <v>36.063308333333332</v>
      </c>
      <c r="L1119" s="14">
        <f t="shared" ref="L1119:S1128" ca="1" si="60">AVERAGE(OFFSET(L$601,($A1119-$A$1119)*12,0,12,1))</f>
        <v>36.705158333333337</v>
      </c>
      <c r="M1119" s="14">
        <f t="shared" ca="1" si="60"/>
        <v>35.202150000000003</v>
      </c>
      <c r="N1119" s="14">
        <f t="shared" ca="1" si="60"/>
        <v>35.218299999999992</v>
      </c>
      <c r="O1119" s="14">
        <f t="shared" ca="1" si="60"/>
        <v>35.385816666666663</v>
      </c>
      <c r="P1119" s="14">
        <f t="shared" ca="1" si="60"/>
        <v>35.333725000000001</v>
      </c>
      <c r="Q1119" s="14">
        <f t="shared" ca="1" si="60"/>
        <v>35.980516666666674</v>
      </c>
      <c r="R1119" s="14">
        <f t="shared" ca="1" si="60"/>
        <v>36.657449999999997</v>
      </c>
      <c r="S1119" s="14">
        <f t="shared" ca="1" si="60"/>
        <v>34.52985833333333</v>
      </c>
      <c r="T1119" s="49">
        <f t="shared" ref="T1119:X1128" ca="1" si="61">SUM(OFFSET(T$601,($A1119-$A$1119)*12,0,12,1))</f>
        <v>357.24568100000005</v>
      </c>
      <c r="U1119" s="49">
        <f t="shared" ca="1" si="61"/>
        <v>142.03263249999998</v>
      </c>
      <c r="V1119" s="49">
        <f t="shared" ca="1" si="61"/>
        <v>50.187500000000007</v>
      </c>
      <c r="W1119" s="49">
        <f t="shared" ca="1" si="61"/>
        <v>5.0822234999999996</v>
      </c>
      <c r="X1119" s="49">
        <f t="shared" ca="1" si="61"/>
        <v>20.758966663999999</v>
      </c>
      <c r="Y1119" s="14"/>
      <c r="Z1119" s="14"/>
      <c r="AA1119" s="14"/>
      <c r="AB1119" s="14">
        <f t="shared" ref="AB1119:AC1138" ca="1" si="62">AVERAGE(OFFSET(AB$601,($A1119-$A$1119)*12,0,12,1))</f>
        <v>35.977510299620967</v>
      </c>
      <c r="AC1119" s="14">
        <f t="shared" ca="1" si="62"/>
        <v>35.305255755395685</v>
      </c>
    </row>
    <row r="1120" spans="1:29" ht="15" x14ac:dyDescent="0.2">
      <c r="A1120" s="10">
        <f t="shared" si="34"/>
        <v>2063</v>
      </c>
      <c r="B1120" s="14">
        <f t="shared" ca="1" si="59"/>
        <v>37.305266666666661</v>
      </c>
      <c r="C1120" s="14">
        <f t="shared" ca="1" si="59"/>
        <v>37.311541666666663</v>
      </c>
      <c r="D1120" s="14">
        <f t="shared" ca="1" si="59"/>
        <v>37.457075000000003</v>
      </c>
      <c r="E1120" s="14">
        <f t="shared" ca="1" si="59"/>
        <v>37.489491666666666</v>
      </c>
      <c r="F1120" s="14">
        <f t="shared" ca="1" si="59"/>
        <v>37.298091666666672</v>
      </c>
      <c r="G1120" s="14">
        <f t="shared" ca="1" si="59"/>
        <v>37.314608333333332</v>
      </c>
      <c r="H1120" s="14">
        <f t="shared" ca="1" si="59"/>
        <v>37.478616666666674</v>
      </c>
      <c r="I1120" s="14">
        <f t="shared" ca="1" si="59"/>
        <v>37.431950000000001</v>
      </c>
      <c r="J1120" s="14">
        <f t="shared" ca="1" si="59"/>
        <v>37.291091666666667</v>
      </c>
      <c r="K1120" s="14">
        <f t="shared" ca="1" si="59"/>
        <v>37.428058333333333</v>
      </c>
      <c r="L1120" s="14">
        <f t="shared" ca="1" si="60"/>
        <v>38.065616666666664</v>
      </c>
      <c r="M1120" s="14">
        <f t="shared" ca="1" si="60"/>
        <v>36.534716666666668</v>
      </c>
      <c r="N1120" s="14">
        <f t="shared" ca="1" si="60"/>
        <v>36.550883333333338</v>
      </c>
      <c r="O1120" s="14">
        <f t="shared" ca="1" si="60"/>
        <v>36.718391666666669</v>
      </c>
      <c r="P1120" s="14">
        <f t="shared" ca="1" si="60"/>
        <v>36.670383333333334</v>
      </c>
      <c r="Q1120" s="14">
        <f t="shared" ca="1" si="60"/>
        <v>37.313091666666665</v>
      </c>
      <c r="R1120" s="14">
        <f t="shared" ca="1" si="60"/>
        <v>37.993366666666667</v>
      </c>
      <c r="S1120" s="14">
        <f t="shared" ca="1" si="60"/>
        <v>35.837125</v>
      </c>
      <c r="T1120" s="49">
        <f t="shared" ca="1" si="61"/>
        <v>357.24568100000005</v>
      </c>
      <c r="U1120" s="49">
        <f t="shared" ca="1" si="61"/>
        <v>142.03263249999998</v>
      </c>
      <c r="V1120" s="49">
        <f t="shared" ca="1" si="61"/>
        <v>50.187500000000007</v>
      </c>
      <c r="W1120" s="49">
        <f t="shared" ca="1" si="61"/>
        <v>5.0822234999999996</v>
      </c>
      <c r="X1120" s="49">
        <f t="shared" ca="1" si="61"/>
        <v>20.758966663999999</v>
      </c>
      <c r="Y1120" s="14"/>
      <c r="Z1120" s="14"/>
      <c r="AA1120" s="14"/>
      <c r="AB1120" s="14">
        <f t="shared" ca="1" si="62"/>
        <v>37.338323702978435</v>
      </c>
      <c r="AC1120" s="14">
        <f t="shared" ca="1" si="62"/>
        <v>36.638415887290172</v>
      </c>
    </row>
    <row r="1121" spans="1:29" ht="15" x14ac:dyDescent="0.2">
      <c r="A1121" s="10">
        <f t="shared" si="34"/>
        <v>2064</v>
      </c>
      <c r="B1121" s="14">
        <f t="shared" ca="1" si="59"/>
        <v>38.717233333333333</v>
      </c>
      <c r="C1121" s="14">
        <f t="shared" ca="1" si="59"/>
        <v>38.723508333333328</v>
      </c>
      <c r="D1121" s="14">
        <f t="shared" ca="1" si="59"/>
        <v>38.869033333333334</v>
      </c>
      <c r="E1121" s="14">
        <f t="shared" ca="1" si="59"/>
        <v>38.901458333333331</v>
      </c>
      <c r="F1121" s="14">
        <f t="shared" ca="1" si="59"/>
        <v>38.710058333333336</v>
      </c>
      <c r="G1121" s="14">
        <f t="shared" ca="1" si="59"/>
        <v>38.726566666666663</v>
      </c>
      <c r="H1121" s="14">
        <f t="shared" ca="1" si="59"/>
        <v>38.890583333333332</v>
      </c>
      <c r="I1121" s="14">
        <f t="shared" ca="1" si="59"/>
        <v>38.848308333333335</v>
      </c>
      <c r="J1121" s="14">
        <f t="shared" ca="1" si="59"/>
        <v>38.703058333333338</v>
      </c>
      <c r="K1121" s="14">
        <f t="shared" ca="1" si="59"/>
        <v>38.844425000000001</v>
      </c>
      <c r="L1121" s="14">
        <f t="shared" ca="1" si="60"/>
        <v>39.477583333333342</v>
      </c>
      <c r="M1121" s="14">
        <f t="shared" ca="1" si="60"/>
        <v>37.917750000000005</v>
      </c>
      <c r="N1121" s="14">
        <f t="shared" ca="1" si="60"/>
        <v>37.933925000000002</v>
      </c>
      <c r="O1121" s="14">
        <f t="shared" ca="1" si="60"/>
        <v>38.101424999999999</v>
      </c>
      <c r="P1121" s="14">
        <f t="shared" ca="1" si="60"/>
        <v>38.05766666666667</v>
      </c>
      <c r="Q1121" s="14">
        <f t="shared" ca="1" si="60"/>
        <v>38.696125000000002</v>
      </c>
      <c r="R1121" s="14">
        <f t="shared" ca="1" si="60"/>
        <v>39.379875000000006</v>
      </c>
      <c r="S1121" s="14">
        <f t="shared" ca="1" si="60"/>
        <v>37.193874999999991</v>
      </c>
      <c r="T1121" s="49">
        <f t="shared" ca="1" si="61"/>
        <v>358.17703550000004</v>
      </c>
      <c r="U1121" s="49">
        <f t="shared" ca="1" si="61"/>
        <v>142.42176299999997</v>
      </c>
      <c r="V1121" s="49">
        <f t="shared" ca="1" si="61"/>
        <v>50.325000000000003</v>
      </c>
      <c r="W1121" s="49">
        <f t="shared" ca="1" si="61"/>
        <v>5.0961473999999995</v>
      </c>
      <c r="X1121" s="49">
        <f t="shared" ca="1" si="61"/>
        <v>20.800615543999996</v>
      </c>
      <c r="Y1121" s="14"/>
      <c r="Z1121" s="14"/>
      <c r="AA1121" s="14"/>
      <c r="AB1121" s="14">
        <f t="shared" ca="1" si="62"/>
        <v>38.750649592705798</v>
      </c>
      <c r="AC1121" s="14">
        <f t="shared" ca="1" si="62"/>
        <v>38.022061211031165</v>
      </c>
    </row>
    <row r="1122" spans="1:29" ht="15" x14ac:dyDescent="0.2">
      <c r="A1122" s="10">
        <f t="shared" si="34"/>
        <v>2065</v>
      </c>
      <c r="B1122" s="14">
        <f t="shared" ca="1" si="59"/>
        <v>40.182658333333329</v>
      </c>
      <c r="C1122" s="14">
        <f t="shared" ca="1" si="59"/>
        <v>40.188925000000005</v>
      </c>
      <c r="D1122" s="14">
        <f t="shared" ca="1" si="59"/>
        <v>40.334458333333338</v>
      </c>
      <c r="E1122" s="14">
        <f t="shared" ca="1" si="59"/>
        <v>40.366883333333334</v>
      </c>
      <c r="F1122" s="14">
        <f t="shared" ca="1" si="59"/>
        <v>40.175474999999999</v>
      </c>
      <c r="G1122" s="14">
        <f t="shared" ca="1" si="59"/>
        <v>40.191983333333333</v>
      </c>
      <c r="H1122" s="14">
        <f t="shared" ca="1" si="59"/>
        <v>40.356000000000002</v>
      </c>
      <c r="I1122" s="14">
        <f t="shared" ca="1" si="59"/>
        <v>40.318324999999994</v>
      </c>
      <c r="J1122" s="14">
        <f t="shared" ca="1" si="59"/>
        <v>40.168474999999994</v>
      </c>
      <c r="K1122" s="14">
        <f t="shared" ca="1" si="59"/>
        <v>40.314441666666674</v>
      </c>
      <c r="L1122" s="14">
        <f t="shared" ca="1" si="60"/>
        <v>40.943000000000005</v>
      </c>
      <c r="M1122" s="14">
        <f t="shared" ca="1" si="60"/>
        <v>39.353149999999999</v>
      </c>
      <c r="N1122" s="14">
        <f t="shared" ca="1" si="60"/>
        <v>39.369324999999996</v>
      </c>
      <c r="O1122" s="14">
        <f t="shared" ca="1" si="60"/>
        <v>39.536825</v>
      </c>
      <c r="P1122" s="14">
        <f t="shared" ca="1" si="60"/>
        <v>39.497466666666675</v>
      </c>
      <c r="Q1122" s="14">
        <f t="shared" ca="1" si="60"/>
        <v>40.131524999999996</v>
      </c>
      <c r="R1122" s="14">
        <f t="shared" ca="1" si="60"/>
        <v>40.818858333333331</v>
      </c>
      <c r="S1122" s="14">
        <f t="shared" ca="1" si="60"/>
        <v>38.60200833333333</v>
      </c>
      <c r="T1122" s="49">
        <f t="shared" ca="1" si="61"/>
        <v>357.24568100000005</v>
      </c>
      <c r="U1122" s="49">
        <f t="shared" ca="1" si="61"/>
        <v>142.03263249999998</v>
      </c>
      <c r="V1122" s="49">
        <f t="shared" ca="1" si="61"/>
        <v>50.187500000000007</v>
      </c>
      <c r="W1122" s="49">
        <f t="shared" ca="1" si="61"/>
        <v>5.0822234999999996</v>
      </c>
      <c r="X1122" s="49">
        <f t="shared" ca="1" si="61"/>
        <v>20.758966663999999</v>
      </c>
      <c r="Y1122" s="14"/>
      <c r="Z1122" s="14"/>
      <c r="AA1122" s="14"/>
      <c r="AB1122" s="14">
        <f t="shared" ca="1" si="62"/>
        <v>40.216447531956852</v>
      </c>
      <c r="AC1122" s="14">
        <f t="shared" ca="1" si="62"/>
        <v>39.458094304556361</v>
      </c>
    </row>
    <row r="1123" spans="1:29" ht="15" x14ac:dyDescent="0.2">
      <c r="A1123" s="10">
        <f t="shared" si="34"/>
        <v>2066</v>
      </c>
      <c r="B1123" s="14">
        <f t="shared" ca="1" si="59"/>
        <v>41.703566666666667</v>
      </c>
      <c r="C1123" s="14">
        <f t="shared" ca="1" si="59"/>
        <v>41.709816666666669</v>
      </c>
      <c r="D1123" s="14">
        <f t="shared" ca="1" si="59"/>
        <v>41.855358333333328</v>
      </c>
      <c r="E1123" s="14">
        <f t="shared" ca="1" si="59"/>
        <v>41.887783333333324</v>
      </c>
      <c r="F1123" s="14">
        <f t="shared" ca="1" si="59"/>
        <v>41.696391666666663</v>
      </c>
      <c r="G1123" s="14">
        <f t="shared" ca="1" si="59"/>
        <v>41.712883333333338</v>
      </c>
      <c r="H1123" s="14">
        <f t="shared" ca="1" si="59"/>
        <v>41.876891666666666</v>
      </c>
      <c r="I1123" s="14">
        <f t="shared" ca="1" si="59"/>
        <v>41.84399166666666</v>
      </c>
      <c r="J1123" s="14">
        <f t="shared" ca="1" si="59"/>
        <v>41.689391666666666</v>
      </c>
      <c r="K1123" s="14">
        <f t="shared" ca="1" si="59"/>
        <v>41.840108333333333</v>
      </c>
      <c r="L1123" s="14">
        <f t="shared" ca="1" si="60"/>
        <v>42.463891666666662</v>
      </c>
      <c r="M1123" s="14">
        <f t="shared" ca="1" si="60"/>
        <v>40.84288333333334</v>
      </c>
      <c r="N1123" s="14">
        <f t="shared" ca="1" si="60"/>
        <v>40.859050000000003</v>
      </c>
      <c r="O1123" s="14">
        <f t="shared" ca="1" si="60"/>
        <v>41.026575000000001</v>
      </c>
      <c r="P1123" s="14">
        <f t="shared" ca="1" si="60"/>
        <v>40.991808333333339</v>
      </c>
      <c r="Q1123" s="14">
        <f t="shared" ca="1" si="60"/>
        <v>41.621274999999997</v>
      </c>
      <c r="R1123" s="14">
        <f t="shared" ca="1" si="60"/>
        <v>42.312308333333341</v>
      </c>
      <c r="S1123" s="14">
        <f t="shared" ca="1" si="60"/>
        <v>40.06344166666667</v>
      </c>
      <c r="T1123" s="49">
        <f t="shared" ca="1" si="61"/>
        <v>357.24568100000005</v>
      </c>
      <c r="U1123" s="49">
        <f t="shared" ca="1" si="61"/>
        <v>142.03263249999998</v>
      </c>
      <c r="V1123" s="49">
        <f t="shared" ca="1" si="61"/>
        <v>50.187500000000007</v>
      </c>
      <c r="W1123" s="49">
        <f t="shared" ca="1" si="61"/>
        <v>5.0822234999999996</v>
      </c>
      <c r="X1123" s="49">
        <f t="shared" ca="1" si="61"/>
        <v>20.758966663999999</v>
      </c>
      <c r="Y1123" s="14"/>
      <c r="Z1123" s="14"/>
      <c r="AA1123" s="14"/>
      <c r="AB1123" s="14">
        <f t="shared" ca="1" si="62"/>
        <v>41.737745203160841</v>
      </c>
      <c r="AC1123" s="14">
        <f t="shared" ca="1" si="62"/>
        <v>40.948497781774584</v>
      </c>
    </row>
    <row r="1124" spans="1:29" ht="15" x14ac:dyDescent="0.2">
      <c r="A1124" s="10">
        <f t="shared" si="34"/>
        <v>2067</v>
      </c>
      <c r="B1124" s="14">
        <f t="shared" ca="1" si="59"/>
        <v>43.282041666666665</v>
      </c>
      <c r="C1124" s="14">
        <f t="shared" ca="1" si="59"/>
        <v>43.288316666666674</v>
      </c>
      <c r="D1124" s="14">
        <f t="shared" ca="1" si="59"/>
        <v>43.43385</v>
      </c>
      <c r="E1124" s="14">
        <f t="shared" ca="1" si="59"/>
        <v>43.466275000000003</v>
      </c>
      <c r="F1124" s="14">
        <f t="shared" ca="1" si="59"/>
        <v>43.274883333333342</v>
      </c>
      <c r="G1124" s="14">
        <f t="shared" ca="1" si="59"/>
        <v>43.291366666666669</v>
      </c>
      <c r="H1124" s="14">
        <f t="shared" ca="1" si="59"/>
        <v>43.455383333333337</v>
      </c>
      <c r="I1124" s="14">
        <f t="shared" ca="1" si="59"/>
        <v>43.427425000000007</v>
      </c>
      <c r="J1124" s="14">
        <f t="shared" ca="1" si="59"/>
        <v>43.267883333333337</v>
      </c>
      <c r="K1124" s="14">
        <f t="shared" ca="1" si="59"/>
        <v>43.423541666666665</v>
      </c>
      <c r="L1124" s="14">
        <f t="shared" ca="1" si="60"/>
        <v>44.042383333333333</v>
      </c>
      <c r="M1124" s="14">
        <f t="shared" ca="1" si="60"/>
        <v>42.38903333333333</v>
      </c>
      <c r="N1124" s="14">
        <f t="shared" ca="1" si="60"/>
        <v>42.405200000000001</v>
      </c>
      <c r="O1124" s="14">
        <f t="shared" ca="1" si="60"/>
        <v>42.572699999999998</v>
      </c>
      <c r="P1124" s="14">
        <f t="shared" ca="1" si="60"/>
        <v>42.542666666666669</v>
      </c>
      <c r="Q1124" s="14">
        <f t="shared" ca="1" si="60"/>
        <v>43.167399999999994</v>
      </c>
      <c r="R1124" s="14">
        <f t="shared" ca="1" si="60"/>
        <v>43.862333333333339</v>
      </c>
      <c r="S1124" s="14">
        <f t="shared" ca="1" si="60"/>
        <v>41.580208333333324</v>
      </c>
      <c r="T1124" s="49">
        <f t="shared" ca="1" si="61"/>
        <v>357.24568100000005</v>
      </c>
      <c r="U1124" s="49">
        <f t="shared" ca="1" si="61"/>
        <v>142.03263249999998</v>
      </c>
      <c r="V1124" s="49">
        <f t="shared" ca="1" si="61"/>
        <v>50.187500000000007</v>
      </c>
      <c r="W1124" s="49">
        <f t="shared" ca="1" si="61"/>
        <v>5.0822234999999996</v>
      </c>
      <c r="X1124" s="49">
        <f t="shared" ca="1" si="61"/>
        <v>20.758966663999999</v>
      </c>
      <c r="Y1124" s="14"/>
      <c r="Z1124" s="14"/>
      <c r="AA1124" s="14"/>
      <c r="AB1124" s="14">
        <f t="shared" ca="1" si="62"/>
        <v>43.316641836366955</v>
      </c>
      <c r="AC1124" s="14">
        <f t="shared" ca="1" si="62"/>
        <v>42.495313908872902</v>
      </c>
    </row>
    <row r="1125" spans="1:29" ht="15" x14ac:dyDescent="0.2">
      <c r="A1125" s="10">
        <f t="shared" si="34"/>
        <v>2068</v>
      </c>
      <c r="B1125" s="14">
        <f t="shared" ca="1" si="59"/>
        <v>44.920283333333337</v>
      </c>
      <c r="C1125" s="14">
        <f t="shared" ca="1" si="59"/>
        <v>44.926558333333332</v>
      </c>
      <c r="D1125" s="14">
        <f t="shared" ca="1" si="59"/>
        <v>45.072083333333332</v>
      </c>
      <c r="E1125" s="14">
        <f t="shared" ca="1" si="59"/>
        <v>45.104500000000002</v>
      </c>
      <c r="F1125" s="14">
        <f t="shared" ca="1" si="59"/>
        <v>44.913125000000008</v>
      </c>
      <c r="G1125" s="14">
        <f t="shared" ca="1" si="59"/>
        <v>44.929633333333335</v>
      </c>
      <c r="H1125" s="14">
        <f t="shared" ca="1" si="59"/>
        <v>45.093625000000003</v>
      </c>
      <c r="I1125" s="14">
        <f t="shared" ca="1" si="59"/>
        <v>45.070808333333332</v>
      </c>
      <c r="J1125" s="14">
        <f t="shared" ca="1" si="59"/>
        <v>44.906125000000003</v>
      </c>
      <c r="K1125" s="14">
        <f t="shared" ca="1" si="59"/>
        <v>45.066908333333338</v>
      </c>
      <c r="L1125" s="14">
        <f t="shared" ca="1" si="60"/>
        <v>45.680624999999999</v>
      </c>
      <c r="M1125" s="14">
        <f t="shared" ca="1" si="60"/>
        <v>43.993708333333338</v>
      </c>
      <c r="N1125" s="14">
        <f t="shared" ca="1" si="60"/>
        <v>44.009874999999994</v>
      </c>
      <c r="O1125" s="14">
        <f t="shared" ca="1" si="60"/>
        <v>44.177383333333324</v>
      </c>
      <c r="P1125" s="14">
        <f t="shared" ca="1" si="60"/>
        <v>44.152266666666669</v>
      </c>
      <c r="Q1125" s="14">
        <f t="shared" ca="1" si="60"/>
        <v>44.772083333333335</v>
      </c>
      <c r="R1125" s="14">
        <f t="shared" ca="1" si="60"/>
        <v>45.471016666666678</v>
      </c>
      <c r="S1125" s="14">
        <f t="shared" ca="1" si="60"/>
        <v>43.154400000000003</v>
      </c>
      <c r="T1125" s="49">
        <f t="shared" ca="1" si="61"/>
        <v>358.17703550000004</v>
      </c>
      <c r="U1125" s="49">
        <f t="shared" ca="1" si="61"/>
        <v>142.42176299999997</v>
      </c>
      <c r="V1125" s="49">
        <f t="shared" ca="1" si="61"/>
        <v>50.325000000000003</v>
      </c>
      <c r="W1125" s="49">
        <f t="shared" ca="1" si="61"/>
        <v>5.0961473999999995</v>
      </c>
      <c r="X1125" s="49">
        <f t="shared" ca="1" si="61"/>
        <v>20.800615543999996</v>
      </c>
      <c r="Y1125" s="14"/>
      <c r="Z1125" s="14"/>
      <c r="AA1125" s="14"/>
      <c r="AB1125" s="14">
        <f t="shared" ca="1" si="62"/>
        <v>44.955309049674639</v>
      </c>
      <c r="AC1125" s="14">
        <f t="shared" ca="1" si="62"/>
        <v>44.10070131894485</v>
      </c>
    </row>
    <row r="1126" spans="1:29" ht="15" x14ac:dyDescent="0.2">
      <c r="A1126" s="10">
        <f t="shared" si="34"/>
        <v>2069</v>
      </c>
      <c r="B1126" s="14">
        <f t="shared" ca="1" si="59"/>
        <v>46.620566666666669</v>
      </c>
      <c r="C1126" s="14">
        <f t="shared" ca="1" si="59"/>
        <v>46.62683333333333</v>
      </c>
      <c r="D1126" s="14">
        <f t="shared" ca="1" si="59"/>
        <v>46.772366666666663</v>
      </c>
      <c r="E1126" s="14">
        <f t="shared" ca="1" si="59"/>
        <v>46.80478333333334</v>
      </c>
      <c r="F1126" s="14">
        <f t="shared" ca="1" si="59"/>
        <v>46.613383333333331</v>
      </c>
      <c r="G1126" s="14">
        <f t="shared" ca="1" si="59"/>
        <v>46.629891666666659</v>
      </c>
      <c r="H1126" s="14">
        <f t="shared" ca="1" si="59"/>
        <v>46.793908333333341</v>
      </c>
      <c r="I1126" s="14">
        <f t="shared" ca="1" si="59"/>
        <v>46.776400000000002</v>
      </c>
      <c r="J1126" s="14">
        <f t="shared" ca="1" si="59"/>
        <v>46.606383333333333</v>
      </c>
      <c r="K1126" s="14">
        <f t="shared" ca="1" si="59"/>
        <v>46.772508333333342</v>
      </c>
      <c r="L1126" s="14">
        <f t="shared" ca="1" si="60"/>
        <v>47.380908333333338</v>
      </c>
      <c r="M1126" s="14">
        <f t="shared" ca="1" si="60"/>
        <v>45.65915833333333</v>
      </c>
      <c r="N1126" s="14">
        <f t="shared" ca="1" si="60"/>
        <v>45.675308333333334</v>
      </c>
      <c r="O1126" s="14">
        <f t="shared" ca="1" si="60"/>
        <v>45.842816666666664</v>
      </c>
      <c r="P1126" s="14">
        <f t="shared" ca="1" si="60"/>
        <v>45.822808333333342</v>
      </c>
      <c r="Q1126" s="14">
        <f t="shared" ca="1" si="60"/>
        <v>46.43751666666666</v>
      </c>
      <c r="R1126" s="14">
        <f t="shared" ca="1" si="60"/>
        <v>47.140608333333326</v>
      </c>
      <c r="S1126" s="14">
        <f t="shared" ca="1" si="60"/>
        <v>44.788183333333336</v>
      </c>
      <c r="T1126" s="49">
        <f t="shared" ca="1" si="61"/>
        <v>357.24568100000005</v>
      </c>
      <c r="U1126" s="49">
        <f t="shared" ca="1" si="61"/>
        <v>142.03263249999998</v>
      </c>
      <c r="V1126" s="49">
        <f t="shared" ca="1" si="61"/>
        <v>50.187500000000007</v>
      </c>
      <c r="W1126" s="49">
        <f t="shared" ca="1" si="61"/>
        <v>5.0822234999999996</v>
      </c>
      <c r="X1126" s="49">
        <f t="shared" ca="1" si="61"/>
        <v>20.758966663999999</v>
      </c>
      <c r="Y1126" s="14"/>
      <c r="Z1126" s="14"/>
      <c r="AA1126" s="14"/>
      <c r="AB1126" s="14">
        <f t="shared" ca="1" si="62"/>
        <v>46.656018571076622</v>
      </c>
      <c r="AC1126" s="14">
        <f t="shared" ca="1" si="62"/>
        <v>45.766875419664267</v>
      </c>
    </row>
    <row r="1127" spans="1:29" ht="15" x14ac:dyDescent="0.2">
      <c r="A1127" s="10">
        <f t="shared" ref="A1127:A1157" si="63">A1126+1</f>
        <v>2070</v>
      </c>
      <c r="B1127" s="14">
        <f t="shared" ca="1" si="59"/>
        <v>48.385200000000005</v>
      </c>
      <c r="C1127" s="14">
        <f t="shared" ca="1" si="59"/>
        <v>48.391466666666666</v>
      </c>
      <c r="D1127" s="14">
        <f t="shared" ca="1" si="59"/>
        <v>48.537016666666659</v>
      </c>
      <c r="E1127" s="14">
        <f t="shared" ca="1" si="59"/>
        <v>48.569433333333329</v>
      </c>
      <c r="F1127" s="14">
        <f t="shared" ca="1" si="59"/>
        <v>48.378033333333327</v>
      </c>
      <c r="G1127" s="14">
        <f t="shared" ca="1" si="59"/>
        <v>48.394541666666669</v>
      </c>
      <c r="H1127" s="14">
        <f t="shared" ca="1" si="59"/>
        <v>48.558558333333337</v>
      </c>
      <c r="I1127" s="14">
        <f t="shared" ca="1" si="59"/>
        <v>48.546583333333331</v>
      </c>
      <c r="J1127" s="14">
        <f t="shared" ca="1" si="59"/>
        <v>48.371033333333337</v>
      </c>
      <c r="K1127" s="14">
        <f t="shared" ca="1" si="59"/>
        <v>48.542691666666663</v>
      </c>
      <c r="L1127" s="14">
        <f t="shared" ca="1" si="60"/>
        <v>49.145558333333334</v>
      </c>
      <c r="M1127" s="14">
        <f t="shared" ca="1" si="60"/>
        <v>47.387624999999993</v>
      </c>
      <c r="N1127" s="14">
        <f t="shared" ca="1" si="60"/>
        <v>47.40380833333333</v>
      </c>
      <c r="O1127" s="14">
        <f t="shared" ca="1" si="60"/>
        <v>47.571308333333342</v>
      </c>
      <c r="P1127" s="14">
        <f t="shared" ca="1" si="60"/>
        <v>47.556599999999996</v>
      </c>
      <c r="Q1127" s="14">
        <f t="shared" ca="1" si="60"/>
        <v>48.166008333333338</v>
      </c>
      <c r="R1127" s="14">
        <f t="shared" ca="1" si="60"/>
        <v>48.873433333333338</v>
      </c>
      <c r="S1127" s="14">
        <f t="shared" ca="1" si="60"/>
        <v>46.48383333333333</v>
      </c>
      <c r="T1127" s="49">
        <f t="shared" ca="1" si="61"/>
        <v>357.24568100000005</v>
      </c>
      <c r="U1127" s="49">
        <f t="shared" ca="1" si="61"/>
        <v>142.03263249999998</v>
      </c>
      <c r="V1127" s="49">
        <f t="shared" ca="1" si="61"/>
        <v>50.187500000000007</v>
      </c>
      <c r="W1127" s="49">
        <f t="shared" ca="1" si="61"/>
        <v>5.0822234999999996</v>
      </c>
      <c r="X1127" s="49">
        <f t="shared" ca="1" si="61"/>
        <v>20.758966663999999</v>
      </c>
      <c r="Y1127" s="14"/>
      <c r="Z1127" s="14"/>
      <c r="AA1127" s="14"/>
      <c r="AB1127" s="14">
        <f t="shared" ca="1" si="62"/>
        <v>48.421117558640908</v>
      </c>
      <c r="AC1127" s="14">
        <f t="shared" ca="1" si="62"/>
        <v>47.496121522781777</v>
      </c>
    </row>
    <row r="1128" spans="1:29" ht="15" x14ac:dyDescent="0.2">
      <c r="A1128" s="10">
        <f t="shared" si="63"/>
        <v>2071</v>
      </c>
      <c r="B1128" s="14">
        <f t="shared" ca="1" si="59"/>
        <v>50.216649999999994</v>
      </c>
      <c r="C1128" s="14">
        <f t="shared" ca="1" si="59"/>
        <v>50.222941666666678</v>
      </c>
      <c r="D1128" s="14">
        <f t="shared" ca="1" si="59"/>
        <v>50.368450000000003</v>
      </c>
      <c r="E1128" s="14">
        <f t="shared" ca="1" si="59"/>
        <v>50.400866666666666</v>
      </c>
      <c r="F1128" s="14">
        <f t="shared" ca="1" si="59"/>
        <v>50.209466666666664</v>
      </c>
      <c r="G1128" s="14">
        <f t="shared" ca="1" si="59"/>
        <v>50.225975000000005</v>
      </c>
      <c r="H1128" s="14">
        <f t="shared" ca="1" si="59"/>
        <v>50.389991666666674</v>
      </c>
      <c r="I1128" s="14">
        <f t="shared" ca="1" si="59"/>
        <v>50.383741666666658</v>
      </c>
      <c r="J1128" s="14">
        <f t="shared" ca="1" si="59"/>
        <v>50.202466666666659</v>
      </c>
      <c r="K1128" s="14">
        <f t="shared" ca="1" si="59"/>
        <v>50.379849999999998</v>
      </c>
      <c r="L1128" s="14">
        <f t="shared" ca="1" si="60"/>
        <v>50.976991666666663</v>
      </c>
      <c r="M1128" s="14">
        <f t="shared" ca="1" si="60"/>
        <v>49.181549999999994</v>
      </c>
      <c r="N1128" s="14">
        <f t="shared" ca="1" si="60"/>
        <v>49.197733333333332</v>
      </c>
      <c r="O1128" s="14">
        <f t="shared" ca="1" si="60"/>
        <v>49.365233333333329</v>
      </c>
      <c r="P1128" s="14">
        <f t="shared" ca="1" si="60"/>
        <v>49.356033333333336</v>
      </c>
      <c r="Q1128" s="14">
        <f t="shared" ca="1" si="60"/>
        <v>49.959933333333332</v>
      </c>
      <c r="R1128" s="14">
        <f t="shared" ca="1" si="60"/>
        <v>50.671841666666666</v>
      </c>
      <c r="S1128" s="14">
        <f t="shared" ca="1" si="60"/>
        <v>48.243675000000003</v>
      </c>
      <c r="T1128" s="49">
        <f t="shared" ca="1" si="61"/>
        <v>357.24568100000005</v>
      </c>
      <c r="U1128" s="49">
        <f t="shared" ca="1" si="61"/>
        <v>142.03263249999998</v>
      </c>
      <c r="V1128" s="49">
        <f t="shared" ca="1" si="61"/>
        <v>50.187500000000007</v>
      </c>
      <c r="W1128" s="49">
        <f t="shared" ca="1" si="61"/>
        <v>5.0822234999999996</v>
      </c>
      <c r="X1128" s="49">
        <f t="shared" ca="1" si="61"/>
        <v>20.758966663999999</v>
      </c>
      <c r="Y1128" s="14"/>
      <c r="Z1128" s="14"/>
      <c r="AA1128" s="14"/>
      <c r="AB1128" s="14">
        <f t="shared" ca="1" si="62"/>
        <v>50.253034222572218</v>
      </c>
      <c r="AC1128" s="14">
        <f t="shared" ca="1" si="62"/>
        <v>49.290839088729022</v>
      </c>
    </row>
    <row r="1129" spans="1:29" ht="15" x14ac:dyDescent="0.2">
      <c r="A1129" s="10">
        <f t="shared" si="63"/>
        <v>2072</v>
      </c>
      <c r="B1129" s="14">
        <f t="shared" ref="B1129:K1138" ca="1" si="64">AVERAGE(OFFSET(B$601,($A1129-$A$1119)*12,0,12,1))</f>
        <v>52.117449999999998</v>
      </c>
      <c r="C1129" s="14">
        <f t="shared" ca="1" si="64"/>
        <v>52.123699999999992</v>
      </c>
      <c r="D1129" s="14">
        <f t="shared" ca="1" si="64"/>
        <v>52.26925</v>
      </c>
      <c r="E1129" s="14">
        <f t="shared" ca="1" si="64"/>
        <v>52.301683333333322</v>
      </c>
      <c r="F1129" s="14">
        <f t="shared" ca="1" si="64"/>
        <v>52.110275000000001</v>
      </c>
      <c r="G1129" s="14">
        <f t="shared" ca="1" si="64"/>
        <v>52.126775000000002</v>
      </c>
      <c r="H1129" s="14">
        <f t="shared" ca="1" si="64"/>
        <v>52.290791666666671</v>
      </c>
      <c r="I1129" s="14">
        <f t="shared" ca="1" si="64"/>
        <v>52.290516666666669</v>
      </c>
      <c r="J1129" s="14">
        <f t="shared" ca="1" si="64"/>
        <v>52.103274999999996</v>
      </c>
      <c r="K1129" s="14">
        <f t="shared" ca="1" si="64"/>
        <v>52.286616666666667</v>
      </c>
      <c r="L1129" s="14">
        <f t="shared" ref="L1129:S1138" ca="1" si="65">AVERAGE(OFFSET(L$601,($A1129-$A$1119)*12,0,12,1))</f>
        <v>52.877791666666674</v>
      </c>
      <c r="M1129" s="14">
        <f t="shared" ca="1" si="65"/>
        <v>51.043408333333332</v>
      </c>
      <c r="N1129" s="14">
        <f t="shared" ca="1" si="65"/>
        <v>51.059574999999995</v>
      </c>
      <c r="O1129" s="14">
        <f t="shared" ca="1" si="65"/>
        <v>51.227066666666666</v>
      </c>
      <c r="P1129" s="14">
        <f t="shared" ca="1" si="65"/>
        <v>51.22356666666667</v>
      </c>
      <c r="Q1129" s="14">
        <f t="shared" ca="1" si="65"/>
        <v>51.821766666666669</v>
      </c>
      <c r="R1129" s="14">
        <f t="shared" ca="1" si="65"/>
        <v>52.538333333333327</v>
      </c>
      <c r="S1129" s="14">
        <f t="shared" ca="1" si="65"/>
        <v>50.070141666666665</v>
      </c>
      <c r="T1129" s="49">
        <f t="shared" ref="T1129:X1138" ca="1" si="66">SUM(OFFSET(T$601,($A1129-$A$1119)*12,0,12,1))</f>
        <v>358.17703550000004</v>
      </c>
      <c r="U1129" s="49">
        <f t="shared" ca="1" si="66"/>
        <v>142.42176299999997</v>
      </c>
      <c r="V1129" s="49">
        <f t="shared" ca="1" si="66"/>
        <v>50.325000000000003</v>
      </c>
      <c r="W1129" s="49">
        <f t="shared" ca="1" si="66"/>
        <v>5.0961473999999995</v>
      </c>
      <c r="X1129" s="49">
        <f t="shared" ca="1" si="66"/>
        <v>20.800615543999996</v>
      </c>
      <c r="Y1129" s="14"/>
      <c r="Z1129" s="14"/>
      <c r="AA1129" s="14"/>
      <c r="AB1129" s="14">
        <f t="shared" ca="1" si="62"/>
        <v>52.154320167660273</v>
      </c>
      <c r="AC1129" s="14">
        <f t="shared" ca="1" si="62"/>
        <v>51.153501678657072</v>
      </c>
    </row>
    <row r="1130" spans="1:29" ht="15" x14ac:dyDescent="0.2">
      <c r="A1130" s="10">
        <f t="shared" si="63"/>
        <v>2073</v>
      </c>
      <c r="B1130" s="14">
        <f t="shared" ca="1" si="64"/>
        <v>54.090200000000003</v>
      </c>
      <c r="C1130" s="14">
        <f t="shared" ca="1" si="64"/>
        <v>54.096474999999998</v>
      </c>
      <c r="D1130" s="14">
        <f t="shared" ca="1" si="64"/>
        <v>54.241999999999997</v>
      </c>
      <c r="E1130" s="14">
        <f t="shared" ca="1" si="64"/>
        <v>54.274416666666674</v>
      </c>
      <c r="F1130" s="14">
        <f t="shared" ca="1" si="64"/>
        <v>54.083041666666666</v>
      </c>
      <c r="G1130" s="14">
        <f t="shared" ca="1" si="64"/>
        <v>54.099541666666674</v>
      </c>
      <c r="H1130" s="14">
        <f t="shared" ca="1" si="64"/>
        <v>54.263541666666676</v>
      </c>
      <c r="I1130" s="14">
        <f t="shared" ca="1" si="64"/>
        <v>54.269433333333332</v>
      </c>
      <c r="J1130" s="14">
        <f t="shared" ca="1" si="64"/>
        <v>54.076041666666676</v>
      </c>
      <c r="K1130" s="14">
        <f t="shared" ca="1" si="64"/>
        <v>54.265549999999998</v>
      </c>
      <c r="L1130" s="14">
        <f t="shared" ca="1" si="65"/>
        <v>54.850541666666665</v>
      </c>
      <c r="M1130" s="14">
        <f t="shared" ca="1" si="65"/>
        <v>52.975741666666664</v>
      </c>
      <c r="N1130" s="14">
        <f t="shared" ca="1" si="65"/>
        <v>52.991908333333328</v>
      </c>
      <c r="O1130" s="14">
        <f t="shared" ca="1" si="65"/>
        <v>53.159408333333339</v>
      </c>
      <c r="P1130" s="14">
        <f t="shared" ca="1" si="65"/>
        <v>53.161849999999994</v>
      </c>
      <c r="Q1130" s="14">
        <f t="shared" ca="1" si="65"/>
        <v>53.754108333333335</v>
      </c>
      <c r="R1130" s="14">
        <f t="shared" ca="1" si="65"/>
        <v>54.475483333333337</v>
      </c>
      <c r="S1130" s="14">
        <f t="shared" ca="1" si="65"/>
        <v>51.965766666666688</v>
      </c>
      <c r="T1130" s="49">
        <f t="shared" ca="1" si="66"/>
        <v>357.24568100000005</v>
      </c>
      <c r="U1130" s="49">
        <f t="shared" ca="1" si="66"/>
        <v>142.03263249999998</v>
      </c>
      <c r="V1130" s="49">
        <f t="shared" ca="1" si="66"/>
        <v>50.187500000000007</v>
      </c>
      <c r="W1130" s="49">
        <f t="shared" ca="1" si="66"/>
        <v>5.0822234999999996</v>
      </c>
      <c r="X1130" s="49">
        <f t="shared" ca="1" si="66"/>
        <v>20.758966663999999</v>
      </c>
      <c r="Y1130" s="14"/>
      <c r="Z1130" s="14"/>
      <c r="AA1130" s="14"/>
      <c r="AB1130" s="14">
        <f t="shared" ca="1" si="62"/>
        <v>54.127590591946273</v>
      </c>
      <c r="AC1130" s="14">
        <f t="shared" ca="1" si="62"/>
        <v>53.086694904076751</v>
      </c>
    </row>
    <row r="1131" spans="1:29" ht="15" x14ac:dyDescent="0.2">
      <c r="A1131" s="10">
        <f t="shared" si="63"/>
        <v>2074</v>
      </c>
      <c r="B1131" s="14">
        <f t="shared" ca="1" si="64"/>
        <v>56.137641666666667</v>
      </c>
      <c r="C1131" s="14">
        <f t="shared" ca="1" si="64"/>
        <v>56.143916666666676</v>
      </c>
      <c r="D1131" s="14">
        <f t="shared" ca="1" si="64"/>
        <v>56.289441666666676</v>
      </c>
      <c r="E1131" s="14">
        <f t="shared" ca="1" si="64"/>
        <v>56.321858333333331</v>
      </c>
      <c r="F1131" s="14">
        <f t="shared" ca="1" si="64"/>
        <v>56.130450000000003</v>
      </c>
      <c r="G1131" s="14">
        <f t="shared" ca="1" si="64"/>
        <v>56.146974999999998</v>
      </c>
      <c r="H1131" s="14">
        <f t="shared" ca="1" si="64"/>
        <v>56.310983333333326</v>
      </c>
      <c r="I1131" s="14">
        <f t="shared" ca="1" si="64"/>
        <v>56.323283333333336</v>
      </c>
      <c r="J1131" s="14">
        <f t="shared" ca="1" si="64"/>
        <v>56.123449999999998</v>
      </c>
      <c r="K1131" s="14">
        <f t="shared" ca="1" si="64"/>
        <v>56.319383333333327</v>
      </c>
      <c r="L1131" s="14">
        <f t="shared" ca="1" si="65"/>
        <v>56.897983333333336</v>
      </c>
      <c r="M1131" s="14">
        <f t="shared" ca="1" si="65"/>
        <v>54.981233333333336</v>
      </c>
      <c r="N1131" s="14">
        <f t="shared" ca="1" si="65"/>
        <v>54.997383333333339</v>
      </c>
      <c r="O1131" s="14">
        <f t="shared" ca="1" si="65"/>
        <v>55.164891666666669</v>
      </c>
      <c r="P1131" s="14">
        <f t="shared" ca="1" si="65"/>
        <v>55.173499999999997</v>
      </c>
      <c r="Q1131" s="14">
        <f t="shared" ca="1" si="65"/>
        <v>55.759591666666665</v>
      </c>
      <c r="R1131" s="14">
        <f t="shared" ca="1" si="65"/>
        <v>56.485991666666656</v>
      </c>
      <c r="S1131" s="14">
        <f t="shared" ca="1" si="65"/>
        <v>53.933150000000005</v>
      </c>
      <c r="T1131" s="49">
        <f t="shared" ca="1" si="66"/>
        <v>357.24568100000005</v>
      </c>
      <c r="U1131" s="49">
        <f t="shared" ca="1" si="66"/>
        <v>142.03263249999998</v>
      </c>
      <c r="V1131" s="49">
        <f t="shared" ca="1" si="66"/>
        <v>50.187500000000007</v>
      </c>
      <c r="W1131" s="49">
        <f t="shared" ca="1" si="66"/>
        <v>5.0822234999999996</v>
      </c>
      <c r="X1131" s="49">
        <f t="shared" ca="1" si="66"/>
        <v>20.758966663999999</v>
      </c>
      <c r="Y1131" s="14"/>
      <c r="Z1131" s="14"/>
      <c r="AA1131" s="14"/>
      <c r="AB1131" s="14">
        <f t="shared" ca="1" si="62"/>
        <v>56.175549961220987</v>
      </c>
      <c r="AC1131" s="14">
        <f t="shared" ca="1" si="62"/>
        <v>55.093067925659483</v>
      </c>
    </row>
    <row r="1132" spans="1:29" ht="15" x14ac:dyDescent="0.2">
      <c r="A1132" s="10">
        <f t="shared" si="63"/>
        <v>2075</v>
      </c>
      <c r="B1132" s="14">
        <f t="shared" ca="1" si="64"/>
        <v>58.262591666666673</v>
      </c>
      <c r="C1132" s="14">
        <f t="shared" ca="1" si="64"/>
        <v>58.268866666666668</v>
      </c>
      <c r="D1132" s="14">
        <f t="shared" ca="1" si="64"/>
        <v>58.414400000000008</v>
      </c>
      <c r="E1132" s="14">
        <f t="shared" ca="1" si="64"/>
        <v>58.44682499999999</v>
      </c>
      <c r="F1132" s="14">
        <f t="shared" ca="1" si="64"/>
        <v>58.255408333333328</v>
      </c>
      <c r="G1132" s="14">
        <f t="shared" ca="1" si="64"/>
        <v>58.271941666666663</v>
      </c>
      <c r="H1132" s="14">
        <f t="shared" ca="1" si="64"/>
        <v>58.435933333333331</v>
      </c>
      <c r="I1132" s="14">
        <f t="shared" ca="1" si="64"/>
        <v>58.454908333333329</v>
      </c>
      <c r="J1132" s="14">
        <f t="shared" ca="1" si="64"/>
        <v>58.248408333333337</v>
      </c>
      <c r="K1132" s="14">
        <f t="shared" ca="1" si="64"/>
        <v>58.451008333333327</v>
      </c>
      <c r="L1132" s="14">
        <f t="shared" ca="1" si="65"/>
        <v>59.022933333333327</v>
      </c>
      <c r="M1132" s="14">
        <f t="shared" ca="1" si="65"/>
        <v>57.062649999999991</v>
      </c>
      <c r="N1132" s="14">
        <f t="shared" ca="1" si="65"/>
        <v>57.078816666666675</v>
      </c>
      <c r="O1132" s="14">
        <f t="shared" ca="1" si="65"/>
        <v>57.246316666666672</v>
      </c>
      <c r="P1132" s="14">
        <f t="shared" ca="1" si="65"/>
        <v>57.261316666666659</v>
      </c>
      <c r="Q1132" s="14">
        <f t="shared" ca="1" si="65"/>
        <v>57.841016666666668</v>
      </c>
      <c r="R1132" s="14">
        <f t="shared" ca="1" si="65"/>
        <v>58.572616666666676</v>
      </c>
      <c r="S1132" s="14">
        <f t="shared" ca="1" si="65"/>
        <v>55.975016666666669</v>
      </c>
      <c r="T1132" s="49">
        <f t="shared" ca="1" si="66"/>
        <v>357.24568100000005</v>
      </c>
      <c r="U1132" s="49">
        <f t="shared" ca="1" si="66"/>
        <v>142.03263249999998</v>
      </c>
      <c r="V1132" s="49">
        <f t="shared" ca="1" si="66"/>
        <v>50.187500000000007</v>
      </c>
      <c r="W1132" s="49">
        <f t="shared" ca="1" si="66"/>
        <v>5.0822234999999996</v>
      </c>
      <c r="X1132" s="49">
        <f t="shared" ca="1" si="66"/>
        <v>20.758966663999999</v>
      </c>
      <c r="Y1132" s="14"/>
      <c r="Z1132" s="14"/>
      <c r="AA1132" s="14"/>
      <c r="AB1132" s="14">
        <f t="shared" ca="1" si="62"/>
        <v>58.301056029906704</v>
      </c>
      <c r="AC1132" s="14">
        <f t="shared" ca="1" si="62"/>
        <v>57.175410191846531</v>
      </c>
    </row>
    <row r="1133" spans="1:29" ht="15" x14ac:dyDescent="0.2">
      <c r="A1133" s="10">
        <f t="shared" si="63"/>
        <v>2076</v>
      </c>
      <c r="B1133" s="14">
        <f t="shared" ca="1" si="64"/>
        <v>60.46800833333333</v>
      </c>
      <c r="C1133" s="14">
        <f t="shared" ca="1" si="64"/>
        <v>60.474274999999984</v>
      </c>
      <c r="D1133" s="14">
        <f t="shared" ca="1" si="64"/>
        <v>60.619808333333339</v>
      </c>
      <c r="E1133" s="14">
        <f t="shared" ca="1" si="64"/>
        <v>60.652233333333335</v>
      </c>
      <c r="F1133" s="14">
        <f t="shared" ca="1" si="64"/>
        <v>60.46084166666666</v>
      </c>
      <c r="G1133" s="14">
        <f t="shared" ca="1" si="64"/>
        <v>60.477350000000001</v>
      </c>
      <c r="H1133" s="14">
        <f t="shared" ca="1" si="64"/>
        <v>60.641349999999996</v>
      </c>
      <c r="I1133" s="14">
        <f t="shared" ca="1" si="64"/>
        <v>60.667200000000001</v>
      </c>
      <c r="J1133" s="14">
        <f t="shared" ca="1" si="64"/>
        <v>60.453841666666669</v>
      </c>
      <c r="K1133" s="14">
        <f t="shared" ca="1" si="64"/>
        <v>60.663316666666667</v>
      </c>
      <c r="L1133" s="14">
        <f t="shared" ca="1" si="65"/>
        <v>61.228350000000006</v>
      </c>
      <c r="M1133" s="14">
        <f t="shared" ca="1" si="65"/>
        <v>59.222883333333336</v>
      </c>
      <c r="N1133" s="14">
        <f t="shared" ca="1" si="65"/>
        <v>59.239041666666658</v>
      </c>
      <c r="O1133" s="14">
        <f t="shared" ca="1" si="65"/>
        <v>59.406533333333336</v>
      </c>
      <c r="P1133" s="14">
        <f t="shared" ca="1" si="65"/>
        <v>59.428141666666669</v>
      </c>
      <c r="Q1133" s="14">
        <f t="shared" ca="1" si="65"/>
        <v>60.001233333333339</v>
      </c>
      <c r="R1133" s="14">
        <f t="shared" ca="1" si="65"/>
        <v>60.738241666666674</v>
      </c>
      <c r="S1133" s="14">
        <f t="shared" ca="1" si="65"/>
        <v>58.094200000000008</v>
      </c>
      <c r="T1133" s="49">
        <f t="shared" ca="1" si="66"/>
        <v>358.17703550000004</v>
      </c>
      <c r="U1133" s="49">
        <f t="shared" ca="1" si="66"/>
        <v>142.42176299999997</v>
      </c>
      <c r="V1133" s="49">
        <f t="shared" ca="1" si="66"/>
        <v>50.325000000000003</v>
      </c>
      <c r="W1133" s="49">
        <f t="shared" ca="1" si="66"/>
        <v>5.0961473999999995</v>
      </c>
      <c r="X1133" s="49">
        <f t="shared" ca="1" si="66"/>
        <v>20.800615543999996</v>
      </c>
      <c r="Y1133" s="14"/>
      <c r="Z1133" s="14"/>
      <c r="AA1133" s="14"/>
      <c r="AB1133" s="14">
        <f t="shared" ca="1" si="62"/>
        <v>60.507039643451016</v>
      </c>
      <c r="AC1133" s="14">
        <f t="shared" ca="1" si="62"/>
        <v>59.336583932853721</v>
      </c>
    </row>
    <row r="1134" spans="1:29" ht="15" x14ac:dyDescent="0.2">
      <c r="A1134" s="10">
        <f t="shared" si="63"/>
        <v>2077</v>
      </c>
      <c r="B1134" s="14">
        <f t="shared" ca="1" si="64"/>
        <v>62.756933333333336</v>
      </c>
      <c r="C1134" s="14">
        <f t="shared" ca="1" si="64"/>
        <v>62.76318333333333</v>
      </c>
      <c r="D1134" s="14">
        <f t="shared" ca="1" si="64"/>
        <v>62.908733333333345</v>
      </c>
      <c r="E1134" s="14">
        <f t="shared" ca="1" si="64"/>
        <v>62.94114166666666</v>
      </c>
      <c r="F1134" s="14">
        <f t="shared" ca="1" si="64"/>
        <v>62.749741666666672</v>
      </c>
      <c r="G1134" s="14">
        <f t="shared" ca="1" si="64"/>
        <v>62.766249999999992</v>
      </c>
      <c r="H1134" s="14">
        <f t="shared" ca="1" si="64"/>
        <v>62.930275000000002</v>
      </c>
      <c r="I1134" s="14">
        <f t="shared" ca="1" si="64"/>
        <v>62.963291666666663</v>
      </c>
      <c r="J1134" s="14">
        <f t="shared" ca="1" si="64"/>
        <v>62.74274166666666</v>
      </c>
      <c r="K1134" s="14">
        <f t="shared" ca="1" si="64"/>
        <v>62.959391666666669</v>
      </c>
      <c r="L1134" s="14">
        <f t="shared" ca="1" si="65"/>
        <v>63.517274999999991</v>
      </c>
      <c r="M1134" s="14">
        <f t="shared" ca="1" si="65"/>
        <v>61.46488333333334</v>
      </c>
      <c r="N1134" s="14">
        <f t="shared" ca="1" si="65"/>
        <v>61.48104166666667</v>
      </c>
      <c r="O1134" s="14">
        <f t="shared" ca="1" si="65"/>
        <v>61.648541666666681</v>
      </c>
      <c r="P1134" s="14">
        <f t="shared" ca="1" si="65"/>
        <v>61.677033333333327</v>
      </c>
      <c r="Q1134" s="14">
        <f t="shared" ca="1" si="65"/>
        <v>62.24324166666667</v>
      </c>
      <c r="R1134" s="14">
        <f t="shared" ca="1" si="65"/>
        <v>62.985866666666674</v>
      </c>
      <c r="S1134" s="14">
        <f t="shared" ca="1" si="65"/>
        <v>60.293624999999999</v>
      </c>
      <c r="T1134" s="49">
        <f t="shared" ca="1" si="66"/>
        <v>357.24568100000005</v>
      </c>
      <c r="U1134" s="49">
        <f t="shared" ca="1" si="66"/>
        <v>142.03263249999998</v>
      </c>
      <c r="V1134" s="49">
        <f t="shared" ca="1" si="66"/>
        <v>50.187500000000007</v>
      </c>
      <c r="W1134" s="49">
        <f t="shared" ca="1" si="66"/>
        <v>5.0822234999999996</v>
      </c>
      <c r="X1134" s="49">
        <f t="shared" ca="1" si="66"/>
        <v>20.758966663999999</v>
      </c>
      <c r="Y1134" s="14"/>
      <c r="Z1134" s="14"/>
      <c r="AA1134" s="14"/>
      <c r="AB1134" s="14">
        <f t="shared" ca="1" si="62"/>
        <v>62.796539935453772</v>
      </c>
      <c r="AC1134" s="14">
        <f t="shared" ca="1" si="62"/>
        <v>61.579579316546777</v>
      </c>
    </row>
    <row r="1135" spans="1:29" ht="15" x14ac:dyDescent="0.2">
      <c r="A1135" s="10">
        <f t="shared" si="63"/>
        <v>2078</v>
      </c>
      <c r="B1135" s="14">
        <f t="shared" ca="1" si="64"/>
        <v>65.132483333333326</v>
      </c>
      <c r="C1135" s="14">
        <f t="shared" ca="1" si="64"/>
        <v>65.138758333333328</v>
      </c>
      <c r="D1135" s="14">
        <f t="shared" ca="1" si="64"/>
        <v>65.284291666666675</v>
      </c>
      <c r="E1135" s="14">
        <f t="shared" ca="1" si="64"/>
        <v>65.316708333333324</v>
      </c>
      <c r="F1135" s="14">
        <f t="shared" ca="1" si="64"/>
        <v>65.125316666666663</v>
      </c>
      <c r="G1135" s="14">
        <f t="shared" ca="1" si="64"/>
        <v>65.141816666666671</v>
      </c>
      <c r="H1135" s="14">
        <f t="shared" ca="1" si="64"/>
        <v>65.305833333333325</v>
      </c>
      <c r="I1135" s="14">
        <f t="shared" ca="1" si="64"/>
        <v>65.346299999999999</v>
      </c>
      <c r="J1135" s="14">
        <f t="shared" ca="1" si="64"/>
        <v>65.118316666666672</v>
      </c>
      <c r="K1135" s="14">
        <f t="shared" ca="1" si="64"/>
        <v>65.34240833333331</v>
      </c>
      <c r="L1135" s="14">
        <f t="shared" ca="1" si="65"/>
        <v>65.892833333333328</v>
      </c>
      <c r="M1135" s="14">
        <f t="shared" ca="1" si="65"/>
        <v>63.791783333333321</v>
      </c>
      <c r="N1135" s="14">
        <f t="shared" ca="1" si="65"/>
        <v>63.807941666666665</v>
      </c>
      <c r="O1135" s="14">
        <f t="shared" ca="1" si="65"/>
        <v>63.975424999999994</v>
      </c>
      <c r="P1135" s="14">
        <f t="shared" ca="1" si="65"/>
        <v>64.01106666666665</v>
      </c>
      <c r="Q1135" s="14">
        <f t="shared" ca="1" si="65"/>
        <v>64.570125000000004</v>
      </c>
      <c r="R1135" s="14">
        <f t="shared" ca="1" si="65"/>
        <v>65.318574999999996</v>
      </c>
      <c r="S1135" s="14">
        <f t="shared" ca="1" si="65"/>
        <v>62.57629166666667</v>
      </c>
      <c r="T1135" s="49">
        <f t="shared" ca="1" si="66"/>
        <v>357.24568100000005</v>
      </c>
      <c r="U1135" s="49">
        <f t="shared" ca="1" si="66"/>
        <v>142.03263249999998</v>
      </c>
      <c r="V1135" s="49">
        <f t="shared" ca="1" si="66"/>
        <v>50.187500000000007</v>
      </c>
      <c r="W1135" s="49">
        <f t="shared" ca="1" si="66"/>
        <v>5.0822234999999996</v>
      </c>
      <c r="X1135" s="49">
        <f t="shared" ca="1" si="66"/>
        <v>20.758966663999999</v>
      </c>
      <c r="Y1135" s="14"/>
      <c r="Z1135" s="14"/>
      <c r="AA1135" s="14"/>
      <c r="AB1135" s="14">
        <f t="shared" ca="1" si="62"/>
        <v>65.172720991860629</v>
      </c>
      <c r="AC1135" s="14">
        <f t="shared" ca="1" si="62"/>
        <v>63.907498141486805</v>
      </c>
    </row>
    <row r="1136" spans="1:29" ht="15" x14ac:dyDescent="0.2">
      <c r="A1136" s="10">
        <f t="shared" si="63"/>
        <v>2079</v>
      </c>
      <c r="B1136" s="14">
        <f t="shared" ca="1" si="64"/>
        <v>67.597983333333318</v>
      </c>
      <c r="C1136" s="14">
        <f t="shared" ca="1" si="64"/>
        <v>67.604250000000008</v>
      </c>
      <c r="D1136" s="14">
        <f t="shared" ca="1" si="64"/>
        <v>67.749783333333326</v>
      </c>
      <c r="E1136" s="14">
        <f t="shared" ca="1" si="64"/>
        <v>67.78220833333333</v>
      </c>
      <c r="F1136" s="14">
        <f t="shared" ca="1" si="64"/>
        <v>67.590825000000009</v>
      </c>
      <c r="G1136" s="14">
        <f t="shared" ca="1" si="64"/>
        <v>67.607308333333336</v>
      </c>
      <c r="H1136" s="14">
        <f t="shared" ca="1" si="64"/>
        <v>67.771316666666664</v>
      </c>
      <c r="I1136" s="14">
        <f t="shared" ca="1" si="64"/>
        <v>67.819524999999999</v>
      </c>
      <c r="J1136" s="14">
        <f t="shared" ca="1" si="64"/>
        <v>67.583825000000004</v>
      </c>
      <c r="K1136" s="14">
        <f t="shared" ca="1" si="64"/>
        <v>67.815649999999991</v>
      </c>
      <c r="L1136" s="14">
        <f t="shared" ca="1" si="65"/>
        <v>68.358316666666653</v>
      </c>
      <c r="M1136" s="14">
        <f t="shared" ca="1" si="65"/>
        <v>66.20675</v>
      </c>
      <c r="N1136" s="14">
        <f t="shared" ca="1" si="65"/>
        <v>66.22293333333333</v>
      </c>
      <c r="O1136" s="14">
        <f t="shared" ca="1" si="65"/>
        <v>66.390424999999993</v>
      </c>
      <c r="P1136" s="14">
        <f t="shared" ca="1" si="65"/>
        <v>66.433458333333334</v>
      </c>
      <c r="Q1136" s="14">
        <f t="shared" ca="1" si="65"/>
        <v>66.985124999999996</v>
      </c>
      <c r="R1136" s="14">
        <f t="shared" ca="1" si="65"/>
        <v>67.73960000000001</v>
      </c>
      <c r="S1136" s="14">
        <f t="shared" ca="1" si="65"/>
        <v>64.945383333333339</v>
      </c>
      <c r="T1136" s="49">
        <f t="shared" ca="1" si="66"/>
        <v>357.24568100000005</v>
      </c>
      <c r="U1136" s="49">
        <f t="shared" ca="1" si="66"/>
        <v>142.03263249999998</v>
      </c>
      <c r="V1136" s="49">
        <f t="shared" ca="1" si="66"/>
        <v>50.187500000000007</v>
      </c>
      <c r="W1136" s="49">
        <f t="shared" ca="1" si="66"/>
        <v>5.0822234999999996</v>
      </c>
      <c r="X1136" s="49">
        <f t="shared" ca="1" si="66"/>
        <v>20.758966663999999</v>
      </c>
      <c r="Y1136" s="14"/>
      <c r="Z1136" s="14"/>
      <c r="AA1136" s="14"/>
      <c r="AB1136" s="14">
        <f t="shared" ca="1" si="62"/>
        <v>67.638856610006243</v>
      </c>
      <c r="AC1136" s="14">
        <f t="shared" ca="1" si="62"/>
        <v>66.323549700239809</v>
      </c>
    </row>
    <row r="1137" spans="1:29" ht="15" x14ac:dyDescent="0.2">
      <c r="A1137" s="10">
        <f t="shared" si="63"/>
        <v>2080</v>
      </c>
      <c r="B1137" s="14">
        <f t="shared" ca="1" si="64"/>
        <v>70.156833333333338</v>
      </c>
      <c r="C1137" s="14">
        <f t="shared" ca="1" si="64"/>
        <v>70.1631</v>
      </c>
      <c r="D1137" s="14">
        <f t="shared" ca="1" si="64"/>
        <v>70.308633333333333</v>
      </c>
      <c r="E1137" s="14">
        <f t="shared" ca="1" si="64"/>
        <v>70.341058333333336</v>
      </c>
      <c r="F1137" s="14">
        <f t="shared" ca="1" si="64"/>
        <v>70.149649999999994</v>
      </c>
      <c r="G1137" s="14">
        <f t="shared" ca="1" si="64"/>
        <v>70.166158333333343</v>
      </c>
      <c r="H1137" s="14">
        <f t="shared" ca="1" si="64"/>
        <v>70.330183333333324</v>
      </c>
      <c r="I1137" s="14">
        <f t="shared" ca="1" si="64"/>
        <v>70.386391666666668</v>
      </c>
      <c r="J1137" s="14">
        <f t="shared" ca="1" si="64"/>
        <v>70.142649999999989</v>
      </c>
      <c r="K1137" s="14">
        <f t="shared" ca="1" si="64"/>
        <v>70.382500000000007</v>
      </c>
      <c r="L1137" s="14">
        <f t="shared" ca="1" si="65"/>
        <v>70.917183333333327</v>
      </c>
      <c r="M1137" s="14">
        <f t="shared" ca="1" si="65"/>
        <v>68.71315833333334</v>
      </c>
      <c r="N1137" s="14">
        <f t="shared" ca="1" si="65"/>
        <v>68.72934166666667</v>
      </c>
      <c r="O1137" s="14">
        <f t="shared" ca="1" si="65"/>
        <v>68.896858333333341</v>
      </c>
      <c r="P1137" s="14">
        <f t="shared" ca="1" si="65"/>
        <v>68.947566666666674</v>
      </c>
      <c r="Q1137" s="14">
        <f t="shared" ca="1" si="65"/>
        <v>69.491558333333344</v>
      </c>
      <c r="R1137" s="14">
        <f t="shared" ca="1" si="65"/>
        <v>70.252274999999997</v>
      </c>
      <c r="S1137" s="14">
        <f t="shared" ca="1" si="65"/>
        <v>67.40420833333333</v>
      </c>
      <c r="T1137" s="49">
        <f t="shared" ca="1" si="66"/>
        <v>358.17703550000004</v>
      </c>
      <c r="U1137" s="49">
        <f t="shared" ca="1" si="66"/>
        <v>142.42176299999997</v>
      </c>
      <c r="V1137" s="49">
        <f t="shared" ca="1" si="66"/>
        <v>50.325000000000003</v>
      </c>
      <c r="W1137" s="49">
        <f t="shared" ca="1" si="66"/>
        <v>5.0961473999999995</v>
      </c>
      <c r="X1137" s="49">
        <f t="shared" ca="1" si="66"/>
        <v>20.800615543999996</v>
      </c>
      <c r="Y1137" s="14"/>
      <c r="Z1137" s="14"/>
      <c r="AA1137" s="14"/>
      <c r="AB1137" s="14">
        <f t="shared" ca="1" si="62"/>
        <v>70.1983603332652</v>
      </c>
      <c r="AC1137" s="14">
        <f t="shared" ca="1" si="62"/>
        <v>68.83107727817746</v>
      </c>
    </row>
    <row r="1138" spans="1:29" ht="15" x14ac:dyDescent="0.2">
      <c r="A1138" s="10">
        <f t="shared" si="63"/>
        <v>2081</v>
      </c>
      <c r="B1138" s="14">
        <f t="shared" ca="1" si="64"/>
        <v>72.812550000000002</v>
      </c>
      <c r="C1138" s="14">
        <f t="shared" ca="1" si="64"/>
        <v>72.818833333333345</v>
      </c>
      <c r="D1138" s="14">
        <f t="shared" ca="1" si="64"/>
        <v>72.964366666666663</v>
      </c>
      <c r="E1138" s="14">
        <f t="shared" ca="1" si="64"/>
        <v>72.996783333333326</v>
      </c>
      <c r="F1138" s="14">
        <f t="shared" ca="1" si="64"/>
        <v>72.805374999999998</v>
      </c>
      <c r="G1138" s="14">
        <f t="shared" ca="1" si="64"/>
        <v>72.821891666666673</v>
      </c>
      <c r="H1138" s="14">
        <f t="shared" ca="1" si="64"/>
        <v>72.985908333333342</v>
      </c>
      <c r="I1138" s="14">
        <f t="shared" ca="1" si="64"/>
        <v>73.050433333333345</v>
      </c>
      <c r="J1138" s="14">
        <f t="shared" ca="1" si="64"/>
        <v>72.798374999999993</v>
      </c>
      <c r="K1138" s="14">
        <f t="shared" ca="1" si="64"/>
        <v>73.04654166666667</v>
      </c>
      <c r="L1138" s="14">
        <f t="shared" ca="1" si="65"/>
        <v>73.572908333333359</v>
      </c>
      <c r="M1138" s="14">
        <f t="shared" ca="1" si="65"/>
        <v>71.314491666666669</v>
      </c>
      <c r="N1138" s="14">
        <f t="shared" ca="1" si="65"/>
        <v>71.330649999999977</v>
      </c>
      <c r="O1138" s="14">
        <f t="shared" ca="1" si="65"/>
        <v>71.498158333333336</v>
      </c>
      <c r="P1138" s="14">
        <f t="shared" ca="1" si="65"/>
        <v>71.556866666666664</v>
      </c>
      <c r="Q1138" s="14">
        <f t="shared" ca="1" si="65"/>
        <v>72.092858333333325</v>
      </c>
      <c r="R1138" s="14">
        <f t="shared" ca="1" si="65"/>
        <v>72.860091666666662</v>
      </c>
      <c r="S1138" s="14">
        <f t="shared" ca="1" si="65"/>
        <v>69.956083333333325</v>
      </c>
      <c r="T1138" s="49">
        <f t="shared" ca="1" si="66"/>
        <v>357.24568100000005</v>
      </c>
      <c r="U1138" s="49">
        <f t="shared" ca="1" si="66"/>
        <v>142.03263249999998</v>
      </c>
      <c r="V1138" s="49">
        <f t="shared" ca="1" si="66"/>
        <v>50.187500000000007</v>
      </c>
      <c r="W1138" s="49">
        <f t="shared" ca="1" si="66"/>
        <v>5.0822234999999996</v>
      </c>
      <c r="X1138" s="49">
        <f t="shared" ca="1" si="66"/>
        <v>20.758966663999999</v>
      </c>
      <c r="Y1138" s="14"/>
      <c r="Z1138" s="14"/>
      <c r="AA1138" s="14"/>
      <c r="AB1138" s="14">
        <f t="shared" ca="1" si="62"/>
        <v>72.854772748678073</v>
      </c>
      <c r="AC1138" s="14">
        <f t="shared" ca="1" si="62"/>
        <v>71.433540347721831</v>
      </c>
    </row>
    <row r="1139" spans="1:29" ht="15" x14ac:dyDescent="0.2">
      <c r="A1139" s="10">
        <f t="shared" si="63"/>
        <v>2082</v>
      </c>
      <c r="B1139" s="14">
        <f t="shared" ref="B1139:K1148" ca="1" si="67">AVERAGE(OFFSET(B$601,($A1139-$A$1119)*12,0,12,1))</f>
        <v>75.56882499999999</v>
      </c>
      <c r="C1139" s="14">
        <f t="shared" ca="1" si="67"/>
        <v>75.575100000000006</v>
      </c>
      <c r="D1139" s="14">
        <f t="shared" ca="1" si="67"/>
        <v>75.720624999999998</v>
      </c>
      <c r="E1139" s="14">
        <f t="shared" ca="1" si="67"/>
        <v>75.753050000000002</v>
      </c>
      <c r="F1139" s="14">
        <f t="shared" ca="1" si="67"/>
        <v>75.56165</v>
      </c>
      <c r="G1139" s="14">
        <f t="shared" ca="1" si="67"/>
        <v>75.57815833333332</v>
      </c>
      <c r="H1139" s="14">
        <f t="shared" ca="1" si="67"/>
        <v>75.742166666666677</v>
      </c>
      <c r="I1139" s="14">
        <f t="shared" ca="1" si="67"/>
        <v>75.815333333333328</v>
      </c>
      <c r="J1139" s="14">
        <f t="shared" ca="1" si="67"/>
        <v>75.554649999999995</v>
      </c>
      <c r="K1139" s="14">
        <f t="shared" ca="1" si="67"/>
        <v>75.811441666666667</v>
      </c>
      <c r="L1139" s="14">
        <f t="shared" ref="L1139:S1148" ca="1" si="68">AVERAGE(OFFSET(L$601,($A1139-$A$1119)*12,0,12,1))</f>
        <v>76.329166666666666</v>
      </c>
      <c r="M1139" s="14">
        <f t="shared" ca="1" si="68"/>
        <v>74.014291666666665</v>
      </c>
      <c r="N1139" s="14">
        <f t="shared" ca="1" si="68"/>
        <v>74.030458333333343</v>
      </c>
      <c r="O1139" s="14">
        <f t="shared" ca="1" si="68"/>
        <v>74.197958333333332</v>
      </c>
      <c r="P1139" s="14">
        <f t="shared" ca="1" si="68"/>
        <v>74.264924999999991</v>
      </c>
      <c r="Q1139" s="14">
        <f t="shared" ca="1" si="68"/>
        <v>74.792658333333335</v>
      </c>
      <c r="R1139" s="14">
        <f t="shared" ca="1" si="68"/>
        <v>75.566658333333336</v>
      </c>
      <c r="S1139" s="14">
        <f t="shared" ca="1" si="68"/>
        <v>72.604583333333338</v>
      </c>
      <c r="T1139" s="49">
        <f t="shared" ref="T1139:X1148" ca="1" si="69">SUM(OFFSET(T$601,($A1139-$A$1119)*12,0,12,1))</f>
        <v>357.24568100000005</v>
      </c>
      <c r="U1139" s="49">
        <f t="shared" ca="1" si="69"/>
        <v>142.03263249999998</v>
      </c>
      <c r="V1139" s="49">
        <f t="shared" ca="1" si="69"/>
        <v>50.187500000000007</v>
      </c>
      <c r="W1139" s="49">
        <f t="shared" ca="1" si="69"/>
        <v>5.0822234999999996</v>
      </c>
      <c r="X1139" s="49">
        <f t="shared" ca="1" si="69"/>
        <v>20.758966663999999</v>
      </c>
      <c r="Y1139" s="14"/>
      <c r="Z1139" s="14"/>
      <c r="AA1139" s="14"/>
      <c r="AB1139" s="14">
        <f t="shared" ref="AB1139:AC1157" ca="1" si="70">AVERAGE(OFFSET(AB$601,($A1139-$A$1119)*12,0,12,1))</f>
        <v>75.611753519601635</v>
      </c>
      <c r="AC1139" s="14">
        <f t="shared" ca="1" si="70"/>
        <v>74.134529076738616</v>
      </c>
    </row>
    <row r="1140" spans="1:29" ht="15" x14ac:dyDescent="0.2">
      <c r="A1140" s="10">
        <f t="shared" si="63"/>
        <v>2083</v>
      </c>
      <c r="B1140" s="14">
        <f t="shared" ca="1" si="67"/>
        <v>78.429433333333336</v>
      </c>
      <c r="C1140" s="14">
        <f t="shared" ca="1" si="67"/>
        <v>78.435724999999991</v>
      </c>
      <c r="D1140" s="14">
        <f t="shared" ca="1" si="67"/>
        <v>78.581250000000011</v>
      </c>
      <c r="E1140" s="14">
        <f t="shared" ca="1" si="67"/>
        <v>78.613675000000001</v>
      </c>
      <c r="F1140" s="14">
        <f t="shared" ca="1" si="67"/>
        <v>78.42228333333334</v>
      </c>
      <c r="G1140" s="14">
        <f t="shared" ca="1" si="67"/>
        <v>78.438775000000007</v>
      </c>
      <c r="H1140" s="14">
        <f t="shared" ca="1" si="67"/>
        <v>78.602791666666661</v>
      </c>
      <c r="I1140" s="14">
        <f t="shared" ca="1" si="67"/>
        <v>78.684925000000007</v>
      </c>
      <c r="J1140" s="14">
        <f t="shared" ca="1" si="67"/>
        <v>78.415283333333335</v>
      </c>
      <c r="K1140" s="14">
        <f t="shared" ca="1" si="67"/>
        <v>78.681024999999991</v>
      </c>
      <c r="L1140" s="14">
        <f t="shared" ca="1" si="68"/>
        <v>79.189791666666665</v>
      </c>
      <c r="M1140" s="14">
        <f t="shared" ca="1" si="68"/>
        <v>76.816299999999998</v>
      </c>
      <c r="N1140" s="14">
        <f t="shared" ca="1" si="68"/>
        <v>76.832449999999994</v>
      </c>
      <c r="O1140" s="14">
        <f t="shared" ca="1" si="68"/>
        <v>76.999974999999992</v>
      </c>
      <c r="P1140" s="14">
        <f t="shared" ca="1" si="68"/>
        <v>77.075533333333325</v>
      </c>
      <c r="Q1140" s="14">
        <f t="shared" ca="1" si="68"/>
        <v>77.594674999999995</v>
      </c>
      <c r="R1140" s="14">
        <f t="shared" ca="1" si="68"/>
        <v>78.375649999999993</v>
      </c>
      <c r="S1140" s="14">
        <f t="shared" ca="1" si="68"/>
        <v>75.353366666666673</v>
      </c>
      <c r="T1140" s="49">
        <f t="shared" ca="1" si="69"/>
        <v>357.24568100000005</v>
      </c>
      <c r="U1140" s="49">
        <f t="shared" ca="1" si="69"/>
        <v>142.03263249999998</v>
      </c>
      <c r="V1140" s="49">
        <f t="shared" ca="1" si="69"/>
        <v>50.187500000000007</v>
      </c>
      <c r="W1140" s="49">
        <f t="shared" ca="1" si="69"/>
        <v>5.0822234999999996</v>
      </c>
      <c r="X1140" s="49">
        <f t="shared" ca="1" si="69"/>
        <v>20.758966663999999</v>
      </c>
      <c r="Y1140" s="14"/>
      <c r="Z1140" s="14"/>
      <c r="AA1140" s="14"/>
      <c r="AB1140" s="14">
        <f t="shared" ca="1" si="70"/>
        <v>78.47311622426021</v>
      </c>
      <c r="AC1140" s="14">
        <f t="shared" ca="1" si="70"/>
        <v>76.937777637889681</v>
      </c>
    </row>
    <row r="1141" spans="1:29" ht="15" x14ac:dyDescent="0.2">
      <c r="A1141" s="10">
        <f t="shared" si="63"/>
        <v>2084</v>
      </c>
      <c r="B1141" s="14">
        <f t="shared" ca="1" si="67"/>
        <v>81.398375000000001</v>
      </c>
      <c r="C1141" s="14">
        <f t="shared" ca="1" si="67"/>
        <v>81.404666666666671</v>
      </c>
      <c r="D1141" s="14">
        <f t="shared" ca="1" si="67"/>
        <v>81.550183333333322</v>
      </c>
      <c r="E1141" s="14">
        <f t="shared" ca="1" si="67"/>
        <v>81.582608333333326</v>
      </c>
      <c r="F1141" s="14">
        <f t="shared" ca="1" si="67"/>
        <v>81.391200000000012</v>
      </c>
      <c r="G1141" s="14">
        <f t="shared" ca="1" si="67"/>
        <v>81.407699999999991</v>
      </c>
      <c r="H1141" s="14">
        <f t="shared" ca="1" si="67"/>
        <v>81.571725000000001</v>
      </c>
      <c r="I1141" s="14">
        <f t="shared" ca="1" si="67"/>
        <v>81.663124999999994</v>
      </c>
      <c r="J1141" s="14">
        <f t="shared" ca="1" si="67"/>
        <v>81.384200000000007</v>
      </c>
      <c r="K1141" s="14">
        <f t="shared" ca="1" si="67"/>
        <v>81.659241666666659</v>
      </c>
      <c r="L1141" s="14">
        <f t="shared" ca="1" si="68"/>
        <v>82.15872499999999</v>
      </c>
      <c r="M1141" s="14">
        <f t="shared" ca="1" si="68"/>
        <v>79.724391666666676</v>
      </c>
      <c r="N1141" s="14">
        <f t="shared" ca="1" si="68"/>
        <v>79.740549999999999</v>
      </c>
      <c r="O1141" s="14">
        <f t="shared" ca="1" si="68"/>
        <v>79.908058333333315</v>
      </c>
      <c r="P1141" s="14">
        <f t="shared" ca="1" si="68"/>
        <v>79.992558333333335</v>
      </c>
      <c r="Q1141" s="14">
        <f t="shared" ca="1" si="68"/>
        <v>80.502758333333318</v>
      </c>
      <c r="R1141" s="14">
        <f t="shared" ca="1" si="68"/>
        <v>81.291025000000005</v>
      </c>
      <c r="S1141" s="14">
        <f t="shared" ca="1" si="68"/>
        <v>78.206199999999995</v>
      </c>
      <c r="T1141" s="49">
        <f t="shared" ca="1" si="69"/>
        <v>358.17703550000004</v>
      </c>
      <c r="U1141" s="49">
        <f t="shared" ca="1" si="69"/>
        <v>142.42176299999997</v>
      </c>
      <c r="V1141" s="49">
        <f t="shared" ca="1" si="69"/>
        <v>50.325000000000003</v>
      </c>
      <c r="W1141" s="49">
        <f t="shared" ca="1" si="69"/>
        <v>5.0961473999999995</v>
      </c>
      <c r="X1141" s="49">
        <f t="shared" ca="1" si="69"/>
        <v>20.800615543999996</v>
      </c>
      <c r="Y1141" s="14"/>
      <c r="Z1141" s="14"/>
      <c r="AA1141" s="14"/>
      <c r="AB1141" s="14">
        <f t="shared" ca="1" si="70"/>
        <v>81.442810185231195</v>
      </c>
      <c r="AC1141" s="14">
        <f t="shared" ca="1" si="70"/>
        <v>79.847151378896896</v>
      </c>
    </row>
    <row r="1142" spans="1:29" ht="15" x14ac:dyDescent="0.2">
      <c r="A1142" s="10">
        <f t="shared" si="63"/>
        <v>2085</v>
      </c>
      <c r="B1142" s="14">
        <f t="shared" ca="1" si="67"/>
        <v>84.479708333333335</v>
      </c>
      <c r="C1142" s="14">
        <f t="shared" ca="1" si="67"/>
        <v>84.48596666666667</v>
      </c>
      <c r="D1142" s="14">
        <f t="shared" ca="1" si="67"/>
        <v>84.63151666666667</v>
      </c>
      <c r="E1142" s="14">
        <f t="shared" ca="1" si="67"/>
        <v>84.663933333333333</v>
      </c>
      <c r="F1142" s="14">
        <f t="shared" ca="1" si="67"/>
        <v>84.472533333333331</v>
      </c>
      <c r="G1142" s="14">
        <f t="shared" ca="1" si="67"/>
        <v>84.489050000000006</v>
      </c>
      <c r="H1142" s="14">
        <f t="shared" ca="1" si="67"/>
        <v>84.653049999999993</v>
      </c>
      <c r="I1142" s="14">
        <f t="shared" ca="1" si="67"/>
        <v>84.754108333333349</v>
      </c>
      <c r="J1142" s="14">
        <f t="shared" ca="1" si="67"/>
        <v>84.46553333333334</v>
      </c>
      <c r="K1142" s="14">
        <f t="shared" ca="1" si="67"/>
        <v>84.750216666666674</v>
      </c>
      <c r="L1142" s="14">
        <f t="shared" ca="1" si="68"/>
        <v>85.240049999999997</v>
      </c>
      <c r="M1142" s="14">
        <f t="shared" ca="1" si="68"/>
        <v>82.742583333333329</v>
      </c>
      <c r="N1142" s="14">
        <f t="shared" ca="1" si="68"/>
        <v>82.758758333333333</v>
      </c>
      <c r="O1142" s="14">
        <f t="shared" ca="1" si="68"/>
        <v>82.926266666666677</v>
      </c>
      <c r="P1142" s="14">
        <f t="shared" ca="1" si="68"/>
        <v>83.020008333333308</v>
      </c>
      <c r="Q1142" s="14">
        <f t="shared" ca="1" si="68"/>
        <v>83.520966666666666</v>
      </c>
      <c r="R1142" s="14">
        <f t="shared" ca="1" si="68"/>
        <v>84.316758333333325</v>
      </c>
      <c r="S1142" s="14">
        <f t="shared" ca="1" si="68"/>
        <v>81.167033333333322</v>
      </c>
      <c r="T1142" s="49">
        <f t="shared" ca="1" si="69"/>
        <v>357.24568100000005</v>
      </c>
      <c r="U1142" s="49">
        <f t="shared" ca="1" si="69"/>
        <v>142.03263249999998</v>
      </c>
      <c r="V1142" s="49">
        <f t="shared" ca="1" si="69"/>
        <v>50.187500000000007</v>
      </c>
      <c r="W1142" s="49">
        <f t="shared" ca="1" si="69"/>
        <v>5.0822234999999996</v>
      </c>
      <c r="X1142" s="49">
        <f t="shared" ca="1" si="69"/>
        <v>20.758966663999999</v>
      </c>
      <c r="Y1142" s="14"/>
      <c r="Z1142" s="14"/>
      <c r="AA1142" s="14"/>
      <c r="AB1142" s="14">
        <f t="shared" ca="1" si="70"/>
        <v>84.52493341750035</v>
      </c>
      <c r="AC1142" s="14">
        <f t="shared" ca="1" si="70"/>
        <v>82.866683693045559</v>
      </c>
    </row>
    <row r="1143" spans="1:29" ht="15" x14ac:dyDescent="0.2">
      <c r="A1143" s="10">
        <f t="shared" si="63"/>
        <v>2086</v>
      </c>
      <c r="B1143" s="14">
        <f t="shared" ca="1" si="67"/>
        <v>87.677708333333342</v>
      </c>
      <c r="C1143" s="14">
        <f t="shared" ca="1" si="67"/>
        <v>87.683966666666663</v>
      </c>
      <c r="D1143" s="14">
        <f t="shared" ca="1" si="67"/>
        <v>87.829491666666669</v>
      </c>
      <c r="E1143" s="14">
        <f t="shared" ca="1" si="67"/>
        <v>87.861933333333312</v>
      </c>
      <c r="F1143" s="14">
        <f t="shared" ca="1" si="67"/>
        <v>87.670516666666671</v>
      </c>
      <c r="G1143" s="14">
        <f t="shared" ca="1" si="67"/>
        <v>87.687041666666673</v>
      </c>
      <c r="H1143" s="14">
        <f t="shared" ca="1" si="67"/>
        <v>87.851033333333319</v>
      </c>
      <c r="I1143" s="14">
        <f t="shared" ca="1" si="67"/>
        <v>87.96211666666666</v>
      </c>
      <c r="J1143" s="14">
        <f t="shared" ca="1" si="67"/>
        <v>87.663516666666666</v>
      </c>
      <c r="K1143" s="14">
        <f t="shared" ca="1" si="67"/>
        <v>87.958216666666658</v>
      </c>
      <c r="L1143" s="14">
        <f t="shared" ca="1" si="68"/>
        <v>88.438033333333337</v>
      </c>
      <c r="M1143" s="14">
        <f t="shared" ca="1" si="68"/>
        <v>85.87503333333332</v>
      </c>
      <c r="N1143" s="14">
        <f t="shared" ca="1" si="68"/>
        <v>85.891225000000006</v>
      </c>
      <c r="O1143" s="14">
        <f t="shared" ca="1" si="68"/>
        <v>86.058724999999995</v>
      </c>
      <c r="P1143" s="14">
        <f t="shared" ca="1" si="68"/>
        <v>86.162074999999973</v>
      </c>
      <c r="Q1143" s="14">
        <f t="shared" ca="1" si="68"/>
        <v>86.653425000000013</v>
      </c>
      <c r="R1143" s="14">
        <f t="shared" ca="1" si="68"/>
        <v>87.457058333333336</v>
      </c>
      <c r="S1143" s="14">
        <f t="shared" ca="1" si="68"/>
        <v>84.239974999999987</v>
      </c>
      <c r="T1143" s="49">
        <f t="shared" ca="1" si="69"/>
        <v>357.24568100000005</v>
      </c>
      <c r="U1143" s="49">
        <f t="shared" ca="1" si="69"/>
        <v>142.03263249999998</v>
      </c>
      <c r="V1143" s="49">
        <f t="shared" ca="1" si="69"/>
        <v>50.187500000000007</v>
      </c>
      <c r="W1143" s="49">
        <f t="shared" ca="1" si="69"/>
        <v>5.0822234999999996</v>
      </c>
      <c r="X1143" s="49">
        <f t="shared" ca="1" si="69"/>
        <v>20.758966663999999</v>
      </c>
      <c r="Y1143" s="14"/>
      <c r="Z1143" s="14"/>
      <c r="AA1143" s="14"/>
      <c r="AB1143" s="14">
        <f t="shared" ca="1" si="70"/>
        <v>87.723750020544173</v>
      </c>
      <c r="AC1143" s="14">
        <f t="shared" ca="1" si="70"/>
        <v>86.000522122302172</v>
      </c>
    </row>
    <row r="1144" spans="1:29" ht="15" x14ac:dyDescent="0.2">
      <c r="A1144" s="10">
        <f t="shared" si="63"/>
        <v>2087</v>
      </c>
      <c r="B1144" s="14">
        <f t="shared" ca="1" si="67"/>
        <v>90.996758333333332</v>
      </c>
      <c r="C1144" s="14">
        <f t="shared" ca="1" si="67"/>
        <v>91.003050000000016</v>
      </c>
      <c r="D1144" s="14">
        <f t="shared" ca="1" si="67"/>
        <v>91.148566666666667</v>
      </c>
      <c r="E1144" s="14">
        <f t="shared" ca="1" si="67"/>
        <v>91.180983333333344</v>
      </c>
      <c r="F1144" s="14">
        <f t="shared" ca="1" si="67"/>
        <v>90.989583333333329</v>
      </c>
      <c r="G1144" s="14">
        <f t="shared" ca="1" si="67"/>
        <v>91.006083333333322</v>
      </c>
      <c r="H1144" s="14">
        <f t="shared" ca="1" si="67"/>
        <v>91.170108333333346</v>
      </c>
      <c r="I1144" s="14">
        <f t="shared" ca="1" si="67"/>
        <v>91.291591666666662</v>
      </c>
      <c r="J1144" s="14">
        <f t="shared" ca="1" si="67"/>
        <v>90.982583333333324</v>
      </c>
      <c r="K1144" s="14">
        <f t="shared" ca="1" si="67"/>
        <v>91.287700000000015</v>
      </c>
      <c r="L1144" s="14">
        <f t="shared" ca="1" si="68"/>
        <v>91.757108333333335</v>
      </c>
      <c r="M1144" s="14">
        <f t="shared" ca="1" si="68"/>
        <v>89.126116666666647</v>
      </c>
      <c r="N1144" s="14">
        <f t="shared" ca="1" si="68"/>
        <v>89.142283333333339</v>
      </c>
      <c r="O1144" s="14">
        <f t="shared" ca="1" si="68"/>
        <v>89.309775000000002</v>
      </c>
      <c r="P1144" s="14">
        <f t="shared" ca="1" si="68"/>
        <v>89.423116666666658</v>
      </c>
      <c r="Q1144" s="14">
        <f t="shared" ca="1" si="68"/>
        <v>89.904474999999991</v>
      </c>
      <c r="R1144" s="14">
        <f t="shared" ca="1" si="68"/>
        <v>90.716249999999988</v>
      </c>
      <c r="S1144" s="14">
        <f t="shared" ca="1" si="68"/>
        <v>87.429275000000004</v>
      </c>
      <c r="T1144" s="49">
        <f t="shared" ca="1" si="69"/>
        <v>357.24568100000005</v>
      </c>
      <c r="U1144" s="49">
        <f t="shared" ca="1" si="69"/>
        <v>142.03263249999998</v>
      </c>
      <c r="V1144" s="49">
        <f t="shared" ca="1" si="69"/>
        <v>50.187500000000007</v>
      </c>
      <c r="W1144" s="49">
        <f t="shared" ca="1" si="69"/>
        <v>5.0822234999999996</v>
      </c>
      <c r="X1144" s="49">
        <f t="shared" ca="1" si="69"/>
        <v>20.758966663999999</v>
      </c>
      <c r="Y1144" s="14"/>
      <c r="Z1144" s="14"/>
      <c r="AA1144" s="14"/>
      <c r="AB1144" s="14">
        <f t="shared" ca="1" si="70"/>
        <v>91.043672290235989</v>
      </c>
      <c r="AC1144" s="14">
        <f t="shared" ca="1" si="70"/>
        <v>89.253021762589938</v>
      </c>
    </row>
    <row r="1145" spans="1:29" ht="15" x14ac:dyDescent="0.2">
      <c r="A1145" s="10">
        <f t="shared" si="63"/>
        <v>2088</v>
      </c>
      <c r="B1145" s="14">
        <f t="shared" ca="1" si="67"/>
        <v>94.441483333333338</v>
      </c>
      <c r="C1145" s="14">
        <f t="shared" ca="1" si="67"/>
        <v>94.44775833333334</v>
      </c>
      <c r="D1145" s="14">
        <f t="shared" ca="1" si="67"/>
        <v>94.593299999999999</v>
      </c>
      <c r="E1145" s="14">
        <f t="shared" ca="1" si="67"/>
        <v>94.625716666666662</v>
      </c>
      <c r="F1145" s="14">
        <f t="shared" ca="1" si="67"/>
        <v>94.434308333333334</v>
      </c>
      <c r="G1145" s="14">
        <f t="shared" ca="1" si="67"/>
        <v>94.450816666666654</v>
      </c>
      <c r="H1145" s="14">
        <f t="shared" ca="1" si="67"/>
        <v>94.614841666666663</v>
      </c>
      <c r="I1145" s="14">
        <f t="shared" ca="1" si="67"/>
        <v>94.747083333333322</v>
      </c>
      <c r="J1145" s="14">
        <f t="shared" ca="1" si="67"/>
        <v>94.427308333333329</v>
      </c>
      <c r="K1145" s="14">
        <f t="shared" ca="1" si="67"/>
        <v>94.743199999999987</v>
      </c>
      <c r="L1145" s="14">
        <f t="shared" ca="1" si="68"/>
        <v>95.201841666666652</v>
      </c>
      <c r="M1145" s="14">
        <f t="shared" ca="1" si="68"/>
        <v>92.500266666666661</v>
      </c>
      <c r="N1145" s="14">
        <f t="shared" ca="1" si="68"/>
        <v>92.516416666666672</v>
      </c>
      <c r="O1145" s="14">
        <f t="shared" ca="1" si="68"/>
        <v>92.683925000000002</v>
      </c>
      <c r="P1145" s="14">
        <f t="shared" ca="1" si="68"/>
        <v>92.807608333333334</v>
      </c>
      <c r="Q1145" s="14">
        <f t="shared" ca="1" si="68"/>
        <v>93.278624999999991</v>
      </c>
      <c r="R1145" s="14">
        <f t="shared" ca="1" si="68"/>
        <v>94.098841666666672</v>
      </c>
      <c r="S1145" s="14">
        <f t="shared" ca="1" si="68"/>
        <v>90.739316666666681</v>
      </c>
      <c r="T1145" s="49">
        <f t="shared" ca="1" si="69"/>
        <v>358.17703550000004</v>
      </c>
      <c r="U1145" s="49">
        <f t="shared" ca="1" si="69"/>
        <v>142.42176299999997</v>
      </c>
      <c r="V1145" s="49">
        <f t="shared" ca="1" si="69"/>
        <v>50.325000000000003</v>
      </c>
      <c r="W1145" s="49">
        <f t="shared" ca="1" si="69"/>
        <v>5.0961473999999995</v>
      </c>
      <c r="X1145" s="49">
        <f t="shared" ca="1" si="69"/>
        <v>20.800615543999996</v>
      </c>
      <c r="Y1145" s="14"/>
      <c r="Z1145" s="14"/>
      <c r="AA1145" s="14"/>
      <c r="AB1145" s="14">
        <f t="shared" ca="1" si="70"/>
        <v>94.489283300051284</v>
      </c>
      <c r="AC1145" s="14">
        <f t="shared" ca="1" si="70"/>
        <v>92.628658812949638</v>
      </c>
    </row>
    <row r="1146" spans="1:29" ht="15" x14ac:dyDescent="0.2">
      <c r="A1146" s="10">
        <f t="shared" si="63"/>
        <v>2089</v>
      </c>
      <c r="B1146" s="14">
        <f t="shared" ca="1" si="67"/>
        <v>98.016633333333331</v>
      </c>
      <c r="C1146" s="14">
        <f t="shared" ca="1" si="67"/>
        <v>98.022891666666666</v>
      </c>
      <c r="D1146" s="14">
        <f t="shared" ca="1" si="67"/>
        <v>98.168450000000007</v>
      </c>
      <c r="E1146" s="14">
        <f t="shared" ca="1" si="67"/>
        <v>98.200858333333329</v>
      </c>
      <c r="F1146" s="14">
        <f t="shared" ca="1" si="67"/>
        <v>98.009458333333328</v>
      </c>
      <c r="G1146" s="14">
        <f t="shared" ca="1" si="67"/>
        <v>98.025958333333335</v>
      </c>
      <c r="H1146" s="14">
        <f t="shared" ca="1" si="67"/>
        <v>98.189991666666643</v>
      </c>
      <c r="I1146" s="14">
        <f t="shared" ca="1" si="67"/>
        <v>98.333441666666644</v>
      </c>
      <c r="J1146" s="14">
        <f t="shared" ca="1" si="67"/>
        <v>98.002458333333323</v>
      </c>
      <c r="K1146" s="14">
        <f t="shared" ca="1" si="67"/>
        <v>98.329549999999998</v>
      </c>
      <c r="L1146" s="14">
        <f t="shared" ca="1" si="68"/>
        <v>98.776991666666675</v>
      </c>
      <c r="M1146" s="14">
        <f t="shared" ca="1" si="68"/>
        <v>96.002141666666674</v>
      </c>
      <c r="N1146" s="14">
        <f t="shared" ca="1" si="68"/>
        <v>96.018308333333323</v>
      </c>
      <c r="O1146" s="14">
        <f t="shared" ca="1" si="68"/>
        <v>96.185833333333335</v>
      </c>
      <c r="P1146" s="14">
        <f t="shared" ca="1" si="68"/>
        <v>96.320224999999994</v>
      </c>
      <c r="Q1146" s="14">
        <f t="shared" ca="1" si="68"/>
        <v>96.780533333333338</v>
      </c>
      <c r="R1146" s="14">
        <f t="shared" ca="1" si="68"/>
        <v>97.609466666666663</v>
      </c>
      <c r="S1146" s="14">
        <f t="shared" ca="1" si="68"/>
        <v>94.174683333333334</v>
      </c>
      <c r="T1146" s="49">
        <f t="shared" ca="1" si="69"/>
        <v>357.24568100000005</v>
      </c>
      <c r="U1146" s="49">
        <f t="shared" ca="1" si="69"/>
        <v>142.03263249999998</v>
      </c>
      <c r="V1146" s="49">
        <f t="shared" ca="1" si="69"/>
        <v>50.187500000000007</v>
      </c>
      <c r="W1146" s="49">
        <f t="shared" ca="1" si="69"/>
        <v>5.0822234999999996</v>
      </c>
      <c r="X1146" s="49">
        <f t="shared" ca="1" si="69"/>
        <v>20.758966663999999</v>
      </c>
      <c r="Y1146" s="14"/>
      <c r="Z1146" s="14"/>
      <c r="AA1146" s="14"/>
      <c r="AB1146" s="14">
        <f t="shared" ca="1" si="70"/>
        <v>98.065351614122804</v>
      </c>
      <c r="AC1146" s="14">
        <f t="shared" ca="1" si="70"/>
        <v>96.132095443645085</v>
      </c>
    </row>
    <row r="1147" spans="1:29" ht="15" x14ac:dyDescent="0.2">
      <c r="A1147" s="10">
        <f t="shared" si="63"/>
        <v>2090</v>
      </c>
      <c r="B1147" s="14">
        <f t="shared" ca="1" si="67"/>
        <v>101.72713333333333</v>
      </c>
      <c r="C1147" s="14">
        <f t="shared" ca="1" si="67"/>
        <v>101.73339166666666</v>
      </c>
      <c r="D1147" s="14">
        <f t="shared" ca="1" si="67"/>
        <v>101.87893333333334</v>
      </c>
      <c r="E1147" s="14">
        <f t="shared" ca="1" si="67"/>
        <v>101.91134999999998</v>
      </c>
      <c r="F1147" s="14">
        <f t="shared" ca="1" si="67"/>
        <v>101.71995833333334</v>
      </c>
      <c r="G1147" s="14">
        <f t="shared" ca="1" si="67"/>
        <v>101.73645</v>
      </c>
      <c r="H1147" s="14">
        <f t="shared" ca="1" si="67"/>
        <v>101.90047500000001</v>
      </c>
      <c r="I1147" s="14">
        <f t="shared" ca="1" si="67"/>
        <v>102.05555</v>
      </c>
      <c r="J1147" s="14">
        <f t="shared" ca="1" si="67"/>
        <v>101.71295833333333</v>
      </c>
      <c r="K1147" s="14">
        <f t="shared" ca="1" si="67"/>
        <v>102.05166666666666</v>
      </c>
      <c r="L1147" s="14">
        <f t="shared" ca="1" si="68"/>
        <v>102.48747500000002</v>
      </c>
      <c r="M1147" s="14">
        <f t="shared" ca="1" si="68"/>
        <v>99.636633333333336</v>
      </c>
      <c r="N1147" s="14">
        <f t="shared" ca="1" si="68"/>
        <v>99.652774999999977</v>
      </c>
      <c r="O1147" s="14">
        <f t="shared" ca="1" si="68"/>
        <v>99.820291666666662</v>
      </c>
      <c r="P1147" s="14">
        <f t="shared" ca="1" si="68"/>
        <v>99.965875000000025</v>
      </c>
      <c r="Q1147" s="14">
        <f t="shared" ca="1" si="68"/>
        <v>100.41499166666667</v>
      </c>
      <c r="R1147" s="14">
        <f t="shared" ca="1" si="68"/>
        <v>101.25302500000002</v>
      </c>
      <c r="S1147" s="14">
        <f t="shared" ca="1" si="68"/>
        <v>97.740075000000004</v>
      </c>
      <c r="T1147" s="49">
        <f t="shared" ca="1" si="69"/>
        <v>357.24568100000005</v>
      </c>
      <c r="U1147" s="49">
        <f t="shared" ca="1" si="69"/>
        <v>142.03263249999998</v>
      </c>
      <c r="V1147" s="49">
        <f t="shared" ca="1" si="69"/>
        <v>50.187500000000007</v>
      </c>
      <c r="W1147" s="49">
        <f t="shared" ca="1" si="69"/>
        <v>5.0822234999999996</v>
      </c>
      <c r="X1147" s="49">
        <f t="shared" ca="1" si="69"/>
        <v>20.758966663999999</v>
      </c>
      <c r="Y1147" s="14"/>
      <c r="Z1147" s="14"/>
      <c r="AA1147" s="14"/>
      <c r="AB1147" s="14">
        <f t="shared" ca="1" si="70"/>
        <v>101.77680447352886</v>
      </c>
      <c r="AC1147" s="14">
        <f t="shared" ca="1" si="70"/>
        <v>99.768176079136694</v>
      </c>
    </row>
    <row r="1148" spans="1:29" ht="15" x14ac:dyDescent="0.2">
      <c r="A1148" s="10">
        <f t="shared" si="63"/>
        <v>2091</v>
      </c>
      <c r="B1148" s="14">
        <f t="shared" ca="1" si="67"/>
        <v>105.57811666666667</v>
      </c>
      <c r="C1148" s="14">
        <f t="shared" ca="1" si="67"/>
        <v>105.58438333333332</v>
      </c>
      <c r="D1148" s="14">
        <f t="shared" ca="1" si="67"/>
        <v>105.72992500000002</v>
      </c>
      <c r="E1148" s="14">
        <f t="shared" ca="1" si="67"/>
        <v>105.76234166666667</v>
      </c>
      <c r="F1148" s="14">
        <f t="shared" ca="1" si="67"/>
        <v>105.57093333333334</v>
      </c>
      <c r="G1148" s="14">
        <f t="shared" ca="1" si="67"/>
        <v>105.58742500000001</v>
      </c>
      <c r="H1148" s="14">
        <f t="shared" ca="1" si="67"/>
        <v>105.75146666666667</v>
      </c>
      <c r="I1148" s="14">
        <f t="shared" ca="1" si="67"/>
        <v>105.91859166666667</v>
      </c>
      <c r="J1148" s="14">
        <f t="shared" ca="1" si="67"/>
        <v>105.56393333333335</v>
      </c>
      <c r="K1148" s="14">
        <f t="shared" ca="1" si="67"/>
        <v>105.91470833333334</v>
      </c>
      <c r="L1148" s="14">
        <f t="shared" ca="1" si="68"/>
        <v>106.33846666666666</v>
      </c>
      <c r="M1148" s="14">
        <f t="shared" ca="1" si="68"/>
        <v>103.40868333333333</v>
      </c>
      <c r="N1148" s="14">
        <f t="shared" ca="1" si="68"/>
        <v>103.42485833333332</v>
      </c>
      <c r="O1148" s="14">
        <f t="shared" ca="1" si="68"/>
        <v>103.59235833333334</v>
      </c>
      <c r="P1148" s="14">
        <f t="shared" ca="1" si="68"/>
        <v>103.74949166666669</v>
      </c>
      <c r="Q1148" s="14">
        <f t="shared" ca="1" si="68"/>
        <v>104.18705833333333</v>
      </c>
      <c r="R1148" s="14">
        <f t="shared" ca="1" si="68"/>
        <v>105.03452499999999</v>
      </c>
      <c r="S1148" s="14">
        <f t="shared" ca="1" si="68"/>
        <v>101.44048333333335</v>
      </c>
      <c r="T1148" s="49">
        <f t="shared" ca="1" si="69"/>
        <v>357.24568100000005</v>
      </c>
      <c r="U1148" s="49">
        <f t="shared" ca="1" si="69"/>
        <v>142.03263249999998</v>
      </c>
      <c r="V1148" s="49">
        <f t="shared" ca="1" si="69"/>
        <v>50.187500000000007</v>
      </c>
      <c r="W1148" s="49">
        <f t="shared" ca="1" si="69"/>
        <v>5.0822234999999996</v>
      </c>
      <c r="X1148" s="49">
        <f t="shared" ca="1" si="69"/>
        <v>20.758966663999999</v>
      </c>
      <c r="Y1148" s="14"/>
      <c r="Z1148" s="14"/>
      <c r="AA1148" s="14"/>
      <c r="AB1148" s="14">
        <f t="shared" ca="1" si="70"/>
        <v>105.62878117519982</v>
      </c>
      <c r="AC1148" s="14">
        <f t="shared" ca="1" si="70"/>
        <v>103.5418998201439</v>
      </c>
    </row>
    <row r="1149" spans="1:29" ht="15" x14ac:dyDescent="0.2">
      <c r="A1149" s="10">
        <f t="shared" si="63"/>
        <v>2092</v>
      </c>
      <c r="B1149" s="14">
        <f t="shared" ref="B1149:K1157" ca="1" si="71">AVERAGE(OFFSET(B$601,($A1149-$A$1119)*12,0,12,1))</f>
        <v>109.57487499999998</v>
      </c>
      <c r="C1149" s="14">
        <f t="shared" ca="1" si="71"/>
        <v>109.58115000000002</v>
      </c>
      <c r="D1149" s="14">
        <f t="shared" ca="1" si="71"/>
        <v>109.726675</v>
      </c>
      <c r="E1149" s="14">
        <f t="shared" ca="1" si="71"/>
        <v>109.75911666666667</v>
      </c>
      <c r="F1149" s="14">
        <f t="shared" ca="1" si="71"/>
        <v>109.56770833333333</v>
      </c>
      <c r="G1149" s="14">
        <f t="shared" ca="1" si="71"/>
        <v>109.58420833333334</v>
      </c>
      <c r="H1149" s="14">
        <f t="shared" ca="1" si="71"/>
        <v>109.74821666666668</v>
      </c>
      <c r="I1149" s="14">
        <f t="shared" ca="1" si="71"/>
        <v>109.92788333333333</v>
      </c>
      <c r="J1149" s="14">
        <f t="shared" ca="1" si="71"/>
        <v>109.56070833333332</v>
      </c>
      <c r="K1149" s="14">
        <f t="shared" ca="1" si="71"/>
        <v>109.92399166666667</v>
      </c>
      <c r="L1149" s="14">
        <f t="shared" ref="L1149:S1157" ca="1" si="72">AVERAGE(OFFSET(L$601,($A1149-$A$1119)*12,0,12,1))</f>
        <v>110.33521666666667</v>
      </c>
      <c r="M1149" s="14">
        <f t="shared" ca="1" si="72"/>
        <v>107.32358333333333</v>
      </c>
      <c r="N1149" s="14">
        <f t="shared" ca="1" si="72"/>
        <v>107.33974166666667</v>
      </c>
      <c r="O1149" s="14">
        <f t="shared" ca="1" si="72"/>
        <v>107.50723333333333</v>
      </c>
      <c r="P1149" s="14">
        <f t="shared" ca="1" si="72"/>
        <v>107.67640833333333</v>
      </c>
      <c r="Q1149" s="14">
        <f t="shared" ca="1" si="72"/>
        <v>108.10193333333335</v>
      </c>
      <c r="R1149" s="14">
        <f t="shared" ca="1" si="72"/>
        <v>108.9592</v>
      </c>
      <c r="S1149" s="14">
        <f t="shared" ca="1" si="72"/>
        <v>105.28099166666664</v>
      </c>
      <c r="T1149" s="49">
        <f t="shared" ref="T1149:X1157" ca="1" si="73">SUM(OFFSET(T$601,($A1149-$A$1119)*12,0,12,1))</f>
        <v>358.17703550000004</v>
      </c>
      <c r="U1149" s="49">
        <f t="shared" ca="1" si="73"/>
        <v>142.42176299999997</v>
      </c>
      <c r="V1149" s="49">
        <f t="shared" ca="1" si="73"/>
        <v>50.325000000000003</v>
      </c>
      <c r="W1149" s="49">
        <f t="shared" ca="1" si="73"/>
        <v>5.0961473999999995</v>
      </c>
      <c r="X1149" s="49">
        <f t="shared" ca="1" si="73"/>
        <v>20.800615543999996</v>
      </c>
      <c r="Y1149" s="14"/>
      <c r="Z1149" s="14"/>
      <c r="AA1149" s="14"/>
      <c r="AB1149" s="14">
        <f t="shared" ca="1" si="70"/>
        <v>109.62658259262291</v>
      </c>
      <c r="AC1149" s="14">
        <f t="shared" ca="1" si="70"/>
        <v>107.4585165467626</v>
      </c>
    </row>
    <row r="1150" spans="1:29" ht="15" x14ac:dyDescent="0.2">
      <c r="A1150" s="10">
        <f t="shared" si="63"/>
        <v>2093</v>
      </c>
      <c r="B1150" s="14">
        <f t="shared" ca="1" si="71"/>
        <v>113.72295833333334</v>
      </c>
      <c r="C1150" s="14">
        <f t="shared" ca="1" si="71"/>
        <v>113.72924166666667</v>
      </c>
      <c r="D1150" s="14">
        <f t="shared" ca="1" si="71"/>
        <v>113.87476666666669</v>
      </c>
      <c r="E1150" s="14">
        <f t="shared" ca="1" si="71"/>
        <v>113.90720833333336</v>
      </c>
      <c r="F1150" s="14">
        <f t="shared" ca="1" si="71"/>
        <v>113.71580000000002</v>
      </c>
      <c r="G1150" s="14">
        <f t="shared" ca="1" si="71"/>
        <v>113.73230833333334</v>
      </c>
      <c r="H1150" s="14">
        <f t="shared" ca="1" si="71"/>
        <v>113.89631666666666</v>
      </c>
      <c r="I1150" s="14">
        <f t="shared" ca="1" si="71"/>
        <v>114.08896666666668</v>
      </c>
      <c r="J1150" s="14">
        <f t="shared" ca="1" si="71"/>
        <v>113.7088</v>
      </c>
      <c r="K1150" s="14">
        <f t="shared" ca="1" si="71"/>
        <v>114.08506666666669</v>
      </c>
      <c r="L1150" s="14">
        <f t="shared" ca="1" si="72"/>
        <v>114.48331666666665</v>
      </c>
      <c r="M1150" s="14">
        <f t="shared" ca="1" si="72"/>
        <v>111.38667499999998</v>
      </c>
      <c r="N1150" s="14">
        <f t="shared" ca="1" si="72"/>
        <v>111.40285</v>
      </c>
      <c r="O1150" s="14">
        <f t="shared" ca="1" si="72"/>
        <v>111.57035</v>
      </c>
      <c r="P1150" s="14">
        <f t="shared" ca="1" si="72"/>
        <v>111.75195833333335</v>
      </c>
      <c r="Q1150" s="14">
        <f t="shared" ca="1" si="72"/>
        <v>112.16505000000001</v>
      </c>
      <c r="R1150" s="14">
        <f t="shared" ca="1" si="72"/>
        <v>113.03244999999998</v>
      </c>
      <c r="S1150" s="14">
        <f t="shared" ca="1" si="72"/>
        <v>109.26689166666665</v>
      </c>
      <c r="T1150" s="49">
        <f t="shared" ca="1" si="73"/>
        <v>357.24568100000005</v>
      </c>
      <c r="U1150" s="49">
        <f t="shared" ca="1" si="73"/>
        <v>142.03263249999998</v>
      </c>
      <c r="V1150" s="49">
        <f t="shared" ca="1" si="73"/>
        <v>50.187500000000007</v>
      </c>
      <c r="W1150" s="49">
        <f t="shared" ca="1" si="73"/>
        <v>5.0822234999999996</v>
      </c>
      <c r="X1150" s="49">
        <f t="shared" ca="1" si="73"/>
        <v>20.758966663999999</v>
      </c>
      <c r="Y1150" s="14"/>
      <c r="Z1150" s="14"/>
      <c r="AA1150" s="14"/>
      <c r="AB1150" s="14">
        <f t="shared" ca="1" si="70"/>
        <v>113.77574381194393</v>
      </c>
      <c r="AC1150" s="14">
        <f t="shared" ca="1" si="70"/>
        <v>111.52341306954435</v>
      </c>
    </row>
    <row r="1151" spans="1:29" ht="15" x14ac:dyDescent="0.2">
      <c r="A1151" s="10">
        <f t="shared" si="63"/>
        <v>2094</v>
      </c>
      <c r="B1151" s="14">
        <f t="shared" ca="1" si="71"/>
        <v>118.02810833333331</v>
      </c>
      <c r="C1151" s="14">
        <f t="shared" ca="1" si="71"/>
        <v>118.03438333333334</v>
      </c>
      <c r="D1151" s="14">
        <f t="shared" ca="1" si="71"/>
        <v>118.17991666666666</v>
      </c>
      <c r="E1151" s="14">
        <f t="shared" ca="1" si="71"/>
        <v>118.21232500000001</v>
      </c>
      <c r="F1151" s="14">
        <f t="shared" ca="1" si="71"/>
        <v>118.02094166666666</v>
      </c>
      <c r="G1151" s="14">
        <f t="shared" ca="1" si="71"/>
        <v>118.03744999999999</v>
      </c>
      <c r="H1151" s="14">
        <f t="shared" ca="1" si="71"/>
        <v>118.20145833333332</v>
      </c>
      <c r="I1151" s="14">
        <f t="shared" ca="1" si="71"/>
        <v>118.40757499999999</v>
      </c>
      <c r="J1151" s="14">
        <f t="shared" ca="1" si="71"/>
        <v>118.01394166666667</v>
      </c>
      <c r="K1151" s="14">
        <f t="shared" ca="1" si="71"/>
        <v>118.40370833333334</v>
      </c>
      <c r="L1151" s="14">
        <f t="shared" ca="1" si="72"/>
        <v>118.78845833333332</v>
      </c>
      <c r="M1151" s="14">
        <f t="shared" ca="1" si="72"/>
        <v>115.60361666666667</v>
      </c>
      <c r="N1151" s="14">
        <f t="shared" ca="1" si="72"/>
        <v>115.619775</v>
      </c>
      <c r="O1151" s="14">
        <f t="shared" ca="1" si="72"/>
        <v>115.78728333333333</v>
      </c>
      <c r="P1151" s="14">
        <f t="shared" ca="1" si="72"/>
        <v>115.9818416666667</v>
      </c>
      <c r="Q1151" s="14">
        <f t="shared" ca="1" si="72"/>
        <v>116.38198333333332</v>
      </c>
      <c r="R1151" s="14">
        <f t="shared" ca="1" si="72"/>
        <v>117.25994166666668</v>
      </c>
      <c r="S1151" s="14">
        <f t="shared" ca="1" si="72"/>
        <v>113.4037</v>
      </c>
      <c r="T1151" s="49">
        <f t="shared" ca="1" si="73"/>
        <v>357.24568100000005</v>
      </c>
      <c r="U1151" s="49">
        <f t="shared" ca="1" si="73"/>
        <v>142.03263249999998</v>
      </c>
      <c r="V1151" s="49">
        <f t="shared" ca="1" si="73"/>
        <v>50.187500000000007</v>
      </c>
      <c r="W1151" s="49">
        <f t="shared" ca="1" si="73"/>
        <v>5.0822234999999996</v>
      </c>
      <c r="X1151" s="49">
        <f t="shared" ca="1" si="73"/>
        <v>20.758966663999999</v>
      </c>
      <c r="Y1151" s="14"/>
      <c r="Z1151" s="14"/>
      <c r="AA1151" s="14"/>
      <c r="AB1151" s="14">
        <f t="shared" ca="1" si="70"/>
        <v>118.08199651564861</v>
      </c>
      <c r="AC1151" s="14">
        <f t="shared" ca="1" si="70"/>
        <v>115.74221211031175</v>
      </c>
    </row>
    <row r="1152" spans="1:29" ht="15" x14ac:dyDescent="0.2">
      <c r="A1152" s="10">
        <f t="shared" si="63"/>
        <v>2095</v>
      </c>
      <c r="B1152" s="14">
        <f t="shared" ca="1" si="71"/>
        <v>122.49625000000002</v>
      </c>
      <c r="C1152" s="14">
        <f t="shared" ca="1" si="71"/>
        <v>122.50251666666668</v>
      </c>
      <c r="D1152" s="14">
        <f t="shared" ca="1" si="71"/>
        <v>122.64804166666669</v>
      </c>
      <c r="E1152" s="14">
        <f t="shared" ca="1" si="71"/>
        <v>122.68046666666667</v>
      </c>
      <c r="F1152" s="14">
        <f t="shared" ca="1" si="71"/>
        <v>122.48906666666666</v>
      </c>
      <c r="G1152" s="14">
        <f t="shared" ca="1" si="71"/>
        <v>122.50557499999998</v>
      </c>
      <c r="H1152" s="14">
        <f t="shared" ca="1" si="71"/>
        <v>122.66958333333332</v>
      </c>
      <c r="I1152" s="14">
        <f t="shared" ca="1" si="71"/>
        <v>122.88970833333333</v>
      </c>
      <c r="J1152" s="14">
        <f t="shared" ca="1" si="71"/>
        <v>122.48206666666668</v>
      </c>
      <c r="K1152" s="14">
        <f t="shared" ca="1" si="71"/>
        <v>122.885825</v>
      </c>
      <c r="L1152" s="14">
        <f t="shared" ca="1" si="72"/>
        <v>123.25658333333335</v>
      </c>
      <c r="M1152" s="14">
        <f t="shared" ca="1" si="72"/>
        <v>119.98020833333334</v>
      </c>
      <c r="N1152" s="14">
        <f t="shared" ca="1" si="72"/>
        <v>119.99635000000001</v>
      </c>
      <c r="O1152" s="14">
        <f t="shared" ca="1" si="72"/>
        <v>120.16385833333332</v>
      </c>
      <c r="P1152" s="14">
        <f t="shared" ca="1" si="72"/>
        <v>120.37184166666667</v>
      </c>
      <c r="Q1152" s="14">
        <f t="shared" ca="1" si="72"/>
        <v>120.75855833333333</v>
      </c>
      <c r="R1152" s="14">
        <f t="shared" ca="1" si="72"/>
        <v>121.64744999999999</v>
      </c>
      <c r="S1152" s="14">
        <f t="shared" ca="1" si="72"/>
        <v>117.69712500000001</v>
      </c>
      <c r="T1152" s="49">
        <f t="shared" ca="1" si="73"/>
        <v>357.24568100000005</v>
      </c>
      <c r="U1152" s="49">
        <f t="shared" ca="1" si="73"/>
        <v>142.03263249999998</v>
      </c>
      <c r="V1152" s="49">
        <f t="shared" ca="1" si="73"/>
        <v>50.187500000000007</v>
      </c>
      <c r="W1152" s="49">
        <f t="shared" ca="1" si="73"/>
        <v>5.0822234999999996</v>
      </c>
      <c r="X1152" s="49">
        <f t="shared" ca="1" si="73"/>
        <v>20.758966663999999</v>
      </c>
      <c r="Y1152" s="14"/>
      <c r="Z1152" s="14"/>
      <c r="AA1152" s="14"/>
      <c r="AB1152" s="14">
        <f t="shared" ca="1" si="70"/>
        <v>122.55127990120155</v>
      </c>
      <c r="AC1152" s="14">
        <f t="shared" ca="1" si="70"/>
        <v>120.12072452038369</v>
      </c>
    </row>
    <row r="1153" spans="1:29" ht="15" x14ac:dyDescent="0.2">
      <c r="A1153" s="10">
        <f t="shared" si="63"/>
        <v>2096</v>
      </c>
      <c r="B1153" s="14">
        <f t="shared" ca="1" si="71"/>
        <v>127.13353333333332</v>
      </c>
      <c r="C1153" s="14">
        <f t="shared" ca="1" si="71"/>
        <v>127.13980833333335</v>
      </c>
      <c r="D1153" s="14">
        <f t="shared" ca="1" si="71"/>
        <v>127.28534166666667</v>
      </c>
      <c r="E1153" s="14">
        <f t="shared" ca="1" si="71"/>
        <v>127.31775833333334</v>
      </c>
      <c r="F1153" s="14">
        <f t="shared" ca="1" si="71"/>
        <v>127.12635</v>
      </c>
      <c r="G1153" s="14">
        <f t="shared" ca="1" si="71"/>
        <v>127.14286666666668</v>
      </c>
      <c r="H1153" s="14">
        <f t="shared" ca="1" si="71"/>
        <v>127.30688333333332</v>
      </c>
      <c r="I1153" s="14">
        <f t="shared" ca="1" si="71"/>
        <v>127.54153333333333</v>
      </c>
      <c r="J1153" s="14">
        <f t="shared" ca="1" si="71"/>
        <v>127.11935</v>
      </c>
      <c r="K1153" s="14">
        <f t="shared" ca="1" si="71"/>
        <v>127.53763333333332</v>
      </c>
      <c r="L1153" s="14">
        <f t="shared" ca="1" si="72"/>
        <v>127.89388333333333</v>
      </c>
      <c r="M1153" s="14">
        <f t="shared" ca="1" si="72"/>
        <v>124.52246666666666</v>
      </c>
      <c r="N1153" s="14">
        <f t="shared" ca="1" si="72"/>
        <v>124.53862500000001</v>
      </c>
      <c r="O1153" s="14">
        <f t="shared" ca="1" si="72"/>
        <v>124.70614166666667</v>
      </c>
      <c r="P1153" s="14">
        <f t="shared" ca="1" si="72"/>
        <v>124.92804166666667</v>
      </c>
      <c r="Q1153" s="14">
        <f t="shared" ca="1" si="72"/>
        <v>125.30084166666666</v>
      </c>
      <c r="R1153" s="14">
        <f t="shared" ca="1" si="72"/>
        <v>126.20110833333335</v>
      </c>
      <c r="S1153" s="14">
        <f t="shared" ca="1" si="72"/>
        <v>122.15309999999999</v>
      </c>
      <c r="T1153" s="49">
        <f t="shared" ca="1" si="73"/>
        <v>358.17703550000004</v>
      </c>
      <c r="U1153" s="49">
        <f t="shared" ca="1" si="73"/>
        <v>142.42176299999997</v>
      </c>
      <c r="V1153" s="49">
        <f t="shared" ca="1" si="73"/>
        <v>50.325000000000003</v>
      </c>
      <c r="W1153" s="49">
        <f t="shared" ca="1" si="73"/>
        <v>5.0961473999999995</v>
      </c>
      <c r="X1153" s="49">
        <f t="shared" ca="1" si="73"/>
        <v>20.800615543999996</v>
      </c>
      <c r="Y1153" s="14"/>
      <c r="Z1153" s="14"/>
      <c r="AA1153" s="14"/>
      <c r="AB1153" s="14">
        <f t="shared" ca="1" si="70"/>
        <v>127.18976695776728</v>
      </c>
      <c r="AC1153" s="14">
        <f t="shared" ca="1" si="70"/>
        <v>124.66500113908874</v>
      </c>
    </row>
    <row r="1154" spans="1:29" ht="15" x14ac:dyDescent="0.2">
      <c r="A1154" s="10">
        <f t="shared" si="63"/>
        <v>2097</v>
      </c>
      <c r="B1154" s="14">
        <f t="shared" ca="1" si="71"/>
        <v>131.94640000000001</v>
      </c>
      <c r="C1154" s="14">
        <f t="shared" ca="1" si="71"/>
        <v>131.95266666666666</v>
      </c>
      <c r="D1154" s="14">
        <f t="shared" ca="1" si="71"/>
        <v>132.09819166666668</v>
      </c>
      <c r="E1154" s="14">
        <f t="shared" ca="1" si="71"/>
        <v>132.13063333333329</v>
      </c>
      <c r="F1154" s="14">
        <f t="shared" ca="1" si="71"/>
        <v>131.93923333333333</v>
      </c>
      <c r="G1154" s="14">
        <f t="shared" ca="1" si="71"/>
        <v>131.95574166666668</v>
      </c>
      <c r="H1154" s="14">
        <f t="shared" ca="1" si="71"/>
        <v>132.11973333333333</v>
      </c>
      <c r="I1154" s="14">
        <f t="shared" ca="1" si="71"/>
        <v>132.36946666666668</v>
      </c>
      <c r="J1154" s="14">
        <f t="shared" ca="1" si="71"/>
        <v>131.93223333333333</v>
      </c>
      <c r="K1154" s="14">
        <f t="shared" ca="1" si="71"/>
        <v>132.36557500000001</v>
      </c>
      <c r="L1154" s="14">
        <f t="shared" ca="1" si="72"/>
        <v>132.70673333333335</v>
      </c>
      <c r="M1154" s="14">
        <f t="shared" ca="1" si="72"/>
        <v>129.23671666666667</v>
      </c>
      <c r="N1154" s="14">
        <f t="shared" ca="1" si="72"/>
        <v>129.25290000000001</v>
      </c>
      <c r="O1154" s="14">
        <f t="shared" ca="1" si="72"/>
        <v>129.42039166666666</v>
      </c>
      <c r="P1154" s="14">
        <f t="shared" ca="1" si="72"/>
        <v>129.65677500000001</v>
      </c>
      <c r="Q1154" s="14">
        <f t="shared" ca="1" si="72"/>
        <v>130.01509166666668</v>
      </c>
      <c r="R1154" s="14">
        <f t="shared" ca="1" si="72"/>
        <v>130.92714166666667</v>
      </c>
      <c r="S1154" s="14">
        <f t="shared" ca="1" si="72"/>
        <v>126.77780000000001</v>
      </c>
      <c r="T1154" s="49">
        <f t="shared" ca="1" si="73"/>
        <v>357.24568100000005</v>
      </c>
      <c r="U1154" s="49">
        <f t="shared" ca="1" si="73"/>
        <v>142.03263249999998</v>
      </c>
      <c r="V1154" s="49">
        <f t="shared" ca="1" si="73"/>
        <v>50.187500000000007</v>
      </c>
      <c r="W1154" s="49">
        <f t="shared" ca="1" si="73"/>
        <v>5.0822234999999996</v>
      </c>
      <c r="X1154" s="49">
        <f t="shared" ca="1" si="73"/>
        <v>20.758966663999999</v>
      </c>
      <c r="Y1154" s="14"/>
      <c r="Z1154" s="14"/>
      <c r="AA1154" s="14"/>
      <c r="AB1154" s="14">
        <f t="shared" ca="1" si="70"/>
        <v>132.00387822941232</v>
      </c>
      <c r="AC1154" s="14">
        <f t="shared" ca="1" si="70"/>
        <v>129.38133651079139</v>
      </c>
    </row>
    <row r="1155" spans="1:29" ht="15" x14ac:dyDescent="0.2">
      <c r="A1155" s="10">
        <f t="shared" si="63"/>
        <v>2098</v>
      </c>
      <c r="B1155" s="14">
        <f t="shared" ca="1" si="71"/>
        <v>136.94149166666665</v>
      </c>
      <c r="C1155" s="14">
        <f t="shared" ca="1" si="71"/>
        <v>136.94775833333333</v>
      </c>
      <c r="D1155" s="14">
        <f t="shared" ca="1" si="71"/>
        <v>137.0933</v>
      </c>
      <c r="E1155" s="14">
        <f t="shared" ca="1" si="71"/>
        <v>137.12570833333334</v>
      </c>
      <c r="F1155" s="14">
        <f t="shared" ca="1" si="71"/>
        <v>136.93429166666667</v>
      </c>
      <c r="G1155" s="14">
        <f t="shared" ca="1" si="71"/>
        <v>136.95080833333333</v>
      </c>
      <c r="H1155" s="14">
        <f t="shared" ca="1" si="71"/>
        <v>137.11483333333334</v>
      </c>
      <c r="I1155" s="14">
        <f t="shared" ca="1" si="71"/>
        <v>137.38019166666666</v>
      </c>
      <c r="J1155" s="14">
        <f t="shared" ca="1" si="71"/>
        <v>136.92729166666666</v>
      </c>
      <c r="K1155" s="14">
        <f t="shared" ca="1" si="71"/>
        <v>137.3763083333333</v>
      </c>
      <c r="L1155" s="14">
        <f t="shared" ca="1" si="72"/>
        <v>137.70183333333333</v>
      </c>
      <c r="M1155" s="14">
        <f t="shared" ca="1" si="72"/>
        <v>134.1294583333333</v>
      </c>
      <c r="N1155" s="14">
        <f t="shared" ca="1" si="72"/>
        <v>134.145625</v>
      </c>
      <c r="O1155" s="14">
        <f t="shared" ca="1" si="72"/>
        <v>134.31311666666667</v>
      </c>
      <c r="P1155" s="14">
        <f t="shared" ca="1" si="72"/>
        <v>134.56449999999998</v>
      </c>
      <c r="Q1155" s="14">
        <f t="shared" ca="1" si="72"/>
        <v>134.90781666666666</v>
      </c>
      <c r="R1155" s="14">
        <f t="shared" ca="1" si="72"/>
        <v>135.8321</v>
      </c>
      <c r="S1155" s="14">
        <f t="shared" ca="1" si="72"/>
        <v>131.57755833333331</v>
      </c>
      <c r="T1155" s="49">
        <f t="shared" ca="1" si="73"/>
        <v>357.24568100000005</v>
      </c>
      <c r="U1155" s="49">
        <f t="shared" ca="1" si="73"/>
        <v>142.03263249999998</v>
      </c>
      <c r="V1155" s="49">
        <f t="shared" ca="1" si="73"/>
        <v>50.187500000000007</v>
      </c>
      <c r="W1155" s="49">
        <f t="shared" ca="1" si="73"/>
        <v>5.0822234999999996</v>
      </c>
      <c r="X1155" s="49">
        <f t="shared" ca="1" si="73"/>
        <v>20.758966663999999</v>
      </c>
      <c r="Y1155" s="14"/>
      <c r="Z1155" s="14"/>
      <c r="AA1155" s="14"/>
      <c r="AB1155" s="14">
        <f t="shared" ca="1" si="70"/>
        <v>137.00024669167098</v>
      </c>
      <c r="AC1155" s="14">
        <f t="shared" ca="1" si="70"/>
        <v>134.27622553956834</v>
      </c>
    </row>
    <row r="1156" spans="1:29" ht="15" x14ac:dyDescent="0.2">
      <c r="A1156" s="10">
        <f t="shared" si="63"/>
        <v>2099</v>
      </c>
      <c r="B1156" s="14">
        <f t="shared" ca="1" si="71"/>
        <v>142.125675</v>
      </c>
      <c r="C1156" s="14">
        <f t="shared" ca="1" si="71"/>
        <v>142.13194166666665</v>
      </c>
      <c r="D1156" s="14">
        <f t="shared" ca="1" si="71"/>
        <v>142.27749166666666</v>
      </c>
      <c r="E1156" s="14">
        <f t="shared" ca="1" si="71"/>
        <v>142.30990833333331</v>
      </c>
      <c r="F1156" s="14">
        <f t="shared" ca="1" si="71"/>
        <v>142.11850833333332</v>
      </c>
      <c r="G1156" s="14">
        <f t="shared" ca="1" si="71"/>
        <v>142.13499999999999</v>
      </c>
      <c r="H1156" s="14">
        <f t="shared" ca="1" si="71"/>
        <v>142.29903333333337</v>
      </c>
      <c r="I1156" s="14">
        <f t="shared" ca="1" si="71"/>
        <v>142.58063333333334</v>
      </c>
      <c r="J1156" s="14">
        <f t="shared" ca="1" si="71"/>
        <v>142.11150833333335</v>
      </c>
      <c r="K1156" s="14">
        <f t="shared" ca="1" si="71"/>
        <v>142.57673333333335</v>
      </c>
      <c r="L1156" s="14">
        <f t="shared" ca="1" si="72"/>
        <v>142.88603333333336</v>
      </c>
      <c r="M1156" s="14">
        <f t="shared" ca="1" si="72"/>
        <v>139.20743333333334</v>
      </c>
      <c r="N1156" s="14">
        <f t="shared" ca="1" si="72"/>
        <v>139.22359166666669</v>
      </c>
      <c r="O1156" s="14">
        <f t="shared" ca="1" si="72"/>
        <v>139.39108333333334</v>
      </c>
      <c r="P1156" s="14">
        <f t="shared" ca="1" si="72"/>
        <v>139.65806666666666</v>
      </c>
      <c r="Q1156" s="14">
        <f t="shared" ca="1" si="72"/>
        <v>139.98578333333333</v>
      </c>
      <c r="R1156" s="14">
        <f t="shared" ca="1" si="72"/>
        <v>140.92275833333335</v>
      </c>
      <c r="S1156" s="14">
        <f t="shared" ca="1" si="72"/>
        <v>136.55905000000001</v>
      </c>
      <c r="T1156" s="49">
        <f t="shared" ca="1" si="73"/>
        <v>357.24568100000005</v>
      </c>
      <c r="U1156" s="49">
        <f t="shared" ca="1" si="73"/>
        <v>142.03263249999998</v>
      </c>
      <c r="V1156" s="49">
        <f t="shared" ca="1" si="73"/>
        <v>50.187500000000007</v>
      </c>
      <c r="W1156" s="49">
        <f t="shared" ca="1" si="73"/>
        <v>5.0822234999999996</v>
      </c>
      <c r="X1156" s="49">
        <f t="shared" ca="1" si="73"/>
        <v>20.758966663999999</v>
      </c>
      <c r="Y1156" s="14"/>
      <c r="Z1156" s="14"/>
      <c r="AA1156" s="14"/>
      <c r="AB1156" s="14">
        <f t="shared" ca="1" si="70"/>
        <v>142.18578122867714</v>
      </c>
      <c r="AC1156" s="14">
        <f t="shared" ca="1" si="70"/>
        <v>139.35643968824942</v>
      </c>
    </row>
    <row r="1157" spans="1:29" ht="15" x14ac:dyDescent="0.2">
      <c r="A1157" s="10">
        <f t="shared" si="63"/>
        <v>2100</v>
      </c>
      <c r="B1157" s="14">
        <f t="shared" ca="1" si="71"/>
        <v>147.50608333333332</v>
      </c>
      <c r="C1157" s="14">
        <f t="shared" ca="1" si="71"/>
        <v>147.51233333333332</v>
      </c>
      <c r="D1157" s="14">
        <f t="shared" ca="1" si="71"/>
        <v>147.6578833333333</v>
      </c>
      <c r="E1157" s="14">
        <f t="shared" ca="1" si="71"/>
        <v>147.69029166666664</v>
      </c>
      <c r="F1157" s="14">
        <f t="shared" ca="1" si="71"/>
        <v>147.49889166666665</v>
      </c>
      <c r="G1157" s="14">
        <f t="shared" ca="1" si="71"/>
        <v>147.51542499999999</v>
      </c>
      <c r="H1157" s="14">
        <f t="shared" ca="1" si="71"/>
        <v>147.6794166666667</v>
      </c>
      <c r="I1157" s="14">
        <f t="shared" ca="1" si="71"/>
        <v>147.97786666666667</v>
      </c>
      <c r="J1157" s="14">
        <f t="shared" ca="1" si="71"/>
        <v>147.49189166666667</v>
      </c>
      <c r="K1157" s="14">
        <f t="shared" ca="1" si="71"/>
        <v>147.97396666666666</v>
      </c>
      <c r="L1157" s="14">
        <f t="shared" ca="1" si="72"/>
        <v>148.26641666666669</v>
      </c>
      <c r="M1157" s="14">
        <f t="shared" ca="1" si="72"/>
        <v>144.47758333333334</v>
      </c>
      <c r="N1157" s="14">
        <f t="shared" ca="1" si="72"/>
        <v>144.49375833333332</v>
      </c>
      <c r="O1157" s="14">
        <f t="shared" ca="1" si="72"/>
        <v>144.66125833333334</v>
      </c>
      <c r="P1157" s="14">
        <f t="shared" ca="1" si="72"/>
        <v>144.94437500000001</v>
      </c>
      <c r="Q1157" s="14">
        <f t="shared" ca="1" si="72"/>
        <v>145.25595833333338</v>
      </c>
      <c r="R1157" s="14">
        <f t="shared" ca="1" si="72"/>
        <v>146.20609166666665</v>
      </c>
      <c r="S1157" s="14">
        <f t="shared" ca="1" si="72"/>
        <v>141.72907500000002</v>
      </c>
      <c r="T1157" s="49">
        <f t="shared" ca="1" si="73"/>
        <v>358.17703550000004</v>
      </c>
      <c r="U1157" s="49">
        <f t="shared" ca="1" si="73"/>
        <v>142.42176299999997</v>
      </c>
      <c r="V1157" s="49">
        <f t="shared" ca="1" si="73"/>
        <v>50.325000000000003</v>
      </c>
      <c r="W1157" s="49">
        <f t="shared" ca="1" si="73"/>
        <v>5.0961473999999995</v>
      </c>
      <c r="X1157" s="49">
        <f t="shared" ca="1" si="73"/>
        <v>20.758966663999999</v>
      </c>
      <c r="Y1157" s="14"/>
      <c r="Z1157" s="14"/>
      <c r="AA1157" s="14"/>
      <c r="AB1157" s="14">
        <f t="shared" ca="1" si="70"/>
        <v>147.56756501437175</v>
      </c>
      <c r="AC1157" s="14">
        <f t="shared" ca="1" si="70"/>
        <v>144.62892691846523</v>
      </c>
    </row>
    <row r="1158" spans="1:29" ht="15" x14ac:dyDescent="0.2">
      <c r="A1158" s="10"/>
    </row>
    <row r="1159" spans="1:29" ht="15" x14ac:dyDescent="0.2">
      <c r="A1159" s="10"/>
    </row>
    <row r="1160" spans="1:29" ht="15" x14ac:dyDescent="0.2">
      <c r="A1160" s="10"/>
    </row>
    <row r="1161" spans="1:29" ht="15" x14ac:dyDescent="0.2">
      <c r="A1161" s="10"/>
    </row>
    <row r="1162" spans="1:29" ht="15" x14ac:dyDescent="0.2">
      <c r="A1162" s="10"/>
    </row>
    <row r="1163" spans="1:29" ht="15" x14ac:dyDescent="0.2">
      <c r="A1163" s="10"/>
    </row>
    <row r="1164" spans="1:29" ht="15" x14ac:dyDescent="0.2">
      <c r="A1164" s="10"/>
    </row>
    <row r="1165" spans="1:29" ht="15" x14ac:dyDescent="0.2">
      <c r="A1165" s="10"/>
    </row>
    <row r="1166" spans="1:29" ht="15" x14ac:dyDescent="0.2">
      <c r="A1166" s="10"/>
    </row>
    <row r="1167" spans="1:29" ht="15" x14ac:dyDescent="0.2">
      <c r="A1167" s="10"/>
    </row>
    <row r="1168" spans="1:29" ht="15" x14ac:dyDescent="0.2">
      <c r="A1168" s="10"/>
    </row>
    <row r="1169" spans="1:1" ht="15" x14ac:dyDescent="0.2">
      <c r="A1169" s="10"/>
    </row>
    <row r="1170" spans="1:1" ht="15" x14ac:dyDescent="0.2">
      <c r="A1170" s="10"/>
    </row>
    <row r="1171" spans="1:1" ht="15" x14ac:dyDescent="0.2">
      <c r="A1171" s="10"/>
    </row>
    <row r="1172" spans="1:1" ht="15" x14ac:dyDescent="0.2">
      <c r="A1172" s="10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19" scale="35" orientation="landscape" horizontalDpi="1200" verticalDpi="1200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133350</xdr:rowOff>
                  </from>
                  <to>
                    <xdr:col>12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0" zoomScaleNormal="70" workbookViewId="0">
      <pane xSplit="1" ySplit="11" topLeftCell="B12" activePane="bottomRight" state="frozen"/>
      <selection activeCell="A4" sqref="A4:XFD4"/>
      <selection pane="topRight" activeCell="A4" sqref="A4:XFD4"/>
      <selection pane="bottomLeft" activeCell="A4" sqref="A4:XFD4"/>
      <selection pane="bottomRight" activeCell="B12" sqref="B12"/>
    </sheetView>
  </sheetViews>
  <sheetFormatPr defaultColWidth="7.109375" defaultRowHeight="12.75" x14ac:dyDescent="0.2"/>
  <cols>
    <col min="1" max="1" width="19.21875" style="31" customWidth="1"/>
    <col min="2" max="2" width="7.88671875" style="31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s="22" customFormat="1" ht="15.75" x14ac:dyDescent="0.25">
      <c r="A1" s="108" t="s">
        <v>91</v>
      </c>
      <c r="B1" s="48"/>
    </row>
    <row r="2" spans="1:30" s="22" customFormat="1" ht="15.75" x14ac:dyDescent="0.25">
      <c r="A2" s="109" t="s">
        <v>92</v>
      </c>
      <c r="B2" s="48"/>
    </row>
    <row r="3" spans="1:30" s="22" customFormat="1" ht="15.75" x14ac:dyDescent="0.25">
      <c r="A3" s="109" t="s">
        <v>93</v>
      </c>
      <c r="B3" s="48"/>
    </row>
    <row r="4" spans="1:30" s="22" customFormat="1" ht="15.75" x14ac:dyDescent="0.25">
      <c r="A4" s="109" t="s">
        <v>94</v>
      </c>
      <c r="B4" s="48"/>
    </row>
    <row r="5" spans="1:30" s="22" customFormat="1" ht="15.75" x14ac:dyDescent="0.25">
      <c r="A5" s="108" t="s">
        <v>95</v>
      </c>
      <c r="B5" s="48"/>
    </row>
    <row r="6" spans="1:30" s="22" customFormat="1" ht="15.75" x14ac:dyDescent="0.25">
      <c r="A6" s="108" t="s">
        <v>101</v>
      </c>
      <c r="B6" s="48"/>
    </row>
    <row r="8" spans="1:30" ht="15.75" x14ac:dyDescent="0.25">
      <c r="A8" s="43" t="s">
        <v>27</v>
      </c>
      <c r="B8" s="43"/>
      <c r="C8" s="106"/>
      <c r="O8" s="78"/>
      <c r="P8" s="78"/>
      <c r="Q8" s="78"/>
      <c r="R8" s="78"/>
      <c r="S8" s="78"/>
    </row>
    <row r="9" spans="1:30" ht="15.75" x14ac:dyDescent="0.25">
      <c r="A9" s="43"/>
      <c r="C9" s="118" t="s">
        <v>90</v>
      </c>
      <c r="D9" s="118"/>
      <c r="E9" s="118"/>
      <c r="F9" s="118"/>
      <c r="G9" s="105"/>
      <c r="H9" s="105"/>
      <c r="I9" s="123" t="s">
        <v>89</v>
      </c>
      <c r="J9" s="124"/>
      <c r="K9" s="124"/>
      <c r="L9" s="104"/>
      <c r="M9" s="80"/>
      <c r="N9" s="103"/>
      <c r="O9" s="122"/>
      <c r="P9" s="122"/>
      <c r="Q9" s="122"/>
      <c r="R9" s="102"/>
      <c r="S9" s="102"/>
    </row>
    <row r="10" spans="1:30" ht="97.9" customHeight="1" x14ac:dyDescent="0.25">
      <c r="A10" s="101"/>
      <c r="B10" s="101"/>
      <c r="C10" s="73" t="s">
        <v>76</v>
      </c>
      <c r="D10" s="77" t="s">
        <v>75</v>
      </c>
      <c r="E10" s="73" t="s">
        <v>74</v>
      </c>
      <c r="F10" s="73" t="s">
        <v>73</v>
      </c>
      <c r="G10" s="77" t="s">
        <v>72</v>
      </c>
      <c r="H10" s="77" t="s">
        <v>71</v>
      </c>
      <c r="I10" s="77" t="s">
        <v>70</v>
      </c>
      <c r="J10" s="77" t="s">
        <v>69</v>
      </c>
      <c r="K10" s="77" t="s">
        <v>68</v>
      </c>
      <c r="L10" s="73" t="s">
        <v>88</v>
      </c>
      <c r="M10" s="74" t="s">
        <v>67</v>
      </c>
      <c r="N10" s="37" t="s">
        <v>66</v>
      </c>
      <c r="O10" s="76" t="s">
        <v>87</v>
      </c>
      <c r="P10" s="76" t="s">
        <v>86</v>
      </c>
      <c r="Q10" s="76" t="s">
        <v>85</v>
      </c>
      <c r="R10" s="76" t="s">
        <v>84</v>
      </c>
      <c r="S10" s="100" t="s">
        <v>83</v>
      </c>
      <c r="T10" s="39" t="s">
        <v>82</v>
      </c>
    </row>
    <row r="11" spans="1:30" ht="15.75" x14ac:dyDescent="0.25">
      <c r="A11" s="38" t="s">
        <v>15</v>
      </c>
      <c r="B11" s="38" t="s">
        <v>81</v>
      </c>
      <c r="C11" s="38" t="s">
        <v>80</v>
      </c>
      <c r="D11" s="38" t="s">
        <v>80</v>
      </c>
      <c r="E11" s="38" t="s">
        <v>80</v>
      </c>
      <c r="F11" s="38" t="s">
        <v>80</v>
      </c>
      <c r="G11" s="38" t="s">
        <v>80</v>
      </c>
      <c r="H11" s="38" t="s">
        <v>80</v>
      </c>
      <c r="I11" s="38" t="s">
        <v>80</v>
      </c>
      <c r="J11" s="38" t="s">
        <v>80</v>
      </c>
      <c r="K11" s="38" t="s">
        <v>80</v>
      </c>
      <c r="L11" s="38" t="s">
        <v>80</v>
      </c>
      <c r="M11" s="99" t="s">
        <v>80</v>
      </c>
      <c r="N11" s="38" t="s">
        <v>80</v>
      </c>
      <c r="O11" s="38" t="s">
        <v>80</v>
      </c>
      <c r="P11" s="38" t="s">
        <v>80</v>
      </c>
      <c r="Q11" s="38" t="s">
        <v>80</v>
      </c>
      <c r="R11" s="38" t="s">
        <v>80</v>
      </c>
      <c r="S11" s="38" t="s">
        <v>80</v>
      </c>
      <c r="T11" s="38" t="s">
        <v>80</v>
      </c>
    </row>
    <row r="12" spans="1:30" ht="15" x14ac:dyDescent="0.2">
      <c r="A12" s="13">
        <v>41275</v>
      </c>
      <c r="B12" s="97">
        <v>31</v>
      </c>
      <c r="C12" s="83">
        <v>122.58</v>
      </c>
      <c r="D12" s="83">
        <v>297.94099999999997</v>
      </c>
      <c r="E12" s="92">
        <v>89.177000000000007</v>
      </c>
      <c r="F12" s="83">
        <v>200.30199999999999</v>
      </c>
      <c r="G12" s="86">
        <v>40</v>
      </c>
      <c r="H12" s="83">
        <v>0</v>
      </c>
      <c r="I12" s="83">
        <v>0</v>
      </c>
      <c r="J12" s="86">
        <v>100</v>
      </c>
      <c r="K12" s="86">
        <v>300</v>
      </c>
      <c r="L12" s="83">
        <v>1150</v>
      </c>
      <c r="M12" s="98"/>
      <c r="N12" s="83">
        <v>125</v>
      </c>
      <c r="O12" s="86">
        <v>240</v>
      </c>
      <c r="P12" s="86">
        <v>0</v>
      </c>
      <c r="Q12" s="86">
        <v>355</v>
      </c>
      <c r="R12" s="86">
        <v>100</v>
      </c>
      <c r="S12" s="83">
        <v>695</v>
      </c>
      <c r="T12" s="83">
        <v>50</v>
      </c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15" x14ac:dyDescent="0.2">
      <c r="A13" s="13">
        <v>41306</v>
      </c>
      <c r="B13" s="97">
        <v>28</v>
      </c>
      <c r="C13" s="83">
        <v>122.58</v>
      </c>
      <c r="D13" s="83">
        <v>297.94099999999997</v>
      </c>
      <c r="E13" s="92">
        <v>89.177000000000007</v>
      </c>
      <c r="F13" s="83">
        <v>200.30199999999999</v>
      </c>
      <c r="G13" s="86">
        <v>40</v>
      </c>
      <c r="H13" s="83">
        <v>0</v>
      </c>
      <c r="I13" s="83">
        <v>0</v>
      </c>
      <c r="J13" s="86">
        <v>100</v>
      </c>
      <c r="K13" s="86">
        <v>300</v>
      </c>
      <c r="L13" s="83">
        <v>1150</v>
      </c>
      <c r="M13" s="98"/>
      <c r="N13" s="83">
        <v>125</v>
      </c>
      <c r="O13" s="86">
        <v>240</v>
      </c>
      <c r="P13" s="86">
        <v>0</v>
      </c>
      <c r="Q13" s="86">
        <v>355</v>
      </c>
      <c r="R13" s="86">
        <v>100</v>
      </c>
      <c r="S13" s="83">
        <v>695</v>
      </c>
      <c r="T13" s="83">
        <v>50</v>
      </c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15" x14ac:dyDescent="0.2">
      <c r="A14" s="13">
        <v>41334</v>
      </c>
      <c r="B14" s="97">
        <v>31</v>
      </c>
      <c r="C14" s="83">
        <v>122.58</v>
      </c>
      <c r="D14" s="83">
        <v>297.94099999999997</v>
      </c>
      <c r="E14" s="92">
        <v>89.177000000000007</v>
      </c>
      <c r="F14" s="83">
        <v>200.30199999999999</v>
      </c>
      <c r="G14" s="86">
        <v>40</v>
      </c>
      <c r="H14" s="83">
        <v>0</v>
      </c>
      <c r="I14" s="83">
        <v>0</v>
      </c>
      <c r="J14" s="86">
        <v>100</v>
      </c>
      <c r="K14" s="86">
        <v>300</v>
      </c>
      <c r="L14" s="83">
        <v>1150</v>
      </c>
      <c r="M14" s="98"/>
      <c r="N14" s="83">
        <v>125</v>
      </c>
      <c r="O14" s="86">
        <v>240</v>
      </c>
      <c r="P14" s="86">
        <v>0</v>
      </c>
      <c r="Q14" s="86">
        <v>355</v>
      </c>
      <c r="R14" s="86">
        <v>100</v>
      </c>
      <c r="S14" s="83">
        <v>695</v>
      </c>
      <c r="T14" s="83">
        <v>50</v>
      </c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15" x14ac:dyDescent="0.2">
      <c r="A15" s="13">
        <v>41365</v>
      </c>
      <c r="B15" s="97">
        <v>30</v>
      </c>
      <c r="C15" s="83">
        <v>141.29300000000001</v>
      </c>
      <c r="D15" s="83">
        <v>267.99299999999999</v>
      </c>
      <c r="E15" s="92">
        <v>115.01600000000001</v>
      </c>
      <c r="F15" s="83">
        <v>249.69800000000001</v>
      </c>
      <c r="G15" s="86">
        <v>40</v>
      </c>
      <c r="H15" s="83">
        <v>25</v>
      </c>
      <c r="I15" s="83">
        <v>0</v>
      </c>
      <c r="J15" s="86">
        <v>100</v>
      </c>
      <c r="K15" s="86">
        <v>300</v>
      </c>
      <c r="L15" s="83">
        <v>1239</v>
      </c>
      <c r="M15" s="98"/>
      <c r="N15" s="83">
        <v>125</v>
      </c>
      <c r="O15" s="86">
        <v>240</v>
      </c>
      <c r="P15" s="86">
        <v>120</v>
      </c>
      <c r="Q15" s="86">
        <v>235</v>
      </c>
      <c r="R15" s="86">
        <v>100</v>
      </c>
      <c r="S15" s="83">
        <v>695</v>
      </c>
      <c r="T15" s="83">
        <v>50</v>
      </c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15" x14ac:dyDescent="0.2">
      <c r="A16" s="13">
        <v>41395</v>
      </c>
      <c r="B16" s="97">
        <v>31</v>
      </c>
      <c r="C16" s="83">
        <v>194.20500000000001</v>
      </c>
      <c r="D16" s="83">
        <v>267.46600000000001</v>
      </c>
      <c r="E16" s="92">
        <v>133.845</v>
      </c>
      <c r="F16" s="83">
        <v>213.48400000000001</v>
      </c>
      <c r="G16" s="86">
        <v>40</v>
      </c>
      <c r="H16" s="83">
        <v>25</v>
      </c>
      <c r="I16" s="98">
        <v>30</v>
      </c>
      <c r="J16" s="86">
        <v>100</v>
      </c>
      <c r="K16" s="86">
        <v>300</v>
      </c>
      <c r="L16" s="83">
        <v>1304</v>
      </c>
      <c r="M16" s="98"/>
      <c r="N16" s="83">
        <v>100</v>
      </c>
      <c r="O16" s="86">
        <v>240</v>
      </c>
      <c r="P16" s="86">
        <v>120</v>
      </c>
      <c r="Q16" s="86">
        <v>235</v>
      </c>
      <c r="R16" s="86">
        <v>100</v>
      </c>
      <c r="S16" s="83">
        <v>695</v>
      </c>
      <c r="T16" s="83">
        <v>50</v>
      </c>
      <c r="U16" s="84"/>
      <c r="V16" s="84"/>
      <c r="W16" s="84"/>
      <c r="X16" s="84"/>
      <c r="Y16" s="84"/>
      <c r="Z16" s="84"/>
      <c r="AA16" s="84"/>
      <c r="AB16" s="84"/>
      <c r="AC16" s="84"/>
      <c r="AD16" s="84"/>
    </row>
    <row r="17" spans="1:30" ht="15" x14ac:dyDescent="0.2">
      <c r="A17" s="13">
        <v>41426</v>
      </c>
      <c r="B17" s="97">
        <v>30</v>
      </c>
      <c r="C17" s="83">
        <v>194.20500000000001</v>
      </c>
      <c r="D17" s="83">
        <v>267.46600000000001</v>
      </c>
      <c r="E17" s="92">
        <v>133.845</v>
      </c>
      <c r="F17" s="83">
        <v>213.48400000000001</v>
      </c>
      <c r="G17" s="86">
        <v>40</v>
      </c>
      <c r="H17" s="83">
        <v>25</v>
      </c>
      <c r="I17" s="98">
        <v>30</v>
      </c>
      <c r="J17" s="86">
        <v>100</v>
      </c>
      <c r="K17" s="86">
        <v>300</v>
      </c>
      <c r="L17" s="83">
        <v>1304</v>
      </c>
      <c r="M17" s="98"/>
      <c r="N17" s="83">
        <v>55</v>
      </c>
      <c r="O17" s="86">
        <v>240</v>
      </c>
      <c r="P17" s="86">
        <v>120</v>
      </c>
      <c r="Q17" s="86">
        <v>235</v>
      </c>
      <c r="R17" s="86">
        <v>100</v>
      </c>
      <c r="S17" s="83">
        <v>695</v>
      </c>
      <c r="T17" s="83">
        <v>50</v>
      </c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15" x14ac:dyDescent="0.2">
      <c r="A18" s="13">
        <v>41456</v>
      </c>
      <c r="B18" s="97">
        <v>31</v>
      </c>
      <c r="C18" s="83">
        <v>194.20500000000001</v>
      </c>
      <c r="D18" s="83">
        <v>267.46600000000001</v>
      </c>
      <c r="E18" s="92">
        <v>133.845</v>
      </c>
      <c r="F18" s="83">
        <v>213.48400000000001</v>
      </c>
      <c r="G18" s="86">
        <v>40</v>
      </c>
      <c r="H18" s="83">
        <v>25</v>
      </c>
      <c r="I18" s="98">
        <v>30</v>
      </c>
      <c r="J18" s="86">
        <v>100</v>
      </c>
      <c r="K18" s="86">
        <v>300</v>
      </c>
      <c r="L18" s="83">
        <v>1304</v>
      </c>
      <c r="M18" s="98"/>
      <c r="N18" s="83">
        <v>55</v>
      </c>
      <c r="O18" s="86">
        <v>240</v>
      </c>
      <c r="P18" s="86">
        <v>120</v>
      </c>
      <c r="Q18" s="86">
        <v>235</v>
      </c>
      <c r="R18" s="86">
        <v>100</v>
      </c>
      <c r="S18" s="83">
        <v>695</v>
      </c>
      <c r="T18" s="83">
        <v>0</v>
      </c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15" x14ac:dyDescent="0.2">
      <c r="A19" s="13">
        <v>41487</v>
      </c>
      <c r="B19" s="97">
        <v>31</v>
      </c>
      <c r="C19" s="83">
        <v>194.20500000000001</v>
      </c>
      <c r="D19" s="83">
        <v>267.46600000000001</v>
      </c>
      <c r="E19" s="92">
        <v>133.845</v>
      </c>
      <c r="F19" s="83">
        <v>213.48400000000001</v>
      </c>
      <c r="G19" s="86">
        <v>40</v>
      </c>
      <c r="H19" s="83">
        <v>25</v>
      </c>
      <c r="I19" s="98">
        <v>30</v>
      </c>
      <c r="J19" s="86">
        <v>100</v>
      </c>
      <c r="K19" s="86">
        <v>300</v>
      </c>
      <c r="L19" s="83">
        <v>1304</v>
      </c>
      <c r="M19" s="98"/>
      <c r="N19" s="83">
        <v>55</v>
      </c>
      <c r="O19" s="86">
        <v>240</v>
      </c>
      <c r="P19" s="86">
        <v>120</v>
      </c>
      <c r="Q19" s="86">
        <v>235</v>
      </c>
      <c r="R19" s="86">
        <v>100</v>
      </c>
      <c r="S19" s="83">
        <v>695</v>
      </c>
      <c r="T19" s="83">
        <v>0</v>
      </c>
      <c r="U19" s="84"/>
      <c r="V19" s="84"/>
      <c r="W19" s="84"/>
      <c r="X19" s="84"/>
      <c r="Y19" s="84"/>
      <c r="Z19" s="84"/>
      <c r="AA19" s="84"/>
      <c r="AB19" s="84"/>
      <c r="AC19" s="84"/>
      <c r="AD19" s="84"/>
    </row>
    <row r="20" spans="1:30" ht="15" x14ac:dyDescent="0.2">
      <c r="A20" s="13">
        <v>41518</v>
      </c>
      <c r="B20" s="97">
        <v>30</v>
      </c>
      <c r="C20" s="83">
        <v>194.20500000000001</v>
      </c>
      <c r="D20" s="83">
        <v>267.46600000000001</v>
      </c>
      <c r="E20" s="92">
        <v>133.845</v>
      </c>
      <c r="F20" s="83">
        <v>213.48400000000001</v>
      </c>
      <c r="G20" s="86">
        <v>40</v>
      </c>
      <c r="H20" s="83">
        <v>25</v>
      </c>
      <c r="I20" s="98">
        <v>30</v>
      </c>
      <c r="J20" s="86">
        <v>100</v>
      </c>
      <c r="K20" s="86">
        <v>300</v>
      </c>
      <c r="L20" s="83">
        <v>1304</v>
      </c>
      <c r="M20" s="98"/>
      <c r="N20" s="83">
        <v>55</v>
      </c>
      <c r="O20" s="86">
        <v>240</v>
      </c>
      <c r="P20" s="86">
        <v>120</v>
      </c>
      <c r="Q20" s="86">
        <v>235</v>
      </c>
      <c r="R20" s="86">
        <v>100</v>
      </c>
      <c r="S20" s="83">
        <v>695</v>
      </c>
      <c r="T20" s="83">
        <v>0</v>
      </c>
      <c r="U20" s="84"/>
      <c r="V20" s="84"/>
      <c r="W20" s="84"/>
      <c r="X20" s="84"/>
      <c r="Y20" s="84"/>
      <c r="Z20" s="84"/>
      <c r="AA20" s="84"/>
      <c r="AB20" s="84"/>
      <c r="AC20" s="84"/>
      <c r="AD20" s="84"/>
    </row>
    <row r="21" spans="1:30" ht="15" x14ac:dyDescent="0.2">
      <c r="A21" s="13">
        <v>41548</v>
      </c>
      <c r="B21" s="97">
        <v>31</v>
      </c>
      <c r="C21" s="83">
        <f>131.881</f>
        <v>131.881</v>
      </c>
      <c r="D21" s="83">
        <f>277.167</f>
        <v>277.16699999999997</v>
      </c>
      <c r="E21" s="92">
        <f>79.08</f>
        <v>79.08</v>
      </c>
      <c r="F21" s="83">
        <f>350.872-40-25</f>
        <v>285.87200000000001</v>
      </c>
      <c r="G21" s="86">
        <v>40</v>
      </c>
      <c r="H21" s="83">
        <v>25</v>
      </c>
      <c r="I21" s="83">
        <v>0</v>
      </c>
      <c r="J21" s="86">
        <v>100</v>
      </c>
      <c r="K21" s="86">
        <v>300</v>
      </c>
      <c r="L21" s="83">
        <f t="shared" ref="L21:L84" si="0">SUM(C21:K21)</f>
        <v>1239</v>
      </c>
      <c r="M21" s="98"/>
      <c r="N21" s="83">
        <f>100</f>
        <v>100</v>
      </c>
      <c r="O21" s="86">
        <v>240</v>
      </c>
      <c r="P21" s="86">
        <f>145-H21</f>
        <v>120</v>
      </c>
      <c r="Q21" s="86">
        <f t="shared" ref="Q21:Q84" si="1">695-R21-O21-P21</f>
        <v>235</v>
      </c>
      <c r="R21" s="86">
        <f t="shared" ref="R21:R84" si="2">200-J21</f>
        <v>100</v>
      </c>
      <c r="S21" s="83">
        <f t="shared" ref="S21:S84" si="3">SUM(O21:R21)</f>
        <v>695</v>
      </c>
      <c r="T21" s="83">
        <f>0</f>
        <v>0</v>
      </c>
      <c r="U21" s="84"/>
      <c r="V21" s="84"/>
      <c r="W21" s="84"/>
      <c r="X21" s="84"/>
      <c r="Y21" s="84"/>
      <c r="Z21" s="84"/>
      <c r="AA21" s="84"/>
      <c r="AB21" s="84"/>
      <c r="AC21" s="84"/>
      <c r="AD21" s="84"/>
    </row>
    <row r="22" spans="1:30" ht="15" x14ac:dyDescent="0.2">
      <c r="A22" s="13">
        <v>41579</v>
      </c>
      <c r="B22" s="97">
        <v>30</v>
      </c>
      <c r="C22" s="83">
        <f>122.58</f>
        <v>122.58</v>
      </c>
      <c r="D22" s="83">
        <f>297.941</f>
        <v>297.94099999999997</v>
      </c>
      <c r="E22" s="92">
        <f>89.177</f>
        <v>89.177000000000007</v>
      </c>
      <c r="F22" s="83">
        <f>240.302-40</f>
        <v>200.30199999999999</v>
      </c>
      <c r="G22" s="86">
        <v>40</v>
      </c>
      <c r="H22" s="83">
        <v>0</v>
      </c>
      <c r="I22" s="83">
        <v>0</v>
      </c>
      <c r="J22" s="86">
        <v>100</v>
      </c>
      <c r="K22" s="86">
        <v>300</v>
      </c>
      <c r="L22" s="83">
        <f t="shared" si="0"/>
        <v>1150</v>
      </c>
      <c r="M22" s="98"/>
      <c r="N22" s="83">
        <f>125</f>
        <v>125</v>
      </c>
      <c r="O22" s="86">
        <v>240</v>
      </c>
      <c r="P22" s="86">
        <v>0</v>
      </c>
      <c r="Q22" s="86">
        <f t="shared" si="1"/>
        <v>355</v>
      </c>
      <c r="R22" s="86">
        <f t="shared" si="2"/>
        <v>100</v>
      </c>
      <c r="S22" s="83">
        <f t="shared" si="3"/>
        <v>695</v>
      </c>
      <c r="T22" s="83">
        <f>50</f>
        <v>50</v>
      </c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15" x14ac:dyDescent="0.2">
      <c r="A23" s="13">
        <v>41609</v>
      </c>
      <c r="B23" s="97">
        <v>31</v>
      </c>
      <c r="C23" s="83">
        <f>122.58</f>
        <v>122.58</v>
      </c>
      <c r="D23" s="83">
        <f>297.941</f>
        <v>297.94099999999997</v>
      </c>
      <c r="E23" s="92">
        <f>89.177</f>
        <v>89.177000000000007</v>
      </c>
      <c r="F23" s="83">
        <f>240.302-40</f>
        <v>200.30199999999999</v>
      </c>
      <c r="G23" s="86">
        <v>40</v>
      </c>
      <c r="H23" s="83">
        <v>0</v>
      </c>
      <c r="I23" s="83">
        <v>0</v>
      </c>
      <c r="J23" s="86">
        <v>100</v>
      </c>
      <c r="K23" s="86">
        <v>300</v>
      </c>
      <c r="L23" s="83">
        <f t="shared" si="0"/>
        <v>1150</v>
      </c>
      <c r="M23" s="98"/>
      <c r="N23" s="83">
        <f>125</f>
        <v>125</v>
      </c>
      <c r="O23" s="86">
        <v>240</v>
      </c>
      <c r="P23" s="86">
        <v>0</v>
      </c>
      <c r="Q23" s="86">
        <f t="shared" si="1"/>
        <v>355</v>
      </c>
      <c r="R23" s="86">
        <f t="shared" si="2"/>
        <v>100</v>
      </c>
      <c r="S23" s="83">
        <f t="shared" si="3"/>
        <v>695</v>
      </c>
      <c r="T23" s="83">
        <f>50</f>
        <v>50</v>
      </c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 ht="15.75" x14ac:dyDescent="0.25">
      <c r="A24" s="13">
        <v>41640</v>
      </c>
      <c r="B24" s="97">
        <v>31</v>
      </c>
      <c r="C24" s="83">
        <f>122.58</f>
        <v>122.58</v>
      </c>
      <c r="D24" s="83">
        <f>297.941</f>
        <v>297.94099999999997</v>
      </c>
      <c r="E24" s="92">
        <f>89.177</f>
        <v>89.177000000000007</v>
      </c>
      <c r="F24" s="83">
        <f>240.302-40</f>
        <v>200.30199999999999</v>
      </c>
      <c r="G24" s="86">
        <v>40</v>
      </c>
      <c r="H24" s="83">
        <v>0</v>
      </c>
      <c r="I24" s="83">
        <v>0</v>
      </c>
      <c r="J24" s="86">
        <v>100</v>
      </c>
      <c r="K24" s="86">
        <v>300</v>
      </c>
      <c r="L24" s="83">
        <f t="shared" si="0"/>
        <v>1150</v>
      </c>
      <c r="M24" s="94"/>
      <c r="N24" s="83">
        <f>100</f>
        <v>100</v>
      </c>
      <c r="O24" s="86">
        <v>240</v>
      </c>
      <c r="P24" s="86">
        <v>0</v>
      </c>
      <c r="Q24" s="86">
        <f t="shared" si="1"/>
        <v>355</v>
      </c>
      <c r="R24" s="86">
        <f t="shared" si="2"/>
        <v>100</v>
      </c>
      <c r="S24" s="83">
        <f t="shared" si="3"/>
        <v>695</v>
      </c>
      <c r="T24" s="83">
        <f>50</f>
        <v>50</v>
      </c>
      <c r="U24" s="84"/>
      <c r="V24" s="84"/>
      <c r="W24" s="84"/>
      <c r="X24" s="84"/>
      <c r="Y24" s="84"/>
      <c r="Z24" s="84"/>
      <c r="AA24" s="84"/>
      <c r="AB24" s="84"/>
      <c r="AC24" s="84"/>
      <c r="AD24" s="84"/>
    </row>
    <row r="25" spans="1:30" ht="15.75" x14ac:dyDescent="0.25">
      <c r="A25" s="13">
        <v>41671</v>
      </c>
      <c r="B25" s="97">
        <v>28</v>
      </c>
      <c r="C25" s="83">
        <f>122.58</f>
        <v>122.58</v>
      </c>
      <c r="D25" s="83">
        <f>297.941</f>
        <v>297.94099999999997</v>
      </c>
      <c r="E25" s="92">
        <f>89.177</f>
        <v>89.177000000000007</v>
      </c>
      <c r="F25" s="83">
        <f>240.302-40</f>
        <v>200.30199999999999</v>
      </c>
      <c r="G25" s="86">
        <v>40</v>
      </c>
      <c r="H25" s="83">
        <v>0</v>
      </c>
      <c r="I25" s="83">
        <v>0</v>
      </c>
      <c r="J25" s="86">
        <v>100</v>
      </c>
      <c r="K25" s="86">
        <v>300</v>
      </c>
      <c r="L25" s="83">
        <f t="shared" si="0"/>
        <v>1150</v>
      </c>
      <c r="M25" s="94"/>
      <c r="N25" s="83">
        <f>100</f>
        <v>100</v>
      </c>
      <c r="O25" s="86">
        <v>240</v>
      </c>
      <c r="P25" s="86">
        <v>0</v>
      </c>
      <c r="Q25" s="86">
        <f t="shared" si="1"/>
        <v>355</v>
      </c>
      <c r="R25" s="86">
        <f t="shared" si="2"/>
        <v>100</v>
      </c>
      <c r="S25" s="83">
        <f t="shared" si="3"/>
        <v>695</v>
      </c>
      <c r="T25" s="83">
        <f>50</f>
        <v>50</v>
      </c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15.75" x14ac:dyDescent="0.25">
      <c r="A26" s="13">
        <v>41699</v>
      </c>
      <c r="B26" s="97">
        <v>31</v>
      </c>
      <c r="C26" s="83">
        <f>122.58</f>
        <v>122.58</v>
      </c>
      <c r="D26" s="83">
        <f>297.941</f>
        <v>297.94099999999997</v>
      </c>
      <c r="E26" s="92">
        <f>89.177</f>
        <v>89.177000000000007</v>
      </c>
      <c r="F26" s="83">
        <f>240.302-40</f>
        <v>200.30199999999999</v>
      </c>
      <c r="G26" s="86">
        <v>40</v>
      </c>
      <c r="H26" s="83">
        <v>0</v>
      </c>
      <c r="I26" s="83">
        <v>0</v>
      </c>
      <c r="J26" s="86">
        <v>100</v>
      </c>
      <c r="K26" s="86">
        <v>300</v>
      </c>
      <c r="L26" s="83">
        <f t="shared" si="0"/>
        <v>1150</v>
      </c>
      <c r="M26" s="94"/>
      <c r="N26" s="83">
        <f>100</f>
        <v>100</v>
      </c>
      <c r="O26" s="86">
        <v>240</v>
      </c>
      <c r="P26" s="86">
        <v>0</v>
      </c>
      <c r="Q26" s="86">
        <f t="shared" si="1"/>
        <v>355</v>
      </c>
      <c r="R26" s="86">
        <f t="shared" si="2"/>
        <v>100</v>
      </c>
      <c r="S26" s="83">
        <f t="shared" si="3"/>
        <v>695</v>
      </c>
      <c r="T26" s="83">
        <f>50</f>
        <v>50</v>
      </c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 ht="15.75" x14ac:dyDescent="0.25">
      <c r="A27" s="13">
        <v>41730</v>
      </c>
      <c r="B27" s="97">
        <v>30</v>
      </c>
      <c r="C27" s="83">
        <f>141.293</f>
        <v>141.29300000000001</v>
      </c>
      <c r="D27" s="83">
        <f>267.993</f>
        <v>267.99299999999999</v>
      </c>
      <c r="E27" s="92">
        <f>115.016</f>
        <v>115.01600000000001</v>
      </c>
      <c r="F27" s="83">
        <f>314.698-40-25</f>
        <v>249.69799999999998</v>
      </c>
      <c r="G27" s="86">
        <v>40</v>
      </c>
      <c r="H27" s="83">
        <v>25</v>
      </c>
      <c r="I27" s="83">
        <v>0</v>
      </c>
      <c r="J27" s="86">
        <v>100</v>
      </c>
      <c r="K27" s="86">
        <v>300</v>
      </c>
      <c r="L27" s="83">
        <f t="shared" si="0"/>
        <v>1239</v>
      </c>
      <c r="M27" s="94"/>
      <c r="N27" s="83">
        <f>100</f>
        <v>100</v>
      </c>
      <c r="O27" s="86">
        <v>240</v>
      </c>
      <c r="P27" s="86">
        <f t="shared" ref="P27:P33" si="4">145-H27</f>
        <v>120</v>
      </c>
      <c r="Q27" s="86">
        <f t="shared" si="1"/>
        <v>235</v>
      </c>
      <c r="R27" s="86">
        <f t="shared" si="2"/>
        <v>100</v>
      </c>
      <c r="S27" s="83">
        <f t="shared" si="3"/>
        <v>695</v>
      </c>
      <c r="T27" s="83">
        <f>50</f>
        <v>50</v>
      </c>
      <c r="U27" s="84"/>
      <c r="V27" s="84"/>
      <c r="W27" s="84"/>
      <c r="X27" s="84"/>
      <c r="Y27" s="84"/>
      <c r="Z27" s="84"/>
      <c r="AA27" s="84"/>
      <c r="AB27" s="84"/>
      <c r="AC27" s="84"/>
      <c r="AD27" s="84"/>
    </row>
    <row r="28" spans="1:30" ht="15.75" x14ac:dyDescent="0.25">
      <c r="A28" s="13">
        <v>41760</v>
      </c>
      <c r="B28" s="97">
        <v>31</v>
      </c>
      <c r="C28" s="83">
        <f>194.205</f>
        <v>194.20500000000001</v>
      </c>
      <c r="D28" s="83">
        <f>267.466</f>
        <v>267.46600000000001</v>
      </c>
      <c r="E28" s="92">
        <f>133.845</f>
        <v>133.845</v>
      </c>
      <c r="F28" s="83">
        <f>278.484-40-25</f>
        <v>213.48399999999998</v>
      </c>
      <c r="G28" s="86">
        <v>40</v>
      </c>
      <c r="H28" s="83">
        <v>25</v>
      </c>
      <c r="I28" s="98">
        <v>50</v>
      </c>
      <c r="J28" s="86">
        <v>100</v>
      </c>
      <c r="K28" s="86">
        <v>300</v>
      </c>
      <c r="L28" s="83">
        <f t="shared" si="0"/>
        <v>1324</v>
      </c>
      <c r="M28" s="94"/>
      <c r="N28" s="83">
        <f>75</f>
        <v>75</v>
      </c>
      <c r="O28" s="86">
        <v>240</v>
      </c>
      <c r="P28" s="86">
        <f t="shared" si="4"/>
        <v>120</v>
      </c>
      <c r="Q28" s="86">
        <f t="shared" si="1"/>
        <v>235</v>
      </c>
      <c r="R28" s="86">
        <f t="shared" si="2"/>
        <v>100</v>
      </c>
      <c r="S28" s="83">
        <f t="shared" si="3"/>
        <v>695</v>
      </c>
      <c r="T28" s="83">
        <f>50</f>
        <v>50</v>
      </c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 ht="15.75" x14ac:dyDescent="0.25">
      <c r="A29" s="13">
        <v>41791</v>
      </c>
      <c r="B29" s="97">
        <v>30</v>
      </c>
      <c r="C29" s="83">
        <f>194.205</f>
        <v>194.20500000000001</v>
      </c>
      <c r="D29" s="83">
        <f>267.466</f>
        <v>267.46600000000001</v>
      </c>
      <c r="E29" s="92">
        <f>133.845</f>
        <v>133.845</v>
      </c>
      <c r="F29" s="83">
        <f>278.484-40-25</f>
        <v>213.48399999999998</v>
      </c>
      <c r="G29" s="86">
        <v>40</v>
      </c>
      <c r="H29" s="83">
        <v>25</v>
      </c>
      <c r="I29" s="98">
        <v>50</v>
      </c>
      <c r="J29" s="86">
        <v>100</v>
      </c>
      <c r="K29" s="86">
        <v>300</v>
      </c>
      <c r="L29" s="83">
        <f t="shared" si="0"/>
        <v>1324</v>
      </c>
      <c r="M29" s="94"/>
      <c r="N29" s="83">
        <f>30</f>
        <v>30</v>
      </c>
      <c r="O29" s="86">
        <v>240</v>
      </c>
      <c r="P29" s="86">
        <f t="shared" si="4"/>
        <v>120</v>
      </c>
      <c r="Q29" s="86">
        <f t="shared" si="1"/>
        <v>235</v>
      </c>
      <c r="R29" s="86">
        <f t="shared" si="2"/>
        <v>100</v>
      </c>
      <c r="S29" s="83">
        <f t="shared" si="3"/>
        <v>695</v>
      </c>
      <c r="T29" s="83">
        <f>50</f>
        <v>50</v>
      </c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 ht="15.75" x14ac:dyDescent="0.25">
      <c r="A30" s="13">
        <v>41821</v>
      </c>
      <c r="B30" s="97">
        <v>31</v>
      </c>
      <c r="C30" s="83">
        <f>194.205</f>
        <v>194.20500000000001</v>
      </c>
      <c r="D30" s="83">
        <f>267.466</f>
        <v>267.46600000000001</v>
      </c>
      <c r="E30" s="92">
        <f>133.845</f>
        <v>133.845</v>
      </c>
      <c r="F30" s="83">
        <f>278.484-40-25</f>
        <v>213.48399999999998</v>
      </c>
      <c r="G30" s="86">
        <v>40</v>
      </c>
      <c r="H30" s="83">
        <v>25</v>
      </c>
      <c r="I30" s="98">
        <v>50</v>
      </c>
      <c r="J30" s="86">
        <v>100</v>
      </c>
      <c r="K30" s="86">
        <v>300</v>
      </c>
      <c r="L30" s="83">
        <f t="shared" si="0"/>
        <v>1324</v>
      </c>
      <c r="M30" s="94"/>
      <c r="N30" s="83">
        <f>30</f>
        <v>30</v>
      </c>
      <c r="O30" s="86">
        <v>240</v>
      </c>
      <c r="P30" s="86">
        <f t="shared" si="4"/>
        <v>120</v>
      </c>
      <c r="Q30" s="86">
        <f t="shared" si="1"/>
        <v>235</v>
      </c>
      <c r="R30" s="86">
        <f t="shared" si="2"/>
        <v>100</v>
      </c>
      <c r="S30" s="83">
        <f t="shared" si="3"/>
        <v>695</v>
      </c>
      <c r="T30" s="83">
        <f>0</f>
        <v>0</v>
      </c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x14ac:dyDescent="0.25">
      <c r="A31" s="13">
        <v>41852</v>
      </c>
      <c r="B31" s="97">
        <v>31</v>
      </c>
      <c r="C31" s="83">
        <f>194.205</f>
        <v>194.20500000000001</v>
      </c>
      <c r="D31" s="83">
        <f>267.466</f>
        <v>267.46600000000001</v>
      </c>
      <c r="E31" s="92">
        <f>133.845</f>
        <v>133.845</v>
      </c>
      <c r="F31" s="83">
        <f>278.484-40-25</f>
        <v>213.48399999999998</v>
      </c>
      <c r="G31" s="86">
        <v>40</v>
      </c>
      <c r="H31" s="83">
        <v>25</v>
      </c>
      <c r="I31" s="98">
        <v>50</v>
      </c>
      <c r="J31" s="86">
        <v>100</v>
      </c>
      <c r="K31" s="86">
        <v>300</v>
      </c>
      <c r="L31" s="83">
        <f t="shared" si="0"/>
        <v>1324</v>
      </c>
      <c r="M31" s="94"/>
      <c r="N31" s="83">
        <f>30</f>
        <v>30</v>
      </c>
      <c r="O31" s="86">
        <v>240</v>
      </c>
      <c r="P31" s="86">
        <f t="shared" si="4"/>
        <v>120</v>
      </c>
      <c r="Q31" s="86">
        <f t="shared" si="1"/>
        <v>235</v>
      </c>
      <c r="R31" s="86">
        <f t="shared" si="2"/>
        <v>100</v>
      </c>
      <c r="S31" s="83">
        <f t="shared" si="3"/>
        <v>695</v>
      </c>
      <c r="T31" s="83">
        <f>0</f>
        <v>0</v>
      </c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 ht="15.75" x14ac:dyDescent="0.25">
      <c r="A32" s="13">
        <v>41883</v>
      </c>
      <c r="B32" s="97">
        <v>30</v>
      </c>
      <c r="C32" s="83">
        <f>194.205</f>
        <v>194.20500000000001</v>
      </c>
      <c r="D32" s="83">
        <f>267.466</f>
        <v>267.46600000000001</v>
      </c>
      <c r="E32" s="92">
        <f>133.845</f>
        <v>133.845</v>
      </c>
      <c r="F32" s="83">
        <f>278.484-40-25</f>
        <v>213.48399999999998</v>
      </c>
      <c r="G32" s="86">
        <v>40</v>
      </c>
      <c r="H32" s="83">
        <v>25</v>
      </c>
      <c r="I32" s="98">
        <v>50</v>
      </c>
      <c r="J32" s="86">
        <v>100</v>
      </c>
      <c r="K32" s="86">
        <v>300</v>
      </c>
      <c r="L32" s="83">
        <f t="shared" si="0"/>
        <v>1324</v>
      </c>
      <c r="M32" s="94"/>
      <c r="N32" s="83">
        <f>30</f>
        <v>30</v>
      </c>
      <c r="O32" s="86">
        <v>240</v>
      </c>
      <c r="P32" s="86">
        <f t="shared" si="4"/>
        <v>120</v>
      </c>
      <c r="Q32" s="86">
        <f t="shared" si="1"/>
        <v>235</v>
      </c>
      <c r="R32" s="86">
        <f t="shared" si="2"/>
        <v>100</v>
      </c>
      <c r="S32" s="83">
        <f t="shared" si="3"/>
        <v>695</v>
      </c>
      <c r="T32" s="83">
        <f>0</f>
        <v>0</v>
      </c>
      <c r="U32" s="84"/>
      <c r="V32" s="84"/>
      <c r="W32" s="84"/>
      <c r="X32" s="84"/>
      <c r="Y32" s="84"/>
      <c r="Z32" s="84"/>
      <c r="AA32" s="84"/>
      <c r="AB32" s="84"/>
      <c r="AC32" s="84"/>
      <c r="AD32" s="84"/>
    </row>
    <row r="33" spans="1:30" ht="15.75" x14ac:dyDescent="0.25">
      <c r="A33" s="13">
        <v>41913</v>
      </c>
      <c r="B33" s="97">
        <v>31</v>
      </c>
      <c r="C33" s="83">
        <f>131.881</f>
        <v>131.881</v>
      </c>
      <c r="D33" s="83">
        <f>277.167</f>
        <v>277.16699999999997</v>
      </c>
      <c r="E33" s="92">
        <f>79.08</f>
        <v>79.08</v>
      </c>
      <c r="F33" s="83">
        <f>350.872-40-25</f>
        <v>285.87200000000001</v>
      </c>
      <c r="G33" s="86">
        <v>40</v>
      </c>
      <c r="H33" s="83">
        <v>25</v>
      </c>
      <c r="I33" s="83">
        <v>0</v>
      </c>
      <c r="J33" s="86">
        <v>100</v>
      </c>
      <c r="K33" s="86">
        <v>300</v>
      </c>
      <c r="L33" s="83">
        <f t="shared" si="0"/>
        <v>1239</v>
      </c>
      <c r="M33" s="94"/>
      <c r="N33" s="83">
        <f>75</f>
        <v>75</v>
      </c>
      <c r="O33" s="86">
        <v>240</v>
      </c>
      <c r="P33" s="86">
        <f t="shared" si="4"/>
        <v>120</v>
      </c>
      <c r="Q33" s="86">
        <f t="shared" si="1"/>
        <v>235</v>
      </c>
      <c r="R33" s="86">
        <f t="shared" si="2"/>
        <v>100</v>
      </c>
      <c r="S33" s="83">
        <f t="shared" si="3"/>
        <v>695</v>
      </c>
      <c r="T33" s="83">
        <f>0</f>
        <v>0</v>
      </c>
      <c r="U33" s="84"/>
      <c r="V33" s="84"/>
      <c r="W33" s="84"/>
      <c r="X33" s="84"/>
      <c r="Y33" s="84"/>
      <c r="Z33" s="84"/>
      <c r="AA33" s="84"/>
      <c r="AB33" s="84"/>
      <c r="AC33" s="84"/>
      <c r="AD33" s="84"/>
    </row>
    <row r="34" spans="1:30" ht="15.75" x14ac:dyDescent="0.25">
      <c r="A34" s="13">
        <v>41944</v>
      </c>
      <c r="B34" s="97">
        <v>30</v>
      </c>
      <c r="C34" s="83">
        <f>122.58</f>
        <v>122.58</v>
      </c>
      <c r="D34" s="83">
        <f>297.941</f>
        <v>297.94099999999997</v>
      </c>
      <c r="E34" s="92">
        <f>89.177</f>
        <v>89.177000000000007</v>
      </c>
      <c r="F34" s="83">
        <f>240.302-40</f>
        <v>200.30199999999999</v>
      </c>
      <c r="G34" s="86">
        <v>40</v>
      </c>
      <c r="H34" s="83">
        <v>0</v>
      </c>
      <c r="I34" s="83">
        <v>0</v>
      </c>
      <c r="J34" s="86">
        <v>100</v>
      </c>
      <c r="K34" s="86">
        <v>300</v>
      </c>
      <c r="L34" s="83">
        <f t="shared" si="0"/>
        <v>1150</v>
      </c>
      <c r="M34" s="94"/>
      <c r="N34" s="83">
        <f>100</f>
        <v>100</v>
      </c>
      <c r="O34" s="86">
        <v>240</v>
      </c>
      <c r="P34" s="86">
        <v>0</v>
      </c>
      <c r="Q34" s="86">
        <f t="shared" si="1"/>
        <v>355</v>
      </c>
      <c r="R34" s="86">
        <f t="shared" si="2"/>
        <v>100</v>
      </c>
      <c r="S34" s="83">
        <f t="shared" si="3"/>
        <v>695</v>
      </c>
      <c r="T34" s="83">
        <f>50</f>
        <v>50</v>
      </c>
      <c r="U34" s="84"/>
      <c r="V34" s="84"/>
      <c r="W34" s="84"/>
      <c r="X34" s="84"/>
      <c r="Y34" s="84"/>
      <c r="Z34" s="84"/>
      <c r="AA34" s="84"/>
      <c r="AB34" s="84"/>
      <c r="AC34" s="84"/>
      <c r="AD34" s="84"/>
    </row>
    <row r="35" spans="1:30" ht="15.75" x14ac:dyDescent="0.25">
      <c r="A35" s="13">
        <v>41974</v>
      </c>
      <c r="B35" s="97">
        <v>31</v>
      </c>
      <c r="C35" s="83">
        <f>122.58</f>
        <v>122.58</v>
      </c>
      <c r="D35" s="83">
        <f>297.941</f>
        <v>297.94099999999997</v>
      </c>
      <c r="E35" s="92">
        <f>89.177</f>
        <v>89.177000000000007</v>
      </c>
      <c r="F35" s="83">
        <f>240.302-40</f>
        <v>200.30199999999999</v>
      </c>
      <c r="G35" s="86">
        <v>40</v>
      </c>
      <c r="H35" s="83">
        <v>0</v>
      </c>
      <c r="I35" s="83">
        <v>0</v>
      </c>
      <c r="J35" s="86">
        <v>100</v>
      </c>
      <c r="K35" s="86">
        <v>300</v>
      </c>
      <c r="L35" s="83">
        <f t="shared" si="0"/>
        <v>1150</v>
      </c>
      <c r="M35" s="94"/>
      <c r="N35" s="83">
        <f>100</f>
        <v>100</v>
      </c>
      <c r="O35" s="86">
        <v>240</v>
      </c>
      <c r="P35" s="86">
        <v>0</v>
      </c>
      <c r="Q35" s="86">
        <f t="shared" si="1"/>
        <v>355</v>
      </c>
      <c r="R35" s="86">
        <f t="shared" si="2"/>
        <v>100</v>
      </c>
      <c r="S35" s="83">
        <f t="shared" si="3"/>
        <v>695</v>
      </c>
      <c r="T35" s="83">
        <f>50</f>
        <v>50</v>
      </c>
      <c r="U35" s="84"/>
      <c r="V35" s="84"/>
      <c r="W35" s="84"/>
      <c r="X35" s="84"/>
      <c r="Y35" s="84"/>
      <c r="Z35" s="84"/>
      <c r="AA35" s="84"/>
      <c r="AB35" s="84"/>
      <c r="AC35" s="84"/>
      <c r="AD35" s="84"/>
    </row>
    <row r="36" spans="1:30" ht="15.75" x14ac:dyDescent="0.25">
      <c r="A36" s="13">
        <v>42005</v>
      </c>
      <c r="B36" s="97">
        <v>31</v>
      </c>
      <c r="C36" s="83">
        <f>122.58</f>
        <v>122.58</v>
      </c>
      <c r="D36" s="83">
        <f>297.941</f>
        <v>297.94099999999997</v>
      </c>
      <c r="E36" s="92">
        <f>89.177</f>
        <v>89.177000000000007</v>
      </c>
      <c r="F36" s="83">
        <f>240.302-40</f>
        <v>200.30199999999999</v>
      </c>
      <c r="G36" s="86">
        <v>40</v>
      </c>
      <c r="H36" s="83">
        <v>0</v>
      </c>
      <c r="I36" s="83">
        <v>0</v>
      </c>
      <c r="J36" s="86">
        <v>100</v>
      </c>
      <c r="K36" s="86">
        <v>300</v>
      </c>
      <c r="L36" s="83">
        <f t="shared" si="0"/>
        <v>1150</v>
      </c>
      <c r="M36" s="94"/>
      <c r="N36" s="83">
        <f>100</f>
        <v>100</v>
      </c>
      <c r="O36" s="86">
        <v>240</v>
      </c>
      <c r="P36" s="86">
        <v>0</v>
      </c>
      <c r="Q36" s="86">
        <f t="shared" si="1"/>
        <v>355</v>
      </c>
      <c r="R36" s="86">
        <f t="shared" si="2"/>
        <v>100</v>
      </c>
      <c r="S36" s="83">
        <f t="shared" si="3"/>
        <v>695</v>
      </c>
      <c r="T36" s="83">
        <f>50</f>
        <v>50</v>
      </c>
      <c r="U36" s="84"/>
      <c r="V36" s="84"/>
      <c r="W36" s="84"/>
      <c r="X36" s="84"/>
      <c r="Y36" s="84"/>
      <c r="Z36" s="84"/>
      <c r="AA36" s="84"/>
      <c r="AB36" s="84"/>
      <c r="AC36" s="84"/>
      <c r="AD36" s="84"/>
    </row>
    <row r="37" spans="1:30" ht="15.75" x14ac:dyDescent="0.25">
      <c r="A37" s="13">
        <v>42036</v>
      </c>
      <c r="B37" s="97">
        <v>28</v>
      </c>
      <c r="C37" s="83">
        <f>122.58</f>
        <v>122.58</v>
      </c>
      <c r="D37" s="83">
        <f>297.941</f>
        <v>297.94099999999997</v>
      </c>
      <c r="E37" s="92">
        <f>89.177</f>
        <v>89.177000000000007</v>
      </c>
      <c r="F37" s="83">
        <f>240.302-40</f>
        <v>200.30199999999999</v>
      </c>
      <c r="G37" s="86">
        <v>40</v>
      </c>
      <c r="H37" s="83">
        <v>0</v>
      </c>
      <c r="I37" s="83">
        <v>0</v>
      </c>
      <c r="J37" s="86">
        <v>100</v>
      </c>
      <c r="K37" s="86">
        <v>300</v>
      </c>
      <c r="L37" s="83">
        <f t="shared" si="0"/>
        <v>1150</v>
      </c>
      <c r="M37" s="94"/>
      <c r="N37" s="83">
        <f>100</f>
        <v>100</v>
      </c>
      <c r="O37" s="86">
        <v>240</v>
      </c>
      <c r="P37" s="86">
        <v>0</v>
      </c>
      <c r="Q37" s="86">
        <f t="shared" si="1"/>
        <v>355</v>
      </c>
      <c r="R37" s="86">
        <f t="shared" si="2"/>
        <v>100</v>
      </c>
      <c r="S37" s="83">
        <f t="shared" si="3"/>
        <v>695</v>
      </c>
      <c r="T37" s="83">
        <f>50</f>
        <v>50</v>
      </c>
      <c r="U37" s="84"/>
      <c r="V37" s="84"/>
      <c r="W37" s="84"/>
      <c r="X37" s="84"/>
      <c r="Y37" s="84"/>
      <c r="Z37" s="84"/>
      <c r="AA37" s="84"/>
      <c r="AB37" s="84"/>
      <c r="AC37" s="84"/>
      <c r="AD37" s="84"/>
    </row>
    <row r="38" spans="1:30" ht="15.75" x14ac:dyDescent="0.25">
      <c r="A38" s="13">
        <v>42064</v>
      </c>
      <c r="B38" s="97">
        <v>31</v>
      </c>
      <c r="C38" s="83">
        <f>122.58</f>
        <v>122.58</v>
      </c>
      <c r="D38" s="83">
        <f>297.941</f>
        <v>297.94099999999997</v>
      </c>
      <c r="E38" s="92">
        <f>89.177</f>
        <v>89.177000000000007</v>
      </c>
      <c r="F38" s="83">
        <f>240.302-40</f>
        <v>200.30199999999999</v>
      </c>
      <c r="G38" s="86">
        <v>40</v>
      </c>
      <c r="H38" s="83">
        <v>0</v>
      </c>
      <c r="I38" s="83">
        <v>0</v>
      </c>
      <c r="J38" s="86">
        <v>100</v>
      </c>
      <c r="K38" s="86">
        <v>300</v>
      </c>
      <c r="L38" s="83">
        <f t="shared" si="0"/>
        <v>1150</v>
      </c>
      <c r="M38" s="94"/>
      <c r="N38" s="83">
        <f>100</f>
        <v>100</v>
      </c>
      <c r="O38" s="86">
        <v>240</v>
      </c>
      <c r="P38" s="86">
        <v>0</v>
      </c>
      <c r="Q38" s="86">
        <f t="shared" si="1"/>
        <v>355</v>
      </c>
      <c r="R38" s="86">
        <f t="shared" si="2"/>
        <v>100</v>
      </c>
      <c r="S38" s="83">
        <f t="shared" si="3"/>
        <v>695</v>
      </c>
      <c r="T38" s="83">
        <f>50</f>
        <v>50</v>
      </c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 ht="15.75" x14ac:dyDescent="0.25">
      <c r="A39" s="13">
        <v>42095</v>
      </c>
      <c r="B39" s="97">
        <v>30</v>
      </c>
      <c r="C39" s="83">
        <f>141.293</f>
        <v>141.29300000000001</v>
      </c>
      <c r="D39" s="83">
        <f>267.993</f>
        <v>267.99299999999999</v>
      </c>
      <c r="E39" s="92">
        <f>115.016</f>
        <v>115.01600000000001</v>
      </c>
      <c r="F39" s="83">
        <f>314.698-40-25-60-100</f>
        <v>89.697999999999979</v>
      </c>
      <c r="G39" s="86">
        <v>40</v>
      </c>
      <c r="H39" s="83">
        <f t="shared" ref="H39:H45" si="5">25+60+100</f>
        <v>185</v>
      </c>
      <c r="I39" s="83">
        <v>0</v>
      </c>
      <c r="J39" s="86">
        <v>100</v>
      </c>
      <c r="K39" s="86">
        <v>300</v>
      </c>
      <c r="L39" s="83">
        <f t="shared" si="0"/>
        <v>1239</v>
      </c>
      <c r="M39" s="94"/>
      <c r="N39" s="83">
        <f>100</f>
        <v>100</v>
      </c>
      <c r="O39" s="86">
        <v>240</v>
      </c>
      <c r="P39" s="86">
        <f t="shared" ref="P39:P45" si="6">120+40</f>
        <v>160</v>
      </c>
      <c r="Q39" s="86">
        <f t="shared" si="1"/>
        <v>195</v>
      </c>
      <c r="R39" s="86">
        <f t="shared" si="2"/>
        <v>100</v>
      </c>
      <c r="S39" s="83">
        <f t="shared" si="3"/>
        <v>695</v>
      </c>
      <c r="T39" s="83">
        <f>50</f>
        <v>50</v>
      </c>
      <c r="U39" s="84"/>
      <c r="V39" s="84"/>
      <c r="W39" s="84"/>
      <c r="X39" s="84"/>
      <c r="Y39" s="84"/>
      <c r="Z39" s="84"/>
      <c r="AA39" s="84"/>
      <c r="AB39" s="84"/>
      <c r="AC39" s="84"/>
      <c r="AD39" s="84"/>
    </row>
    <row r="40" spans="1:30" ht="15.75" x14ac:dyDescent="0.25">
      <c r="A40" s="13">
        <v>42125</v>
      </c>
      <c r="B40" s="97">
        <v>31</v>
      </c>
      <c r="C40" s="83">
        <f>194.205</f>
        <v>194.20500000000001</v>
      </c>
      <c r="D40" s="83">
        <f>267.466</f>
        <v>267.46600000000001</v>
      </c>
      <c r="E40" s="92">
        <f>133.845</f>
        <v>133.845</v>
      </c>
      <c r="F40" s="83">
        <f>278.484-40-25-60-100</f>
        <v>53.48399999999998</v>
      </c>
      <c r="G40" s="86">
        <v>40</v>
      </c>
      <c r="H40" s="83">
        <f t="shared" si="5"/>
        <v>185</v>
      </c>
      <c r="I40" s="98">
        <v>50</v>
      </c>
      <c r="J40" s="86">
        <v>100</v>
      </c>
      <c r="K40" s="86">
        <v>300</v>
      </c>
      <c r="L40" s="83">
        <f t="shared" si="0"/>
        <v>1324</v>
      </c>
      <c r="M40" s="94"/>
      <c r="N40" s="83">
        <f>75</f>
        <v>75</v>
      </c>
      <c r="O40" s="86">
        <v>240</v>
      </c>
      <c r="P40" s="86">
        <f t="shared" si="6"/>
        <v>160</v>
      </c>
      <c r="Q40" s="86">
        <f t="shared" si="1"/>
        <v>195</v>
      </c>
      <c r="R40" s="86">
        <f t="shared" si="2"/>
        <v>100</v>
      </c>
      <c r="S40" s="83">
        <f t="shared" si="3"/>
        <v>695</v>
      </c>
      <c r="T40" s="83">
        <f>50</f>
        <v>50</v>
      </c>
      <c r="U40" s="84"/>
      <c r="V40" s="84"/>
      <c r="W40" s="84"/>
      <c r="X40" s="84"/>
      <c r="Y40" s="84"/>
      <c r="Z40" s="84"/>
      <c r="AA40" s="84"/>
      <c r="AB40" s="84"/>
      <c r="AC40" s="84"/>
      <c r="AD40" s="84"/>
    </row>
    <row r="41" spans="1:30" ht="15.75" x14ac:dyDescent="0.25">
      <c r="A41" s="13">
        <v>42156</v>
      </c>
      <c r="B41" s="97">
        <v>30</v>
      </c>
      <c r="C41" s="83">
        <f>194.205</f>
        <v>194.20500000000001</v>
      </c>
      <c r="D41" s="83">
        <f>267.466</f>
        <v>267.46600000000001</v>
      </c>
      <c r="E41" s="92">
        <f>133.845</f>
        <v>133.845</v>
      </c>
      <c r="F41" s="83">
        <f>278.484-40-25-60-100</f>
        <v>53.48399999999998</v>
      </c>
      <c r="G41" s="86">
        <v>40</v>
      </c>
      <c r="H41" s="83">
        <f t="shared" si="5"/>
        <v>185</v>
      </c>
      <c r="I41" s="98">
        <v>50</v>
      </c>
      <c r="J41" s="86">
        <v>100</v>
      </c>
      <c r="K41" s="86">
        <v>300</v>
      </c>
      <c r="L41" s="83">
        <f t="shared" si="0"/>
        <v>1324</v>
      </c>
      <c r="M41" s="94"/>
      <c r="N41" s="83">
        <f>30</f>
        <v>30</v>
      </c>
      <c r="O41" s="86">
        <v>240</v>
      </c>
      <c r="P41" s="86">
        <f t="shared" si="6"/>
        <v>160</v>
      </c>
      <c r="Q41" s="86">
        <f t="shared" si="1"/>
        <v>195</v>
      </c>
      <c r="R41" s="86">
        <f t="shared" si="2"/>
        <v>100</v>
      </c>
      <c r="S41" s="83">
        <f t="shared" si="3"/>
        <v>695</v>
      </c>
      <c r="T41" s="83">
        <f>50</f>
        <v>50</v>
      </c>
      <c r="U41" s="84"/>
      <c r="V41" s="84"/>
      <c r="W41" s="84"/>
      <c r="X41" s="84"/>
      <c r="Y41" s="84"/>
      <c r="Z41" s="84"/>
      <c r="AA41" s="84"/>
      <c r="AB41" s="84"/>
      <c r="AC41" s="84"/>
      <c r="AD41" s="84"/>
    </row>
    <row r="42" spans="1:30" ht="15.75" x14ac:dyDescent="0.25">
      <c r="A42" s="13">
        <v>42186</v>
      </c>
      <c r="B42" s="97">
        <v>31</v>
      </c>
      <c r="C42" s="83">
        <f>194.205</f>
        <v>194.20500000000001</v>
      </c>
      <c r="D42" s="83">
        <f>267.466</f>
        <v>267.46600000000001</v>
      </c>
      <c r="E42" s="92">
        <f>133.845</f>
        <v>133.845</v>
      </c>
      <c r="F42" s="83">
        <f>278.484-40-25-60-100</f>
        <v>53.48399999999998</v>
      </c>
      <c r="G42" s="86">
        <v>40</v>
      </c>
      <c r="H42" s="83">
        <f t="shared" si="5"/>
        <v>185</v>
      </c>
      <c r="I42" s="98">
        <v>50</v>
      </c>
      <c r="J42" s="86">
        <v>100</v>
      </c>
      <c r="K42" s="86">
        <v>300</v>
      </c>
      <c r="L42" s="83">
        <f t="shared" si="0"/>
        <v>1324</v>
      </c>
      <c r="M42" s="94"/>
      <c r="N42" s="83">
        <f>30</f>
        <v>30</v>
      </c>
      <c r="O42" s="86">
        <v>240</v>
      </c>
      <c r="P42" s="86">
        <f t="shared" si="6"/>
        <v>160</v>
      </c>
      <c r="Q42" s="86">
        <f t="shared" si="1"/>
        <v>195</v>
      </c>
      <c r="R42" s="86">
        <f t="shared" si="2"/>
        <v>100</v>
      </c>
      <c r="S42" s="83">
        <f t="shared" si="3"/>
        <v>695</v>
      </c>
      <c r="T42" s="83">
        <f>0</f>
        <v>0</v>
      </c>
      <c r="U42" s="84"/>
      <c r="V42" s="84"/>
      <c r="W42" s="84"/>
      <c r="X42" s="84"/>
      <c r="Y42" s="84"/>
      <c r="Z42" s="84"/>
      <c r="AA42" s="84"/>
      <c r="AB42" s="84"/>
      <c r="AC42" s="84"/>
      <c r="AD42" s="84"/>
    </row>
    <row r="43" spans="1:30" ht="15.75" x14ac:dyDescent="0.25">
      <c r="A43" s="13">
        <v>42217</v>
      </c>
      <c r="B43" s="97">
        <v>31</v>
      </c>
      <c r="C43" s="83">
        <f>194.205</f>
        <v>194.20500000000001</v>
      </c>
      <c r="D43" s="83">
        <f>267.466</f>
        <v>267.46600000000001</v>
      </c>
      <c r="E43" s="92">
        <f>133.845</f>
        <v>133.845</v>
      </c>
      <c r="F43" s="83">
        <f>278.484-40-25-60-100</f>
        <v>53.48399999999998</v>
      </c>
      <c r="G43" s="86">
        <v>40</v>
      </c>
      <c r="H43" s="83">
        <f t="shared" si="5"/>
        <v>185</v>
      </c>
      <c r="I43" s="98">
        <v>50</v>
      </c>
      <c r="J43" s="86">
        <v>100</v>
      </c>
      <c r="K43" s="86">
        <v>300</v>
      </c>
      <c r="L43" s="83">
        <f t="shared" si="0"/>
        <v>1324</v>
      </c>
      <c r="M43" s="94"/>
      <c r="N43" s="83">
        <f>30</f>
        <v>30</v>
      </c>
      <c r="O43" s="86">
        <v>240</v>
      </c>
      <c r="P43" s="86">
        <f t="shared" si="6"/>
        <v>160</v>
      </c>
      <c r="Q43" s="86">
        <f t="shared" si="1"/>
        <v>195</v>
      </c>
      <c r="R43" s="86">
        <f t="shared" si="2"/>
        <v>100</v>
      </c>
      <c r="S43" s="83">
        <f t="shared" si="3"/>
        <v>695</v>
      </c>
      <c r="T43" s="83">
        <f>0</f>
        <v>0</v>
      </c>
      <c r="U43" s="84"/>
      <c r="V43" s="84"/>
      <c r="W43" s="84"/>
      <c r="X43" s="84"/>
      <c r="Y43" s="84"/>
      <c r="Z43" s="84"/>
      <c r="AA43" s="84"/>
      <c r="AB43" s="84"/>
      <c r="AC43" s="84"/>
      <c r="AD43" s="84"/>
    </row>
    <row r="44" spans="1:30" ht="15.75" x14ac:dyDescent="0.25">
      <c r="A44" s="13">
        <v>42248</v>
      </c>
      <c r="B44" s="97">
        <v>30</v>
      </c>
      <c r="C44" s="83">
        <f>194.205</f>
        <v>194.20500000000001</v>
      </c>
      <c r="D44" s="83">
        <f>267.466</f>
        <v>267.46600000000001</v>
      </c>
      <c r="E44" s="92">
        <f>133.845</f>
        <v>133.845</v>
      </c>
      <c r="F44" s="83">
        <f>278.484-40-25-60-100</f>
        <v>53.48399999999998</v>
      </c>
      <c r="G44" s="86">
        <v>40</v>
      </c>
      <c r="H44" s="83">
        <f t="shared" si="5"/>
        <v>185</v>
      </c>
      <c r="I44" s="98">
        <v>50</v>
      </c>
      <c r="J44" s="86">
        <v>100</v>
      </c>
      <c r="K44" s="86">
        <v>300</v>
      </c>
      <c r="L44" s="83">
        <f t="shared" si="0"/>
        <v>1324</v>
      </c>
      <c r="M44" s="94"/>
      <c r="N44" s="83">
        <f>30</f>
        <v>30</v>
      </c>
      <c r="O44" s="86">
        <v>240</v>
      </c>
      <c r="P44" s="86">
        <f t="shared" si="6"/>
        <v>160</v>
      </c>
      <c r="Q44" s="86">
        <f t="shared" si="1"/>
        <v>195</v>
      </c>
      <c r="R44" s="86">
        <f t="shared" si="2"/>
        <v>100</v>
      </c>
      <c r="S44" s="83">
        <f t="shared" si="3"/>
        <v>695</v>
      </c>
      <c r="T44" s="83">
        <f>0</f>
        <v>0</v>
      </c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15.75" x14ac:dyDescent="0.25">
      <c r="A45" s="13">
        <v>42278</v>
      </c>
      <c r="B45" s="97">
        <v>31</v>
      </c>
      <c r="C45" s="83">
        <f>131.881</f>
        <v>131.881</v>
      </c>
      <c r="D45" s="83">
        <f>277.167</f>
        <v>277.16699999999997</v>
      </c>
      <c r="E45" s="92">
        <f>79.08</f>
        <v>79.08</v>
      </c>
      <c r="F45" s="83">
        <f>350.872-40-25-60-100</f>
        <v>125.87200000000001</v>
      </c>
      <c r="G45" s="86">
        <v>40</v>
      </c>
      <c r="H45" s="83">
        <f t="shared" si="5"/>
        <v>185</v>
      </c>
      <c r="I45" s="83">
        <v>0</v>
      </c>
      <c r="J45" s="86">
        <v>100</v>
      </c>
      <c r="K45" s="86">
        <v>300</v>
      </c>
      <c r="L45" s="83">
        <f t="shared" si="0"/>
        <v>1239</v>
      </c>
      <c r="M45" s="94"/>
      <c r="N45" s="83">
        <f>75</f>
        <v>75</v>
      </c>
      <c r="O45" s="86">
        <v>240</v>
      </c>
      <c r="P45" s="86">
        <f t="shared" si="6"/>
        <v>160</v>
      </c>
      <c r="Q45" s="86">
        <f t="shared" si="1"/>
        <v>195</v>
      </c>
      <c r="R45" s="86">
        <f t="shared" si="2"/>
        <v>100</v>
      </c>
      <c r="S45" s="83">
        <f t="shared" si="3"/>
        <v>695</v>
      </c>
      <c r="T45" s="83">
        <f>0</f>
        <v>0</v>
      </c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0" ht="15.75" x14ac:dyDescent="0.25">
      <c r="A46" s="13">
        <v>42309</v>
      </c>
      <c r="B46" s="97">
        <v>30</v>
      </c>
      <c r="C46" s="83">
        <f>122.58</f>
        <v>122.58</v>
      </c>
      <c r="D46" s="83">
        <f>297.941</f>
        <v>297.94099999999997</v>
      </c>
      <c r="E46" s="92">
        <f>89.177</f>
        <v>89.177000000000007</v>
      </c>
      <c r="F46" s="83">
        <f>240.302-40-60-100</f>
        <v>40.301999999999992</v>
      </c>
      <c r="G46" s="86">
        <v>40</v>
      </c>
      <c r="H46" s="83">
        <f>60+100</f>
        <v>160</v>
      </c>
      <c r="I46" s="83">
        <v>0</v>
      </c>
      <c r="J46" s="86">
        <v>100</v>
      </c>
      <c r="K46" s="86">
        <v>300</v>
      </c>
      <c r="L46" s="83">
        <f t="shared" si="0"/>
        <v>1150</v>
      </c>
      <c r="M46" s="94"/>
      <c r="N46" s="83">
        <f>100</f>
        <v>100</v>
      </c>
      <c r="O46" s="86">
        <v>240</v>
      </c>
      <c r="P46" s="86">
        <v>40</v>
      </c>
      <c r="Q46" s="86">
        <f t="shared" si="1"/>
        <v>315</v>
      </c>
      <c r="R46" s="86">
        <f t="shared" si="2"/>
        <v>100</v>
      </c>
      <c r="S46" s="83">
        <f t="shared" si="3"/>
        <v>695</v>
      </c>
      <c r="T46" s="83">
        <f>50</f>
        <v>50</v>
      </c>
      <c r="U46" s="84"/>
      <c r="V46" s="84"/>
      <c r="W46" s="84"/>
      <c r="X46" s="84"/>
      <c r="Y46" s="84"/>
      <c r="Z46" s="84"/>
      <c r="AA46" s="84"/>
      <c r="AB46" s="84"/>
      <c r="AC46" s="84"/>
      <c r="AD46" s="84"/>
    </row>
    <row r="47" spans="1:30" ht="15.75" x14ac:dyDescent="0.25">
      <c r="A47" s="13">
        <v>42339</v>
      </c>
      <c r="B47" s="97">
        <v>31</v>
      </c>
      <c r="C47" s="83">
        <f>122.58</f>
        <v>122.58</v>
      </c>
      <c r="D47" s="83">
        <f>297.941</f>
        <v>297.94099999999997</v>
      </c>
      <c r="E47" s="92">
        <f>89.177</f>
        <v>89.177000000000007</v>
      </c>
      <c r="F47" s="83">
        <f>240.302-40-60-100</f>
        <v>40.301999999999992</v>
      </c>
      <c r="G47" s="86">
        <v>40</v>
      </c>
      <c r="H47" s="83">
        <f>60+100</f>
        <v>160</v>
      </c>
      <c r="I47" s="83">
        <v>0</v>
      </c>
      <c r="J47" s="86">
        <v>100</v>
      </c>
      <c r="K47" s="86">
        <v>300</v>
      </c>
      <c r="L47" s="83">
        <f t="shared" si="0"/>
        <v>1150</v>
      </c>
      <c r="M47" s="94"/>
      <c r="N47" s="83">
        <f>100</f>
        <v>100</v>
      </c>
      <c r="O47" s="86">
        <v>240</v>
      </c>
      <c r="P47" s="86">
        <v>40</v>
      </c>
      <c r="Q47" s="86">
        <f t="shared" si="1"/>
        <v>315</v>
      </c>
      <c r="R47" s="86">
        <f t="shared" si="2"/>
        <v>100</v>
      </c>
      <c r="S47" s="83">
        <f t="shared" si="3"/>
        <v>695</v>
      </c>
      <c r="T47" s="83">
        <f>50</f>
        <v>50</v>
      </c>
      <c r="U47" s="84"/>
      <c r="V47" s="84"/>
      <c r="W47" s="84"/>
      <c r="X47" s="84"/>
      <c r="Y47" s="84"/>
      <c r="Z47" s="84"/>
      <c r="AA47" s="84"/>
      <c r="AB47" s="84"/>
      <c r="AC47" s="84"/>
      <c r="AD47" s="84"/>
    </row>
    <row r="48" spans="1:30" ht="15.75" x14ac:dyDescent="0.25">
      <c r="A48" s="13">
        <v>42370</v>
      </c>
      <c r="B48" s="97">
        <v>31</v>
      </c>
      <c r="C48" s="83">
        <f>122.58</f>
        <v>122.58</v>
      </c>
      <c r="D48" s="83">
        <f>297.941</f>
        <v>297.94099999999997</v>
      </c>
      <c r="E48" s="92">
        <f>89.177</f>
        <v>89.177000000000007</v>
      </c>
      <c r="F48" s="83">
        <f>240.302-40-60-100</f>
        <v>40.301999999999992</v>
      </c>
      <c r="G48" s="86">
        <v>40</v>
      </c>
      <c r="H48" s="83">
        <f>60+100</f>
        <v>160</v>
      </c>
      <c r="I48" s="83">
        <v>0</v>
      </c>
      <c r="J48" s="86">
        <v>100</v>
      </c>
      <c r="K48" s="86">
        <v>300</v>
      </c>
      <c r="L48" s="83">
        <f t="shared" si="0"/>
        <v>1150</v>
      </c>
      <c r="M48" s="94"/>
      <c r="N48" s="83">
        <f>100</f>
        <v>100</v>
      </c>
      <c r="O48" s="86">
        <v>240</v>
      </c>
      <c r="P48" s="86">
        <v>40</v>
      </c>
      <c r="Q48" s="86">
        <f t="shared" si="1"/>
        <v>315</v>
      </c>
      <c r="R48" s="86">
        <f t="shared" si="2"/>
        <v>100</v>
      </c>
      <c r="S48" s="83">
        <f t="shared" si="3"/>
        <v>695</v>
      </c>
      <c r="T48" s="83">
        <f>50</f>
        <v>50</v>
      </c>
      <c r="U48" s="84"/>
      <c r="V48" s="84"/>
      <c r="W48" s="84"/>
      <c r="X48" s="84"/>
      <c r="Y48" s="84"/>
      <c r="Z48" s="84"/>
      <c r="AA48" s="84"/>
      <c r="AB48" s="84"/>
      <c r="AC48" s="84"/>
      <c r="AD48" s="84"/>
    </row>
    <row r="49" spans="1:30" ht="15.75" x14ac:dyDescent="0.25">
      <c r="A49" s="13">
        <v>42401</v>
      </c>
      <c r="B49" s="97">
        <v>29</v>
      </c>
      <c r="C49" s="83">
        <f>122.58</f>
        <v>122.58</v>
      </c>
      <c r="D49" s="83">
        <f>297.941</f>
        <v>297.94099999999997</v>
      </c>
      <c r="E49" s="92">
        <f>89.177</f>
        <v>89.177000000000007</v>
      </c>
      <c r="F49" s="83">
        <f>240.302-40-60-100</f>
        <v>40.301999999999992</v>
      </c>
      <c r="G49" s="86">
        <v>40</v>
      </c>
      <c r="H49" s="83">
        <f>60+100</f>
        <v>160</v>
      </c>
      <c r="I49" s="83">
        <v>0</v>
      </c>
      <c r="J49" s="86">
        <v>100</v>
      </c>
      <c r="K49" s="86">
        <v>300</v>
      </c>
      <c r="L49" s="83">
        <f t="shared" si="0"/>
        <v>1150</v>
      </c>
      <c r="M49" s="94"/>
      <c r="N49" s="83">
        <f>100</f>
        <v>100</v>
      </c>
      <c r="O49" s="86">
        <v>240</v>
      </c>
      <c r="P49" s="86">
        <v>40</v>
      </c>
      <c r="Q49" s="86">
        <f t="shared" si="1"/>
        <v>315</v>
      </c>
      <c r="R49" s="86">
        <f t="shared" si="2"/>
        <v>100</v>
      </c>
      <c r="S49" s="83">
        <f t="shared" si="3"/>
        <v>695</v>
      </c>
      <c r="T49" s="83">
        <f>50</f>
        <v>50</v>
      </c>
      <c r="U49" s="84"/>
      <c r="V49" s="84"/>
      <c r="W49" s="84"/>
      <c r="X49" s="84"/>
      <c r="Y49" s="84"/>
      <c r="Z49" s="84"/>
      <c r="AA49" s="84"/>
      <c r="AB49" s="84"/>
      <c r="AC49" s="84"/>
      <c r="AD49" s="84"/>
    </row>
    <row r="50" spans="1:30" ht="15.75" x14ac:dyDescent="0.25">
      <c r="A50" s="13">
        <v>42430</v>
      </c>
      <c r="B50" s="97">
        <v>31</v>
      </c>
      <c r="C50" s="83">
        <f>122.58</f>
        <v>122.58</v>
      </c>
      <c r="D50" s="83">
        <f>297.941</f>
        <v>297.94099999999997</v>
      </c>
      <c r="E50" s="92">
        <f>89.177</f>
        <v>89.177000000000007</v>
      </c>
      <c r="F50" s="83">
        <f>240.302-40-60-100</f>
        <v>40.301999999999992</v>
      </c>
      <c r="G50" s="86">
        <v>40</v>
      </c>
      <c r="H50" s="83">
        <f>60+100</f>
        <v>160</v>
      </c>
      <c r="I50" s="83">
        <v>0</v>
      </c>
      <c r="J50" s="86">
        <v>100</v>
      </c>
      <c r="K50" s="86">
        <v>300</v>
      </c>
      <c r="L50" s="83">
        <f t="shared" si="0"/>
        <v>1150</v>
      </c>
      <c r="M50" s="94"/>
      <c r="N50" s="83">
        <f>100</f>
        <v>100</v>
      </c>
      <c r="O50" s="86">
        <v>240</v>
      </c>
      <c r="P50" s="86">
        <v>40</v>
      </c>
      <c r="Q50" s="86">
        <f t="shared" si="1"/>
        <v>315</v>
      </c>
      <c r="R50" s="86">
        <f t="shared" si="2"/>
        <v>100</v>
      </c>
      <c r="S50" s="83">
        <f t="shared" si="3"/>
        <v>695</v>
      </c>
      <c r="T50" s="83">
        <f>50</f>
        <v>50</v>
      </c>
      <c r="U50" s="84"/>
      <c r="V50" s="84"/>
      <c r="W50" s="84"/>
      <c r="X50" s="84"/>
      <c r="Y50" s="84"/>
      <c r="Z50" s="84"/>
      <c r="AA50" s="84"/>
      <c r="AB50" s="84"/>
      <c r="AC50" s="84"/>
      <c r="AD50" s="84"/>
    </row>
    <row r="51" spans="1:30" ht="15.75" x14ac:dyDescent="0.25">
      <c r="A51" s="13">
        <v>42461</v>
      </c>
      <c r="B51" s="97">
        <v>30</v>
      </c>
      <c r="C51" s="83">
        <f>141.293</f>
        <v>141.29300000000001</v>
      </c>
      <c r="D51" s="83">
        <f>267.993</f>
        <v>267.99299999999999</v>
      </c>
      <c r="E51" s="92">
        <f>115.016</f>
        <v>115.01600000000001</v>
      </c>
      <c r="F51" s="83">
        <f>314.698-40-25-60-100</f>
        <v>89.697999999999979</v>
      </c>
      <c r="G51" s="86">
        <v>40</v>
      </c>
      <c r="H51" s="83">
        <f t="shared" ref="H51:H57" si="7">25+60+100</f>
        <v>185</v>
      </c>
      <c r="I51" s="83">
        <v>0</v>
      </c>
      <c r="J51" s="86">
        <v>100</v>
      </c>
      <c r="K51" s="86">
        <v>300</v>
      </c>
      <c r="L51" s="83">
        <f t="shared" si="0"/>
        <v>1239</v>
      </c>
      <c r="M51" s="94"/>
      <c r="N51" s="83">
        <f>100</f>
        <v>100</v>
      </c>
      <c r="O51" s="86">
        <v>240</v>
      </c>
      <c r="P51" s="86">
        <v>160</v>
      </c>
      <c r="Q51" s="86">
        <f t="shared" si="1"/>
        <v>195</v>
      </c>
      <c r="R51" s="86">
        <f t="shared" si="2"/>
        <v>100</v>
      </c>
      <c r="S51" s="83">
        <f t="shared" si="3"/>
        <v>695</v>
      </c>
      <c r="T51" s="83">
        <f>50</f>
        <v>50</v>
      </c>
      <c r="U51" s="84"/>
      <c r="V51" s="84"/>
      <c r="W51" s="84"/>
      <c r="X51" s="84"/>
      <c r="Y51" s="84"/>
      <c r="Z51" s="84"/>
      <c r="AA51" s="84"/>
      <c r="AB51" s="84"/>
      <c r="AC51" s="84"/>
      <c r="AD51" s="84"/>
    </row>
    <row r="52" spans="1:30" ht="15.75" x14ac:dyDescent="0.25">
      <c r="A52" s="13">
        <v>42491</v>
      </c>
      <c r="B52" s="97">
        <v>31</v>
      </c>
      <c r="C52" s="83">
        <f>194.205</f>
        <v>194.20500000000001</v>
      </c>
      <c r="D52" s="83">
        <f>267.466</f>
        <v>267.46600000000001</v>
      </c>
      <c r="E52" s="92">
        <f>133.845</f>
        <v>133.845</v>
      </c>
      <c r="F52" s="83">
        <f>278.484-40-25-60-100</f>
        <v>53.48399999999998</v>
      </c>
      <c r="G52" s="86">
        <v>40</v>
      </c>
      <c r="H52" s="83">
        <f t="shared" si="7"/>
        <v>185</v>
      </c>
      <c r="I52" s="83">
        <f t="shared" ref="I52:I115" si="8">400-J52-K52</f>
        <v>0</v>
      </c>
      <c r="J52" s="86">
        <v>100</v>
      </c>
      <c r="K52" s="86">
        <v>300</v>
      </c>
      <c r="L52" s="83">
        <f t="shared" si="0"/>
        <v>1274</v>
      </c>
      <c r="M52" s="94"/>
      <c r="N52" s="83">
        <f>75</f>
        <v>75</v>
      </c>
      <c r="O52" s="86">
        <v>240</v>
      </c>
      <c r="P52" s="86">
        <v>160</v>
      </c>
      <c r="Q52" s="86">
        <f t="shared" si="1"/>
        <v>195</v>
      </c>
      <c r="R52" s="86">
        <f t="shared" si="2"/>
        <v>100</v>
      </c>
      <c r="S52" s="83">
        <f t="shared" si="3"/>
        <v>695</v>
      </c>
      <c r="T52" s="83">
        <f>50</f>
        <v>50</v>
      </c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0" ht="15.75" x14ac:dyDescent="0.25">
      <c r="A53" s="13">
        <v>42522</v>
      </c>
      <c r="B53" s="97">
        <v>30</v>
      </c>
      <c r="C53" s="83">
        <f>194.205</f>
        <v>194.20500000000001</v>
      </c>
      <c r="D53" s="83">
        <f>267.466</f>
        <v>267.46600000000001</v>
      </c>
      <c r="E53" s="92">
        <f>133.845</f>
        <v>133.845</v>
      </c>
      <c r="F53" s="83">
        <f>278.484-40-25-60-100</f>
        <v>53.48399999999998</v>
      </c>
      <c r="G53" s="86">
        <v>40</v>
      </c>
      <c r="H53" s="83">
        <f t="shared" si="7"/>
        <v>185</v>
      </c>
      <c r="I53" s="83">
        <f t="shared" si="8"/>
        <v>0</v>
      </c>
      <c r="J53" s="86">
        <v>100</v>
      </c>
      <c r="K53" s="86">
        <v>300</v>
      </c>
      <c r="L53" s="83">
        <f t="shared" si="0"/>
        <v>1274</v>
      </c>
      <c r="M53" s="94"/>
      <c r="N53" s="83">
        <f>30</f>
        <v>30</v>
      </c>
      <c r="O53" s="86">
        <v>240</v>
      </c>
      <c r="P53" s="86">
        <v>160</v>
      </c>
      <c r="Q53" s="86">
        <f t="shared" si="1"/>
        <v>195</v>
      </c>
      <c r="R53" s="86">
        <f t="shared" si="2"/>
        <v>100</v>
      </c>
      <c r="S53" s="83">
        <f t="shared" si="3"/>
        <v>695</v>
      </c>
      <c r="T53" s="83">
        <f>50</f>
        <v>50</v>
      </c>
      <c r="U53" s="84"/>
      <c r="V53" s="84"/>
      <c r="W53" s="84"/>
      <c r="X53" s="84"/>
      <c r="Y53" s="84"/>
      <c r="Z53" s="84"/>
      <c r="AA53" s="84"/>
      <c r="AB53" s="84"/>
      <c r="AC53" s="84"/>
      <c r="AD53" s="84"/>
    </row>
    <row r="54" spans="1:30" ht="15.75" x14ac:dyDescent="0.25">
      <c r="A54" s="13">
        <v>42552</v>
      </c>
      <c r="B54" s="97">
        <v>31</v>
      </c>
      <c r="C54" s="83">
        <f>194.205</f>
        <v>194.20500000000001</v>
      </c>
      <c r="D54" s="83">
        <f>267.466</f>
        <v>267.46600000000001</v>
      </c>
      <c r="E54" s="92">
        <f>133.845</f>
        <v>133.845</v>
      </c>
      <c r="F54" s="83">
        <f>278.484-40-25-60-100</f>
        <v>53.48399999999998</v>
      </c>
      <c r="G54" s="86">
        <v>40</v>
      </c>
      <c r="H54" s="83">
        <f t="shared" si="7"/>
        <v>185</v>
      </c>
      <c r="I54" s="83">
        <f t="shared" si="8"/>
        <v>0</v>
      </c>
      <c r="J54" s="86">
        <v>100</v>
      </c>
      <c r="K54" s="86">
        <v>300</v>
      </c>
      <c r="L54" s="83">
        <f t="shared" si="0"/>
        <v>1274</v>
      </c>
      <c r="M54" s="94"/>
      <c r="N54" s="83">
        <f>30</f>
        <v>30</v>
      </c>
      <c r="O54" s="86">
        <v>240</v>
      </c>
      <c r="P54" s="86">
        <v>160</v>
      </c>
      <c r="Q54" s="86">
        <f t="shared" si="1"/>
        <v>195</v>
      </c>
      <c r="R54" s="86">
        <f t="shared" si="2"/>
        <v>100</v>
      </c>
      <c r="S54" s="83">
        <f t="shared" si="3"/>
        <v>695</v>
      </c>
      <c r="T54" s="83">
        <f>0</f>
        <v>0</v>
      </c>
      <c r="U54" s="84"/>
      <c r="V54" s="84"/>
      <c r="W54" s="84"/>
      <c r="X54" s="84"/>
      <c r="Y54" s="84"/>
      <c r="Z54" s="84"/>
      <c r="AA54" s="84"/>
      <c r="AB54" s="84"/>
      <c r="AC54" s="84"/>
      <c r="AD54" s="84"/>
    </row>
    <row r="55" spans="1:30" ht="15.75" x14ac:dyDescent="0.25">
      <c r="A55" s="13">
        <v>42583</v>
      </c>
      <c r="B55" s="97">
        <v>31</v>
      </c>
      <c r="C55" s="83">
        <f>194.205</f>
        <v>194.20500000000001</v>
      </c>
      <c r="D55" s="83">
        <f>267.466</f>
        <v>267.46600000000001</v>
      </c>
      <c r="E55" s="92">
        <f>133.845</f>
        <v>133.845</v>
      </c>
      <c r="F55" s="83">
        <f>278.484-40-25-60-100</f>
        <v>53.48399999999998</v>
      </c>
      <c r="G55" s="86">
        <v>40</v>
      </c>
      <c r="H55" s="83">
        <f t="shared" si="7"/>
        <v>185</v>
      </c>
      <c r="I55" s="83">
        <f t="shared" si="8"/>
        <v>0</v>
      </c>
      <c r="J55" s="86">
        <v>100</v>
      </c>
      <c r="K55" s="86">
        <v>300</v>
      </c>
      <c r="L55" s="83">
        <f t="shared" si="0"/>
        <v>1274</v>
      </c>
      <c r="M55" s="94"/>
      <c r="N55" s="83">
        <f>30</f>
        <v>30</v>
      </c>
      <c r="O55" s="86">
        <v>240</v>
      </c>
      <c r="P55" s="86">
        <v>160</v>
      </c>
      <c r="Q55" s="86">
        <f t="shared" si="1"/>
        <v>195</v>
      </c>
      <c r="R55" s="86">
        <f t="shared" si="2"/>
        <v>100</v>
      </c>
      <c r="S55" s="83">
        <f t="shared" si="3"/>
        <v>695</v>
      </c>
      <c r="T55" s="83">
        <f>0</f>
        <v>0</v>
      </c>
      <c r="U55" s="84"/>
      <c r="V55" s="84"/>
      <c r="W55" s="84"/>
      <c r="X55" s="84"/>
      <c r="Y55" s="84"/>
      <c r="Z55" s="84"/>
      <c r="AA55" s="84"/>
      <c r="AB55" s="84"/>
      <c r="AC55" s="84"/>
      <c r="AD55" s="84"/>
    </row>
    <row r="56" spans="1:30" ht="15.75" x14ac:dyDescent="0.25">
      <c r="A56" s="13">
        <v>42614</v>
      </c>
      <c r="B56" s="97">
        <v>30</v>
      </c>
      <c r="C56" s="83">
        <f>194.205</f>
        <v>194.20500000000001</v>
      </c>
      <c r="D56" s="83">
        <f>267.466</f>
        <v>267.46600000000001</v>
      </c>
      <c r="E56" s="92">
        <f>133.845</f>
        <v>133.845</v>
      </c>
      <c r="F56" s="83">
        <f>278.484-40-25-60-100</f>
        <v>53.48399999999998</v>
      </c>
      <c r="G56" s="86">
        <v>40</v>
      </c>
      <c r="H56" s="83">
        <f t="shared" si="7"/>
        <v>185</v>
      </c>
      <c r="I56" s="83">
        <f t="shared" si="8"/>
        <v>0</v>
      </c>
      <c r="J56" s="86">
        <v>100</v>
      </c>
      <c r="K56" s="86">
        <v>300</v>
      </c>
      <c r="L56" s="83">
        <f t="shared" si="0"/>
        <v>1274</v>
      </c>
      <c r="M56" s="94"/>
      <c r="N56" s="83">
        <f>30</f>
        <v>30</v>
      </c>
      <c r="O56" s="86">
        <v>240</v>
      </c>
      <c r="P56" s="86">
        <v>160</v>
      </c>
      <c r="Q56" s="86">
        <f t="shared" si="1"/>
        <v>195</v>
      </c>
      <c r="R56" s="86">
        <f t="shared" si="2"/>
        <v>100</v>
      </c>
      <c r="S56" s="83">
        <f t="shared" si="3"/>
        <v>695</v>
      </c>
      <c r="T56" s="83">
        <f>0</f>
        <v>0</v>
      </c>
      <c r="U56" s="84"/>
      <c r="V56" s="84"/>
      <c r="W56" s="84"/>
      <c r="X56" s="84"/>
      <c r="Y56" s="84"/>
      <c r="Z56" s="84"/>
      <c r="AA56" s="84"/>
      <c r="AB56" s="84"/>
      <c r="AC56" s="84"/>
      <c r="AD56" s="84"/>
    </row>
    <row r="57" spans="1:30" ht="15.75" x14ac:dyDescent="0.25">
      <c r="A57" s="13">
        <v>42644</v>
      </c>
      <c r="B57" s="97">
        <v>31</v>
      </c>
      <c r="C57" s="83">
        <f>131.881</f>
        <v>131.881</v>
      </c>
      <c r="D57" s="83">
        <f>277.167</f>
        <v>277.16699999999997</v>
      </c>
      <c r="E57" s="92">
        <f>79.08</f>
        <v>79.08</v>
      </c>
      <c r="F57" s="83">
        <f>350.872-40-25-60-100</f>
        <v>125.87200000000001</v>
      </c>
      <c r="G57" s="86">
        <v>40</v>
      </c>
      <c r="H57" s="83">
        <f t="shared" si="7"/>
        <v>185</v>
      </c>
      <c r="I57" s="83">
        <f t="shared" si="8"/>
        <v>0</v>
      </c>
      <c r="J57" s="86">
        <v>100</v>
      </c>
      <c r="K57" s="86">
        <v>300</v>
      </c>
      <c r="L57" s="83">
        <f t="shared" si="0"/>
        <v>1239</v>
      </c>
      <c r="M57" s="94"/>
      <c r="N57" s="83">
        <f>75</f>
        <v>75</v>
      </c>
      <c r="O57" s="86">
        <v>240</v>
      </c>
      <c r="P57" s="86">
        <v>160</v>
      </c>
      <c r="Q57" s="86">
        <f t="shared" si="1"/>
        <v>195</v>
      </c>
      <c r="R57" s="86">
        <f t="shared" si="2"/>
        <v>100</v>
      </c>
      <c r="S57" s="83">
        <f t="shared" si="3"/>
        <v>695</v>
      </c>
      <c r="T57" s="83">
        <f>0</f>
        <v>0</v>
      </c>
      <c r="U57" s="84"/>
      <c r="V57" s="84"/>
      <c r="W57" s="84"/>
      <c r="X57" s="84"/>
      <c r="Y57" s="84"/>
      <c r="Z57" s="84"/>
      <c r="AA57" s="84"/>
      <c r="AB57" s="84"/>
      <c r="AC57" s="84"/>
      <c r="AD57" s="84"/>
    </row>
    <row r="58" spans="1:30" ht="15.75" x14ac:dyDescent="0.25">
      <c r="A58" s="13">
        <v>42675</v>
      </c>
      <c r="B58" s="97">
        <v>30</v>
      </c>
      <c r="C58" s="83">
        <f>122.58</f>
        <v>122.58</v>
      </c>
      <c r="D58" s="83">
        <f>297.941</f>
        <v>297.94099999999997</v>
      </c>
      <c r="E58" s="92">
        <f>89.177</f>
        <v>89.177000000000007</v>
      </c>
      <c r="F58" s="83">
        <f>240.302-40-60-100</f>
        <v>40.301999999999992</v>
      </c>
      <c r="G58" s="86">
        <v>40</v>
      </c>
      <c r="H58" s="83">
        <f>60+100</f>
        <v>160</v>
      </c>
      <c r="I58" s="83">
        <f t="shared" si="8"/>
        <v>0</v>
      </c>
      <c r="J58" s="86">
        <v>100</v>
      </c>
      <c r="K58" s="86">
        <v>300</v>
      </c>
      <c r="L58" s="83">
        <f t="shared" si="0"/>
        <v>1150</v>
      </c>
      <c r="M58" s="94"/>
      <c r="N58" s="83">
        <f>100</f>
        <v>100</v>
      </c>
      <c r="O58" s="86">
        <v>240</v>
      </c>
      <c r="P58" s="86">
        <v>40</v>
      </c>
      <c r="Q58" s="86">
        <f t="shared" si="1"/>
        <v>315</v>
      </c>
      <c r="R58" s="86">
        <f t="shared" si="2"/>
        <v>100</v>
      </c>
      <c r="S58" s="83">
        <f t="shared" si="3"/>
        <v>695</v>
      </c>
      <c r="T58" s="83">
        <f>50</f>
        <v>50</v>
      </c>
      <c r="U58" s="84"/>
      <c r="V58" s="84"/>
      <c r="W58" s="84"/>
      <c r="X58" s="84"/>
      <c r="Y58" s="84"/>
      <c r="Z58" s="84"/>
      <c r="AA58" s="84"/>
      <c r="AB58" s="84"/>
      <c r="AC58" s="84"/>
      <c r="AD58" s="84"/>
    </row>
    <row r="59" spans="1:30" ht="15.75" x14ac:dyDescent="0.25">
      <c r="A59" s="13">
        <v>42705</v>
      </c>
      <c r="B59" s="97">
        <v>31</v>
      </c>
      <c r="C59" s="83">
        <f>122.58</f>
        <v>122.58</v>
      </c>
      <c r="D59" s="83">
        <f>297.941</f>
        <v>297.94099999999997</v>
      </c>
      <c r="E59" s="92">
        <f>89.177</f>
        <v>89.177000000000007</v>
      </c>
      <c r="F59" s="83">
        <f>240.302-40-60-100</f>
        <v>40.301999999999992</v>
      </c>
      <c r="G59" s="86">
        <v>40</v>
      </c>
      <c r="H59" s="83">
        <f>60+100</f>
        <v>160</v>
      </c>
      <c r="I59" s="83">
        <f t="shared" si="8"/>
        <v>0</v>
      </c>
      <c r="J59" s="86">
        <v>100</v>
      </c>
      <c r="K59" s="86">
        <v>300</v>
      </c>
      <c r="L59" s="83">
        <f t="shared" si="0"/>
        <v>1150</v>
      </c>
      <c r="M59" s="94"/>
      <c r="N59" s="83">
        <f>100</f>
        <v>100</v>
      </c>
      <c r="O59" s="86">
        <v>240</v>
      </c>
      <c r="P59" s="86">
        <v>40</v>
      </c>
      <c r="Q59" s="86">
        <f t="shared" si="1"/>
        <v>315</v>
      </c>
      <c r="R59" s="86">
        <f t="shared" si="2"/>
        <v>100</v>
      </c>
      <c r="S59" s="83">
        <f t="shared" si="3"/>
        <v>695</v>
      </c>
      <c r="T59" s="83">
        <f>50</f>
        <v>50</v>
      </c>
      <c r="U59" s="84"/>
      <c r="V59" s="84"/>
      <c r="W59" s="84"/>
      <c r="X59" s="84"/>
      <c r="Y59" s="84"/>
      <c r="Z59" s="84"/>
      <c r="AA59" s="84"/>
      <c r="AB59" s="84"/>
      <c r="AC59" s="84"/>
      <c r="AD59" s="84"/>
    </row>
    <row r="60" spans="1:30" ht="15.75" x14ac:dyDescent="0.25">
      <c r="A60" s="13">
        <v>42736</v>
      </c>
      <c r="B60" s="97">
        <v>31</v>
      </c>
      <c r="C60" s="83">
        <f>122.58</f>
        <v>122.58</v>
      </c>
      <c r="D60" s="83">
        <f>297.941</f>
        <v>297.94099999999997</v>
      </c>
      <c r="E60" s="92">
        <f>89.177</f>
        <v>89.177000000000007</v>
      </c>
      <c r="F60" s="83">
        <f>240.302-40-60-100</f>
        <v>40.301999999999992</v>
      </c>
      <c r="G60" s="86">
        <v>40</v>
      </c>
      <c r="H60" s="83">
        <f>60+100</f>
        <v>160</v>
      </c>
      <c r="I60" s="83">
        <f t="shared" si="8"/>
        <v>0</v>
      </c>
      <c r="J60" s="86">
        <v>100</v>
      </c>
      <c r="K60" s="86">
        <v>300</v>
      </c>
      <c r="L60" s="83">
        <f t="shared" si="0"/>
        <v>1150</v>
      </c>
      <c r="M60" s="94">
        <v>400</v>
      </c>
      <c r="N60" s="83">
        <f>100</f>
        <v>100</v>
      </c>
      <c r="O60" s="86">
        <v>240</v>
      </c>
      <c r="P60" s="86">
        <v>40</v>
      </c>
      <c r="Q60" s="86">
        <f t="shared" si="1"/>
        <v>315</v>
      </c>
      <c r="R60" s="86">
        <f t="shared" si="2"/>
        <v>100</v>
      </c>
      <c r="S60" s="83">
        <f t="shared" si="3"/>
        <v>695</v>
      </c>
      <c r="T60" s="83">
        <f>50</f>
        <v>50</v>
      </c>
      <c r="U60" s="84"/>
      <c r="V60" s="84"/>
      <c r="W60" s="84"/>
      <c r="X60" s="84"/>
      <c r="Y60" s="84"/>
      <c r="Z60" s="84"/>
      <c r="AA60" s="84"/>
      <c r="AB60" s="84"/>
      <c r="AC60" s="84"/>
      <c r="AD60" s="84"/>
    </row>
    <row r="61" spans="1:30" ht="15.75" x14ac:dyDescent="0.25">
      <c r="A61" s="13">
        <v>42767</v>
      </c>
      <c r="B61" s="97">
        <v>28</v>
      </c>
      <c r="C61" s="83">
        <f>122.58</f>
        <v>122.58</v>
      </c>
      <c r="D61" s="83">
        <f>297.941</f>
        <v>297.94099999999997</v>
      </c>
      <c r="E61" s="92">
        <f>89.177</f>
        <v>89.177000000000007</v>
      </c>
      <c r="F61" s="83">
        <f>240.302-40-60-100</f>
        <v>40.301999999999992</v>
      </c>
      <c r="G61" s="86">
        <v>40</v>
      </c>
      <c r="H61" s="83">
        <f>60+100</f>
        <v>160</v>
      </c>
      <c r="I61" s="83">
        <f t="shared" si="8"/>
        <v>0</v>
      </c>
      <c r="J61" s="86">
        <v>100</v>
      </c>
      <c r="K61" s="86">
        <v>300</v>
      </c>
      <c r="L61" s="83">
        <f t="shared" si="0"/>
        <v>1150</v>
      </c>
      <c r="M61" s="94">
        <v>400</v>
      </c>
      <c r="N61" s="83">
        <f>100</f>
        <v>100</v>
      </c>
      <c r="O61" s="86">
        <v>240</v>
      </c>
      <c r="P61" s="86">
        <v>40</v>
      </c>
      <c r="Q61" s="86">
        <f t="shared" si="1"/>
        <v>315</v>
      </c>
      <c r="R61" s="86">
        <f t="shared" si="2"/>
        <v>100</v>
      </c>
      <c r="S61" s="83">
        <f t="shared" si="3"/>
        <v>695</v>
      </c>
      <c r="T61" s="83">
        <f>50</f>
        <v>50</v>
      </c>
      <c r="U61" s="84"/>
      <c r="V61" s="84"/>
      <c r="W61" s="84"/>
      <c r="X61" s="84"/>
      <c r="Y61" s="84"/>
      <c r="Z61" s="84"/>
      <c r="AA61" s="84"/>
      <c r="AB61" s="84"/>
      <c r="AC61" s="84"/>
      <c r="AD61" s="84"/>
    </row>
    <row r="62" spans="1:30" ht="15.75" x14ac:dyDescent="0.25">
      <c r="A62" s="13">
        <v>42795</v>
      </c>
      <c r="B62" s="97">
        <v>31</v>
      </c>
      <c r="C62" s="83">
        <f>122.58</f>
        <v>122.58</v>
      </c>
      <c r="D62" s="83">
        <f>297.941</f>
        <v>297.94099999999997</v>
      </c>
      <c r="E62" s="92">
        <f>89.177</f>
        <v>89.177000000000007</v>
      </c>
      <c r="F62" s="83">
        <f>240.302-40-60-100</f>
        <v>40.301999999999992</v>
      </c>
      <c r="G62" s="86">
        <v>40</v>
      </c>
      <c r="H62" s="83">
        <f>60+100</f>
        <v>160</v>
      </c>
      <c r="I62" s="83">
        <f t="shared" si="8"/>
        <v>0</v>
      </c>
      <c r="J62" s="86">
        <v>100</v>
      </c>
      <c r="K62" s="86">
        <v>300</v>
      </c>
      <c r="L62" s="83">
        <f t="shared" si="0"/>
        <v>1150</v>
      </c>
      <c r="M62" s="94">
        <v>400</v>
      </c>
      <c r="N62" s="83">
        <f>100</f>
        <v>100</v>
      </c>
      <c r="O62" s="86">
        <v>240</v>
      </c>
      <c r="P62" s="86">
        <v>40</v>
      </c>
      <c r="Q62" s="86">
        <f t="shared" si="1"/>
        <v>315</v>
      </c>
      <c r="R62" s="86">
        <f t="shared" si="2"/>
        <v>100</v>
      </c>
      <c r="S62" s="83">
        <f t="shared" si="3"/>
        <v>695</v>
      </c>
      <c r="T62" s="83">
        <f>50</f>
        <v>50</v>
      </c>
      <c r="U62" s="84"/>
      <c r="V62" s="84"/>
      <c r="W62" s="84"/>
      <c r="X62" s="84"/>
      <c r="Y62" s="84"/>
      <c r="Z62" s="84"/>
      <c r="AA62" s="84"/>
      <c r="AB62" s="84"/>
      <c r="AC62" s="84"/>
      <c r="AD62" s="84"/>
    </row>
    <row r="63" spans="1:30" ht="15.75" x14ac:dyDescent="0.25">
      <c r="A63" s="13">
        <v>42826</v>
      </c>
      <c r="B63" s="97">
        <v>30</v>
      </c>
      <c r="C63" s="83">
        <f>141.293</f>
        <v>141.29300000000001</v>
      </c>
      <c r="D63" s="83">
        <f>267.993</f>
        <v>267.99299999999999</v>
      </c>
      <c r="E63" s="92">
        <f>115.016</f>
        <v>115.01600000000001</v>
      </c>
      <c r="F63" s="83">
        <f>314.698-40-25-60-100</f>
        <v>89.697999999999979</v>
      </c>
      <c r="G63" s="86">
        <v>40</v>
      </c>
      <c r="H63" s="83">
        <f t="shared" ref="H63:H69" si="9">25+60+100</f>
        <v>185</v>
      </c>
      <c r="I63" s="83">
        <f t="shared" si="8"/>
        <v>0</v>
      </c>
      <c r="J63" s="86">
        <v>100</v>
      </c>
      <c r="K63" s="86">
        <v>300</v>
      </c>
      <c r="L63" s="83">
        <f t="shared" si="0"/>
        <v>1239</v>
      </c>
      <c r="M63" s="94">
        <v>400</v>
      </c>
      <c r="N63" s="83">
        <f>100</f>
        <v>100</v>
      </c>
      <c r="O63" s="86">
        <v>240</v>
      </c>
      <c r="P63" s="86">
        <v>160</v>
      </c>
      <c r="Q63" s="86">
        <f t="shared" si="1"/>
        <v>195</v>
      </c>
      <c r="R63" s="86">
        <f t="shared" si="2"/>
        <v>100</v>
      </c>
      <c r="S63" s="83">
        <f t="shared" si="3"/>
        <v>695</v>
      </c>
      <c r="T63" s="83">
        <f>50</f>
        <v>50</v>
      </c>
      <c r="U63" s="84"/>
      <c r="V63" s="84"/>
      <c r="W63" s="84"/>
      <c r="X63" s="84"/>
      <c r="Y63" s="84"/>
      <c r="Z63" s="84"/>
      <c r="AA63" s="84"/>
      <c r="AB63" s="84"/>
      <c r="AC63" s="84"/>
      <c r="AD63" s="84"/>
    </row>
    <row r="64" spans="1:30" ht="15.75" x14ac:dyDescent="0.25">
      <c r="A64" s="13">
        <v>42856</v>
      </c>
      <c r="B64" s="97">
        <v>31</v>
      </c>
      <c r="C64" s="83">
        <f>194.205</f>
        <v>194.20500000000001</v>
      </c>
      <c r="D64" s="83">
        <f>267.466</f>
        <v>267.46600000000001</v>
      </c>
      <c r="E64" s="92">
        <f>133.845</f>
        <v>133.845</v>
      </c>
      <c r="F64" s="83">
        <f>278.484-40-25-60-100</f>
        <v>53.48399999999998</v>
      </c>
      <c r="G64" s="86">
        <v>40</v>
      </c>
      <c r="H64" s="83">
        <f t="shared" si="9"/>
        <v>185</v>
      </c>
      <c r="I64" s="83">
        <f t="shared" si="8"/>
        <v>0</v>
      </c>
      <c r="J64" s="86">
        <v>100</v>
      </c>
      <c r="K64" s="86">
        <v>300</v>
      </c>
      <c r="L64" s="83">
        <f t="shared" si="0"/>
        <v>1274</v>
      </c>
      <c r="M64" s="94">
        <v>400</v>
      </c>
      <c r="N64" s="83">
        <f>75</f>
        <v>75</v>
      </c>
      <c r="O64" s="86">
        <v>240</v>
      </c>
      <c r="P64" s="86">
        <v>160</v>
      </c>
      <c r="Q64" s="86">
        <f t="shared" si="1"/>
        <v>195</v>
      </c>
      <c r="R64" s="86">
        <f t="shared" si="2"/>
        <v>100</v>
      </c>
      <c r="S64" s="83">
        <f t="shared" si="3"/>
        <v>695</v>
      </c>
      <c r="T64" s="83">
        <f>50</f>
        <v>50</v>
      </c>
      <c r="U64" s="84"/>
      <c r="V64" s="84"/>
      <c r="W64" s="84"/>
      <c r="X64" s="84"/>
      <c r="Y64" s="84"/>
      <c r="Z64" s="84"/>
      <c r="AA64" s="84"/>
      <c r="AB64" s="84"/>
      <c r="AC64" s="84"/>
      <c r="AD64" s="84"/>
    </row>
    <row r="65" spans="1:30" ht="15.75" x14ac:dyDescent="0.25">
      <c r="A65" s="13">
        <v>42887</v>
      </c>
      <c r="B65" s="97">
        <v>30</v>
      </c>
      <c r="C65" s="83">
        <f>194.205</f>
        <v>194.20500000000001</v>
      </c>
      <c r="D65" s="83">
        <f>267.466</f>
        <v>267.46600000000001</v>
      </c>
      <c r="E65" s="92">
        <f>133.845</f>
        <v>133.845</v>
      </c>
      <c r="F65" s="83">
        <f>278.484-40-25-60-100</f>
        <v>53.48399999999998</v>
      </c>
      <c r="G65" s="86">
        <v>40</v>
      </c>
      <c r="H65" s="83">
        <f t="shared" si="9"/>
        <v>185</v>
      </c>
      <c r="I65" s="83">
        <f t="shared" si="8"/>
        <v>0</v>
      </c>
      <c r="J65" s="86">
        <v>100</v>
      </c>
      <c r="K65" s="86">
        <v>300</v>
      </c>
      <c r="L65" s="83">
        <f t="shared" si="0"/>
        <v>1274</v>
      </c>
      <c r="M65" s="94">
        <v>400</v>
      </c>
      <c r="N65" s="83">
        <f>30</f>
        <v>30</v>
      </c>
      <c r="O65" s="86">
        <v>240</v>
      </c>
      <c r="P65" s="86">
        <v>160</v>
      </c>
      <c r="Q65" s="86">
        <f t="shared" si="1"/>
        <v>195</v>
      </c>
      <c r="R65" s="86">
        <f t="shared" si="2"/>
        <v>100</v>
      </c>
      <c r="S65" s="83">
        <f t="shared" si="3"/>
        <v>695</v>
      </c>
      <c r="T65" s="83">
        <f>50</f>
        <v>50</v>
      </c>
      <c r="U65" s="84"/>
      <c r="V65" s="84"/>
      <c r="W65" s="84"/>
      <c r="X65" s="84"/>
      <c r="Y65" s="84"/>
      <c r="Z65" s="84"/>
      <c r="AA65" s="84"/>
      <c r="AB65" s="84"/>
      <c r="AC65" s="84"/>
      <c r="AD65" s="84"/>
    </row>
    <row r="66" spans="1:30" ht="15.75" x14ac:dyDescent="0.25">
      <c r="A66" s="13">
        <v>42917</v>
      </c>
      <c r="B66" s="97">
        <v>31</v>
      </c>
      <c r="C66" s="83">
        <f>194.205</f>
        <v>194.20500000000001</v>
      </c>
      <c r="D66" s="83">
        <f>267.466</f>
        <v>267.46600000000001</v>
      </c>
      <c r="E66" s="92">
        <f>133.845</f>
        <v>133.845</v>
      </c>
      <c r="F66" s="83">
        <f>278.484-40-25-60-100</f>
        <v>53.48399999999998</v>
      </c>
      <c r="G66" s="86">
        <v>40</v>
      </c>
      <c r="H66" s="83">
        <f t="shared" si="9"/>
        <v>185</v>
      </c>
      <c r="I66" s="83">
        <f t="shared" si="8"/>
        <v>0</v>
      </c>
      <c r="J66" s="86">
        <v>100</v>
      </c>
      <c r="K66" s="86">
        <v>300</v>
      </c>
      <c r="L66" s="83">
        <f t="shared" si="0"/>
        <v>1274</v>
      </c>
      <c r="M66" s="94">
        <v>400</v>
      </c>
      <c r="N66" s="83">
        <f>30</f>
        <v>30</v>
      </c>
      <c r="O66" s="86">
        <v>240</v>
      </c>
      <c r="P66" s="86">
        <v>160</v>
      </c>
      <c r="Q66" s="86">
        <f t="shared" si="1"/>
        <v>195</v>
      </c>
      <c r="R66" s="86">
        <f t="shared" si="2"/>
        <v>100</v>
      </c>
      <c r="S66" s="83">
        <f t="shared" si="3"/>
        <v>695</v>
      </c>
      <c r="T66" s="83">
        <f>0</f>
        <v>0</v>
      </c>
      <c r="U66" s="84"/>
      <c r="V66" s="84"/>
      <c r="W66" s="84"/>
      <c r="X66" s="84"/>
      <c r="Y66" s="84"/>
      <c r="Z66" s="84"/>
      <c r="AA66" s="84"/>
      <c r="AB66" s="84"/>
      <c r="AC66" s="84"/>
      <c r="AD66" s="84"/>
    </row>
    <row r="67" spans="1:30" ht="15.75" x14ac:dyDescent="0.25">
      <c r="A67" s="13">
        <v>42948</v>
      </c>
      <c r="B67" s="97">
        <v>31</v>
      </c>
      <c r="C67" s="83">
        <f>194.205</f>
        <v>194.20500000000001</v>
      </c>
      <c r="D67" s="83">
        <f>267.466</f>
        <v>267.46600000000001</v>
      </c>
      <c r="E67" s="92">
        <f>133.845</f>
        <v>133.845</v>
      </c>
      <c r="F67" s="83">
        <f>278.484-40-25-60-100</f>
        <v>53.48399999999998</v>
      </c>
      <c r="G67" s="86">
        <v>40</v>
      </c>
      <c r="H67" s="83">
        <f t="shared" si="9"/>
        <v>185</v>
      </c>
      <c r="I67" s="83">
        <f t="shared" si="8"/>
        <v>0</v>
      </c>
      <c r="J67" s="86">
        <v>100</v>
      </c>
      <c r="K67" s="86">
        <v>300</v>
      </c>
      <c r="L67" s="83">
        <f t="shared" si="0"/>
        <v>1274</v>
      </c>
      <c r="M67" s="94">
        <v>400</v>
      </c>
      <c r="N67" s="83">
        <f>30</f>
        <v>30</v>
      </c>
      <c r="O67" s="86">
        <v>240</v>
      </c>
      <c r="P67" s="86">
        <v>160</v>
      </c>
      <c r="Q67" s="86">
        <f t="shared" si="1"/>
        <v>195</v>
      </c>
      <c r="R67" s="86">
        <f t="shared" si="2"/>
        <v>100</v>
      </c>
      <c r="S67" s="83">
        <f t="shared" si="3"/>
        <v>695</v>
      </c>
      <c r="T67" s="83">
        <f>0</f>
        <v>0</v>
      </c>
      <c r="U67" s="84"/>
      <c r="V67" s="84"/>
      <c r="W67" s="84"/>
      <c r="X67" s="84"/>
      <c r="Y67" s="84"/>
      <c r="Z67" s="84"/>
      <c r="AA67" s="84"/>
      <c r="AB67" s="84"/>
      <c r="AC67" s="84"/>
      <c r="AD67" s="84"/>
    </row>
    <row r="68" spans="1:30" ht="15.75" x14ac:dyDescent="0.25">
      <c r="A68" s="13">
        <v>42979</v>
      </c>
      <c r="B68" s="97">
        <v>30</v>
      </c>
      <c r="C68" s="83">
        <f>194.205</f>
        <v>194.20500000000001</v>
      </c>
      <c r="D68" s="83">
        <f>267.466</f>
        <v>267.46600000000001</v>
      </c>
      <c r="E68" s="92">
        <f>133.845</f>
        <v>133.845</v>
      </c>
      <c r="F68" s="83">
        <f>278.484-40-25-60-100</f>
        <v>53.48399999999998</v>
      </c>
      <c r="G68" s="86">
        <v>40</v>
      </c>
      <c r="H68" s="83">
        <f t="shared" si="9"/>
        <v>185</v>
      </c>
      <c r="I68" s="83">
        <f t="shared" si="8"/>
        <v>0</v>
      </c>
      <c r="J68" s="86">
        <v>100</v>
      </c>
      <c r="K68" s="86">
        <v>300</v>
      </c>
      <c r="L68" s="83">
        <f t="shared" si="0"/>
        <v>1274</v>
      </c>
      <c r="M68" s="94">
        <v>400</v>
      </c>
      <c r="N68" s="83">
        <f>30</f>
        <v>30</v>
      </c>
      <c r="O68" s="86">
        <v>240</v>
      </c>
      <c r="P68" s="86">
        <v>160</v>
      </c>
      <c r="Q68" s="86">
        <f t="shared" si="1"/>
        <v>195</v>
      </c>
      <c r="R68" s="86">
        <f t="shared" si="2"/>
        <v>100</v>
      </c>
      <c r="S68" s="83">
        <f t="shared" si="3"/>
        <v>695</v>
      </c>
      <c r="T68" s="83">
        <f>0</f>
        <v>0</v>
      </c>
      <c r="U68" s="84"/>
      <c r="V68" s="84"/>
      <c r="W68" s="84"/>
      <c r="X68" s="84"/>
      <c r="Y68" s="84"/>
      <c r="Z68" s="84"/>
      <c r="AA68" s="84"/>
      <c r="AB68" s="84"/>
      <c r="AC68" s="84"/>
      <c r="AD68" s="84"/>
    </row>
    <row r="69" spans="1:30" ht="15.75" x14ac:dyDescent="0.25">
      <c r="A69" s="13">
        <v>43009</v>
      </c>
      <c r="B69" s="97">
        <v>31</v>
      </c>
      <c r="C69" s="83">
        <f>131.881</f>
        <v>131.881</v>
      </c>
      <c r="D69" s="83">
        <f>277.167</f>
        <v>277.16699999999997</v>
      </c>
      <c r="E69" s="92">
        <f>79.08</f>
        <v>79.08</v>
      </c>
      <c r="F69" s="83">
        <f>350.872-40-25-60-100</f>
        <v>125.87200000000001</v>
      </c>
      <c r="G69" s="86">
        <v>40</v>
      </c>
      <c r="H69" s="83">
        <f t="shared" si="9"/>
        <v>185</v>
      </c>
      <c r="I69" s="83">
        <f t="shared" si="8"/>
        <v>0</v>
      </c>
      <c r="J69" s="86">
        <v>100</v>
      </c>
      <c r="K69" s="86">
        <v>300</v>
      </c>
      <c r="L69" s="83">
        <f t="shared" si="0"/>
        <v>1239</v>
      </c>
      <c r="M69" s="94">
        <v>400</v>
      </c>
      <c r="N69" s="83">
        <f>75</f>
        <v>75</v>
      </c>
      <c r="O69" s="86">
        <v>240</v>
      </c>
      <c r="P69" s="86">
        <v>160</v>
      </c>
      <c r="Q69" s="86">
        <f t="shared" si="1"/>
        <v>195</v>
      </c>
      <c r="R69" s="86">
        <f t="shared" si="2"/>
        <v>100</v>
      </c>
      <c r="S69" s="83">
        <f t="shared" si="3"/>
        <v>695</v>
      </c>
      <c r="T69" s="83">
        <f>0</f>
        <v>0</v>
      </c>
      <c r="U69" s="84"/>
      <c r="V69" s="84"/>
      <c r="W69" s="84"/>
      <c r="X69" s="84"/>
      <c r="Y69" s="84"/>
      <c r="Z69" s="84"/>
      <c r="AA69" s="84"/>
      <c r="AB69" s="84"/>
      <c r="AC69" s="84"/>
      <c r="AD69" s="84"/>
    </row>
    <row r="70" spans="1:30" ht="15.75" x14ac:dyDescent="0.25">
      <c r="A70" s="13">
        <v>43040</v>
      </c>
      <c r="B70" s="97">
        <v>30</v>
      </c>
      <c r="C70" s="83">
        <f>122.58</f>
        <v>122.58</v>
      </c>
      <c r="D70" s="83">
        <f>297.941</f>
        <v>297.94099999999997</v>
      </c>
      <c r="E70" s="92">
        <f>89.177</f>
        <v>89.177000000000007</v>
      </c>
      <c r="F70" s="83">
        <f>240.302-40-60-100</f>
        <v>40.301999999999992</v>
      </c>
      <c r="G70" s="86">
        <v>40</v>
      </c>
      <c r="H70" s="83">
        <f>60+100</f>
        <v>160</v>
      </c>
      <c r="I70" s="83">
        <f t="shared" si="8"/>
        <v>0</v>
      </c>
      <c r="J70" s="86">
        <v>100</v>
      </c>
      <c r="K70" s="86">
        <v>300</v>
      </c>
      <c r="L70" s="83">
        <f t="shared" si="0"/>
        <v>1150</v>
      </c>
      <c r="M70" s="94">
        <v>400</v>
      </c>
      <c r="N70" s="83">
        <f>100</f>
        <v>100</v>
      </c>
      <c r="O70" s="86">
        <v>240</v>
      </c>
      <c r="P70" s="86">
        <v>40</v>
      </c>
      <c r="Q70" s="86">
        <f t="shared" si="1"/>
        <v>315</v>
      </c>
      <c r="R70" s="86">
        <f t="shared" si="2"/>
        <v>100</v>
      </c>
      <c r="S70" s="83">
        <f t="shared" si="3"/>
        <v>695</v>
      </c>
      <c r="T70" s="83">
        <f>50</f>
        <v>50</v>
      </c>
      <c r="U70" s="84"/>
      <c r="V70" s="84"/>
      <c r="W70" s="84"/>
      <c r="X70" s="84"/>
      <c r="Y70" s="84"/>
      <c r="Z70" s="84"/>
      <c r="AA70" s="84"/>
      <c r="AB70" s="84"/>
      <c r="AC70" s="84"/>
      <c r="AD70" s="84"/>
    </row>
    <row r="71" spans="1:30" ht="15.75" x14ac:dyDescent="0.25">
      <c r="A71" s="13">
        <v>43070</v>
      </c>
      <c r="B71" s="97">
        <v>31</v>
      </c>
      <c r="C71" s="83">
        <f>122.58</f>
        <v>122.58</v>
      </c>
      <c r="D71" s="83">
        <f>297.941</f>
        <v>297.94099999999997</v>
      </c>
      <c r="E71" s="92">
        <f>89.177</f>
        <v>89.177000000000007</v>
      </c>
      <c r="F71" s="83">
        <f>240.302-40-60-100</f>
        <v>40.301999999999992</v>
      </c>
      <c r="G71" s="86">
        <v>40</v>
      </c>
      <c r="H71" s="83">
        <f>60+100</f>
        <v>160</v>
      </c>
      <c r="I71" s="83">
        <f t="shared" si="8"/>
        <v>0</v>
      </c>
      <c r="J71" s="86">
        <v>100</v>
      </c>
      <c r="K71" s="86">
        <v>300</v>
      </c>
      <c r="L71" s="83">
        <f t="shared" si="0"/>
        <v>1150</v>
      </c>
      <c r="M71" s="94">
        <v>400</v>
      </c>
      <c r="N71" s="83">
        <f>100</f>
        <v>100</v>
      </c>
      <c r="O71" s="86">
        <v>240</v>
      </c>
      <c r="P71" s="86">
        <v>40</v>
      </c>
      <c r="Q71" s="86">
        <f t="shared" si="1"/>
        <v>315</v>
      </c>
      <c r="R71" s="86">
        <f t="shared" si="2"/>
        <v>100</v>
      </c>
      <c r="S71" s="83">
        <f t="shared" si="3"/>
        <v>695</v>
      </c>
      <c r="T71" s="83">
        <f>50</f>
        <v>50</v>
      </c>
      <c r="U71" s="84"/>
      <c r="V71" s="84"/>
      <c r="W71" s="84"/>
      <c r="X71" s="84"/>
      <c r="Y71" s="84"/>
      <c r="Z71" s="84"/>
      <c r="AA71" s="84"/>
      <c r="AB71" s="84"/>
      <c r="AC71" s="84"/>
      <c r="AD71" s="84"/>
    </row>
    <row r="72" spans="1:30" ht="15.75" x14ac:dyDescent="0.25">
      <c r="A72" s="13">
        <v>43101</v>
      </c>
      <c r="B72" s="97">
        <v>31</v>
      </c>
      <c r="C72" s="83">
        <f>122.58</f>
        <v>122.58</v>
      </c>
      <c r="D72" s="83">
        <f>297.941</f>
        <v>297.94099999999997</v>
      </c>
      <c r="E72" s="92">
        <f>89.177</f>
        <v>89.177000000000007</v>
      </c>
      <c r="F72" s="83">
        <f>240.302-40-60-100</f>
        <v>40.301999999999992</v>
      </c>
      <c r="G72" s="86">
        <v>40</v>
      </c>
      <c r="H72" s="83">
        <f>60+100</f>
        <v>160</v>
      </c>
      <c r="I72" s="83">
        <f t="shared" si="8"/>
        <v>0</v>
      </c>
      <c r="J72" s="86">
        <v>100</v>
      </c>
      <c r="K72" s="86">
        <v>300</v>
      </c>
      <c r="L72" s="83">
        <f t="shared" si="0"/>
        <v>1150</v>
      </c>
      <c r="M72" s="94">
        <v>400</v>
      </c>
      <c r="N72" s="83">
        <f>100</f>
        <v>100</v>
      </c>
      <c r="O72" s="86">
        <v>240</v>
      </c>
      <c r="P72" s="86">
        <v>40</v>
      </c>
      <c r="Q72" s="86">
        <f t="shared" si="1"/>
        <v>315</v>
      </c>
      <c r="R72" s="86">
        <f t="shared" si="2"/>
        <v>100</v>
      </c>
      <c r="S72" s="83">
        <f t="shared" si="3"/>
        <v>695</v>
      </c>
      <c r="T72" s="83">
        <f>50</f>
        <v>50</v>
      </c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0" ht="15.75" x14ac:dyDescent="0.25">
      <c r="A73" s="13">
        <v>43132</v>
      </c>
      <c r="B73" s="97">
        <v>28</v>
      </c>
      <c r="C73" s="83">
        <f>122.58</f>
        <v>122.58</v>
      </c>
      <c r="D73" s="83">
        <f>297.941</f>
        <v>297.94099999999997</v>
      </c>
      <c r="E73" s="92">
        <f>89.177</f>
        <v>89.177000000000007</v>
      </c>
      <c r="F73" s="83">
        <f>240.302-40-60-100</f>
        <v>40.301999999999992</v>
      </c>
      <c r="G73" s="86">
        <v>40</v>
      </c>
      <c r="H73" s="83">
        <f>60+100</f>
        <v>160</v>
      </c>
      <c r="I73" s="83">
        <f t="shared" si="8"/>
        <v>0</v>
      </c>
      <c r="J73" s="86">
        <v>100</v>
      </c>
      <c r="K73" s="86">
        <v>300</v>
      </c>
      <c r="L73" s="83">
        <f t="shared" si="0"/>
        <v>1150</v>
      </c>
      <c r="M73" s="94">
        <v>400</v>
      </c>
      <c r="N73" s="83">
        <f>100</f>
        <v>100</v>
      </c>
      <c r="O73" s="86">
        <v>240</v>
      </c>
      <c r="P73" s="86">
        <v>40</v>
      </c>
      <c r="Q73" s="86">
        <f t="shared" si="1"/>
        <v>315</v>
      </c>
      <c r="R73" s="86">
        <f t="shared" si="2"/>
        <v>100</v>
      </c>
      <c r="S73" s="83">
        <f t="shared" si="3"/>
        <v>695</v>
      </c>
      <c r="T73" s="83">
        <f>50</f>
        <v>50</v>
      </c>
      <c r="U73" s="84"/>
      <c r="V73" s="84"/>
      <c r="W73" s="84"/>
      <c r="X73" s="84"/>
      <c r="Y73" s="84"/>
      <c r="Z73" s="84"/>
      <c r="AA73" s="84"/>
      <c r="AB73" s="84"/>
      <c r="AC73" s="84"/>
      <c r="AD73" s="84"/>
    </row>
    <row r="74" spans="1:30" ht="15.75" x14ac:dyDescent="0.25">
      <c r="A74" s="13">
        <v>43160</v>
      </c>
      <c r="B74" s="97">
        <v>31</v>
      </c>
      <c r="C74" s="83">
        <f>122.58</f>
        <v>122.58</v>
      </c>
      <c r="D74" s="83">
        <f>297.941</f>
        <v>297.94099999999997</v>
      </c>
      <c r="E74" s="92">
        <f>89.177</f>
        <v>89.177000000000007</v>
      </c>
      <c r="F74" s="83">
        <f>240.302-40-60-100</f>
        <v>40.301999999999992</v>
      </c>
      <c r="G74" s="86">
        <v>40</v>
      </c>
      <c r="H74" s="83">
        <f>60+100</f>
        <v>160</v>
      </c>
      <c r="I74" s="83">
        <f t="shared" si="8"/>
        <v>0</v>
      </c>
      <c r="J74" s="86">
        <v>100</v>
      </c>
      <c r="K74" s="86">
        <v>300</v>
      </c>
      <c r="L74" s="83">
        <f t="shared" si="0"/>
        <v>1150</v>
      </c>
      <c r="M74" s="94">
        <v>400</v>
      </c>
      <c r="N74" s="83">
        <f>100</f>
        <v>100</v>
      </c>
      <c r="O74" s="86">
        <v>240</v>
      </c>
      <c r="P74" s="86">
        <v>40</v>
      </c>
      <c r="Q74" s="86">
        <f t="shared" si="1"/>
        <v>315</v>
      </c>
      <c r="R74" s="86">
        <f t="shared" si="2"/>
        <v>100</v>
      </c>
      <c r="S74" s="83">
        <f t="shared" si="3"/>
        <v>695</v>
      </c>
      <c r="T74" s="83">
        <f>50</f>
        <v>50</v>
      </c>
      <c r="U74" s="84"/>
      <c r="V74" s="84"/>
      <c r="W74" s="84"/>
      <c r="X74" s="84"/>
      <c r="Y74" s="84"/>
      <c r="Z74" s="84"/>
      <c r="AA74" s="84"/>
      <c r="AB74" s="84"/>
      <c r="AC74" s="84"/>
      <c r="AD74" s="84"/>
    </row>
    <row r="75" spans="1:30" ht="15.75" x14ac:dyDescent="0.25">
      <c r="A75" s="13">
        <v>43191</v>
      </c>
      <c r="B75" s="97">
        <v>30</v>
      </c>
      <c r="C75" s="83">
        <f>141.293</f>
        <v>141.29300000000001</v>
      </c>
      <c r="D75" s="83">
        <f>267.993</f>
        <v>267.99299999999999</v>
      </c>
      <c r="E75" s="92">
        <f>115.016</f>
        <v>115.01600000000001</v>
      </c>
      <c r="F75" s="83">
        <f>314.698-40-25-60-100</f>
        <v>89.697999999999979</v>
      </c>
      <c r="G75" s="86">
        <v>40</v>
      </c>
      <c r="H75" s="83">
        <f t="shared" ref="H75:H81" si="10">25+60+100</f>
        <v>185</v>
      </c>
      <c r="I75" s="83">
        <f t="shared" si="8"/>
        <v>0</v>
      </c>
      <c r="J75" s="86">
        <v>100</v>
      </c>
      <c r="K75" s="86">
        <v>300</v>
      </c>
      <c r="L75" s="83">
        <f t="shared" si="0"/>
        <v>1239</v>
      </c>
      <c r="M75" s="94">
        <v>400</v>
      </c>
      <c r="N75" s="83">
        <f>100</f>
        <v>100</v>
      </c>
      <c r="O75" s="86">
        <v>240</v>
      </c>
      <c r="P75" s="86">
        <v>160</v>
      </c>
      <c r="Q75" s="86">
        <f t="shared" si="1"/>
        <v>195</v>
      </c>
      <c r="R75" s="86">
        <f t="shared" si="2"/>
        <v>100</v>
      </c>
      <c r="S75" s="83">
        <f t="shared" si="3"/>
        <v>695</v>
      </c>
      <c r="T75" s="83">
        <f>50</f>
        <v>50</v>
      </c>
      <c r="U75" s="8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x14ac:dyDescent="0.25">
      <c r="A76" s="13">
        <v>43221</v>
      </c>
      <c r="B76" s="97">
        <v>31</v>
      </c>
      <c r="C76" s="83">
        <f>194.205</f>
        <v>194.20500000000001</v>
      </c>
      <c r="D76" s="83">
        <f>267.466</f>
        <v>267.46600000000001</v>
      </c>
      <c r="E76" s="92">
        <f>133.845</f>
        <v>133.845</v>
      </c>
      <c r="F76" s="83">
        <f>278.484-40-25-60-100</f>
        <v>53.48399999999998</v>
      </c>
      <c r="G76" s="86">
        <v>40</v>
      </c>
      <c r="H76" s="83">
        <f t="shared" si="10"/>
        <v>185</v>
      </c>
      <c r="I76" s="83">
        <f t="shared" si="8"/>
        <v>0</v>
      </c>
      <c r="J76" s="86">
        <v>100</v>
      </c>
      <c r="K76" s="86">
        <v>300</v>
      </c>
      <c r="L76" s="83">
        <f t="shared" si="0"/>
        <v>1274</v>
      </c>
      <c r="M76" s="94">
        <v>400</v>
      </c>
      <c r="N76" s="83">
        <f>75</f>
        <v>75</v>
      </c>
      <c r="O76" s="86">
        <v>240</v>
      </c>
      <c r="P76" s="86">
        <v>160</v>
      </c>
      <c r="Q76" s="86">
        <f t="shared" si="1"/>
        <v>195</v>
      </c>
      <c r="R76" s="86">
        <f t="shared" si="2"/>
        <v>100</v>
      </c>
      <c r="S76" s="83">
        <f t="shared" si="3"/>
        <v>695</v>
      </c>
      <c r="T76" s="83">
        <f>50</f>
        <v>50</v>
      </c>
      <c r="U76" s="8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x14ac:dyDescent="0.25">
      <c r="A77" s="13">
        <v>43252</v>
      </c>
      <c r="B77" s="97">
        <v>30</v>
      </c>
      <c r="C77" s="83">
        <f>194.205</f>
        <v>194.20500000000001</v>
      </c>
      <c r="D77" s="83">
        <f>267.466</f>
        <v>267.46600000000001</v>
      </c>
      <c r="E77" s="92">
        <f>133.845</f>
        <v>133.845</v>
      </c>
      <c r="F77" s="83">
        <f>278.484-40-25-60-100</f>
        <v>53.48399999999998</v>
      </c>
      <c r="G77" s="86">
        <v>40</v>
      </c>
      <c r="H77" s="83">
        <f t="shared" si="10"/>
        <v>185</v>
      </c>
      <c r="I77" s="83">
        <f t="shared" si="8"/>
        <v>0</v>
      </c>
      <c r="J77" s="86">
        <v>100</v>
      </c>
      <c r="K77" s="86">
        <v>300</v>
      </c>
      <c r="L77" s="83">
        <f t="shared" si="0"/>
        <v>1274</v>
      </c>
      <c r="M77" s="94">
        <v>400</v>
      </c>
      <c r="N77" s="83">
        <f>30</f>
        <v>30</v>
      </c>
      <c r="O77" s="86">
        <v>240</v>
      </c>
      <c r="P77" s="86">
        <v>160</v>
      </c>
      <c r="Q77" s="86">
        <f t="shared" si="1"/>
        <v>195</v>
      </c>
      <c r="R77" s="86">
        <f t="shared" si="2"/>
        <v>100</v>
      </c>
      <c r="S77" s="83">
        <f t="shared" si="3"/>
        <v>695</v>
      </c>
      <c r="T77" s="83">
        <f>50</f>
        <v>50</v>
      </c>
      <c r="U77" s="8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x14ac:dyDescent="0.25">
      <c r="A78" s="13">
        <v>43282</v>
      </c>
      <c r="B78" s="97">
        <v>31</v>
      </c>
      <c r="C78" s="83">
        <f>194.205</f>
        <v>194.20500000000001</v>
      </c>
      <c r="D78" s="83">
        <f>267.466</f>
        <v>267.46600000000001</v>
      </c>
      <c r="E78" s="92">
        <f>133.845</f>
        <v>133.845</v>
      </c>
      <c r="F78" s="83">
        <f>278.484-40-25-60-100</f>
        <v>53.48399999999998</v>
      </c>
      <c r="G78" s="86">
        <v>40</v>
      </c>
      <c r="H78" s="83">
        <f t="shared" si="10"/>
        <v>185</v>
      </c>
      <c r="I78" s="83">
        <f t="shared" si="8"/>
        <v>0</v>
      </c>
      <c r="J78" s="86">
        <v>100</v>
      </c>
      <c r="K78" s="86">
        <v>300</v>
      </c>
      <c r="L78" s="83">
        <f t="shared" si="0"/>
        <v>1274</v>
      </c>
      <c r="M78" s="94">
        <v>400</v>
      </c>
      <c r="N78" s="83">
        <f>30</f>
        <v>30</v>
      </c>
      <c r="O78" s="86">
        <v>240</v>
      </c>
      <c r="P78" s="86">
        <v>160</v>
      </c>
      <c r="Q78" s="86">
        <f t="shared" si="1"/>
        <v>195</v>
      </c>
      <c r="R78" s="86">
        <f t="shared" si="2"/>
        <v>100</v>
      </c>
      <c r="S78" s="83">
        <f t="shared" si="3"/>
        <v>695</v>
      </c>
      <c r="T78" s="83">
        <f>0</f>
        <v>0</v>
      </c>
      <c r="U78" s="84"/>
      <c r="V78" s="84"/>
      <c r="W78" s="84"/>
      <c r="X78" s="84"/>
      <c r="Y78" s="84"/>
      <c r="Z78" s="84"/>
      <c r="AA78" s="84"/>
      <c r="AB78" s="84"/>
      <c r="AC78" s="84"/>
      <c r="AD78" s="84"/>
    </row>
    <row r="79" spans="1:30" ht="15.75" x14ac:dyDescent="0.25">
      <c r="A79" s="13">
        <v>43313</v>
      </c>
      <c r="B79" s="97">
        <v>31</v>
      </c>
      <c r="C79" s="83">
        <f>194.205</f>
        <v>194.20500000000001</v>
      </c>
      <c r="D79" s="83">
        <f>267.466</f>
        <v>267.46600000000001</v>
      </c>
      <c r="E79" s="92">
        <f>133.845</f>
        <v>133.845</v>
      </c>
      <c r="F79" s="83">
        <f>278.484-40-25-60-100</f>
        <v>53.48399999999998</v>
      </c>
      <c r="G79" s="86">
        <v>40</v>
      </c>
      <c r="H79" s="83">
        <f t="shared" si="10"/>
        <v>185</v>
      </c>
      <c r="I79" s="83">
        <f t="shared" si="8"/>
        <v>0</v>
      </c>
      <c r="J79" s="86">
        <v>100</v>
      </c>
      <c r="K79" s="86">
        <v>300</v>
      </c>
      <c r="L79" s="83">
        <f t="shared" si="0"/>
        <v>1274</v>
      </c>
      <c r="M79" s="94">
        <v>400</v>
      </c>
      <c r="N79" s="83">
        <f>30</f>
        <v>30</v>
      </c>
      <c r="O79" s="86">
        <v>240</v>
      </c>
      <c r="P79" s="86">
        <v>160</v>
      </c>
      <c r="Q79" s="86">
        <f t="shared" si="1"/>
        <v>195</v>
      </c>
      <c r="R79" s="86">
        <f t="shared" si="2"/>
        <v>100</v>
      </c>
      <c r="S79" s="83">
        <f t="shared" si="3"/>
        <v>695</v>
      </c>
      <c r="T79" s="83">
        <f>0</f>
        <v>0</v>
      </c>
      <c r="U79" s="84"/>
      <c r="V79" s="84"/>
      <c r="W79" s="84"/>
      <c r="X79" s="84"/>
      <c r="Y79" s="84"/>
      <c r="Z79" s="84"/>
      <c r="AA79" s="84"/>
      <c r="AB79" s="84"/>
      <c r="AC79" s="84"/>
      <c r="AD79" s="84"/>
    </row>
    <row r="80" spans="1:30" ht="15.75" x14ac:dyDescent="0.25">
      <c r="A80" s="13">
        <v>43344</v>
      </c>
      <c r="B80" s="97">
        <v>30</v>
      </c>
      <c r="C80" s="83">
        <f>194.205</f>
        <v>194.20500000000001</v>
      </c>
      <c r="D80" s="83">
        <f>267.466</f>
        <v>267.46600000000001</v>
      </c>
      <c r="E80" s="92">
        <f>133.845</f>
        <v>133.845</v>
      </c>
      <c r="F80" s="83">
        <f>278.484-40-25-60-100</f>
        <v>53.48399999999998</v>
      </c>
      <c r="G80" s="86">
        <v>40</v>
      </c>
      <c r="H80" s="83">
        <f t="shared" si="10"/>
        <v>185</v>
      </c>
      <c r="I80" s="83">
        <f t="shared" si="8"/>
        <v>0</v>
      </c>
      <c r="J80" s="86">
        <v>100</v>
      </c>
      <c r="K80" s="86">
        <v>300</v>
      </c>
      <c r="L80" s="83">
        <f t="shared" si="0"/>
        <v>1274</v>
      </c>
      <c r="M80" s="94">
        <v>400</v>
      </c>
      <c r="N80" s="83">
        <f>30</f>
        <v>30</v>
      </c>
      <c r="O80" s="86">
        <v>240</v>
      </c>
      <c r="P80" s="86">
        <v>160</v>
      </c>
      <c r="Q80" s="86">
        <f t="shared" si="1"/>
        <v>195</v>
      </c>
      <c r="R80" s="86">
        <f t="shared" si="2"/>
        <v>100</v>
      </c>
      <c r="S80" s="83">
        <f t="shared" si="3"/>
        <v>695</v>
      </c>
      <c r="T80" s="83">
        <f>0</f>
        <v>0</v>
      </c>
      <c r="U80" s="84"/>
      <c r="V80" s="84"/>
      <c r="W80" s="84"/>
      <c r="X80" s="84"/>
      <c r="Y80" s="84"/>
      <c r="Z80" s="84"/>
      <c r="AA80" s="84"/>
      <c r="AB80" s="84"/>
      <c r="AC80" s="84"/>
      <c r="AD80" s="84"/>
    </row>
    <row r="81" spans="1:30" ht="15.75" x14ac:dyDescent="0.25">
      <c r="A81" s="13">
        <v>43374</v>
      </c>
      <c r="B81" s="97">
        <v>31</v>
      </c>
      <c r="C81" s="83">
        <f>131.881</f>
        <v>131.881</v>
      </c>
      <c r="D81" s="83">
        <f>277.167</f>
        <v>277.16699999999997</v>
      </c>
      <c r="E81" s="92">
        <f>79.08</f>
        <v>79.08</v>
      </c>
      <c r="F81" s="83">
        <f>350.872-40-25-60-100</f>
        <v>125.87200000000001</v>
      </c>
      <c r="G81" s="86">
        <v>40</v>
      </c>
      <c r="H81" s="83">
        <f t="shared" si="10"/>
        <v>185</v>
      </c>
      <c r="I81" s="83">
        <f t="shared" si="8"/>
        <v>0</v>
      </c>
      <c r="J81" s="86">
        <v>100</v>
      </c>
      <c r="K81" s="86">
        <v>300</v>
      </c>
      <c r="L81" s="83">
        <f t="shared" si="0"/>
        <v>1239</v>
      </c>
      <c r="M81" s="94">
        <v>400</v>
      </c>
      <c r="N81" s="83">
        <f>75</f>
        <v>75</v>
      </c>
      <c r="O81" s="86">
        <v>240</v>
      </c>
      <c r="P81" s="86">
        <v>160</v>
      </c>
      <c r="Q81" s="86">
        <f t="shared" si="1"/>
        <v>195</v>
      </c>
      <c r="R81" s="86">
        <f t="shared" si="2"/>
        <v>100</v>
      </c>
      <c r="S81" s="83">
        <f t="shared" si="3"/>
        <v>695</v>
      </c>
      <c r="T81" s="83">
        <f>0</f>
        <v>0</v>
      </c>
      <c r="U81" s="84"/>
      <c r="V81" s="84"/>
      <c r="W81" s="84"/>
      <c r="X81" s="84"/>
      <c r="Y81" s="84"/>
      <c r="Z81" s="84"/>
      <c r="AA81" s="84"/>
      <c r="AB81" s="84"/>
      <c r="AC81" s="84"/>
      <c r="AD81" s="84"/>
    </row>
    <row r="82" spans="1:30" ht="15.75" x14ac:dyDescent="0.25">
      <c r="A82" s="13">
        <v>43405</v>
      </c>
      <c r="B82" s="97">
        <v>30</v>
      </c>
      <c r="C82" s="83">
        <f>122.58</f>
        <v>122.58</v>
      </c>
      <c r="D82" s="83">
        <f>297.941</f>
        <v>297.94099999999997</v>
      </c>
      <c r="E82" s="92">
        <f>89.177</f>
        <v>89.177000000000007</v>
      </c>
      <c r="F82" s="83">
        <f>240.302-40-60-100</f>
        <v>40.301999999999992</v>
      </c>
      <c r="G82" s="86">
        <v>40</v>
      </c>
      <c r="H82" s="83">
        <f>60+100</f>
        <v>160</v>
      </c>
      <c r="I82" s="83">
        <f t="shared" si="8"/>
        <v>0</v>
      </c>
      <c r="J82" s="86">
        <v>100</v>
      </c>
      <c r="K82" s="86">
        <v>300</v>
      </c>
      <c r="L82" s="83">
        <f t="shared" si="0"/>
        <v>1150</v>
      </c>
      <c r="M82" s="94">
        <v>400</v>
      </c>
      <c r="N82" s="83">
        <f>100</f>
        <v>100</v>
      </c>
      <c r="O82" s="86">
        <v>240</v>
      </c>
      <c r="P82" s="86">
        <v>40</v>
      </c>
      <c r="Q82" s="86">
        <f t="shared" si="1"/>
        <v>315</v>
      </c>
      <c r="R82" s="86">
        <f t="shared" si="2"/>
        <v>100</v>
      </c>
      <c r="S82" s="83">
        <f t="shared" si="3"/>
        <v>695</v>
      </c>
      <c r="T82" s="83">
        <f>50</f>
        <v>50</v>
      </c>
      <c r="U82" s="84"/>
      <c r="V82" s="84"/>
      <c r="W82" s="84"/>
      <c r="X82" s="84"/>
      <c r="Y82" s="84"/>
      <c r="Z82" s="84"/>
      <c r="AA82" s="84"/>
      <c r="AB82" s="84"/>
      <c r="AC82" s="84"/>
      <c r="AD82" s="84"/>
    </row>
    <row r="83" spans="1:30" ht="15.75" x14ac:dyDescent="0.25">
      <c r="A83" s="13">
        <v>43435</v>
      </c>
      <c r="B83" s="97">
        <v>31</v>
      </c>
      <c r="C83" s="83">
        <f>122.58</f>
        <v>122.58</v>
      </c>
      <c r="D83" s="83">
        <f>297.941</f>
        <v>297.94099999999997</v>
      </c>
      <c r="E83" s="92">
        <f>89.177</f>
        <v>89.177000000000007</v>
      </c>
      <c r="F83" s="83">
        <f>240.302-40-60-100</f>
        <v>40.301999999999992</v>
      </c>
      <c r="G83" s="86">
        <v>40</v>
      </c>
      <c r="H83" s="83">
        <f>60+100</f>
        <v>160</v>
      </c>
      <c r="I83" s="83">
        <f t="shared" si="8"/>
        <v>0</v>
      </c>
      <c r="J83" s="86">
        <v>100</v>
      </c>
      <c r="K83" s="86">
        <v>300</v>
      </c>
      <c r="L83" s="83">
        <f t="shared" si="0"/>
        <v>1150</v>
      </c>
      <c r="M83" s="94">
        <v>400</v>
      </c>
      <c r="N83" s="83">
        <f>100</f>
        <v>100</v>
      </c>
      <c r="O83" s="86">
        <v>240</v>
      </c>
      <c r="P83" s="86">
        <v>40</v>
      </c>
      <c r="Q83" s="86">
        <f t="shared" si="1"/>
        <v>315</v>
      </c>
      <c r="R83" s="86">
        <f t="shared" si="2"/>
        <v>100</v>
      </c>
      <c r="S83" s="83">
        <f t="shared" si="3"/>
        <v>695</v>
      </c>
      <c r="T83" s="83">
        <f>50</f>
        <v>50</v>
      </c>
      <c r="U83" s="84"/>
      <c r="V83" s="84"/>
      <c r="W83" s="84"/>
      <c r="X83" s="84"/>
      <c r="Y83" s="84"/>
      <c r="Z83" s="84"/>
      <c r="AA83" s="84"/>
      <c r="AB83" s="84"/>
      <c r="AC83" s="84"/>
      <c r="AD83" s="84"/>
    </row>
    <row r="84" spans="1:30" ht="15.75" x14ac:dyDescent="0.25">
      <c r="A84" s="13">
        <v>43466</v>
      </c>
      <c r="B84" s="97">
        <v>31</v>
      </c>
      <c r="C84" s="83">
        <f>122.58</f>
        <v>122.58</v>
      </c>
      <c r="D84" s="83">
        <f>297.941</f>
        <v>297.94099999999997</v>
      </c>
      <c r="E84" s="92">
        <f>89.177</f>
        <v>89.177000000000007</v>
      </c>
      <c r="F84" s="83">
        <f>240.302-40-60-100</f>
        <v>40.301999999999992</v>
      </c>
      <c r="G84" s="86">
        <v>40</v>
      </c>
      <c r="H84" s="83">
        <f>60+100</f>
        <v>160</v>
      </c>
      <c r="I84" s="83">
        <f t="shared" si="8"/>
        <v>0</v>
      </c>
      <c r="J84" s="86">
        <v>100</v>
      </c>
      <c r="K84" s="86">
        <v>300</v>
      </c>
      <c r="L84" s="83">
        <f t="shared" si="0"/>
        <v>1150</v>
      </c>
      <c r="M84" s="94">
        <v>400</v>
      </c>
      <c r="N84" s="83">
        <f>100</f>
        <v>100</v>
      </c>
      <c r="O84" s="86">
        <v>240</v>
      </c>
      <c r="P84" s="86">
        <v>40</v>
      </c>
      <c r="Q84" s="86">
        <f t="shared" si="1"/>
        <v>315</v>
      </c>
      <c r="R84" s="86">
        <f t="shared" si="2"/>
        <v>100</v>
      </c>
      <c r="S84" s="83">
        <f t="shared" si="3"/>
        <v>695</v>
      </c>
      <c r="T84" s="83">
        <f>50</f>
        <v>50</v>
      </c>
      <c r="U84" s="84"/>
      <c r="V84" s="84"/>
      <c r="W84" s="84"/>
      <c r="X84" s="84"/>
      <c r="Y84" s="84"/>
      <c r="Z84" s="84"/>
      <c r="AA84" s="84"/>
      <c r="AB84" s="84"/>
      <c r="AC84" s="84"/>
      <c r="AD84" s="84"/>
    </row>
    <row r="85" spans="1:30" ht="15.75" x14ac:dyDescent="0.25">
      <c r="A85" s="13">
        <v>43497</v>
      </c>
      <c r="B85" s="97">
        <v>28</v>
      </c>
      <c r="C85" s="83">
        <f>122.58</f>
        <v>122.58</v>
      </c>
      <c r="D85" s="83">
        <f>297.941</f>
        <v>297.94099999999997</v>
      </c>
      <c r="E85" s="92">
        <f>89.177</f>
        <v>89.177000000000007</v>
      </c>
      <c r="F85" s="83">
        <f>240.302-40-60-100</f>
        <v>40.301999999999992</v>
      </c>
      <c r="G85" s="86">
        <v>40</v>
      </c>
      <c r="H85" s="83">
        <f>60+100</f>
        <v>160</v>
      </c>
      <c r="I85" s="83">
        <f t="shared" si="8"/>
        <v>0</v>
      </c>
      <c r="J85" s="86">
        <v>100</v>
      </c>
      <c r="K85" s="86">
        <v>300</v>
      </c>
      <c r="L85" s="83">
        <f t="shared" ref="L85:L148" si="11">SUM(C85:K85)</f>
        <v>1150</v>
      </c>
      <c r="M85" s="94">
        <v>400</v>
      </c>
      <c r="N85" s="83">
        <f>100</f>
        <v>100</v>
      </c>
      <c r="O85" s="86">
        <v>240</v>
      </c>
      <c r="P85" s="86">
        <v>40</v>
      </c>
      <c r="Q85" s="86">
        <f t="shared" ref="Q85:Q148" si="12">695-R85-O85-P85</f>
        <v>315</v>
      </c>
      <c r="R85" s="86">
        <f t="shared" ref="R85:R148" si="13">200-J85</f>
        <v>100</v>
      </c>
      <c r="S85" s="83">
        <f t="shared" ref="S85:S148" si="14">SUM(O85:R85)</f>
        <v>695</v>
      </c>
      <c r="T85" s="83">
        <f>50</f>
        <v>50</v>
      </c>
      <c r="U85" s="84"/>
      <c r="V85" s="84"/>
      <c r="W85" s="84"/>
      <c r="X85" s="84"/>
      <c r="Y85" s="84"/>
      <c r="Z85" s="84"/>
      <c r="AA85" s="84"/>
      <c r="AB85" s="84"/>
      <c r="AC85" s="84"/>
      <c r="AD85" s="84"/>
    </row>
    <row r="86" spans="1:30" ht="15.75" x14ac:dyDescent="0.25">
      <c r="A86" s="13">
        <v>43525</v>
      </c>
      <c r="B86" s="97">
        <v>31</v>
      </c>
      <c r="C86" s="83">
        <f>122.58</f>
        <v>122.58</v>
      </c>
      <c r="D86" s="83">
        <f>297.941</f>
        <v>297.94099999999997</v>
      </c>
      <c r="E86" s="92">
        <f>89.177</f>
        <v>89.177000000000007</v>
      </c>
      <c r="F86" s="83">
        <f>240.302-40-60-100</f>
        <v>40.301999999999992</v>
      </c>
      <c r="G86" s="86">
        <v>40</v>
      </c>
      <c r="H86" s="83">
        <f>60+100</f>
        <v>160</v>
      </c>
      <c r="I86" s="83">
        <f t="shared" si="8"/>
        <v>0</v>
      </c>
      <c r="J86" s="86">
        <v>100</v>
      </c>
      <c r="K86" s="86">
        <v>300</v>
      </c>
      <c r="L86" s="83">
        <f t="shared" si="11"/>
        <v>1150</v>
      </c>
      <c r="M86" s="94">
        <v>400</v>
      </c>
      <c r="N86" s="83">
        <f>100</f>
        <v>100</v>
      </c>
      <c r="O86" s="86">
        <v>240</v>
      </c>
      <c r="P86" s="86">
        <v>40</v>
      </c>
      <c r="Q86" s="86">
        <f t="shared" si="12"/>
        <v>315</v>
      </c>
      <c r="R86" s="86">
        <f t="shared" si="13"/>
        <v>100</v>
      </c>
      <c r="S86" s="83">
        <f t="shared" si="14"/>
        <v>695</v>
      </c>
      <c r="T86" s="83">
        <f>50</f>
        <v>50</v>
      </c>
      <c r="U86" s="8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15.75" x14ac:dyDescent="0.25">
      <c r="A87" s="13">
        <v>43556</v>
      </c>
      <c r="B87" s="97">
        <v>30</v>
      </c>
      <c r="C87" s="83">
        <f>141.293</f>
        <v>141.29300000000001</v>
      </c>
      <c r="D87" s="83">
        <f>267.993</f>
        <v>267.99299999999999</v>
      </c>
      <c r="E87" s="92">
        <f>115.016</f>
        <v>115.01600000000001</v>
      </c>
      <c r="F87" s="83">
        <f>314.698-40-25-60-100</f>
        <v>89.697999999999979</v>
      </c>
      <c r="G87" s="86">
        <v>40</v>
      </c>
      <c r="H87" s="83">
        <f t="shared" ref="H87:H93" si="15">25+60+100</f>
        <v>185</v>
      </c>
      <c r="I87" s="83">
        <f t="shared" si="8"/>
        <v>0</v>
      </c>
      <c r="J87" s="86">
        <v>100</v>
      </c>
      <c r="K87" s="86">
        <v>300</v>
      </c>
      <c r="L87" s="83">
        <f t="shared" si="11"/>
        <v>1239</v>
      </c>
      <c r="M87" s="94">
        <v>400</v>
      </c>
      <c r="N87" s="83">
        <f>100</f>
        <v>100</v>
      </c>
      <c r="O87" s="86">
        <v>240</v>
      </c>
      <c r="P87" s="86">
        <v>160</v>
      </c>
      <c r="Q87" s="86">
        <f t="shared" si="12"/>
        <v>195</v>
      </c>
      <c r="R87" s="86">
        <f t="shared" si="13"/>
        <v>100</v>
      </c>
      <c r="S87" s="83">
        <f t="shared" si="14"/>
        <v>695</v>
      </c>
      <c r="T87" s="83">
        <f>50</f>
        <v>50</v>
      </c>
      <c r="U87" s="8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15.75" x14ac:dyDescent="0.25">
      <c r="A88" s="13">
        <v>43586</v>
      </c>
      <c r="B88" s="97">
        <v>31</v>
      </c>
      <c r="C88" s="83">
        <f>194.205</f>
        <v>194.20500000000001</v>
      </c>
      <c r="D88" s="83">
        <f>267.466</f>
        <v>267.46600000000001</v>
      </c>
      <c r="E88" s="92">
        <f>133.845</f>
        <v>133.845</v>
      </c>
      <c r="F88" s="83">
        <f>278.484-40-25-60-100</f>
        <v>53.48399999999998</v>
      </c>
      <c r="G88" s="86">
        <v>40</v>
      </c>
      <c r="H88" s="83">
        <f t="shared" si="15"/>
        <v>185</v>
      </c>
      <c r="I88" s="83">
        <f t="shared" si="8"/>
        <v>0</v>
      </c>
      <c r="J88" s="86">
        <v>100</v>
      </c>
      <c r="K88" s="86">
        <v>300</v>
      </c>
      <c r="L88" s="83">
        <f t="shared" si="11"/>
        <v>1274</v>
      </c>
      <c r="M88" s="94">
        <v>400</v>
      </c>
      <c r="N88" s="83">
        <f>75</f>
        <v>75</v>
      </c>
      <c r="O88" s="86">
        <v>240</v>
      </c>
      <c r="P88" s="86">
        <v>160</v>
      </c>
      <c r="Q88" s="86">
        <f t="shared" si="12"/>
        <v>195</v>
      </c>
      <c r="R88" s="86">
        <f t="shared" si="13"/>
        <v>100</v>
      </c>
      <c r="S88" s="83">
        <f t="shared" si="14"/>
        <v>695</v>
      </c>
      <c r="T88" s="83">
        <f>50</f>
        <v>50</v>
      </c>
      <c r="U88" s="8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15.75" x14ac:dyDescent="0.25">
      <c r="A89" s="13">
        <v>43617</v>
      </c>
      <c r="B89" s="97">
        <v>30</v>
      </c>
      <c r="C89" s="83">
        <f>194.205</f>
        <v>194.20500000000001</v>
      </c>
      <c r="D89" s="83">
        <f>267.466</f>
        <v>267.46600000000001</v>
      </c>
      <c r="E89" s="92">
        <f>133.845</f>
        <v>133.845</v>
      </c>
      <c r="F89" s="83">
        <f>278.484-40-25-60-100</f>
        <v>53.48399999999998</v>
      </c>
      <c r="G89" s="86">
        <v>40</v>
      </c>
      <c r="H89" s="83">
        <f t="shared" si="15"/>
        <v>185</v>
      </c>
      <c r="I89" s="83">
        <f t="shared" si="8"/>
        <v>0</v>
      </c>
      <c r="J89" s="86">
        <v>100</v>
      </c>
      <c r="K89" s="86">
        <v>300</v>
      </c>
      <c r="L89" s="83">
        <f t="shared" si="11"/>
        <v>1274</v>
      </c>
      <c r="M89" s="94">
        <v>400</v>
      </c>
      <c r="N89" s="83">
        <f>30</f>
        <v>30</v>
      </c>
      <c r="O89" s="86">
        <v>240</v>
      </c>
      <c r="P89" s="86">
        <v>160</v>
      </c>
      <c r="Q89" s="86">
        <f t="shared" si="12"/>
        <v>195</v>
      </c>
      <c r="R89" s="86">
        <f t="shared" si="13"/>
        <v>100</v>
      </c>
      <c r="S89" s="83">
        <f t="shared" si="14"/>
        <v>695</v>
      </c>
      <c r="T89" s="83">
        <f>50</f>
        <v>50</v>
      </c>
      <c r="U89" s="8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15.75" x14ac:dyDescent="0.25">
      <c r="A90" s="13">
        <v>43647</v>
      </c>
      <c r="B90" s="97">
        <v>31</v>
      </c>
      <c r="C90" s="83">
        <f>194.205</f>
        <v>194.20500000000001</v>
      </c>
      <c r="D90" s="83">
        <f>267.466</f>
        <v>267.46600000000001</v>
      </c>
      <c r="E90" s="92">
        <f>133.845</f>
        <v>133.845</v>
      </c>
      <c r="F90" s="83">
        <f>278.484-40-25-60-100</f>
        <v>53.48399999999998</v>
      </c>
      <c r="G90" s="86">
        <v>40</v>
      </c>
      <c r="H90" s="83">
        <f t="shared" si="15"/>
        <v>185</v>
      </c>
      <c r="I90" s="83">
        <f t="shared" si="8"/>
        <v>0</v>
      </c>
      <c r="J90" s="86">
        <v>100</v>
      </c>
      <c r="K90" s="86">
        <v>300</v>
      </c>
      <c r="L90" s="83">
        <f t="shared" si="11"/>
        <v>1274</v>
      </c>
      <c r="M90" s="94">
        <v>400</v>
      </c>
      <c r="N90" s="83">
        <f>30</f>
        <v>30</v>
      </c>
      <c r="O90" s="86">
        <v>240</v>
      </c>
      <c r="P90" s="86">
        <v>160</v>
      </c>
      <c r="Q90" s="86">
        <f t="shared" si="12"/>
        <v>195</v>
      </c>
      <c r="R90" s="86">
        <f t="shared" si="13"/>
        <v>100</v>
      </c>
      <c r="S90" s="83">
        <f t="shared" si="14"/>
        <v>695</v>
      </c>
      <c r="T90" s="83">
        <f>0</f>
        <v>0</v>
      </c>
      <c r="U90" s="8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15.75" x14ac:dyDescent="0.25">
      <c r="A91" s="13">
        <v>43678</v>
      </c>
      <c r="B91" s="97">
        <v>31</v>
      </c>
      <c r="C91" s="83">
        <f>194.205</f>
        <v>194.20500000000001</v>
      </c>
      <c r="D91" s="83">
        <f>267.466</f>
        <v>267.46600000000001</v>
      </c>
      <c r="E91" s="92">
        <f>133.845</f>
        <v>133.845</v>
      </c>
      <c r="F91" s="83">
        <f>278.484-40-25-60-100</f>
        <v>53.48399999999998</v>
      </c>
      <c r="G91" s="86">
        <v>40</v>
      </c>
      <c r="H91" s="83">
        <f t="shared" si="15"/>
        <v>185</v>
      </c>
      <c r="I91" s="83">
        <f t="shared" si="8"/>
        <v>0</v>
      </c>
      <c r="J91" s="86">
        <v>100</v>
      </c>
      <c r="K91" s="86">
        <v>300</v>
      </c>
      <c r="L91" s="83">
        <f t="shared" si="11"/>
        <v>1274</v>
      </c>
      <c r="M91" s="94">
        <v>400</v>
      </c>
      <c r="N91" s="83">
        <f>30</f>
        <v>30</v>
      </c>
      <c r="O91" s="86">
        <v>240</v>
      </c>
      <c r="P91" s="86">
        <v>160</v>
      </c>
      <c r="Q91" s="86">
        <f t="shared" si="12"/>
        <v>195</v>
      </c>
      <c r="R91" s="86">
        <f t="shared" si="13"/>
        <v>100</v>
      </c>
      <c r="S91" s="83">
        <f t="shared" si="14"/>
        <v>695</v>
      </c>
      <c r="T91" s="83">
        <f>0</f>
        <v>0</v>
      </c>
      <c r="U91" s="8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15.75" x14ac:dyDescent="0.25">
      <c r="A92" s="13">
        <v>43709</v>
      </c>
      <c r="B92" s="97">
        <v>30</v>
      </c>
      <c r="C92" s="83">
        <f>194.205</f>
        <v>194.20500000000001</v>
      </c>
      <c r="D92" s="83">
        <f>267.466</f>
        <v>267.46600000000001</v>
      </c>
      <c r="E92" s="92">
        <f>133.845</f>
        <v>133.845</v>
      </c>
      <c r="F92" s="83">
        <f>278.484-40-25-60-100</f>
        <v>53.48399999999998</v>
      </c>
      <c r="G92" s="86">
        <v>40</v>
      </c>
      <c r="H92" s="83">
        <f t="shared" si="15"/>
        <v>185</v>
      </c>
      <c r="I92" s="83">
        <f t="shared" si="8"/>
        <v>0</v>
      </c>
      <c r="J92" s="86">
        <v>100</v>
      </c>
      <c r="K92" s="86">
        <v>300</v>
      </c>
      <c r="L92" s="83">
        <f t="shared" si="11"/>
        <v>1274</v>
      </c>
      <c r="M92" s="94">
        <v>400</v>
      </c>
      <c r="N92" s="83">
        <f>30</f>
        <v>30</v>
      </c>
      <c r="O92" s="86">
        <v>240</v>
      </c>
      <c r="P92" s="86">
        <v>160</v>
      </c>
      <c r="Q92" s="86">
        <f t="shared" si="12"/>
        <v>195</v>
      </c>
      <c r="R92" s="86">
        <f t="shared" si="13"/>
        <v>100</v>
      </c>
      <c r="S92" s="83">
        <f t="shared" si="14"/>
        <v>695</v>
      </c>
      <c r="T92" s="83">
        <f>0</f>
        <v>0</v>
      </c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x14ac:dyDescent="0.25">
      <c r="A93" s="13">
        <v>43739</v>
      </c>
      <c r="B93" s="97">
        <v>31</v>
      </c>
      <c r="C93" s="83">
        <f>131.881</f>
        <v>131.881</v>
      </c>
      <c r="D93" s="83">
        <f>277.167</f>
        <v>277.16699999999997</v>
      </c>
      <c r="E93" s="92">
        <f>79.08</f>
        <v>79.08</v>
      </c>
      <c r="F93" s="83">
        <f>350.872-40-25-60-100</f>
        <v>125.87200000000001</v>
      </c>
      <c r="G93" s="86">
        <v>40</v>
      </c>
      <c r="H93" s="83">
        <f t="shared" si="15"/>
        <v>185</v>
      </c>
      <c r="I93" s="83">
        <f t="shared" si="8"/>
        <v>0</v>
      </c>
      <c r="J93" s="86">
        <v>100</v>
      </c>
      <c r="K93" s="86">
        <v>300</v>
      </c>
      <c r="L93" s="83">
        <f t="shared" si="11"/>
        <v>1239</v>
      </c>
      <c r="M93" s="94">
        <v>400</v>
      </c>
      <c r="N93" s="83">
        <f>75</f>
        <v>75</v>
      </c>
      <c r="O93" s="86">
        <v>240</v>
      </c>
      <c r="P93" s="86">
        <v>160</v>
      </c>
      <c r="Q93" s="86">
        <f t="shared" si="12"/>
        <v>195</v>
      </c>
      <c r="R93" s="86">
        <f t="shared" si="13"/>
        <v>100</v>
      </c>
      <c r="S93" s="83">
        <f t="shared" si="14"/>
        <v>695</v>
      </c>
      <c r="T93" s="83">
        <f>0</f>
        <v>0</v>
      </c>
      <c r="U93" s="84"/>
      <c r="V93" s="84"/>
      <c r="W93" s="84"/>
      <c r="X93" s="84"/>
      <c r="Y93" s="84"/>
      <c r="Z93" s="84"/>
      <c r="AA93" s="84"/>
      <c r="AB93" s="84"/>
      <c r="AC93" s="84"/>
      <c r="AD93" s="84"/>
    </row>
    <row r="94" spans="1:30" ht="15.75" x14ac:dyDescent="0.25">
      <c r="A94" s="13">
        <v>43770</v>
      </c>
      <c r="B94" s="97">
        <v>30</v>
      </c>
      <c r="C94" s="83">
        <f>122.58</f>
        <v>122.58</v>
      </c>
      <c r="D94" s="83">
        <f>297.941</f>
        <v>297.94099999999997</v>
      </c>
      <c r="E94" s="92">
        <f>89.177</f>
        <v>89.177000000000007</v>
      </c>
      <c r="F94" s="83">
        <f>240.302-40-60-100</f>
        <v>40.301999999999992</v>
      </c>
      <c r="G94" s="86">
        <v>40</v>
      </c>
      <c r="H94" s="83">
        <f>60+100</f>
        <v>160</v>
      </c>
      <c r="I94" s="83">
        <f t="shared" si="8"/>
        <v>0</v>
      </c>
      <c r="J94" s="86">
        <v>100</v>
      </c>
      <c r="K94" s="86">
        <v>300</v>
      </c>
      <c r="L94" s="83">
        <f t="shared" si="11"/>
        <v>1150</v>
      </c>
      <c r="M94" s="94">
        <v>400</v>
      </c>
      <c r="N94" s="83">
        <f>100</f>
        <v>100</v>
      </c>
      <c r="O94" s="86">
        <v>240</v>
      </c>
      <c r="P94" s="86">
        <v>40</v>
      </c>
      <c r="Q94" s="86">
        <f t="shared" si="12"/>
        <v>315</v>
      </c>
      <c r="R94" s="86">
        <f t="shared" si="13"/>
        <v>100</v>
      </c>
      <c r="S94" s="83">
        <f t="shared" si="14"/>
        <v>695</v>
      </c>
      <c r="T94" s="83">
        <f>50</f>
        <v>50</v>
      </c>
      <c r="U94" s="84"/>
      <c r="V94" s="84"/>
      <c r="W94" s="84"/>
      <c r="X94" s="84"/>
      <c r="Y94" s="84"/>
      <c r="Z94" s="84"/>
      <c r="AA94" s="84"/>
      <c r="AB94" s="84"/>
      <c r="AC94" s="84"/>
      <c r="AD94" s="84"/>
    </row>
    <row r="95" spans="1:30" ht="15.75" x14ac:dyDescent="0.25">
      <c r="A95" s="13">
        <v>43800</v>
      </c>
      <c r="B95" s="97">
        <v>31</v>
      </c>
      <c r="C95" s="83">
        <f>122.58</f>
        <v>122.58</v>
      </c>
      <c r="D95" s="83">
        <f>297.941</f>
        <v>297.94099999999997</v>
      </c>
      <c r="E95" s="92">
        <f>89.177</f>
        <v>89.177000000000007</v>
      </c>
      <c r="F95" s="83">
        <f>240.302-40-60-100</f>
        <v>40.301999999999992</v>
      </c>
      <c r="G95" s="86">
        <v>40</v>
      </c>
      <c r="H95" s="83">
        <f>60+100</f>
        <v>160</v>
      </c>
      <c r="I95" s="83">
        <f t="shared" si="8"/>
        <v>0</v>
      </c>
      <c r="J95" s="86">
        <v>100</v>
      </c>
      <c r="K95" s="86">
        <v>300</v>
      </c>
      <c r="L95" s="83">
        <f t="shared" si="11"/>
        <v>1150</v>
      </c>
      <c r="M95" s="94">
        <v>400</v>
      </c>
      <c r="N95" s="83">
        <f>100</f>
        <v>100</v>
      </c>
      <c r="O95" s="86">
        <v>240</v>
      </c>
      <c r="P95" s="86">
        <v>40</v>
      </c>
      <c r="Q95" s="86">
        <f t="shared" si="12"/>
        <v>315</v>
      </c>
      <c r="R95" s="86">
        <f t="shared" si="13"/>
        <v>100</v>
      </c>
      <c r="S95" s="83">
        <f t="shared" si="14"/>
        <v>695</v>
      </c>
      <c r="T95" s="83">
        <f>50</f>
        <v>50</v>
      </c>
      <c r="U95" s="84"/>
      <c r="V95" s="84"/>
      <c r="W95" s="84"/>
      <c r="X95" s="84"/>
      <c r="Y95" s="84"/>
      <c r="Z95" s="84"/>
      <c r="AA95" s="84"/>
      <c r="AB95" s="84"/>
      <c r="AC95" s="84"/>
      <c r="AD95" s="84"/>
    </row>
    <row r="96" spans="1:30" ht="15.75" x14ac:dyDescent="0.25">
      <c r="A96" s="13">
        <v>43831</v>
      </c>
      <c r="B96" s="97">
        <v>31</v>
      </c>
      <c r="C96" s="83">
        <f>122.58</f>
        <v>122.58</v>
      </c>
      <c r="D96" s="83">
        <f>297.941</f>
        <v>297.94099999999997</v>
      </c>
      <c r="E96" s="92">
        <f>89.177</f>
        <v>89.177000000000007</v>
      </c>
      <c r="F96" s="83">
        <f>240.302-40-60-100</f>
        <v>40.301999999999992</v>
      </c>
      <c r="G96" s="86">
        <v>40</v>
      </c>
      <c r="H96" s="83">
        <f>60+100</f>
        <v>160</v>
      </c>
      <c r="I96" s="83">
        <f t="shared" si="8"/>
        <v>0</v>
      </c>
      <c r="J96" s="86">
        <v>100</v>
      </c>
      <c r="K96" s="86">
        <v>300</v>
      </c>
      <c r="L96" s="83">
        <f t="shared" si="11"/>
        <v>1150</v>
      </c>
      <c r="M96" s="94">
        <v>400</v>
      </c>
      <c r="N96" s="83">
        <f>100</f>
        <v>100</v>
      </c>
      <c r="O96" s="86">
        <v>240</v>
      </c>
      <c r="P96" s="86">
        <v>40</v>
      </c>
      <c r="Q96" s="86">
        <f t="shared" si="12"/>
        <v>315</v>
      </c>
      <c r="R96" s="86">
        <f t="shared" si="13"/>
        <v>100</v>
      </c>
      <c r="S96" s="83">
        <f t="shared" si="14"/>
        <v>695</v>
      </c>
      <c r="T96" s="83">
        <f>50</f>
        <v>50</v>
      </c>
      <c r="U96" s="84"/>
      <c r="V96" s="84"/>
      <c r="W96" s="84"/>
      <c r="X96" s="84"/>
      <c r="Y96" s="84"/>
      <c r="Z96" s="84"/>
      <c r="AA96" s="84"/>
      <c r="AB96" s="84"/>
      <c r="AC96" s="84"/>
      <c r="AD96" s="84"/>
    </row>
    <row r="97" spans="1:30" ht="15.75" x14ac:dyDescent="0.25">
      <c r="A97" s="13">
        <v>43862</v>
      </c>
      <c r="B97" s="97">
        <v>29</v>
      </c>
      <c r="C97" s="83">
        <f>122.58</f>
        <v>122.58</v>
      </c>
      <c r="D97" s="83">
        <f>297.941</f>
        <v>297.94099999999997</v>
      </c>
      <c r="E97" s="92">
        <f>89.177</f>
        <v>89.177000000000007</v>
      </c>
      <c r="F97" s="83">
        <f>240.302-40-60-100</f>
        <v>40.301999999999992</v>
      </c>
      <c r="G97" s="86">
        <v>40</v>
      </c>
      <c r="H97" s="83">
        <f>60+100</f>
        <v>160</v>
      </c>
      <c r="I97" s="83">
        <f t="shared" si="8"/>
        <v>0</v>
      </c>
      <c r="J97" s="86">
        <v>100</v>
      </c>
      <c r="K97" s="86">
        <v>300</v>
      </c>
      <c r="L97" s="83">
        <f t="shared" si="11"/>
        <v>1150</v>
      </c>
      <c r="M97" s="94">
        <v>400</v>
      </c>
      <c r="N97" s="83">
        <f>100</f>
        <v>100</v>
      </c>
      <c r="O97" s="86">
        <v>240</v>
      </c>
      <c r="P97" s="86">
        <v>40</v>
      </c>
      <c r="Q97" s="86">
        <f t="shared" si="12"/>
        <v>315</v>
      </c>
      <c r="R97" s="86">
        <f t="shared" si="13"/>
        <v>100</v>
      </c>
      <c r="S97" s="83">
        <f t="shared" si="14"/>
        <v>695</v>
      </c>
      <c r="T97" s="83">
        <f>50</f>
        <v>50</v>
      </c>
      <c r="U97" s="84"/>
      <c r="V97" s="84"/>
      <c r="W97" s="84"/>
      <c r="X97" s="84"/>
      <c r="Y97" s="84"/>
      <c r="Z97" s="84"/>
      <c r="AA97" s="84"/>
      <c r="AB97" s="84"/>
      <c r="AC97" s="84"/>
      <c r="AD97" s="84"/>
    </row>
    <row r="98" spans="1:30" ht="15.75" x14ac:dyDescent="0.25">
      <c r="A98" s="13">
        <v>43891</v>
      </c>
      <c r="B98" s="97">
        <v>31</v>
      </c>
      <c r="C98" s="83">
        <f>122.58</f>
        <v>122.58</v>
      </c>
      <c r="D98" s="83">
        <f>297.941</f>
        <v>297.94099999999997</v>
      </c>
      <c r="E98" s="92">
        <f>89.177</f>
        <v>89.177000000000007</v>
      </c>
      <c r="F98" s="83">
        <f>240.302-40-60-100</f>
        <v>40.301999999999992</v>
      </c>
      <c r="G98" s="86">
        <v>40</v>
      </c>
      <c r="H98" s="83">
        <f>60+100</f>
        <v>160</v>
      </c>
      <c r="I98" s="83">
        <f t="shared" si="8"/>
        <v>0</v>
      </c>
      <c r="J98" s="86">
        <v>100</v>
      </c>
      <c r="K98" s="86">
        <v>300</v>
      </c>
      <c r="L98" s="83">
        <f t="shared" si="11"/>
        <v>1150</v>
      </c>
      <c r="M98" s="94">
        <v>400</v>
      </c>
      <c r="N98" s="83">
        <f>100</f>
        <v>100</v>
      </c>
      <c r="O98" s="86">
        <v>240</v>
      </c>
      <c r="P98" s="86">
        <v>40</v>
      </c>
      <c r="Q98" s="86">
        <f t="shared" si="12"/>
        <v>315</v>
      </c>
      <c r="R98" s="86">
        <f t="shared" si="13"/>
        <v>100</v>
      </c>
      <c r="S98" s="83">
        <f t="shared" si="14"/>
        <v>695</v>
      </c>
      <c r="T98" s="83">
        <f>50</f>
        <v>50</v>
      </c>
      <c r="U98" s="84"/>
      <c r="V98" s="84"/>
      <c r="W98" s="84"/>
      <c r="X98" s="84"/>
      <c r="Y98" s="84"/>
      <c r="Z98" s="84"/>
      <c r="AA98" s="84"/>
      <c r="AB98" s="84"/>
      <c r="AC98" s="84"/>
      <c r="AD98" s="84"/>
    </row>
    <row r="99" spans="1:30" ht="15.75" x14ac:dyDescent="0.25">
      <c r="A99" s="13">
        <v>43922</v>
      </c>
      <c r="B99" s="97">
        <v>30</v>
      </c>
      <c r="C99" s="83">
        <f>141.293</f>
        <v>141.29300000000001</v>
      </c>
      <c r="D99" s="83">
        <f>267.993</f>
        <v>267.99299999999999</v>
      </c>
      <c r="E99" s="92">
        <f>115.016</f>
        <v>115.01600000000001</v>
      </c>
      <c r="F99" s="83">
        <f>314.698-40-25-60-100</f>
        <v>89.697999999999979</v>
      </c>
      <c r="G99" s="86">
        <v>40</v>
      </c>
      <c r="H99" s="83">
        <f t="shared" ref="H99:H105" si="16">25+60+100</f>
        <v>185</v>
      </c>
      <c r="I99" s="83">
        <f t="shared" si="8"/>
        <v>0</v>
      </c>
      <c r="J99" s="86">
        <v>100</v>
      </c>
      <c r="K99" s="86">
        <v>300</v>
      </c>
      <c r="L99" s="83">
        <f t="shared" si="11"/>
        <v>1239</v>
      </c>
      <c r="M99" s="94">
        <v>400</v>
      </c>
      <c r="N99" s="83">
        <f>100</f>
        <v>100</v>
      </c>
      <c r="O99" s="86">
        <v>240</v>
      </c>
      <c r="P99" s="86">
        <v>160</v>
      </c>
      <c r="Q99" s="86">
        <f t="shared" si="12"/>
        <v>195</v>
      </c>
      <c r="R99" s="86">
        <f t="shared" si="13"/>
        <v>100</v>
      </c>
      <c r="S99" s="83">
        <f t="shared" si="14"/>
        <v>695</v>
      </c>
      <c r="T99" s="83">
        <f>50</f>
        <v>50</v>
      </c>
      <c r="U99" s="84"/>
      <c r="V99" s="84"/>
      <c r="W99" s="84"/>
      <c r="X99" s="84"/>
      <c r="Y99" s="84"/>
      <c r="Z99" s="84"/>
      <c r="AA99" s="84"/>
      <c r="AB99" s="84"/>
      <c r="AC99" s="84"/>
      <c r="AD99" s="84"/>
    </row>
    <row r="100" spans="1:30" ht="15.75" x14ac:dyDescent="0.25">
      <c r="A100" s="13">
        <v>43952</v>
      </c>
      <c r="B100" s="97">
        <v>31</v>
      </c>
      <c r="C100" s="83">
        <f>194.205</f>
        <v>194.20500000000001</v>
      </c>
      <c r="D100" s="83">
        <f>267.466</f>
        <v>267.46600000000001</v>
      </c>
      <c r="E100" s="92">
        <f>133.845</f>
        <v>133.845</v>
      </c>
      <c r="F100" s="83">
        <f>278.484-40-25-60-100</f>
        <v>53.48399999999998</v>
      </c>
      <c r="G100" s="86">
        <v>40</v>
      </c>
      <c r="H100" s="83">
        <f t="shared" si="16"/>
        <v>185</v>
      </c>
      <c r="I100" s="83">
        <f t="shared" si="8"/>
        <v>0</v>
      </c>
      <c r="J100" s="86">
        <v>100</v>
      </c>
      <c r="K100" s="86">
        <v>300</v>
      </c>
      <c r="L100" s="83">
        <f t="shared" si="11"/>
        <v>1274</v>
      </c>
      <c r="M100" s="94">
        <v>600</v>
      </c>
      <c r="N100" s="83">
        <f>75</f>
        <v>75</v>
      </c>
      <c r="O100" s="86">
        <v>240</v>
      </c>
      <c r="P100" s="86">
        <v>160</v>
      </c>
      <c r="Q100" s="86">
        <f t="shared" si="12"/>
        <v>195</v>
      </c>
      <c r="R100" s="86">
        <f t="shared" si="13"/>
        <v>100</v>
      </c>
      <c r="S100" s="83">
        <f t="shared" si="14"/>
        <v>695</v>
      </c>
      <c r="T100" s="83">
        <f>50</f>
        <v>50</v>
      </c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</row>
    <row r="101" spans="1:30" ht="15.75" x14ac:dyDescent="0.25">
      <c r="A101" s="13">
        <v>43983</v>
      </c>
      <c r="B101" s="97">
        <v>30</v>
      </c>
      <c r="C101" s="83">
        <f>194.205</f>
        <v>194.20500000000001</v>
      </c>
      <c r="D101" s="83">
        <f>267.466</f>
        <v>267.46600000000001</v>
      </c>
      <c r="E101" s="92">
        <f>133.845</f>
        <v>133.845</v>
      </c>
      <c r="F101" s="83">
        <f>278.484-40-25-60-100</f>
        <v>53.48399999999998</v>
      </c>
      <c r="G101" s="86">
        <v>40</v>
      </c>
      <c r="H101" s="83">
        <f t="shared" si="16"/>
        <v>185</v>
      </c>
      <c r="I101" s="83">
        <f t="shared" si="8"/>
        <v>0</v>
      </c>
      <c r="J101" s="86">
        <v>100</v>
      </c>
      <c r="K101" s="86">
        <v>300</v>
      </c>
      <c r="L101" s="83">
        <f t="shared" si="11"/>
        <v>1274</v>
      </c>
      <c r="M101" s="94">
        <v>600</v>
      </c>
      <c r="N101" s="83">
        <f>30</f>
        <v>30</v>
      </c>
      <c r="O101" s="86">
        <v>240</v>
      </c>
      <c r="P101" s="86">
        <v>160</v>
      </c>
      <c r="Q101" s="86">
        <f t="shared" si="12"/>
        <v>195</v>
      </c>
      <c r="R101" s="86">
        <f t="shared" si="13"/>
        <v>100</v>
      </c>
      <c r="S101" s="83">
        <f t="shared" si="14"/>
        <v>695</v>
      </c>
      <c r="T101" s="83">
        <f>50</f>
        <v>50</v>
      </c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</row>
    <row r="102" spans="1:30" ht="15.75" x14ac:dyDescent="0.25">
      <c r="A102" s="13">
        <v>44013</v>
      </c>
      <c r="B102" s="97">
        <v>31</v>
      </c>
      <c r="C102" s="83">
        <f>194.205</f>
        <v>194.20500000000001</v>
      </c>
      <c r="D102" s="83">
        <f>267.466</f>
        <v>267.46600000000001</v>
      </c>
      <c r="E102" s="92">
        <f>133.845</f>
        <v>133.845</v>
      </c>
      <c r="F102" s="83">
        <f>278.484-40-25-60-100</f>
        <v>53.48399999999998</v>
      </c>
      <c r="G102" s="86">
        <v>40</v>
      </c>
      <c r="H102" s="83">
        <f t="shared" si="16"/>
        <v>185</v>
      </c>
      <c r="I102" s="83">
        <f t="shared" si="8"/>
        <v>0</v>
      </c>
      <c r="J102" s="86">
        <v>100</v>
      </c>
      <c r="K102" s="86">
        <v>300</v>
      </c>
      <c r="L102" s="83">
        <f t="shared" si="11"/>
        <v>1274</v>
      </c>
      <c r="M102" s="94">
        <v>600</v>
      </c>
      <c r="N102" s="83">
        <f>30</f>
        <v>30</v>
      </c>
      <c r="O102" s="86">
        <v>240</v>
      </c>
      <c r="P102" s="86">
        <v>160</v>
      </c>
      <c r="Q102" s="86">
        <f t="shared" si="12"/>
        <v>195</v>
      </c>
      <c r="R102" s="86">
        <f t="shared" si="13"/>
        <v>100</v>
      </c>
      <c r="S102" s="83">
        <f t="shared" si="14"/>
        <v>695</v>
      </c>
      <c r="T102" s="83">
        <f>0</f>
        <v>0</v>
      </c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</row>
    <row r="103" spans="1:30" ht="15.75" x14ac:dyDescent="0.25">
      <c r="A103" s="13">
        <v>44044</v>
      </c>
      <c r="B103" s="97">
        <v>31</v>
      </c>
      <c r="C103" s="83">
        <f>194.205</f>
        <v>194.20500000000001</v>
      </c>
      <c r="D103" s="83">
        <f>267.466</f>
        <v>267.46600000000001</v>
      </c>
      <c r="E103" s="92">
        <f>133.845</f>
        <v>133.845</v>
      </c>
      <c r="F103" s="83">
        <f>278.484-40-25-60-100</f>
        <v>53.48399999999998</v>
      </c>
      <c r="G103" s="86">
        <v>40</v>
      </c>
      <c r="H103" s="83">
        <f t="shared" si="16"/>
        <v>185</v>
      </c>
      <c r="I103" s="83">
        <f t="shared" si="8"/>
        <v>0</v>
      </c>
      <c r="J103" s="86">
        <v>100</v>
      </c>
      <c r="K103" s="86">
        <v>300</v>
      </c>
      <c r="L103" s="83">
        <f t="shared" si="11"/>
        <v>1274</v>
      </c>
      <c r="M103" s="94">
        <v>600</v>
      </c>
      <c r="N103" s="83">
        <f>30</f>
        <v>30</v>
      </c>
      <c r="O103" s="86">
        <v>240</v>
      </c>
      <c r="P103" s="86">
        <v>160</v>
      </c>
      <c r="Q103" s="86">
        <f t="shared" si="12"/>
        <v>195</v>
      </c>
      <c r="R103" s="86">
        <f t="shared" si="13"/>
        <v>100</v>
      </c>
      <c r="S103" s="83">
        <f t="shared" si="14"/>
        <v>695</v>
      </c>
      <c r="T103" s="83">
        <f>0</f>
        <v>0</v>
      </c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</row>
    <row r="104" spans="1:30" ht="15.75" x14ac:dyDescent="0.25">
      <c r="A104" s="13">
        <v>44075</v>
      </c>
      <c r="B104" s="97">
        <v>30</v>
      </c>
      <c r="C104" s="83">
        <f>194.205</f>
        <v>194.20500000000001</v>
      </c>
      <c r="D104" s="83">
        <f>267.466</f>
        <v>267.46600000000001</v>
      </c>
      <c r="E104" s="92">
        <f>133.845</f>
        <v>133.845</v>
      </c>
      <c r="F104" s="83">
        <f>278.484-40-25-60-100</f>
        <v>53.48399999999998</v>
      </c>
      <c r="G104" s="86">
        <v>40</v>
      </c>
      <c r="H104" s="83">
        <f t="shared" si="16"/>
        <v>185</v>
      </c>
      <c r="I104" s="83">
        <f t="shared" si="8"/>
        <v>0</v>
      </c>
      <c r="J104" s="86">
        <v>100</v>
      </c>
      <c r="K104" s="86">
        <v>300</v>
      </c>
      <c r="L104" s="83">
        <f t="shared" si="11"/>
        <v>1274</v>
      </c>
      <c r="M104" s="94">
        <v>600</v>
      </c>
      <c r="N104" s="83">
        <f>30</f>
        <v>30</v>
      </c>
      <c r="O104" s="86">
        <v>240</v>
      </c>
      <c r="P104" s="86">
        <v>160</v>
      </c>
      <c r="Q104" s="86">
        <f t="shared" si="12"/>
        <v>195</v>
      </c>
      <c r="R104" s="86">
        <f t="shared" si="13"/>
        <v>100</v>
      </c>
      <c r="S104" s="83">
        <f t="shared" si="14"/>
        <v>695</v>
      </c>
      <c r="T104" s="83">
        <f>0</f>
        <v>0</v>
      </c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</row>
    <row r="105" spans="1:30" ht="15.75" x14ac:dyDescent="0.25">
      <c r="A105" s="13">
        <v>44105</v>
      </c>
      <c r="B105" s="97">
        <v>31</v>
      </c>
      <c r="C105" s="83">
        <f>131.881</f>
        <v>131.881</v>
      </c>
      <c r="D105" s="83">
        <f>277.167</f>
        <v>277.16699999999997</v>
      </c>
      <c r="E105" s="92">
        <f>79.08</f>
        <v>79.08</v>
      </c>
      <c r="F105" s="83">
        <f>350.872-40-25-60-100</f>
        <v>125.87200000000001</v>
      </c>
      <c r="G105" s="86">
        <v>40</v>
      </c>
      <c r="H105" s="83">
        <f t="shared" si="16"/>
        <v>185</v>
      </c>
      <c r="I105" s="83">
        <f t="shared" si="8"/>
        <v>0</v>
      </c>
      <c r="J105" s="86">
        <v>100</v>
      </c>
      <c r="K105" s="86">
        <v>300</v>
      </c>
      <c r="L105" s="83">
        <f t="shared" si="11"/>
        <v>1239</v>
      </c>
      <c r="M105" s="94">
        <v>600</v>
      </c>
      <c r="N105" s="83">
        <f>75</f>
        <v>75</v>
      </c>
      <c r="O105" s="86">
        <v>240</v>
      </c>
      <c r="P105" s="86">
        <v>160</v>
      </c>
      <c r="Q105" s="86">
        <f t="shared" si="12"/>
        <v>195</v>
      </c>
      <c r="R105" s="86">
        <f t="shared" si="13"/>
        <v>100</v>
      </c>
      <c r="S105" s="83">
        <f t="shared" si="14"/>
        <v>695</v>
      </c>
      <c r="T105" s="83">
        <f>0</f>
        <v>0</v>
      </c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</row>
    <row r="106" spans="1:30" ht="15.75" x14ac:dyDescent="0.25">
      <c r="A106" s="13">
        <v>44136</v>
      </c>
      <c r="B106" s="97">
        <v>30</v>
      </c>
      <c r="C106" s="83">
        <f>122.58</f>
        <v>122.58</v>
      </c>
      <c r="D106" s="83">
        <f>297.941</f>
        <v>297.94099999999997</v>
      </c>
      <c r="E106" s="92">
        <f>89.177</f>
        <v>89.177000000000007</v>
      </c>
      <c r="F106" s="83">
        <f>240.302-40-60-100</f>
        <v>40.301999999999992</v>
      </c>
      <c r="G106" s="86">
        <v>40</v>
      </c>
      <c r="H106" s="83">
        <f>60+100</f>
        <v>160</v>
      </c>
      <c r="I106" s="83">
        <f t="shared" si="8"/>
        <v>0</v>
      </c>
      <c r="J106" s="86">
        <v>100</v>
      </c>
      <c r="K106" s="86">
        <v>300</v>
      </c>
      <c r="L106" s="83">
        <f t="shared" si="11"/>
        <v>1150</v>
      </c>
      <c r="M106" s="94">
        <v>600</v>
      </c>
      <c r="N106" s="83">
        <f>100</f>
        <v>100</v>
      </c>
      <c r="O106" s="86">
        <v>240</v>
      </c>
      <c r="P106" s="86">
        <v>40</v>
      </c>
      <c r="Q106" s="86">
        <f t="shared" si="12"/>
        <v>315</v>
      </c>
      <c r="R106" s="86">
        <f t="shared" si="13"/>
        <v>100</v>
      </c>
      <c r="S106" s="83">
        <f t="shared" si="14"/>
        <v>695</v>
      </c>
      <c r="T106" s="83">
        <f>50</f>
        <v>50</v>
      </c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</row>
    <row r="107" spans="1:30" ht="15.75" x14ac:dyDescent="0.25">
      <c r="A107" s="13">
        <v>44166</v>
      </c>
      <c r="B107" s="97">
        <v>31</v>
      </c>
      <c r="C107" s="83">
        <f>122.58</f>
        <v>122.58</v>
      </c>
      <c r="D107" s="83">
        <f>297.941</f>
        <v>297.94099999999997</v>
      </c>
      <c r="E107" s="92">
        <f>89.177</f>
        <v>89.177000000000007</v>
      </c>
      <c r="F107" s="83">
        <f>240.302-40-60-100</f>
        <v>40.301999999999992</v>
      </c>
      <c r="G107" s="86">
        <v>40</v>
      </c>
      <c r="H107" s="83">
        <f>60+100</f>
        <v>160</v>
      </c>
      <c r="I107" s="83">
        <f t="shared" si="8"/>
        <v>0</v>
      </c>
      <c r="J107" s="86">
        <v>100</v>
      </c>
      <c r="K107" s="86">
        <v>300</v>
      </c>
      <c r="L107" s="83">
        <f t="shared" si="11"/>
        <v>1150</v>
      </c>
      <c r="M107" s="94">
        <v>600</v>
      </c>
      <c r="N107" s="83">
        <f>100</f>
        <v>100</v>
      </c>
      <c r="O107" s="86">
        <v>240</v>
      </c>
      <c r="P107" s="86">
        <v>40</v>
      </c>
      <c r="Q107" s="86">
        <f t="shared" si="12"/>
        <v>315</v>
      </c>
      <c r="R107" s="86">
        <f t="shared" si="13"/>
        <v>100</v>
      </c>
      <c r="S107" s="83">
        <f t="shared" si="14"/>
        <v>695</v>
      </c>
      <c r="T107" s="83">
        <f>50</f>
        <v>50</v>
      </c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</row>
    <row r="108" spans="1:30" ht="15.75" x14ac:dyDescent="0.25">
      <c r="A108" s="13">
        <v>44197</v>
      </c>
      <c r="B108" s="97">
        <v>31</v>
      </c>
      <c r="C108" s="83">
        <f>122.58</f>
        <v>122.58</v>
      </c>
      <c r="D108" s="83">
        <f>297.941</f>
        <v>297.94099999999997</v>
      </c>
      <c r="E108" s="92">
        <f>89.177</f>
        <v>89.177000000000007</v>
      </c>
      <c r="F108" s="83">
        <f>240.302-40-60-100</f>
        <v>40.301999999999992</v>
      </c>
      <c r="G108" s="86">
        <v>40</v>
      </c>
      <c r="H108" s="83">
        <f>60+100</f>
        <v>160</v>
      </c>
      <c r="I108" s="83">
        <f t="shared" si="8"/>
        <v>0</v>
      </c>
      <c r="J108" s="86">
        <v>100</v>
      </c>
      <c r="K108" s="86">
        <v>300</v>
      </c>
      <c r="L108" s="83">
        <f t="shared" si="11"/>
        <v>1150</v>
      </c>
      <c r="M108" s="94">
        <v>600</v>
      </c>
      <c r="N108" s="83">
        <f>100</f>
        <v>100</v>
      </c>
      <c r="O108" s="86">
        <v>240</v>
      </c>
      <c r="P108" s="86">
        <v>40</v>
      </c>
      <c r="Q108" s="86">
        <f t="shared" si="12"/>
        <v>315</v>
      </c>
      <c r="R108" s="86">
        <f t="shared" si="13"/>
        <v>100</v>
      </c>
      <c r="S108" s="83">
        <f t="shared" si="14"/>
        <v>695</v>
      </c>
      <c r="T108" s="83">
        <f>50</f>
        <v>50</v>
      </c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</row>
    <row r="109" spans="1:30" ht="15.75" x14ac:dyDescent="0.25">
      <c r="A109" s="13">
        <v>44228</v>
      </c>
      <c r="B109" s="97">
        <v>28</v>
      </c>
      <c r="C109" s="83">
        <f>122.58</f>
        <v>122.58</v>
      </c>
      <c r="D109" s="83">
        <f>297.941</f>
        <v>297.94099999999997</v>
      </c>
      <c r="E109" s="92">
        <f>89.177</f>
        <v>89.177000000000007</v>
      </c>
      <c r="F109" s="83">
        <f>240.302-40-60-100</f>
        <v>40.301999999999992</v>
      </c>
      <c r="G109" s="86">
        <v>40</v>
      </c>
      <c r="H109" s="83">
        <f>60+100</f>
        <v>160</v>
      </c>
      <c r="I109" s="83">
        <f t="shared" si="8"/>
        <v>0</v>
      </c>
      <c r="J109" s="86">
        <v>100</v>
      </c>
      <c r="K109" s="86">
        <v>300</v>
      </c>
      <c r="L109" s="83">
        <f t="shared" si="11"/>
        <v>1150</v>
      </c>
      <c r="M109" s="94">
        <v>600</v>
      </c>
      <c r="N109" s="83">
        <f>100</f>
        <v>100</v>
      </c>
      <c r="O109" s="86">
        <v>240</v>
      </c>
      <c r="P109" s="86">
        <v>40</v>
      </c>
      <c r="Q109" s="86">
        <f t="shared" si="12"/>
        <v>315</v>
      </c>
      <c r="R109" s="86">
        <f t="shared" si="13"/>
        <v>100</v>
      </c>
      <c r="S109" s="83">
        <f t="shared" si="14"/>
        <v>695</v>
      </c>
      <c r="T109" s="83">
        <f>50</f>
        <v>50</v>
      </c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</row>
    <row r="110" spans="1:30" ht="15.75" x14ac:dyDescent="0.25">
      <c r="A110" s="13">
        <v>44256</v>
      </c>
      <c r="B110" s="97">
        <v>31</v>
      </c>
      <c r="C110" s="83">
        <f>122.58</f>
        <v>122.58</v>
      </c>
      <c r="D110" s="83">
        <f>297.941</f>
        <v>297.94099999999997</v>
      </c>
      <c r="E110" s="92">
        <f>89.177</f>
        <v>89.177000000000007</v>
      </c>
      <c r="F110" s="83">
        <f>240.302-40-60-100</f>
        <v>40.301999999999992</v>
      </c>
      <c r="G110" s="86">
        <v>40</v>
      </c>
      <c r="H110" s="83">
        <f>60+100</f>
        <v>160</v>
      </c>
      <c r="I110" s="83">
        <f t="shared" si="8"/>
        <v>0</v>
      </c>
      <c r="J110" s="86">
        <v>100</v>
      </c>
      <c r="K110" s="86">
        <v>300</v>
      </c>
      <c r="L110" s="83">
        <f t="shared" si="11"/>
        <v>1150</v>
      </c>
      <c r="M110" s="94">
        <v>600</v>
      </c>
      <c r="N110" s="83">
        <f>100</f>
        <v>100</v>
      </c>
      <c r="O110" s="86">
        <v>240</v>
      </c>
      <c r="P110" s="86">
        <v>40</v>
      </c>
      <c r="Q110" s="86">
        <f t="shared" si="12"/>
        <v>315</v>
      </c>
      <c r="R110" s="86">
        <f t="shared" si="13"/>
        <v>100</v>
      </c>
      <c r="S110" s="83">
        <f t="shared" si="14"/>
        <v>695</v>
      </c>
      <c r="T110" s="83">
        <f>50</f>
        <v>50</v>
      </c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</row>
    <row r="111" spans="1:30" ht="15.75" x14ac:dyDescent="0.25">
      <c r="A111" s="13">
        <v>44287</v>
      </c>
      <c r="B111" s="97">
        <v>30</v>
      </c>
      <c r="C111" s="83">
        <f>141.293</f>
        <v>141.29300000000001</v>
      </c>
      <c r="D111" s="83">
        <f>267.993</f>
        <v>267.99299999999999</v>
      </c>
      <c r="E111" s="92">
        <f>115.016</f>
        <v>115.01600000000001</v>
      </c>
      <c r="F111" s="83">
        <f>314.698-40-25-60-100</f>
        <v>89.697999999999979</v>
      </c>
      <c r="G111" s="86">
        <v>40</v>
      </c>
      <c r="H111" s="83">
        <f t="shared" ref="H111:H117" si="17">25+60+100</f>
        <v>185</v>
      </c>
      <c r="I111" s="83">
        <f t="shared" si="8"/>
        <v>0</v>
      </c>
      <c r="J111" s="86">
        <v>100</v>
      </c>
      <c r="K111" s="86">
        <v>300</v>
      </c>
      <c r="L111" s="83">
        <f t="shared" si="11"/>
        <v>1239</v>
      </c>
      <c r="M111" s="94">
        <v>600</v>
      </c>
      <c r="N111" s="83">
        <f>100</f>
        <v>100</v>
      </c>
      <c r="O111" s="86">
        <v>240</v>
      </c>
      <c r="P111" s="86">
        <v>160</v>
      </c>
      <c r="Q111" s="86">
        <f t="shared" si="12"/>
        <v>195</v>
      </c>
      <c r="R111" s="86">
        <f t="shared" si="13"/>
        <v>100</v>
      </c>
      <c r="S111" s="83">
        <f t="shared" si="14"/>
        <v>695</v>
      </c>
      <c r="T111" s="83">
        <f>50</f>
        <v>50</v>
      </c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</row>
    <row r="112" spans="1:30" ht="15.75" x14ac:dyDescent="0.25">
      <c r="A112" s="13">
        <v>44317</v>
      </c>
      <c r="B112" s="97">
        <v>31</v>
      </c>
      <c r="C112" s="83">
        <f>194.205</f>
        <v>194.20500000000001</v>
      </c>
      <c r="D112" s="83">
        <f>267.466</f>
        <v>267.46600000000001</v>
      </c>
      <c r="E112" s="92">
        <f>133.845</f>
        <v>133.845</v>
      </c>
      <c r="F112" s="83">
        <f>278.484-40-25-60-100</f>
        <v>53.48399999999998</v>
      </c>
      <c r="G112" s="86">
        <v>40</v>
      </c>
      <c r="H112" s="83">
        <f t="shared" si="17"/>
        <v>185</v>
      </c>
      <c r="I112" s="83">
        <f t="shared" si="8"/>
        <v>0</v>
      </c>
      <c r="J112" s="86">
        <v>100</v>
      </c>
      <c r="K112" s="86">
        <v>300</v>
      </c>
      <c r="L112" s="83">
        <f t="shared" si="11"/>
        <v>1274</v>
      </c>
      <c r="M112" s="94">
        <v>600</v>
      </c>
      <c r="N112" s="83">
        <f>75</f>
        <v>75</v>
      </c>
      <c r="O112" s="86">
        <v>240</v>
      </c>
      <c r="P112" s="86">
        <v>160</v>
      </c>
      <c r="Q112" s="86">
        <f t="shared" si="12"/>
        <v>195</v>
      </c>
      <c r="R112" s="86">
        <f t="shared" si="13"/>
        <v>100</v>
      </c>
      <c r="S112" s="83">
        <f t="shared" si="14"/>
        <v>695</v>
      </c>
      <c r="T112" s="83">
        <f>50</f>
        <v>50</v>
      </c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</row>
    <row r="113" spans="1:30" ht="15.75" x14ac:dyDescent="0.25">
      <c r="A113" s="13">
        <v>44348</v>
      </c>
      <c r="B113" s="97">
        <v>30</v>
      </c>
      <c r="C113" s="83">
        <f>194.205</f>
        <v>194.20500000000001</v>
      </c>
      <c r="D113" s="83">
        <f>267.466</f>
        <v>267.46600000000001</v>
      </c>
      <c r="E113" s="92">
        <f>133.845</f>
        <v>133.845</v>
      </c>
      <c r="F113" s="83">
        <f>278.484-40-25-60-100</f>
        <v>53.48399999999998</v>
      </c>
      <c r="G113" s="86">
        <v>40</v>
      </c>
      <c r="H113" s="83">
        <f t="shared" si="17"/>
        <v>185</v>
      </c>
      <c r="I113" s="83">
        <f t="shared" si="8"/>
        <v>0</v>
      </c>
      <c r="J113" s="86">
        <v>100</v>
      </c>
      <c r="K113" s="86">
        <v>300</v>
      </c>
      <c r="L113" s="83">
        <f t="shared" si="11"/>
        <v>1274</v>
      </c>
      <c r="M113" s="94">
        <v>600</v>
      </c>
      <c r="N113" s="83">
        <f>30</f>
        <v>30</v>
      </c>
      <c r="O113" s="86">
        <v>240</v>
      </c>
      <c r="P113" s="86">
        <v>160</v>
      </c>
      <c r="Q113" s="86">
        <f t="shared" si="12"/>
        <v>195</v>
      </c>
      <c r="R113" s="86">
        <f t="shared" si="13"/>
        <v>100</v>
      </c>
      <c r="S113" s="83">
        <f t="shared" si="14"/>
        <v>695</v>
      </c>
      <c r="T113" s="83">
        <f>50</f>
        <v>50</v>
      </c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</row>
    <row r="114" spans="1:30" ht="15.75" x14ac:dyDescent="0.25">
      <c r="A114" s="13">
        <v>44378</v>
      </c>
      <c r="B114" s="97">
        <v>31</v>
      </c>
      <c r="C114" s="83">
        <f>194.205</f>
        <v>194.20500000000001</v>
      </c>
      <c r="D114" s="83">
        <f>267.466</f>
        <v>267.46600000000001</v>
      </c>
      <c r="E114" s="92">
        <f>133.845</f>
        <v>133.845</v>
      </c>
      <c r="F114" s="83">
        <f>278.484-40-25-60-100</f>
        <v>53.48399999999998</v>
      </c>
      <c r="G114" s="86">
        <v>40</v>
      </c>
      <c r="H114" s="83">
        <f t="shared" si="17"/>
        <v>185</v>
      </c>
      <c r="I114" s="83">
        <f t="shared" si="8"/>
        <v>0</v>
      </c>
      <c r="J114" s="86">
        <v>100</v>
      </c>
      <c r="K114" s="86">
        <v>300</v>
      </c>
      <c r="L114" s="83">
        <f t="shared" si="11"/>
        <v>1274</v>
      </c>
      <c r="M114" s="94">
        <v>600</v>
      </c>
      <c r="N114" s="83">
        <f>30</f>
        <v>30</v>
      </c>
      <c r="O114" s="86">
        <v>240</v>
      </c>
      <c r="P114" s="86">
        <v>160</v>
      </c>
      <c r="Q114" s="86">
        <f t="shared" si="12"/>
        <v>195</v>
      </c>
      <c r="R114" s="86">
        <f t="shared" si="13"/>
        <v>100</v>
      </c>
      <c r="S114" s="83">
        <f t="shared" si="14"/>
        <v>695</v>
      </c>
      <c r="T114" s="83">
        <f>0</f>
        <v>0</v>
      </c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</row>
    <row r="115" spans="1:30" ht="15.75" x14ac:dyDescent="0.25">
      <c r="A115" s="13">
        <v>44409</v>
      </c>
      <c r="B115" s="97">
        <v>31</v>
      </c>
      <c r="C115" s="83">
        <f>194.205</f>
        <v>194.20500000000001</v>
      </c>
      <c r="D115" s="83">
        <f>267.466</f>
        <v>267.46600000000001</v>
      </c>
      <c r="E115" s="92">
        <f>133.845</f>
        <v>133.845</v>
      </c>
      <c r="F115" s="83">
        <f>278.484-40-25-60-100</f>
        <v>53.48399999999998</v>
      </c>
      <c r="G115" s="86">
        <v>40</v>
      </c>
      <c r="H115" s="83">
        <f t="shared" si="17"/>
        <v>185</v>
      </c>
      <c r="I115" s="83">
        <f t="shared" si="8"/>
        <v>0</v>
      </c>
      <c r="J115" s="86">
        <v>100</v>
      </c>
      <c r="K115" s="86">
        <v>300</v>
      </c>
      <c r="L115" s="83">
        <f t="shared" si="11"/>
        <v>1274</v>
      </c>
      <c r="M115" s="94">
        <v>600</v>
      </c>
      <c r="N115" s="83">
        <f>30</f>
        <v>30</v>
      </c>
      <c r="O115" s="86">
        <v>240</v>
      </c>
      <c r="P115" s="86">
        <v>160</v>
      </c>
      <c r="Q115" s="86">
        <f t="shared" si="12"/>
        <v>195</v>
      </c>
      <c r="R115" s="86">
        <f t="shared" si="13"/>
        <v>100</v>
      </c>
      <c r="S115" s="83">
        <f t="shared" si="14"/>
        <v>695</v>
      </c>
      <c r="T115" s="83">
        <f>0</f>
        <v>0</v>
      </c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</row>
    <row r="116" spans="1:30" ht="15.75" x14ac:dyDescent="0.25">
      <c r="A116" s="13">
        <v>44440</v>
      </c>
      <c r="B116" s="97">
        <v>30</v>
      </c>
      <c r="C116" s="83">
        <f>194.205</f>
        <v>194.20500000000001</v>
      </c>
      <c r="D116" s="83">
        <f>267.466</f>
        <v>267.46600000000001</v>
      </c>
      <c r="E116" s="92">
        <f>133.845</f>
        <v>133.845</v>
      </c>
      <c r="F116" s="83">
        <f>278.484-40-25-60-100</f>
        <v>53.48399999999998</v>
      </c>
      <c r="G116" s="86">
        <v>40</v>
      </c>
      <c r="H116" s="83">
        <f t="shared" si="17"/>
        <v>185</v>
      </c>
      <c r="I116" s="83">
        <f t="shared" ref="I116:I179" si="18">400-J116-K116</f>
        <v>0</v>
      </c>
      <c r="J116" s="86">
        <v>100</v>
      </c>
      <c r="K116" s="86">
        <v>300</v>
      </c>
      <c r="L116" s="83">
        <f t="shared" si="11"/>
        <v>1274</v>
      </c>
      <c r="M116" s="94">
        <v>600</v>
      </c>
      <c r="N116" s="83">
        <f>30</f>
        <v>30</v>
      </c>
      <c r="O116" s="86">
        <v>240</v>
      </c>
      <c r="P116" s="86">
        <v>160</v>
      </c>
      <c r="Q116" s="86">
        <f t="shared" si="12"/>
        <v>195</v>
      </c>
      <c r="R116" s="86">
        <f t="shared" si="13"/>
        <v>100</v>
      </c>
      <c r="S116" s="83">
        <f t="shared" si="14"/>
        <v>695</v>
      </c>
      <c r="T116" s="83">
        <f>0</f>
        <v>0</v>
      </c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</row>
    <row r="117" spans="1:30" ht="15.75" x14ac:dyDescent="0.25">
      <c r="A117" s="13">
        <v>44470</v>
      </c>
      <c r="B117" s="97">
        <v>31</v>
      </c>
      <c r="C117" s="83">
        <f>131.881</f>
        <v>131.881</v>
      </c>
      <c r="D117" s="83">
        <f>277.167</f>
        <v>277.16699999999997</v>
      </c>
      <c r="E117" s="92">
        <f>79.08</f>
        <v>79.08</v>
      </c>
      <c r="F117" s="83">
        <f>350.872-40-25-60-100</f>
        <v>125.87200000000001</v>
      </c>
      <c r="G117" s="86">
        <v>40</v>
      </c>
      <c r="H117" s="83">
        <f t="shared" si="17"/>
        <v>185</v>
      </c>
      <c r="I117" s="83">
        <f t="shared" si="18"/>
        <v>0</v>
      </c>
      <c r="J117" s="86">
        <v>100</v>
      </c>
      <c r="K117" s="86">
        <v>300</v>
      </c>
      <c r="L117" s="83">
        <f t="shared" si="11"/>
        <v>1239</v>
      </c>
      <c r="M117" s="94">
        <v>600</v>
      </c>
      <c r="N117" s="83">
        <f>75</f>
        <v>75</v>
      </c>
      <c r="O117" s="86">
        <v>240</v>
      </c>
      <c r="P117" s="86">
        <v>160</v>
      </c>
      <c r="Q117" s="86">
        <f t="shared" si="12"/>
        <v>195</v>
      </c>
      <c r="R117" s="86">
        <f t="shared" si="13"/>
        <v>100</v>
      </c>
      <c r="S117" s="83">
        <f t="shared" si="14"/>
        <v>695</v>
      </c>
      <c r="T117" s="83">
        <f>0</f>
        <v>0</v>
      </c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</row>
    <row r="118" spans="1:30" ht="15.75" x14ac:dyDescent="0.25">
      <c r="A118" s="13">
        <v>44501</v>
      </c>
      <c r="B118" s="97">
        <v>30</v>
      </c>
      <c r="C118" s="83">
        <f>122.58</f>
        <v>122.58</v>
      </c>
      <c r="D118" s="83">
        <f>297.941</f>
        <v>297.94099999999997</v>
      </c>
      <c r="E118" s="92">
        <f>89.177</f>
        <v>89.177000000000007</v>
      </c>
      <c r="F118" s="83">
        <f>240.302-40-60-100</f>
        <v>40.301999999999992</v>
      </c>
      <c r="G118" s="86">
        <v>40</v>
      </c>
      <c r="H118" s="83">
        <f>60+100</f>
        <v>160</v>
      </c>
      <c r="I118" s="83">
        <f t="shared" si="18"/>
        <v>0</v>
      </c>
      <c r="J118" s="86">
        <v>100</v>
      </c>
      <c r="K118" s="86">
        <v>300</v>
      </c>
      <c r="L118" s="83">
        <f t="shared" si="11"/>
        <v>1150</v>
      </c>
      <c r="M118" s="94">
        <v>600</v>
      </c>
      <c r="N118" s="83">
        <f>100</f>
        <v>100</v>
      </c>
      <c r="O118" s="86">
        <v>240</v>
      </c>
      <c r="P118" s="86">
        <v>40</v>
      </c>
      <c r="Q118" s="86">
        <f t="shared" si="12"/>
        <v>315</v>
      </c>
      <c r="R118" s="86">
        <f t="shared" si="13"/>
        <v>100</v>
      </c>
      <c r="S118" s="83">
        <f t="shared" si="14"/>
        <v>695</v>
      </c>
      <c r="T118" s="83">
        <f>50</f>
        <v>50</v>
      </c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</row>
    <row r="119" spans="1:30" ht="15.75" x14ac:dyDescent="0.25">
      <c r="A119" s="13">
        <v>44531</v>
      </c>
      <c r="B119" s="97">
        <v>31</v>
      </c>
      <c r="C119" s="83">
        <f>122.58</f>
        <v>122.58</v>
      </c>
      <c r="D119" s="83">
        <f>297.941</f>
        <v>297.94099999999997</v>
      </c>
      <c r="E119" s="92">
        <f>89.177</f>
        <v>89.177000000000007</v>
      </c>
      <c r="F119" s="83">
        <f>240.302-40-60-100</f>
        <v>40.301999999999992</v>
      </c>
      <c r="G119" s="86">
        <v>40</v>
      </c>
      <c r="H119" s="83">
        <f>60+100</f>
        <v>160</v>
      </c>
      <c r="I119" s="83">
        <f t="shared" si="18"/>
        <v>0</v>
      </c>
      <c r="J119" s="86">
        <v>100</v>
      </c>
      <c r="K119" s="86">
        <v>300</v>
      </c>
      <c r="L119" s="83">
        <f t="shared" si="11"/>
        <v>1150</v>
      </c>
      <c r="M119" s="94">
        <v>600</v>
      </c>
      <c r="N119" s="83">
        <f>100</f>
        <v>100</v>
      </c>
      <c r="O119" s="86">
        <v>240</v>
      </c>
      <c r="P119" s="86">
        <v>40</v>
      </c>
      <c r="Q119" s="86">
        <f t="shared" si="12"/>
        <v>315</v>
      </c>
      <c r="R119" s="86">
        <f t="shared" si="13"/>
        <v>100</v>
      </c>
      <c r="S119" s="83">
        <f t="shared" si="14"/>
        <v>695</v>
      </c>
      <c r="T119" s="83">
        <f>50</f>
        <v>50</v>
      </c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</row>
    <row r="120" spans="1:30" ht="15.75" x14ac:dyDescent="0.25">
      <c r="A120" s="13">
        <v>44562</v>
      </c>
      <c r="B120" s="97">
        <v>31</v>
      </c>
      <c r="C120" s="83">
        <f>122.58</f>
        <v>122.58</v>
      </c>
      <c r="D120" s="83">
        <f>297.941</f>
        <v>297.94099999999997</v>
      </c>
      <c r="E120" s="92">
        <f>89.177</f>
        <v>89.177000000000007</v>
      </c>
      <c r="F120" s="83">
        <f>240.302-40-60-100</f>
        <v>40.301999999999992</v>
      </c>
      <c r="G120" s="86">
        <v>40</v>
      </c>
      <c r="H120" s="83">
        <f>60+100</f>
        <v>160</v>
      </c>
      <c r="I120" s="83">
        <f t="shared" si="18"/>
        <v>0</v>
      </c>
      <c r="J120" s="86">
        <v>100</v>
      </c>
      <c r="K120" s="86">
        <v>300</v>
      </c>
      <c r="L120" s="83">
        <f t="shared" si="11"/>
        <v>1150</v>
      </c>
      <c r="M120" s="94">
        <v>600</v>
      </c>
      <c r="N120" s="83">
        <f>100</f>
        <v>100</v>
      </c>
      <c r="O120" s="86">
        <v>240</v>
      </c>
      <c r="P120" s="86">
        <v>40</v>
      </c>
      <c r="Q120" s="86">
        <f t="shared" si="12"/>
        <v>315</v>
      </c>
      <c r="R120" s="86">
        <f t="shared" si="13"/>
        <v>100</v>
      </c>
      <c r="S120" s="83">
        <f t="shared" si="14"/>
        <v>695</v>
      </c>
      <c r="T120" s="83">
        <f>50</f>
        <v>50</v>
      </c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</row>
    <row r="121" spans="1:30" ht="15.75" x14ac:dyDescent="0.25">
      <c r="A121" s="13">
        <v>44593</v>
      </c>
      <c r="B121" s="97">
        <v>28</v>
      </c>
      <c r="C121" s="83">
        <f>122.58</f>
        <v>122.58</v>
      </c>
      <c r="D121" s="83">
        <f>297.941</f>
        <v>297.94099999999997</v>
      </c>
      <c r="E121" s="92">
        <f>89.177</f>
        <v>89.177000000000007</v>
      </c>
      <c r="F121" s="83">
        <f>240.302-40-60-100</f>
        <v>40.301999999999992</v>
      </c>
      <c r="G121" s="86">
        <v>40</v>
      </c>
      <c r="H121" s="83">
        <f>60+100</f>
        <v>160</v>
      </c>
      <c r="I121" s="83">
        <f t="shared" si="18"/>
        <v>0</v>
      </c>
      <c r="J121" s="86">
        <v>100</v>
      </c>
      <c r="K121" s="86">
        <v>300</v>
      </c>
      <c r="L121" s="83">
        <f t="shared" si="11"/>
        <v>1150</v>
      </c>
      <c r="M121" s="94">
        <v>600</v>
      </c>
      <c r="N121" s="83">
        <f>100</f>
        <v>100</v>
      </c>
      <c r="O121" s="86">
        <v>240</v>
      </c>
      <c r="P121" s="86">
        <v>40</v>
      </c>
      <c r="Q121" s="86">
        <f t="shared" si="12"/>
        <v>315</v>
      </c>
      <c r="R121" s="86">
        <f t="shared" si="13"/>
        <v>100</v>
      </c>
      <c r="S121" s="83">
        <f t="shared" si="14"/>
        <v>695</v>
      </c>
      <c r="T121" s="83">
        <f>50</f>
        <v>50</v>
      </c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</row>
    <row r="122" spans="1:30" ht="15.75" x14ac:dyDescent="0.25">
      <c r="A122" s="13">
        <v>44621</v>
      </c>
      <c r="B122" s="97">
        <v>31</v>
      </c>
      <c r="C122" s="83">
        <f>122.58</f>
        <v>122.58</v>
      </c>
      <c r="D122" s="83">
        <f>297.941</f>
        <v>297.94099999999997</v>
      </c>
      <c r="E122" s="92">
        <f>89.177</f>
        <v>89.177000000000007</v>
      </c>
      <c r="F122" s="83">
        <f>240.302-40-60-100</f>
        <v>40.301999999999992</v>
      </c>
      <c r="G122" s="86">
        <v>40</v>
      </c>
      <c r="H122" s="83">
        <f>60+100</f>
        <v>160</v>
      </c>
      <c r="I122" s="83">
        <f t="shared" si="18"/>
        <v>0</v>
      </c>
      <c r="J122" s="86">
        <v>100</v>
      </c>
      <c r="K122" s="86">
        <v>300</v>
      </c>
      <c r="L122" s="83">
        <f t="shared" si="11"/>
        <v>1150</v>
      </c>
      <c r="M122" s="94">
        <v>600</v>
      </c>
      <c r="N122" s="83">
        <f>100</f>
        <v>100</v>
      </c>
      <c r="O122" s="86">
        <v>240</v>
      </c>
      <c r="P122" s="86">
        <v>40</v>
      </c>
      <c r="Q122" s="86">
        <f t="shared" si="12"/>
        <v>315</v>
      </c>
      <c r="R122" s="86">
        <f t="shared" si="13"/>
        <v>100</v>
      </c>
      <c r="S122" s="83">
        <f t="shared" si="14"/>
        <v>695</v>
      </c>
      <c r="T122" s="83">
        <f>50</f>
        <v>50</v>
      </c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</row>
    <row r="123" spans="1:30" ht="15.75" x14ac:dyDescent="0.25">
      <c r="A123" s="13">
        <v>44652</v>
      </c>
      <c r="B123" s="97">
        <v>30</v>
      </c>
      <c r="C123" s="83">
        <f>141.293</f>
        <v>141.29300000000001</v>
      </c>
      <c r="D123" s="83">
        <f>267.993</f>
        <v>267.99299999999999</v>
      </c>
      <c r="E123" s="92">
        <f>115.016</f>
        <v>115.01600000000001</v>
      </c>
      <c r="F123" s="83">
        <f>314.698-40-25-60-100</f>
        <v>89.697999999999979</v>
      </c>
      <c r="G123" s="86">
        <v>40</v>
      </c>
      <c r="H123" s="83">
        <f t="shared" ref="H123:H129" si="19">25+60+100</f>
        <v>185</v>
      </c>
      <c r="I123" s="83">
        <f t="shared" si="18"/>
        <v>0</v>
      </c>
      <c r="J123" s="86">
        <v>100</v>
      </c>
      <c r="K123" s="86">
        <v>300</v>
      </c>
      <c r="L123" s="83">
        <f t="shared" si="11"/>
        <v>1239</v>
      </c>
      <c r="M123" s="94">
        <v>600</v>
      </c>
      <c r="N123" s="83">
        <f>100</f>
        <v>100</v>
      </c>
      <c r="O123" s="86">
        <v>240</v>
      </c>
      <c r="P123" s="86">
        <v>160</v>
      </c>
      <c r="Q123" s="86">
        <f t="shared" si="12"/>
        <v>195</v>
      </c>
      <c r="R123" s="86">
        <f t="shared" si="13"/>
        <v>100</v>
      </c>
      <c r="S123" s="83">
        <f t="shared" si="14"/>
        <v>695</v>
      </c>
      <c r="T123" s="83">
        <f>50</f>
        <v>50</v>
      </c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</row>
    <row r="124" spans="1:30" ht="15.75" x14ac:dyDescent="0.25">
      <c r="A124" s="13">
        <v>44682</v>
      </c>
      <c r="B124" s="97">
        <v>31</v>
      </c>
      <c r="C124" s="83">
        <f>194.205</f>
        <v>194.20500000000001</v>
      </c>
      <c r="D124" s="83">
        <f>267.466</f>
        <v>267.46600000000001</v>
      </c>
      <c r="E124" s="92">
        <f>133.845</f>
        <v>133.845</v>
      </c>
      <c r="F124" s="83">
        <f>278.484-40-25-60-100</f>
        <v>53.48399999999998</v>
      </c>
      <c r="G124" s="86">
        <v>40</v>
      </c>
      <c r="H124" s="83">
        <f t="shared" si="19"/>
        <v>185</v>
      </c>
      <c r="I124" s="83">
        <f t="shared" si="18"/>
        <v>0</v>
      </c>
      <c r="J124" s="86">
        <v>100</v>
      </c>
      <c r="K124" s="86">
        <v>300</v>
      </c>
      <c r="L124" s="83">
        <f t="shared" si="11"/>
        <v>1274</v>
      </c>
      <c r="M124" s="94">
        <v>600</v>
      </c>
      <c r="N124" s="83">
        <f>75</f>
        <v>75</v>
      </c>
      <c r="O124" s="86">
        <v>240</v>
      </c>
      <c r="P124" s="86">
        <v>160</v>
      </c>
      <c r="Q124" s="86">
        <f t="shared" si="12"/>
        <v>195</v>
      </c>
      <c r="R124" s="86">
        <f t="shared" si="13"/>
        <v>100</v>
      </c>
      <c r="S124" s="83">
        <f t="shared" si="14"/>
        <v>695</v>
      </c>
      <c r="T124" s="83">
        <f>50</f>
        <v>50</v>
      </c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</row>
    <row r="125" spans="1:30" ht="15.75" x14ac:dyDescent="0.25">
      <c r="A125" s="13">
        <v>44713</v>
      </c>
      <c r="B125" s="97">
        <v>30</v>
      </c>
      <c r="C125" s="83">
        <f>194.205</f>
        <v>194.20500000000001</v>
      </c>
      <c r="D125" s="83">
        <f>267.466</f>
        <v>267.46600000000001</v>
      </c>
      <c r="E125" s="92">
        <f>133.845</f>
        <v>133.845</v>
      </c>
      <c r="F125" s="83">
        <f>278.484-40-25-60-100</f>
        <v>53.48399999999998</v>
      </c>
      <c r="G125" s="86">
        <v>40</v>
      </c>
      <c r="H125" s="83">
        <f t="shared" si="19"/>
        <v>185</v>
      </c>
      <c r="I125" s="83">
        <f t="shared" si="18"/>
        <v>0</v>
      </c>
      <c r="J125" s="86">
        <v>100</v>
      </c>
      <c r="K125" s="86">
        <v>300</v>
      </c>
      <c r="L125" s="83">
        <f t="shared" si="11"/>
        <v>1274</v>
      </c>
      <c r="M125" s="94">
        <v>600</v>
      </c>
      <c r="N125" s="83">
        <f>30</f>
        <v>30</v>
      </c>
      <c r="O125" s="86">
        <v>240</v>
      </c>
      <c r="P125" s="86">
        <v>160</v>
      </c>
      <c r="Q125" s="86">
        <f t="shared" si="12"/>
        <v>195</v>
      </c>
      <c r="R125" s="86">
        <f t="shared" si="13"/>
        <v>100</v>
      </c>
      <c r="S125" s="83">
        <f t="shared" si="14"/>
        <v>695</v>
      </c>
      <c r="T125" s="83">
        <f>50</f>
        <v>50</v>
      </c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</row>
    <row r="126" spans="1:30" ht="15.75" x14ac:dyDescent="0.25">
      <c r="A126" s="13">
        <v>44743</v>
      </c>
      <c r="B126" s="97">
        <v>31</v>
      </c>
      <c r="C126" s="83">
        <f>194.205</f>
        <v>194.20500000000001</v>
      </c>
      <c r="D126" s="83">
        <f>267.466</f>
        <v>267.46600000000001</v>
      </c>
      <c r="E126" s="92">
        <f>133.845</f>
        <v>133.845</v>
      </c>
      <c r="F126" s="83">
        <f>278.484-40-25-60-100</f>
        <v>53.48399999999998</v>
      </c>
      <c r="G126" s="86">
        <v>40</v>
      </c>
      <c r="H126" s="83">
        <f t="shared" si="19"/>
        <v>185</v>
      </c>
      <c r="I126" s="83">
        <f t="shared" si="18"/>
        <v>0</v>
      </c>
      <c r="J126" s="86">
        <v>100</v>
      </c>
      <c r="K126" s="86">
        <v>300</v>
      </c>
      <c r="L126" s="83">
        <f t="shared" si="11"/>
        <v>1274</v>
      </c>
      <c r="M126" s="94">
        <v>600</v>
      </c>
      <c r="N126" s="83">
        <f>30</f>
        <v>30</v>
      </c>
      <c r="O126" s="86">
        <v>240</v>
      </c>
      <c r="P126" s="86">
        <v>160</v>
      </c>
      <c r="Q126" s="86">
        <f t="shared" si="12"/>
        <v>195</v>
      </c>
      <c r="R126" s="86">
        <f t="shared" si="13"/>
        <v>100</v>
      </c>
      <c r="S126" s="83">
        <f t="shared" si="14"/>
        <v>695</v>
      </c>
      <c r="T126" s="83">
        <f>0</f>
        <v>0</v>
      </c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</row>
    <row r="127" spans="1:30" ht="15.75" x14ac:dyDescent="0.25">
      <c r="A127" s="13">
        <v>44774</v>
      </c>
      <c r="B127" s="97">
        <v>31</v>
      </c>
      <c r="C127" s="83">
        <f>194.205</f>
        <v>194.20500000000001</v>
      </c>
      <c r="D127" s="83">
        <f>267.466</f>
        <v>267.46600000000001</v>
      </c>
      <c r="E127" s="92">
        <f>133.845</f>
        <v>133.845</v>
      </c>
      <c r="F127" s="83">
        <f>278.484-40-25-60-100</f>
        <v>53.48399999999998</v>
      </c>
      <c r="G127" s="86">
        <v>40</v>
      </c>
      <c r="H127" s="83">
        <f t="shared" si="19"/>
        <v>185</v>
      </c>
      <c r="I127" s="83">
        <f t="shared" si="18"/>
        <v>0</v>
      </c>
      <c r="J127" s="86">
        <v>100</v>
      </c>
      <c r="K127" s="86">
        <v>300</v>
      </c>
      <c r="L127" s="83">
        <f t="shared" si="11"/>
        <v>1274</v>
      </c>
      <c r="M127" s="94">
        <v>600</v>
      </c>
      <c r="N127" s="83">
        <f>30</f>
        <v>30</v>
      </c>
      <c r="O127" s="86">
        <v>240</v>
      </c>
      <c r="P127" s="86">
        <v>160</v>
      </c>
      <c r="Q127" s="86">
        <f t="shared" si="12"/>
        <v>195</v>
      </c>
      <c r="R127" s="86">
        <f t="shared" si="13"/>
        <v>100</v>
      </c>
      <c r="S127" s="83">
        <f t="shared" si="14"/>
        <v>695</v>
      </c>
      <c r="T127" s="83">
        <f>0</f>
        <v>0</v>
      </c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</row>
    <row r="128" spans="1:30" ht="15.75" x14ac:dyDescent="0.25">
      <c r="A128" s="13">
        <v>44805</v>
      </c>
      <c r="B128" s="97">
        <v>30</v>
      </c>
      <c r="C128" s="83">
        <f>194.205</f>
        <v>194.20500000000001</v>
      </c>
      <c r="D128" s="83">
        <f>267.466</f>
        <v>267.46600000000001</v>
      </c>
      <c r="E128" s="92">
        <f>133.845</f>
        <v>133.845</v>
      </c>
      <c r="F128" s="83">
        <f>278.484-40-25-60-100</f>
        <v>53.48399999999998</v>
      </c>
      <c r="G128" s="86">
        <v>40</v>
      </c>
      <c r="H128" s="83">
        <f t="shared" si="19"/>
        <v>185</v>
      </c>
      <c r="I128" s="83">
        <f t="shared" si="18"/>
        <v>0</v>
      </c>
      <c r="J128" s="86">
        <v>100</v>
      </c>
      <c r="K128" s="86">
        <v>300</v>
      </c>
      <c r="L128" s="83">
        <f t="shared" si="11"/>
        <v>1274</v>
      </c>
      <c r="M128" s="94">
        <v>600</v>
      </c>
      <c r="N128" s="83">
        <f>30</f>
        <v>30</v>
      </c>
      <c r="O128" s="86">
        <v>240</v>
      </c>
      <c r="P128" s="86">
        <v>160</v>
      </c>
      <c r="Q128" s="86">
        <f t="shared" si="12"/>
        <v>195</v>
      </c>
      <c r="R128" s="86">
        <f t="shared" si="13"/>
        <v>100</v>
      </c>
      <c r="S128" s="83">
        <f t="shared" si="14"/>
        <v>695</v>
      </c>
      <c r="T128" s="83">
        <f>0</f>
        <v>0</v>
      </c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</row>
    <row r="129" spans="1:30" ht="15.75" x14ac:dyDescent="0.25">
      <c r="A129" s="13">
        <v>44835</v>
      </c>
      <c r="B129" s="97">
        <v>31</v>
      </c>
      <c r="C129" s="83">
        <f>131.881</f>
        <v>131.881</v>
      </c>
      <c r="D129" s="83">
        <f>277.167</f>
        <v>277.16699999999997</v>
      </c>
      <c r="E129" s="92">
        <f>79.08</f>
        <v>79.08</v>
      </c>
      <c r="F129" s="83">
        <f>350.872-40-25-60-100</f>
        <v>125.87200000000001</v>
      </c>
      <c r="G129" s="86">
        <v>40</v>
      </c>
      <c r="H129" s="83">
        <f t="shared" si="19"/>
        <v>185</v>
      </c>
      <c r="I129" s="83">
        <f t="shared" si="18"/>
        <v>0</v>
      </c>
      <c r="J129" s="86">
        <v>100</v>
      </c>
      <c r="K129" s="86">
        <v>300</v>
      </c>
      <c r="L129" s="83">
        <f t="shared" si="11"/>
        <v>1239</v>
      </c>
      <c r="M129" s="94">
        <v>600</v>
      </c>
      <c r="N129" s="83">
        <f>75</f>
        <v>75</v>
      </c>
      <c r="O129" s="86">
        <v>240</v>
      </c>
      <c r="P129" s="86">
        <v>160</v>
      </c>
      <c r="Q129" s="86">
        <f t="shared" si="12"/>
        <v>195</v>
      </c>
      <c r="R129" s="86">
        <f t="shared" si="13"/>
        <v>100</v>
      </c>
      <c r="S129" s="83">
        <f t="shared" si="14"/>
        <v>695</v>
      </c>
      <c r="T129" s="83">
        <f>0</f>
        <v>0</v>
      </c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</row>
    <row r="130" spans="1:30" ht="15.75" x14ac:dyDescent="0.25">
      <c r="A130" s="13">
        <v>44866</v>
      </c>
      <c r="B130" s="97">
        <v>30</v>
      </c>
      <c r="C130" s="83">
        <f>122.58</f>
        <v>122.58</v>
      </c>
      <c r="D130" s="83">
        <f>297.941</f>
        <v>297.94099999999997</v>
      </c>
      <c r="E130" s="92">
        <f>89.177</f>
        <v>89.177000000000007</v>
      </c>
      <c r="F130" s="83">
        <f>240.302-40-60-100</f>
        <v>40.301999999999992</v>
      </c>
      <c r="G130" s="86">
        <v>40</v>
      </c>
      <c r="H130" s="83">
        <f>60+100</f>
        <v>160</v>
      </c>
      <c r="I130" s="83">
        <f t="shared" si="18"/>
        <v>0</v>
      </c>
      <c r="J130" s="86">
        <v>100</v>
      </c>
      <c r="K130" s="86">
        <v>300</v>
      </c>
      <c r="L130" s="83">
        <f t="shared" si="11"/>
        <v>1150</v>
      </c>
      <c r="M130" s="94">
        <v>600</v>
      </c>
      <c r="N130" s="83">
        <f>100</f>
        <v>100</v>
      </c>
      <c r="O130" s="86">
        <v>240</v>
      </c>
      <c r="P130" s="86">
        <v>40</v>
      </c>
      <c r="Q130" s="86">
        <f t="shared" si="12"/>
        <v>315</v>
      </c>
      <c r="R130" s="86">
        <f t="shared" si="13"/>
        <v>100</v>
      </c>
      <c r="S130" s="83">
        <f t="shared" si="14"/>
        <v>695</v>
      </c>
      <c r="T130" s="83">
        <f>50</f>
        <v>50</v>
      </c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</row>
    <row r="131" spans="1:30" ht="15.75" x14ac:dyDescent="0.25">
      <c r="A131" s="13">
        <v>44896</v>
      </c>
      <c r="B131" s="97">
        <v>31</v>
      </c>
      <c r="C131" s="83">
        <f>122.58</f>
        <v>122.58</v>
      </c>
      <c r="D131" s="83">
        <f>297.941</f>
        <v>297.94099999999997</v>
      </c>
      <c r="E131" s="92">
        <f>89.177</f>
        <v>89.177000000000007</v>
      </c>
      <c r="F131" s="83">
        <f>240.302-40-60-100</f>
        <v>40.301999999999992</v>
      </c>
      <c r="G131" s="86">
        <v>40</v>
      </c>
      <c r="H131" s="83">
        <f>60+100</f>
        <v>160</v>
      </c>
      <c r="I131" s="83">
        <f t="shared" si="18"/>
        <v>0</v>
      </c>
      <c r="J131" s="86">
        <v>100</v>
      </c>
      <c r="K131" s="86">
        <v>300</v>
      </c>
      <c r="L131" s="83">
        <f t="shared" si="11"/>
        <v>1150</v>
      </c>
      <c r="M131" s="94">
        <v>600</v>
      </c>
      <c r="N131" s="83">
        <f>100</f>
        <v>100</v>
      </c>
      <c r="O131" s="86">
        <v>240</v>
      </c>
      <c r="P131" s="86">
        <v>40</v>
      </c>
      <c r="Q131" s="86">
        <f t="shared" si="12"/>
        <v>315</v>
      </c>
      <c r="R131" s="86">
        <f t="shared" si="13"/>
        <v>100</v>
      </c>
      <c r="S131" s="83">
        <f t="shared" si="14"/>
        <v>695</v>
      </c>
      <c r="T131" s="83">
        <f>50</f>
        <v>50</v>
      </c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</row>
    <row r="132" spans="1:30" ht="15.75" x14ac:dyDescent="0.25">
      <c r="A132" s="13">
        <v>44927</v>
      </c>
      <c r="B132" s="97">
        <v>31</v>
      </c>
      <c r="C132" s="83">
        <f>122.58</f>
        <v>122.58</v>
      </c>
      <c r="D132" s="83">
        <f>297.941</f>
        <v>297.94099999999997</v>
      </c>
      <c r="E132" s="92">
        <f>89.177</f>
        <v>89.177000000000007</v>
      </c>
      <c r="F132" s="83">
        <f>240.302-40-60-100</f>
        <v>40.301999999999992</v>
      </c>
      <c r="G132" s="86">
        <v>40</v>
      </c>
      <c r="H132" s="83">
        <f>60+100</f>
        <v>160</v>
      </c>
      <c r="I132" s="83">
        <f t="shared" si="18"/>
        <v>0</v>
      </c>
      <c r="J132" s="86">
        <v>100</v>
      </c>
      <c r="K132" s="86">
        <v>300</v>
      </c>
      <c r="L132" s="83">
        <f t="shared" si="11"/>
        <v>1150</v>
      </c>
      <c r="M132" s="94">
        <v>600</v>
      </c>
      <c r="N132" s="83">
        <f>100</f>
        <v>100</v>
      </c>
      <c r="O132" s="86">
        <v>240</v>
      </c>
      <c r="P132" s="86">
        <v>40</v>
      </c>
      <c r="Q132" s="86">
        <f t="shared" si="12"/>
        <v>315</v>
      </c>
      <c r="R132" s="86">
        <f t="shared" si="13"/>
        <v>100</v>
      </c>
      <c r="S132" s="83">
        <f t="shared" si="14"/>
        <v>695</v>
      </c>
      <c r="T132" s="83">
        <f>50</f>
        <v>50</v>
      </c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</row>
    <row r="133" spans="1:30" ht="15.75" x14ac:dyDescent="0.25">
      <c r="A133" s="13">
        <v>44958</v>
      </c>
      <c r="B133" s="97">
        <v>28</v>
      </c>
      <c r="C133" s="83">
        <f>122.58</f>
        <v>122.58</v>
      </c>
      <c r="D133" s="83">
        <f>297.941</f>
        <v>297.94099999999997</v>
      </c>
      <c r="E133" s="92">
        <f>89.177</f>
        <v>89.177000000000007</v>
      </c>
      <c r="F133" s="83">
        <f>240.302-40-60-100</f>
        <v>40.301999999999992</v>
      </c>
      <c r="G133" s="86">
        <v>40</v>
      </c>
      <c r="H133" s="83">
        <f>60+100</f>
        <v>160</v>
      </c>
      <c r="I133" s="83">
        <f t="shared" si="18"/>
        <v>0</v>
      </c>
      <c r="J133" s="86">
        <v>100</v>
      </c>
      <c r="K133" s="86">
        <v>300</v>
      </c>
      <c r="L133" s="83">
        <f t="shared" si="11"/>
        <v>1150</v>
      </c>
      <c r="M133" s="94">
        <v>600</v>
      </c>
      <c r="N133" s="83">
        <f>100</f>
        <v>100</v>
      </c>
      <c r="O133" s="86">
        <v>240</v>
      </c>
      <c r="P133" s="86">
        <v>40</v>
      </c>
      <c r="Q133" s="86">
        <f t="shared" si="12"/>
        <v>315</v>
      </c>
      <c r="R133" s="86">
        <f t="shared" si="13"/>
        <v>100</v>
      </c>
      <c r="S133" s="83">
        <f t="shared" si="14"/>
        <v>695</v>
      </c>
      <c r="T133" s="83">
        <f>50</f>
        <v>50</v>
      </c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</row>
    <row r="134" spans="1:30" ht="15.75" x14ac:dyDescent="0.25">
      <c r="A134" s="13">
        <v>44986</v>
      </c>
      <c r="B134" s="97">
        <v>31</v>
      </c>
      <c r="C134" s="83">
        <f>122.58</f>
        <v>122.58</v>
      </c>
      <c r="D134" s="83">
        <f>297.941</f>
        <v>297.94099999999997</v>
      </c>
      <c r="E134" s="92">
        <f>89.177</f>
        <v>89.177000000000007</v>
      </c>
      <c r="F134" s="83">
        <f>240.302-40-60-100</f>
        <v>40.301999999999992</v>
      </c>
      <c r="G134" s="86">
        <v>40</v>
      </c>
      <c r="H134" s="83">
        <f>60+100</f>
        <v>160</v>
      </c>
      <c r="I134" s="83">
        <f t="shared" si="18"/>
        <v>0</v>
      </c>
      <c r="J134" s="86">
        <v>100</v>
      </c>
      <c r="K134" s="86">
        <v>300</v>
      </c>
      <c r="L134" s="83">
        <f t="shared" si="11"/>
        <v>1150</v>
      </c>
      <c r="M134" s="94">
        <v>600</v>
      </c>
      <c r="N134" s="83">
        <f>100</f>
        <v>100</v>
      </c>
      <c r="O134" s="86">
        <v>240</v>
      </c>
      <c r="P134" s="86">
        <v>40</v>
      </c>
      <c r="Q134" s="86">
        <f t="shared" si="12"/>
        <v>315</v>
      </c>
      <c r="R134" s="86">
        <f t="shared" si="13"/>
        <v>100</v>
      </c>
      <c r="S134" s="83">
        <f t="shared" si="14"/>
        <v>695</v>
      </c>
      <c r="T134" s="83">
        <f>50</f>
        <v>50</v>
      </c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</row>
    <row r="135" spans="1:30" ht="15.75" x14ac:dyDescent="0.25">
      <c r="A135" s="13">
        <v>45017</v>
      </c>
      <c r="B135" s="97">
        <v>30</v>
      </c>
      <c r="C135" s="83">
        <f>141.293</f>
        <v>141.29300000000001</v>
      </c>
      <c r="D135" s="83">
        <f>267.993</f>
        <v>267.99299999999999</v>
      </c>
      <c r="E135" s="92">
        <f>115.016</f>
        <v>115.01600000000001</v>
      </c>
      <c r="F135" s="83">
        <f>314.698-40-25-60-100</f>
        <v>89.697999999999979</v>
      </c>
      <c r="G135" s="86">
        <v>40</v>
      </c>
      <c r="H135" s="83">
        <f t="shared" ref="H135:H141" si="20">25+60+100</f>
        <v>185</v>
      </c>
      <c r="I135" s="83">
        <f t="shared" si="18"/>
        <v>0</v>
      </c>
      <c r="J135" s="86">
        <v>100</v>
      </c>
      <c r="K135" s="86">
        <v>300</v>
      </c>
      <c r="L135" s="83">
        <f t="shared" si="11"/>
        <v>1239</v>
      </c>
      <c r="M135" s="94">
        <v>600</v>
      </c>
      <c r="N135" s="83">
        <f>100</f>
        <v>100</v>
      </c>
      <c r="O135" s="86">
        <v>240</v>
      </c>
      <c r="P135" s="86">
        <v>160</v>
      </c>
      <c r="Q135" s="86">
        <f t="shared" si="12"/>
        <v>195</v>
      </c>
      <c r="R135" s="86">
        <f t="shared" si="13"/>
        <v>100</v>
      </c>
      <c r="S135" s="83">
        <f t="shared" si="14"/>
        <v>695</v>
      </c>
      <c r="T135" s="83">
        <f>50</f>
        <v>50</v>
      </c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</row>
    <row r="136" spans="1:30" ht="15.75" x14ac:dyDescent="0.25">
      <c r="A136" s="13">
        <v>45047</v>
      </c>
      <c r="B136" s="97">
        <v>31</v>
      </c>
      <c r="C136" s="83">
        <f>194.205</f>
        <v>194.20500000000001</v>
      </c>
      <c r="D136" s="83">
        <f>267.466</f>
        <v>267.46600000000001</v>
      </c>
      <c r="E136" s="92">
        <f>133.845</f>
        <v>133.845</v>
      </c>
      <c r="F136" s="83">
        <f>278.484-40-25-60-100</f>
        <v>53.48399999999998</v>
      </c>
      <c r="G136" s="86">
        <v>40</v>
      </c>
      <c r="H136" s="83">
        <f t="shared" si="20"/>
        <v>185</v>
      </c>
      <c r="I136" s="83">
        <f t="shared" si="18"/>
        <v>0</v>
      </c>
      <c r="J136" s="86">
        <v>100</v>
      </c>
      <c r="K136" s="86">
        <v>300</v>
      </c>
      <c r="L136" s="83">
        <f t="shared" si="11"/>
        <v>1274</v>
      </c>
      <c r="M136" s="94">
        <v>600</v>
      </c>
      <c r="N136" s="83">
        <f>75</f>
        <v>75</v>
      </c>
      <c r="O136" s="86">
        <v>240</v>
      </c>
      <c r="P136" s="86">
        <v>160</v>
      </c>
      <c r="Q136" s="86">
        <f t="shared" si="12"/>
        <v>195</v>
      </c>
      <c r="R136" s="86">
        <f t="shared" si="13"/>
        <v>100</v>
      </c>
      <c r="S136" s="83">
        <f t="shared" si="14"/>
        <v>695</v>
      </c>
      <c r="T136" s="83">
        <f>50</f>
        <v>50</v>
      </c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</row>
    <row r="137" spans="1:30" ht="15.75" x14ac:dyDescent="0.25">
      <c r="A137" s="13">
        <v>45078</v>
      </c>
      <c r="B137" s="97">
        <v>30</v>
      </c>
      <c r="C137" s="83">
        <f>194.205</f>
        <v>194.20500000000001</v>
      </c>
      <c r="D137" s="83">
        <f>267.466</f>
        <v>267.46600000000001</v>
      </c>
      <c r="E137" s="92">
        <f>133.845</f>
        <v>133.845</v>
      </c>
      <c r="F137" s="83">
        <f>278.484-40-25-60-100</f>
        <v>53.48399999999998</v>
      </c>
      <c r="G137" s="86">
        <v>40</v>
      </c>
      <c r="H137" s="83">
        <f t="shared" si="20"/>
        <v>185</v>
      </c>
      <c r="I137" s="83">
        <f t="shared" si="18"/>
        <v>0</v>
      </c>
      <c r="J137" s="86">
        <v>100</v>
      </c>
      <c r="K137" s="86">
        <v>300</v>
      </c>
      <c r="L137" s="83">
        <f t="shared" si="11"/>
        <v>1274</v>
      </c>
      <c r="M137" s="94">
        <v>600</v>
      </c>
      <c r="N137" s="83">
        <f>30</f>
        <v>30</v>
      </c>
      <c r="O137" s="86">
        <v>240</v>
      </c>
      <c r="P137" s="86">
        <v>160</v>
      </c>
      <c r="Q137" s="86">
        <f t="shared" si="12"/>
        <v>195</v>
      </c>
      <c r="R137" s="86">
        <f t="shared" si="13"/>
        <v>100</v>
      </c>
      <c r="S137" s="83">
        <f t="shared" si="14"/>
        <v>695</v>
      </c>
      <c r="T137" s="83">
        <f>50</f>
        <v>50</v>
      </c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</row>
    <row r="138" spans="1:30" ht="15.75" x14ac:dyDescent="0.25">
      <c r="A138" s="13">
        <v>45108</v>
      </c>
      <c r="B138" s="97">
        <v>31</v>
      </c>
      <c r="C138" s="83">
        <f>194.205</f>
        <v>194.20500000000001</v>
      </c>
      <c r="D138" s="83">
        <f>267.466</f>
        <v>267.46600000000001</v>
      </c>
      <c r="E138" s="92">
        <f>133.845</f>
        <v>133.845</v>
      </c>
      <c r="F138" s="83">
        <f>278.484-40-25-60-100</f>
        <v>53.48399999999998</v>
      </c>
      <c r="G138" s="86">
        <v>40</v>
      </c>
      <c r="H138" s="83">
        <f t="shared" si="20"/>
        <v>185</v>
      </c>
      <c r="I138" s="83">
        <f t="shared" si="18"/>
        <v>0</v>
      </c>
      <c r="J138" s="86">
        <v>100</v>
      </c>
      <c r="K138" s="86">
        <v>300</v>
      </c>
      <c r="L138" s="83">
        <f t="shared" si="11"/>
        <v>1274</v>
      </c>
      <c r="M138" s="94">
        <v>600</v>
      </c>
      <c r="N138" s="83">
        <f>30</f>
        <v>30</v>
      </c>
      <c r="O138" s="86">
        <v>240</v>
      </c>
      <c r="P138" s="86">
        <v>160</v>
      </c>
      <c r="Q138" s="86">
        <f t="shared" si="12"/>
        <v>195</v>
      </c>
      <c r="R138" s="86">
        <f t="shared" si="13"/>
        <v>100</v>
      </c>
      <c r="S138" s="83">
        <f t="shared" si="14"/>
        <v>695</v>
      </c>
      <c r="T138" s="83">
        <f>0</f>
        <v>0</v>
      </c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</row>
    <row r="139" spans="1:30" ht="15.75" x14ac:dyDescent="0.25">
      <c r="A139" s="13">
        <v>45139</v>
      </c>
      <c r="B139" s="97">
        <v>31</v>
      </c>
      <c r="C139" s="83">
        <f>194.205</f>
        <v>194.20500000000001</v>
      </c>
      <c r="D139" s="83">
        <f>267.466</f>
        <v>267.46600000000001</v>
      </c>
      <c r="E139" s="92">
        <f>133.845</f>
        <v>133.845</v>
      </c>
      <c r="F139" s="83">
        <f>278.484-40-25-60-100</f>
        <v>53.48399999999998</v>
      </c>
      <c r="G139" s="86">
        <v>40</v>
      </c>
      <c r="H139" s="83">
        <f t="shared" si="20"/>
        <v>185</v>
      </c>
      <c r="I139" s="83">
        <f t="shared" si="18"/>
        <v>0</v>
      </c>
      <c r="J139" s="86">
        <v>100</v>
      </c>
      <c r="K139" s="86">
        <v>300</v>
      </c>
      <c r="L139" s="83">
        <f t="shared" si="11"/>
        <v>1274</v>
      </c>
      <c r="M139" s="94">
        <v>600</v>
      </c>
      <c r="N139" s="83">
        <f>30</f>
        <v>30</v>
      </c>
      <c r="O139" s="86">
        <v>240</v>
      </c>
      <c r="P139" s="86">
        <v>160</v>
      </c>
      <c r="Q139" s="86">
        <f t="shared" si="12"/>
        <v>195</v>
      </c>
      <c r="R139" s="86">
        <f t="shared" si="13"/>
        <v>100</v>
      </c>
      <c r="S139" s="83">
        <f t="shared" si="14"/>
        <v>695</v>
      </c>
      <c r="T139" s="83">
        <f>0</f>
        <v>0</v>
      </c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</row>
    <row r="140" spans="1:30" ht="15.75" x14ac:dyDescent="0.25">
      <c r="A140" s="13">
        <v>45170</v>
      </c>
      <c r="B140" s="97">
        <v>30</v>
      </c>
      <c r="C140" s="83">
        <f>194.205</f>
        <v>194.20500000000001</v>
      </c>
      <c r="D140" s="83">
        <f>267.466</f>
        <v>267.46600000000001</v>
      </c>
      <c r="E140" s="92">
        <f>133.845</f>
        <v>133.845</v>
      </c>
      <c r="F140" s="83">
        <f>278.484-40-25-60-100</f>
        <v>53.48399999999998</v>
      </c>
      <c r="G140" s="86">
        <v>40</v>
      </c>
      <c r="H140" s="83">
        <f t="shared" si="20"/>
        <v>185</v>
      </c>
      <c r="I140" s="83">
        <f t="shared" si="18"/>
        <v>0</v>
      </c>
      <c r="J140" s="86">
        <v>100</v>
      </c>
      <c r="K140" s="86">
        <v>300</v>
      </c>
      <c r="L140" s="83">
        <f t="shared" si="11"/>
        <v>1274</v>
      </c>
      <c r="M140" s="94">
        <v>600</v>
      </c>
      <c r="N140" s="83">
        <f>30</f>
        <v>30</v>
      </c>
      <c r="O140" s="86">
        <v>240</v>
      </c>
      <c r="P140" s="86">
        <v>160</v>
      </c>
      <c r="Q140" s="86">
        <f t="shared" si="12"/>
        <v>195</v>
      </c>
      <c r="R140" s="86">
        <f t="shared" si="13"/>
        <v>100</v>
      </c>
      <c r="S140" s="83">
        <f t="shared" si="14"/>
        <v>695</v>
      </c>
      <c r="T140" s="83">
        <f>0</f>
        <v>0</v>
      </c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</row>
    <row r="141" spans="1:30" ht="15.75" x14ac:dyDescent="0.25">
      <c r="A141" s="13">
        <v>45200</v>
      </c>
      <c r="B141" s="97">
        <v>31</v>
      </c>
      <c r="C141" s="83">
        <f>131.881</f>
        <v>131.881</v>
      </c>
      <c r="D141" s="83">
        <f>277.167</f>
        <v>277.16699999999997</v>
      </c>
      <c r="E141" s="92">
        <f>79.08</f>
        <v>79.08</v>
      </c>
      <c r="F141" s="83">
        <f>350.872-40-25-60-100</f>
        <v>125.87200000000001</v>
      </c>
      <c r="G141" s="86">
        <v>40</v>
      </c>
      <c r="H141" s="83">
        <f t="shared" si="20"/>
        <v>185</v>
      </c>
      <c r="I141" s="83">
        <f t="shared" si="18"/>
        <v>0</v>
      </c>
      <c r="J141" s="86">
        <v>100</v>
      </c>
      <c r="K141" s="86">
        <v>300</v>
      </c>
      <c r="L141" s="83">
        <f t="shared" si="11"/>
        <v>1239</v>
      </c>
      <c r="M141" s="94">
        <v>600</v>
      </c>
      <c r="N141" s="83">
        <f>75</f>
        <v>75</v>
      </c>
      <c r="O141" s="86">
        <v>240</v>
      </c>
      <c r="P141" s="86">
        <v>160</v>
      </c>
      <c r="Q141" s="86">
        <f t="shared" si="12"/>
        <v>195</v>
      </c>
      <c r="R141" s="86">
        <f t="shared" si="13"/>
        <v>100</v>
      </c>
      <c r="S141" s="83">
        <f t="shared" si="14"/>
        <v>695</v>
      </c>
      <c r="T141" s="83">
        <f>0</f>
        <v>0</v>
      </c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</row>
    <row r="142" spans="1:30" ht="15.75" x14ac:dyDescent="0.25">
      <c r="A142" s="13">
        <v>45231</v>
      </c>
      <c r="B142" s="97">
        <v>30</v>
      </c>
      <c r="C142" s="83">
        <f>122.58</f>
        <v>122.58</v>
      </c>
      <c r="D142" s="83">
        <f>297.941</f>
        <v>297.94099999999997</v>
      </c>
      <c r="E142" s="92">
        <f>89.177</f>
        <v>89.177000000000007</v>
      </c>
      <c r="F142" s="83">
        <f>240.302-40-60-100</f>
        <v>40.301999999999992</v>
      </c>
      <c r="G142" s="86">
        <v>40</v>
      </c>
      <c r="H142" s="83">
        <f>60+100</f>
        <v>160</v>
      </c>
      <c r="I142" s="83">
        <f t="shared" si="18"/>
        <v>0</v>
      </c>
      <c r="J142" s="86">
        <v>100</v>
      </c>
      <c r="K142" s="86">
        <v>300</v>
      </c>
      <c r="L142" s="83">
        <f t="shared" si="11"/>
        <v>1150</v>
      </c>
      <c r="M142" s="94">
        <v>600</v>
      </c>
      <c r="N142" s="83">
        <f>100</f>
        <v>100</v>
      </c>
      <c r="O142" s="86">
        <v>240</v>
      </c>
      <c r="P142" s="86">
        <v>40</v>
      </c>
      <c r="Q142" s="86">
        <f t="shared" si="12"/>
        <v>315</v>
      </c>
      <c r="R142" s="86">
        <f t="shared" si="13"/>
        <v>100</v>
      </c>
      <c r="S142" s="83">
        <f t="shared" si="14"/>
        <v>695</v>
      </c>
      <c r="T142" s="83">
        <f>50</f>
        <v>50</v>
      </c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</row>
    <row r="143" spans="1:30" ht="15.75" x14ac:dyDescent="0.25">
      <c r="A143" s="13">
        <v>45261</v>
      </c>
      <c r="B143" s="97">
        <v>31</v>
      </c>
      <c r="C143" s="83">
        <f>122.58</f>
        <v>122.58</v>
      </c>
      <c r="D143" s="83">
        <f>297.941</f>
        <v>297.94099999999997</v>
      </c>
      <c r="E143" s="92">
        <f>89.177</f>
        <v>89.177000000000007</v>
      </c>
      <c r="F143" s="83">
        <f>240.302-40-60-100</f>
        <v>40.301999999999992</v>
      </c>
      <c r="G143" s="86">
        <v>40</v>
      </c>
      <c r="H143" s="83">
        <f>60+100</f>
        <v>160</v>
      </c>
      <c r="I143" s="83">
        <f t="shared" si="18"/>
        <v>0</v>
      </c>
      <c r="J143" s="86">
        <v>100</v>
      </c>
      <c r="K143" s="86">
        <v>300</v>
      </c>
      <c r="L143" s="83">
        <f t="shared" si="11"/>
        <v>1150</v>
      </c>
      <c r="M143" s="94">
        <v>600</v>
      </c>
      <c r="N143" s="83">
        <f>100</f>
        <v>100</v>
      </c>
      <c r="O143" s="86">
        <v>240</v>
      </c>
      <c r="P143" s="86">
        <v>40</v>
      </c>
      <c r="Q143" s="86">
        <f t="shared" si="12"/>
        <v>315</v>
      </c>
      <c r="R143" s="86">
        <f t="shared" si="13"/>
        <v>100</v>
      </c>
      <c r="S143" s="83">
        <f t="shared" si="14"/>
        <v>695</v>
      </c>
      <c r="T143" s="83">
        <f>50</f>
        <v>50</v>
      </c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</row>
    <row r="144" spans="1:30" ht="15.75" x14ac:dyDescent="0.25">
      <c r="A144" s="13">
        <v>45292</v>
      </c>
      <c r="B144" s="97">
        <v>31</v>
      </c>
      <c r="C144" s="83">
        <f>122.58</f>
        <v>122.58</v>
      </c>
      <c r="D144" s="83">
        <f>297.941</f>
        <v>297.94099999999997</v>
      </c>
      <c r="E144" s="92">
        <f>89.177</f>
        <v>89.177000000000007</v>
      </c>
      <c r="F144" s="83">
        <f>240.302-40-60-100</f>
        <v>40.301999999999992</v>
      </c>
      <c r="G144" s="86">
        <v>40</v>
      </c>
      <c r="H144" s="83">
        <f>60+100</f>
        <v>160</v>
      </c>
      <c r="I144" s="83">
        <f t="shared" si="18"/>
        <v>0</v>
      </c>
      <c r="J144" s="86">
        <v>100</v>
      </c>
      <c r="K144" s="86">
        <v>300</v>
      </c>
      <c r="L144" s="83">
        <f t="shared" si="11"/>
        <v>1150</v>
      </c>
      <c r="M144" s="94">
        <v>600</v>
      </c>
      <c r="N144" s="83">
        <f>100</f>
        <v>100</v>
      </c>
      <c r="O144" s="86">
        <v>240</v>
      </c>
      <c r="P144" s="86">
        <v>40</v>
      </c>
      <c r="Q144" s="86">
        <f t="shared" si="12"/>
        <v>315</v>
      </c>
      <c r="R144" s="86">
        <f t="shared" si="13"/>
        <v>100</v>
      </c>
      <c r="S144" s="83">
        <f t="shared" si="14"/>
        <v>695</v>
      </c>
      <c r="T144" s="83">
        <f>50</f>
        <v>50</v>
      </c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</row>
    <row r="145" spans="1:30" ht="15.75" x14ac:dyDescent="0.25">
      <c r="A145" s="13">
        <v>45323</v>
      </c>
      <c r="B145" s="97">
        <v>29</v>
      </c>
      <c r="C145" s="83">
        <f>122.58</f>
        <v>122.58</v>
      </c>
      <c r="D145" s="83">
        <f>297.941</f>
        <v>297.94099999999997</v>
      </c>
      <c r="E145" s="92">
        <f>89.177</f>
        <v>89.177000000000007</v>
      </c>
      <c r="F145" s="83">
        <f>240.302-40-60-100</f>
        <v>40.301999999999992</v>
      </c>
      <c r="G145" s="86">
        <v>40</v>
      </c>
      <c r="H145" s="83">
        <f>60+100</f>
        <v>160</v>
      </c>
      <c r="I145" s="83">
        <f t="shared" si="18"/>
        <v>0</v>
      </c>
      <c r="J145" s="86">
        <v>100</v>
      </c>
      <c r="K145" s="86">
        <v>300</v>
      </c>
      <c r="L145" s="83">
        <f t="shared" si="11"/>
        <v>1150</v>
      </c>
      <c r="M145" s="94">
        <v>600</v>
      </c>
      <c r="N145" s="83">
        <f>100</f>
        <v>100</v>
      </c>
      <c r="O145" s="86">
        <v>240</v>
      </c>
      <c r="P145" s="86">
        <v>40</v>
      </c>
      <c r="Q145" s="86">
        <f t="shared" si="12"/>
        <v>315</v>
      </c>
      <c r="R145" s="86">
        <f t="shared" si="13"/>
        <v>100</v>
      </c>
      <c r="S145" s="83">
        <f t="shared" si="14"/>
        <v>695</v>
      </c>
      <c r="T145" s="83">
        <f>50</f>
        <v>50</v>
      </c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</row>
    <row r="146" spans="1:30" ht="15.75" x14ac:dyDescent="0.25">
      <c r="A146" s="13">
        <v>45352</v>
      </c>
      <c r="B146" s="97">
        <v>31</v>
      </c>
      <c r="C146" s="83">
        <f>122.58</f>
        <v>122.58</v>
      </c>
      <c r="D146" s="83">
        <f>297.941</f>
        <v>297.94099999999997</v>
      </c>
      <c r="E146" s="92">
        <f>89.177</f>
        <v>89.177000000000007</v>
      </c>
      <c r="F146" s="83">
        <f>240.302-40-60-100</f>
        <v>40.301999999999992</v>
      </c>
      <c r="G146" s="86">
        <v>40</v>
      </c>
      <c r="H146" s="83">
        <f>60+100</f>
        <v>160</v>
      </c>
      <c r="I146" s="83">
        <f t="shared" si="18"/>
        <v>0</v>
      </c>
      <c r="J146" s="86">
        <v>100</v>
      </c>
      <c r="K146" s="86">
        <v>300</v>
      </c>
      <c r="L146" s="83">
        <f t="shared" si="11"/>
        <v>1150</v>
      </c>
      <c r="M146" s="94">
        <v>600</v>
      </c>
      <c r="N146" s="83">
        <f>100</f>
        <v>100</v>
      </c>
      <c r="O146" s="86">
        <v>240</v>
      </c>
      <c r="P146" s="86">
        <v>40</v>
      </c>
      <c r="Q146" s="86">
        <f t="shared" si="12"/>
        <v>315</v>
      </c>
      <c r="R146" s="86">
        <f t="shared" si="13"/>
        <v>100</v>
      </c>
      <c r="S146" s="83">
        <f t="shared" si="14"/>
        <v>695</v>
      </c>
      <c r="T146" s="83">
        <f>50</f>
        <v>50</v>
      </c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</row>
    <row r="147" spans="1:30" ht="15.75" x14ac:dyDescent="0.25">
      <c r="A147" s="13">
        <v>45383</v>
      </c>
      <c r="B147" s="97">
        <v>30</v>
      </c>
      <c r="C147" s="83">
        <f>141.293</f>
        <v>141.29300000000001</v>
      </c>
      <c r="D147" s="83">
        <f>267.993</f>
        <v>267.99299999999999</v>
      </c>
      <c r="E147" s="92">
        <f>115.016</f>
        <v>115.01600000000001</v>
      </c>
      <c r="F147" s="83">
        <f>314.698-40-25-60-100</f>
        <v>89.697999999999979</v>
      </c>
      <c r="G147" s="86">
        <v>40</v>
      </c>
      <c r="H147" s="83">
        <f t="shared" ref="H147:H153" si="21">25+60+100</f>
        <v>185</v>
      </c>
      <c r="I147" s="83">
        <f t="shared" si="18"/>
        <v>0</v>
      </c>
      <c r="J147" s="86">
        <v>100</v>
      </c>
      <c r="K147" s="86">
        <v>300</v>
      </c>
      <c r="L147" s="83">
        <f t="shared" si="11"/>
        <v>1239</v>
      </c>
      <c r="M147" s="94">
        <v>600</v>
      </c>
      <c r="N147" s="83">
        <f>100</f>
        <v>100</v>
      </c>
      <c r="O147" s="86">
        <v>240</v>
      </c>
      <c r="P147" s="86">
        <v>160</v>
      </c>
      <c r="Q147" s="86">
        <f t="shared" si="12"/>
        <v>195</v>
      </c>
      <c r="R147" s="86">
        <f t="shared" si="13"/>
        <v>100</v>
      </c>
      <c r="S147" s="83">
        <f t="shared" si="14"/>
        <v>695</v>
      </c>
      <c r="T147" s="83">
        <f>50</f>
        <v>50</v>
      </c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</row>
    <row r="148" spans="1:30" ht="15.75" x14ac:dyDescent="0.25">
      <c r="A148" s="13">
        <v>45413</v>
      </c>
      <c r="B148" s="97">
        <v>31</v>
      </c>
      <c r="C148" s="83">
        <f>194.205</f>
        <v>194.20500000000001</v>
      </c>
      <c r="D148" s="83">
        <f>267.466</f>
        <v>267.46600000000001</v>
      </c>
      <c r="E148" s="92">
        <f>133.845</f>
        <v>133.845</v>
      </c>
      <c r="F148" s="83">
        <f>278.484-40-25-60-100</f>
        <v>53.48399999999998</v>
      </c>
      <c r="G148" s="86">
        <v>40</v>
      </c>
      <c r="H148" s="83">
        <f t="shared" si="21"/>
        <v>185</v>
      </c>
      <c r="I148" s="83">
        <f t="shared" si="18"/>
        <v>0</v>
      </c>
      <c r="J148" s="86">
        <v>100</v>
      </c>
      <c r="K148" s="86">
        <v>300</v>
      </c>
      <c r="L148" s="83">
        <f t="shared" si="11"/>
        <v>1274</v>
      </c>
      <c r="M148" s="94">
        <v>600</v>
      </c>
      <c r="N148" s="83">
        <f>75</f>
        <v>75</v>
      </c>
      <c r="O148" s="86">
        <v>240</v>
      </c>
      <c r="P148" s="86">
        <v>160</v>
      </c>
      <c r="Q148" s="86">
        <f t="shared" si="12"/>
        <v>195</v>
      </c>
      <c r="R148" s="86">
        <f t="shared" si="13"/>
        <v>100</v>
      </c>
      <c r="S148" s="83">
        <f t="shared" si="14"/>
        <v>695</v>
      </c>
      <c r="T148" s="83">
        <f>50</f>
        <v>50</v>
      </c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</row>
    <row r="149" spans="1:30" ht="15.75" x14ac:dyDescent="0.25">
      <c r="A149" s="13">
        <v>45444</v>
      </c>
      <c r="B149" s="97">
        <v>30</v>
      </c>
      <c r="C149" s="83">
        <f>194.205</f>
        <v>194.20500000000001</v>
      </c>
      <c r="D149" s="83">
        <f>267.466</f>
        <v>267.46600000000001</v>
      </c>
      <c r="E149" s="92">
        <f>133.845</f>
        <v>133.845</v>
      </c>
      <c r="F149" s="83">
        <f>278.484-40-25-60-100</f>
        <v>53.48399999999998</v>
      </c>
      <c r="G149" s="86">
        <v>40</v>
      </c>
      <c r="H149" s="83">
        <f t="shared" si="21"/>
        <v>185</v>
      </c>
      <c r="I149" s="83">
        <f t="shared" si="18"/>
        <v>0</v>
      </c>
      <c r="J149" s="86">
        <v>100</v>
      </c>
      <c r="K149" s="86">
        <v>300</v>
      </c>
      <c r="L149" s="83">
        <f t="shared" ref="L149:L212" si="22">SUM(C149:K149)</f>
        <v>1274</v>
      </c>
      <c r="M149" s="94">
        <v>600</v>
      </c>
      <c r="N149" s="83">
        <f>30</f>
        <v>30</v>
      </c>
      <c r="O149" s="86">
        <v>240</v>
      </c>
      <c r="P149" s="86">
        <v>160</v>
      </c>
      <c r="Q149" s="86">
        <f t="shared" ref="Q149:Q212" si="23">695-R149-O149-P149</f>
        <v>195</v>
      </c>
      <c r="R149" s="86">
        <f t="shared" ref="R149:R212" si="24">200-J149</f>
        <v>100</v>
      </c>
      <c r="S149" s="83">
        <f t="shared" ref="S149:S212" si="25">SUM(O149:R149)</f>
        <v>695</v>
      </c>
      <c r="T149" s="83">
        <f>50</f>
        <v>50</v>
      </c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</row>
    <row r="150" spans="1:30" ht="15.75" x14ac:dyDescent="0.25">
      <c r="A150" s="13">
        <v>45474</v>
      </c>
      <c r="B150" s="97">
        <v>31</v>
      </c>
      <c r="C150" s="83">
        <f>194.205</f>
        <v>194.20500000000001</v>
      </c>
      <c r="D150" s="83">
        <f>267.466</f>
        <v>267.46600000000001</v>
      </c>
      <c r="E150" s="92">
        <f>133.845</f>
        <v>133.845</v>
      </c>
      <c r="F150" s="83">
        <f>278.484-40-25-60-100</f>
        <v>53.48399999999998</v>
      </c>
      <c r="G150" s="86">
        <v>40</v>
      </c>
      <c r="H150" s="83">
        <f t="shared" si="21"/>
        <v>185</v>
      </c>
      <c r="I150" s="83">
        <f t="shared" si="18"/>
        <v>0</v>
      </c>
      <c r="J150" s="86">
        <v>100</v>
      </c>
      <c r="K150" s="86">
        <v>300</v>
      </c>
      <c r="L150" s="83">
        <f t="shared" si="22"/>
        <v>1274</v>
      </c>
      <c r="M150" s="94">
        <v>600</v>
      </c>
      <c r="N150" s="83">
        <f>30</f>
        <v>30</v>
      </c>
      <c r="O150" s="86">
        <v>240</v>
      </c>
      <c r="P150" s="86">
        <v>160</v>
      </c>
      <c r="Q150" s="86">
        <f t="shared" si="23"/>
        <v>195</v>
      </c>
      <c r="R150" s="86">
        <f t="shared" si="24"/>
        <v>100</v>
      </c>
      <c r="S150" s="83">
        <f t="shared" si="25"/>
        <v>695</v>
      </c>
      <c r="T150" s="83">
        <f>0</f>
        <v>0</v>
      </c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</row>
    <row r="151" spans="1:30" ht="15.75" x14ac:dyDescent="0.25">
      <c r="A151" s="13">
        <v>45505</v>
      </c>
      <c r="B151" s="97">
        <v>31</v>
      </c>
      <c r="C151" s="83">
        <f>194.205</f>
        <v>194.20500000000001</v>
      </c>
      <c r="D151" s="83">
        <f>267.466</f>
        <v>267.46600000000001</v>
      </c>
      <c r="E151" s="92">
        <f>133.845</f>
        <v>133.845</v>
      </c>
      <c r="F151" s="83">
        <f>278.484-40-25-60-100</f>
        <v>53.48399999999998</v>
      </c>
      <c r="G151" s="86">
        <v>40</v>
      </c>
      <c r="H151" s="83">
        <f t="shared" si="21"/>
        <v>185</v>
      </c>
      <c r="I151" s="83">
        <f t="shared" si="18"/>
        <v>0</v>
      </c>
      <c r="J151" s="86">
        <v>100</v>
      </c>
      <c r="K151" s="86">
        <v>300</v>
      </c>
      <c r="L151" s="83">
        <f t="shared" si="22"/>
        <v>1274</v>
      </c>
      <c r="M151" s="94">
        <v>600</v>
      </c>
      <c r="N151" s="83">
        <f>30</f>
        <v>30</v>
      </c>
      <c r="O151" s="86">
        <v>240</v>
      </c>
      <c r="P151" s="86">
        <v>160</v>
      </c>
      <c r="Q151" s="86">
        <f t="shared" si="23"/>
        <v>195</v>
      </c>
      <c r="R151" s="86">
        <f t="shared" si="24"/>
        <v>100</v>
      </c>
      <c r="S151" s="83">
        <f t="shared" si="25"/>
        <v>695</v>
      </c>
      <c r="T151" s="83">
        <f>0</f>
        <v>0</v>
      </c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</row>
    <row r="152" spans="1:30" ht="15.75" x14ac:dyDescent="0.25">
      <c r="A152" s="13">
        <v>45536</v>
      </c>
      <c r="B152" s="97">
        <v>30</v>
      </c>
      <c r="C152" s="83">
        <f>194.205</f>
        <v>194.20500000000001</v>
      </c>
      <c r="D152" s="83">
        <f>267.466</f>
        <v>267.46600000000001</v>
      </c>
      <c r="E152" s="92">
        <f>133.845</f>
        <v>133.845</v>
      </c>
      <c r="F152" s="83">
        <f>278.484-40-25-60-100</f>
        <v>53.48399999999998</v>
      </c>
      <c r="G152" s="86">
        <v>40</v>
      </c>
      <c r="H152" s="83">
        <f t="shared" si="21"/>
        <v>185</v>
      </c>
      <c r="I152" s="83">
        <f t="shared" si="18"/>
        <v>0</v>
      </c>
      <c r="J152" s="86">
        <v>100</v>
      </c>
      <c r="K152" s="86">
        <v>300</v>
      </c>
      <c r="L152" s="83">
        <f t="shared" si="22"/>
        <v>1274</v>
      </c>
      <c r="M152" s="94">
        <v>600</v>
      </c>
      <c r="N152" s="83">
        <f>30</f>
        <v>30</v>
      </c>
      <c r="O152" s="86">
        <v>240</v>
      </c>
      <c r="P152" s="86">
        <v>160</v>
      </c>
      <c r="Q152" s="86">
        <f t="shared" si="23"/>
        <v>195</v>
      </c>
      <c r="R152" s="86">
        <f t="shared" si="24"/>
        <v>100</v>
      </c>
      <c r="S152" s="83">
        <f t="shared" si="25"/>
        <v>695</v>
      </c>
      <c r="T152" s="83">
        <f>0</f>
        <v>0</v>
      </c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</row>
    <row r="153" spans="1:30" ht="15.75" x14ac:dyDescent="0.25">
      <c r="A153" s="13">
        <v>45566</v>
      </c>
      <c r="B153" s="97">
        <v>31</v>
      </c>
      <c r="C153" s="83">
        <f>131.881</f>
        <v>131.881</v>
      </c>
      <c r="D153" s="83">
        <f>277.167</f>
        <v>277.16699999999997</v>
      </c>
      <c r="E153" s="92">
        <f>79.08</f>
        <v>79.08</v>
      </c>
      <c r="F153" s="83">
        <f>350.872-40-25-60-100</f>
        <v>125.87200000000001</v>
      </c>
      <c r="G153" s="86">
        <v>40</v>
      </c>
      <c r="H153" s="83">
        <f t="shared" si="21"/>
        <v>185</v>
      </c>
      <c r="I153" s="83">
        <f t="shared" si="18"/>
        <v>0</v>
      </c>
      <c r="J153" s="86">
        <v>100</v>
      </c>
      <c r="K153" s="86">
        <v>300</v>
      </c>
      <c r="L153" s="83">
        <f t="shared" si="22"/>
        <v>1239</v>
      </c>
      <c r="M153" s="94">
        <v>600</v>
      </c>
      <c r="N153" s="83">
        <f>75</f>
        <v>75</v>
      </c>
      <c r="O153" s="86">
        <v>240</v>
      </c>
      <c r="P153" s="86">
        <v>160</v>
      </c>
      <c r="Q153" s="86">
        <f t="shared" si="23"/>
        <v>195</v>
      </c>
      <c r="R153" s="86">
        <f t="shared" si="24"/>
        <v>100</v>
      </c>
      <c r="S153" s="83">
        <f t="shared" si="25"/>
        <v>695</v>
      </c>
      <c r="T153" s="83">
        <f>0</f>
        <v>0</v>
      </c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</row>
    <row r="154" spans="1:30" ht="15.75" x14ac:dyDescent="0.25">
      <c r="A154" s="13">
        <v>45597</v>
      </c>
      <c r="B154" s="97">
        <v>30</v>
      </c>
      <c r="C154" s="83">
        <f>122.58</f>
        <v>122.58</v>
      </c>
      <c r="D154" s="83">
        <f>297.941</f>
        <v>297.94099999999997</v>
      </c>
      <c r="E154" s="92">
        <f>89.177</f>
        <v>89.177000000000007</v>
      </c>
      <c r="F154" s="83">
        <f>240.302-40-60-100</f>
        <v>40.301999999999992</v>
      </c>
      <c r="G154" s="86">
        <v>40</v>
      </c>
      <c r="H154" s="83">
        <f>60+100</f>
        <v>160</v>
      </c>
      <c r="I154" s="83">
        <f t="shared" si="18"/>
        <v>0</v>
      </c>
      <c r="J154" s="86">
        <v>100</v>
      </c>
      <c r="K154" s="86">
        <v>300</v>
      </c>
      <c r="L154" s="83">
        <f t="shared" si="22"/>
        <v>1150</v>
      </c>
      <c r="M154" s="94">
        <v>600</v>
      </c>
      <c r="N154" s="83">
        <f>100</f>
        <v>100</v>
      </c>
      <c r="O154" s="86">
        <v>240</v>
      </c>
      <c r="P154" s="86">
        <v>40</v>
      </c>
      <c r="Q154" s="86">
        <f t="shared" si="23"/>
        <v>315</v>
      </c>
      <c r="R154" s="86">
        <f t="shared" si="24"/>
        <v>100</v>
      </c>
      <c r="S154" s="83">
        <f t="shared" si="25"/>
        <v>695</v>
      </c>
      <c r="T154" s="83">
        <f>50</f>
        <v>50</v>
      </c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</row>
    <row r="155" spans="1:30" ht="15.75" x14ac:dyDescent="0.25">
      <c r="A155" s="13">
        <v>45627</v>
      </c>
      <c r="B155" s="97">
        <v>31</v>
      </c>
      <c r="C155" s="83">
        <f>122.58</f>
        <v>122.58</v>
      </c>
      <c r="D155" s="83">
        <f>297.941</f>
        <v>297.94099999999997</v>
      </c>
      <c r="E155" s="92">
        <f>89.177</f>
        <v>89.177000000000007</v>
      </c>
      <c r="F155" s="83">
        <f>240.302-40-60-100</f>
        <v>40.301999999999992</v>
      </c>
      <c r="G155" s="86">
        <v>40</v>
      </c>
      <c r="H155" s="83">
        <f>60+100</f>
        <v>160</v>
      </c>
      <c r="I155" s="83">
        <f t="shared" si="18"/>
        <v>0</v>
      </c>
      <c r="J155" s="86">
        <v>100</v>
      </c>
      <c r="K155" s="86">
        <v>300</v>
      </c>
      <c r="L155" s="83">
        <f t="shared" si="22"/>
        <v>1150</v>
      </c>
      <c r="M155" s="94">
        <v>600</v>
      </c>
      <c r="N155" s="83">
        <f>100</f>
        <v>100</v>
      </c>
      <c r="O155" s="86">
        <v>240</v>
      </c>
      <c r="P155" s="86">
        <v>40</v>
      </c>
      <c r="Q155" s="86">
        <f t="shared" si="23"/>
        <v>315</v>
      </c>
      <c r="R155" s="86">
        <f t="shared" si="24"/>
        <v>100</v>
      </c>
      <c r="S155" s="83">
        <f t="shared" si="25"/>
        <v>695</v>
      </c>
      <c r="T155" s="83">
        <f>50</f>
        <v>50</v>
      </c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</row>
    <row r="156" spans="1:30" ht="15.75" x14ac:dyDescent="0.25">
      <c r="A156" s="13">
        <v>45658</v>
      </c>
      <c r="B156" s="97">
        <v>31</v>
      </c>
      <c r="C156" s="83">
        <f>122.58</f>
        <v>122.58</v>
      </c>
      <c r="D156" s="83">
        <f>297.941</f>
        <v>297.94099999999997</v>
      </c>
      <c r="E156" s="92">
        <f>89.177</f>
        <v>89.177000000000007</v>
      </c>
      <c r="F156" s="83">
        <f>240.302-40-60-100</f>
        <v>40.301999999999992</v>
      </c>
      <c r="G156" s="86">
        <v>40</v>
      </c>
      <c r="H156" s="83">
        <f>60+100</f>
        <v>160</v>
      </c>
      <c r="I156" s="83">
        <f t="shared" si="18"/>
        <v>0</v>
      </c>
      <c r="J156" s="86">
        <v>100</v>
      </c>
      <c r="K156" s="86">
        <v>300</v>
      </c>
      <c r="L156" s="83">
        <f t="shared" si="22"/>
        <v>1150</v>
      </c>
      <c r="M156" s="94">
        <v>600</v>
      </c>
      <c r="N156" s="83">
        <f>100</f>
        <v>100</v>
      </c>
      <c r="O156" s="86">
        <v>240</v>
      </c>
      <c r="P156" s="86">
        <v>40</v>
      </c>
      <c r="Q156" s="86">
        <f t="shared" si="23"/>
        <v>315</v>
      </c>
      <c r="R156" s="86">
        <f t="shared" si="24"/>
        <v>100</v>
      </c>
      <c r="S156" s="83">
        <f t="shared" si="25"/>
        <v>695</v>
      </c>
      <c r="T156" s="83">
        <f>50</f>
        <v>50</v>
      </c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</row>
    <row r="157" spans="1:30" ht="15.75" x14ac:dyDescent="0.25">
      <c r="A157" s="13">
        <v>45689</v>
      </c>
      <c r="B157" s="97">
        <v>28</v>
      </c>
      <c r="C157" s="83">
        <f>122.58</f>
        <v>122.58</v>
      </c>
      <c r="D157" s="83">
        <f>297.941</f>
        <v>297.94099999999997</v>
      </c>
      <c r="E157" s="92">
        <f>89.177</f>
        <v>89.177000000000007</v>
      </c>
      <c r="F157" s="83">
        <f>240.302-40-60-100</f>
        <v>40.301999999999992</v>
      </c>
      <c r="G157" s="86">
        <v>40</v>
      </c>
      <c r="H157" s="83">
        <f>60+100</f>
        <v>160</v>
      </c>
      <c r="I157" s="83">
        <f t="shared" si="18"/>
        <v>0</v>
      </c>
      <c r="J157" s="86">
        <v>100</v>
      </c>
      <c r="K157" s="86">
        <v>300</v>
      </c>
      <c r="L157" s="83">
        <f t="shared" si="22"/>
        <v>1150</v>
      </c>
      <c r="M157" s="94">
        <v>600</v>
      </c>
      <c r="N157" s="83">
        <f>100</f>
        <v>100</v>
      </c>
      <c r="O157" s="86">
        <v>240</v>
      </c>
      <c r="P157" s="86">
        <v>40</v>
      </c>
      <c r="Q157" s="86">
        <f t="shared" si="23"/>
        <v>315</v>
      </c>
      <c r="R157" s="86">
        <f t="shared" si="24"/>
        <v>100</v>
      </c>
      <c r="S157" s="83">
        <f t="shared" si="25"/>
        <v>695</v>
      </c>
      <c r="T157" s="83">
        <f>50</f>
        <v>50</v>
      </c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</row>
    <row r="158" spans="1:30" ht="15.75" x14ac:dyDescent="0.25">
      <c r="A158" s="13">
        <v>45717</v>
      </c>
      <c r="B158" s="97">
        <v>31</v>
      </c>
      <c r="C158" s="83">
        <f>122.58</f>
        <v>122.58</v>
      </c>
      <c r="D158" s="83">
        <f>297.941</f>
        <v>297.94099999999997</v>
      </c>
      <c r="E158" s="92">
        <f>89.177</f>
        <v>89.177000000000007</v>
      </c>
      <c r="F158" s="83">
        <f>240.302-40-60-100</f>
        <v>40.301999999999992</v>
      </c>
      <c r="G158" s="86">
        <v>40</v>
      </c>
      <c r="H158" s="83">
        <f>60+100</f>
        <v>160</v>
      </c>
      <c r="I158" s="83">
        <f t="shared" si="18"/>
        <v>0</v>
      </c>
      <c r="J158" s="86">
        <v>100</v>
      </c>
      <c r="K158" s="86">
        <v>300</v>
      </c>
      <c r="L158" s="83">
        <f t="shared" si="22"/>
        <v>1150</v>
      </c>
      <c r="M158" s="94">
        <v>600</v>
      </c>
      <c r="N158" s="83">
        <f>100</f>
        <v>100</v>
      </c>
      <c r="O158" s="86">
        <v>240</v>
      </c>
      <c r="P158" s="86">
        <v>40</v>
      </c>
      <c r="Q158" s="86">
        <f t="shared" si="23"/>
        <v>315</v>
      </c>
      <c r="R158" s="86">
        <f t="shared" si="24"/>
        <v>100</v>
      </c>
      <c r="S158" s="83">
        <f t="shared" si="25"/>
        <v>695</v>
      </c>
      <c r="T158" s="83">
        <f>50</f>
        <v>50</v>
      </c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</row>
    <row r="159" spans="1:30" ht="15.75" x14ac:dyDescent="0.25">
      <c r="A159" s="13">
        <v>45748</v>
      </c>
      <c r="B159" s="97">
        <v>30</v>
      </c>
      <c r="C159" s="83">
        <f>141.293</f>
        <v>141.29300000000001</v>
      </c>
      <c r="D159" s="83">
        <f>267.993</f>
        <v>267.99299999999999</v>
      </c>
      <c r="E159" s="92">
        <f>115.016</f>
        <v>115.01600000000001</v>
      </c>
      <c r="F159" s="83">
        <f>314.698-40-25-60-100</f>
        <v>89.697999999999979</v>
      </c>
      <c r="G159" s="86">
        <v>40</v>
      </c>
      <c r="H159" s="83">
        <f t="shared" ref="H159:H165" si="26">25+60+100</f>
        <v>185</v>
      </c>
      <c r="I159" s="83">
        <f t="shared" si="18"/>
        <v>0</v>
      </c>
      <c r="J159" s="86">
        <v>100</v>
      </c>
      <c r="K159" s="86">
        <v>300</v>
      </c>
      <c r="L159" s="83">
        <f t="shared" si="22"/>
        <v>1239</v>
      </c>
      <c r="M159" s="94">
        <v>600</v>
      </c>
      <c r="N159" s="83">
        <f>100</f>
        <v>100</v>
      </c>
      <c r="O159" s="86">
        <v>240</v>
      </c>
      <c r="P159" s="86">
        <v>160</v>
      </c>
      <c r="Q159" s="86">
        <f t="shared" si="23"/>
        <v>195</v>
      </c>
      <c r="R159" s="86">
        <f t="shared" si="24"/>
        <v>100</v>
      </c>
      <c r="S159" s="83">
        <f t="shared" si="25"/>
        <v>695</v>
      </c>
      <c r="T159" s="83">
        <f>50</f>
        <v>50</v>
      </c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</row>
    <row r="160" spans="1:30" ht="15.75" x14ac:dyDescent="0.25">
      <c r="A160" s="13">
        <v>45778</v>
      </c>
      <c r="B160" s="97">
        <v>31</v>
      </c>
      <c r="C160" s="83">
        <f>194.205</f>
        <v>194.20500000000001</v>
      </c>
      <c r="D160" s="83">
        <f>267.466</f>
        <v>267.46600000000001</v>
      </c>
      <c r="E160" s="92">
        <f>133.845</f>
        <v>133.845</v>
      </c>
      <c r="F160" s="83">
        <f>278.484-40-25-60-100</f>
        <v>53.48399999999998</v>
      </c>
      <c r="G160" s="86">
        <v>40</v>
      </c>
      <c r="H160" s="83">
        <f t="shared" si="26"/>
        <v>185</v>
      </c>
      <c r="I160" s="83">
        <f t="shared" si="18"/>
        <v>0</v>
      </c>
      <c r="J160" s="86">
        <v>100</v>
      </c>
      <c r="K160" s="86">
        <v>300</v>
      </c>
      <c r="L160" s="83">
        <f t="shared" si="22"/>
        <v>1274</v>
      </c>
      <c r="M160" s="94">
        <v>600</v>
      </c>
      <c r="N160" s="83">
        <f>75</f>
        <v>75</v>
      </c>
      <c r="O160" s="86">
        <v>240</v>
      </c>
      <c r="P160" s="86">
        <v>160</v>
      </c>
      <c r="Q160" s="86">
        <f t="shared" si="23"/>
        <v>195</v>
      </c>
      <c r="R160" s="86">
        <f t="shared" si="24"/>
        <v>100</v>
      </c>
      <c r="S160" s="83">
        <f t="shared" si="25"/>
        <v>695</v>
      </c>
      <c r="T160" s="83">
        <f>50</f>
        <v>50</v>
      </c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</row>
    <row r="161" spans="1:30" ht="15.75" x14ac:dyDescent="0.25">
      <c r="A161" s="13">
        <v>45809</v>
      </c>
      <c r="B161" s="97">
        <v>30</v>
      </c>
      <c r="C161" s="83">
        <f>194.205</f>
        <v>194.20500000000001</v>
      </c>
      <c r="D161" s="83">
        <f>267.466</f>
        <v>267.46600000000001</v>
      </c>
      <c r="E161" s="92">
        <f>133.845</f>
        <v>133.845</v>
      </c>
      <c r="F161" s="83">
        <f>278.484-40-25-60-100</f>
        <v>53.48399999999998</v>
      </c>
      <c r="G161" s="86">
        <v>40</v>
      </c>
      <c r="H161" s="83">
        <f t="shared" si="26"/>
        <v>185</v>
      </c>
      <c r="I161" s="83">
        <f t="shared" si="18"/>
        <v>0</v>
      </c>
      <c r="J161" s="86">
        <v>100</v>
      </c>
      <c r="K161" s="86">
        <v>300</v>
      </c>
      <c r="L161" s="83">
        <f t="shared" si="22"/>
        <v>1274</v>
      </c>
      <c r="M161" s="94">
        <v>600</v>
      </c>
      <c r="N161" s="83">
        <f>30</f>
        <v>30</v>
      </c>
      <c r="O161" s="86">
        <v>240</v>
      </c>
      <c r="P161" s="86">
        <v>160</v>
      </c>
      <c r="Q161" s="86">
        <f t="shared" si="23"/>
        <v>195</v>
      </c>
      <c r="R161" s="86">
        <f t="shared" si="24"/>
        <v>100</v>
      </c>
      <c r="S161" s="83">
        <f t="shared" si="25"/>
        <v>695</v>
      </c>
      <c r="T161" s="83">
        <f>50</f>
        <v>50</v>
      </c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</row>
    <row r="162" spans="1:30" ht="15.75" x14ac:dyDescent="0.25">
      <c r="A162" s="13">
        <v>45839</v>
      </c>
      <c r="B162" s="97">
        <v>31</v>
      </c>
      <c r="C162" s="83">
        <f>194.205</f>
        <v>194.20500000000001</v>
      </c>
      <c r="D162" s="83">
        <f>267.466</f>
        <v>267.46600000000001</v>
      </c>
      <c r="E162" s="92">
        <f>133.845</f>
        <v>133.845</v>
      </c>
      <c r="F162" s="83">
        <f>278.484-40-25-60-100</f>
        <v>53.48399999999998</v>
      </c>
      <c r="G162" s="86">
        <v>40</v>
      </c>
      <c r="H162" s="83">
        <f t="shared" si="26"/>
        <v>185</v>
      </c>
      <c r="I162" s="83">
        <f t="shared" si="18"/>
        <v>0</v>
      </c>
      <c r="J162" s="86">
        <v>100</v>
      </c>
      <c r="K162" s="86">
        <v>300</v>
      </c>
      <c r="L162" s="83">
        <f t="shared" si="22"/>
        <v>1274</v>
      </c>
      <c r="M162" s="94">
        <v>600</v>
      </c>
      <c r="N162" s="83">
        <f>30</f>
        <v>30</v>
      </c>
      <c r="O162" s="86">
        <v>240</v>
      </c>
      <c r="P162" s="86">
        <v>160</v>
      </c>
      <c r="Q162" s="86">
        <f t="shared" si="23"/>
        <v>195</v>
      </c>
      <c r="R162" s="86">
        <f t="shared" si="24"/>
        <v>100</v>
      </c>
      <c r="S162" s="83">
        <f t="shared" si="25"/>
        <v>695</v>
      </c>
      <c r="T162" s="83">
        <f>0</f>
        <v>0</v>
      </c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</row>
    <row r="163" spans="1:30" ht="15.75" x14ac:dyDescent="0.25">
      <c r="A163" s="13">
        <v>45870</v>
      </c>
      <c r="B163" s="97">
        <v>31</v>
      </c>
      <c r="C163" s="83">
        <f>194.205</f>
        <v>194.20500000000001</v>
      </c>
      <c r="D163" s="83">
        <f>267.466</f>
        <v>267.46600000000001</v>
      </c>
      <c r="E163" s="92">
        <f>133.845</f>
        <v>133.845</v>
      </c>
      <c r="F163" s="83">
        <f>278.484-40-25-60-100</f>
        <v>53.48399999999998</v>
      </c>
      <c r="G163" s="86">
        <v>40</v>
      </c>
      <c r="H163" s="83">
        <f t="shared" si="26"/>
        <v>185</v>
      </c>
      <c r="I163" s="83">
        <f t="shared" si="18"/>
        <v>0</v>
      </c>
      <c r="J163" s="86">
        <v>100</v>
      </c>
      <c r="K163" s="86">
        <v>300</v>
      </c>
      <c r="L163" s="83">
        <f t="shared" si="22"/>
        <v>1274</v>
      </c>
      <c r="M163" s="94">
        <v>600</v>
      </c>
      <c r="N163" s="83">
        <f>30</f>
        <v>30</v>
      </c>
      <c r="O163" s="86">
        <v>240</v>
      </c>
      <c r="P163" s="86">
        <v>160</v>
      </c>
      <c r="Q163" s="86">
        <f t="shared" si="23"/>
        <v>195</v>
      </c>
      <c r="R163" s="86">
        <f t="shared" si="24"/>
        <v>100</v>
      </c>
      <c r="S163" s="83">
        <f t="shared" si="25"/>
        <v>695</v>
      </c>
      <c r="T163" s="83">
        <f>0</f>
        <v>0</v>
      </c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</row>
    <row r="164" spans="1:30" ht="15.75" x14ac:dyDescent="0.25">
      <c r="A164" s="13">
        <v>45901</v>
      </c>
      <c r="B164" s="97">
        <v>30</v>
      </c>
      <c r="C164" s="83">
        <f>194.205</f>
        <v>194.20500000000001</v>
      </c>
      <c r="D164" s="83">
        <f>267.466</f>
        <v>267.46600000000001</v>
      </c>
      <c r="E164" s="92">
        <f>133.845</f>
        <v>133.845</v>
      </c>
      <c r="F164" s="83">
        <f>278.484-40-25-60-100</f>
        <v>53.48399999999998</v>
      </c>
      <c r="G164" s="86">
        <v>40</v>
      </c>
      <c r="H164" s="83">
        <f t="shared" si="26"/>
        <v>185</v>
      </c>
      <c r="I164" s="83">
        <f t="shared" si="18"/>
        <v>0</v>
      </c>
      <c r="J164" s="86">
        <v>100</v>
      </c>
      <c r="K164" s="86">
        <v>300</v>
      </c>
      <c r="L164" s="83">
        <f t="shared" si="22"/>
        <v>1274</v>
      </c>
      <c r="M164" s="94">
        <v>600</v>
      </c>
      <c r="N164" s="83">
        <f>30</f>
        <v>30</v>
      </c>
      <c r="O164" s="86">
        <v>240</v>
      </c>
      <c r="P164" s="86">
        <v>160</v>
      </c>
      <c r="Q164" s="86">
        <f t="shared" si="23"/>
        <v>195</v>
      </c>
      <c r="R164" s="86">
        <f t="shared" si="24"/>
        <v>100</v>
      </c>
      <c r="S164" s="83">
        <f t="shared" si="25"/>
        <v>695</v>
      </c>
      <c r="T164" s="83">
        <f>0</f>
        <v>0</v>
      </c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</row>
    <row r="165" spans="1:30" ht="15.75" x14ac:dyDescent="0.25">
      <c r="A165" s="13">
        <v>45931</v>
      </c>
      <c r="B165" s="97">
        <v>31</v>
      </c>
      <c r="C165" s="83">
        <f>131.881</f>
        <v>131.881</v>
      </c>
      <c r="D165" s="83">
        <f>277.167</f>
        <v>277.16699999999997</v>
      </c>
      <c r="E165" s="92">
        <f>79.08</f>
        <v>79.08</v>
      </c>
      <c r="F165" s="83">
        <f>350.872-40-25-60-100</f>
        <v>125.87200000000001</v>
      </c>
      <c r="G165" s="86">
        <v>40</v>
      </c>
      <c r="H165" s="83">
        <f t="shared" si="26"/>
        <v>185</v>
      </c>
      <c r="I165" s="83">
        <f t="shared" si="18"/>
        <v>0</v>
      </c>
      <c r="J165" s="86">
        <v>100</v>
      </c>
      <c r="K165" s="86">
        <v>300</v>
      </c>
      <c r="L165" s="83">
        <f t="shared" si="22"/>
        <v>1239</v>
      </c>
      <c r="M165" s="94">
        <v>600</v>
      </c>
      <c r="N165" s="83">
        <f>75</f>
        <v>75</v>
      </c>
      <c r="O165" s="86">
        <v>240</v>
      </c>
      <c r="P165" s="86">
        <v>160</v>
      </c>
      <c r="Q165" s="86">
        <f t="shared" si="23"/>
        <v>195</v>
      </c>
      <c r="R165" s="86">
        <f t="shared" si="24"/>
        <v>100</v>
      </c>
      <c r="S165" s="83">
        <f t="shared" si="25"/>
        <v>695</v>
      </c>
      <c r="T165" s="83">
        <f>0</f>
        <v>0</v>
      </c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</row>
    <row r="166" spans="1:30" ht="15.75" x14ac:dyDescent="0.25">
      <c r="A166" s="13">
        <v>45962</v>
      </c>
      <c r="B166" s="97">
        <v>30</v>
      </c>
      <c r="C166" s="83">
        <f>122.58</f>
        <v>122.58</v>
      </c>
      <c r="D166" s="83">
        <f>297.941</f>
        <v>297.94099999999997</v>
      </c>
      <c r="E166" s="92">
        <f>89.177</f>
        <v>89.177000000000007</v>
      </c>
      <c r="F166" s="83">
        <f>240.302-40-60-100</f>
        <v>40.301999999999992</v>
      </c>
      <c r="G166" s="86">
        <v>40</v>
      </c>
      <c r="H166" s="83">
        <f>60+100</f>
        <v>160</v>
      </c>
      <c r="I166" s="83">
        <f t="shared" si="18"/>
        <v>0</v>
      </c>
      <c r="J166" s="86">
        <v>100</v>
      </c>
      <c r="K166" s="86">
        <v>300</v>
      </c>
      <c r="L166" s="83">
        <f t="shared" si="22"/>
        <v>1150</v>
      </c>
      <c r="M166" s="94">
        <v>600</v>
      </c>
      <c r="N166" s="83">
        <f>100</f>
        <v>100</v>
      </c>
      <c r="O166" s="86">
        <v>240</v>
      </c>
      <c r="P166" s="86">
        <v>40</v>
      </c>
      <c r="Q166" s="86">
        <f t="shared" si="23"/>
        <v>315</v>
      </c>
      <c r="R166" s="86">
        <f t="shared" si="24"/>
        <v>100</v>
      </c>
      <c r="S166" s="83">
        <f t="shared" si="25"/>
        <v>695</v>
      </c>
      <c r="T166" s="83">
        <f>50</f>
        <v>50</v>
      </c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</row>
    <row r="167" spans="1:30" ht="15.75" x14ac:dyDescent="0.25">
      <c r="A167" s="13">
        <v>45992</v>
      </c>
      <c r="B167" s="97">
        <v>31</v>
      </c>
      <c r="C167" s="83">
        <f>122.58</f>
        <v>122.58</v>
      </c>
      <c r="D167" s="83">
        <f>297.941</f>
        <v>297.94099999999997</v>
      </c>
      <c r="E167" s="92">
        <f>89.177</f>
        <v>89.177000000000007</v>
      </c>
      <c r="F167" s="83">
        <f>240.302-40-60-100</f>
        <v>40.301999999999992</v>
      </c>
      <c r="G167" s="86">
        <v>40</v>
      </c>
      <c r="H167" s="83">
        <f>60+100</f>
        <v>160</v>
      </c>
      <c r="I167" s="83">
        <f t="shared" si="18"/>
        <v>0</v>
      </c>
      <c r="J167" s="86">
        <v>100</v>
      </c>
      <c r="K167" s="86">
        <v>300</v>
      </c>
      <c r="L167" s="83">
        <f t="shared" si="22"/>
        <v>1150</v>
      </c>
      <c r="M167" s="94">
        <v>600</v>
      </c>
      <c r="N167" s="83">
        <f>100</f>
        <v>100</v>
      </c>
      <c r="O167" s="86">
        <v>240</v>
      </c>
      <c r="P167" s="86">
        <v>40</v>
      </c>
      <c r="Q167" s="86">
        <f t="shared" si="23"/>
        <v>315</v>
      </c>
      <c r="R167" s="86">
        <f t="shared" si="24"/>
        <v>100</v>
      </c>
      <c r="S167" s="83">
        <f t="shared" si="25"/>
        <v>695</v>
      </c>
      <c r="T167" s="83">
        <f>50</f>
        <v>50</v>
      </c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</row>
    <row r="168" spans="1:30" ht="15.75" x14ac:dyDescent="0.25">
      <c r="A168" s="13">
        <v>46023</v>
      </c>
      <c r="B168" s="97">
        <v>31</v>
      </c>
      <c r="C168" s="83">
        <f>122.58</f>
        <v>122.58</v>
      </c>
      <c r="D168" s="83">
        <f>297.941</f>
        <v>297.94099999999997</v>
      </c>
      <c r="E168" s="92">
        <f>89.177</f>
        <v>89.177000000000007</v>
      </c>
      <c r="F168" s="83">
        <f>240.302-40-60-100</f>
        <v>40.301999999999992</v>
      </c>
      <c r="G168" s="86">
        <v>40</v>
      </c>
      <c r="H168" s="83">
        <f>60+100</f>
        <v>160</v>
      </c>
      <c r="I168" s="83">
        <f t="shared" si="18"/>
        <v>0</v>
      </c>
      <c r="J168" s="86">
        <v>100</v>
      </c>
      <c r="K168" s="86">
        <v>300</v>
      </c>
      <c r="L168" s="83">
        <f t="shared" si="22"/>
        <v>1150</v>
      </c>
      <c r="M168" s="94">
        <v>600</v>
      </c>
      <c r="N168" s="83">
        <f>100</f>
        <v>100</v>
      </c>
      <c r="O168" s="86">
        <v>240</v>
      </c>
      <c r="P168" s="86">
        <v>40</v>
      </c>
      <c r="Q168" s="86">
        <f t="shared" si="23"/>
        <v>315</v>
      </c>
      <c r="R168" s="86">
        <f t="shared" si="24"/>
        <v>100</v>
      </c>
      <c r="S168" s="83">
        <f t="shared" si="25"/>
        <v>695</v>
      </c>
      <c r="T168" s="83">
        <f>50</f>
        <v>50</v>
      </c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</row>
    <row r="169" spans="1:30" ht="15.75" x14ac:dyDescent="0.25">
      <c r="A169" s="13">
        <v>46054</v>
      </c>
      <c r="B169" s="97">
        <v>28</v>
      </c>
      <c r="C169" s="83">
        <f>122.58</f>
        <v>122.58</v>
      </c>
      <c r="D169" s="83">
        <f>297.941</f>
        <v>297.94099999999997</v>
      </c>
      <c r="E169" s="92">
        <f>89.177</f>
        <v>89.177000000000007</v>
      </c>
      <c r="F169" s="83">
        <f>240.302-40-60-100</f>
        <v>40.301999999999992</v>
      </c>
      <c r="G169" s="86">
        <v>40</v>
      </c>
      <c r="H169" s="83">
        <f>60+100</f>
        <v>160</v>
      </c>
      <c r="I169" s="83">
        <f t="shared" si="18"/>
        <v>0</v>
      </c>
      <c r="J169" s="86">
        <v>100</v>
      </c>
      <c r="K169" s="86">
        <v>300</v>
      </c>
      <c r="L169" s="83">
        <f t="shared" si="22"/>
        <v>1150</v>
      </c>
      <c r="M169" s="94">
        <v>600</v>
      </c>
      <c r="N169" s="83">
        <f>100</f>
        <v>100</v>
      </c>
      <c r="O169" s="86">
        <v>240</v>
      </c>
      <c r="P169" s="86">
        <v>40</v>
      </c>
      <c r="Q169" s="86">
        <f t="shared" si="23"/>
        <v>315</v>
      </c>
      <c r="R169" s="86">
        <f t="shared" si="24"/>
        <v>100</v>
      </c>
      <c r="S169" s="83">
        <f t="shared" si="25"/>
        <v>695</v>
      </c>
      <c r="T169" s="83">
        <f>50</f>
        <v>50</v>
      </c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</row>
    <row r="170" spans="1:30" ht="15.75" x14ac:dyDescent="0.25">
      <c r="A170" s="13">
        <v>46082</v>
      </c>
      <c r="B170" s="97">
        <v>31</v>
      </c>
      <c r="C170" s="83">
        <f>122.58</f>
        <v>122.58</v>
      </c>
      <c r="D170" s="83">
        <f>297.941</f>
        <v>297.94099999999997</v>
      </c>
      <c r="E170" s="92">
        <f>89.177</f>
        <v>89.177000000000007</v>
      </c>
      <c r="F170" s="83">
        <f>240.302-40-60-100</f>
        <v>40.301999999999992</v>
      </c>
      <c r="G170" s="86">
        <v>40</v>
      </c>
      <c r="H170" s="83">
        <f>60+100</f>
        <v>160</v>
      </c>
      <c r="I170" s="83">
        <f t="shared" si="18"/>
        <v>0</v>
      </c>
      <c r="J170" s="86">
        <v>100</v>
      </c>
      <c r="K170" s="86">
        <v>300</v>
      </c>
      <c r="L170" s="83">
        <f t="shared" si="22"/>
        <v>1150</v>
      </c>
      <c r="M170" s="94">
        <v>600</v>
      </c>
      <c r="N170" s="83">
        <f>100</f>
        <v>100</v>
      </c>
      <c r="O170" s="86">
        <v>240</v>
      </c>
      <c r="P170" s="86">
        <v>40</v>
      </c>
      <c r="Q170" s="86">
        <f t="shared" si="23"/>
        <v>315</v>
      </c>
      <c r="R170" s="86">
        <f t="shared" si="24"/>
        <v>100</v>
      </c>
      <c r="S170" s="83">
        <f t="shared" si="25"/>
        <v>695</v>
      </c>
      <c r="T170" s="83">
        <f>50</f>
        <v>50</v>
      </c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</row>
    <row r="171" spans="1:30" ht="15.75" x14ac:dyDescent="0.25">
      <c r="A171" s="13">
        <v>46113</v>
      </c>
      <c r="B171" s="97">
        <v>30</v>
      </c>
      <c r="C171" s="83">
        <f>141.293</f>
        <v>141.29300000000001</v>
      </c>
      <c r="D171" s="83">
        <f>267.993</f>
        <v>267.99299999999999</v>
      </c>
      <c r="E171" s="92">
        <f>115.016</f>
        <v>115.01600000000001</v>
      </c>
      <c r="F171" s="83">
        <f>314.698-40-25-60-100</f>
        <v>89.697999999999979</v>
      </c>
      <c r="G171" s="86">
        <v>40</v>
      </c>
      <c r="H171" s="83">
        <f t="shared" ref="H171:H177" si="27">25+60+100</f>
        <v>185</v>
      </c>
      <c r="I171" s="83">
        <f t="shared" si="18"/>
        <v>0</v>
      </c>
      <c r="J171" s="86">
        <v>100</v>
      </c>
      <c r="K171" s="86">
        <v>300</v>
      </c>
      <c r="L171" s="83">
        <f t="shared" si="22"/>
        <v>1239</v>
      </c>
      <c r="M171" s="94">
        <v>600</v>
      </c>
      <c r="N171" s="83">
        <f>100</f>
        <v>100</v>
      </c>
      <c r="O171" s="86">
        <v>240</v>
      </c>
      <c r="P171" s="86">
        <v>160</v>
      </c>
      <c r="Q171" s="86">
        <f t="shared" si="23"/>
        <v>195</v>
      </c>
      <c r="R171" s="86">
        <f t="shared" si="24"/>
        <v>100</v>
      </c>
      <c r="S171" s="83">
        <f t="shared" si="25"/>
        <v>695</v>
      </c>
      <c r="T171" s="83">
        <f>50</f>
        <v>50</v>
      </c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</row>
    <row r="172" spans="1:30" ht="15.75" x14ac:dyDescent="0.25">
      <c r="A172" s="13">
        <v>46143</v>
      </c>
      <c r="B172" s="97">
        <v>31</v>
      </c>
      <c r="C172" s="83">
        <f>194.205</f>
        <v>194.20500000000001</v>
      </c>
      <c r="D172" s="83">
        <f>267.466</f>
        <v>267.46600000000001</v>
      </c>
      <c r="E172" s="92">
        <f>133.845</f>
        <v>133.845</v>
      </c>
      <c r="F172" s="83">
        <f>278.484-40-25-60-100</f>
        <v>53.48399999999998</v>
      </c>
      <c r="G172" s="86">
        <v>40</v>
      </c>
      <c r="H172" s="83">
        <f t="shared" si="27"/>
        <v>185</v>
      </c>
      <c r="I172" s="83">
        <f t="shared" si="18"/>
        <v>0</v>
      </c>
      <c r="J172" s="86">
        <v>100</v>
      </c>
      <c r="K172" s="86">
        <v>300</v>
      </c>
      <c r="L172" s="83">
        <f t="shared" si="22"/>
        <v>1274</v>
      </c>
      <c r="M172" s="94">
        <v>600</v>
      </c>
      <c r="N172" s="83">
        <f>75</f>
        <v>75</v>
      </c>
      <c r="O172" s="86">
        <v>240</v>
      </c>
      <c r="P172" s="86">
        <v>160</v>
      </c>
      <c r="Q172" s="86">
        <f t="shared" si="23"/>
        <v>195</v>
      </c>
      <c r="R172" s="86">
        <f t="shared" si="24"/>
        <v>100</v>
      </c>
      <c r="S172" s="83">
        <f t="shared" si="25"/>
        <v>695</v>
      </c>
      <c r="T172" s="83">
        <f>50</f>
        <v>50</v>
      </c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</row>
    <row r="173" spans="1:30" ht="15.75" x14ac:dyDescent="0.25">
      <c r="A173" s="13">
        <v>46174</v>
      </c>
      <c r="B173" s="97">
        <v>30</v>
      </c>
      <c r="C173" s="83">
        <f>194.205</f>
        <v>194.20500000000001</v>
      </c>
      <c r="D173" s="83">
        <f>267.466</f>
        <v>267.46600000000001</v>
      </c>
      <c r="E173" s="92">
        <f>133.845</f>
        <v>133.845</v>
      </c>
      <c r="F173" s="83">
        <f>278.484-40-25-60-100</f>
        <v>53.48399999999998</v>
      </c>
      <c r="G173" s="86">
        <v>40</v>
      </c>
      <c r="H173" s="83">
        <f t="shared" si="27"/>
        <v>185</v>
      </c>
      <c r="I173" s="83">
        <f t="shared" si="18"/>
        <v>0</v>
      </c>
      <c r="J173" s="86">
        <v>100</v>
      </c>
      <c r="K173" s="86">
        <v>300</v>
      </c>
      <c r="L173" s="83">
        <f t="shared" si="22"/>
        <v>1274</v>
      </c>
      <c r="M173" s="94">
        <v>600</v>
      </c>
      <c r="N173" s="83">
        <f>30</f>
        <v>30</v>
      </c>
      <c r="O173" s="86">
        <v>240</v>
      </c>
      <c r="P173" s="86">
        <v>160</v>
      </c>
      <c r="Q173" s="86">
        <f t="shared" si="23"/>
        <v>195</v>
      </c>
      <c r="R173" s="86">
        <f t="shared" si="24"/>
        <v>100</v>
      </c>
      <c r="S173" s="83">
        <f t="shared" si="25"/>
        <v>695</v>
      </c>
      <c r="T173" s="83">
        <f>50</f>
        <v>50</v>
      </c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</row>
    <row r="174" spans="1:30" ht="15.75" x14ac:dyDescent="0.25">
      <c r="A174" s="13">
        <v>46204</v>
      </c>
      <c r="B174" s="97">
        <v>31</v>
      </c>
      <c r="C174" s="83">
        <f>194.205</f>
        <v>194.20500000000001</v>
      </c>
      <c r="D174" s="83">
        <f>267.466</f>
        <v>267.46600000000001</v>
      </c>
      <c r="E174" s="92">
        <f>133.845</f>
        <v>133.845</v>
      </c>
      <c r="F174" s="83">
        <f>278.484-40-25-60-100</f>
        <v>53.48399999999998</v>
      </c>
      <c r="G174" s="86">
        <v>40</v>
      </c>
      <c r="H174" s="83">
        <f t="shared" si="27"/>
        <v>185</v>
      </c>
      <c r="I174" s="83">
        <f t="shared" si="18"/>
        <v>0</v>
      </c>
      <c r="J174" s="86">
        <v>100</v>
      </c>
      <c r="K174" s="86">
        <v>300</v>
      </c>
      <c r="L174" s="83">
        <f t="shared" si="22"/>
        <v>1274</v>
      </c>
      <c r="M174" s="94">
        <v>600</v>
      </c>
      <c r="N174" s="83">
        <f>30</f>
        <v>30</v>
      </c>
      <c r="O174" s="86">
        <v>240</v>
      </c>
      <c r="P174" s="86">
        <v>160</v>
      </c>
      <c r="Q174" s="86">
        <f t="shared" si="23"/>
        <v>195</v>
      </c>
      <c r="R174" s="86">
        <f t="shared" si="24"/>
        <v>100</v>
      </c>
      <c r="S174" s="83">
        <f t="shared" si="25"/>
        <v>695</v>
      </c>
      <c r="T174" s="83">
        <f>0</f>
        <v>0</v>
      </c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</row>
    <row r="175" spans="1:30" ht="15.75" x14ac:dyDescent="0.25">
      <c r="A175" s="13">
        <v>46235</v>
      </c>
      <c r="B175" s="97">
        <v>31</v>
      </c>
      <c r="C175" s="83">
        <f>194.205</f>
        <v>194.20500000000001</v>
      </c>
      <c r="D175" s="83">
        <f>267.466</f>
        <v>267.46600000000001</v>
      </c>
      <c r="E175" s="92">
        <f>133.845</f>
        <v>133.845</v>
      </c>
      <c r="F175" s="83">
        <f>278.484-40-25-60-100</f>
        <v>53.48399999999998</v>
      </c>
      <c r="G175" s="86">
        <v>40</v>
      </c>
      <c r="H175" s="83">
        <f t="shared" si="27"/>
        <v>185</v>
      </c>
      <c r="I175" s="83">
        <f t="shared" si="18"/>
        <v>0</v>
      </c>
      <c r="J175" s="86">
        <v>100</v>
      </c>
      <c r="K175" s="86">
        <v>300</v>
      </c>
      <c r="L175" s="83">
        <f t="shared" si="22"/>
        <v>1274</v>
      </c>
      <c r="M175" s="94">
        <v>600</v>
      </c>
      <c r="N175" s="83">
        <f>30</f>
        <v>30</v>
      </c>
      <c r="O175" s="86">
        <v>240</v>
      </c>
      <c r="P175" s="86">
        <v>160</v>
      </c>
      <c r="Q175" s="86">
        <f t="shared" si="23"/>
        <v>195</v>
      </c>
      <c r="R175" s="86">
        <f t="shared" si="24"/>
        <v>100</v>
      </c>
      <c r="S175" s="83">
        <f t="shared" si="25"/>
        <v>695</v>
      </c>
      <c r="T175" s="83">
        <f>0</f>
        <v>0</v>
      </c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</row>
    <row r="176" spans="1:30" ht="15.75" x14ac:dyDescent="0.25">
      <c r="A176" s="13">
        <v>46266</v>
      </c>
      <c r="B176" s="97">
        <v>30</v>
      </c>
      <c r="C176" s="83">
        <f>194.205</f>
        <v>194.20500000000001</v>
      </c>
      <c r="D176" s="83">
        <f>267.466</f>
        <v>267.46600000000001</v>
      </c>
      <c r="E176" s="92">
        <f>133.845</f>
        <v>133.845</v>
      </c>
      <c r="F176" s="83">
        <f>278.484-40-25-60-100</f>
        <v>53.48399999999998</v>
      </c>
      <c r="G176" s="86">
        <v>40</v>
      </c>
      <c r="H176" s="83">
        <f t="shared" si="27"/>
        <v>185</v>
      </c>
      <c r="I176" s="83">
        <f t="shared" si="18"/>
        <v>0</v>
      </c>
      <c r="J176" s="86">
        <v>100</v>
      </c>
      <c r="K176" s="86">
        <v>300</v>
      </c>
      <c r="L176" s="83">
        <f t="shared" si="22"/>
        <v>1274</v>
      </c>
      <c r="M176" s="94">
        <v>600</v>
      </c>
      <c r="N176" s="83">
        <f>30</f>
        <v>30</v>
      </c>
      <c r="O176" s="86">
        <v>240</v>
      </c>
      <c r="P176" s="86">
        <v>160</v>
      </c>
      <c r="Q176" s="86">
        <f t="shared" si="23"/>
        <v>195</v>
      </c>
      <c r="R176" s="86">
        <f t="shared" si="24"/>
        <v>100</v>
      </c>
      <c r="S176" s="83">
        <f t="shared" si="25"/>
        <v>695</v>
      </c>
      <c r="T176" s="83">
        <f>0</f>
        <v>0</v>
      </c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</row>
    <row r="177" spans="1:30" ht="15.75" x14ac:dyDescent="0.25">
      <c r="A177" s="13">
        <v>46296</v>
      </c>
      <c r="B177" s="97">
        <v>31</v>
      </c>
      <c r="C177" s="83">
        <f>131.881</f>
        <v>131.881</v>
      </c>
      <c r="D177" s="83">
        <f>277.167</f>
        <v>277.16699999999997</v>
      </c>
      <c r="E177" s="92">
        <f>79.08</f>
        <v>79.08</v>
      </c>
      <c r="F177" s="83">
        <f>350.872-40-25-60-100</f>
        <v>125.87200000000001</v>
      </c>
      <c r="G177" s="86">
        <v>40</v>
      </c>
      <c r="H177" s="83">
        <f t="shared" si="27"/>
        <v>185</v>
      </c>
      <c r="I177" s="83">
        <f t="shared" si="18"/>
        <v>0</v>
      </c>
      <c r="J177" s="86">
        <v>100</v>
      </c>
      <c r="K177" s="86">
        <v>300</v>
      </c>
      <c r="L177" s="83">
        <f t="shared" si="22"/>
        <v>1239</v>
      </c>
      <c r="M177" s="94">
        <v>600</v>
      </c>
      <c r="N177" s="83">
        <f>75</f>
        <v>75</v>
      </c>
      <c r="O177" s="86">
        <v>240</v>
      </c>
      <c r="P177" s="86">
        <v>160</v>
      </c>
      <c r="Q177" s="86">
        <f t="shared" si="23"/>
        <v>195</v>
      </c>
      <c r="R177" s="86">
        <f t="shared" si="24"/>
        <v>100</v>
      </c>
      <c r="S177" s="83">
        <f t="shared" si="25"/>
        <v>695</v>
      </c>
      <c r="T177" s="83">
        <f>0</f>
        <v>0</v>
      </c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</row>
    <row r="178" spans="1:30" ht="15.75" x14ac:dyDescent="0.25">
      <c r="A178" s="13">
        <v>46327</v>
      </c>
      <c r="B178" s="97">
        <v>30</v>
      </c>
      <c r="C178" s="83">
        <f>122.58</f>
        <v>122.58</v>
      </c>
      <c r="D178" s="83">
        <f>297.941</f>
        <v>297.94099999999997</v>
      </c>
      <c r="E178" s="92">
        <f>89.177</f>
        <v>89.177000000000007</v>
      </c>
      <c r="F178" s="83">
        <f>240.302-40-60-100</f>
        <v>40.301999999999992</v>
      </c>
      <c r="G178" s="86">
        <v>40</v>
      </c>
      <c r="H178" s="83">
        <f>60+100</f>
        <v>160</v>
      </c>
      <c r="I178" s="83">
        <f t="shared" si="18"/>
        <v>0</v>
      </c>
      <c r="J178" s="86">
        <v>100</v>
      </c>
      <c r="K178" s="86">
        <v>300</v>
      </c>
      <c r="L178" s="83">
        <f t="shared" si="22"/>
        <v>1150</v>
      </c>
      <c r="M178" s="94">
        <v>600</v>
      </c>
      <c r="N178" s="83">
        <f>100</f>
        <v>100</v>
      </c>
      <c r="O178" s="86">
        <v>240</v>
      </c>
      <c r="P178" s="86">
        <v>40</v>
      </c>
      <c r="Q178" s="86">
        <f t="shared" si="23"/>
        <v>315</v>
      </c>
      <c r="R178" s="86">
        <f t="shared" si="24"/>
        <v>100</v>
      </c>
      <c r="S178" s="83">
        <f t="shared" si="25"/>
        <v>695</v>
      </c>
      <c r="T178" s="83">
        <f>50</f>
        <v>50</v>
      </c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</row>
    <row r="179" spans="1:30" ht="15.75" x14ac:dyDescent="0.25">
      <c r="A179" s="13">
        <v>46357</v>
      </c>
      <c r="B179" s="97">
        <v>31</v>
      </c>
      <c r="C179" s="83">
        <f>122.58</f>
        <v>122.58</v>
      </c>
      <c r="D179" s="83">
        <f>297.941</f>
        <v>297.94099999999997</v>
      </c>
      <c r="E179" s="92">
        <f>89.177</f>
        <v>89.177000000000007</v>
      </c>
      <c r="F179" s="83">
        <f>240.302-40-60-100</f>
        <v>40.301999999999992</v>
      </c>
      <c r="G179" s="86">
        <v>40</v>
      </c>
      <c r="H179" s="83">
        <f>60+100</f>
        <v>160</v>
      </c>
      <c r="I179" s="83">
        <f t="shared" si="18"/>
        <v>0</v>
      </c>
      <c r="J179" s="86">
        <v>100</v>
      </c>
      <c r="K179" s="86">
        <v>300</v>
      </c>
      <c r="L179" s="83">
        <f t="shared" si="22"/>
        <v>1150</v>
      </c>
      <c r="M179" s="94">
        <v>600</v>
      </c>
      <c r="N179" s="83">
        <f>100</f>
        <v>100</v>
      </c>
      <c r="O179" s="86">
        <v>240</v>
      </c>
      <c r="P179" s="86">
        <v>40</v>
      </c>
      <c r="Q179" s="86">
        <f t="shared" si="23"/>
        <v>315</v>
      </c>
      <c r="R179" s="86">
        <f t="shared" si="24"/>
        <v>100</v>
      </c>
      <c r="S179" s="83">
        <f t="shared" si="25"/>
        <v>695</v>
      </c>
      <c r="T179" s="83">
        <f>50</f>
        <v>50</v>
      </c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</row>
    <row r="180" spans="1:30" ht="15.75" x14ac:dyDescent="0.25">
      <c r="A180" s="13">
        <v>46388</v>
      </c>
      <c r="B180" s="97">
        <v>31</v>
      </c>
      <c r="C180" s="83">
        <f>122.58</f>
        <v>122.58</v>
      </c>
      <c r="D180" s="83">
        <f>297.941</f>
        <v>297.94099999999997</v>
      </c>
      <c r="E180" s="92">
        <f>89.177</f>
        <v>89.177000000000007</v>
      </c>
      <c r="F180" s="83">
        <f>240.302-40-60-100</f>
        <v>40.301999999999992</v>
      </c>
      <c r="G180" s="86">
        <v>40</v>
      </c>
      <c r="H180" s="83">
        <f>60+100</f>
        <v>160</v>
      </c>
      <c r="I180" s="83">
        <f t="shared" ref="I180:I243" si="28">400-J180-K180</f>
        <v>0</v>
      </c>
      <c r="J180" s="86">
        <v>100</v>
      </c>
      <c r="K180" s="86">
        <v>300</v>
      </c>
      <c r="L180" s="83">
        <f t="shared" si="22"/>
        <v>1150</v>
      </c>
      <c r="M180" s="94">
        <v>600</v>
      </c>
      <c r="N180" s="83">
        <f>100</f>
        <v>100</v>
      </c>
      <c r="O180" s="86">
        <v>240</v>
      </c>
      <c r="P180" s="86">
        <v>40</v>
      </c>
      <c r="Q180" s="86">
        <f t="shared" si="23"/>
        <v>315</v>
      </c>
      <c r="R180" s="86">
        <f t="shared" si="24"/>
        <v>100</v>
      </c>
      <c r="S180" s="83">
        <f t="shared" si="25"/>
        <v>695</v>
      </c>
      <c r="T180" s="83">
        <f>50</f>
        <v>50</v>
      </c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</row>
    <row r="181" spans="1:30" ht="15.75" x14ac:dyDescent="0.25">
      <c r="A181" s="13">
        <v>46419</v>
      </c>
      <c r="B181" s="97">
        <v>28</v>
      </c>
      <c r="C181" s="83">
        <f>122.58</f>
        <v>122.58</v>
      </c>
      <c r="D181" s="83">
        <f>297.941</f>
        <v>297.94099999999997</v>
      </c>
      <c r="E181" s="92">
        <f>89.177</f>
        <v>89.177000000000007</v>
      </c>
      <c r="F181" s="83">
        <f>240.302-40-60-100</f>
        <v>40.301999999999992</v>
      </c>
      <c r="G181" s="86">
        <v>40</v>
      </c>
      <c r="H181" s="83">
        <f>60+100</f>
        <v>160</v>
      </c>
      <c r="I181" s="83">
        <f t="shared" si="28"/>
        <v>0</v>
      </c>
      <c r="J181" s="86">
        <v>100</v>
      </c>
      <c r="K181" s="86">
        <v>300</v>
      </c>
      <c r="L181" s="83">
        <f t="shared" si="22"/>
        <v>1150</v>
      </c>
      <c r="M181" s="94">
        <v>600</v>
      </c>
      <c r="N181" s="83">
        <f>100</f>
        <v>100</v>
      </c>
      <c r="O181" s="86">
        <v>240</v>
      </c>
      <c r="P181" s="86">
        <v>40</v>
      </c>
      <c r="Q181" s="86">
        <f t="shared" si="23"/>
        <v>315</v>
      </c>
      <c r="R181" s="86">
        <f t="shared" si="24"/>
        <v>100</v>
      </c>
      <c r="S181" s="83">
        <f t="shared" si="25"/>
        <v>695</v>
      </c>
      <c r="T181" s="83">
        <f>50</f>
        <v>50</v>
      </c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</row>
    <row r="182" spans="1:30" ht="15.75" x14ac:dyDescent="0.25">
      <c r="A182" s="13">
        <v>46447</v>
      </c>
      <c r="B182" s="97">
        <v>31</v>
      </c>
      <c r="C182" s="83">
        <f>122.58</f>
        <v>122.58</v>
      </c>
      <c r="D182" s="83">
        <f>297.941</f>
        <v>297.94099999999997</v>
      </c>
      <c r="E182" s="92">
        <f>89.177</f>
        <v>89.177000000000007</v>
      </c>
      <c r="F182" s="83">
        <f>240.302-40-60-100</f>
        <v>40.301999999999992</v>
      </c>
      <c r="G182" s="86">
        <v>40</v>
      </c>
      <c r="H182" s="83">
        <f>60+100</f>
        <v>160</v>
      </c>
      <c r="I182" s="83">
        <f t="shared" si="28"/>
        <v>0</v>
      </c>
      <c r="J182" s="86">
        <v>100</v>
      </c>
      <c r="K182" s="86">
        <v>300</v>
      </c>
      <c r="L182" s="83">
        <f t="shared" si="22"/>
        <v>1150</v>
      </c>
      <c r="M182" s="94">
        <v>600</v>
      </c>
      <c r="N182" s="83">
        <f>100</f>
        <v>100</v>
      </c>
      <c r="O182" s="86">
        <v>240</v>
      </c>
      <c r="P182" s="86">
        <v>40</v>
      </c>
      <c r="Q182" s="86">
        <f t="shared" si="23"/>
        <v>315</v>
      </c>
      <c r="R182" s="86">
        <f t="shared" si="24"/>
        <v>100</v>
      </c>
      <c r="S182" s="83">
        <f t="shared" si="25"/>
        <v>695</v>
      </c>
      <c r="T182" s="83">
        <f>50</f>
        <v>50</v>
      </c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</row>
    <row r="183" spans="1:30" ht="15.75" x14ac:dyDescent="0.25">
      <c r="A183" s="13">
        <v>46478</v>
      </c>
      <c r="B183" s="97">
        <v>30</v>
      </c>
      <c r="C183" s="83">
        <f>141.293</f>
        <v>141.29300000000001</v>
      </c>
      <c r="D183" s="83">
        <f>267.993</f>
        <v>267.99299999999999</v>
      </c>
      <c r="E183" s="92">
        <f>115.016</f>
        <v>115.01600000000001</v>
      </c>
      <c r="F183" s="83">
        <f>314.698-40-25-60-100</f>
        <v>89.697999999999979</v>
      </c>
      <c r="G183" s="86">
        <v>40</v>
      </c>
      <c r="H183" s="83">
        <f t="shared" ref="H183:H189" si="29">25+60+100</f>
        <v>185</v>
      </c>
      <c r="I183" s="83">
        <f t="shared" si="28"/>
        <v>0</v>
      </c>
      <c r="J183" s="86">
        <v>100</v>
      </c>
      <c r="K183" s="86">
        <v>300</v>
      </c>
      <c r="L183" s="83">
        <f t="shared" si="22"/>
        <v>1239</v>
      </c>
      <c r="M183" s="94">
        <v>600</v>
      </c>
      <c r="N183" s="83">
        <f>100</f>
        <v>100</v>
      </c>
      <c r="O183" s="86">
        <v>240</v>
      </c>
      <c r="P183" s="86">
        <v>160</v>
      </c>
      <c r="Q183" s="86">
        <f t="shared" si="23"/>
        <v>195</v>
      </c>
      <c r="R183" s="86">
        <f t="shared" si="24"/>
        <v>100</v>
      </c>
      <c r="S183" s="83">
        <f t="shared" si="25"/>
        <v>695</v>
      </c>
      <c r="T183" s="83">
        <f>50</f>
        <v>50</v>
      </c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</row>
    <row r="184" spans="1:30" ht="15.75" x14ac:dyDescent="0.25">
      <c r="A184" s="13">
        <v>46508</v>
      </c>
      <c r="B184" s="97">
        <v>31</v>
      </c>
      <c r="C184" s="83">
        <f>194.205</f>
        <v>194.20500000000001</v>
      </c>
      <c r="D184" s="83">
        <f>267.466</f>
        <v>267.46600000000001</v>
      </c>
      <c r="E184" s="92">
        <f>133.845</f>
        <v>133.845</v>
      </c>
      <c r="F184" s="83">
        <f>278.484-40-25-60-100</f>
        <v>53.48399999999998</v>
      </c>
      <c r="G184" s="86">
        <v>40</v>
      </c>
      <c r="H184" s="83">
        <f t="shared" si="29"/>
        <v>185</v>
      </c>
      <c r="I184" s="83">
        <f t="shared" si="28"/>
        <v>0</v>
      </c>
      <c r="J184" s="86">
        <v>100</v>
      </c>
      <c r="K184" s="86">
        <v>300</v>
      </c>
      <c r="L184" s="83">
        <f t="shared" si="22"/>
        <v>1274</v>
      </c>
      <c r="M184" s="94">
        <v>600</v>
      </c>
      <c r="N184" s="83">
        <f>75</f>
        <v>75</v>
      </c>
      <c r="O184" s="86">
        <v>240</v>
      </c>
      <c r="P184" s="86">
        <v>160</v>
      </c>
      <c r="Q184" s="86">
        <f t="shared" si="23"/>
        <v>195</v>
      </c>
      <c r="R184" s="86">
        <f t="shared" si="24"/>
        <v>100</v>
      </c>
      <c r="S184" s="83">
        <f t="shared" si="25"/>
        <v>695</v>
      </c>
      <c r="T184" s="83">
        <f>50</f>
        <v>50</v>
      </c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</row>
    <row r="185" spans="1:30" ht="15.75" x14ac:dyDescent="0.25">
      <c r="A185" s="13">
        <v>46539</v>
      </c>
      <c r="B185" s="97">
        <v>30</v>
      </c>
      <c r="C185" s="83">
        <f>194.205</f>
        <v>194.20500000000001</v>
      </c>
      <c r="D185" s="83">
        <f>267.466</f>
        <v>267.46600000000001</v>
      </c>
      <c r="E185" s="92">
        <f>133.845</f>
        <v>133.845</v>
      </c>
      <c r="F185" s="83">
        <f>278.484-40-25-60-100</f>
        <v>53.48399999999998</v>
      </c>
      <c r="G185" s="86">
        <v>40</v>
      </c>
      <c r="H185" s="83">
        <f t="shared" si="29"/>
        <v>185</v>
      </c>
      <c r="I185" s="83">
        <f t="shared" si="28"/>
        <v>0</v>
      </c>
      <c r="J185" s="86">
        <v>100</v>
      </c>
      <c r="K185" s="86">
        <v>300</v>
      </c>
      <c r="L185" s="83">
        <f t="shared" si="22"/>
        <v>1274</v>
      </c>
      <c r="M185" s="94">
        <v>600</v>
      </c>
      <c r="N185" s="83">
        <f>30</f>
        <v>30</v>
      </c>
      <c r="O185" s="86">
        <v>240</v>
      </c>
      <c r="P185" s="86">
        <v>160</v>
      </c>
      <c r="Q185" s="86">
        <f t="shared" si="23"/>
        <v>195</v>
      </c>
      <c r="R185" s="86">
        <f t="shared" si="24"/>
        <v>100</v>
      </c>
      <c r="S185" s="83">
        <f t="shared" si="25"/>
        <v>695</v>
      </c>
      <c r="T185" s="83">
        <f>50</f>
        <v>50</v>
      </c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</row>
    <row r="186" spans="1:30" ht="15.75" x14ac:dyDescent="0.25">
      <c r="A186" s="13">
        <v>46569</v>
      </c>
      <c r="B186" s="97">
        <v>31</v>
      </c>
      <c r="C186" s="83">
        <f>194.205</f>
        <v>194.20500000000001</v>
      </c>
      <c r="D186" s="83">
        <f>267.466</f>
        <v>267.46600000000001</v>
      </c>
      <c r="E186" s="92">
        <f>133.845</f>
        <v>133.845</v>
      </c>
      <c r="F186" s="83">
        <f>278.484-40-25-60-100</f>
        <v>53.48399999999998</v>
      </c>
      <c r="G186" s="86">
        <v>40</v>
      </c>
      <c r="H186" s="83">
        <f t="shared" si="29"/>
        <v>185</v>
      </c>
      <c r="I186" s="83">
        <f t="shared" si="28"/>
        <v>0</v>
      </c>
      <c r="J186" s="86">
        <v>100</v>
      </c>
      <c r="K186" s="86">
        <v>300</v>
      </c>
      <c r="L186" s="83">
        <f t="shared" si="22"/>
        <v>1274</v>
      </c>
      <c r="M186" s="94">
        <v>600</v>
      </c>
      <c r="N186" s="83">
        <f>30</f>
        <v>30</v>
      </c>
      <c r="O186" s="86">
        <v>240</v>
      </c>
      <c r="P186" s="86">
        <v>160</v>
      </c>
      <c r="Q186" s="86">
        <f t="shared" si="23"/>
        <v>195</v>
      </c>
      <c r="R186" s="86">
        <f t="shared" si="24"/>
        <v>100</v>
      </c>
      <c r="S186" s="83">
        <f t="shared" si="25"/>
        <v>695</v>
      </c>
      <c r="T186" s="83">
        <f>0</f>
        <v>0</v>
      </c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</row>
    <row r="187" spans="1:30" ht="15.75" x14ac:dyDescent="0.25">
      <c r="A187" s="13">
        <v>46600</v>
      </c>
      <c r="B187" s="97">
        <v>31</v>
      </c>
      <c r="C187" s="83">
        <f>194.205</f>
        <v>194.20500000000001</v>
      </c>
      <c r="D187" s="83">
        <f>267.466</f>
        <v>267.46600000000001</v>
      </c>
      <c r="E187" s="92">
        <f>133.845</f>
        <v>133.845</v>
      </c>
      <c r="F187" s="83">
        <f>278.484-40-25-60-100</f>
        <v>53.48399999999998</v>
      </c>
      <c r="G187" s="86">
        <v>40</v>
      </c>
      <c r="H187" s="83">
        <f t="shared" si="29"/>
        <v>185</v>
      </c>
      <c r="I187" s="83">
        <f t="shared" si="28"/>
        <v>0</v>
      </c>
      <c r="J187" s="86">
        <v>100</v>
      </c>
      <c r="K187" s="86">
        <v>300</v>
      </c>
      <c r="L187" s="83">
        <f t="shared" si="22"/>
        <v>1274</v>
      </c>
      <c r="M187" s="94">
        <v>600</v>
      </c>
      <c r="N187" s="83">
        <f>30</f>
        <v>30</v>
      </c>
      <c r="O187" s="86">
        <v>240</v>
      </c>
      <c r="P187" s="86">
        <v>160</v>
      </c>
      <c r="Q187" s="86">
        <f t="shared" si="23"/>
        <v>195</v>
      </c>
      <c r="R187" s="86">
        <f t="shared" si="24"/>
        <v>100</v>
      </c>
      <c r="S187" s="83">
        <f t="shared" si="25"/>
        <v>695</v>
      </c>
      <c r="T187" s="83">
        <f>0</f>
        <v>0</v>
      </c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</row>
    <row r="188" spans="1:30" ht="15.75" x14ac:dyDescent="0.25">
      <c r="A188" s="13">
        <v>46631</v>
      </c>
      <c r="B188" s="97">
        <v>30</v>
      </c>
      <c r="C188" s="83">
        <f>194.205</f>
        <v>194.20500000000001</v>
      </c>
      <c r="D188" s="83">
        <f>267.466</f>
        <v>267.46600000000001</v>
      </c>
      <c r="E188" s="92">
        <f>133.845</f>
        <v>133.845</v>
      </c>
      <c r="F188" s="83">
        <f>278.484-40-25-60-100</f>
        <v>53.48399999999998</v>
      </c>
      <c r="G188" s="86">
        <v>40</v>
      </c>
      <c r="H188" s="83">
        <f t="shared" si="29"/>
        <v>185</v>
      </c>
      <c r="I188" s="83">
        <f t="shared" si="28"/>
        <v>0</v>
      </c>
      <c r="J188" s="86">
        <v>100</v>
      </c>
      <c r="K188" s="86">
        <v>300</v>
      </c>
      <c r="L188" s="83">
        <f t="shared" si="22"/>
        <v>1274</v>
      </c>
      <c r="M188" s="94">
        <v>600</v>
      </c>
      <c r="N188" s="83">
        <f>30</f>
        <v>30</v>
      </c>
      <c r="O188" s="86">
        <v>240</v>
      </c>
      <c r="P188" s="86">
        <v>160</v>
      </c>
      <c r="Q188" s="86">
        <f t="shared" si="23"/>
        <v>195</v>
      </c>
      <c r="R188" s="86">
        <f t="shared" si="24"/>
        <v>100</v>
      </c>
      <c r="S188" s="83">
        <f t="shared" si="25"/>
        <v>695</v>
      </c>
      <c r="T188" s="83">
        <f>0</f>
        <v>0</v>
      </c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</row>
    <row r="189" spans="1:30" ht="15.75" x14ac:dyDescent="0.25">
      <c r="A189" s="13">
        <v>46661</v>
      </c>
      <c r="B189" s="97">
        <v>31</v>
      </c>
      <c r="C189" s="83">
        <f>131.881</f>
        <v>131.881</v>
      </c>
      <c r="D189" s="83">
        <f>277.167</f>
        <v>277.16699999999997</v>
      </c>
      <c r="E189" s="92">
        <f>79.08</f>
        <v>79.08</v>
      </c>
      <c r="F189" s="83">
        <f>350.872-40-25-60-100</f>
        <v>125.87200000000001</v>
      </c>
      <c r="G189" s="86">
        <v>40</v>
      </c>
      <c r="H189" s="83">
        <f t="shared" si="29"/>
        <v>185</v>
      </c>
      <c r="I189" s="83">
        <f t="shared" si="28"/>
        <v>0</v>
      </c>
      <c r="J189" s="86">
        <v>100</v>
      </c>
      <c r="K189" s="86">
        <v>300</v>
      </c>
      <c r="L189" s="83">
        <f t="shared" si="22"/>
        <v>1239</v>
      </c>
      <c r="M189" s="94">
        <v>600</v>
      </c>
      <c r="N189" s="83">
        <f>75</f>
        <v>75</v>
      </c>
      <c r="O189" s="86">
        <v>240</v>
      </c>
      <c r="P189" s="86">
        <v>160</v>
      </c>
      <c r="Q189" s="86">
        <f t="shared" si="23"/>
        <v>195</v>
      </c>
      <c r="R189" s="86">
        <f t="shared" si="24"/>
        <v>100</v>
      </c>
      <c r="S189" s="83">
        <f t="shared" si="25"/>
        <v>695</v>
      </c>
      <c r="T189" s="83">
        <f>0</f>
        <v>0</v>
      </c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</row>
    <row r="190" spans="1:30" ht="15.75" x14ac:dyDescent="0.25">
      <c r="A190" s="13">
        <v>46692</v>
      </c>
      <c r="B190" s="97">
        <v>30</v>
      </c>
      <c r="C190" s="83">
        <f>122.58</f>
        <v>122.58</v>
      </c>
      <c r="D190" s="83">
        <f>297.941</f>
        <v>297.94099999999997</v>
      </c>
      <c r="E190" s="92">
        <f>89.177</f>
        <v>89.177000000000007</v>
      </c>
      <c r="F190" s="83">
        <f>240.302-40-60-100</f>
        <v>40.301999999999992</v>
      </c>
      <c r="G190" s="86">
        <v>40</v>
      </c>
      <c r="H190" s="83">
        <f>60+100</f>
        <v>160</v>
      </c>
      <c r="I190" s="83">
        <f t="shared" si="28"/>
        <v>0</v>
      </c>
      <c r="J190" s="86">
        <v>100</v>
      </c>
      <c r="K190" s="86">
        <v>300</v>
      </c>
      <c r="L190" s="83">
        <f t="shared" si="22"/>
        <v>1150</v>
      </c>
      <c r="M190" s="94">
        <v>600</v>
      </c>
      <c r="N190" s="83">
        <f>100</f>
        <v>100</v>
      </c>
      <c r="O190" s="86">
        <v>240</v>
      </c>
      <c r="P190" s="86">
        <v>40</v>
      </c>
      <c r="Q190" s="86">
        <f t="shared" si="23"/>
        <v>315</v>
      </c>
      <c r="R190" s="86">
        <f t="shared" si="24"/>
        <v>100</v>
      </c>
      <c r="S190" s="83">
        <f t="shared" si="25"/>
        <v>695</v>
      </c>
      <c r="T190" s="83">
        <f>50</f>
        <v>50</v>
      </c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</row>
    <row r="191" spans="1:30" ht="15.75" x14ac:dyDescent="0.25">
      <c r="A191" s="13">
        <v>46722</v>
      </c>
      <c r="B191" s="97">
        <v>31</v>
      </c>
      <c r="C191" s="83">
        <f>122.58</f>
        <v>122.58</v>
      </c>
      <c r="D191" s="83">
        <f>297.941</f>
        <v>297.94099999999997</v>
      </c>
      <c r="E191" s="92">
        <f>89.177</f>
        <v>89.177000000000007</v>
      </c>
      <c r="F191" s="83">
        <f>240.302-40-60-100</f>
        <v>40.301999999999992</v>
      </c>
      <c r="G191" s="86">
        <v>40</v>
      </c>
      <c r="H191" s="83">
        <f>60+100</f>
        <v>160</v>
      </c>
      <c r="I191" s="83">
        <f t="shared" si="28"/>
        <v>0</v>
      </c>
      <c r="J191" s="86">
        <v>100</v>
      </c>
      <c r="K191" s="86">
        <v>300</v>
      </c>
      <c r="L191" s="83">
        <f t="shared" si="22"/>
        <v>1150</v>
      </c>
      <c r="M191" s="94">
        <v>600</v>
      </c>
      <c r="N191" s="83">
        <f>100</f>
        <v>100</v>
      </c>
      <c r="O191" s="86">
        <v>240</v>
      </c>
      <c r="P191" s="86">
        <v>40</v>
      </c>
      <c r="Q191" s="86">
        <f t="shared" si="23"/>
        <v>315</v>
      </c>
      <c r="R191" s="86">
        <f t="shared" si="24"/>
        <v>100</v>
      </c>
      <c r="S191" s="83">
        <f t="shared" si="25"/>
        <v>695</v>
      </c>
      <c r="T191" s="83">
        <f>50</f>
        <v>50</v>
      </c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</row>
    <row r="192" spans="1:30" ht="15.75" x14ac:dyDescent="0.25">
      <c r="A192" s="13">
        <v>46753</v>
      </c>
      <c r="B192" s="97">
        <v>31</v>
      </c>
      <c r="C192" s="83">
        <f>122.58</f>
        <v>122.58</v>
      </c>
      <c r="D192" s="83">
        <f>297.941</f>
        <v>297.94099999999997</v>
      </c>
      <c r="E192" s="92">
        <f>89.177</f>
        <v>89.177000000000007</v>
      </c>
      <c r="F192" s="83">
        <f>240.302-40-60-100</f>
        <v>40.301999999999992</v>
      </c>
      <c r="G192" s="86">
        <v>40</v>
      </c>
      <c r="H192" s="83">
        <f>60+100</f>
        <v>160</v>
      </c>
      <c r="I192" s="83">
        <f t="shared" si="28"/>
        <v>0</v>
      </c>
      <c r="J192" s="86">
        <v>100</v>
      </c>
      <c r="K192" s="86">
        <v>300</v>
      </c>
      <c r="L192" s="83">
        <f t="shared" si="22"/>
        <v>1150</v>
      </c>
      <c r="M192" s="94">
        <v>600</v>
      </c>
      <c r="N192" s="83">
        <f>100</f>
        <v>100</v>
      </c>
      <c r="O192" s="86">
        <v>240</v>
      </c>
      <c r="P192" s="86">
        <v>40</v>
      </c>
      <c r="Q192" s="86">
        <f t="shared" si="23"/>
        <v>315</v>
      </c>
      <c r="R192" s="86">
        <f t="shared" si="24"/>
        <v>100</v>
      </c>
      <c r="S192" s="83">
        <f t="shared" si="25"/>
        <v>695</v>
      </c>
      <c r="T192" s="83">
        <f>50</f>
        <v>50</v>
      </c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</row>
    <row r="193" spans="1:30" ht="15.75" x14ac:dyDescent="0.25">
      <c r="A193" s="13">
        <v>46784</v>
      </c>
      <c r="B193" s="97">
        <v>29</v>
      </c>
      <c r="C193" s="83">
        <f>122.58</f>
        <v>122.58</v>
      </c>
      <c r="D193" s="83">
        <f>297.941</f>
        <v>297.94099999999997</v>
      </c>
      <c r="E193" s="92">
        <f>89.177</f>
        <v>89.177000000000007</v>
      </c>
      <c r="F193" s="83">
        <f>240.302-40-60-100</f>
        <v>40.301999999999992</v>
      </c>
      <c r="G193" s="86">
        <v>40</v>
      </c>
      <c r="H193" s="83">
        <f>60+100</f>
        <v>160</v>
      </c>
      <c r="I193" s="83">
        <f t="shared" si="28"/>
        <v>0</v>
      </c>
      <c r="J193" s="86">
        <v>100</v>
      </c>
      <c r="K193" s="86">
        <v>300</v>
      </c>
      <c r="L193" s="83">
        <f t="shared" si="22"/>
        <v>1150</v>
      </c>
      <c r="M193" s="94">
        <v>600</v>
      </c>
      <c r="N193" s="83">
        <f>100</f>
        <v>100</v>
      </c>
      <c r="O193" s="86">
        <v>240</v>
      </c>
      <c r="P193" s="86">
        <v>40</v>
      </c>
      <c r="Q193" s="86">
        <f t="shared" si="23"/>
        <v>315</v>
      </c>
      <c r="R193" s="86">
        <f t="shared" si="24"/>
        <v>100</v>
      </c>
      <c r="S193" s="83">
        <f t="shared" si="25"/>
        <v>695</v>
      </c>
      <c r="T193" s="83">
        <f>50</f>
        <v>50</v>
      </c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</row>
    <row r="194" spans="1:30" ht="15.75" x14ac:dyDescent="0.25">
      <c r="A194" s="13">
        <v>46813</v>
      </c>
      <c r="B194" s="97">
        <v>31</v>
      </c>
      <c r="C194" s="83">
        <f>122.58</f>
        <v>122.58</v>
      </c>
      <c r="D194" s="83">
        <f>297.941</f>
        <v>297.94099999999997</v>
      </c>
      <c r="E194" s="92">
        <f>89.177</f>
        <v>89.177000000000007</v>
      </c>
      <c r="F194" s="83">
        <f>240.302-40-60-100</f>
        <v>40.301999999999992</v>
      </c>
      <c r="G194" s="86">
        <v>40</v>
      </c>
      <c r="H194" s="83">
        <f>60+100</f>
        <v>160</v>
      </c>
      <c r="I194" s="83">
        <f t="shared" si="28"/>
        <v>0</v>
      </c>
      <c r="J194" s="86">
        <v>100</v>
      </c>
      <c r="K194" s="86">
        <v>300</v>
      </c>
      <c r="L194" s="83">
        <f t="shared" si="22"/>
        <v>1150</v>
      </c>
      <c r="M194" s="94">
        <v>600</v>
      </c>
      <c r="N194" s="83">
        <f>100</f>
        <v>100</v>
      </c>
      <c r="O194" s="86">
        <v>240</v>
      </c>
      <c r="P194" s="86">
        <v>40</v>
      </c>
      <c r="Q194" s="86">
        <f t="shared" si="23"/>
        <v>315</v>
      </c>
      <c r="R194" s="86">
        <f t="shared" si="24"/>
        <v>100</v>
      </c>
      <c r="S194" s="83">
        <f t="shared" si="25"/>
        <v>695</v>
      </c>
      <c r="T194" s="83">
        <f>50</f>
        <v>50</v>
      </c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</row>
    <row r="195" spans="1:30" ht="15.75" x14ac:dyDescent="0.25">
      <c r="A195" s="13">
        <v>46844</v>
      </c>
      <c r="B195" s="97">
        <v>30</v>
      </c>
      <c r="C195" s="83">
        <f>141.293</f>
        <v>141.29300000000001</v>
      </c>
      <c r="D195" s="83">
        <f>267.993</f>
        <v>267.99299999999999</v>
      </c>
      <c r="E195" s="92">
        <f>115.016</f>
        <v>115.01600000000001</v>
      </c>
      <c r="F195" s="83">
        <f>314.698-40-25-60-100</f>
        <v>89.697999999999979</v>
      </c>
      <c r="G195" s="86">
        <v>40</v>
      </c>
      <c r="H195" s="83">
        <f t="shared" ref="H195:H201" si="30">25+60+100</f>
        <v>185</v>
      </c>
      <c r="I195" s="83">
        <f t="shared" si="28"/>
        <v>0</v>
      </c>
      <c r="J195" s="86">
        <v>100</v>
      </c>
      <c r="K195" s="86">
        <v>300</v>
      </c>
      <c r="L195" s="83">
        <f t="shared" si="22"/>
        <v>1239</v>
      </c>
      <c r="M195" s="94">
        <v>600</v>
      </c>
      <c r="N195" s="83">
        <f>100</f>
        <v>100</v>
      </c>
      <c r="O195" s="86">
        <v>240</v>
      </c>
      <c r="P195" s="86">
        <v>160</v>
      </c>
      <c r="Q195" s="86">
        <f t="shared" si="23"/>
        <v>195</v>
      </c>
      <c r="R195" s="86">
        <f t="shared" si="24"/>
        <v>100</v>
      </c>
      <c r="S195" s="83">
        <f t="shared" si="25"/>
        <v>695</v>
      </c>
      <c r="T195" s="83">
        <f>50</f>
        <v>50</v>
      </c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</row>
    <row r="196" spans="1:30" ht="15.75" x14ac:dyDescent="0.25">
      <c r="A196" s="13">
        <v>46874</v>
      </c>
      <c r="B196" s="97">
        <v>31</v>
      </c>
      <c r="C196" s="83">
        <f>194.205</f>
        <v>194.20500000000001</v>
      </c>
      <c r="D196" s="83">
        <f>267.466</f>
        <v>267.46600000000001</v>
      </c>
      <c r="E196" s="92">
        <f>133.845</f>
        <v>133.845</v>
      </c>
      <c r="F196" s="83">
        <f>278.484-40-25-60-100</f>
        <v>53.48399999999998</v>
      </c>
      <c r="G196" s="86">
        <v>40</v>
      </c>
      <c r="H196" s="83">
        <f t="shared" si="30"/>
        <v>185</v>
      </c>
      <c r="I196" s="83">
        <f t="shared" si="28"/>
        <v>0</v>
      </c>
      <c r="J196" s="86">
        <v>100</v>
      </c>
      <c r="K196" s="86">
        <v>300</v>
      </c>
      <c r="L196" s="83">
        <f t="shared" si="22"/>
        <v>1274</v>
      </c>
      <c r="M196" s="94">
        <v>600</v>
      </c>
      <c r="N196" s="83">
        <f>75</f>
        <v>75</v>
      </c>
      <c r="O196" s="86">
        <v>240</v>
      </c>
      <c r="P196" s="86">
        <v>160</v>
      </c>
      <c r="Q196" s="86">
        <f t="shared" si="23"/>
        <v>195</v>
      </c>
      <c r="R196" s="86">
        <f t="shared" si="24"/>
        <v>100</v>
      </c>
      <c r="S196" s="83">
        <f t="shared" si="25"/>
        <v>695</v>
      </c>
      <c r="T196" s="83">
        <f>50</f>
        <v>50</v>
      </c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</row>
    <row r="197" spans="1:30" ht="15.75" x14ac:dyDescent="0.25">
      <c r="A197" s="13">
        <v>46905</v>
      </c>
      <c r="B197" s="97">
        <v>30</v>
      </c>
      <c r="C197" s="83">
        <f>194.205</f>
        <v>194.20500000000001</v>
      </c>
      <c r="D197" s="83">
        <f>267.466</f>
        <v>267.46600000000001</v>
      </c>
      <c r="E197" s="92">
        <f>133.845</f>
        <v>133.845</v>
      </c>
      <c r="F197" s="83">
        <f>278.484-40-25-60-100</f>
        <v>53.48399999999998</v>
      </c>
      <c r="G197" s="86">
        <v>40</v>
      </c>
      <c r="H197" s="83">
        <f t="shared" si="30"/>
        <v>185</v>
      </c>
      <c r="I197" s="83">
        <f t="shared" si="28"/>
        <v>0</v>
      </c>
      <c r="J197" s="86">
        <v>100</v>
      </c>
      <c r="K197" s="86">
        <v>300</v>
      </c>
      <c r="L197" s="83">
        <f t="shared" si="22"/>
        <v>1274</v>
      </c>
      <c r="M197" s="94">
        <v>600</v>
      </c>
      <c r="N197" s="83">
        <f>30</f>
        <v>30</v>
      </c>
      <c r="O197" s="86">
        <v>240</v>
      </c>
      <c r="P197" s="86">
        <v>160</v>
      </c>
      <c r="Q197" s="86">
        <f t="shared" si="23"/>
        <v>195</v>
      </c>
      <c r="R197" s="86">
        <f t="shared" si="24"/>
        <v>100</v>
      </c>
      <c r="S197" s="83">
        <f t="shared" si="25"/>
        <v>695</v>
      </c>
      <c r="T197" s="83">
        <f>50</f>
        <v>50</v>
      </c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</row>
    <row r="198" spans="1:30" ht="15.75" x14ac:dyDescent="0.25">
      <c r="A198" s="13">
        <v>46935</v>
      </c>
      <c r="B198" s="97">
        <v>31</v>
      </c>
      <c r="C198" s="83">
        <f>194.205</f>
        <v>194.20500000000001</v>
      </c>
      <c r="D198" s="83">
        <f>267.466</f>
        <v>267.46600000000001</v>
      </c>
      <c r="E198" s="92">
        <f>133.845</f>
        <v>133.845</v>
      </c>
      <c r="F198" s="83">
        <f>278.484-40-25-60-100</f>
        <v>53.48399999999998</v>
      </c>
      <c r="G198" s="86">
        <v>40</v>
      </c>
      <c r="H198" s="83">
        <f t="shared" si="30"/>
        <v>185</v>
      </c>
      <c r="I198" s="83">
        <f t="shared" si="28"/>
        <v>0</v>
      </c>
      <c r="J198" s="86">
        <v>100</v>
      </c>
      <c r="K198" s="86">
        <v>300</v>
      </c>
      <c r="L198" s="83">
        <f t="shared" si="22"/>
        <v>1274</v>
      </c>
      <c r="M198" s="94">
        <v>600</v>
      </c>
      <c r="N198" s="83">
        <f>30</f>
        <v>30</v>
      </c>
      <c r="O198" s="86">
        <v>240</v>
      </c>
      <c r="P198" s="86">
        <v>160</v>
      </c>
      <c r="Q198" s="86">
        <f t="shared" si="23"/>
        <v>195</v>
      </c>
      <c r="R198" s="86">
        <f t="shared" si="24"/>
        <v>100</v>
      </c>
      <c r="S198" s="83">
        <f t="shared" si="25"/>
        <v>695</v>
      </c>
      <c r="T198" s="83">
        <f>0</f>
        <v>0</v>
      </c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</row>
    <row r="199" spans="1:30" ht="15.75" x14ac:dyDescent="0.25">
      <c r="A199" s="13">
        <v>46966</v>
      </c>
      <c r="B199" s="97">
        <v>31</v>
      </c>
      <c r="C199" s="83">
        <f>194.205</f>
        <v>194.20500000000001</v>
      </c>
      <c r="D199" s="83">
        <f>267.466</f>
        <v>267.46600000000001</v>
      </c>
      <c r="E199" s="92">
        <f>133.845</f>
        <v>133.845</v>
      </c>
      <c r="F199" s="83">
        <f>278.484-40-25-60-100</f>
        <v>53.48399999999998</v>
      </c>
      <c r="G199" s="86">
        <v>40</v>
      </c>
      <c r="H199" s="83">
        <f t="shared" si="30"/>
        <v>185</v>
      </c>
      <c r="I199" s="83">
        <f t="shared" si="28"/>
        <v>0</v>
      </c>
      <c r="J199" s="86">
        <v>100</v>
      </c>
      <c r="K199" s="86">
        <v>300</v>
      </c>
      <c r="L199" s="83">
        <f t="shared" si="22"/>
        <v>1274</v>
      </c>
      <c r="M199" s="94">
        <v>600</v>
      </c>
      <c r="N199" s="83">
        <f>30</f>
        <v>30</v>
      </c>
      <c r="O199" s="86">
        <v>240</v>
      </c>
      <c r="P199" s="86">
        <v>160</v>
      </c>
      <c r="Q199" s="86">
        <f t="shared" si="23"/>
        <v>195</v>
      </c>
      <c r="R199" s="86">
        <f t="shared" si="24"/>
        <v>100</v>
      </c>
      <c r="S199" s="83">
        <f t="shared" si="25"/>
        <v>695</v>
      </c>
      <c r="T199" s="83">
        <f>0</f>
        <v>0</v>
      </c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</row>
    <row r="200" spans="1:30" ht="15.75" x14ac:dyDescent="0.25">
      <c r="A200" s="13">
        <v>46997</v>
      </c>
      <c r="B200" s="97">
        <v>30</v>
      </c>
      <c r="C200" s="83">
        <f>194.205</f>
        <v>194.20500000000001</v>
      </c>
      <c r="D200" s="83">
        <f>267.466</f>
        <v>267.46600000000001</v>
      </c>
      <c r="E200" s="92">
        <f>133.845</f>
        <v>133.845</v>
      </c>
      <c r="F200" s="83">
        <f>278.484-40-25-60-100</f>
        <v>53.48399999999998</v>
      </c>
      <c r="G200" s="86">
        <v>40</v>
      </c>
      <c r="H200" s="83">
        <f t="shared" si="30"/>
        <v>185</v>
      </c>
      <c r="I200" s="83">
        <f t="shared" si="28"/>
        <v>0</v>
      </c>
      <c r="J200" s="86">
        <v>100</v>
      </c>
      <c r="K200" s="86">
        <v>300</v>
      </c>
      <c r="L200" s="83">
        <f t="shared" si="22"/>
        <v>1274</v>
      </c>
      <c r="M200" s="94">
        <v>600</v>
      </c>
      <c r="N200" s="83">
        <f>30</f>
        <v>30</v>
      </c>
      <c r="O200" s="86">
        <v>240</v>
      </c>
      <c r="P200" s="86">
        <v>160</v>
      </c>
      <c r="Q200" s="86">
        <f t="shared" si="23"/>
        <v>195</v>
      </c>
      <c r="R200" s="86">
        <f t="shared" si="24"/>
        <v>100</v>
      </c>
      <c r="S200" s="83">
        <f t="shared" si="25"/>
        <v>695</v>
      </c>
      <c r="T200" s="83">
        <f>0</f>
        <v>0</v>
      </c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</row>
    <row r="201" spans="1:30" ht="15.75" x14ac:dyDescent="0.25">
      <c r="A201" s="13">
        <v>47027</v>
      </c>
      <c r="B201" s="97">
        <v>31</v>
      </c>
      <c r="C201" s="83">
        <f>131.881</f>
        <v>131.881</v>
      </c>
      <c r="D201" s="83">
        <f>277.167</f>
        <v>277.16699999999997</v>
      </c>
      <c r="E201" s="92">
        <f>79.08</f>
        <v>79.08</v>
      </c>
      <c r="F201" s="83">
        <f>350.872-40-25-60-100</f>
        <v>125.87200000000001</v>
      </c>
      <c r="G201" s="86">
        <v>40</v>
      </c>
      <c r="H201" s="83">
        <f t="shared" si="30"/>
        <v>185</v>
      </c>
      <c r="I201" s="83">
        <f t="shared" si="28"/>
        <v>0</v>
      </c>
      <c r="J201" s="86">
        <v>100</v>
      </c>
      <c r="K201" s="86">
        <v>300</v>
      </c>
      <c r="L201" s="83">
        <f t="shared" si="22"/>
        <v>1239</v>
      </c>
      <c r="M201" s="94">
        <v>600</v>
      </c>
      <c r="N201" s="83">
        <f>75</f>
        <v>75</v>
      </c>
      <c r="O201" s="86">
        <v>240</v>
      </c>
      <c r="P201" s="86">
        <v>160</v>
      </c>
      <c r="Q201" s="86">
        <f t="shared" si="23"/>
        <v>195</v>
      </c>
      <c r="R201" s="86">
        <f t="shared" si="24"/>
        <v>100</v>
      </c>
      <c r="S201" s="83">
        <f t="shared" si="25"/>
        <v>695</v>
      </c>
      <c r="T201" s="83">
        <f>0</f>
        <v>0</v>
      </c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</row>
    <row r="202" spans="1:30" ht="15.75" x14ac:dyDescent="0.25">
      <c r="A202" s="13">
        <v>47058</v>
      </c>
      <c r="B202" s="97">
        <v>30</v>
      </c>
      <c r="C202" s="83">
        <f>122.58</f>
        <v>122.58</v>
      </c>
      <c r="D202" s="83">
        <f>297.941</f>
        <v>297.94099999999997</v>
      </c>
      <c r="E202" s="92">
        <f>89.177</f>
        <v>89.177000000000007</v>
      </c>
      <c r="F202" s="83">
        <f>240.302-40-60-100</f>
        <v>40.301999999999992</v>
      </c>
      <c r="G202" s="86">
        <v>40</v>
      </c>
      <c r="H202" s="83">
        <f>60+100</f>
        <v>160</v>
      </c>
      <c r="I202" s="83">
        <f t="shared" si="28"/>
        <v>0</v>
      </c>
      <c r="J202" s="86">
        <v>100</v>
      </c>
      <c r="K202" s="86">
        <v>300</v>
      </c>
      <c r="L202" s="83">
        <f t="shared" si="22"/>
        <v>1150</v>
      </c>
      <c r="M202" s="94">
        <v>600</v>
      </c>
      <c r="N202" s="83">
        <f>100</f>
        <v>100</v>
      </c>
      <c r="O202" s="86">
        <v>240</v>
      </c>
      <c r="P202" s="86">
        <v>40</v>
      </c>
      <c r="Q202" s="86">
        <f t="shared" si="23"/>
        <v>315</v>
      </c>
      <c r="R202" s="86">
        <f t="shared" si="24"/>
        <v>100</v>
      </c>
      <c r="S202" s="83">
        <f t="shared" si="25"/>
        <v>695</v>
      </c>
      <c r="T202" s="83">
        <f>50</f>
        <v>50</v>
      </c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</row>
    <row r="203" spans="1:30" ht="15.75" x14ac:dyDescent="0.25">
      <c r="A203" s="13">
        <v>47088</v>
      </c>
      <c r="B203" s="97">
        <v>31</v>
      </c>
      <c r="C203" s="83">
        <f>122.58</f>
        <v>122.58</v>
      </c>
      <c r="D203" s="83">
        <f>297.941</f>
        <v>297.94099999999997</v>
      </c>
      <c r="E203" s="92">
        <f>89.177</f>
        <v>89.177000000000007</v>
      </c>
      <c r="F203" s="83">
        <f>240.302-40-60-100</f>
        <v>40.301999999999992</v>
      </c>
      <c r="G203" s="86">
        <v>40</v>
      </c>
      <c r="H203" s="83">
        <f>60+100</f>
        <v>160</v>
      </c>
      <c r="I203" s="83">
        <f t="shared" si="28"/>
        <v>0</v>
      </c>
      <c r="J203" s="86">
        <v>100</v>
      </c>
      <c r="K203" s="86">
        <v>300</v>
      </c>
      <c r="L203" s="83">
        <f t="shared" si="22"/>
        <v>1150</v>
      </c>
      <c r="M203" s="94">
        <v>600</v>
      </c>
      <c r="N203" s="83">
        <f>100</f>
        <v>100</v>
      </c>
      <c r="O203" s="86">
        <v>240</v>
      </c>
      <c r="P203" s="86">
        <v>40</v>
      </c>
      <c r="Q203" s="86">
        <f t="shared" si="23"/>
        <v>315</v>
      </c>
      <c r="R203" s="86">
        <f t="shared" si="24"/>
        <v>100</v>
      </c>
      <c r="S203" s="83">
        <f t="shared" si="25"/>
        <v>695</v>
      </c>
      <c r="T203" s="83">
        <f>50</f>
        <v>50</v>
      </c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</row>
    <row r="204" spans="1:30" ht="15.75" x14ac:dyDescent="0.25">
      <c r="A204" s="13">
        <v>47119</v>
      </c>
      <c r="B204" s="97">
        <v>31</v>
      </c>
      <c r="C204" s="83">
        <f>122.58</f>
        <v>122.58</v>
      </c>
      <c r="D204" s="83">
        <f>297.941</f>
        <v>297.94099999999997</v>
      </c>
      <c r="E204" s="92">
        <f>89.177</f>
        <v>89.177000000000007</v>
      </c>
      <c r="F204" s="83">
        <f>240.302-40-60-100</f>
        <v>40.301999999999992</v>
      </c>
      <c r="G204" s="86">
        <v>40</v>
      </c>
      <c r="H204" s="83">
        <f>60+100</f>
        <v>160</v>
      </c>
      <c r="I204" s="83">
        <f t="shared" si="28"/>
        <v>0</v>
      </c>
      <c r="J204" s="86">
        <v>100</v>
      </c>
      <c r="K204" s="86">
        <v>300</v>
      </c>
      <c r="L204" s="83">
        <f t="shared" si="22"/>
        <v>1150</v>
      </c>
      <c r="M204" s="94">
        <v>600</v>
      </c>
      <c r="N204" s="83">
        <f>100</f>
        <v>100</v>
      </c>
      <c r="O204" s="86">
        <v>240</v>
      </c>
      <c r="P204" s="86">
        <v>40</v>
      </c>
      <c r="Q204" s="86">
        <f t="shared" si="23"/>
        <v>315</v>
      </c>
      <c r="R204" s="86">
        <f t="shared" si="24"/>
        <v>100</v>
      </c>
      <c r="S204" s="83">
        <f t="shared" si="25"/>
        <v>695</v>
      </c>
      <c r="T204" s="83">
        <f>50</f>
        <v>50</v>
      </c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</row>
    <row r="205" spans="1:30" ht="15.75" x14ac:dyDescent="0.25">
      <c r="A205" s="13">
        <v>47150</v>
      </c>
      <c r="B205" s="97">
        <v>28</v>
      </c>
      <c r="C205" s="83">
        <f>122.58</f>
        <v>122.58</v>
      </c>
      <c r="D205" s="83">
        <f>297.941</f>
        <v>297.94099999999997</v>
      </c>
      <c r="E205" s="92">
        <f>89.177</f>
        <v>89.177000000000007</v>
      </c>
      <c r="F205" s="83">
        <f>240.302-40-60-100</f>
        <v>40.301999999999992</v>
      </c>
      <c r="G205" s="86">
        <v>40</v>
      </c>
      <c r="H205" s="83">
        <f>60+100</f>
        <v>160</v>
      </c>
      <c r="I205" s="83">
        <f t="shared" si="28"/>
        <v>0</v>
      </c>
      <c r="J205" s="86">
        <v>100</v>
      </c>
      <c r="K205" s="86">
        <v>300</v>
      </c>
      <c r="L205" s="83">
        <f t="shared" si="22"/>
        <v>1150</v>
      </c>
      <c r="M205" s="94">
        <v>600</v>
      </c>
      <c r="N205" s="83">
        <f>100</f>
        <v>100</v>
      </c>
      <c r="O205" s="86">
        <v>240</v>
      </c>
      <c r="P205" s="86">
        <v>40</v>
      </c>
      <c r="Q205" s="86">
        <f t="shared" si="23"/>
        <v>315</v>
      </c>
      <c r="R205" s="86">
        <f t="shared" si="24"/>
        <v>100</v>
      </c>
      <c r="S205" s="83">
        <f t="shared" si="25"/>
        <v>695</v>
      </c>
      <c r="T205" s="83">
        <f>50</f>
        <v>50</v>
      </c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</row>
    <row r="206" spans="1:30" ht="15.75" x14ac:dyDescent="0.25">
      <c r="A206" s="13">
        <v>47178</v>
      </c>
      <c r="B206" s="97">
        <v>31</v>
      </c>
      <c r="C206" s="83">
        <f>122.58</f>
        <v>122.58</v>
      </c>
      <c r="D206" s="83">
        <f>297.941</f>
        <v>297.94099999999997</v>
      </c>
      <c r="E206" s="92">
        <f>89.177</f>
        <v>89.177000000000007</v>
      </c>
      <c r="F206" s="83">
        <f>240.302-40-60-100</f>
        <v>40.301999999999992</v>
      </c>
      <c r="G206" s="86">
        <v>40</v>
      </c>
      <c r="H206" s="83">
        <f>60+100</f>
        <v>160</v>
      </c>
      <c r="I206" s="83">
        <f t="shared" si="28"/>
        <v>0</v>
      </c>
      <c r="J206" s="86">
        <v>100</v>
      </c>
      <c r="K206" s="86">
        <v>300</v>
      </c>
      <c r="L206" s="83">
        <f t="shared" si="22"/>
        <v>1150</v>
      </c>
      <c r="M206" s="94">
        <v>600</v>
      </c>
      <c r="N206" s="83">
        <f>100</f>
        <v>100</v>
      </c>
      <c r="O206" s="86">
        <v>240</v>
      </c>
      <c r="P206" s="86">
        <v>40</v>
      </c>
      <c r="Q206" s="86">
        <f t="shared" si="23"/>
        <v>315</v>
      </c>
      <c r="R206" s="86">
        <f t="shared" si="24"/>
        <v>100</v>
      </c>
      <c r="S206" s="83">
        <f t="shared" si="25"/>
        <v>695</v>
      </c>
      <c r="T206" s="83">
        <f>50</f>
        <v>50</v>
      </c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</row>
    <row r="207" spans="1:30" ht="15.75" x14ac:dyDescent="0.25">
      <c r="A207" s="13">
        <v>47209</v>
      </c>
      <c r="B207" s="97">
        <v>30</v>
      </c>
      <c r="C207" s="83">
        <f>141.293</f>
        <v>141.29300000000001</v>
      </c>
      <c r="D207" s="83">
        <f>267.993</f>
        <v>267.99299999999999</v>
      </c>
      <c r="E207" s="92">
        <f>115.016</f>
        <v>115.01600000000001</v>
      </c>
      <c r="F207" s="83">
        <f>314.698-40-25-60-100</f>
        <v>89.697999999999979</v>
      </c>
      <c r="G207" s="86">
        <v>40</v>
      </c>
      <c r="H207" s="83">
        <f t="shared" ref="H207:H213" si="31">25+60+100</f>
        <v>185</v>
      </c>
      <c r="I207" s="83">
        <f t="shared" si="28"/>
        <v>0</v>
      </c>
      <c r="J207" s="86">
        <v>100</v>
      </c>
      <c r="K207" s="86">
        <v>300</v>
      </c>
      <c r="L207" s="83">
        <f t="shared" si="22"/>
        <v>1239</v>
      </c>
      <c r="M207" s="94">
        <v>600</v>
      </c>
      <c r="N207" s="83">
        <f>100</f>
        <v>100</v>
      </c>
      <c r="O207" s="86">
        <v>240</v>
      </c>
      <c r="P207" s="86">
        <v>160</v>
      </c>
      <c r="Q207" s="86">
        <f t="shared" si="23"/>
        <v>195</v>
      </c>
      <c r="R207" s="86">
        <f t="shared" si="24"/>
        <v>100</v>
      </c>
      <c r="S207" s="83">
        <f t="shared" si="25"/>
        <v>695</v>
      </c>
      <c r="T207" s="83">
        <f>50</f>
        <v>50</v>
      </c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</row>
    <row r="208" spans="1:30" ht="15.75" x14ac:dyDescent="0.25">
      <c r="A208" s="13">
        <v>47239</v>
      </c>
      <c r="B208" s="97">
        <v>31</v>
      </c>
      <c r="C208" s="83">
        <f>194.205</f>
        <v>194.20500000000001</v>
      </c>
      <c r="D208" s="83">
        <f>267.466</f>
        <v>267.46600000000001</v>
      </c>
      <c r="E208" s="92">
        <f>133.845</f>
        <v>133.845</v>
      </c>
      <c r="F208" s="83">
        <f>278.484-40-25-60-100</f>
        <v>53.48399999999998</v>
      </c>
      <c r="G208" s="86">
        <v>40</v>
      </c>
      <c r="H208" s="83">
        <f t="shared" si="31"/>
        <v>185</v>
      </c>
      <c r="I208" s="83">
        <f t="shared" si="28"/>
        <v>0</v>
      </c>
      <c r="J208" s="86">
        <v>100</v>
      </c>
      <c r="K208" s="86">
        <v>300</v>
      </c>
      <c r="L208" s="83">
        <f t="shared" si="22"/>
        <v>1274</v>
      </c>
      <c r="M208" s="94">
        <v>600</v>
      </c>
      <c r="N208" s="83">
        <f>75</f>
        <v>75</v>
      </c>
      <c r="O208" s="86">
        <v>240</v>
      </c>
      <c r="P208" s="86">
        <v>160</v>
      </c>
      <c r="Q208" s="86">
        <f t="shared" si="23"/>
        <v>195</v>
      </c>
      <c r="R208" s="86">
        <f t="shared" si="24"/>
        <v>100</v>
      </c>
      <c r="S208" s="83">
        <f t="shared" si="25"/>
        <v>695</v>
      </c>
      <c r="T208" s="83">
        <f>50</f>
        <v>50</v>
      </c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</row>
    <row r="209" spans="1:30" ht="15.75" x14ac:dyDescent="0.25">
      <c r="A209" s="13">
        <v>47270</v>
      </c>
      <c r="B209" s="97">
        <v>30</v>
      </c>
      <c r="C209" s="83">
        <f>194.205</f>
        <v>194.20500000000001</v>
      </c>
      <c r="D209" s="83">
        <f>267.466</f>
        <v>267.46600000000001</v>
      </c>
      <c r="E209" s="92">
        <f>133.845</f>
        <v>133.845</v>
      </c>
      <c r="F209" s="83">
        <f>278.484-40-25-60-100</f>
        <v>53.48399999999998</v>
      </c>
      <c r="G209" s="86">
        <v>40</v>
      </c>
      <c r="H209" s="83">
        <f t="shared" si="31"/>
        <v>185</v>
      </c>
      <c r="I209" s="83">
        <f t="shared" si="28"/>
        <v>0</v>
      </c>
      <c r="J209" s="86">
        <v>100</v>
      </c>
      <c r="K209" s="86">
        <v>300</v>
      </c>
      <c r="L209" s="83">
        <f t="shared" si="22"/>
        <v>1274</v>
      </c>
      <c r="M209" s="94">
        <v>600</v>
      </c>
      <c r="N209" s="83">
        <f>30</f>
        <v>30</v>
      </c>
      <c r="O209" s="86">
        <v>240</v>
      </c>
      <c r="P209" s="86">
        <v>160</v>
      </c>
      <c r="Q209" s="86">
        <f t="shared" si="23"/>
        <v>195</v>
      </c>
      <c r="R209" s="86">
        <f t="shared" si="24"/>
        <v>100</v>
      </c>
      <c r="S209" s="83">
        <f t="shared" si="25"/>
        <v>695</v>
      </c>
      <c r="T209" s="83">
        <f>50</f>
        <v>50</v>
      </c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</row>
    <row r="210" spans="1:30" ht="15.75" x14ac:dyDescent="0.25">
      <c r="A210" s="13">
        <v>47300</v>
      </c>
      <c r="B210" s="97">
        <v>31</v>
      </c>
      <c r="C210" s="83">
        <f>194.205</f>
        <v>194.20500000000001</v>
      </c>
      <c r="D210" s="83">
        <f>267.466</f>
        <v>267.46600000000001</v>
      </c>
      <c r="E210" s="92">
        <f>133.845</f>
        <v>133.845</v>
      </c>
      <c r="F210" s="83">
        <f>278.484-40-25-60-100</f>
        <v>53.48399999999998</v>
      </c>
      <c r="G210" s="86">
        <v>40</v>
      </c>
      <c r="H210" s="83">
        <f t="shared" si="31"/>
        <v>185</v>
      </c>
      <c r="I210" s="83">
        <f t="shared" si="28"/>
        <v>0</v>
      </c>
      <c r="J210" s="86">
        <v>100</v>
      </c>
      <c r="K210" s="86">
        <v>300</v>
      </c>
      <c r="L210" s="83">
        <f t="shared" si="22"/>
        <v>1274</v>
      </c>
      <c r="M210" s="94">
        <v>600</v>
      </c>
      <c r="N210" s="83">
        <f>30</f>
        <v>30</v>
      </c>
      <c r="O210" s="86">
        <v>240</v>
      </c>
      <c r="P210" s="86">
        <v>160</v>
      </c>
      <c r="Q210" s="86">
        <f t="shared" si="23"/>
        <v>195</v>
      </c>
      <c r="R210" s="86">
        <f t="shared" si="24"/>
        <v>100</v>
      </c>
      <c r="S210" s="83">
        <f t="shared" si="25"/>
        <v>695</v>
      </c>
      <c r="T210" s="83">
        <f>0</f>
        <v>0</v>
      </c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</row>
    <row r="211" spans="1:30" ht="15.75" x14ac:dyDescent="0.25">
      <c r="A211" s="13">
        <v>47331</v>
      </c>
      <c r="B211" s="97">
        <v>31</v>
      </c>
      <c r="C211" s="83">
        <f>194.205</f>
        <v>194.20500000000001</v>
      </c>
      <c r="D211" s="83">
        <f>267.466</f>
        <v>267.46600000000001</v>
      </c>
      <c r="E211" s="92">
        <f>133.845</f>
        <v>133.845</v>
      </c>
      <c r="F211" s="83">
        <f>278.484-40-25-60-100</f>
        <v>53.48399999999998</v>
      </c>
      <c r="G211" s="86">
        <v>40</v>
      </c>
      <c r="H211" s="83">
        <f t="shared" si="31"/>
        <v>185</v>
      </c>
      <c r="I211" s="83">
        <f t="shared" si="28"/>
        <v>0</v>
      </c>
      <c r="J211" s="86">
        <v>100</v>
      </c>
      <c r="K211" s="86">
        <v>300</v>
      </c>
      <c r="L211" s="83">
        <f t="shared" si="22"/>
        <v>1274</v>
      </c>
      <c r="M211" s="94">
        <v>600</v>
      </c>
      <c r="N211" s="83">
        <f>30</f>
        <v>30</v>
      </c>
      <c r="O211" s="86">
        <v>240</v>
      </c>
      <c r="P211" s="86">
        <v>160</v>
      </c>
      <c r="Q211" s="86">
        <f t="shared" si="23"/>
        <v>195</v>
      </c>
      <c r="R211" s="86">
        <f t="shared" si="24"/>
        <v>100</v>
      </c>
      <c r="S211" s="83">
        <f t="shared" si="25"/>
        <v>695</v>
      </c>
      <c r="T211" s="83">
        <f>0</f>
        <v>0</v>
      </c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</row>
    <row r="212" spans="1:30" ht="15.75" x14ac:dyDescent="0.25">
      <c r="A212" s="13">
        <v>47362</v>
      </c>
      <c r="B212" s="97">
        <v>30</v>
      </c>
      <c r="C212" s="83">
        <f>194.205</f>
        <v>194.20500000000001</v>
      </c>
      <c r="D212" s="83">
        <f>267.466</f>
        <v>267.46600000000001</v>
      </c>
      <c r="E212" s="92">
        <f>133.845</f>
        <v>133.845</v>
      </c>
      <c r="F212" s="83">
        <f>278.484-40-25-60-100</f>
        <v>53.48399999999998</v>
      </c>
      <c r="G212" s="86">
        <v>40</v>
      </c>
      <c r="H212" s="83">
        <f t="shared" si="31"/>
        <v>185</v>
      </c>
      <c r="I212" s="83">
        <f t="shared" si="28"/>
        <v>0</v>
      </c>
      <c r="J212" s="86">
        <v>100</v>
      </c>
      <c r="K212" s="86">
        <v>300</v>
      </c>
      <c r="L212" s="83">
        <f t="shared" si="22"/>
        <v>1274</v>
      </c>
      <c r="M212" s="94">
        <v>600</v>
      </c>
      <c r="N212" s="83">
        <f>30</f>
        <v>30</v>
      </c>
      <c r="O212" s="86">
        <v>240</v>
      </c>
      <c r="P212" s="86">
        <v>160</v>
      </c>
      <c r="Q212" s="86">
        <f t="shared" si="23"/>
        <v>195</v>
      </c>
      <c r="R212" s="86">
        <f t="shared" si="24"/>
        <v>100</v>
      </c>
      <c r="S212" s="83">
        <f t="shared" si="25"/>
        <v>695</v>
      </c>
      <c r="T212" s="83">
        <f>0</f>
        <v>0</v>
      </c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</row>
    <row r="213" spans="1:30" ht="15.75" x14ac:dyDescent="0.25">
      <c r="A213" s="13">
        <v>47392</v>
      </c>
      <c r="B213" s="97">
        <v>31</v>
      </c>
      <c r="C213" s="83">
        <f>131.881</f>
        <v>131.881</v>
      </c>
      <c r="D213" s="83">
        <f>277.167</f>
        <v>277.16699999999997</v>
      </c>
      <c r="E213" s="92">
        <f>79.08</f>
        <v>79.08</v>
      </c>
      <c r="F213" s="83">
        <f>350.872-40-25-60-100</f>
        <v>125.87200000000001</v>
      </c>
      <c r="G213" s="86">
        <v>40</v>
      </c>
      <c r="H213" s="83">
        <f t="shared" si="31"/>
        <v>185</v>
      </c>
      <c r="I213" s="83">
        <f t="shared" si="28"/>
        <v>0</v>
      </c>
      <c r="J213" s="86">
        <v>100</v>
      </c>
      <c r="K213" s="86">
        <v>300</v>
      </c>
      <c r="L213" s="83">
        <f t="shared" ref="L213:L276" si="32">SUM(C213:K213)</f>
        <v>1239</v>
      </c>
      <c r="M213" s="94">
        <v>600</v>
      </c>
      <c r="N213" s="83">
        <f>75</f>
        <v>75</v>
      </c>
      <c r="O213" s="86">
        <v>240</v>
      </c>
      <c r="P213" s="86">
        <v>160</v>
      </c>
      <c r="Q213" s="86">
        <f t="shared" ref="Q213:Q276" si="33">695-R213-O213-P213</f>
        <v>195</v>
      </c>
      <c r="R213" s="86">
        <f t="shared" ref="R213:R276" si="34">200-J213</f>
        <v>100</v>
      </c>
      <c r="S213" s="83">
        <f t="shared" ref="S213:S276" si="35">SUM(O213:R213)</f>
        <v>695</v>
      </c>
      <c r="T213" s="83">
        <f>0</f>
        <v>0</v>
      </c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</row>
    <row r="214" spans="1:30" ht="15.75" x14ac:dyDescent="0.25">
      <c r="A214" s="13">
        <v>47423</v>
      </c>
      <c r="B214" s="97">
        <v>30</v>
      </c>
      <c r="C214" s="83">
        <f>122.58</f>
        <v>122.58</v>
      </c>
      <c r="D214" s="83">
        <f>297.941</f>
        <v>297.94099999999997</v>
      </c>
      <c r="E214" s="92">
        <f>89.177</f>
        <v>89.177000000000007</v>
      </c>
      <c r="F214" s="83">
        <f>240.302-40-60-100</f>
        <v>40.301999999999992</v>
      </c>
      <c r="G214" s="86">
        <v>40</v>
      </c>
      <c r="H214" s="83">
        <f>60+100</f>
        <v>160</v>
      </c>
      <c r="I214" s="83">
        <f t="shared" si="28"/>
        <v>0</v>
      </c>
      <c r="J214" s="86">
        <v>100</v>
      </c>
      <c r="K214" s="86">
        <v>300</v>
      </c>
      <c r="L214" s="83">
        <f t="shared" si="32"/>
        <v>1150</v>
      </c>
      <c r="M214" s="94">
        <v>600</v>
      </c>
      <c r="N214" s="83">
        <f>100</f>
        <v>100</v>
      </c>
      <c r="O214" s="86">
        <v>240</v>
      </c>
      <c r="P214" s="86">
        <v>40</v>
      </c>
      <c r="Q214" s="86">
        <f t="shared" si="33"/>
        <v>315</v>
      </c>
      <c r="R214" s="86">
        <f t="shared" si="34"/>
        <v>100</v>
      </c>
      <c r="S214" s="83">
        <f t="shared" si="35"/>
        <v>695</v>
      </c>
      <c r="T214" s="83">
        <f>50</f>
        <v>50</v>
      </c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</row>
    <row r="215" spans="1:30" ht="15.75" x14ac:dyDescent="0.25">
      <c r="A215" s="13">
        <v>47453</v>
      </c>
      <c r="B215" s="97">
        <v>31</v>
      </c>
      <c r="C215" s="83">
        <f>122.58</f>
        <v>122.58</v>
      </c>
      <c r="D215" s="83">
        <f>297.941</f>
        <v>297.94099999999997</v>
      </c>
      <c r="E215" s="92">
        <f>89.177</f>
        <v>89.177000000000007</v>
      </c>
      <c r="F215" s="83">
        <f>240.302-40-60-100</f>
        <v>40.301999999999992</v>
      </c>
      <c r="G215" s="86">
        <v>40</v>
      </c>
      <c r="H215" s="83">
        <f>60+100</f>
        <v>160</v>
      </c>
      <c r="I215" s="83">
        <f t="shared" si="28"/>
        <v>0</v>
      </c>
      <c r="J215" s="86">
        <v>100</v>
      </c>
      <c r="K215" s="86">
        <v>300</v>
      </c>
      <c r="L215" s="83">
        <f t="shared" si="32"/>
        <v>1150</v>
      </c>
      <c r="M215" s="94">
        <v>600</v>
      </c>
      <c r="N215" s="83">
        <f>100</f>
        <v>100</v>
      </c>
      <c r="O215" s="86">
        <v>240</v>
      </c>
      <c r="P215" s="86">
        <v>40</v>
      </c>
      <c r="Q215" s="86">
        <f t="shared" si="33"/>
        <v>315</v>
      </c>
      <c r="R215" s="86">
        <f t="shared" si="34"/>
        <v>100</v>
      </c>
      <c r="S215" s="83">
        <f t="shared" si="35"/>
        <v>695</v>
      </c>
      <c r="T215" s="83">
        <f>50</f>
        <v>50</v>
      </c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</row>
    <row r="216" spans="1:30" ht="15.75" x14ac:dyDescent="0.25">
      <c r="A216" s="13">
        <v>47484</v>
      </c>
      <c r="B216" s="97">
        <v>31</v>
      </c>
      <c r="C216" s="83">
        <f>122.58</f>
        <v>122.58</v>
      </c>
      <c r="D216" s="83">
        <f>297.941</f>
        <v>297.94099999999997</v>
      </c>
      <c r="E216" s="92">
        <f>89.177</f>
        <v>89.177000000000007</v>
      </c>
      <c r="F216" s="83">
        <f>240.302-40-60-100</f>
        <v>40.301999999999992</v>
      </c>
      <c r="G216" s="86">
        <v>40</v>
      </c>
      <c r="H216" s="83">
        <f>60+100</f>
        <v>160</v>
      </c>
      <c r="I216" s="83">
        <f t="shared" si="28"/>
        <v>0</v>
      </c>
      <c r="J216" s="86">
        <v>100</v>
      </c>
      <c r="K216" s="86">
        <v>300</v>
      </c>
      <c r="L216" s="83">
        <f t="shared" si="32"/>
        <v>1150</v>
      </c>
      <c r="M216" s="94">
        <v>600</v>
      </c>
      <c r="N216" s="83">
        <f>100</f>
        <v>100</v>
      </c>
      <c r="O216" s="86">
        <v>240</v>
      </c>
      <c r="P216" s="86">
        <v>40</v>
      </c>
      <c r="Q216" s="86">
        <f t="shared" si="33"/>
        <v>315</v>
      </c>
      <c r="R216" s="86">
        <f t="shared" si="34"/>
        <v>100</v>
      </c>
      <c r="S216" s="83">
        <f t="shared" si="35"/>
        <v>695</v>
      </c>
      <c r="T216" s="83">
        <f>50</f>
        <v>50</v>
      </c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</row>
    <row r="217" spans="1:30" ht="15.75" x14ac:dyDescent="0.25">
      <c r="A217" s="13">
        <v>47515</v>
      </c>
      <c r="B217" s="97">
        <v>28</v>
      </c>
      <c r="C217" s="83">
        <f>122.58</f>
        <v>122.58</v>
      </c>
      <c r="D217" s="83">
        <f>297.941</f>
        <v>297.94099999999997</v>
      </c>
      <c r="E217" s="92">
        <f>89.177</f>
        <v>89.177000000000007</v>
      </c>
      <c r="F217" s="83">
        <f>240.302-40-60-100</f>
        <v>40.301999999999992</v>
      </c>
      <c r="G217" s="86">
        <v>40</v>
      </c>
      <c r="H217" s="83">
        <f>60+100</f>
        <v>160</v>
      </c>
      <c r="I217" s="83">
        <f t="shared" si="28"/>
        <v>0</v>
      </c>
      <c r="J217" s="86">
        <v>100</v>
      </c>
      <c r="K217" s="86">
        <v>300</v>
      </c>
      <c r="L217" s="83">
        <f t="shared" si="32"/>
        <v>1150</v>
      </c>
      <c r="M217" s="94">
        <v>600</v>
      </c>
      <c r="N217" s="83">
        <f>100</f>
        <v>100</v>
      </c>
      <c r="O217" s="86">
        <v>240</v>
      </c>
      <c r="P217" s="86">
        <v>40</v>
      </c>
      <c r="Q217" s="86">
        <f t="shared" si="33"/>
        <v>315</v>
      </c>
      <c r="R217" s="86">
        <f t="shared" si="34"/>
        <v>100</v>
      </c>
      <c r="S217" s="83">
        <f t="shared" si="35"/>
        <v>695</v>
      </c>
      <c r="T217" s="83">
        <f>50</f>
        <v>50</v>
      </c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</row>
    <row r="218" spans="1:30" ht="15.75" x14ac:dyDescent="0.25">
      <c r="A218" s="13">
        <v>47543</v>
      </c>
      <c r="B218" s="97">
        <v>31</v>
      </c>
      <c r="C218" s="83">
        <f>122.58</f>
        <v>122.58</v>
      </c>
      <c r="D218" s="83">
        <f>297.941</f>
        <v>297.94099999999997</v>
      </c>
      <c r="E218" s="92">
        <f>89.177</f>
        <v>89.177000000000007</v>
      </c>
      <c r="F218" s="83">
        <f>240.302-40-60-100</f>
        <v>40.301999999999992</v>
      </c>
      <c r="G218" s="86">
        <v>40</v>
      </c>
      <c r="H218" s="83">
        <f>60+100</f>
        <v>160</v>
      </c>
      <c r="I218" s="83">
        <f t="shared" si="28"/>
        <v>0</v>
      </c>
      <c r="J218" s="86">
        <v>100</v>
      </c>
      <c r="K218" s="86">
        <v>300</v>
      </c>
      <c r="L218" s="83">
        <f t="shared" si="32"/>
        <v>1150</v>
      </c>
      <c r="M218" s="94">
        <v>600</v>
      </c>
      <c r="N218" s="83">
        <f>100</f>
        <v>100</v>
      </c>
      <c r="O218" s="86">
        <v>240</v>
      </c>
      <c r="P218" s="86">
        <v>40</v>
      </c>
      <c r="Q218" s="86">
        <f t="shared" si="33"/>
        <v>315</v>
      </c>
      <c r="R218" s="86">
        <f t="shared" si="34"/>
        <v>100</v>
      </c>
      <c r="S218" s="83">
        <f t="shared" si="35"/>
        <v>695</v>
      </c>
      <c r="T218" s="83">
        <f>50</f>
        <v>50</v>
      </c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</row>
    <row r="219" spans="1:30" ht="15.75" x14ac:dyDescent="0.25">
      <c r="A219" s="13">
        <v>47574</v>
      </c>
      <c r="B219" s="97">
        <v>30</v>
      </c>
      <c r="C219" s="83">
        <f>141.293</f>
        <v>141.29300000000001</v>
      </c>
      <c r="D219" s="83">
        <f>267.993</f>
        <v>267.99299999999999</v>
      </c>
      <c r="E219" s="92">
        <f>115.016</f>
        <v>115.01600000000001</v>
      </c>
      <c r="F219" s="83">
        <f>314.698-40-25-60-100</f>
        <v>89.697999999999979</v>
      </c>
      <c r="G219" s="86">
        <v>40</v>
      </c>
      <c r="H219" s="83">
        <f t="shared" ref="H219:H225" si="36">25+60+100</f>
        <v>185</v>
      </c>
      <c r="I219" s="83">
        <f t="shared" si="28"/>
        <v>0</v>
      </c>
      <c r="J219" s="86">
        <v>100</v>
      </c>
      <c r="K219" s="86">
        <v>300</v>
      </c>
      <c r="L219" s="83">
        <f t="shared" si="32"/>
        <v>1239</v>
      </c>
      <c r="M219" s="94">
        <v>600</v>
      </c>
      <c r="N219" s="83">
        <f>100</f>
        <v>100</v>
      </c>
      <c r="O219" s="86">
        <v>240</v>
      </c>
      <c r="P219" s="86">
        <v>160</v>
      </c>
      <c r="Q219" s="86">
        <f t="shared" si="33"/>
        <v>195</v>
      </c>
      <c r="R219" s="86">
        <f t="shared" si="34"/>
        <v>100</v>
      </c>
      <c r="S219" s="83">
        <f t="shared" si="35"/>
        <v>695</v>
      </c>
      <c r="T219" s="83">
        <f>50</f>
        <v>50</v>
      </c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</row>
    <row r="220" spans="1:30" ht="15.75" x14ac:dyDescent="0.25">
      <c r="A220" s="13">
        <v>47604</v>
      </c>
      <c r="B220" s="97">
        <v>31</v>
      </c>
      <c r="C220" s="83">
        <f>194.205</f>
        <v>194.20500000000001</v>
      </c>
      <c r="D220" s="83">
        <f>267.466</f>
        <v>267.46600000000001</v>
      </c>
      <c r="E220" s="92">
        <f>133.845</f>
        <v>133.845</v>
      </c>
      <c r="F220" s="83">
        <f>278.484-40-25-60-100</f>
        <v>53.48399999999998</v>
      </c>
      <c r="G220" s="86">
        <v>40</v>
      </c>
      <c r="H220" s="83">
        <f t="shared" si="36"/>
        <v>185</v>
      </c>
      <c r="I220" s="83">
        <f t="shared" si="28"/>
        <v>0</v>
      </c>
      <c r="J220" s="86">
        <v>100</v>
      </c>
      <c r="K220" s="86">
        <v>300</v>
      </c>
      <c r="L220" s="83">
        <f t="shared" si="32"/>
        <v>1274</v>
      </c>
      <c r="M220" s="94">
        <v>600</v>
      </c>
      <c r="N220" s="83">
        <f>75</f>
        <v>75</v>
      </c>
      <c r="O220" s="86">
        <v>240</v>
      </c>
      <c r="P220" s="86">
        <v>160</v>
      </c>
      <c r="Q220" s="86">
        <f t="shared" si="33"/>
        <v>195</v>
      </c>
      <c r="R220" s="86">
        <f t="shared" si="34"/>
        <v>100</v>
      </c>
      <c r="S220" s="83">
        <f t="shared" si="35"/>
        <v>695</v>
      </c>
      <c r="T220" s="83">
        <f>50</f>
        <v>50</v>
      </c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</row>
    <row r="221" spans="1:30" ht="15.75" x14ac:dyDescent="0.25">
      <c r="A221" s="13">
        <v>47635</v>
      </c>
      <c r="B221" s="97">
        <v>30</v>
      </c>
      <c r="C221" s="83">
        <f>194.205</f>
        <v>194.20500000000001</v>
      </c>
      <c r="D221" s="83">
        <f>267.466</f>
        <v>267.46600000000001</v>
      </c>
      <c r="E221" s="92">
        <f>133.845</f>
        <v>133.845</v>
      </c>
      <c r="F221" s="83">
        <f>278.484-40-25-60-100</f>
        <v>53.48399999999998</v>
      </c>
      <c r="G221" s="86">
        <v>40</v>
      </c>
      <c r="H221" s="83">
        <f t="shared" si="36"/>
        <v>185</v>
      </c>
      <c r="I221" s="83">
        <f t="shared" si="28"/>
        <v>0</v>
      </c>
      <c r="J221" s="86">
        <v>100</v>
      </c>
      <c r="K221" s="86">
        <v>300</v>
      </c>
      <c r="L221" s="83">
        <f t="shared" si="32"/>
        <v>1274</v>
      </c>
      <c r="M221" s="94">
        <v>600</v>
      </c>
      <c r="N221" s="83">
        <f>30</f>
        <v>30</v>
      </c>
      <c r="O221" s="86">
        <v>240</v>
      </c>
      <c r="P221" s="86">
        <v>160</v>
      </c>
      <c r="Q221" s="86">
        <f t="shared" si="33"/>
        <v>195</v>
      </c>
      <c r="R221" s="86">
        <f t="shared" si="34"/>
        <v>100</v>
      </c>
      <c r="S221" s="83">
        <f t="shared" si="35"/>
        <v>695</v>
      </c>
      <c r="T221" s="83">
        <f>50</f>
        <v>50</v>
      </c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</row>
    <row r="222" spans="1:30" ht="15.75" x14ac:dyDescent="0.25">
      <c r="A222" s="13">
        <v>47665</v>
      </c>
      <c r="B222" s="97">
        <v>31</v>
      </c>
      <c r="C222" s="83">
        <f>194.205</f>
        <v>194.20500000000001</v>
      </c>
      <c r="D222" s="83">
        <f>267.466</f>
        <v>267.46600000000001</v>
      </c>
      <c r="E222" s="92">
        <f>133.845</f>
        <v>133.845</v>
      </c>
      <c r="F222" s="83">
        <f>278.484-40-25-60-100</f>
        <v>53.48399999999998</v>
      </c>
      <c r="G222" s="86">
        <v>40</v>
      </c>
      <c r="H222" s="83">
        <f t="shared" si="36"/>
        <v>185</v>
      </c>
      <c r="I222" s="83">
        <f t="shared" si="28"/>
        <v>0</v>
      </c>
      <c r="J222" s="86">
        <v>100</v>
      </c>
      <c r="K222" s="86">
        <v>300</v>
      </c>
      <c r="L222" s="83">
        <f t="shared" si="32"/>
        <v>1274</v>
      </c>
      <c r="M222" s="94">
        <v>600</v>
      </c>
      <c r="N222" s="83">
        <f>30</f>
        <v>30</v>
      </c>
      <c r="O222" s="86">
        <v>240</v>
      </c>
      <c r="P222" s="86">
        <v>160</v>
      </c>
      <c r="Q222" s="86">
        <f t="shared" si="33"/>
        <v>195</v>
      </c>
      <c r="R222" s="86">
        <f t="shared" si="34"/>
        <v>100</v>
      </c>
      <c r="S222" s="83">
        <f t="shared" si="35"/>
        <v>695</v>
      </c>
      <c r="T222" s="83">
        <f>0</f>
        <v>0</v>
      </c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</row>
    <row r="223" spans="1:30" ht="15.75" x14ac:dyDescent="0.25">
      <c r="A223" s="13">
        <v>47696</v>
      </c>
      <c r="B223" s="97">
        <v>31</v>
      </c>
      <c r="C223" s="83">
        <f>194.205</f>
        <v>194.20500000000001</v>
      </c>
      <c r="D223" s="83">
        <f>267.466</f>
        <v>267.46600000000001</v>
      </c>
      <c r="E223" s="92">
        <f>133.845</f>
        <v>133.845</v>
      </c>
      <c r="F223" s="83">
        <f>278.484-40-25-60-100</f>
        <v>53.48399999999998</v>
      </c>
      <c r="G223" s="86">
        <v>40</v>
      </c>
      <c r="H223" s="83">
        <f t="shared" si="36"/>
        <v>185</v>
      </c>
      <c r="I223" s="83">
        <f t="shared" si="28"/>
        <v>0</v>
      </c>
      <c r="J223" s="86">
        <v>100</v>
      </c>
      <c r="K223" s="86">
        <v>300</v>
      </c>
      <c r="L223" s="83">
        <f t="shared" si="32"/>
        <v>1274</v>
      </c>
      <c r="M223" s="94">
        <v>600</v>
      </c>
      <c r="N223" s="83">
        <f>30</f>
        <v>30</v>
      </c>
      <c r="O223" s="86">
        <v>240</v>
      </c>
      <c r="P223" s="86">
        <v>160</v>
      </c>
      <c r="Q223" s="86">
        <f t="shared" si="33"/>
        <v>195</v>
      </c>
      <c r="R223" s="86">
        <f t="shared" si="34"/>
        <v>100</v>
      </c>
      <c r="S223" s="83">
        <f t="shared" si="35"/>
        <v>695</v>
      </c>
      <c r="T223" s="83">
        <f>0</f>
        <v>0</v>
      </c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</row>
    <row r="224" spans="1:30" ht="15.75" x14ac:dyDescent="0.25">
      <c r="A224" s="13">
        <v>47727</v>
      </c>
      <c r="B224" s="97">
        <v>30</v>
      </c>
      <c r="C224" s="83">
        <f>194.205</f>
        <v>194.20500000000001</v>
      </c>
      <c r="D224" s="83">
        <f>267.466</f>
        <v>267.46600000000001</v>
      </c>
      <c r="E224" s="92">
        <f>133.845</f>
        <v>133.845</v>
      </c>
      <c r="F224" s="83">
        <f>278.484-40-25-60-100</f>
        <v>53.48399999999998</v>
      </c>
      <c r="G224" s="86">
        <v>40</v>
      </c>
      <c r="H224" s="83">
        <f t="shared" si="36"/>
        <v>185</v>
      </c>
      <c r="I224" s="83">
        <f t="shared" si="28"/>
        <v>0</v>
      </c>
      <c r="J224" s="86">
        <v>100</v>
      </c>
      <c r="K224" s="86">
        <v>300</v>
      </c>
      <c r="L224" s="83">
        <f t="shared" si="32"/>
        <v>1274</v>
      </c>
      <c r="M224" s="94">
        <v>600</v>
      </c>
      <c r="N224" s="83">
        <f>30</f>
        <v>30</v>
      </c>
      <c r="O224" s="86">
        <v>240</v>
      </c>
      <c r="P224" s="86">
        <v>160</v>
      </c>
      <c r="Q224" s="86">
        <f t="shared" si="33"/>
        <v>195</v>
      </c>
      <c r="R224" s="86">
        <f t="shared" si="34"/>
        <v>100</v>
      </c>
      <c r="S224" s="83">
        <f t="shared" si="35"/>
        <v>695</v>
      </c>
      <c r="T224" s="83">
        <f>0</f>
        <v>0</v>
      </c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</row>
    <row r="225" spans="1:30" ht="15.75" x14ac:dyDescent="0.25">
      <c r="A225" s="13">
        <v>47757</v>
      </c>
      <c r="B225" s="97">
        <v>31</v>
      </c>
      <c r="C225" s="83">
        <f>131.881</f>
        <v>131.881</v>
      </c>
      <c r="D225" s="83">
        <f>277.167</f>
        <v>277.16699999999997</v>
      </c>
      <c r="E225" s="92">
        <f>79.08</f>
        <v>79.08</v>
      </c>
      <c r="F225" s="83">
        <f>350.872-40-25-60-100</f>
        <v>125.87200000000001</v>
      </c>
      <c r="G225" s="86">
        <v>40</v>
      </c>
      <c r="H225" s="83">
        <f t="shared" si="36"/>
        <v>185</v>
      </c>
      <c r="I225" s="83">
        <f t="shared" si="28"/>
        <v>0</v>
      </c>
      <c r="J225" s="86">
        <v>100</v>
      </c>
      <c r="K225" s="86">
        <v>300</v>
      </c>
      <c r="L225" s="83">
        <f t="shared" si="32"/>
        <v>1239</v>
      </c>
      <c r="M225" s="94">
        <v>600</v>
      </c>
      <c r="N225" s="83">
        <f>75</f>
        <v>75</v>
      </c>
      <c r="O225" s="86">
        <v>240</v>
      </c>
      <c r="P225" s="86">
        <v>160</v>
      </c>
      <c r="Q225" s="86">
        <f t="shared" si="33"/>
        <v>195</v>
      </c>
      <c r="R225" s="86">
        <f t="shared" si="34"/>
        <v>100</v>
      </c>
      <c r="S225" s="83">
        <f t="shared" si="35"/>
        <v>695</v>
      </c>
      <c r="T225" s="83">
        <f>0</f>
        <v>0</v>
      </c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</row>
    <row r="226" spans="1:30" ht="15.75" x14ac:dyDescent="0.25">
      <c r="A226" s="13">
        <v>47788</v>
      </c>
      <c r="B226" s="97">
        <v>30</v>
      </c>
      <c r="C226" s="83">
        <f>122.58</f>
        <v>122.58</v>
      </c>
      <c r="D226" s="83">
        <f>297.941</f>
        <v>297.94099999999997</v>
      </c>
      <c r="E226" s="92">
        <f>89.177</f>
        <v>89.177000000000007</v>
      </c>
      <c r="F226" s="83">
        <f>240.302-40-60-100</f>
        <v>40.301999999999992</v>
      </c>
      <c r="G226" s="86">
        <v>40</v>
      </c>
      <c r="H226" s="83">
        <f>60+100</f>
        <v>160</v>
      </c>
      <c r="I226" s="83">
        <f t="shared" si="28"/>
        <v>0</v>
      </c>
      <c r="J226" s="86">
        <v>100</v>
      </c>
      <c r="K226" s="86">
        <v>300</v>
      </c>
      <c r="L226" s="83">
        <f t="shared" si="32"/>
        <v>1150</v>
      </c>
      <c r="M226" s="94">
        <v>600</v>
      </c>
      <c r="N226" s="83">
        <f>100</f>
        <v>100</v>
      </c>
      <c r="O226" s="86">
        <v>240</v>
      </c>
      <c r="P226" s="86">
        <v>40</v>
      </c>
      <c r="Q226" s="86">
        <f t="shared" si="33"/>
        <v>315</v>
      </c>
      <c r="R226" s="86">
        <f t="shared" si="34"/>
        <v>100</v>
      </c>
      <c r="S226" s="83">
        <f t="shared" si="35"/>
        <v>695</v>
      </c>
      <c r="T226" s="83">
        <f>50</f>
        <v>50</v>
      </c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</row>
    <row r="227" spans="1:30" ht="15.75" x14ac:dyDescent="0.25">
      <c r="A227" s="13">
        <v>47818</v>
      </c>
      <c r="B227" s="97">
        <v>31</v>
      </c>
      <c r="C227" s="83">
        <f>122.58</f>
        <v>122.58</v>
      </c>
      <c r="D227" s="83">
        <f>297.941</f>
        <v>297.94099999999997</v>
      </c>
      <c r="E227" s="92">
        <f>89.177</f>
        <v>89.177000000000007</v>
      </c>
      <c r="F227" s="83">
        <f>240.302-40-60-100</f>
        <v>40.301999999999992</v>
      </c>
      <c r="G227" s="86">
        <v>40</v>
      </c>
      <c r="H227" s="83">
        <f>60+100</f>
        <v>160</v>
      </c>
      <c r="I227" s="83">
        <f t="shared" si="28"/>
        <v>0</v>
      </c>
      <c r="J227" s="86">
        <v>100</v>
      </c>
      <c r="K227" s="86">
        <v>300</v>
      </c>
      <c r="L227" s="83">
        <f t="shared" si="32"/>
        <v>1150</v>
      </c>
      <c r="M227" s="94">
        <v>600</v>
      </c>
      <c r="N227" s="83">
        <f>100</f>
        <v>100</v>
      </c>
      <c r="O227" s="86">
        <v>240</v>
      </c>
      <c r="P227" s="86">
        <v>40</v>
      </c>
      <c r="Q227" s="86">
        <f t="shared" si="33"/>
        <v>315</v>
      </c>
      <c r="R227" s="86">
        <f t="shared" si="34"/>
        <v>100</v>
      </c>
      <c r="S227" s="83">
        <f t="shared" si="35"/>
        <v>695</v>
      </c>
      <c r="T227" s="83">
        <f>50</f>
        <v>50</v>
      </c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</row>
    <row r="228" spans="1:30" ht="15.75" x14ac:dyDescent="0.25">
      <c r="A228" s="13">
        <v>47849</v>
      </c>
      <c r="B228" s="97">
        <v>31</v>
      </c>
      <c r="C228" s="83">
        <f>122.58</f>
        <v>122.58</v>
      </c>
      <c r="D228" s="83">
        <f>297.941</f>
        <v>297.94099999999997</v>
      </c>
      <c r="E228" s="92">
        <f>89.177</f>
        <v>89.177000000000007</v>
      </c>
      <c r="F228" s="83">
        <f>240.302-40-60-100</f>
        <v>40.301999999999992</v>
      </c>
      <c r="G228" s="86">
        <v>40</v>
      </c>
      <c r="H228" s="83">
        <f>60+100</f>
        <v>160</v>
      </c>
      <c r="I228" s="83">
        <f t="shared" si="28"/>
        <v>0</v>
      </c>
      <c r="J228" s="86">
        <v>100</v>
      </c>
      <c r="K228" s="86">
        <v>300</v>
      </c>
      <c r="L228" s="83">
        <f t="shared" si="32"/>
        <v>1150</v>
      </c>
      <c r="M228" s="94">
        <v>600</v>
      </c>
      <c r="N228" s="83">
        <f>100</f>
        <v>100</v>
      </c>
      <c r="O228" s="86">
        <v>240</v>
      </c>
      <c r="P228" s="86">
        <v>40</v>
      </c>
      <c r="Q228" s="86">
        <f t="shared" si="33"/>
        <v>315</v>
      </c>
      <c r="R228" s="86">
        <f t="shared" si="34"/>
        <v>100</v>
      </c>
      <c r="S228" s="83">
        <f t="shared" si="35"/>
        <v>695</v>
      </c>
      <c r="T228" s="83">
        <f>50</f>
        <v>50</v>
      </c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</row>
    <row r="229" spans="1:30" ht="15.75" x14ac:dyDescent="0.25">
      <c r="A229" s="13">
        <v>47880</v>
      </c>
      <c r="B229" s="97">
        <v>28</v>
      </c>
      <c r="C229" s="83">
        <f>122.58</f>
        <v>122.58</v>
      </c>
      <c r="D229" s="83">
        <f>297.941</f>
        <v>297.94099999999997</v>
      </c>
      <c r="E229" s="92">
        <f>89.177</f>
        <v>89.177000000000007</v>
      </c>
      <c r="F229" s="83">
        <f>240.302-40-60-100</f>
        <v>40.301999999999992</v>
      </c>
      <c r="G229" s="86">
        <v>40</v>
      </c>
      <c r="H229" s="83">
        <f>60+100</f>
        <v>160</v>
      </c>
      <c r="I229" s="83">
        <f t="shared" si="28"/>
        <v>0</v>
      </c>
      <c r="J229" s="86">
        <v>100</v>
      </c>
      <c r="K229" s="86">
        <v>300</v>
      </c>
      <c r="L229" s="83">
        <f t="shared" si="32"/>
        <v>1150</v>
      </c>
      <c r="M229" s="94">
        <v>600</v>
      </c>
      <c r="N229" s="83">
        <f>100</f>
        <v>100</v>
      </c>
      <c r="O229" s="86">
        <v>240</v>
      </c>
      <c r="P229" s="86">
        <v>40</v>
      </c>
      <c r="Q229" s="86">
        <f t="shared" si="33"/>
        <v>315</v>
      </c>
      <c r="R229" s="86">
        <f t="shared" si="34"/>
        <v>100</v>
      </c>
      <c r="S229" s="83">
        <f t="shared" si="35"/>
        <v>695</v>
      </c>
      <c r="T229" s="83">
        <f>50</f>
        <v>50</v>
      </c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</row>
    <row r="230" spans="1:30" ht="15.75" x14ac:dyDescent="0.25">
      <c r="A230" s="13">
        <v>47908</v>
      </c>
      <c r="B230" s="97">
        <v>31</v>
      </c>
      <c r="C230" s="83">
        <f>122.58</f>
        <v>122.58</v>
      </c>
      <c r="D230" s="83">
        <f>297.941</f>
        <v>297.94099999999997</v>
      </c>
      <c r="E230" s="92">
        <f>89.177</f>
        <v>89.177000000000007</v>
      </c>
      <c r="F230" s="83">
        <f>240.302-40-60-100</f>
        <v>40.301999999999992</v>
      </c>
      <c r="G230" s="86">
        <v>40</v>
      </c>
      <c r="H230" s="83">
        <f>60+100</f>
        <v>160</v>
      </c>
      <c r="I230" s="83">
        <f t="shared" si="28"/>
        <v>0</v>
      </c>
      <c r="J230" s="86">
        <v>100</v>
      </c>
      <c r="K230" s="86">
        <v>300</v>
      </c>
      <c r="L230" s="83">
        <f t="shared" si="32"/>
        <v>1150</v>
      </c>
      <c r="M230" s="94">
        <v>600</v>
      </c>
      <c r="N230" s="83">
        <f>100</f>
        <v>100</v>
      </c>
      <c r="O230" s="86">
        <v>240</v>
      </c>
      <c r="P230" s="86">
        <v>40</v>
      </c>
      <c r="Q230" s="86">
        <f t="shared" si="33"/>
        <v>315</v>
      </c>
      <c r="R230" s="86">
        <f t="shared" si="34"/>
        <v>100</v>
      </c>
      <c r="S230" s="83">
        <f t="shared" si="35"/>
        <v>695</v>
      </c>
      <c r="T230" s="83">
        <f>50</f>
        <v>50</v>
      </c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</row>
    <row r="231" spans="1:30" ht="15.75" x14ac:dyDescent="0.25">
      <c r="A231" s="13">
        <v>47939</v>
      </c>
      <c r="B231" s="97">
        <v>30</v>
      </c>
      <c r="C231" s="83">
        <f>141.293</f>
        <v>141.29300000000001</v>
      </c>
      <c r="D231" s="83">
        <f>267.993</f>
        <v>267.99299999999999</v>
      </c>
      <c r="E231" s="92">
        <f>115.016</f>
        <v>115.01600000000001</v>
      </c>
      <c r="F231" s="83">
        <f>314.698-40-25-60-100</f>
        <v>89.697999999999979</v>
      </c>
      <c r="G231" s="86">
        <v>40</v>
      </c>
      <c r="H231" s="83">
        <f t="shared" ref="H231:H237" si="37">25+60+100</f>
        <v>185</v>
      </c>
      <c r="I231" s="83">
        <f t="shared" si="28"/>
        <v>0</v>
      </c>
      <c r="J231" s="86">
        <v>100</v>
      </c>
      <c r="K231" s="86">
        <v>300</v>
      </c>
      <c r="L231" s="83">
        <f t="shared" si="32"/>
        <v>1239</v>
      </c>
      <c r="M231" s="94">
        <v>600</v>
      </c>
      <c r="N231" s="83">
        <f>100</f>
        <v>100</v>
      </c>
      <c r="O231" s="86">
        <v>240</v>
      </c>
      <c r="P231" s="86">
        <v>160</v>
      </c>
      <c r="Q231" s="86">
        <f t="shared" si="33"/>
        <v>195</v>
      </c>
      <c r="R231" s="86">
        <f t="shared" si="34"/>
        <v>100</v>
      </c>
      <c r="S231" s="83">
        <f t="shared" si="35"/>
        <v>695</v>
      </c>
      <c r="T231" s="83">
        <f>50</f>
        <v>50</v>
      </c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</row>
    <row r="232" spans="1:30" ht="15.75" x14ac:dyDescent="0.25">
      <c r="A232" s="13">
        <v>47969</v>
      </c>
      <c r="B232" s="97">
        <v>31</v>
      </c>
      <c r="C232" s="83">
        <f>194.205</f>
        <v>194.20500000000001</v>
      </c>
      <c r="D232" s="83">
        <f>267.466</f>
        <v>267.46600000000001</v>
      </c>
      <c r="E232" s="92">
        <f>133.845</f>
        <v>133.845</v>
      </c>
      <c r="F232" s="83">
        <f>278.484-40-25-60-100</f>
        <v>53.48399999999998</v>
      </c>
      <c r="G232" s="86">
        <v>40</v>
      </c>
      <c r="H232" s="83">
        <f t="shared" si="37"/>
        <v>185</v>
      </c>
      <c r="I232" s="83">
        <f t="shared" si="28"/>
        <v>0</v>
      </c>
      <c r="J232" s="86">
        <v>100</v>
      </c>
      <c r="K232" s="86">
        <v>300</v>
      </c>
      <c r="L232" s="83">
        <f t="shared" si="32"/>
        <v>1274</v>
      </c>
      <c r="M232" s="94">
        <v>600</v>
      </c>
      <c r="N232" s="83">
        <f>75</f>
        <v>75</v>
      </c>
      <c r="O232" s="86">
        <v>240</v>
      </c>
      <c r="P232" s="86">
        <v>160</v>
      </c>
      <c r="Q232" s="86">
        <f t="shared" si="33"/>
        <v>195</v>
      </c>
      <c r="R232" s="86">
        <f t="shared" si="34"/>
        <v>100</v>
      </c>
      <c r="S232" s="83">
        <f t="shared" si="35"/>
        <v>695</v>
      </c>
      <c r="T232" s="83">
        <f>50</f>
        <v>50</v>
      </c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</row>
    <row r="233" spans="1:30" ht="15.75" x14ac:dyDescent="0.25">
      <c r="A233" s="13">
        <v>48000</v>
      </c>
      <c r="B233" s="97">
        <v>30</v>
      </c>
      <c r="C233" s="83">
        <f>194.205</f>
        <v>194.20500000000001</v>
      </c>
      <c r="D233" s="83">
        <f>267.466</f>
        <v>267.46600000000001</v>
      </c>
      <c r="E233" s="92">
        <f>133.845</f>
        <v>133.845</v>
      </c>
      <c r="F233" s="83">
        <f>278.484-40-25-60-100</f>
        <v>53.48399999999998</v>
      </c>
      <c r="G233" s="86">
        <v>40</v>
      </c>
      <c r="H233" s="83">
        <f t="shared" si="37"/>
        <v>185</v>
      </c>
      <c r="I233" s="83">
        <f t="shared" si="28"/>
        <v>0</v>
      </c>
      <c r="J233" s="86">
        <v>100</v>
      </c>
      <c r="K233" s="86">
        <v>300</v>
      </c>
      <c r="L233" s="83">
        <f t="shared" si="32"/>
        <v>1274</v>
      </c>
      <c r="M233" s="94">
        <v>600</v>
      </c>
      <c r="N233" s="83">
        <f>30</f>
        <v>30</v>
      </c>
      <c r="O233" s="86">
        <v>240</v>
      </c>
      <c r="P233" s="86">
        <v>160</v>
      </c>
      <c r="Q233" s="86">
        <f t="shared" si="33"/>
        <v>195</v>
      </c>
      <c r="R233" s="86">
        <f t="shared" si="34"/>
        <v>100</v>
      </c>
      <c r="S233" s="83">
        <f t="shared" si="35"/>
        <v>695</v>
      </c>
      <c r="T233" s="83">
        <f>50</f>
        <v>50</v>
      </c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</row>
    <row r="234" spans="1:30" ht="15.75" x14ac:dyDescent="0.25">
      <c r="A234" s="13">
        <v>48030</v>
      </c>
      <c r="B234" s="97">
        <v>31</v>
      </c>
      <c r="C234" s="83">
        <f>194.205</f>
        <v>194.20500000000001</v>
      </c>
      <c r="D234" s="83">
        <f>267.466</f>
        <v>267.46600000000001</v>
      </c>
      <c r="E234" s="92">
        <f>133.845</f>
        <v>133.845</v>
      </c>
      <c r="F234" s="83">
        <f>278.484-40-25-60-100</f>
        <v>53.48399999999998</v>
      </c>
      <c r="G234" s="86">
        <v>40</v>
      </c>
      <c r="H234" s="83">
        <f t="shared" si="37"/>
        <v>185</v>
      </c>
      <c r="I234" s="83">
        <f t="shared" si="28"/>
        <v>0</v>
      </c>
      <c r="J234" s="86">
        <v>100</v>
      </c>
      <c r="K234" s="86">
        <v>300</v>
      </c>
      <c r="L234" s="83">
        <f t="shared" si="32"/>
        <v>1274</v>
      </c>
      <c r="M234" s="94">
        <v>600</v>
      </c>
      <c r="N234" s="83">
        <f>30</f>
        <v>30</v>
      </c>
      <c r="O234" s="86">
        <v>240</v>
      </c>
      <c r="P234" s="86">
        <v>160</v>
      </c>
      <c r="Q234" s="86">
        <f t="shared" si="33"/>
        <v>195</v>
      </c>
      <c r="R234" s="86">
        <f t="shared" si="34"/>
        <v>100</v>
      </c>
      <c r="S234" s="83">
        <f t="shared" si="35"/>
        <v>695</v>
      </c>
      <c r="T234" s="83">
        <f>0</f>
        <v>0</v>
      </c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</row>
    <row r="235" spans="1:30" ht="15.75" x14ac:dyDescent="0.25">
      <c r="A235" s="13">
        <v>48061</v>
      </c>
      <c r="B235" s="97">
        <v>31</v>
      </c>
      <c r="C235" s="83">
        <f>194.205</f>
        <v>194.20500000000001</v>
      </c>
      <c r="D235" s="83">
        <f>267.466</f>
        <v>267.46600000000001</v>
      </c>
      <c r="E235" s="92">
        <f>133.845</f>
        <v>133.845</v>
      </c>
      <c r="F235" s="83">
        <f>278.484-40-25-60-100</f>
        <v>53.48399999999998</v>
      </c>
      <c r="G235" s="86">
        <v>40</v>
      </c>
      <c r="H235" s="83">
        <f t="shared" si="37"/>
        <v>185</v>
      </c>
      <c r="I235" s="83">
        <f t="shared" si="28"/>
        <v>0</v>
      </c>
      <c r="J235" s="86">
        <v>100</v>
      </c>
      <c r="K235" s="86">
        <v>300</v>
      </c>
      <c r="L235" s="83">
        <f t="shared" si="32"/>
        <v>1274</v>
      </c>
      <c r="M235" s="94">
        <v>600</v>
      </c>
      <c r="N235" s="83">
        <f>30</f>
        <v>30</v>
      </c>
      <c r="O235" s="86">
        <v>240</v>
      </c>
      <c r="P235" s="86">
        <v>160</v>
      </c>
      <c r="Q235" s="86">
        <f t="shared" si="33"/>
        <v>195</v>
      </c>
      <c r="R235" s="86">
        <f t="shared" si="34"/>
        <v>100</v>
      </c>
      <c r="S235" s="83">
        <f t="shared" si="35"/>
        <v>695</v>
      </c>
      <c r="T235" s="83">
        <f>0</f>
        <v>0</v>
      </c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</row>
    <row r="236" spans="1:30" ht="15.75" x14ac:dyDescent="0.25">
      <c r="A236" s="13">
        <v>48092</v>
      </c>
      <c r="B236" s="97">
        <v>30</v>
      </c>
      <c r="C236" s="83">
        <f>194.205</f>
        <v>194.20500000000001</v>
      </c>
      <c r="D236" s="83">
        <f>267.466</f>
        <v>267.46600000000001</v>
      </c>
      <c r="E236" s="92">
        <f>133.845</f>
        <v>133.845</v>
      </c>
      <c r="F236" s="83">
        <f>278.484-40-25-60-100</f>
        <v>53.48399999999998</v>
      </c>
      <c r="G236" s="86">
        <v>40</v>
      </c>
      <c r="H236" s="83">
        <f t="shared" si="37"/>
        <v>185</v>
      </c>
      <c r="I236" s="83">
        <f t="shared" si="28"/>
        <v>0</v>
      </c>
      <c r="J236" s="86">
        <v>100</v>
      </c>
      <c r="K236" s="86">
        <v>300</v>
      </c>
      <c r="L236" s="83">
        <f t="shared" si="32"/>
        <v>1274</v>
      </c>
      <c r="M236" s="94">
        <v>600</v>
      </c>
      <c r="N236" s="83">
        <f>30</f>
        <v>30</v>
      </c>
      <c r="O236" s="86">
        <v>240</v>
      </c>
      <c r="P236" s="86">
        <v>160</v>
      </c>
      <c r="Q236" s="86">
        <f t="shared" si="33"/>
        <v>195</v>
      </c>
      <c r="R236" s="86">
        <f t="shared" si="34"/>
        <v>100</v>
      </c>
      <c r="S236" s="83">
        <f t="shared" si="35"/>
        <v>695</v>
      </c>
      <c r="T236" s="83">
        <f>0</f>
        <v>0</v>
      </c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</row>
    <row r="237" spans="1:30" ht="15.75" x14ac:dyDescent="0.25">
      <c r="A237" s="13">
        <v>48122</v>
      </c>
      <c r="B237" s="97">
        <v>31</v>
      </c>
      <c r="C237" s="83">
        <f>131.881</f>
        <v>131.881</v>
      </c>
      <c r="D237" s="83">
        <f>277.167</f>
        <v>277.16699999999997</v>
      </c>
      <c r="E237" s="92">
        <f>79.08</f>
        <v>79.08</v>
      </c>
      <c r="F237" s="83">
        <f>350.872-40-25-60-100</f>
        <v>125.87200000000001</v>
      </c>
      <c r="G237" s="86">
        <v>40</v>
      </c>
      <c r="H237" s="83">
        <f t="shared" si="37"/>
        <v>185</v>
      </c>
      <c r="I237" s="83">
        <f t="shared" si="28"/>
        <v>0</v>
      </c>
      <c r="J237" s="86">
        <v>100</v>
      </c>
      <c r="K237" s="86">
        <v>300</v>
      </c>
      <c r="L237" s="83">
        <f t="shared" si="32"/>
        <v>1239</v>
      </c>
      <c r="M237" s="94">
        <v>600</v>
      </c>
      <c r="N237" s="83">
        <f>75</f>
        <v>75</v>
      </c>
      <c r="O237" s="86">
        <v>240</v>
      </c>
      <c r="P237" s="86">
        <v>160</v>
      </c>
      <c r="Q237" s="86">
        <f t="shared" si="33"/>
        <v>195</v>
      </c>
      <c r="R237" s="86">
        <f t="shared" si="34"/>
        <v>100</v>
      </c>
      <c r="S237" s="83">
        <f t="shared" si="35"/>
        <v>695</v>
      </c>
      <c r="T237" s="83">
        <f>0</f>
        <v>0</v>
      </c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</row>
    <row r="238" spans="1:30" ht="15.75" x14ac:dyDescent="0.25">
      <c r="A238" s="13">
        <v>48153</v>
      </c>
      <c r="B238" s="97">
        <v>30</v>
      </c>
      <c r="C238" s="83">
        <f>122.58</f>
        <v>122.58</v>
      </c>
      <c r="D238" s="83">
        <f>297.941</f>
        <v>297.94099999999997</v>
      </c>
      <c r="E238" s="92">
        <f>89.177</f>
        <v>89.177000000000007</v>
      </c>
      <c r="F238" s="83">
        <f>240.302-40-60-100</f>
        <v>40.301999999999992</v>
      </c>
      <c r="G238" s="86">
        <v>40</v>
      </c>
      <c r="H238" s="83">
        <f>60+100</f>
        <v>160</v>
      </c>
      <c r="I238" s="83">
        <f t="shared" si="28"/>
        <v>0</v>
      </c>
      <c r="J238" s="86">
        <v>100</v>
      </c>
      <c r="K238" s="86">
        <v>300</v>
      </c>
      <c r="L238" s="83">
        <f t="shared" si="32"/>
        <v>1150</v>
      </c>
      <c r="M238" s="94">
        <v>600</v>
      </c>
      <c r="N238" s="83">
        <f>100</f>
        <v>100</v>
      </c>
      <c r="O238" s="86">
        <v>240</v>
      </c>
      <c r="P238" s="86">
        <v>40</v>
      </c>
      <c r="Q238" s="86">
        <f t="shared" si="33"/>
        <v>315</v>
      </c>
      <c r="R238" s="86">
        <f t="shared" si="34"/>
        <v>100</v>
      </c>
      <c r="S238" s="83">
        <f t="shared" si="35"/>
        <v>695</v>
      </c>
      <c r="T238" s="83">
        <f>50</f>
        <v>50</v>
      </c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</row>
    <row r="239" spans="1:30" ht="15.75" x14ac:dyDescent="0.25">
      <c r="A239" s="13">
        <v>48183</v>
      </c>
      <c r="B239" s="97">
        <v>31</v>
      </c>
      <c r="C239" s="83">
        <f>122.58</f>
        <v>122.58</v>
      </c>
      <c r="D239" s="83">
        <f>297.941</f>
        <v>297.94099999999997</v>
      </c>
      <c r="E239" s="92">
        <f>89.177</f>
        <v>89.177000000000007</v>
      </c>
      <c r="F239" s="83">
        <f>240.302-40-60-100</f>
        <v>40.301999999999992</v>
      </c>
      <c r="G239" s="86">
        <v>40</v>
      </c>
      <c r="H239" s="83">
        <f>60+100</f>
        <v>160</v>
      </c>
      <c r="I239" s="83">
        <f t="shared" si="28"/>
        <v>0</v>
      </c>
      <c r="J239" s="86">
        <v>100</v>
      </c>
      <c r="K239" s="86">
        <v>300</v>
      </c>
      <c r="L239" s="83">
        <f t="shared" si="32"/>
        <v>1150</v>
      </c>
      <c r="M239" s="94">
        <v>600</v>
      </c>
      <c r="N239" s="83">
        <f>100</f>
        <v>100</v>
      </c>
      <c r="O239" s="86">
        <v>240</v>
      </c>
      <c r="P239" s="86">
        <v>40</v>
      </c>
      <c r="Q239" s="86">
        <f t="shared" si="33"/>
        <v>315</v>
      </c>
      <c r="R239" s="86">
        <f t="shared" si="34"/>
        <v>100</v>
      </c>
      <c r="S239" s="83">
        <f t="shared" si="35"/>
        <v>695</v>
      </c>
      <c r="T239" s="83">
        <f>50</f>
        <v>50</v>
      </c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</row>
    <row r="240" spans="1:30" ht="15.75" x14ac:dyDescent="0.25">
      <c r="A240" s="13">
        <v>48214</v>
      </c>
      <c r="B240" s="97">
        <v>31</v>
      </c>
      <c r="C240" s="83">
        <f>122.58</f>
        <v>122.58</v>
      </c>
      <c r="D240" s="83">
        <f>297.941</f>
        <v>297.94099999999997</v>
      </c>
      <c r="E240" s="92">
        <f>89.177</f>
        <v>89.177000000000007</v>
      </c>
      <c r="F240" s="83">
        <f>240.302-40-60-100</f>
        <v>40.301999999999992</v>
      </c>
      <c r="G240" s="86">
        <v>40</v>
      </c>
      <c r="H240" s="83">
        <f>60+100</f>
        <v>160</v>
      </c>
      <c r="I240" s="83">
        <f t="shared" si="28"/>
        <v>0</v>
      </c>
      <c r="J240" s="86">
        <v>100</v>
      </c>
      <c r="K240" s="86">
        <v>300</v>
      </c>
      <c r="L240" s="83">
        <f t="shared" si="32"/>
        <v>1150</v>
      </c>
      <c r="M240" s="94">
        <v>600</v>
      </c>
      <c r="N240" s="83">
        <f>100</f>
        <v>100</v>
      </c>
      <c r="O240" s="86">
        <v>240</v>
      </c>
      <c r="P240" s="86">
        <v>40</v>
      </c>
      <c r="Q240" s="86">
        <f t="shared" si="33"/>
        <v>315</v>
      </c>
      <c r="R240" s="86">
        <f t="shared" si="34"/>
        <v>100</v>
      </c>
      <c r="S240" s="83">
        <f t="shared" si="35"/>
        <v>695</v>
      </c>
      <c r="T240" s="83">
        <f>50</f>
        <v>50</v>
      </c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</row>
    <row r="241" spans="1:30" ht="15.75" x14ac:dyDescent="0.25">
      <c r="A241" s="13">
        <v>48245</v>
      </c>
      <c r="B241" s="97">
        <v>29</v>
      </c>
      <c r="C241" s="83">
        <f>122.58</f>
        <v>122.58</v>
      </c>
      <c r="D241" s="83">
        <f>297.941</f>
        <v>297.94099999999997</v>
      </c>
      <c r="E241" s="92">
        <f>89.177</f>
        <v>89.177000000000007</v>
      </c>
      <c r="F241" s="83">
        <f>240.302-40-60-100</f>
        <v>40.301999999999992</v>
      </c>
      <c r="G241" s="86">
        <v>40</v>
      </c>
      <c r="H241" s="83">
        <f>60+100</f>
        <v>160</v>
      </c>
      <c r="I241" s="83">
        <f t="shared" si="28"/>
        <v>0</v>
      </c>
      <c r="J241" s="86">
        <v>100</v>
      </c>
      <c r="K241" s="86">
        <v>300</v>
      </c>
      <c r="L241" s="83">
        <f t="shared" si="32"/>
        <v>1150</v>
      </c>
      <c r="M241" s="94">
        <v>600</v>
      </c>
      <c r="N241" s="83">
        <f>100</f>
        <v>100</v>
      </c>
      <c r="O241" s="86">
        <v>240</v>
      </c>
      <c r="P241" s="86">
        <v>40</v>
      </c>
      <c r="Q241" s="86">
        <f t="shared" si="33"/>
        <v>315</v>
      </c>
      <c r="R241" s="86">
        <f t="shared" si="34"/>
        <v>100</v>
      </c>
      <c r="S241" s="83">
        <f t="shared" si="35"/>
        <v>695</v>
      </c>
      <c r="T241" s="83">
        <f>50</f>
        <v>50</v>
      </c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</row>
    <row r="242" spans="1:30" ht="15.75" x14ac:dyDescent="0.25">
      <c r="A242" s="13">
        <v>48274</v>
      </c>
      <c r="B242" s="97">
        <v>31</v>
      </c>
      <c r="C242" s="83">
        <f>122.58</f>
        <v>122.58</v>
      </c>
      <c r="D242" s="83">
        <f>297.941</f>
        <v>297.94099999999997</v>
      </c>
      <c r="E242" s="92">
        <f>89.177</f>
        <v>89.177000000000007</v>
      </c>
      <c r="F242" s="83">
        <f>240.302-40-60-100</f>
        <v>40.301999999999992</v>
      </c>
      <c r="G242" s="86">
        <v>40</v>
      </c>
      <c r="H242" s="83">
        <f>60+100</f>
        <v>160</v>
      </c>
      <c r="I242" s="83">
        <f t="shared" si="28"/>
        <v>0</v>
      </c>
      <c r="J242" s="86">
        <v>100</v>
      </c>
      <c r="K242" s="86">
        <v>300</v>
      </c>
      <c r="L242" s="83">
        <f t="shared" si="32"/>
        <v>1150</v>
      </c>
      <c r="M242" s="94">
        <v>600</v>
      </c>
      <c r="N242" s="83">
        <f>100</f>
        <v>100</v>
      </c>
      <c r="O242" s="86">
        <v>240</v>
      </c>
      <c r="P242" s="86">
        <v>40</v>
      </c>
      <c r="Q242" s="86">
        <f t="shared" si="33"/>
        <v>315</v>
      </c>
      <c r="R242" s="86">
        <f t="shared" si="34"/>
        <v>100</v>
      </c>
      <c r="S242" s="83">
        <f t="shared" si="35"/>
        <v>695</v>
      </c>
      <c r="T242" s="83">
        <f>50</f>
        <v>50</v>
      </c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</row>
    <row r="243" spans="1:30" ht="15.75" x14ac:dyDescent="0.25">
      <c r="A243" s="13">
        <v>48305</v>
      </c>
      <c r="B243" s="97">
        <v>30</v>
      </c>
      <c r="C243" s="83">
        <f>141.293</f>
        <v>141.29300000000001</v>
      </c>
      <c r="D243" s="83">
        <f>267.993</f>
        <v>267.99299999999999</v>
      </c>
      <c r="E243" s="92">
        <f>115.016</f>
        <v>115.01600000000001</v>
      </c>
      <c r="F243" s="83">
        <f>314.698-40-25-60-100</f>
        <v>89.697999999999979</v>
      </c>
      <c r="G243" s="86">
        <v>40</v>
      </c>
      <c r="H243" s="83">
        <f t="shared" ref="H243:H249" si="38">25+60+100</f>
        <v>185</v>
      </c>
      <c r="I243" s="83">
        <f t="shared" si="28"/>
        <v>0</v>
      </c>
      <c r="J243" s="86">
        <v>100</v>
      </c>
      <c r="K243" s="86">
        <v>300</v>
      </c>
      <c r="L243" s="83">
        <f t="shared" si="32"/>
        <v>1239</v>
      </c>
      <c r="M243" s="94">
        <v>600</v>
      </c>
      <c r="N243" s="83">
        <f>100</f>
        <v>100</v>
      </c>
      <c r="O243" s="86">
        <v>240</v>
      </c>
      <c r="P243" s="86">
        <v>160</v>
      </c>
      <c r="Q243" s="86">
        <f t="shared" si="33"/>
        <v>195</v>
      </c>
      <c r="R243" s="86">
        <f t="shared" si="34"/>
        <v>100</v>
      </c>
      <c r="S243" s="83">
        <f t="shared" si="35"/>
        <v>695</v>
      </c>
      <c r="T243" s="83">
        <f>50</f>
        <v>50</v>
      </c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</row>
    <row r="244" spans="1:30" ht="15.75" x14ac:dyDescent="0.25">
      <c r="A244" s="13">
        <v>48335</v>
      </c>
      <c r="B244" s="97">
        <v>31</v>
      </c>
      <c r="C244" s="83">
        <f>194.205</f>
        <v>194.20500000000001</v>
      </c>
      <c r="D244" s="83">
        <f>267.466</f>
        <v>267.46600000000001</v>
      </c>
      <c r="E244" s="92">
        <f>133.845</f>
        <v>133.845</v>
      </c>
      <c r="F244" s="83">
        <f>278.484-40-25-60-100</f>
        <v>53.48399999999998</v>
      </c>
      <c r="G244" s="86">
        <v>40</v>
      </c>
      <c r="H244" s="83">
        <f t="shared" si="38"/>
        <v>185</v>
      </c>
      <c r="I244" s="83">
        <f t="shared" ref="I244:I307" si="39">400-J244-K244</f>
        <v>0</v>
      </c>
      <c r="J244" s="86">
        <v>100</v>
      </c>
      <c r="K244" s="86">
        <v>300</v>
      </c>
      <c r="L244" s="83">
        <f t="shared" si="32"/>
        <v>1274</v>
      </c>
      <c r="M244" s="94">
        <v>600</v>
      </c>
      <c r="N244" s="83">
        <f>75</f>
        <v>75</v>
      </c>
      <c r="O244" s="86">
        <v>240</v>
      </c>
      <c r="P244" s="86">
        <v>160</v>
      </c>
      <c r="Q244" s="86">
        <f t="shared" si="33"/>
        <v>195</v>
      </c>
      <c r="R244" s="86">
        <f t="shared" si="34"/>
        <v>100</v>
      </c>
      <c r="S244" s="83">
        <f t="shared" si="35"/>
        <v>695</v>
      </c>
      <c r="T244" s="83">
        <f>50</f>
        <v>50</v>
      </c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</row>
    <row r="245" spans="1:30" ht="15.75" x14ac:dyDescent="0.25">
      <c r="A245" s="13">
        <v>48366</v>
      </c>
      <c r="B245" s="97">
        <v>30</v>
      </c>
      <c r="C245" s="83">
        <f>194.205</f>
        <v>194.20500000000001</v>
      </c>
      <c r="D245" s="83">
        <f>267.466</f>
        <v>267.46600000000001</v>
      </c>
      <c r="E245" s="92">
        <f>133.845</f>
        <v>133.845</v>
      </c>
      <c r="F245" s="83">
        <f>278.484-40-25-60-100</f>
        <v>53.48399999999998</v>
      </c>
      <c r="G245" s="86">
        <v>40</v>
      </c>
      <c r="H245" s="83">
        <f t="shared" si="38"/>
        <v>185</v>
      </c>
      <c r="I245" s="83">
        <f t="shared" si="39"/>
        <v>0</v>
      </c>
      <c r="J245" s="86">
        <v>100</v>
      </c>
      <c r="K245" s="86">
        <v>300</v>
      </c>
      <c r="L245" s="83">
        <f t="shared" si="32"/>
        <v>1274</v>
      </c>
      <c r="M245" s="94">
        <v>600</v>
      </c>
      <c r="N245" s="83">
        <f>30</f>
        <v>30</v>
      </c>
      <c r="O245" s="86">
        <v>240</v>
      </c>
      <c r="P245" s="86">
        <v>160</v>
      </c>
      <c r="Q245" s="86">
        <f t="shared" si="33"/>
        <v>195</v>
      </c>
      <c r="R245" s="86">
        <f t="shared" si="34"/>
        <v>100</v>
      </c>
      <c r="S245" s="83">
        <f t="shared" si="35"/>
        <v>695</v>
      </c>
      <c r="T245" s="83">
        <f>50</f>
        <v>50</v>
      </c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</row>
    <row r="246" spans="1:30" ht="15.75" x14ac:dyDescent="0.25">
      <c r="A246" s="13">
        <v>48396</v>
      </c>
      <c r="B246" s="97">
        <v>31</v>
      </c>
      <c r="C246" s="83">
        <f>194.205</f>
        <v>194.20500000000001</v>
      </c>
      <c r="D246" s="83">
        <f>267.466</f>
        <v>267.46600000000001</v>
      </c>
      <c r="E246" s="92">
        <f>133.845</f>
        <v>133.845</v>
      </c>
      <c r="F246" s="83">
        <f>278.484-40-25-60-100</f>
        <v>53.48399999999998</v>
      </c>
      <c r="G246" s="86">
        <v>40</v>
      </c>
      <c r="H246" s="83">
        <f t="shared" si="38"/>
        <v>185</v>
      </c>
      <c r="I246" s="83">
        <f t="shared" si="39"/>
        <v>0</v>
      </c>
      <c r="J246" s="86">
        <v>100</v>
      </c>
      <c r="K246" s="86">
        <v>300</v>
      </c>
      <c r="L246" s="83">
        <f t="shared" si="32"/>
        <v>1274</v>
      </c>
      <c r="M246" s="94">
        <v>600</v>
      </c>
      <c r="N246" s="83">
        <f>30</f>
        <v>30</v>
      </c>
      <c r="O246" s="86">
        <v>240</v>
      </c>
      <c r="P246" s="86">
        <v>160</v>
      </c>
      <c r="Q246" s="86">
        <f t="shared" si="33"/>
        <v>195</v>
      </c>
      <c r="R246" s="86">
        <f t="shared" si="34"/>
        <v>100</v>
      </c>
      <c r="S246" s="83">
        <f t="shared" si="35"/>
        <v>695</v>
      </c>
      <c r="T246" s="83">
        <f>0</f>
        <v>0</v>
      </c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</row>
    <row r="247" spans="1:30" ht="15.75" x14ac:dyDescent="0.25">
      <c r="A247" s="13">
        <v>48427</v>
      </c>
      <c r="B247" s="97">
        <v>31</v>
      </c>
      <c r="C247" s="83">
        <f>194.205</f>
        <v>194.20500000000001</v>
      </c>
      <c r="D247" s="83">
        <f>267.466</f>
        <v>267.46600000000001</v>
      </c>
      <c r="E247" s="92">
        <f>133.845</f>
        <v>133.845</v>
      </c>
      <c r="F247" s="83">
        <f>278.484-40-25-60-100</f>
        <v>53.48399999999998</v>
      </c>
      <c r="G247" s="86">
        <v>40</v>
      </c>
      <c r="H247" s="83">
        <f t="shared" si="38"/>
        <v>185</v>
      </c>
      <c r="I247" s="83">
        <f t="shared" si="39"/>
        <v>0</v>
      </c>
      <c r="J247" s="86">
        <v>100</v>
      </c>
      <c r="K247" s="86">
        <v>300</v>
      </c>
      <c r="L247" s="83">
        <f t="shared" si="32"/>
        <v>1274</v>
      </c>
      <c r="M247" s="94">
        <v>600</v>
      </c>
      <c r="N247" s="83">
        <f>30</f>
        <v>30</v>
      </c>
      <c r="O247" s="86">
        <v>240</v>
      </c>
      <c r="P247" s="86">
        <v>160</v>
      </c>
      <c r="Q247" s="86">
        <f t="shared" si="33"/>
        <v>195</v>
      </c>
      <c r="R247" s="86">
        <f t="shared" si="34"/>
        <v>100</v>
      </c>
      <c r="S247" s="83">
        <f t="shared" si="35"/>
        <v>695</v>
      </c>
      <c r="T247" s="83">
        <f>0</f>
        <v>0</v>
      </c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</row>
    <row r="248" spans="1:30" ht="15.75" x14ac:dyDescent="0.25">
      <c r="A248" s="13">
        <v>48458</v>
      </c>
      <c r="B248" s="97">
        <v>30</v>
      </c>
      <c r="C248" s="83">
        <f>194.205</f>
        <v>194.20500000000001</v>
      </c>
      <c r="D248" s="83">
        <f>267.466</f>
        <v>267.46600000000001</v>
      </c>
      <c r="E248" s="92">
        <f>133.845</f>
        <v>133.845</v>
      </c>
      <c r="F248" s="83">
        <f>278.484-40-25-60-100</f>
        <v>53.48399999999998</v>
      </c>
      <c r="G248" s="86">
        <v>40</v>
      </c>
      <c r="H248" s="83">
        <f t="shared" si="38"/>
        <v>185</v>
      </c>
      <c r="I248" s="83">
        <f t="shared" si="39"/>
        <v>0</v>
      </c>
      <c r="J248" s="86">
        <v>100</v>
      </c>
      <c r="K248" s="86">
        <v>300</v>
      </c>
      <c r="L248" s="83">
        <f t="shared" si="32"/>
        <v>1274</v>
      </c>
      <c r="M248" s="94">
        <v>600</v>
      </c>
      <c r="N248" s="83">
        <f>30</f>
        <v>30</v>
      </c>
      <c r="O248" s="86">
        <v>240</v>
      </c>
      <c r="P248" s="86">
        <v>160</v>
      </c>
      <c r="Q248" s="86">
        <f t="shared" si="33"/>
        <v>195</v>
      </c>
      <c r="R248" s="86">
        <f t="shared" si="34"/>
        <v>100</v>
      </c>
      <c r="S248" s="83">
        <f t="shared" si="35"/>
        <v>695</v>
      </c>
      <c r="T248" s="83">
        <f>0</f>
        <v>0</v>
      </c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</row>
    <row r="249" spans="1:30" ht="15.75" x14ac:dyDescent="0.25">
      <c r="A249" s="13">
        <v>48488</v>
      </c>
      <c r="B249" s="97">
        <v>31</v>
      </c>
      <c r="C249" s="83">
        <f>131.881</f>
        <v>131.881</v>
      </c>
      <c r="D249" s="83">
        <f>277.167</f>
        <v>277.16699999999997</v>
      </c>
      <c r="E249" s="92">
        <f>79.08</f>
        <v>79.08</v>
      </c>
      <c r="F249" s="83">
        <f>350.872-40-25-60-100</f>
        <v>125.87200000000001</v>
      </c>
      <c r="G249" s="86">
        <v>40</v>
      </c>
      <c r="H249" s="83">
        <f t="shared" si="38"/>
        <v>185</v>
      </c>
      <c r="I249" s="83">
        <f t="shared" si="39"/>
        <v>0</v>
      </c>
      <c r="J249" s="86">
        <v>100</v>
      </c>
      <c r="K249" s="86">
        <v>300</v>
      </c>
      <c r="L249" s="83">
        <f t="shared" si="32"/>
        <v>1239</v>
      </c>
      <c r="M249" s="94">
        <v>600</v>
      </c>
      <c r="N249" s="83">
        <f>75</f>
        <v>75</v>
      </c>
      <c r="O249" s="86">
        <v>240</v>
      </c>
      <c r="P249" s="86">
        <v>160</v>
      </c>
      <c r="Q249" s="86">
        <f t="shared" si="33"/>
        <v>195</v>
      </c>
      <c r="R249" s="86">
        <f t="shared" si="34"/>
        <v>100</v>
      </c>
      <c r="S249" s="83">
        <f t="shared" si="35"/>
        <v>695</v>
      </c>
      <c r="T249" s="83">
        <f>0</f>
        <v>0</v>
      </c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</row>
    <row r="250" spans="1:30" ht="15.75" x14ac:dyDescent="0.25">
      <c r="A250" s="13">
        <v>48519</v>
      </c>
      <c r="B250" s="97">
        <v>30</v>
      </c>
      <c r="C250" s="83">
        <f>122.58</f>
        <v>122.58</v>
      </c>
      <c r="D250" s="83">
        <f>297.941</f>
        <v>297.94099999999997</v>
      </c>
      <c r="E250" s="92">
        <f>89.177</f>
        <v>89.177000000000007</v>
      </c>
      <c r="F250" s="83">
        <f>240.302-40-60-100</f>
        <v>40.301999999999992</v>
      </c>
      <c r="G250" s="86">
        <v>40</v>
      </c>
      <c r="H250" s="83">
        <f>60+100</f>
        <v>160</v>
      </c>
      <c r="I250" s="83">
        <f t="shared" si="39"/>
        <v>0</v>
      </c>
      <c r="J250" s="86">
        <v>100</v>
      </c>
      <c r="K250" s="86">
        <v>300</v>
      </c>
      <c r="L250" s="83">
        <f t="shared" si="32"/>
        <v>1150</v>
      </c>
      <c r="M250" s="94">
        <v>600</v>
      </c>
      <c r="N250" s="83">
        <f>100</f>
        <v>100</v>
      </c>
      <c r="O250" s="86">
        <v>240</v>
      </c>
      <c r="P250" s="86">
        <v>40</v>
      </c>
      <c r="Q250" s="86">
        <f t="shared" si="33"/>
        <v>315</v>
      </c>
      <c r="R250" s="86">
        <f t="shared" si="34"/>
        <v>100</v>
      </c>
      <c r="S250" s="83">
        <f t="shared" si="35"/>
        <v>695</v>
      </c>
      <c r="T250" s="83">
        <f>50</f>
        <v>50</v>
      </c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</row>
    <row r="251" spans="1:30" ht="15.75" x14ac:dyDescent="0.25">
      <c r="A251" s="13">
        <v>48549</v>
      </c>
      <c r="B251" s="97">
        <v>31</v>
      </c>
      <c r="C251" s="83">
        <f>122.58</f>
        <v>122.58</v>
      </c>
      <c r="D251" s="83">
        <f>297.941</f>
        <v>297.94099999999997</v>
      </c>
      <c r="E251" s="92">
        <f>89.177</f>
        <v>89.177000000000007</v>
      </c>
      <c r="F251" s="83">
        <f>240.302-40-60-100</f>
        <v>40.301999999999992</v>
      </c>
      <c r="G251" s="86">
        <v>40</v>
      </c>
      <c r="H251" s="83">
        <f>60+100</f>
        <v>160</v>
      </c>
      <c r="I251" s="83">
        <f t="shared" si="39"/>
        <v>0</v>
      </c>
      <c r="J251" s="86">
        <v>100</v>
      </c>
      <c r="K251" s="86">
        <v>300</v>
      </c>
      <c r="L251" s="83">
        <f t="shared" si="32"/>
        <v>1150</v>
      </c>
      <c r="M251" s="94">
        <v>600</v>
      </c>
      <c r="N251" s="83">
        <f>100</f>
        <v>100</v>
      </c>
      <c r="O251" s="86">
        <v>240</v>
      </c>
      <c r="P251" s="86">
        <v>40</v>
      </c>
      <c r="Q251" s="86">
        <f t="shared" si="33"/>
        <v>315</v>
      </c>
      <c r="R251" s="86">
        <f t="shared" si="34"/>
        <v>100</v>
      </c>
      <c r="S251" s="83">
        <f t="shared" si="35"/>
        <v>695</v>
      </c>
      <c r="T251" s="83">
        <f>50</f>
        <v>50</v>
      </c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</row>
    <row r="252" spans="1:30" ht="15.75" x14ac:dyDescent="0.25">
      <c r="A252" s="13">
        <v>48580</v>
      </c>
      <c r="B252" s="97">
        <v>31</v>
      </c>
      <c r="C252" s="83">
        <f>122.58</f>
        <v>122.58</v>
      </c>
      <c r="D252" s="83">
        <f>297.941</f>
        <v>297.94099999999997</v>
      </c>
      <c r="E252" s="92">
        <f>89.177</f>
        <v>89.177000000000007</v>
      </c>
      <c r="F252" s="83">
        <f>240.302-40-60-100</f>
        <v>40.301999999999992</v>
      </c>
      <c r="G252" s="86">
        <v>40</v>
      </c>
      <c r="H252" s="83">
        <f>60+100</f>
        <v>160</v>
      </c>
      <c r="I252" s="83">
        <f t="shared" si="39"/>
        <v>0</v>
      </c>
      <c r="J252" s="86">
        <v>100</v>
      </c>
      <c r="K252" s="86">
        <v>300</v>
      </c>
      <c r="L252" s="83">
        <f t="shared" si="32"/>
        <v>1150</v>
      </c>
      <c r="M252" s="94">
        <v>600</v>
      </c>
      <c r="N252" s="83">
        <f>100</f>
        <v>100</v>
      </c>
      <c r="O252" s="86">
        <v>240</v>
      </c>
      <c r="P252" s="86">
        <v>40</v>
      </c>
      <c r="Q252" s="86">
        <f t="shared" si="33"/>
        <v>315</v>
      </c>
      <c r="R252" s="86">
        <f t="shared" si="34"/>
        <v>100</v>
      </c>
      <c r="S252" s="83">
        <f t="shared" si="35"/>
        <v>695</v>
      </c>
      <c r="T252" s="83">
        <f>50</f>
        <v>50</v>
      </c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</row>
    <row r="253" spans="1:30" ht="15.75" x14ac:dyDescent="0.25">
      <c r="A253" s="13">
        <v>48611</v>
      </c>
      <c r="B253" s="97">
        <v>28</v>
      </c>
      <c r="C253" s="83">
        <f>122.58</f>
        <v>122.58</v>
      </c>
      <c r="D253" s="83">
        <f>297.941</f>
        <v>297.94099999999997</v>
      </c>
      <c r="E253" s="92">
        <f>89.177</f>
        <v>89.177000000000007</v>
      </c>
      <c r="F253" s="83">
        <f>240.302-40-60-100</f>
        <v>40.301999999999992</v>
      </c>
      <c r="G253" s="86">
        <v>40</v>
      </c>
      <c r="H253" s="83">
        <f>60+100</f>
        <v>160</v>
      </c>
      <c r="I253" s="83">
        <f t="shared" si="39"/>
        <v>0</v>
      </c>
      <c r="J253" s="86">
        <v>100</v>
      </c>
      <c r="K253" s="86">
        <v>300</v>
      </c>
      <c r="L253" s="83">
        <f t="shared" si="32"/>
        <v>1150</v>
      </c>
      <c r="M253" s="94">
        <v>600</v>
      </c>
      <c r="N253" s="83">
        <f>100</f>
        <v>100</v>
      </c>
      <c r="O253" s="86">
        <v>240</v>
      </c>
      <c r="P253" s="86">
        <v>40</v>
      </c>
      <c r="Q253" s="86">
        <f t="shared" si="33"/>
        <v>315</v>
      </c>
      <c r="R253" s="86">
        <f t="shared" si="34"/>
        <v>100</v>
      </c>
      <c r="S253" s="83">
        <f t="shared" si="35"/>
        <v>695</v>
      </c>
      <c r="T253" s="83">
        <f>50</f>
        <v>50</v>
      </c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</row>
    <row r="254" spans="1:30" ht="15.75" x14ac:dyDescent="0.25">
      <c r="A254" s="13">
        <v>48639</v>
      </c>
      <c r="B254" s="97">
        <v>31</v>
      </c>
      <c r="C254" s="83">
        <f>122.58</f>
        <v>122.58</v>
      </c>
      <c r="D254" s="83">
        <f>297.941</f>
        <v>297.94099999999997</v>
      </c>
      <c r="E254" s="92">
        <f>89.177</f>
        <v>89.177000000000007</v>
      </c>
      <c r="F254" s="83">
        <f>240.302-40-60-100</f>
        <v>40.301999999999992</v>
      </c>
      <c r="G254" s="86">
        <v>40</v>
      </c>
      <c r="H254" s="83">
        <f>60+100</f>
        <v>160</v>
      </c>
      <c r="I254" s="83">
        <f t="shared" si="39"/>
        <v>0</v>
      </c>
      <c r="J254" s="86">
        <v>100</v>
      </c>
      <c r="K254" s="86">
        <v>300</v>
      </c>
      <c r="L254" s="83">
        <f t="shared" si="32"/>
        <v>1150</v>
      </c>
      <c r="M254" s="94">
        <v>600</v>
      </c>
      <c r="N254" s="83">
        <f>100</f>
        <v>100</v>
      </c>
      <c r="O254" s="86">
        <v>240</v>
      </c>
      <c r="P254" s="86">
        <v>40</v>
      </c>
      <c r="Q254" s="86">
        <f t="shared" si="33"/>
        <v>315</v>
      </c>
      <c r="R254" s="86">
        <f t="shared" si="34"/>
        <v>100</v>
      </c>
      <c r="S254" s="83">
        <f t="shared" si="35"/>
        <v>695</v>
      </c>
      <c r="T254" s="83">
        <f>50</f>
        <v>50</v>
      </c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</row>
    <row r="255" spans="1:30" ht="15.75" x14ac:dyDescent="0.25">
      <c r="A255" s="13">
        <v>48670</v>
      </c>
      <c r="B255" s="97">
        <v>30</v>
      </c>
      <c r="C255" s="83">
        <f>141.293</f>
        <v>141.29300000000001</v>
      </c>
      <c r="D255" s="83">
        <f>267.993</f>
        <v>267.99299999999999</v>
      </c>
      <c r="E255" s="92">
        <f>115.016</f>
        <v>115.01600000000001</v>
      </c>
      <c r="F255" s="83">
        <f>314.698-40-25-60-100</f>
        <v>89.697999999999979</v>
      </c>
      <c r="G255" s="86">
        <v>40</v>
      </c>
      <c r="H255" s="83">
        <f t="shared" ref="H255:H261" si="40">25+60+100</f>
        <v>185</v>
      </c>
      <c r="I255" s="83">
        <f t="shared" si="39"/>
        <v>0</v>
      </c>
      <c r="J255" s="86">
        <v>100</v>
      </c>
      <c r="K255" s="86">
        <v>300</v>
      </c>
      <c r="L255" s="83">
        <f t="shared" si="32"/>
        <v>1239</v>
      </c>
      <c r="M255" s="94">
        <v>600</v>
      </c>
      <c r="N255" s="83">
        <f>100</f>
        <v>100</v>
      </c>
      <c r="O255" s="86">
        <v>240</v>
      </c>
      <c r="P255" s="86">
        <v>160</v>
      </c>
      <c r="Q255" s="86">
        <f t="shared" si="33"/>
        <v>195</v>
      </c>
      <c r="R255" s="86">
        <f t="shared" si="34"/>
        <v>100</v>
      </c>
      <c r="S255" s="83">
        <f t="shared" si="35"/>
        <v>695</v>
      </c>
      <c r="T255" s="83">
        <f>50</f>
        <v>50</v>
      </c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</row>
    <row r="256" spans="1:30" ht="15.75" x14ac:dyDescent="0.25">
      <c r="A256" s="13">
        <v>48700</v>
      </c>
      <c r="B256" s="97">
        <v>31</v>
      </c>
      <c r="C256" s="83">
        <f>194.205</f>
        <v>194.20500000000001</v>
      </c>
      <c r="D256" s="83">
        <f>267.466</f>
        <v>267.46600000000001</v>
      </c>
      <c r="E256" s="92">
        <f>133.845</f>
        <v>133.845</v>
      </c>
      <c r="F256" s="83">
        <f>278.484-40-25-60-100</f>
        <v>53.48399999999998</v>
      </c>
      <c r="G256" s="86">
        <v>40</v>
      </c>
      <c r="H256" s="83">
        <f t="shared" si="40"/>
        <v>185</v>
      </c>
      <c r="I256" s="83">
        <f t="shared" si="39"/>
        <v>0</v>
      </c>
      <c r="J256" s="86">
        <v>100</v>
      </c>
      <c r="K256" s="86">
        <v>300</v>
      </c>
      <c r="L256" s="83">
        <f t="shared" si="32"/>
        <v>1274</v>
      </c>
      <c r="M256" s="94">
        <v>600</v>
      </c>
      <c r="N256" s="83">
        <f>75</f>
        <v>75</v>
      </c>
      <c r="O256" s="86">
        <v>240</v>
      </c>
      <c r="P256" s="86">
        <v>160</v>
      </c>
      <c r="Q256" s="86">
        <f t="shared" si="33"/>
        <v>195</v>
      </c>
      <c r="R256" s="86">
        <f t="shared" si="34"/>
        <v>100</v>
      </c>
      <c r="S256" s="83">
        <f t="shared" si="35"/>
        <v>695</v>
      </c>
      <c r="T256" s="83">
        <f>50</f>
        <v>50</v>
      </c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</row>
    <row r="257" spans="1:30" ht="15.75" x14ac:dyDescent="0.25">
      <c r="A257" s="13">
        <v>48731</v>
      </c>
      <c r="B257" s="97">
        <v>30</v>
      </c>
      <c r="C257" s="83">
        <f>194.205</f>
        <v>194.20500000000001</v>
      </c>
      <c r="D257" s="83">
        <f>267.466</f>
        <v>267.46600000000001</v>
      </c>
      <c r="E257" s="92">
        <f>133.845</f>
        <v>133.845</v>
      </c>
      <c r="F257" s="83">
        <f>278.484-40-25-60-100</f>
        <v>53.48399999999998</v>
      </c>
      <c r="G257" s="86">
        <v>40</v>
      </c>
      <c r="H257" s="83">
        <f t="shared" si="40"/>
        <v>185</v>
      </c>
      <c r="I257" s="83">
        <f t="shared" si="39"/>
        <v>0</v>
      </c>
      <c r="J257" s="86">
        <v>100</v>
      </c>
      <c r="K257" s="86">
        <v>300</v>
      </c>
      <c r="L257" s="83">
        <f t="shared" si="32"/>
        <v>1274</v>
      </c>
      <c r="M257" s="94">
        <v>600</v>
      </c>
      <c r="N257" s="83">
        <f>30</f>
        <v>30</v>
      </c>
      <c r="O257" s="86">
        <v>240</v>
      </c>
      <c r="P257" s="86">
        <v>160</v>
      </c>
      <c r="Q257" s="86">
        <f t="shared" si="33"/>
        <v>195</v>
      </c>
      <c r="R257" s="86">
        <f t="shared" si="34"/>
        <v>100</v>
      </c>
      <c r="S257" s="83">
        <f t="shared" si="35"/>
        <v>695</v>
      </c>
      <c r="T257" s="83">
        <f>50</f>
        <v>50</v>
      </c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</row>
    <row r="258" spans="1:30" ht="15.75" x14ac:dyDescent="0.25">
      <c r="A258" s="13">
        <v>48761</v>
      </c>
      <c r="B258" s="97">
        <v>31</v>
      </c>
      <c r="C258" s="83">
        <f>194.205</f>
        <v>194.20500000000001</v>
      </c>
      <c r="D258" s="83">
        <f>267.466</f>
        <v>267.46600000000001</v>
      </c>
      <c r="E258" s="92">
        <f>133.845</f>
        <v>133.845</v>
      </c>
      <c r="F258" s="83">
        <f>278.484-40-25-60-100</f>
        <v>53.48399999999998</v>
      </c>
      <c r="G258" s="86">
        <v>40</v>
      </c>
      <c r="H258" s="83">
        <f t="shared" si="40"/>
        <v>185</v>
      </c>
      <c r="I258" s="83">
        <f t="shared" si="39"/>
        <v>0</v>
      </c>
      <c r="J258" s="86">
        <v>100</v>
      </c>
      <c r="K258" s="86">
        <v>300</v>
      </c>
      <c r="L258" s="83">
        <f t="shared" si="32"/>
        <v>1274</v>
      </c>
      <c r="M258" s="94">
        <v>600</v>
      </c>
      <c r="N258" s="83">
        <f>30</f>
        <v>30</v>
      </c>
      <c r="O258" s="86">
        <v>240</v>
      </c>
      <c r="P258" s="86">
        <v>160</v>
      </c>
      <c r="Q258" s="86">
        <f t="shared" si="33"/>
        <v>195</v>
      </c>
      <c r="R258" s="86">
        <f t="shared" si="34"/>
        <v>100</v>
      </c>
      <c r="S258" s="83">
        <f t="shared" si="35"/>
        <v>695</v>
      </c>
      <c r="T258" s="83">
        <f>0</f>
        <v>0</v>
      </c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</row>
    <row r="259" spans="1:30" ht="15.75" x14ac:dyDescent="0.25">
      <c r="A259" s="13">
        <v>48792</v>
      </c>
      <c r="B259" s="97">
        <v>31</v>
      </c>
      <c r="C259" s="83">
        <f>194.205</f>
        <v>194.20500000000001</v>
      </c>
      <c r="D259" s="83">
        <f>267.466</f>
        <v>267.46600000000001</v>
      </c>
      <c r="E259" s="92">
        <f>133.845</f>
        <v>133.845</v>
      </c>
      <c r="F259" s="83">
        <f>278.484-40-25-60-100</f>
        <v>53.48399999999998</v>
      </c>
      <c r="G259" s="86">
        <v>40</v>
      </c>
      <c r="H259" s="83">
        <f t="shared" si="40"/>
        <v>185</v>
      </c>
      <c r="I259" s="83">
        <f t="shared" si="39"/>
        <v>0</v>
      </c>
      <c r="J259" s="86">
        <v>100</v>
      </c>
      <c r="K259" s="86">
        <v>300</v>
      </c>
      <c r="L259" s="83">
        <f t="shared" si="32"/>
        <v>1274</v>
      </c>
      <c r="M259" s="94">
        <v>600</v>
      </c>
      <c r="N259" s="83">
        <f>30</f>
        <v>30</v>
      </c>
      <c r="O259" s="86">
        <v>240</v>
      </c>
      <c r="P259" s="86">
        <v>160</v>
      </c>
      <c r="Q259" s="86">
        <f t="shared" si="33"/>
        <v>195</v>
      </c>
      <c r="R259" s="86">
        <f t="shared" si="34"/>
        <v>100</v>
      </c>
      <c r="S259" s="83">
        <f t="shared" si="35"/>
        <v>695</v>
      </c>
      <c r="T259" s="83">
        <f>0</f>
        <v>0</v>
      </c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</row>
    <row r="260" spans="1:30" ht="15.75" x14ac:dyDescent="0.25">
      <c r="A260" s="13">
        <v>48823</v>
      </c>
      <c r="B260" s="97">
        <v>30</v>
      </c>
      <c r="C260" s="83">
        <f>194.205</f>
        <v>194.20500000000001</v>
      </c>
      <c r="D260" s="83">
        <f>267.466</f>
        <v>267.46600000000001</v>
      </c>
      <c r="E260" s="92">
        <f>133.845</f>
        <v>133.845</v>
      </c>
      <c r="F260" s="83">
        <f>278.484-40-25-60-100</f>
        <v>53.48399999999998</v>
      </c>
      <c r="G260" s="86">
        <v>40</v>
      </c>
      <c r="H260" s="83">
        <f t="shared" si="40"/>
        <v>185</v>
      </c>
      <c r="I260" s="83">
        <f t="shared" si="39"/>
        <v>0</v>
      </c>
      <c r="J260" s="86">
        <v>100</v>
      </c>
      <c r="K260" s="86">
        <v>300</v>
      </c>
      <c r="L260" s="83">
        <f t="shared" si="32"/>
        <v>1274</v>
      </c>
      <c r="M260" s="94">
        <v>600</v>
      </c>
      <c r="N260" s="83">
        <f>30</f>
        <v>30</v>
      </c>
      <c r="O260" s="86">
        <v>240</v>
      </c>
      <c r="P260" s="86">
        <v>160</v>
      </c>
      <c r="Q260" s="86">
        <f t="shared" si="33"/>
        <v>195</v>
      </c>
      <c r="R260" s="86">
        <f t="shared" si="34"/>
        <v>100</v>
      </c>
      <c r="S260" s="83">
        <f t="shared" si="35"/>
        <v>695</v>
      </c>
      <c r="T260" s="83">
        <f>0</f>
        <v>0</v>
      </c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</row>
    <row r="261" spans="1:30" ht="15.75" x14ac:dyDescent="0.25">
      <c r="A261" s="13">
        <v>48853</v>
      </c>
      <c r="B261" s="97">
        <v>31</v>
      </c>
      <c r="C261" s="83">
        <f>131.881</f>
        <v>131.881</v>
      </c>
      <c r="D261" s="83">
        <f>277.167</f>
        <v>277.16699999999997</v>
      </c>
      <c r="E261" s="92">
        <f>79.08</f>
        <v>79.08</v>
      </c>
      <c r="F261" s="83">
        <f>350.872-40-25-60-100</f>
        <v>125.87200000000001</v>
      </c>
      <c r="G261" s="86">
        <v>40</v>
      </c>
      <c r="H261" s="83">
        <f t="shared" si="40"/>
        <v>185</v>
      </c>
      <c r="I261" s="83">
        <f t="shared" si="39"/>
        <v>0</v>
      </c>
      <c r="J261" s="86">
        <v>100</v>
      </c>
      <c r="K261" s="86">
        <v>300</v>
      </c>
      <c r="L261" s="83">
        <f t="shared" si="32"/>
        <v>1239</v>
      </c>
      <c r="M261" s="94">
        <v>600</v>
      </c>
      <c r="N261" s="83">
        <f>75</f>
        <v>75</v>
      </c>
      <c r="O261" s="86">
        <v>240</v>
      </c>
      <c r="P261" s="86">
        <v>160</v>
      </c>
      <c r="Q261" s="86">
        <f t="shared" si="33"/>
        <v>195</v>
      </c>
      <c r="R261" s="86">
        <f t="shared" si="34"/>
        <v>100</v>
      </c>
      <c r="S261" s="83">
        <f t="shared" si="35"/>
        <v>695</v>
      </c>
      <c r="T261" s="83">
        <f>0</f>
        <v>0</v>
      </c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</row>
    <row r="262" spans="1:30" ht="15.75" x14ac:dyDescent="0.25">
      <c r="A262" s="13">
        <v>48884</v>
      </c>
      <c r="B262" s="97">
        <v>30</v>
      </c>
      <c r="C262" s="83">
        <f>122.58</f>
        <v>122.58</v>
      </c>
      <c r="D262" s="83">
        <f>297.941</f>
        <v>297.94099999999997</v>
      </c>
      <c r="E262" s="92">
        <f>89.177</f>
        <v>89.177000000000007</v>
      </c>
      <c r="F262" s="83">
        <f>240.302-40-60-100</f>
        <v>40.301999999999992</v>
      </c>
      <c r="G262" s="86">
        <v>40</v>
      </c>
      <c r="H262" s="83">
        <f>60+100</f>
        <v>160</v>
      </c>
      <c r="I262" s="83">
        <f t="shared" si="39"/>
        <v>0</v>
      </c>
      <c r="J262" s="86">
        <v>100</v>
      </c>
      <c r="K262" s="86">
        <v>300</v>
      </c>
      <c r="L262" s="83">
        <f t="shared" si="32"/>
        <v>1150</v>
      </c>
      <c r="M262" s="94">
        <v>600</v>
      </c>
      <c r="N262" s="83">
        <f>100</f>
        <v>100</v>
      </c>
      <c r="O262" s="86">
        <v>240</v>
      </c>
      <c r="P262" s="86">
        <v>40</v>
      </c>
      <c r="Q262" s="86">
        <f t="shared" si="33"/>
        <v>315</v>
      </c>
      <c r="R262" s="86">
        <f t="shared" si="34"/>
        <v>100</v>
      </c>
      <c r="S262" s="83">
        <f t="shared" si="35"/>
        <v>695</v>
      </c>
      <c r="T262" s="83">
        <f>50</f>
        <v>50</v>
      </c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</row>
    <row r="263" spans="1:30" ht="15.75" x14ac:dyDescent="0.25">
      <c r="A263" s="13">
        <v>48914</v>
      </c>
      <c r="B263" s="97">
        <v>31</v>
      </c>
      <c r="C263" s="83">
        <f>122.58</f>
        <v>122.58</v>
      </c>
      <c r="D263" s="83">
        <f>297.941</f>
        <v>297.94099999999997</v>
      </c>
      <c r="E263" s="92">
        <f>89.177</f>
        <v>89.177000000000007</v>
      </c>
      <c r="F263" s="83">
        <f>240.302-40-60-100</f>
        <v>40.301999999999992</v>
      </c>
      <c r="G263" s="86">
        <v>40</v>
      </c>
      <c r="H263" s="83">
        <f>60+100</f>
        <v>160</v>
      </c>
      <c r="I263" s="83">
        <f t="shared" si="39"/>
        <v>0</v>
      </c>
      <c r="J263" s="86">
        <v>100</v>
      </c>
      <c r="K263" s="86">
        <v>300</v>
      </c>
      <c r="L263" s="83">
        <f t="shared" si="32"/>
        <v>1150</v>
      </c>
      <c r="M263" s="94">
        <v>600</v>
      </c>
      <c r="N263" s="83">
        <f>100</f>
        <v>100</v>
      </c>
      <c r="O263" s="86">
        <v>240</v>
      </c>
      <c r="P263" s="86">
        <v>40</v>
      </c>
      <c r="Q263" s="86">
        <f t="shared" si="33"/>
        <v>315</v>
      </c>
      <c r="R263" s="86">
        <f t="shared" si="34"/>
        <v>100</v>
      </c>
      <c r="S263" s="83">
        <f t="shared" si="35"/>
        <v>695</v>
      </c>
      <c r="T263" s="83">
        <f>50</f>
        <v>50</v>
      </c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</row>
    <row r="264" spans="1:30" ht="15.75" x14ac:dyDescent="0.25">
      <c r="A264" s="13">
        <v>48945</v>
      </c>
      <c r="B264" s="97">
        <v>31</v>
      </c>
      <c r="C264" s="83">
        <f>122.58</f>
        <v>122.58</v>
      </c>
      <c r="D264" s="83">
        <f>297.941</f>
        <v>297.94099999999997</v>
      </c>
      <c r="E264" s="92">
        <f>89.177</f>
        <v>89.177000000000007</v>
      </c>
      <c r="F264" s="83">
        <f>240.302-40-60-100</f>
        <v>40.301999999999992</v>
      </c>
      <c r="G264" s="86">
        <v>40</v>
      </c>
      <c r="H264" s="83">
        <f>60+100</f>
        <v>160</v>
      </c>
      <c r="I264" s="83">
        <f t="shared" si="39"/>
        <v>0</v>
      </c>
      <c r="J264" s="86">
        <v>100</v>
      </c>
      <c r="K264" s="86">
        <v>300</v>
      </c>
      <c r="L264" s="83">
        <f t="shared" si="32"/>
        <v>1150</v>
      </c>
      <c r="M264" s="94">
        <v>600</v>
      </c>
      <c r="N264" s="83">
        <f>100</f>
        <v>100</v>
      </c>
      <c r="O264" s="86">
        <v>240</v>
      </c>
      <c r="P264" s="86">
        <v>40</v>
      </c>
      <c r="Q264" s="86">
        <f t="shared" si="33"/>
        <v>315</v>
      </c>
      <c r="R264" s="86">
        <f t="shared" si="34"/>
        <v>100</v>
      </c>
      <c r="S264" s="83">
        <f t="shared" si="35"/>
        <v>695</v>
      </c>
      <c r="T264" s="83">
        <f>50</f>
        <v>50</v>
      </c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</row>
    <row r="265" spans="1:30" ht="15.75" x14ac:dyDescent="0.25">
      <c r="A265" s="13">
        <v>48976</v>
      </c>
      <c r="B265" s="97">
        <v>28</v>
      </c>
      <c r="C265" s="83">
        <f>122.58</f>
        <v>122.58</v>
      </c>
      <c r="D265" s="83">
        <f>297.941</f>
        <v>297.94099999999997</v>
      </c>
      <c r="E265" s="92">
        <f>89.177</f>
        <v>89.177000000000007</v>
      </c>
      <c r="F265" s="83">
        <f>240.302-40-60-100</f>
        <v>40.301999999999992</v>
      </c>
      <c r="G265" s="86">
        <v>40</v>
      </c>
      <c r="H265" s="83">
        <f>60+100</f>
        <v>160</v>
      </c>
      <c r="I265" s="83">
        <f t="shared" si="39"/>
        <v>0</v>
      </c>
      <c r="J265" s="86">
        <v>100</v>
      </c>
      <c r="K265" s="86">
        <v>300</v>
      </c>
      <c r="L265" s="83">
        <f t="shared" si="32"/>
        <v>1150</v>
      </c>
      <c r="M265" s="94">
        <v>600</v>
      </c>
      <c r="N265" s="83">
        <f>100</f>
        <v>100</v>
      </c>
      <c r="O265" s="86">
        <v>240</v>
      </c>
      <c r="P265" s="86">
        <v>40</v>
      </c>
      <c r="Q265" s="86">
        <f t="shared" si="33"/>
        <v>315</v>
      </c>
      <c r="R265" s="86">
        <f t="shared" si="34"/>
        <v>100</v>
      </c>
      <c r="S265" s="83">
        <f t="shared" si="35"/>
        <v>695</v>
      </c>
      <c r="T265" s="83">
        <f>50</f>
        <v>50</v>
      </c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</row>
    <row r="266" spans="1:30" ht="15.75" x14ac:dyDescent="0.25">
      <c r="A266" s="13">
        <v>49004</v>
      </c>
      <c r="B266" s="97">
        <v>31</v>
      </c>
      <c r="C266" s="83">
        <f>122.58</f>
        <v>122.58</v>
      </c>
      <c r="D266" s="83">
        <f>297.941</f>
        <v>297.94099999999997</v>
      </c>
      <c r="E266" s="92">
        <f>89.177</f>
        <v>89.177000000000007</v>
      </c>
      <c r="F266" s="83">
        <f>240.302-40-60-100</f>
        <v>40.301999999999992</v>
      </c>
      <c r="G266" s="86">
        <v>40</v>
      </c>
      <c r="H266" s="83">
        <f>60+100</f>
        <v>160</v>
      </c>
      <c r="I266" s="83">
        <f t="shared" si="39"/>
        <v>0</v>
      </c>
      <c r="J266" s="86">
        <v>100</v>
      </c>
      <c r="K266" s="86">
        <v>300</v>
      </c>
      <c r="L266" s="83">
        <f t="shared" si="32"/>
        <v>1150</v>
      </c>
      <c r="M266" s="94">
        <v>600</v>
      </c>
      <c r="N266" s="83">
        <f>100</f>
        <v>100</v>
      </c>
      <c r="O266" s="86">
        <v>240</v>
      </c>
      <c r="P266" s="86">
        <v>40</v>
      </c>
      <c r="Q266" s="86">
        <f t="shared" si="33"/>
        <v>315</v>
      </c>
      <c r="R266" s="86">
        <f t="shared" si="34"/>
        <v>100</v>
      </c>
      <c r="S266" s="83">
        <f t="shared" si="35"/>
        <v>695</v>
      </c>
      <c r="T266" s="83">
        <f>50</f>
        <v>50</v>
      </c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</row>
    <row r="267" spans="1:30" ht="15.75" x14ac:dyDescent="0.25">
      <c r="A267" s="13">
        <v>49035</v>
      </c>
      <c r="B267" s="97">
        <v>30</v>
      </c>
      <c r="C267" s="83">
        <f>141.293</f>
        <v>141.29300000000001</v>
      </c>
      <c r="D267" s="83">
        <f>267.993</f>
        <v>267.99299999999999</v>
      </c>
      <c r="E267" s="92">
        <f>115.016</f>
        <v>115.01600000000001</v>
      </c>
      <c r="F267" s="83">
        <f>314.698-40-25-60-100</f>
        <v>89.697999999999979</v>
      </c>
      <c r="G267" s="86">
        <v>40</v>
      </c>
      <c r="H267" s="83">
        <f t="shared" ref="H267:H273" si="41">25+60+100</f>
        <v>185</v>
      </c>
      <c r="I267" s="83">
        <f t="shared" si="39"/>
        <v>0</v>
      </c>
      <c r="J267" s="86">
        <v>100</v>
      </c>
      <c r="K267" s="86">
        <v>300</v>
      </c>
      <c r="L267" s="83">
        <f t="shared" si="32"/>
        <v>1239</v>
      </c>
      <c r="M267" s="94">
        <v>600</v>
      </c>
      <c r="N267" s="83">
        <f>100</f>
        <v>100</v>
      </c>
      <c r="O267" s="86">
        <v>240</v>
      </c>
      <c r="P267" s="86">
        <v>160</v>
      </c>
      <c r="Q267" s="86">
        <f t="shared" si="33"/>
        <v>195</v>
      </c>
      <c r="R267" s="86">
        <f t="shared" si="34"/>
        <v>100</v>
      </c>
      <c r="S267" s="83">
        <f t="shared" si="35"/>
        <v>695</v>
      </c>
      <c r="T267" s="83">
        <f>50</f>
        <v>50</v>
      </c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</row>
    <row r="268" spans="1:30" ht="15.75" x14ac:dyDescent="0.25">
      <c r="A268" s="13">
        <v>49065</v>
      </c>
      <c r="B268" s="97">
        <v>31</v>
      </c>
      <c r="C268" s="83">
        <f>194.205</f>
        <v>194.20500000000001</v>
      </c>
      <c r="D268" s="83">
        <f>267.466</f>
        <v>267.46600000000001</v>
      </c>
      <c r="E268" s="92">
        <f>133.845</f>
        <v>133.845</v>
      </c>
      <c r="F268" s="83">
        <f>278.484-40-25-60-100</f>
        <v>53.48399999999998</v>
      </c>
      <c r="G268" s="86">
        <v>40</v>
      </c>
      <c r="H268" s="83">
        <f t="shared" si="41"/>
        <v>185</v>
      </c>
      <c r="I268" s="83">
        <f t="shared" si="39"/>
        <v>0</v>
      </c>
      <c r="J268" s="86">
        <v>100</v>
      </c>
      <c r="K268" s="86">
        <v>300</v>
      </c>
      <c r="L268" s="83">
        <f t="shared" si="32"/>
        <v>1274</v>
      </c>
      <c r="M268" s="94">
        <v>600</v>
      </c>
      <c r="N268" s="83">
        <f>75</f>
        <v>75</v>
      </c>
      <c r="O268" s="86">
        <v>240</v>
      </c>
      <c r="P268" s="86">
        <v>160</v>
      </c>
      <c r="Q268" s="86">
        <f t="shared" si="33"/>
        <v>195</v>
      </c>
      <c r="R268" s="86">
        <f t="shared" si="34"/>
        <v>100</v>
      </c>
      <c r="S268" s="83">
        <f t="shared" si="35"/>
        <v>695</v>
      </c>
      <c r="T268" s="83">
        <f>50</f>
        <v>50</v>
      </c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</row>
    <row r="269" spans="1:30" ht="15.75" x14ac:dyDescent="0.25">
      <c r="A269" s="13">
        <v>49096</v>
      </c>
      <c r="B269" s="97">
        <v>30</v>
      </c>
      <c r="C269" s="83">
        <f>194.205</f>
        <v>194.20500000000001</v>
      </c>
      <c r="D269" s="83">
        <f>267.466</f>
        <v>267.46600000000001</v>
      </c>
      <c r="E269" s="92">
        <f>133.845</f>
        <v>133.845</v>
      </c>
      <c r="F269" s="83">
        <f>278.484-40-25-60-100</f>
        <v>53.48399999999998</v>
      </c>
      <c r="G269" s="86">
        <v>40</v>
      </c>
      <c r="H269" s="83">
        <f t="shared" si="41"/>
        <v>185</v>
      </c>
      <c r="I269" s="83">
        <f t="shared" si="39"/>
        <v>0</v>
      </c>
      <c r="J269" s="86">
        <v>100</v>
      </c>
      <c r="K269" s="86">
        <v>300</v>
      </c>
      <c r="L269" s="83">
        <f t="shared" si="32"/>
        <v>1274</v>
      </c>
      <c r="M269" s="94">
        <v>600</v>
      </c>
      <c r="N269" s="83">
        <f>30</f>
        <v>30</v>
      </c>
      <c r="O269" s="86">
        <v>240</v>
      </c>
      <c r="P269" s="86">
        <v>160</v>
      </c>
      <c r="Q269" s="86">
        <f t="shared" si="33"/>
        <v>195</v>
      </c>
      <c r="R269" s="86">
        <f t="shared" si="34"/>
        <v>100</v>
      </c>
      <c r="S269" s="83">
        <f t="shared" si="35"/>
        <v>695</v>
      </c>
      <c r="T269" s="83">
        <f>50</f>
        <v>50</v>
      </c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</row>
    <row r="270" spans="1:30" ht="15.75" x14ac:dyDescent="0.25">
      <c r="A270" s="13">
        <v>49126</v>
      </c>
      <c r="B270" s="97">
        <v>31</v>
      </c>
      <c r="C270" s="83">
        <f>194.205</f>
        <v>194.20500000000001</v>
      </c>
      <c r="D270" s="83">
        <f>267.466</f>
        <v>267.46600000000001</v>
      </c>
      <c r="E270" s="92">
        <f>133.845</f>
        <v>133.845</v>
      </c>
      <c r="F270" s="83">
        <f>278.484-40-25-60-100</f>
        <v>53.48399999999998</v>
      </c>
      <c r="G270" s="86">
        <v>40</v>
      </c>
      <c r="H270" s="83">
        <f t="shared" si="41"/>
        <v>185</v>
      </c>
      <c r="I270" s="83">
        <f t="shared" si="39"/>
        <v>0</v>
      </c>
      <c r="J270" s="86">
        <v>100</v>
      </c>
      <c r="K270" s="86">
        <v>300</v>
      </c>
      <c r="L270" s="83">
        <f t="shared" si="32"/>
        <v>1274</v>
      </c>
      <c r="M270" s="94">
        <v>600</v>
      </c>
      <c r="N270" s="83">
        <f>30</f>
        <v>30</v>
      </c>
      <c r="O270" s="86">
        <v>240</v>
      </c>
      <c r="P270" s="86">
        <v>160</v>
      </c>
      <c r="Q270" s="86">
        <f t="shared" si="33"/>
        <v>195</v>
      </c>
      <c r="R270" s="86">
        <f t="shared" si="34"/>
        <v>100</v>
      </c>
      <c r="S270" s="83">
        <f t="shared" si="35"/>
        <v>695</v>
      </c>
      <c r="T270" s="83">
        <f>0</f>
        <v>0</v>
      </c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</row>
    <row r="271" spans="1:30" ht="15.75" x14ac:dyDescent="0.25">
      <c r="A271" s="13">
        <v>49157</v>
      </c>
      <c r="B271" s="97">
        <v>31</v>
      </c>
      <c r="C271" s="83">
        <f>194.205</f>
        <v>194.20500000000001</v>
      </c>
      <c r="D271" s="83">
        <f>267.466</f>
        <v>267.46600000000001</v>
      </c>
      <c r="E271" s="92">
        <f>133.845</f>
        <v>133.845</v>
      </c>
      <c r="F271" s="83">
        <f>278.484-40-25-60-100</f>
        <v>53.48399999999998</v>
      </c>
      <c r="G271" s="86">
        <v>40</v>
      </c>
      <c r="H271" s="83">
        <f t="shared" si="41"/>
        <v>185</v>
      </c>
      <c r="I271" s="83">
        <f t="shared" si="39"/>
        <v>0</v>
      </c>
      <c r="J271" s="86">
        <v>100</v>
      </c>
      <c r="K271" s="86">
        <v>300</v>
      </c>
      <c r="L271" s="83">
        <f t="shared" si="32"/>
        <v>1274</v>
      </c>
      <c r="M271" s="94">
        <v>600</v>
      </c>
      <c r="N271" s="83">
        <f>30</f>
        <v>30</v>
      </c>
      <c r="O271" s="86">
        <v>240</v>
      </c>
      <c r="P271" s="86">
        <v>160</v>
      </c>
      <c r="Q271" s="86">
        <f t="shared" si="33"/>
        <v>195</v>
      </c>
      <c r="R271" s="86">
        <f t="shared" si="34"/>
        <v>100</v>
      </c>
      <c r="S271" s="83">
        <f t="shared" si="35"/>
        <v>695</v>
      </c>
      <c r="T271" s="83">
        <f>0</f>
        <v>0</v>
      </c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</row>
    <row r="272" spans="1:30" ht="15.75" x14ac:dyDescent="0.25">
      <c r="A272" s="13">
        <v>49188</v>
      </c>
      <c r="B272" s="97">
        <v>30</v>
      </c>
      <c r="C272" s="83">
        <f>194.205</f>
        <v>194.20500000000001</v>
      </c>
      <c r="D272" s="83">
        <f>267.466</f>
        <v>267.46600000000001</v>
      </c>
      <c r="E272" s="92">
        <f>133.845</f>
        <v>133.845</v>
      </c>
      <c r="F272" s="83">
        <f>278.484-40-25-60-100</f>
        <v>53.48399999999998</v>
      </c>
      <c r="G272" s="86">
        <v>40</v>
      </c>
      <c r="H272" s="83">
        <f t="shared" si="41"/>
        <v>185</v>
      </c>
      <c r="I272" s="83">
        <f t="shared" si="39"/>
        <v>0</v>
      </c>
      <c r="J272" s="86">
        <v>100</v>
      </c>
      <c r="K272" s="86">
        <v>300</v>
      </c>
      <c r="L272" s="83">
        <f t="shared" si="32"/>
        <v>1274</v>
      </c>
      <c r="M272" s="94">
        <v>600</v>
      </c>
      <c r="N272" s="83">
        <f>30</f>
        <v>30</v>
      </c>
      <c r="O272" s="86">
        <v>240</v>
      </c>
      <c r="P272" s="86">
        <v>160</v>
      </c>
      <c r="Q272" s="86">
        <f t="shared" si="33"/>
        <v>195</v>
      </c>
      <c r="R272" s="86">
        <f t="shared" si="34"/>
        <v>100</v>
      </c>
      <c r="S272" s="83">
        <f t="shared" si="35"/>
        <v>695</v>
      </c>
      <c r="T272" s="83">
        <f>0</f>
        <v>0</v>
      </c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</row>
    <row r="273" spans="1:30" ht="15.75" x14ac:dyDescent="0.25">
      <c r="A273" s="13">
        <v>49218</v>
      </c>
      <c r="B273" s="97">
        <v>31</v>
      </c>
      <c r="C273" s="83">
        <f>131.881</f>
        <v>131.881</v>
      </c>
      <c r="D273" s="83">
        <f>277.167</f>
        <v>277.16699999999997</v>
      </c>
      <c r="E273" s="92">
        <f>79.08</f>
        <v>79.08</v>
      </c>
      <c r="F273" s="83">
        <f>350.872-40-25-60-100</f>
        <v>125.87200000000001</v>
      </c>
      <c r="G273" s="86">
        <v>40</v>
      </c>
      <c r="H273" s="83">
        <f t="shared" si="41"/>
        <v>185</v>
      </c>
      <c r="I273" s="83">
        <f t="shared" si="39"/>
        <v>0</v>
      </c>
      <c r="J273" s="86">
        <v>100</v>
      </c>
      <c r="K273" s="86">
        <v>300</v>
      </c>
      <c r="L273" s="83">
        <f t="shared" si="32"/>
        <v>1239</v>
      </c>
      <c r="M273" s="94">
        <v>600</v>
      </c>
      <c r="N273" s="83">
        <f>75</f>
        <v>75</v>
      </c>
      <c r="O273" s="86">
        <v>240</v>
      </c>
      <c r="P273" s="86">
        <v>160</v>
      </c>
      <c r="Q273" s="86">
        <f t="shared" si="33"/>
        <v>195</v>
      </c>
      <c r="R273" s="86">
        <f t="shared" si="34"/>
        <v>100</v>
      </c>
      <c r="S273" s="83">
        <f t="shared" si="35"/>
        <v>695</v>
      </c>
      <c r="T273" s="83">
        <f>0</f>
        <v>0</v>
      </c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</row>
    <row r="274" spans="1:30" ht="15.75" x14ac:dyDescent="0.25">
      <c r="A274" s="13">
        <v>49249</v>
      </c>
      <c r="B274" s="97">
        <v>30</v>
      </c>
      <c r="C274" s="83">
        <f>122.58</f>
        <v>122.58</v>
      </c>
      <c r="D274" s="83">
        <f>297.941</f>
        <v>297.94099999999997</v>
      </c>
      <c r="E274" s="92">
        <f>89.177</f>
        <v>89.177000000000007</v>
      </c>
      <c r="F274" s="83">
        <f>240.302-40-60-100</f>
        <v>40.301999999999992</v>
      </c>
      <c r="G274" s="86">
        <v>40</v>
      </c>
      <c r="H274" s="83">
        <f>60+100</f>
        <v>160</v>
      </c>
      <c r="I274" s="83">
        <f t="shared" si="39"/>
        <v>0</v>
      </c>
      <c r="J274" s="86">
        <v>100</v>
      </c>
      <c r="K274" s="86">
        <v>300</v>
      </c>
      <c r="L274" s="83">
        <f t="shared" si="32"/>
        <v>1150</v>
      </c>
      <c r="M274" s="94">
        <v>600</v>
      </c>
      <c r="N274" s="83">
        <f>100</f>
        <v>100</v>
      </c>
      <c r="O274" s="86">
        <v>240</v>
      </c>
      <c r="P274" s="86">
        <v>40</v>
      </c>
      <c r="Q274" s="86">
        <f t="shared" si="33"/>
        <v>315</v>
      </c>
      <c r="R274" s="86">
        <f t="shared" si="34"/>
        <v>100</v>
      </c>
      <c r="S274" s="83">
        <f t="shared" si="35"/>
        <v>695</v>
      </c>
      <c r="T274" s="83">
        <f>50</f>
        <v>50</v>
      </c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</row>
    <row r="275" spans="1:30" ht="15.75" x14ac:dyDescent="0.25">
      <c r="A275" s="13">
        <v>49279</v>
      </c>
      <c r="B275" s="97">
        <v>31</v>
      </c>
      <c r="C275" s="83">
        <f>122.58</f>
        <v>122.58</v>
      </c>
      <c r="D275" s="83">
        <f>297.941</f>
        <v>297.94099999999997</v>
      </c>
      <c r="E275" s="92">
        <f>89.177</f>
        <v>89.177000000000007</v>
      </c>
      <c r="F275" s="83">
        <f>240.302-40-60-100</f>
        <v>40.301999999999992</v>
      </c>
      <c r="G275" s="86">
        <v>40</v>
      </c>
      <c r="H275" s="83">
        <f>60+100</f>
        <v>160</v>
      </c>
      <c r="I275" s="83">
        <f t="shared" si="39"/>
        <v>0</v>
      </c>
      <c r="J275" s="86">
        <v>100</v>
      </c>
      <c r="K275" s="86">
        <v>300</v>
      </c>
      <c r="L275" s="83">
        <f t="shared" si="32"/>
        <v>1150</v>
      </c>
      <c r="M275" s="94">
        <v>600</v>
      </c>
      <c r="N275" s="83">
        <f>100</f>
        <v>100</v>
      </c>
      <c r="O275" s="86">
        <v>240</v>
      </c>
      <c r="P275" s="86">
        <v>40</v>
      </c>
      <c r="Q275" s="86">
        <f t="shared" si="33"/>
        <v>315</v>
      </c>
      <c r="R275" s="86">
        <f t="shared" si="34"/>
        <v>100</v>
      </c>
      <c r="S275" s="83">
        <f t="shared" si="35"/>
        <v>695</v>
      </c>
      <c r="T275" s="83">
        <f>50</f>
        <v>50</v>
      </c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</row>
    <row r="276" spans="1:30" ht="15.75" x14ac:dyDescent="0.25">
      <c r="A276" s="13">
        <v>49310</v>
      </c>
      <c r="B276" s="97">
        <v>31</v>
      </c>
      <c r="C276" s="83">
        <f>122.58</f>
        <v>122.58</v>
      </c>
      <c r="D276" s="83">
        <f>297.941</f>
        <v>297.94099999999997</v>
      </c>
      <c r="E276" s="92">
        <f>89.177</f>
        <v>89.177000000000007</v>
      </c>
      <c r="F276" s="83">
        <f>240.302-40-60-100</f>
        <v>40.301999999999992</v>
      </c>
      <c r="G276" s="86">
        <v>40</v>
      </c>
      <c r="H276" s="83">
        <f>60+100</f>
        <v>160</v>
      </c>
      <c r="I276" s="83">
        <f t="shared" si="39"/>
        <v>0</v>
      </c>
      <c r="J276" s="86">
        <v>100</v>
      </c>
      <c r="K276" s="86">
        <v>300</v>
      </c>
      <c r="L276" s="83">
        <f t="shared" si="32"/>
        <v>1150</v>
      </c>
      <c r="M276" s="94">
        <v>600</v>
      </c>
      <c r="N276" s="83">
        <f>100</f>
        <v>100</v>
      </c>
      <c r="O276" s="86">
        <v>240</v>
      </c>
      <c r="P276" s="86">
        <v>40</v>
      </c>
      <c r="Q276" s="86">
        <f t="shared" si="33"/>
        <v>315</v>
      </c>
      <c r="R276" s="86">
        <f t="shared" si="34"/>
        <v>100</v>
      </c>
      <c r="S276" s="83">
        <f t="shared" si="35"/>
        <v>695</v>
      </c>
      <c r="T276" s="83">
        <f>50</f>
        <v>50</v>
      </c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</row>
    <row r="277" spans="1:30" ht="15.75" x14ac:dyDescent="0.25">
      <c r="A277" s="13">
        <v>49341</v>
      </c>
      <c r="B277" s="97">
        <v>28</v>
      </c>
      <c r="C277" s="83">
        <f>122.58</f>
        <v>122.58</v>
      </c>
      <c r="D277" s="83">
        <f>297.941</f>
        <v>297.94099999999997</v>
      </c>
      <c r="E277" s="92">
        <f>89.177</f>
        <v>89.177000000000007</v>
      </c>
      <c r="F277" s="83">
        <f>240.302-40-60-100</f>
        <v>40.301999999999992</v>
      </c>
      <c r="G277" s="86">
        <v>40</v>
      </c>
      <c r="H277" s="83">
        <f>60+100</f>
        <v>160</v>
      </c>
      <c r="I277" s="83">
        <f t="shared" si="39"/>
        <v>0</v>
      </c>
      <c r="J277" s="86">
        <v>100</v>
      </c>
      <c r="K277" s="86">
        <v>300</v>
      </c>
      <c r="L277" s="83">
        <f t="shared" ref="L277:L340" si="42">SUM(C277:K277)</f>
        <v>1150</v>
      </c>
      <c r="M277" s="94">
        <v>600</v>
      </c>
      <c r="N277" s="83">
        <f>100</f>
        <v>100</v>
      </c>
      <c r="O277" s="86">
        <v>240</v>
      </c>
      <c r="P277" s="86">
        <v>40</v>
      </c>
      <c r="Q277" s="86">
        <f t="shared" ref="Q277:Q340" si="43">695-R277-O277-P277</f>
        <v>315</v>
      </c>
      <c r="R277" s="86">
        <f t="shared" ref="R277:R340" si="44">200-J277</f>
        <v>100</v>
      </c>
      <c r="S277" s="83">
        <f t="shared" ref="S277:S340" si="45">SUM(O277:R277)</f>
        <v>695</v>
      </c>
      <c r="T277" s="83">
        <f>50</f>
        <v>50</v>
      </c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</row>
    <row r="278" spans="1:30" ht="15.75" x14ac:dyDescent="0.25">
      <c r="A278" s="13">
        <v>49369</v>
      </c>
      <c r="B278" s="97">
        <v>31</v>
      </c>
      <c r="C278" s="83">
        <f>122.58</f>
        <v>122.58</v>
      </c>
      <c r="D278" s="83">
        <f>297.941</f>
        <v>297.94099999999997</v>
      </c>
      <c r="E278" s="92">
        <f>89.177</f>
        <v>89.177000000000007</v>
      </c>
      <c r="F278" s="83">
        <f>240.302-40-60-100</f>
        <v>40.301999999999992</v>
      </c>
      <c r="G278" s="86">
        <v>40</v>
      </c>
      <c r="H278" s="83">
        <f>60+100</f>
        <v>160</v>
      </c>
      <c r="I278" s="83">
        <f t="shared" si="39"/>
        <v>0</v>
      </c>
      <c r="J278" s="86">
        <v>100</v>
      </c>
      <c r="K278" s="86">
        <v>300</v>
      </c>
      <c r="L278" s="83">
        <f t="shared" si="42"/>
        <v>1150</v>
      </c>
      <c r="M278" s="94">
        <v>600</v>
      </c>
      <c r="N278" s="83">
        <f>100</f>
        <v>100</v>
      </c>
      <c r="O278" s="86">
        <v>240</v>
      </c>
      <c r="P278" s="86">
        <v>40</v>
      </c>
      <c r="Q278" s="86">
        <f t="shared" si="43"/>
        <v>315</v>
      </c>
      <c r="R278" s="86">
        <f t="shared" si="44"/>
        <v>100</v>
      </c>
      <c r="S278" s="83">
        <f t="shared" si="45"/>
        <v>695</v>
      </c>
      <c r="T278" s="83">
        <f>50</f>
        <v>50</v>
      </c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</row>
    <row r="279" spans="1:30" ht="15.75" x14ac:dyDescent="0.25">
      <c r="A279" s="13">
        <v>49400</v>
      </c>
      <c r="B279" s="97">
        <v>30</v>
      </c>
      <c r="C279" s="83">
        <f>141.293</f>
        <v>141.29300000000001</v>
      </c>
      <c r="D279" s="83">
        <f>267.993</f>
        <v>267.99299999999999</v>
      </c>
      <c r="E279" s="92">
        <f>115.016</f>
        <v>115.01600000000001</v>
      </c>
      <c r="F279" s="83">
        <f>314.698-40-25-60-100</f>
        <v>89.697999999999979</v>
      </c>
      <c r="G279" s="86">
        <v>40</v>
      </c>
      <c r="H279" s="83">
        <f t="shared" ref="H279:H285" si="46">25+60+100</f>
        <v>185</v>
      </c>
      <c r="I279" s="83">
        <f t="shared" si="39"/>
        <v>0</v>
      </c>
      <c r="J279" s="86">
        <v>100</v>
      </c>
      <c r="K279" s="86">
        <v>300</v>
      </c>
      <c r="L279" s="83">
        <f t="shared" si="42"/>
        <v>1239</v>
      </c>
      <c r="M279" s="94">
        <v>600</v>
      </c>
      <c r="N279" s="83">
        <f>100</f>
        <v>100</v>
      </c>
      <c r="O279" s="86">
        <v>240</v>
      </c>
      <c r="P279" s="86">
        <v>160</v>
      </c>
      <c r="Q279" s="86">
        <f t="shared" si="43"/>
        <v>195</v>
      </c>
      <c r="R279" s="86">
        <f t="shared" si="44"/>
        <v>100</v>
      </c>
      <c r="S279" s="83">
        <f t="shared" si="45"/>
        <v>695</v>
      </c>
      <c r="T279" s="83">
        <f>50</f>
        <v>50</v>
      </c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</row>
    <row r="280" spans="1:30" ht="15.75" x14ac:dyDescent="0.25">
      <c r="A280" s="13">
        <v>49430</v>
      </c>
      <c r="B280" s="97">
        <v>31</v>
      </c>
      <c r="C280" s="83">
        <f>194.205</f>
        <v>194.20500000000001</v>
      </c>
      <c r="D280" s="83">
        <f>267.466</f>
        <v>267.46600000000001</v>
      </c>
      <c r="E280" s="92">
        <f>133.845</f>
        <v>133.845</v>
      </c>
      <c r="F280" s="83">
        <f>278.484-40-25-60-100</f>
        <v>53.48399999999998</v>
      </c>
      <c r="G280" s="86">
        <v>40</v>
      </c>
      <c r="H280" s="83">
        <f t="shared" si="46"/>
        <v>185</v>
      </c>
      <c r="I280" s="83">
        <f t="shared" si="39"/>
        <v>0</v>
      </c>
      <c r="J280" s="86">
        <v>100</v>
      </c>
      <c r="K280" s="86">
        <v>300</v>
      </c>
      <c r="L280" s="83">
        <f t="shared" si="42"/>
        <v>1274</v>
      </c>
      <c r="M280" s="94">
        <v>600</v>
      </c>
      <c r="N280" s="83">
        <f>75</f>
        <v>75</v>
      </c>
      <c r="O280" s="86">
        <v>240</v>
      </c>
      <c r="P280" s="86">
        <v>160</v>
      </c>
      <c r="Q280" s="86">
        <f t="shared" si="43"/>
        <v>195</v>
      </c>
      <c r="R280" s="86">
        <f t="shared" si="44"/>
        <v>100</v>
      </c>
      <c r="S280" s="83">
        <f t="shared" si="45"/>
        <v>695</v>
      </c>
      <c r="T280" s="83">
        <f>50</f>
        <v>50</v>
      </c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</row>
    <row r="281" spans="1:30" ht="15.75" x14ac:dyDescent="0.25">
      <c r="A281" s="34">
        <v>49461</v>
      </c>
      <c r="B281" s="97">
        <v>30</v>
      </c>
      <c r="C281" s="83">
        <f>194.205</f>
        <v>194.20500000000001</v>
      </c>
      <c r="D281" s="83">
        <f>267.466</f>
        <v>267.46600000000001</v>
      </c>
      <c r="E281" s="92">
        <f>133.845</f>
        <v>133.845</v>
      </c>
      <c r="F281" s="83">
        <f>278.484-40-25-60-100</f>
        <v>53.48399999999998</v>
      </c>
      <c r="G281" s="86">
        <v>40</v>
      </c>
      <c r="H281" s="83">
        <f t="shared" si="46"/>
        <v>185</v>
      </c>
      <c r="I281" s="83">
        <f t="shared" si="39"/>
        <v>0</v>
      </c>
      <c r="J281" s="86">
        <v>100</v>
      </c>
      <c r="K281" s="86">
        <v>300</v>
      </c>
      <c r="L281" s="83">
        <f t="shared" si="42"/>
        <v>1274</v>
      </c>
      <c r="M281" s="94">
        <v>600</v>
      </c>
      <c r="N281" s="83">
        <f>30</f>
        <v>30</v>
      </c>
      <c r="O281" s="86">
        <v>240</v>
      </c>
      <c r="P281" s="86">
        <v>160</v>
      </c>
      <c r="Q281" s="86">
        <f t="shared" si="43"/>
        <v>195</v>
      </c>
      <c r="R281" s="86">
        <f t="shared" si="44"/>
        <v>100</v>
      </c>
      <c r="S281" s="83">
        <f t="shared" si="45"/>
        <v>695</v>
      </c>
      <c r="T281" s="83">
        <f>50</f>
        <v>50</v>
      </c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</row>
    <row r="282" spans="1:30" ht="15.75" x14ac:dyDescent="0.25">
      <c r="A282" s="34">
        <v>49491</v>
      </c>
      <c r="B282" s="97">
        <v>31</v>
      </c>
      <c r="C282" s="83">
        <f>194.205</f>
        <v>194.20500000000001</v>
      </c>
      <c r="D282" s="83">
        <f>267.466</f>
        <v>267.46600000000001</v>
      </c>
      <c r="E282" s="92">
        <f>133.845</f>
        <v>133.845</v>
      </c>
      <c r="F282" s="83">
        <f>278.484-40-25-60-100</f>
        <v>53.48399999999998</v>
      </c>
      <c r="G282" s="86">
        <v>40</v>
      </c>
      <c r="H282" s="83">
        <f t="shared" si="46"/>
        <v>185</v>
      </c>
      <c r="I282" s="83">
        <f t="shared" si="39"/>
        <v>0</v>
      </c>
      <c r="J282" s="86">
        <v>100</v>
      </c>
      <c r="K282" s="86">
        <v>300</v>
      </c>
      <c r="L282" s="83">
        <f t="shared" si="42"/>
        <v>1274</v>
      </c>
      <c r="M282" s="94">
        <v>600</v>
      </c>
      <c r="N282" s="83">
        <f>30</f>
        <v>30</v>
      </c>
      <c r="O282" s="86">
        <v>240</v>
      </c>
      <c r="P282" s="86">
        <v>160</v>
      </c>
      <c r="Q282" s="86">
        <f t="shared" si="43"/>
        <v>195</v>
      </c>
      <c r="R282" s="86">
        <f t="shared" si="44"/>
        <v>100</v>
      </c>
      <c r="S282" s="83">
        <f t="shared" si="45"/>
        <v>695</v>
      </c>
      <c r="T282" s="83">
        <f>0</f>
        <v>0</v>
      </c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</row>
    <row r="283" spans="1:30" ht="15.75" x14ac:dyDescent="0.25">
      <c r="A283" s="34">
        <v>49522</v>
      </c>
      <c r="B283" s="97">
        <v>31</v>
      </c>
      <c r="C283" s="83">
        <f>194.205</f>
        <v>194.20500000000001</v>
      </c>
      <c r="D283" s="83">
        <f>267.466</f>
        <v>267.46600000000001</v>
      </c>
      <c r="E283" s="92">
        <f>133.845</f>
        <v>133.845</v>
      </c>
      <c r="F283" s="83">
        <f>278.484-40-25-60-100</f>
        <v>53.48399999999998</v>
      </c>
      <c r="G283" s="86">
        <v>40</v>
      </c>
      <c r="H283" s="83">
        <f t="shared" si="46"/>
        <v>185</v>
      </c>
      <c r="I283" s="83">
        <f t="shared" si="39"/>
        <v>0</v>
      </c>
      <c r="J283" s="86">
        <v>100</v>
      </c>
      <c r="K283" s="86">
        <v>300</v>
      </c>
      <c r="L283" s="83">
        <f t="shared" si="42"/>
        <v>1274</v>
      </c>
      <c r="M283" s="94">
        <v>600</v>
      </c>
      <c r="N283" s="83">
        <f>30</f>
        <v>30</v>
      </c>
      <c r="O283" s="86">
        <v>240</v>
      </c>
      <c r="P283" s="86">
        <v>160</v>
      </c>
      <c r="Q283" s="86">
        <f t="shared" si="43"/>
        <v>195</v>
      </c>
      <c r="R283" s="86">
        <f t="shared" si="44"/>
        <v>100</v>
      </c>
      <c r="S283" s="83">
        <f t="shared" si="45"/>
        <v>695</v>
      </c>
      <c r="T283" s="83">
        <f>0</f>
        <v>0</v>
      </c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</row>
    <row r="284" spans="1:30" ht="15.75" x14ac:dyDescent="0.25">
      <c r="A284" s="34">
        <v>49553</v>
      </c>
      <c r="B284" s="97">
        <v>30</v>
      </c>
      <c r="C284" s="83">
        <f>194.205</f>
        <v>194.20500000000001</v>
      </c>
      <c r="D284" s="83">
        <f>267.466</f>
        <v>267.46600000000001</v>
      </c>
      <c r="E284" s="92">
        <f>133.845</f>
        <v>133.845</v>
      </c>
      <c r="F284" s="83">
        <f>278.484-40-25-60-100</f>
        <v>53.48399999999998</v>
      </c>
      <c r="G284" s="86">
        <v>40</v>
      </c>
      <c r="H284" s="83">
        <f t="shared" si="46"/>
        <v>185</v>
      </c>
      <c r="I284" s="83">
        <f t="shared" si="39"/>
        <v>0</v>
      </c>
      <c r="J284" s="86">
        <v>100</v>
      </c>
      <c r="K284" s="86">
        <v>300</v>
      </c>
      <c r="L284" s="83">
        <f t="shared" si="42"/>
        <v>1274</v>
      </c>
      <c r="M284" s="94">
        <v>600</v>
      </c>
      <c r="N284" s="83">
        <f>30</f>
        <v>30</v>
      </c>
      <c r="O284" s="86">
        <v>240</v>
      </c>
      <c r="P284" s="86">
        <v>160</v>
      </c>
      <c r="Q284" s="86">
        <f t="shared" si="43"/>
        <v>195</v>
      </c>
      <c r="R284" s="86">
        <f t="shared" si="44"/>
        <v>100</v>
      </c>
      <c r="S284" s="83">
        <f t="shared" si="45"/>
        <v>695</v>
      </c>
      <c r="T284" s="83">
        <f>0</f>
        <v>0</v>
      </c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</row>
    <row r="285" spans="1:30" ht="15.75" x14ac:dyDescent="0.25">
      <c r="A285" s="34">
        <v>49583</v>
      </c>
      <c r="B285" s="97">
        <v>31</v>
      </c>
      <c r="C285" s="83">
        <f>131.881</f>
        <v>131.881</v>
      </c>
      <c r="D285" s="83">
        <f>277.167</f>
        <v>277.16699999999997</v>
      </c>
      <c r="E285" s="92">
        <f>79.08</f>
        <v>79.08</v>
      </c>
      <c r="F285" s="83">
        <f>350.872-40-25-60-100</f>
        <v>125.87200000000001</v>
      </c>
      <c r="G285" s="86">
        <v>40</v>
      </c>
      <c r="H285" s="83">
        <f t="shared" si="46"/>
        <v>185</v>
      </c>
      <c r="I285" s="83">
        <f t="shared" si="39"/>
        <v>0</v>
      </c>
      <c r="J285" s="86">
        <v>100</v>
      </c>
      <c r="K285" s="86">
        <v>300</v>
      </c>
      <c r="L285" s="83">
        <f t="shared" si="42"/>
        <v>1239</v>
      </c>
      <c r="M285" s="94">
        <v>600</v>
      </c>
      <c r="N285" s="83">
        <f>75</f>
        <v>75</v>
      </c>
      <c r="O285" s="86">
        <v>240</v>
      </c>
      <c r="P285" s="86">
        <v>160</v>
      </c>
      <c r="Q285" s="86">
        <f t="shared" si="43"/>
        <v>195</v>
      </c>
      <c r="R285" s="86">
        <f t="shared" si="44"/>
        <v>100</v>
      </c>
      <c r="S285" s="83">
        <f t="shared" si="45"/>
        <v>695</v>
      </c>
      <c r="T285" s="83">
        <f>0</f>
        <v>0</v>
      </c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</row>
    <row r="286" spans="1:30" ht="15.75" x14ac:dyDescent="0.25">
      <c r="A286" s="34">
        <v>49614</v>
      </c>
      <c r="B286" s="97">
        <v>30</v>
      </c>
      <c r="C286" s="83">
        <f>122.58</f>
        <v>122.58</v>
      </c>
      <c r="D286" s="83">
        <f>297.941</f>
        <v>297.94099999999997</v>
      </c>
      <c r="E286" s="92">
        <f>89.177</f>
        <v>89.177000000000007</v>
      </c>
      <c r="F286" s="83">
        <f>240.302-40-60-100</f>
        <v>40.301999999999992</v>
      </c>
      <c r="G286" s="86">
        <v>40</v>
      </c>
      <c r="H286" s="83">
        <f>60+100</f>
        <v>160</v>
      </c>
      <c r="I286" s="83">
        <f t="shared" si="39"/>
        <v>0</v>
      </c>
      <c r="J286" s="86">
        <v>100</v>
      </c>
      <c r="K286" s="86">
        <v>300</v>
      </c>
      <c r="L286" s="83">
        <f t="shared" si="42"/>
        <v>1150</v>
      </c>
      <c r="M286" s="94">
        <v>600</v>
      </c>
      <c r="N286" s="83">
        <f>100</f>
        <v>100</v>
      </c>
      <c r="O286" s="86">
        <v>240</v>
      </c>
      <c r="P286" s="86">
        <v>40</v>
      </c>
      <c r="Q286" s="86">
        <f t="shared" si="43"/>
        <v>315</v>
      </c>
      <c r="R286" s="86">
        <f t="shared" si="44"/>
        <v>100</v>
      </c>
      <c r="S286" s="83">
        <f t="shared" si="45"/>
        <v>695</v>
      </c>
      <c r="T286" s="83">
        <f>50</f>
        <v>50</v>
      </c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</row>
    <row r="287" spans="1:30" ht="15.75" x14ac:dyDescent="0.25">
      <c r="A287" s="34">
        <v>49644</v>
      </c>
      <c r="B287" s="97">
        <v>31</v>
      </c>
      <c r="C287" s="83">
        <f>122.58</f>
        <v>122.58</v>
      </c>
      <c r="D287" s="83">
        <f>297.941</f>
        <v>297.94099999999997</v>
      </c>
      <c r="E287" s="92">
        <f>89.177</f>
        <v>89.177000000000007</v>
      </c>
      <c r="F287" s="83">
        <f>240.302-40-60-100</f>
        <v>40.301999999999992</v>
      </c>
      <c r="G287" s="86">
        <v>40</v>
      </c>
      <c r="H287" s="83">
        <f>60+100</f>
        <v>160</v>
      </c>
      <c r="I287" s="83">
        <f t="shared" si="39"/>
        <v>0</v>
      </c>
      <c r="J287" s="86">
        <v>100</v>
      </c>
      <c r="K287" s="86">
        <v>300</v>
      </c>
      <c r="L287" s="83">
        <f t="shared" si="42"/>
        <v>1150</v>
      </c>
      <c r="M287" s="94">
        <v>600</v>
      </c>
      <c r="N287" s="83">
        <f>100</f>
        <v>100</v>
      </c>
      <c r="O287" s="86">
        <v>240</v>
      </c>
      <c r="P287" s="86">
        <v>40</v>
      </c>
      <c r="Q287" s="86">
        <f t="shared" si="43"/>
        <v>315</v>
      </c>
      <c r="R287" s="86">
        <f t="shared" si="44"/>
        <v>100</v>
      </c>
      <c r="S287" s="83">
        <f t="shared" si="45"/>
        <v>695</v>
      </c>
      <c r="T287" s="83">
        <f>50</f>
        <v>50</v>
      </c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</row>
    <row r="288" spans="1:30" ht="15.75" x14ac:dyDescent="0.25">
      <c r="A288" s="34">
        <v>49675</v>
      </c>
      <c r="B288" s="97">
        <v>31</v>
      </c>
      <c r="C288" s="83">
        <f>122.58</f>
        <v>122.58</v>
      </c>
      <c r="D288" s="83">
        <f>297.941</f>
        <v>297.94099999999997</v>
      </c>
      <c r="E288" s="92">
        <f>89.177</f>
        <v>89.177000000000007</v>
      </c>
      <c r="F288" s="83">
        <f>240.302-40-60-100</f>
        <v>40.301999999999992</v>
      </c>
      <c r="G288" s="86">
        <v>40</v>
      </c>
      <c r="H288" s="83">
        <f>60+100</f>
        <v>160</v>
      </c>
      <c r="I288" s="83">
        <f t="shared" si="39"/>
        <v>0</v>
      </c>
      <c r="J288" s="86">
        <v>100</v>
      </c>
      <c r="K288" s="86">
        <v>300</v>
      </c>
      <c r="L288" s="83">
        <f t="shared" si="42"/>
        <v>1150</v>
      </c>
      <c r="M288" s="94">
        <v>600</v>
      </c>
      <c r="N288" s="83">
        <f>100</f>
        <v>100</v>
      </c>
      <c r="O288" s="86">
        <v>240</v>
      </c>
      <c r="P288" s="86">
        <v>40</v>
      </c>
      <c r="Q288" s="86">
        <f t="shared" si="43"/>
        <v>315</v>
      </c>
      <c r="R288" s="86">
        <f t="shared" si="44"/>
        <v>100</v>
      </c>
      <c r="S288" s="83">
        <f t="shared" si="45"/>
        <v>695</v>
      </c>
      <c r="T288" s="83">
        <f>50</f>
        <v>50</v>
      </c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</row>
    <row r="289" spans="1:30" ht="15.75" x14ac:dyDescent="0.25">
      <c r="A289" s="34">
        <v>49706</v>
      </c>
      <c r="B289" s="97">
        <v>29</v>
      </c>
      <c r="C289" s="83">
        <f>122.58</f>
        <v>122.58</v>
      </c>
      <c r="D289" s="83">
        <f>297.941</f>
        <v>297.94099999999997</v>
      </c>
      <c r="E289" s="92">
        <f>89.177</f>
        <v>89.177000000000007</v>
      </c>
      <c r="F289" s="83">
        <f>240.302-40-60-100</f>
        <v>40.301999999999992</v>
      </c>
      <c r="G289" s="86">
        <v>40</v>
      </c>
      <c r="H289" s="83">
        <f>60+100</f>
        <v>160</v>
      </c>
      <c r="I289" s="83">
        <f t="shared" si="39"/>
        <v>0</v>
      </c>
      <c r="J289" s="86">
        <v>100</v>
      </c>
      <c r="K289" s="86">
        <v>300</v>
      </c>
      <c r="L289" s="83">
        <f t="shared" si="42"/>
        <v>1150</v>
      </c>
      <c r="M289" s="94">
        <v>600</v>
      </c>
      <c r="N289" s="83">
        <f>100</f>
        <v>100</v>
      </c>
      <c r="O289" s="86">
        <v>240</v>
      </c>
      <c r="P289" s="86">
        <v>40</v>
      </c>
      <c r="Q289" s="86">
        <f t="shared" si="43"/>
        <v>315</v>
      </c>
      <c r="R289" s="86">
        <f t="shared" si="44"/>
        <v>100</v>
      </c>
      <c r="S289" s="83">
        <f t="shared" si="45"/>
        <v>695</v>
      </c>
      <c r="T289" s="83">
        <f>50</f>
        <v>50</v>
      </c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</row>
    <row r="290" spans="1:30" ht="15.75" x14ac:dyDescent="0.25">
      <c r="A290" s="34">
        <v>49735</v>
      </c>
      <c r="B290" s="97">
        <v>31</v>
      </c>
      <c r="C290" s="83">
        <f>122.58</f>
        <v>122.58</v>
      </c>
      <c r="D290" s="83">
        <f>297.941</f>
        <v>297.94099999999997</v>
      </c>
      <c r="E290" s="92">
        <f>89.177</f>
        <v>89.177000000000007</v>
      </c>
      <c r="F290" s="83">
        <f>240.302-40-60-100</f>
        <v>40.301999999999992</v>
      </c>
      <c r="G290" s="86">
        <v>40</v>
      </c>
      <c r="H290" s="83">
        <f>60+100</f>
        <v>160</v>
      </c>
      <c r="I290" s="83">
        <f t="shared" si="39"/>
        <v>0</v>
      </c>
      <c r="J290" s="86">
        <v>100</v>
      </c>
      <c r="K290" s="86">
        <v>300</v>
      </c>
      <c r="L290" s="83">
        <f t="shared" si="42"/>
        <v>1150</v>
      </c>
      <c r="M290" s="94">
        <v>600</v>
      </c>
      <c r="N290" s="83">
        <f>100</f>
        <v>100</v>
      </c>
      <c r="O290" s="86">
        <v>240</v>
      </c>
      <c r="P290" s="86">
        <v>40</v>
      </c>
      <c r="Q290" s="86">
        <f t="shared" si="43"/>
        <v>315</v>
      </c>
      <c r="R290" s="86">
        <f t="shared" si="44"/>
        <v>100</v>
      </c>
      <c r="S290" s="83">
        <f t="shared" si="45"/>
        <v>695</v>
      </c>
      <c r="T290" s="83">
        <f>50</f>
        <v>50</v>
      </c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</row>
    <row r="291" spans="1:30" ht="15.75" x14ac:dyDescent="0.25">
      <c r="A291" s="34">
        <v>49766</v>
      </c>
      <c r="B291" s="97">
        <v>30</v>
      </c>
      <c r="C291" s="83">
        <f>141.293</f>
        <v>141.29300000000001</v>
      </c>
      <c r="D291" s="83">
        <f>267.993</f>
        <v>267.99299999999999</v>
      </c>
      <c r="E291" s="92">
        <f>115.016</f>
        <v>115.01600000000001</v>
      </c>
      <c r="F291" s="83">
        <f>314.698-40-25-60-100</f>
        <v>89.697999999999979</v>
      </c>
      <c r="G291" s="86">
        <v>40</v>
      </c>
      <c r="H291" s="83">
        <f t="shared" ref="H291:H297" si="47">25+60+100</f>
        <v>185</v>
      </c>
      <c r="I291" s="83">
        <f t="shared" si="39"/>
        <v>0</v>
      </c>
      <c r="J291" s="86">
        <v>100</v>
      </c>
      <c r="K291" s="86">
        <v>300</v>
      </c>
      <c r="L291" s="83">
        <f t="shared" si="42"/>
        <v>1239</v>
      </c>
      <c r="M291" s="94">
        <v>600</v>
      </c>
      <c r="N291" s="83">
        <f>100</f>
        <v>100</v>
      </c>
      <c r="O291" s="86">
        <v>240</v>
      </c>
      <c r="P291" s="86">
        <v>160</v>
      </c>
      <c r="Q291" s="86">
        <f t="shared" si="43"/>
        <v>195</v>
      </c>
      <c r="R291" s="86">
        <f t="shared" si="44"/>
        <v>100</v>
      </c>
      <c r="S291" s="83">
        <f t="shared" si="45"/>
        <v>695</v>
      </c>
      <c r="T291" s="83">
        <f>50</f>
        <v>50</v>
      </c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</row>
    <row r="292" spans="1:30" ht="15.75" x14ac:dyDescent="0.25">
      <c r="A292" s="34">
        <v>49796</v>
      </c>
      <c r="B292" s="97">
        <v>31</v>
      </c>
      <c r="C292" s="83">
        <f>194.205</f>
        <v>194.20500000000001</v>
      </c>
      <c r="D292" s="83">
        <f>267.466</f>
        <v>267.46600000000001</v>
      </c>
      <c r="E292" s="92">
        <f>133.845</f>
        <v>133.845</v>
      </c>
      <c r="F292" s="83">
        <f>278.484-40-25-60-100</f>
        <v>53.48399999999998</v>
      </c>
      <c r="G292" s="86">
        <v>40</v>
      </c>
      <c r="H292" s="83">
        <f t="shared" si="47"/>
        <v>185</v>
      </c>
      <c r="I292" s="83">
        <f t="shared" si="39"/>
        <v>0</v>
      </c>
      <c r="J292" s="86">
        <v>100</v>
      </c>
      <c r="K292" s="86">
        <v>300</v>
      </c>
      <c r="L292" s="83">
        <f t="shared" si="42"/>
        <v>1274</v>
      </c>
      <c r="M292" s="94">
        <v>600</v>
      </c>
      <c r="N292" s="83">
        <f>75</f>
        <v>75</v>
      </c>
      <c r="O292" s="86">
        <v>240</v>
      </c>
      <c r="P292" s="86">
        <v>160</v>
      </c>
      <c r="Q292" s="86">
        <f t="shared" si="43"/>
        <v>195</v>
      </c>
      <c r="R292" s="86">
        <f t="shared" si="44"/>
        <v>100</v>
      </c>
      <c r="S292" s="83">
        <f t="shared" si="45"/>
        <v>695</v>
      </c>
      <c r="T292" s="83">
        <f>50</f>
        <v>50</v>
      </c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</row>
    <row r="293" spans="1:30" ht="15.75" x14ac:dyDescent="0.25">
      <c r="A293" s="34">
        <v>49827</v>
      </c>
      <c r="B293" s="97">
        <v>30</v>
      </c>
      <c r="C293" s="83">
        <f>194.205</f>
        <v>194.20500000000001</v>
      </c>
      <c r="D293" s="83">
        <f>267.466</f>
        <v>267.46600000000001</v>
      </c>
      <c r="E293" s="92">
        <f>133.845</f>
        <v>133.845</v>
      </c>
      <c r="F293" s="83">
        <f>278.484-40-25-60-100</f>
        <v>53.48399999999998</v>
      </c>
      <c r="G293" s="86">
        <v>40</v>
      </c>
      <c r="H293" s="83">
        <f t="shared" si="47"/>
        <v>185</v>
      </c>
      <c r="I293" s="83">
        <f t="shared" si="39"/>
        <v>0</v>
      </c>
      <c r="J293" s="86">
        <v>100</v>
      </c>
      <c r="K293" s="86">
        <v>300</v>
      </c>
      <c r="L293" s="83">
        <f t="shared" si="42"/>
        <v>1274</v>
      </c>
      <c r="M293" s="94">
        <v>600</v>
      </c>
      <c r="N293" s="83">
        <f>30</f>
        <v>30</v>
      </c>
      <c r="O293" s="86">
        <v>240</v>
      </c>
      <c r="P293" s="86">
        <v>160</v>
      </c>
      <c r="Q293" s="86">
        <f t="shared" si="43"/>
        <v>195</v>
      </c>
      <c r="R293" s="86">
        <f t="shared" si="44"/>
        <v>100</v>
      </c>
      <c r="S293" s="83">
        <f t="shared" si="45"/>
        <v>695</v>
      </c>
      <c r="T293" s="83">
        <f>50</f>
        <v>50</v>
      </c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</row>
    <row r="294" spans="1:30" ht="15.75" x14ac:dyDescent="0.25">
      <c r="A294" s="34">
        <v>49857</v>
      </c>
      <c r="B294" s="97">
        <v>31</v>
      </c>
      <c r="C294" s="83">
        <f>194.205</f>
        <v>194.20500000000001</v>
      </c>
      <c r="D294" s="83">
        <f>267.466</f>
        <v>267.46600000000001</v>
      </c>
      <c r="E294" s="92">
        <f>133.845</f>
        <v>133.845</v>
      </c>
      <c r="F294" s="83">
        <f>278.484-40-25-60-100</f>
        <v>53.48399999999998</v>
      </c>
      <c r="G294" s="86">
        <v>40</v>
      </c>
      <c r="H294" s="83">
        <f t="shared" si="47"/>
        <v>185</v>
      </c>
      <c r="I294" s="83">
        <f t="shared" si="39"/>
        <v>0</v>
      </c>
      <c r="J294" s="86">
        <v>100</v>
      </c>
      <c r="K294" s="86">
        <v>300</v>
      </c>
      <c r="L294" s="83">
        <f t="shared" si="42"/>
        <v>1274</v>
      </c>
      <c r="M294" s="94">
        <v>600</v>
      </c>
      <c r="N294" s="83">
        <f>30</f>
        <v>30</v>
      </c>
      <c r="O294" s="86">
        <v>240</v>
      </c>
      <c r="P294" s="86">
        <v>160</v>
      </c>
      <c r="Q294" s="86">
        <f t="shared" si="43"/>
        <v>195</v>
      </c>
      <c r="R294" s="86">
        <f t="shared" si="44"/>
        <v>100</v>
      </c>
      <c r="S294" s="83">
        <f t="shared" si="45"/>
        <v>695</v>
      </c>
      <c r="T294" s="83">
        <f>0</f>
        <v>0</v>
      </c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</row>
    <row r="295" spans="1:30" ht="15.75" x14ac:dyDescent="0.25">
      <c r="A295" s="34">
        <v>49888</v>
      </c>
      <c r="B295" s="97">
        <v>31</v>
      </c>
      <c r="C295" s="83">
        <f>194.205</f>
        <v>194.20500000000001</v>
      </c>
      <c r="D295" s="83">
        <f>267.466</f>
        <v>267.46600000000001</v>
      </c>
      <c r="E295" s="92">
        <f>133.845</f>
        <v>133.845</v>
      </c>
      <c r="F295" s="83">
        <f>278.484-40-25-60-100</f>
        <v>53.48399999999998</v>
      </c>
      <c r="G295" s="86">
        <v>40</v>
      </c>
      <c r="H295" s="83">
        <f t="shared" si="47"/>
        <v>185</v>
      </c>
      <c r="I295" s="83">
        <f t="shared" si="39"/>
        <v>0</v>
      </c>
      <c r="J295" s="86">
        <v>100</v>
      </c>
      <c r="K295" s="86">
        <v>300</v>
      </c>
      <c r="L295" s="83">
        <f t="shared" si="42"/>
        <v>1274</v>
      </c>
      <c r="M295" s="94">
        <v>600</v>
      </c>
      <c r="N295" s="83">
        <f>30</f>
        <v>30</v>
      </c>
      <c r="O295" s="86">
        <v>240</v>
      </c>
      <c r="P295" s="86">
        <v>160</v>
      </c>
      <c r="Q295" s="86">
        <f t="shared" si="43"/>
        <v>195</v>
      </c>
      <c r="R295" s="86">
        <f t="shared" si="44"/>
        <v>100</v>
      </c>
      <c r="S295" s="83">
        <f t="shared" si="45"/>
        <v>695</v>
      </c>
      <c r="T295" s="83">
        <f>0</f>
        <v>0</v>
      </c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</row>
    <row r="296" spans="1:30" ht="15.75" x14ac:dyDescent="0.25">
      <c r="A296" s="34">
        <v>49919</v>
      </c>
      <c r="B296" s="97">
        <v>30</v>
      </c>
      <c r="C296" s="83">
        <f>194.205</f>
        <v>194.20500000000001</v>
      </c>
      <c r="D296" s="83">
        <f>267.466</f>
        <v>267.46600000000001</v>
      </c>
      <c r="E296" s="92">
        <f>133.845</f>
        <v>133.845</v>
      </c>
      <c r="F296" s="83">
        <f>278.484-40-25-60-100</f>
        <v>53.48399999999998</v>
      </c>
      <c r="G296" s="86">
        <v>40</v>
      </c>
      <c r="H296" s="83">
        <f t="shared" si="47"/>
        <v>185</v>
      </c>
      <c r="I296" s="83">
        <f t="shared" si="39"/>
        <v>0</v>
      </c>
      <c r="J296" s="86">
        <v>100</v>
      </c>
      <c r="K296" s="86">
        <v>300</v>
      </c>
      <c r="L296" s="83">
        <f t="shared" si="42"/>
        <v>1274</v>
      </c>
      <c r="M296" s="94">
        <v>600</v>
      </c>
      <c r="N296" s="83">
        <f>30</f>
        <v>30</v>
      </c>
      <c r="O296" s="86">
        <v>240</v>
      </c>
      <c r="P296" s="86">
        <v>160</v>
      </c>
      <c r="Q296" s="86">
        <f t="shared" si="43"/>
        <v>195</v>
      </c>
      <c r="R296" s="86">
        <f t="shared" si="44"/>
        <v>100</v>
      </c>
      <c r="S296" s="83">
        <f t="shared" si="45"/>
        <v>695</v>
      </c>
      <c r="T296" s="83">
        <f>0</f>
        <v>0</v>
      </c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</row>
    <row r="297" spans="1:30" ht="15.75" x14ac:dyDescent="0.25">
      <c r="A297" s="34">
        <v>49949</v>
      </c>
      <c r="B297" s="97">
        <v>31</v>
      </c>
      <c r="C297" s="83">
        <f>131.881</f>
        <v>131.881</v>
      </c>
      <c r="D297" s="83">
        <f>277.167</f>
        <v>277.16699999999997</v>
      </c>
      <c r="E297" s="92">
        <f>79.08</f>
        <v>79.08</v>
      </c>
      <c r="F297" s="83">
        <f>350.872-40-25-60-100</f>
        <v>125.87200000000001</v>
      </c>
      <c r="G297" s="86">
        <v>40</v>
      </c>
      <c r="H297" s="83">
        <f t="shared" si="47"/>
        <v>185</v>
      </c>
      <c r="I297" s="83">
        <f t="shared" si="39"/>
        <v>0</v>
      </c>
      <c r="J297" s="86">
        <v>100</v>
      </c>
      <c r="K297" s="86">
        <v>300</v>
      </c>
      <c r="L297" s="83">
        <f t="shared" si="42"/>
        <v>1239</v>
      </c>
      <c r="M297" s="94">
        <v>600</v>
      </c>
      <c r="N297" s="83">
        <f>75</f>
        <v>75</v>
      </c>
      <c r="O297" s="86">
        <v>240</v>
      </c>
      <c r="P297" s="86">
        <v>160</v>
      </c>
      <c r="Q297" s="86">
        <f t="shared" si="43"/>
        <v>195</v>
      </c>
      <c r="R297" s="86">
        <f t="shared" si="44"/>
        <v>100</v>
      </c>
      <c r="S297" s="83">
        <f t="shared" si="45"/>
        <v>695</v>
      </c>
      <c r="T297" s="83">
        <f>0</f>
        <v>0</v>
      </c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</row>
    <row r="298" spans="1:30" ht="15.75" x14ac:dyDescent="0.25">
      <c r="A298" s="34">
        <v>49980</v>
      </c>
      <c r="B298" s="97">
        <v>30</v>
      </c>
      <c r="C298" s="83">
        <f>122.58</f>
        <v>122.58</v>
      </c>
      <c r="D298" s="83">
        <f>297.941</f>
        <v>297.94099999999997</v>
      </c>
      <c r="E298" s="92">
        <f>89.177</f>
        <v>89.177000000000007</v>
      </c>
      <c r="F298" s="83">
        <f>240.302-40-60-100</f>
        <v>40.301999999999992</v>
      </c>
      <c r="G298" s="86">
        <v>40</v>
      </c>
      <c r="H298" s="83">
        <f>60+100</f>
        <v>160</v>
      </c>
      <c r="I298" s="83">
        <f t="shared" si="39"/>
        <v>0</v>
      </c>
      <c r="J298" s="86">
        <v>100</v>
      </c>
      <c r="K298" s="86">
        <v>300</v>
      </c>
      <c r="L298" s="83">
        <f t="shared" si="42"/>
        <v>1150</v>
      </c>
      <c r="M298" s="94">
        <v>600</v>
      </c>
      <c r="N298" s="83">
        <f>100</f>
        <v>100</v>
      </c>
      <c r="O298" s="86">
        <v>240</v>
      </c>
      <c r="P298" s="86">
        <v>40</v>
      </c>
      <c r="Q298" s="86">
        <f t="shared" si="43"/>
        <v>315</v>
      </c>
      <c r="R298" s="86">
        <f t="shared" si="44"/>
        <v>100</v>
      </c>
      <c r="S298" s="83">
        <f t="shared" si="45"/>
        <v>695</v>
      </c>
      <c r="T298" s="83">
        <f>50</f>
        <v>50</v>
      </c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</row>
    <row r="299" spans="1:30" ht="15.75" x14ac:dyDescent="0.25">
      <c r="A299" s="34">
        <v>50010</v>
      </c>
      <c r="B299" s="97">
        <v>31</v>
      </c>
      <c r="C299" s="83">
        <f>122.58</f>
        <v>122.58</v>
      </c>
      <c r="D299" s="83">
        <f>297.941</f>
        <v>297.94099999999997</v>
      </c>
      <c r="E299" s="92">
        <f>89.177</f>
        <v>89.177000000000007</v>
      </c>
      <c r="F299" s="83">
        <f>240.302-40-60-100</f>
        <v>40.301999999999992</v>
      </c>
      <c r="G299" s="86">
        <v>40</v>
      </c>
      <c r="H299" s="83">
        <f>60+100</f>
        <v>160</v>
      </c>
      <c r="I299" s="83">
        <f t="shared" si="39"/>
        <v>0</v>
      </c>
      <c r="J299" s="86">
        <v>100</v>
      </c>
      <c r="K299" s="86">
        <v>300</v>
      </c>
      <c r="L299" s="83">
        <f t="shared" si="42"/>
        <v>1150</v>
      </c>
      <c r="M299" s="94">
        <v>600</v>
      </c>
      <c r="N299" s="83">
        <f>100</f>
        <v>100</v>
      </c>
      <c r="O299" s="86">
        <v>240</v>
      </c>
      <c r="P299" s="86">
        <v>40</v>
      </c>
      <c r="Q299" s="86">
        <f t="shared" si="43"/>
        <v>315</v>
      </c>
      <c r="R299" s="86">
        <f t="shared" si="44"/>
        <v>100</v>
      </c>
      <c r="S299" s="83">
        <f t="shared" si="45"/>
        <v>695</v>
      </c>
      <c r="T299" s="83">
        <f>50</f>
        <v>50</v>
      </c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</row>
    <row r="300" spans="1:30" ht="15.75" x14ac:dyDescent="0.25">
      <c r="A300" s="34">
        <v>50041</v>
      </c>
      <c r="B300" s="97">
        <v>31</v>
      </c>
      <c r="C300" s="83">
        <f>122.58</f>
        <v>122.58</v>
      </c>
      <c r="D300" s="83">
        <f>297.941</f>
        <v>297.94099999999997</v>
      </c>
      <c r="E300" s="92">
        <f>89.177</f>
        <v>89.177000000000007</v>
      </c>
      <c r="F300" s="83">
        <f>240.302-40-60-100</f>
        <v>40.301999999999992</v>
      </c>
      <c r="G300" s="86">
        <v>40</v>
      </c>
      <c r="H300" s="83">
        <f>60+100</f>
        <v>160</v>
      </c>
      <c r="I300" s="83">
        <f t="shared" si="39"/>
        <v>0</v>
      </c>
      <c r="J300" s="86">
        <v>100</v>
      </c>
      <c r="K300" s="86">
        <v>300</v>
      </c>
      <c r="L300" s="83">
        <f t="shared" si="42"/>
        <v>1150</v>
      </c>
      <c r="M300" s="94">
        <v>600</v>
      </c>
      <c r="N300" s="83">
        <f>100</f>
        <v>100</v>
      </c>
      <c r="O300" s="86">
        <v>240</v>
      </c>
      <c r="P300" s="86">
        <v>40</v>
      </c>
      <c r="Q300" s="86">
        <f t="shared" si="43"/>
        <v>315</v>
      </c>
      <c r="R300" s="86">
        <f t="shared" si="44"/>
        <v>100</v>
      </c>
      <c r="S300" s="83">
        <f t="shared" si="45"/>
        <v>695</v>
      </c>
      <c r="T300" s="83">
        <f>50</f>
        <v>50</v>
      </c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</row>
    <row r="301" spans="1:30" ht="15.75" x14ac:dyDescent="0.25">
      <c r="A301" s="34">
        <v>50072</v>
      </c>
      <c r="B301" s="97">
        <v>28</v>
      </c>
      <c r="C301" s="83">
        <f>122.58</f>
        <v>122.58</v>
      </c>
      <c r="D301" s="83">
        <f>297.941</f>
        <v>297.94099999999997</v>
      </c>
      <c r="E301" s="92">
        <f>89.177</f>
        <v>89.177000000000007</v>
      </c>
      <c r="F301" s="83">
        <f>240.302-40-60-100</f>
        <v>40.301999999999992</v>
      </c>
      <c r="G301" s="86">
        <v>40</v>
      </c>
      <c r="H301" s="83">
        <f>60+100</f>
        <v>160</v>
      </c>
      <c r="I301" s="83">
        <f t="shared" si="39"/>
        <v>0</v>
      </c>
      <c r="J301" s="86">
        <v>100</v>
      </c>
      <c r="K301" s="86">
        <v>300</v>
      </c>
      <c r="L301" s="83">
        <f t="shared" si="42"/>
        <v>1150</v>
      </c>
      <c r="M301" s="94">
        <v>600</v>
      </c>
      <c r="N301" s="83">
        <f>100</f>
        <v>100</v>
      </c>
      <c r="O301" s="86">
        <v>240</v>
      </c>
      <c r="P301" s="86">
        <v>40</v>
      </c>
      <c r="Q301" s="86">
        <f t="shared" si="43"/>
        <v>315</v>
      </c>
      <c r="R301" s="86">
        <f t="shared" si="44"/>
        <v>100</v>
      </c>
      <c r="S301" s="83">
        <f t="shared" si="45"/>
        <v>695</v>
      </c>
      <c r="T301" s="83">
        <f>50</f>
        <v>50</v>
      </c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</row>
    <row r="302" spans="1:30" ht="15.75" x14ac:dyDescent="0.25">
      <c r="A302" s="34">
        <v>50100</v>
      </c>
      <c r="B302" s="97">
        <v>31</v>
      </c>
      <c r="C302" s="83">
        <f>122.58</f>
        <v>122.58</v>
      </c>
      <c r="D302" s="83">
        <f>297.941</f>
        <v>297.94099999999997</v>
      </c>
      <c r="E302" s="92">
        <f>89.177</f>
        <v>89.177000000000007</v>
      </c>
      <c r="F302" s="83">
        <f>240.302-40-60-100</f>
        <v>40.301999999999992</v>
      </c>
      <c r="G302" s="86">
        <v>40</v>
      </c>
      <c r="H302" s="83">
        <f>60+100</f>
        <v>160</v>
      </c>
      <c r="I302" s="83">
        <f t="shared" si="39"/>
        <v>0</v>
      </c>
      <c r="J302" s="86">
        <v>100</v>
      </c>
      <c r="K302" s="86">
        <v>300</v>
      </c>
      <c r="L302" s="83">
        <f t="shared" si="42"/>
        <v>1150</v>
      </c>
      <c r="M302" s="94">
        <v>600</v>
      </c>
      <c r="N302" s="83">
        <f>100</f>
        <v>100</v>
      </c>
      <c r="O302" s="86">
        <v>240</v>
      </c>
      <c r="P302" s="86">
        <v>40</v>
      </c>
      <c r="Q302" s="86">
        <f t="shared" si="43"/>
        <v>315</v>
      </c>
      <c r="R302" s="86">
        <f t="shared" si="44"/>
        <v>100</v>
      </c>
      <c r="S302" s="83">
        <f t="shared" si="45"/>
        <v>695</v>
      </c>
      <c r="T302" s="83">
        <f>50</f>
        <v>50</v>
      </c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</row>
    <row r="303" spans="1:30" ht="15.75" x14ac:dyDescent="0.25">
      <c r="A303" s="34">
        <v>50131</v>
      </c>
      <c r="B303" s="97">
        <v>30</v>
      </c>
      <c r="C303" s="83">
        <f>141.293</f>
        <v>141.29300000000001</v>
      </c>
      <c r="D303" s="83">
        <f>267.993</f>
        <v>267.99299999999999</v>
      </c>
      <c r="E303" s="92">
        <f>115.016</f>
        <v>115.01600000000001</v>
      </c>
      <c r="F303" s="83">
        <f>314.698-40-25-60-100</f>
        <v>89.697999999999979</v>
      </c>
      <c r="G303" s="86">
        <v>40</v>
      </c>
      <c r="H303" s="83">
        <f t="shared" ref="H303:H309" si="48">25+60+100</f>
        <v>185</v>
      </c>
      <c r="I303" s="83">
        <f t="shared" si="39"/>
        <v>0</v>
      </c>
      <c r="J303" s="86">
        <v>100</v>
      </c>
      <c r="K303" s="86">
        <v>300</v>
      </c>
      <c r="L303" s="83">
        <f t="shared" si="42"/>
        <v>1239</v>
      </c>
      <c r="M303" s="94">
        <v>600</v>
      </c>
      <c r="N303" s="83">
        <f>100</f>
        <v>100</v>
      </c>
      <c r="O303" s="86">
        <v>240</v>
      </c>
      <c r="P303" s="86">
        <v>160</v>
      </c>
      <c r="Q303" s="86">
        <f t="shared" si="43"/>
        <v>195</v>
      </c>
      <c r="R303" s="86">
        <f t="shared" si="44"/>
        <v>100</v>
      </c>
      <c r="S303" s="83">
        <f t="shared" si="45"/>
        <v>695</v>
      </c>
      <c r="T303" s="83">
        <f>50</f>
        <v>50</v>
      </c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</row>
    <row r="304" spans="1:30" ht="15.75" x14ac:dyDescent="0.25">
      <c r="A304" s="34">
        <v>50161</v>
      </c>
      <c r="B304" s="97">
        <v>31</v>
      </c>
      <c r="C304" s="83">
        <f>194.205</f>
        <v>194.20500000000001</v>
      </c>
      <c r="D304" s="83">
        <f>267.466</f>
        <v>267.46600000000001</v>
      </c>
      <c r="E304" s="92">
        <f>133.845</f>
        <v>133.845</v>
      </c>
      <c r="F304" s="83">
        <f>278.484-40-25-60-100</f>
        <v>53.48399999999998</v>
      </c>
      <c r="G304" s="86">
        <v>40</v>
      </c>
      <c r="H304" s="83">
        <f t="shared" si="48"/>
        <v>185</v>
      </c>
      <c r="I304" s="83">
        <f t="shared" si="39"/>
        <v>0</v>
      </c>
      <c r="J304" s="86">
        <v>100</v>
      </c>
      <c r="K304" s="86">
        <v>300</v>
      </c>
      <c r="L304" s="83">
        <f t="shared" si="42"/>
        <v>1274</v>
      </c>
      <c r="M304" s="94">
        <v>600</v>
      </c>
      <c r="N304" s="83">
        <f>75</f>
        <v>75</v>
      </c>
      <c r="O304" s="86">
        <v>240</v>
      </c>
      <c r="P304" s="86">
        <v>160</v>
      </c>
      <c r="Q304" s="86">
        <f t="shared" si="43"/>
        <v>195</v>
      </c>
      <c r="R304" s="86">
        <f t="shared" si="44"/>
        <v>100</v>
      </c>
      <c r="S304" s="83">
        <f t="shared" si="45"/>
        <v>695</v>
      </c>
      <c r="T304" s="83">
        <f>50</f>
        <v>50</v>
      </c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</row>
    <row r="305" spans="1:30" ht="15.75" x14ac:dyDescent="0.25">
      <c r="A305" s="34">
        <v>50192</v>
      </c>
      <c r="B305" s="97">
        <v>30</v>
      </c>
      <c r="C305" s="83">
        <f>194.205</f>
        <v>194.20500000000001</v>
      </c>
      <c r="D305" s="83">
        <f>267.466</f>
        <v>267.46600000000001</v>
      </c>
      <c r="E305" s="92">
        <f>133.845</f>
        <v>133.845</v>
      </c>
      <c r="F305" s="83">
        <f>278.484-40-25-60-100</f>
        <v>53.48399999999998</v>
      </c>
      <c r="G305" s="86">
        <v>40</v>
      </c>
      <c r="H305" s="83">
        <f t="shared" si="48"/>
        <v>185</v>
      </c>
      <c r="I305" s="83">
        <f t="shared" si="39"/>
        <v>0</v>
      </c>
      <c r="J305" s="86">
        <v>100</v>
      </c>
      <c r="K305" s="86">
        <v>300</v>
      </c>
      <c r="L305" s="83">
        <f t="shared" si="42"/>
        <v>1274</v>
      </c>
      <c r="M305" s="94">
        <v>600</v>
      </c>
      <c r="N305" s="83">
        <f>30</f>
        <v>30</v>
      </c>
      <c r="O305" s="86">
        <v>240</v>
      </c>
      <c r="P305" s="86">
        <v>160</v>
      </c>
      <c r="Q305" s="86">
        <f t="shared" si="43"/>
        <v>195</v>
      </c>
      <c r="R305" s="86">
        <f t="shared" si="44"/>
        <v>100</v>
      </c>
      <c r="S305" s="83">
        <f t="shared" si="45"/>
        <v>695</v>
      </c>
      <c r="T305" s="83">
        <f>50</f>
        <v>50</v>
      </c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</row>
    <row r="306" spans="1:30" ht="15.75" x14ac:dyDescent="0.25">
      <c r="A306" s="34">
        <v>50222</v>
      </c>
      <c r="B306" s="97">
        <v>31</v>
      </c>
      <c r="C306" s="83">
        <f>194.205</f>
        <v>194.20500000000001</v>
      </c>
      <c r="D306" s="83">
        <f>267.466</f>
        <v>267.46600000000001</v>
      </c>
      <c r="E306" s="92">
        <f>133.845</f>
        <v>133.845</v>
      </c>
      <c r="F306" s="83">
        <f>278.484-40-25-60-100</f>
        <v>53.48399999999998</v>
      </c>
      <c r="G306" s="86">
        <v>40</v>
      </c>
      <c r="H306" s="83">
        <f t="shared" si="48"/>
        <v>185</v>
      </c>
      <c r="I306" s="83">
        <f t="shared" si="39"/>
        <v>0</v>
      </c>
      <c r="J306" s="86">
        <v>100</v>
      </c>
      <c r="K306" s="86">
        <v>300</v>
      </c>
      <c r="L306" s="83">
        <f t="shared" si="42"/>
        <v>1274</v>
      </c>
      <c r="M306" s="94">
        <v>600</v>
      </c>
      <c r="N306" s="83">
        <f>30</f>
        <v>30</v>
      </c>
      <c r="O306" s="86">
        <v>240</v>
      </c>
      <c r="P306" s="86">
        <v>160</v>
      </c>
      <c r="Q306" s="86">
        <f t="shared" si="43"/>
        <v>195</v>
      </c>
      <c r="R306" s="86">
        <f t="shared" si="44"/>
        <v>100</v>
      </c>
      <c r="S306" s="83">
        <f t="shared" si="45"/>
        <v>695</v>
      </c>
      <c r="T306" s="83">
        <f>0</f>
        <v>0</v>
      </c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</row>
    <row r="307" spans="1:30" ht="15.75" x14ac:dyDescent="0.25">
      <c r="A307" s="34">
        <v>50253</v>
      </c>
      <c r="B307" s="97">
        <v>31</v>
      </c>
      <c r="C307" s="83">
        <f>194.205</f>
        <v>194.20500000000001</v>
      </c>
      <c r="D307" s="83">
        <f>267.466</f>
        <v>267.46600000000001</v>
      </c>
      <c r="E307" s="92">
        <f>133.845</f>
        <v>133.845</v>
      </c>
      <c r="F307" s="83">
        <f>278.484-40-25-60-100</f>
        <v>53.48399999999998</v>
      </c>
      <c r="G307" s="86">
        <v>40</v>
      </c>
      <c r="H307" s="83">
        <f t="shared" si="48"/>
        <v>185</v>
      </c>
      <c r="I307" s="83">
        <f t="shared" si="39"/>
        <v>0</v>
      </c>
      <c r="J307" s="86">
        <v>100</v>
      </c>
      <c r="K307" s="86">
        <v>300</v>
      </c>
      <c r="L307" s="83">
        <f t="shared" si="42"/>
        <v>1274</v>
      </c>
      <c r="M307" s="94">
        <v>600</v>
      </c>
      <c r="N307" s="83">
        <f>30</f>
        <v>30</v>
      </c>
      <c r="O307" s="86">
        <v>240</v>
      </c>
      <c r="P307" s="86">
        <v>160</v>
      </c>
      <c r="Q307" s="86">
        <f t="shared" si="43"/>
        <v>195</v>
      </c>
      <c r="R307" s="86">
        <f t="shared" si="44"/>
        <v>100</v>
      </c>
      <c r="S307" s="83">
        <f t="shared" si="45"/>
        <v>695</v>
      </c>
      <c r="T307" s="83">
        <f>0</f>
        <v>0</v>
      </c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</row>
    <row r="308" spans="1:30" ht="15.75" x14ac:dyDescent="0.25">
      <c r="A308" s="34">
        <v>50284</v>
      </c>
      <c r="B308" s="97">
        <v>30</v>
      </c>
      <c r="C308" s="83">
        <f>194.205</f>
        <v>194.20500000000001</v>
      </c>
      <c r="D308" s="83">
        <f>267.466</f>
        <v>267.46600000000001</v>
      </c>
      <c r="E308" s="92">
        <f>133.845</f>
        <v>133.845</v>
      </c>
      <c r="F308" s="83">
        <f>278.484-40-25-60-100</f>
        <v>53.48399999999998</v>
      </c>
      <c r="G308" s="86">
        <v>40</v>
      </c>
      <c r="H308" s="83">
        <f t="shared" si="48"/>
        <v>185</v>
      </c>
      <c r="I308" s="83">
        <f t="shared" ref="I308:I371" si="49">400-J308-K308</f>
        <v>0</v>
      </c>
      <c r="J308" s="86">
        <v>100</v>
      </c>
      <c r="K308" s="86">
        <v>300</v>
      </c>
      <c r="L308" s="83">
        <f t="shared" si="42"/>
        <v>1274</v>
      </c>
      <c r="M308" s="94">
        <v>600</v>
      </c>
      <c r="N308" s="83">
        <f>30</f>
        <v>30</v>
      </c>
      <c r="O308" s="86">
        <v>240</v>
      </c>
      <c r="P308" s="86">
        <v>160</v>
      </c>
      <c r="Q308" s="86">
        <f t="shared" si="43"/>
        <v>195</v>
      </c>
      <c r="R308" s="86">
        <f t="shared" si="44"/>
        <v>100</v>
      </c>
      <c r="S308" s="83">
        <f t="shared" si="45"/>
        <v>695</v>
      </c>
      <c r="T308" s="83">
        <f>0</f>
        <v>0</v>
      </c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</row>
    <row r="309" spans="1:30" ht="15.75" x14ac:dyDescent="0.25">
      <c r="A309" s="34">
        <v>50314</v>
      </c>
      <c r="B309" s="97">
        <v>31</v>
      </c>
      <c r="C309" s="83">
        <f>131.881</f>
        <v>131.881</v>
      </c>
      <c r="D309" s="83">
        <f>277.167</f>
        <v>277.16699999999997</v>
      </c>
      <c r="E309" s="92">
        <f>79.08</f>
        <v>79.08</v>
      </c>
      <c r="F309" s="83">
        <f>350.872-40-25-60-100</f>
        <v>125.87200000000001</v>
      </c>
      <c r="G309" s="86">
        <v>40</v>
      </c>
      <c r="H309" s="83">
        <f t="shared" si="48"/>
        <v>185</v>
      </c>
      <c r="I309" s="83">
        <f t="shared" si="49"/>
        <v>0</v>
      </c>
      <c r="J309" s="86">
        <v>100</v>
      </c>
      <c r="K309" s="86">
        <v>300</v>
      </c>
      <c r="L309" s="83">
        <f t="shared" si="42"/>
        <v>1239</v>
      </c>
      <c r="M309" s="94">
        <v>600</v>
      </c>
      <c r="N309" s="83">
        <f>75</f>
        <v>75</v>
      </c>
      <c r="O309" s="86">
        <v>240</v>
      </c>
      <c r="P309" s="86">
        <v>160</v>
      </c>
      <c r="Q309" s="86">
        <f t="shared" si="43"/>
        <v>195</v>
      </c>
      <c r="R309" s="86">
        <f t="shared" si="44"/>
        <v>100</v>
      </c>
      <c r="S309" s="83">
        <f t="shared" si="45"/>
        <v>695</v>
      </c>
      <c r="T309" s="83">
        <f>0</f>
        <v>0</v>
      </c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</row>
    <row r="310" spans="1:30" ht="15.75" x14ac:dyDescent="0.25">
      <c r="A310" s="34">
        <v>50345</v>
      </c>
      <c r="B310" s="97">
        <v>30</v>
      </c>
      <c r="C310" s="83">
        <f>122.58</f>
        <v>122.58</v>
      </c>
      <c r="D310" s="83">
        <f>297.941</f>
        <v>297.94099999999997</v>
      </c>
      <c r="E310" s="92">
        <f>89.177</f>
        <v>89.177000000000007</v>
      </c>
      <c r="F310" s="83">
        <f>240.302-40-60-100</f>
        <v>40.301999999999992</v>
      </c>
      <c r="G310" s="86">
        <v>40</v>
      </c>
      <c r="H310" s="83">
        <f>60+100</f>
        <v>160</v>
      </c>
      <c r="I310" s="83">
        <f t="shared" si="49"/>
        <v>0</v>
      </c>
      <c r="J310" s="86">
        <v>100</v>
      </c>
      <c r="K310" s="86">
        <v>300</v>
      </c>
      <c r="L310" s="83">
        <f t="shared" si="42"/>
        <v>1150</v>
      </c>
      <c r="M310" s="94">
        <v>600</v>
      </c>
      <c r="N310" s="83">
        <f>100</f>
        <v>100</v>
      </c>
      <c r="O310" s="86">
        <v>240</v>
      </c>
      <c r="P310" s="86">
        <v>40</v>
      </c>
      <c r="Q310" s="86">
        <f t="shared" si="43"/>
        <v>315</v>
      </c>
      <c r="R310" s="86">
        <f t="shared" si="44"/>
        <v>100</v>
      </c>
      <c r="S310" s="83">
        <f t="shared" si="45"/>
        <v>695</v>
      </c>
      <c r="T310" s="83">
        <f>50</f>
        <v>50</v>
      </c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</row>
    <row r="311" spans="1:30" ht="15.75" x14ac:dyDescent="0.25">
      <c r="A311" s="34">
        <v>50375</v>
      </c>
      <c r="B311" s="97">
        <v>31</v>
      </c>
      <c r="C311" s="83">
        <f>122.58</f>
        <v>122.58</v>
      </c>
      <c r="D311" s="83">
        <f>297.941</f>
        <v>297.94099999999997</v>
      </c>
      <c r="E311" s="92">
        <f>89.177</f>
        <v>89.177000000000007</v>
      </c>
      <c r="F311" s="83">
        <f>240.302-40-60-100</f>
        <v>40.301999999999992</v>
      </c>
      <c r="G311" s="86">
        <v>40</v>
      </c>
      <c r="H311" s="83">
        <f>60+100</f>
        <v>160</v>
      </c>
      <c r="I311" s="83">
        <f t="shared" si="49"/>
        <v>0</v>
      </c>
      <c r="J311" s="86">
        <v>100</v>
      </c>
      <c r="K311" s="86">
        <v>300</v>
      </c>
      <c r="L311" s="83">
        <f t="shared" si="42"/>
        <v>1150</v>
      </c>
      <c r="M311" s="94">
        <v>600</v>
      </c>
      <c r="N311" s="83">
        <f>100</f>
        <v>100</v>
      </c>
      <c r="O311" s="86">
        <v>240</v>
      </c>
      <c r="P311" s="86">
        <v>40</v>
      </c>
      <c r="Q311" s="86">
        <f t="shared" si="43"/>
        <v>315</v>
      </c>
      <c r="R311" s="86">
        <f t="shared" si="44"/>
        <v>100</v>
      </c>
      <c r="S311" s="83">
        <f t="shared" si="45"/>
        <v>695</v>
      </c>
      <c r="T311" s="83">
        <f>50</f>
        <v>50</v>
      </c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</row>
    <row r="312" spans="1:30" ht="15.75" x14ac:dyDescent="0.25">
      <c r="A312" s="33">
        <v>50436</v>
      </c>
      <c r="B312" s="96">
        <v>31</v>
      </c>
      <c r="C312" s="83">
        <f>122.58</f>
        <v>122.58</v>
      </c>
      <c r="D312" s="83">
        <f>297.941</f>
        <v>297.94099999999997</v>
      </c>
      <c r="E312" s="92">
        <f>89.177</f>
        <v>89.177000000000007</v>
      </c>
      <c r="F312" s="83">
        <f>240.302-40-60-100</f>
        <v>40.301999999999992</v>
      </c>
      <c r="G312" s="86">
        <v>40</v>
      </c>
      <c r="H312" s="83">
        <f>60+100</f>
        <v>160</v>
      </c>
      <c r="I312" s="83">
        <f t="shared" si="49"/>
        <v>0</v>
      </c>
      <c r="J312" s="86">
        <v>100</v>
      </c>
      <c r="K312" s="86">
        <v>300</v>
      </c>
      <c r="L312" s="83">
        <f t="shared" si="42"/>
        <v>1150</v>
      </c>
      <c r="M312" s="94">
        <v>600</v>
      </c>
      <c r="N312" s="83">
        <f>100</f>
        <v>100</v>
      </c>
      <c r="O312" s="86">
        <v>240</v>
      </c>
      <c r="P312" s="86">
        <v>40</v>
      </c>
      <c r="Q312" s="86">
        <f t="shared" si="43"/>
        <v>315</v>
      </c>
      <c r="R312" s="86">
        <f t="shared" si="44"/>
        <v>100</v>
      </c>
      <c r="S312" s="83">
        <f t="shared" si="45"/>
        <v>695</v>
      </c>
      <c r="T312" s="83">
        <f>50</f>
        <v>50</v>
      </c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</row>
    <row r="313" spans="1:30" ht="15.75" x14ac:dyDescent="0.25">
      <c r="A313" s="33">
        <v>50464</v>
      </c>
      <c r="B313" s="96">
        <v>28</v>
      </c>
      <c r="C313" s="83">
        <f>122.58</f>
        <v>122.58</v>
      </c>
      <c r="D313" s="83">
        <f>297.941</f>
        <v>297.94099999999997</v>
      </c>
      <c r="E313" s="92">
        <f>89.177</f>
        <v>89.177000000000007</v>
      </c>
      <c r="F313" s="83">
        <f>240.302-40-60-100</f>
        <v>40.301999999999992</v>
      </c>
      <c r="G313" s="86">
        <v>40</v>
      </c>
      <c r="H313" s="83">
        <f>60+100</f>
        <v>160</v>
      </c>
      <c r="I313" s="83">
        <f t="shared" si="49"/>
        <v>0</v>
      </c>
      <c r="J313" s="86">
        <v>100</v>
      </c>
      <c r="K313" s="86">
        <v>300</v>
      </c>
      <c r="L313" s="83">
        <f t="shared" si="42"/>
        <v>1150</v>
      </c>
      <c r="M313" s="94">
        <v>600</v>
      </c>
      <c r="N313" s="83">
        <f>100</f>
        <v>100</v>
      </c>
      <c r="O313" s="86">
        <v>240</v>
      </c>
      <c r="P313" s="86">
        <v>40</v>
      </c>
      <c r="Q313" s="86">
        <f t="shared" si="43"/>
        <v>315</v>
      </c>
      <c r="R313" s="86">
        <f t="shared" si="44"/>
        <v>100</v>
      </c>
      <c r="S313" s="83">
        <f t="shared" si="45"/>
        <v>695</v>
      </c>
      <c r="T313" s="83">
        <f>50</f>
        <v>50</v>
      </c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</row>
    <row r="314" spans="1:30" ht="15.75" x14ac:dyDescent="0.25">
      <c r="A314" s="33">
        <v>50495</v>
      </c>
      <c r="B314" s="96">
        <v>31</v>
      </c>
      <c r="C314" s="83">
        <f>122.58</f>
        <v>122.58</v>
      </c>
      <c r="D314" s="83">
        <f>297.941</f>
        <v>297.94099999999997</v>
      </c>
      <c r="E314" s="92">
        <f>89.177</f>
        <v>89.177000000000007</v>
      </c>
      <c r="F314" s="83">
        <f>240.302-40-60-100</f>
        <v>40.301999999999992</v>
      </c>
      <c r="G314" s="86">
        <v>40</v>
      </c>
      <c r="H314" s="83">
        <f>60+100</f>
        <v>160</v>
      </c>
      <c r="I314" s="83">
        <f t="shared" si="49"/>
        <v>0</v>
      </c>
      <c r="J314" s="86">
        <v>100</v>
      </c>
      <c r="K314" s="86">
        <v>300</v>
      </c>
      <c r="L314" s="83">
        <f t="shared" si="42"/>
        <v>1150</v>
      </c>
      <c r="M314" s="94">
        <v>600</v>
      </c>
      <c r="N314" s="83">
        <f>100</f>
        <v>100</v>
      </c>
      <c r="O314" s="86">
        <v>240</v>
      </c>
      <c r="P314" s="86">
        <v>40</v>
      </c>
      <c r="Q314" s="86">
        <f t="shared" si="43"/>
        <v>315</v>
      </c>
      <c r="R314" s="86">
        <f t="shared" si="44"/>
        <v>100</v>
      </c>
      <c r="S314" s="83">
        <f t="shared" si="45"/>
        <v>695</v>
      </c>
      <c r="T314" s="83">
        <f>50</f>
        <v>50</v>
      </c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</row>
    <row r="315" spans="1:30" ht="15.75" x14ac:dyDescent="0.25">
      <c r="A315" s="33">
        <v>50525</v>
      </c>
      <c r="B315" s="96">
        <v>30</v>
      </c>
      <c r="C315" s="83">
        <f>141.293</f>
        <v>141.29300000000001</v>
      </c>
      <c r="D315" s="83">
        <f>267.993</f>
        <v>267.99299999999999</v>
      </c>
      <c r="E315" s="92">
        <f>115.016</f>
        <v>115.01600000000001</v>
      </c>
      <c r="F315" s="83">
        <f>314.698-40-25-60-100</f>
        <v>89.697999999999979</v>
      </c>
      <c r="G315" s="86">
        <v>40</v>
      </c>
      <c r="H315" s="83">
        <f t="shared" ref="H315:H321" si="50">25+60+100</f>
        <v>185</v>
      </c>
      <c r="I315" s="83">
        <f t="shared" si="49"/>
        <v>0</v>
      </c>
      <c r="J315" s="86">
        <v>100</v>
      </c>
      <c r="K315" s="86">
        <v>300</v>
      </c>
      <c r="L315" s="83">
        <f t="shared" si="42"/>
        <v>1239</v>
      </c>
      <c r="M315" s="94">
        <v>600</v>
      </c>
      <c r="N315" s="83">
        <f>100</f>
        <v>100</v>
      </c>
      <c r="O315" s="86">
        <v>240</v>
      </c>
      <c r="P315" s="86">
        <v>160</v>
      </c>
      <c r="Q315" s="86">
        <f t="shared" si="43"/>
        <v>195</v>
      </c>
      <c r="R315" s="86">
        <f t="shared" si="44"/>
        <v>100</v>
      </c>
      <c r="S315" s="83">
        <f t="shared" si="45"/>
        <v>695</v>
      </c>
      <c r="T315" s="83">
        <f>50</f>
        <v>50</v>
      </c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</row>
    <row r="316" spans="1:30" ht="15.75" x14ac:dyDescent="0.25">
      <c r="A316" s="33">
        <v>50556</v>
      </c>
      <c r="B316" s="96">
        <v>31</v>
      </c>
      <c r="C316" s="83">
        <f>194.205</f>
        <v>194.20500000000001</v>
      </c>
      <c r="D316" s="83">
        <f>267.466</f>
        <v>267.46600000000001</v>
      </c>
      <c r="E316" s="92">
        <f>133.845</f>
        <v>133.845</v>
      </c>
      <c r="F316" s="83">
        <f>278.484-40-25-60-100</f>
        <v>53.48399999999998</v>
      </c>
      <c r="G316" s="86">
        <v>40</v>
      </c>
      <c r="H316" s="83">
        <f t="shared" si="50"/>
        <v>185</v>
      </c>
      <c r="I316" s="83">
        <f t="shared" si="49"/>
        <v>0</v>
      </c>
      <c r="J316" s="86">
        <v>100</v>
      </c>
      <c r="K316" s="86">
        <v>300</v>
      </c>
      <c r="L316" s="83">
        <f t="shared" si="42"/>
        <v>1274</v>
      </c>
      <c r="M316" s="94">
        <v>600</v>
      </c>
      <c r="N316" s="83">
        <f>75</f>
        <v>75</v>
      </c>
      <c r="O316" s="86">
        <v>240</v>
      </c>
      <c r="P316" s="86">
        <v>160</v>
      </c>
      <c r="Q316" s="86">
        <f t="shared" si="43"/>
        <v>195</v>
      </c>
      <c r="R316" s="86">
        <f t="shared" si="44"/>
        <v>100</v>
      </c>
      <c r="S316" s="83">
        <f t="shared" si="45"/>
        <v>695</v>
      </c>
      <c r="T316" s="83">
        <f>50</f>
        <v>50</v>
      </c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</row>
    <row r="317" spans="1:30" ht="15.75" x14ac:dyDescent="0.25">
      <c r="A317" s="33">
        <v>50586</v>
      </c>
      <c r="B317" s="96">
        <v>30</v>
      </c>
      <c r="C317" s="83">
        <f>194.205</f>
        <v>194.20500000000001</v>
      </c>
      <c r="D317" s="83">
        <f>267.466</f>
        <v>267.46600000000001</v>
      </c>
      <c r="E317" s="92">
        <f>133.845</f>
        <v>133.845</v>
      </c>
      <c r="F317" s="83">
        <f>278.484-40-25-60-100</f>
        <v>53.48399999999998</v>
      </c>
      <c r="G317" s="86">
        <v>40</v>
      </c>
      <c r="H317" s="83">
        <f t="shared" si="50"/>
        <v>185</v>
      </c>
      <c r="I317" s="83">
        <f t="shared" si="49"/>
        <v>0</v>
      </c>
      <c r="J317" s="86">
        <v>100</v>
      </c>
      <c r="K317" s="86">
        <v>300</v>
      </c>
      <c r="L317" s="83">
        <f t="shared" si="42"/>
        <v>1274</v>
      </c>
      <c r="M317" s="94">
        <v>600</v>
      </c>
      <c r="N317" s="83">
        <f>30</f>
        <v>30</v>
      </c>
      <c r="O317" s="86">
        <v>240</v>
      </c>
      <c r="P317" s="86">
        <v>160</v>
      </c>
      <c r="Q317" s="86">
        <f t="shared" si="43"/>
        <v>195</v>
      </c>
      <c r="R317" s="86">
        <f t="shared" si="44"/>
        <v>100</v>
      </c>
      <c r="S317" s="83">
        <f t="shared" si="45"/>
        <v>695</v>
      </c>
      <c r="T317" s="83">
        <f>50</f>
        <v>50</v>
      </c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</row>
    <row r="318" spans="1:30" ht="15.75" x14ac:dyDescent="0.25">
      <c r="A318" s="33">
        <v>50617</v>
      </c>
      <c r="B318" s="96">
        <v>31</v>
      </c>
      <c r="C318" s="83">
        <f>194.205</f>
        <v>194.20500000000001</v>
      </c>
      <c r="D318" s="83">
        <f>267.466</f>
        <v>267.46600000000001</v>
      </c>
      <c r="E318" s="92">
        <f>133.845</f>
        <v>133.845</v>
      </c>
      <c r="F318" s="83">
        <f>278.484-40-25-60-100</f>
        <v>53.48399999999998</v>
      </c>
      <c r="G318" s="86">
        <v>40</v>
      </c>
      <c r="H318" s="83">
        <f t="shared" si="50"/>
        <v>185</v>
      </c>
      <c r="I318" s="83">
        <f t="shared" si="49"/>
        <v>0</v>
      </c>
      <c r="J318" s="86">
        <v>100</v>
      </c>
      <c r="K318" s="86">
        <v>300</v>
      </c>
      <c r="L318" s="83">
        <f t="shared" si="42"/>
        <v>1274</v>
      </c>
      <c r="M318" s="94">
        <v>600</v>
      </c>
      <c r="N318" s="83">
        <f>30</f>
        <v>30</v>
      </c>
      <c r="O318" s="86">
        <v>240</v>
      </c>
      <c r="P318" s="86">
        <v>160</v>
      </c>
      <c r="Q318" s="86">
        <f t="shared" si="43"/>
        <v>195</v>
      </c>
      <c r="R318" s="86">
        <f t="shared" si="44"/>
        <v>100</v>
      </c>
      <c r="S318" s="83">
        <f t="shared" si="45"/>
        <v>695</v>
      </c>
      <c r="T318" s="83">
        <f>0</f>
        <v>0</v>
      </c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</row>
    <row r="319" spans="1:30" ht="15.75" x14ac:dyDescent="0.25">
      <c r="A319" s="33">
        <v>50648</v>
      </c>
      <c r="B319" s="96">
        <v>31</v>
      </c>
      <c r="C319" s="83">
        <f>194.205</f>
        <v>194.20500000000001</v>
      </c>
      <c r="D319" s="83">
        <f>267.466</f>
        <v>267.46600000000001</v>
      </c>
      <c r="E319" s="92">
        <f>133.845</f>
        <v>133.845</v>
      </c>
      <c r="F319" s="83">
        <f>278.484-40-25-60-100</f>
        <v>53.48399999999998</v>
      </c>
      <c r="G319" s="86">
        <v>40</v>
      </c>
      <c r="H319" s="83">
        <f t="shared" si="50"/>
        <v>185</v>
      </c>
      <c r="I319" s="83">
        <f t="shared" si="49"/>
        <v>0</v>
      </c>
      <c r="J319" s="86">
        <v>100</v>
      </c>
      <c r="K319" s="86">
        <v>300</v>
      </c>
      <c r="L319" s="83">
        <f t="shared" si="42"/>
        <v>1274</v>
      </c>
      <c r="M319" s="94">
        <v>600</v>
      </c>
      <c r="N319" s="83">
        <f>30</f>
        <v>30</v>
      </c>
      <c r="O319" s="86">
        <v>240</v>
      </c>
      <c r="P319" s="86">
        <v>160</v>
      </c>
      <c r="Q319" s="86">
        <f t="shared" si="43"/>
        <v>195</v>
      </c>
      <c r="R319" s="86">
        <f t="shared" si="44"/>
        <v>100</v>
      </c>
      <c r="S319" s="83">
        <f t="shared" si="45"/>
        <v>695</v>
      </c>
      <c r="T319" s="83">
        <f>0</f>
        <v>0</v>
      </c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</row>
    <row r="320" spans="1:30" ht="15.75" x14ac:dyDescent="0.25">
      <c r="A320" s="33">
        <v>50678</v>
      </c>
      <c r="B320" s="96">
        <v>30</v>
      </c>
      <c r="C320" s="83">
        <f>194.205</f>
        <v>194.20500000000001</v>
      </c>
      <c r="D320" s="83">
        <f>267.466</f>
        <v>267.46600000000001</v>
      </c>
      <c r="E320" s="92">
        <f>133.845</f>
        <v>133.845</v>
      </c>
      <c r="F320" s="83">
        <f>278.484-40-25-60-100</f>
        <v>53.48399999999998</v>
      </c>
      <c r="G320" s="86">
        <v>40</v>
      </c>
      <c r="H320" s="83">
        <f t="shared" si="50"/>
        <v>185</v>
      </c>
      <c r="I320" s="83">
        <f t="shared" si="49"/>
        <v>0</v>
      </c>
      <c r="J320" s="86">
        <v>100</v>
      </c>
      <c r="K320" s="86">
        <v>300</v>
      </c>
      <c r="L320" s="83">
        <f t="shared" si="42"/>
        <v>1274</v>
      </c>
      <c r="M320" s="94">
        <v>600</v>
      </c>
      <c r="N320" s="83">
        <f>30</f>
        <v>30</v>
      </c>
      <c r="O320" s="86">
        <v>240</v>
      </c>
      <c r="P320" s="86">
        <v>160</v>
      </c>
      <c r="Q320" s="86">
        <f t="shared" si="43"/>
        <v>195</v>
      </c>
      <c r="R320" s="86">
        <f t="shared" si="44"/>
        <v>100</v>
      </c>
      <c r="S320" s="83">
        <f t="shared" si="45"/>
        <v>695</v>
      </c>
      <c r="T320" s="83">
        <f>0</f>
        <v>0</v>
      </c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</row>
    <row r="321" spans="1:30" ht="15.75" x14ac:dyDescent="0.25">
      <c r="A321" s="33">
        <v>50709</v>
      </c>
      <c r="B321" s="96">
        <v>31</v>
      </c>
      <c r="C321" s="83">
        <f>131.881</f>
        <v>131.881</v>
      </c>
      <c r="D321" s="83">
        <f>277.167</f>
        <v>277.16699999999997</v>
      </c>
      <c r="E321" s="92">
        <f>79.08</f>
        <v>79.08</v>
      </c>
      <c r="F321" s="83">
        <f>350.872-40-25-60-100</f>
        <v>125.87200000000001</v>
      </c>
      <c r="G321" s="86">
        <v>40</v>
      </c>
      <c r="H321" s="83">
        <f t="shared" si="50"/>
        <v>185</v>
      </c>
      <c r="I321" s="83">
        <f t="shared" si="49"/>
        <v>0</v>
      </c>
      <c r="J321" s="86">
        <v>100</v>
      </c>
      <c r="K321" s="86">
        <v>300</v>
      </c>
      <c r="L321" s="83">
        <f t="shared" si="42"/>
        <v>1239</v>
      </c>
      <c r="M321" s="94">
        <v>600</v>
      </c>
      <c r="N321" s="83">
        <f>75</f>
        <v>75</v>
      </c>
      <c r="O321" s="86">
        <v>240</v>
      </c>
      <c r="P321" s="86">
        <v>160</v>
      </c>
      <c r="Q321" s="86">
        <f t="shared" si="43"/>
        <v>195</v>
      </c>
      <c r="R321" s="86">
        <f t="shared" si="44"/>
        <v>100</v>
      </c>
      <c r="S321" s="83">
        <f t="shared" si="45"/>
        <v>695</v>
      </c>
      <c r="T321" s="83">
        <f>0</f>
        <v>0</v>
      </c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</row>
    <row r="322" spans="1:30" ht="15.75" x14ac:dyDescent="0.25">
      <c r="A322" s="33">
        <v>50739</v>
      </c>
      <c r="B322" s="96">
        <v>30</v>
      </c>
      <c r="C322" s="83">
        <f>122.58</f>
        <v>122.58</v>
      </c>
      <c r="D322" s="83">
        <f>297.941</f>
        <v>297.94099999999997</v>
      </c>
      <c r="E322" s="92">
        <f>89.177</f>
        <v>89.177000000000007</v>
      </c>
      <c r="F322" s="83">
        <f>240.302-40-60-100</f>
        <v>40.301999999999992</v>
      </c>
      <c r="G322" s="86">
        <v>40</v>
      </c>
      <c r="H322" s="83">
        <f>60+100</f>
        <v>160</v>
      </c>
      <c r="I322" s="83">
        <f t="shared" si="49"/>
        <v>0</v>
      </c>
      <c r="J322" s="86">
        <v>100</v>
      </c>
      <c r="K322" s="86">
        <v>300</v>
      </c>
      <c r="L322" s="83">
        <f t="shared" si="42"/>
        <v>1150</v>
      </c>
      <c r="M322" s="94">
        <v>600</v>
      </c>
      <c r="N322" s="83">
        <f>100</f>
        <v>100</v>
      </c>
      <c r="O322" s="86">
        <v>240</v>
      </c>
      <c r="P322" s="86">
        <v>40</v>
      </c>
      <c r="Q322" s="86">
        <f t="shared" si="43"/>
        <v>315</v>
      </c>
      <c r="R322" s="86">
        <f t="shared" si="44"/>
        <v>100</v>
      </c>
      <c r="S322" s="83">
        <f t="shared" si="45"/>
        <v>695</v>
      </c>
      <c r="T322" s="83">
        <f>50</f>
        <v>50</v>
      </c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</row>
    <row r="323" spans="1:30" ht="15.75" x14ac:dyDescent="0.25">
      <c r="A323" s="33">
        <v>50770</v>
      </c>
      <c r="B323" s="96">
        <v>31</v>
      </c>
      <c r="C323" s="83">
        <f>122.58</f>
        <v>122.58</v>
      </c>
      <c r="D323" s="83">
        <f>297.941</f>
        <v>297.94099999999997</v>
      </c>
      <c r="E323" s="92">
        <f>89.177</f>
        <v>89.177000000000007</v>
      </c>
      <c r="F323" s="83">
        <f>240.302-40-60-100</f>
        <v>40.301999999999992</v>
      </c>
      <c r="G323" s="86">
        <v>40</v>
      </c>
      <c r="H323" s="83">
        <f>60+100</f>
        <v>160</v>
      </c>
      <c r="I323" s="83">
        <f t="shared" si="49"/>
        <v>0</v>
      </c>
      <c r="J323" s="86">
        <v>100</v>
      </c>
      <c r="K323" s="86">
        <v>300</v>
      </c>
      <c r="L323" s="83">
        <f t="shared" si="42"/>
        <v>1150</v>
      </c>
      <c r="M323" s="94">
        <v>600</v>
      </c>
      <c r="N323" s="83">
        <f>100</f>
        <v>100</v>
      </c>
      <c r="O323" s="86">
        <v>240</v>
      </c>
      <c r="P323" s="86">
        <v>40</v>
      </c>
      <c r="Q323" s="86">
        <f t="shared" si="43"/>
        <v>315</v>
      </c>
      <c r="R323" s="86">
        <f t="shared" si="44"/>
        <v>100</v>
      </c>
      <c r="S323" s="83">
        <f t="shared" si="45"/>
        <v>695</v>
      </c>
      <c r="T323" s="83">
        <f>50</f>
        <v>50</v>
      </c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</row>
    <row r="324" spans="1:30" ht="15.75" x14ac:dyDescent="0.25">
      <c r="A324" s="33">
        <v>50801</v>
      </c>
      <c r="B324" s="96">
        <v>31</v>
      </c>
      <c r="C324" s="83">
        <f>122.58</f>
        <v>122.58</v>
      </c>
      <c r="D324" s="83">
        <f>297.941</f>
        <v>297.94099999999997</v>
      </c>
      <c r="E324" s="92">
        <f>89.177</f>
        <v>89.177000000000007</v>
      </c>
      <c r="F324" s="83">
        <f>240.302-40-60-100</f>
        <v>40.301999999999992</v>
      </c>
      <c r="G324" s="86">
        <v>40</v>
      </c>
      <c r="H324" s="83">
        <f>60+100</f>
        <v>160</v>
      </c>
      <c r="I324" s="83">
        <f t="shared" si="49"/>
        <v>0</v>
      </c>
      <c r="J324" s="86">
        <v>100</v>
      </c>
      <c r="K324" s="86">
        <v>300</v>
      </c>
      <c r="L324" s="83">
        <f t="shared" si="42"/>
        <v>1150</v>
      </c>
      <c r="M324" s="94">
        <v>600</v>
      </c>
      <c r="N324" s="83">
        <f>100</f>
        <v>100</v>
      </c>
      <c r="O324" s="86">
        <v>240</v>
      </c>
      <c r="P324" s="86">
        <v>40</v>
      </c>
      <c r="Q324" s="86">
        <f t="shared" si="43"/>
        <v>315</v>
      </c>
      <c r="R324" s="86">
        <f t="shared" si="44"/>
        <v>100</v>
      </c>
      <c r="S324" s="83">
        <f t="shared" si="45"/>
        <v>695</v>
      </c>
      <c r="T324" s="83">
        <f>50</f>
        <v>50</v>
      </c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</row>
    <row r="325" spans="1:30" ht="15.75" x14ac:dyDescent="0.25">
      <c r="A325" s="33">
        <v>50829</v>
      </c>
      <c r="B325" s="96">
        <v>28</v>
      </c>
      <c r="C325" s="83">
        <f>122.58</f>
        <v>122.58</v>
      </c>
      <c r="D325" s="83">
        <f>297.941</f>
        <v>297.94099999999997</v>
      </c>
      <c r="E325" s="92">
        <f>89.177</f>
        <v>89.177000000000007</v>
      </c>
      <c r="F325" s="83">
        <f>240.302-40-60-100</f>
        <v>40.301999999999992</v>
      </c>
      <c r="G325" s="86">
        <v>40</v>
      </c>
      <c r="H325" s="83">
        <f>60+100</f>
        <v>160</v>
      </c>
      <c r="I325" s="83">
        <f t="shared" si="49"/>
        <v>0</v>
      </c>
      <c r="J325" s="86">
        <v>100</v>
      </c>
      <c r="K325" s="86">
        <v>300</v>
      </c>
      <c r="L325" s="83">
        <f t="shared" si="42"/>
        <v>1150</v>
      </c>
      <c r="M325" s="94">
        <v>600</v>
      </c>
      <c r="N325" s="83">
        <f>100</f>
        <v>100</v>
      </c>
      <c r="O325" s="86">
        <v>240</v>
      </c>
      <c r="P325" s="86">
        <v>40</v>
      </c>
      <c r="Q325" s="86">
        <f t="shared" si="43"/>
        <v>315</v>
      </c>
      <c r="R325" s="86">
        <f t="shared" si="44"/>
        <v>100</v>
      </c>
      <c r="S325" s="83">
        <f t="shared" si="45"/>
        <v>695</v>
      </c>
      <c r="T325" s="83">
        <f>50</f>
        <v>50</v>
      </c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</row>
    <row r="326" spans="1:30" ht="15.75" x14ac:dyDescent="0.25">
      <c r="A326" s="33">
        <v>50860</v>
      </c>
      <c r="B326" s="96">
        <v>31</v>
      </c>
      <c r="C326" s="83">
        <f>122.58</f>
        <v>122.58</v>
      </c>
      <c r="D326" s="83">
        <f>297.941</f>
        <v>297.94099999999997</v>
      </c>
      <c r="E326" s="92">
        <f>89.177</f>
        <v>89.177000000000007</v>
      </c>
      <c r="F326" s="83">
        <f>240.302-40-60-100</f>
        <v>40.301999999999992</v>
      </c>
      <c r="G326" s="86">
        <v>40</v>
      </c>
      <c r="H326" s="83">
        <f>60+100</f>
        <v>160</v>
      </c>
      <c r="I326" s="83">
        <f t="shared" si="49"/>
        <v>0</v>
      </c>
      <c r="J326" s="86">
        <v>100</v>
      </c>
      <c r="K326" s="86">
        <v>300</v>
      </c>
      <c r="L326" s="83">
        <f t="shared" si="42"/>
        <v>1150</v>
      </c>
      <c r="M326" s="94">
        <v>600</v>
      </c>
      <c r="N326" s="83">
        <f>100</f>
        <v>100</v>
      </c>
      <c r="O326" s="86">
        <v>240</v>
      </c>
      <c r="P326" s="86">
        <v>40</v>
      </c>
      <c r="Q326" s="86">
        <f t="shared" si="43"/>
        <v>315</v>
      </c>
      <c r="R326" s="86">
        <f t="shared" si="44"/>
        <v>100</v>
      </c>
      <c r="S326" s="83">
        <f t="shared" si="45"/>
        <v>695</v>
      </c>
      <c r="T326" s="83">
        <f>50</f>
        <v>50</v>
      </c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</row>
    <row r="327" spans="1:30" ht="15.75" x14ac:dyDescent="0.25">
      <c r="A327" s="33">
        <v>50890</v>
      </c>
      <c r="B327" s="96">
        <v>30</v>
      </c>
      <c r="C327" s="83">
        <f>141.293</f>
        <v>141.29300000000001</v>
      </c>
      <c r="D327" s="83">
        <f>267.993</f>
        <v>267.99299999999999</v>
      </c>
      <c r="E327" s="92">
        <f>115.016</f>
        <v>115.01600000000001</v>
      </c>
      <c r="F327" s="83">
        <f>314.698-40-25-60-100</f>
        <v>89.697999999999979</v>
      </c>
      <c r="G327" s="86">
        <v>40</v>
      </c>
      <c r="H327" s="83">
        <f t="shared" ref="H327:H333" si="51">25+60+100</f>
        <v>185</v>
      </c>
      <c r="I327" s="83">
        <f t="shared" si="49"/>
        <v>0</v>
      </c>
      <c r="J327" s="86">
        <v>100</v>
      </c>
      <c r="K327" s="86">
        <v>300</v>
      </c>
      <c r="L327" s="83">
        <f t="shared" si="42"/>
        <v>1239</v>
      </c>
      <c r="M327" s="94">
        <v>600</v>
      </c>
      <c r="N327" s="83">
        <f>100</f>
        <v>100</v>
      </c>
      <c r="O327" s="86">
        <v>240</v>
      </c>
      <c r="P327" s="86">
        <v>160</v>
      </c>
      <c r="Q327" s="86">
        <f t="shared" si="43"/>
        <v>195</v>
      </c>
      <c r="R327" s="86">
        <f t="shared" si="44"/>
        <v>100</v>
      </c>
      <c r="S327" s="83">
        <f t="shared" si="45"/>
        <v>695</v>
      </c>
      <c r="T327" s="83">
        <f>50</f>
        <v>50</v>
      </c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</row>
    <row r="328" spans="1:30" ht="15.75" x14ac:dyDescent="0.25">
      <c r="A328" s="33">
        <v>50921</v>
      </c>
      <c r="B328" s="96">
        <v>31</v>
      </c>
      <c r="C328" s="83">
        <f>194.205</f>
        <v>194.20500000000001</v>
      </c>
      <c r="D328" s="83">
        <f>267.466</f>
        <v>267.46600000000001</v>
      </c>
      <c r="E328" s="92">
        <f>133.845</f>
        <v>133.845</v>
      </c>
      <c r="F328" s="83">
        <f>278.484-40-25-60-100</f>
        <v>53.48399999999998</v>
      </c>
      <c r="G328" s="86">
        <v>40</v>
      </c>
      <c r="H328" s="83">
        <f t="shared" si="51"/>
        <v>185</v>
      </c>
      <c r="I328" s="83">
        <f t="shared" si="49"/>
        <v>0</v>
      </c>
      <c r="J328" s="86">
        <v>100</v>
      </c>
      <c r="K328" s="86">
        <v>300</v>
      </c>
      <c r="L328" s="83">
        <f t="shared" si="42"/>
        <v>1274</v>
      </c>
      <c r="M328" s="94">
        <v>600</v>
      </c>
      <c r="N328" s="83">
        <f>75</f>
        <v>75</v>
      </c>
      <c r="O328" s="86">
        <v>240</v>
      </c>
      <c r="P328" s="86">
        <v>160</v>
      </c>
      <c r="Q328" s="86">
        <f t="shared" si="43"/>
        <v>195</v>
      </c>
      <c r="R328" s="86">
        <f t="shared" si="44"/>
        <v>100</v>
      </c>
      <c r="S328" s="83">
        <f t="shared" si="45"/>
        <v>695</v>
      </c>
      <c r="T328" s="83">
        <f>50</f>
        <v>50</v>
      </c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</row>
    <row r="329" spans="1:30" ht="15.75" x14ac:dyDescent="0.25">
      <c r="A329" s="33">
        <v>50951</v>
      </c>
      <c r="B329" s="96">
        <v>30</v>
      </c>
      <c r="C329" s="83">
        <f>194.205</f>
        <v>194.20500000000001</v>
      </c>
      <c r="D329" s="83">
        <f>267.466</f>
        <v>267.46600000000001</v>
      </c>
      <c r="E329" s="92">
        <f>133.845</f>
        <v>133.845</v>
      </c>
      <c r="F329" s="83">
        <f>278.484-40-25-60-100</f>
        <v>53.48399999999998</v>
      </c>
      <c r="G329" s="86">
        <v>40</v>
      </c>
      <c r="H329" s="83">
        <f t="shared" si="51"/>
        <v>185</v>
      </c>
      <c r="I329" s="83">
        <f t="shared" si="49"/>
        <v>0</v>
      </c>
      <c r="J329" s="86">
        <v>100</v>
      </c>
      <c r="K329" s="86">
        <v>300</v>
      </c>
      <c r="L329" s="83">
        <f t="shared" si="42"/>
        <v>1274</v>
      </c>
      <c r="M329" s="94">
        <v>600</v>
      </c>
      <c r="N329" s="83">
        <f>30</f>
        <v>30</v>
      </c>
      <c r="O329" s="86">
        <v>240</v>
      </c>
      <c r="P329" s="86">
        <v>160</v>
      </c>
      <c r="Q329" s="86">
        <f t="shared" si="43"/>
        <v>195</v>
      </c>
      <c r="R329" s="86">
        <f t="shared" si="44"/>
        <v>100</v>
      </c>
      <c r="S329" s="83">
        <f t="shared" si="45"/>
        <v>695</v>
      </c>
      <c r="T329" s="83">
        <f>50</f>
        <v>50</v>
      </c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</row>
    <row r="330" spans="1:30" ht="15.75" x14ac:dyDescent="0.25">
      <c r="A330" s="33">
        <v>50982</v>
      </c>
      <c r="B330" s="96">
        <v>31</v>
      </c>
      <c r="C330" s="83">
        <f>194.205</f>
        <v>194.20500000000001</v>
      </c>
      <c r="D330" s="83">
        <f>267.466</f>
        <v>267.46600000000001</v>
      </c>
      <c r="E330" s="92">
        <f>133.845</f>
        <v>133.845</v>
      </c>
      <c r="F330" s="83">
        <f>278.484-40-25-60-100</f>
        <v>53.48399999999998</v>
      </c>
      <c r="G330" s="86">
        <v>40</v>
      </c>
      <c r="H330" s="83">
        <f t="shared" si="51"/>
        <v>185</v>
      </c>
      <c r="I330" s="83">
        <f t="shared" si="49"/>
        <v>0</v>
      </c>
      <c r="J330" s="86">
        <v>100</v>
      </c>
      <c r="K330" s="86">
        <v>300</v>
      </c>
      <c r="L330" s="83">
        <f t="shared" si="42"/>
        <v>1274</v>
      </c>
      <c r="M330" s="94">
        <v>600</v>
      </c>
      <c r="N330" s="83">
        <f>30</f>
        <v>30</v>
      </c>
      <c r="O330" s="86">
        <v>240</v>
      </c>
      <c r="P330" s="86">
        <v>160</v>
      </c>
      <c r="Q330" s="86">
        <f t="shared" si="43"/>
        <v>195</v>
      </c>
      <c r="R330" s="86">
        <f t="shared" si="44"/>
        <v>100</v>
      </c>
      <c r="S330" s="83">
        <f t="shared" si="45"/>
        <v>695</v>
      </c>
      <c r="T330" s="83">
        <f>0</f>
        <v>0</v>
      </c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</row>
    <row r="331" spans="1:30" ht="15.75" x14ac:dyDescent="0.25">
      <c r="A331" s="33">
        <v>51013</v>
      </c>
      <c r="B331" s="96">
        <v>31</v>
      </c>
      <c r="C331" s="83">
        <f>194.205</f>
        <v>194.20500000000001</v>
      </c>
      <c r="D331" s="83">
        <f>267.466</f>
        <v>267.46600000000001</v>
      </c>
      <c r="E331" s="92">
        <f>133.845</f>
        <v>133.845</v>
      </c>
      <c r="F331" s="83">
        <f>278.484-40-25-60-100</f>
        <v>53.48399999999998</v>
      </c>
      <c r="G331" s="86">
        <v>40</v>
      </c>
      <c r="H331" s="83">
        <f t="shared" si="51"/>
        <v>185</v>
      </c>
      <c r="I331" s="83">
        <f t="shared" si="49"/>
        <v>0</v>
      </c>
      <c r="J331" s="86">
        <v>100</v>
      </c>
      <c r="K331" s="86">
        <v>300</v>
      </c>
      <c r="L331" s="83">
        <f t="shared" si="42"/>
        <v>1274</v>
      </c>
      <c r="M331" s="94">
        <v>600</v>
      </c>
      <c r="N331" s="83">
        <f>30</f>
        <v>30</v>
      </c>
      <c r="O331" s="86">
        <v>240</v>
      </c>
      <c r="P331" s="86">
        <v>160</v>
      </c>
      <c r="Q331" s="86">
        <f t="shared" si="43"/>
        <v>195</v>
      </c>
      <c r="R331" s="86">
        <f t="shared" si="44"/>
        <v>100</v>
      </c>
      <c r="S331" s="83">
        <f t="shared" si="45"/>
        <v>695</v>
      </c>
      <c r="T331" s="83">
        <f>0</f>
        <v>0</v>
      </c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</row>
    <row r="332" spans="1:30" ht="15.75" x14ac:dyDescent="0.25">
      <c r="A332" s="33">
        <v>51043</v>
      </c>
      <c r="B332" s="96">
        <v>30</v>
      </c>
      <c r="C332" s="83">
        <f>194.205</f>
        <v>194.20500000000001</v>
      </c>
      <c r="D332" s="83">
        <f>267.466</f>
        <v>267.46600000000001</v>
      </c>
      <c r="E332" s="92">
        <f>133.845</f>
        <v>133.845</v>
      </c>
      <c r="F332" s="83">
        <f>278.484-40-25-60-100</f>
        <v>53.48399999999998</v>
      </c>
      <c r="G332" s="86">
        <v>40</v>
      </c>
      <c r="H332" s="83">
        <f t="shared" si="51"/>
        <v>185</v>
      </c>
      <c r="I332" s="83">
        <f t="shared" si="49"/>
        <v>0</v>
      </c>
      <c r="J332" s="86">
        <v>100</v>
      </c>
      <c r="K332" s="86">
        <v>300</v>
      </c>
      <c r="L332" s="83">
        <f t="shared" si="42"/>
        <v>1274</v>
      </c>
      <c r="M332" s="94">
        <v>600</v>
      </c>
      <c r="N332" s="83">
        <f>30</f>
        <v>30</v>
      </c>
      <c r="O332" s="86">
        <v>240</v>
      </c>
      <c r="P332" s="86">
        <v>160</v>
      </c>
      <c r="Q332" s="86">
        <f t="shared" si="43"/>
        <v>195</v>
      </c>
      <c r="R332" s="86">
        <f t="shared" si="44"/>
        <v>100</v>
      </c>
      <c r="S332" s="83">
        <f t="shared" si="45"/>
        <v>695</v>
      </c>
      <c r="T332" s="83">
        <f>0</f>
        <v>0</v>
      </c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</row>
    <row r="333" spans="1:30" ht="15.75" x14ac:dyDescent="0.25">
      <c r="A333" s="33">
        <v>51074</v>
      </c>
      <c r="B333" s="96">
        <v>31</v>
      </c>
      <c r="C333" s="83">
        <f>131.881</f>
        <v>131.881</v>
      </c>
      <c r="D333" s="83">
        <f>277.167</f>
        <v>277.16699999999997</v>
      </c>
      <c r="E333" s="92">
        <f>79.08</f>
        <v>79.08</v>
      </c>
      <c r="F333" s="83">
        <f>350.872-40-25-60-100</f>
        <v>125.87200000000001</v>
      </c>
      <c r="G333" s="86">
        <v>40</v>
      </c>
      <c r="H333" s="83">
        <f t="shared" si="51"/>
        <v>185</v>
      </c>
      <c r="I333" s="83">
        <f t="shared" si="49"/>
        <v>0</v>
      </c>
      <c r="J333" s="86">
        <v>100</v>
      </c>
      <c r="K333" s="86">
        <v>300</v>
      </c>
      <c r="L333" s="83">
        <f t="shared" si="42"/>
        <v>1239</v>
      </c>
      <c r="M333" s="94">
        <v>600</v>
      </c>
      <c r="N333" s="83">
        <f>75</f>
        <v>75</v>
      </c>
      <c r="O333" s="86">
        <v>240</v>
      </c>
      <c r="P333" s="86">
        <v>160</v>
      </c>
      <c r="Q333" s="86">
        <f t="shared" si="43"/>
        <v>195</v>
      </c>
      <c r="R333" s="86">
        <f t="shared" si="44"/>
        <v>100</v>
      </c>
      <c r="S333" s="83">
        <f t="shared" si="45"/>
        <v>695</v>
      </c>
      <c r="T333" s="83">
        <f>0</f>
        <v>0</v>
      </c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</row>
    <row r="334" spans="1:30" ht="15.75" x14ac:dyDescent="0.25">
      <c r="A334" s="33">
        <v>51104</v>
      </c>
      <c r="B334" s="96">
        <v>30</v>
      </c>
      <c r="C334" s="83">
        <f>122.58</f>
        <v>122.58</v>
      </c>
      <c r="D334" s="83">
        <f>297.941</f>
        <v>297.94099999999997</v>
      </c>
      <c r="E334" s="92">
        <f>89.177</f>
        <v>89.177000000000007</v>
      </c>
      <c r="F334" s="83">
        <f>240.302-40-60-100</f>
        <v>40.301999999999992</v>
      </c>
      <c r="G334" s="86">
        <v>40</v>
      </c>
      <c r="H334" s="83">
        <f>60+100</f>
        <v>160</v>
      </c>
      <c r="I334" s="83">
        <f t="shared" si="49"/>
        <v>0</v>
      </c>
      <c r="J334" s="86">
        <v>100</v>
      </c>
      <c r="K334" s="86">
        <v>300</v>
      </c>
      <c r="L334" s="83">
        <f t="shared" si="42"/>
        <v>1150</v>
      </c>
      <c r="M334" s="94">
        <v>600</v>
      </c>
      <c r="N334" s="83">
        <f>100</f>
        <v>100</v>
      </c>
      <c r="O334" s="86">
        <v>240</v>
      </c>
      <c r="P334" s="86">
        <v>40</v>
      </c>
      <c r="Q334" s="86">
        <f t="shared" si="43"/>
        <v>315</v>
      </c>
      <c r="R334" s="86">
        <f t="shared" si="44"/>
        <v>100</v>
      </c>
      <c r="S334" s="83">
        <f t="shared" si="45"/>
        <v>695</v>
      </c>
      <c r="T334" s="83">
        <f>50</f>
        <v>50</v>
      </c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</row>
    <row r="335" spans="1:30" ht="15.75" x14ac:dyDescent="0.25">
      <c r="A335" s="33">
        <v>51135</v>
      </c>
      <c r="B335" s="96">
        <v>31</v>
      </c>
      <c r="C335" s="83">
        <f>122.58</f>
        <v>122.58</v>
      </c>
      <c r="D335" s="83">
        <f>297.941</f>
        <v>297.94099999999997</v>
      </c>
      <c r="E335" s="92">
        <f>89.177</f>
        <v>89.177000000000007</v>
      </c>
      <c r="F335" s="83">
        <f>240.302-40-60-100</f>
        <v>40.301999999999992</v>
      </c>
      <c r="G335" s="86">
        <v>40</v>
      </c>
      <c r="H335" s="83">
        <f>60+100</f>
        <v>160</v>
      </c>
      <c r="I335" s="83">
        <f t="shared" si="49"/>
        <v>0</v>
      </c>
      <c r="J335" s="86">
        <v>100</v>
      </c>
      <c r="K335" s="86">
        <v>300</v>
      </c>
      <c r="L335" s="83">
        <f t="shared" si="42"/>
        <v>1150</v>
      </c>
      <c r="M335" s="94">
        <v>600</v>
      </c>
      <c r="N335" s="83">
        <f>100</f>
        <v>100</v>
      </c>
      <c r="O335" s="86">
        <v>240</v>
      </c>
      <c r="P335" s="86">
        <v>40</v>
      </c>
      <c r="Q335" s="86">
        <f t="shared" si="43"/>
        <v>315</v>
      </c>
      <c r="R335" s="86">
        <f t="shared" si="44"/>
        <v>100</v>
      </c>
      <c r="S335" s="83">
        <f t="shared" si="45"/>
        <v>695</v>
      </c>
      <c r="T335" s="83">
        <f>50</f>
        <v>50</v>
      </c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</row>
    <row r="336" spans="1:30" ht="15.75" x14ac:dyDescent="0.25">
      <c r="A336" s="33">
        <v>51166</v>
      </c>
      <c r="B336" s="96">
        <v>31</v>
      </c>
      <c r="C336" s="83">
        <f>122.58</f>
        <v>122.58</v>
      </c>
      <c r="D336" s="83">
        <f>297.941</f>
        <v>297.94099999999997</v>
      </c>
      <c r="E336" s="92">
        <f>89.177</f>
        <v>89.177000000000007</v>
      </c>
      <c r="F336" s="83">
        <f>240.302-40-60-100</f>
        <v>40.301999999999992</v>
      </c>
      <c r="G336" s="86">
        <v>40</v>
      </c>
      <c r="H336" s="83">
        <f>60+100</f>
        <v>160</v>
      </c>
      <c r="I336" s="83">
        <f t="shared" si="49"/>
        <v>0</v>
      </c>
      <c r="J336" s="86">
        <v>100</v>
      </c>
      <c r="K336" s="86">
        <v>300</v>
      </c>
      <c r="L336" s="83">
        <f t="shared" si="42"/>
        <v>1150</v>
      </c>
      <c r="M336" s="94">
        <v>600</v>
      </c>
      <c r="N336" s="83">
        <f>100</f>
        <v>100</v>
      </c>
      <c r="O336" s="86">
        <v>240</v>
      </c>
      <c r="P336" s="86">
        <v>40</v>
      </c>
      <c r="Q336" s="86">
        <f t="shared" si="43"/>
        <v>315</v>
      </c>
      <c r="R336" s="86">
        <f t="shared" si="44"/>
        <v>100</v>
      </c>
      <c r="S336" s="83">
        <f t="shared" si="45"/>
        <v>695</v>
      </c>
      <c r="T336" s="83">
        <f>50</f>
        <v>50</v>
      </c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</row>
    <row r="337" spans="1:30" ht="15.75" x14ac:dyDescent="0.25">
      <c r="A337" s="33">
        <v>51194</v>
      </c>
      <c r="B337" s="96">
        <v>29</v>
      </c>
      <c r="C337" s="83">
        <f>122.58</f>
        <v>122.58</v>
      </c>
      <c r="D337" s="83">
        <f>297.941</f>
        <v>297.94099999999997</v>
      </c>
      <c r="E337" s="92">
        <f>89.177</f>
        <v>89.177000000000007</v>
      </c>
      <c r="F337" s="83">
        <f>240.302-40-60-100</f>
        <v>40.301999999999992</v>
      </c>
      <c r="G337" s="86">
        <v>40</v>
      </c>
      <c r="H337" s="83">
        <f>60+100</f>
        <v>160</v>
      </c>
      <c r="I337" s="83">
        <f t="shared" si="49"/>
        <v>0</v>
      </c>
      <c r="J337" s="86">
        <v>100</v>
      </c>
      <c r="K337" s="86">
        <v>300</v>
      </c>
      <c r="L337" s="83">
        <f t="shared" si="42"/>
        <v>1150</v>
      </c>
      <c r="M337" s="94">
        <v>600</v>
      </c>
      <c r="N337" s="83">
        <f>100</f>
        <v>100</v>
      </c>
      <c r="O337" s="86">
        <v>240</v>
      </c>
      <c r="P337" s="86">
        <v>40</v>
      </c>
      <c r="Q337" s="86">
        <f t="shared" si="43"/>
        <v>315</v>
      </c>
      <c r="R337" s="86">
        <f t="shared" si="44"/>
        <v>100</v>
      </c>
      <c r="S337" s="83">
        <f t="shared" si="45"/>
        <v>695</v>
      </c>
      <c r="T337" s="83">
        <f>50</f>
        <v>50</v>
      </c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</row>
    <row r="338" spans="1:30" ht="15.75" x14ac:dyDescent="0.25">
      <c r="A338" s="33">
        <v>51226</v>
      </c>
      <c r="B338" s="96">
        <v>31</v>
      </c>
      <c r="C338" s="83">
        <f>122.58</f>
        <v>122.58</v>
      </c>
      <c r="D338" s="83">
        <f>297.941</f>
        <v>297.94099999999997</v>
      </c>
      <c r="E338" s="92">
        <f>89.177</f>
        <v>89.177000000000007</v>
      </c>
      <c r="F338" s="83">
        <f>240.302-40-60-100</f>
        <v>40.301999999999992</v>
      </c>
      <c r="G338" s="86">
        <v>40</v>
      </c>
      <c r="H338" s="83">
        <f>60+100</f>
        <v>160</v>
      </c>
      <c r="I338" s="83">
        <f t="shared" si="49"/>
        <v>0</v>
      </c>
      <c r="J338" s="86">
        <v>100</v>
      </c>
      <c r="K338" s="86">
        <v>300</v>
      </c>
      <c r="L338" s="83">
        <f t="shared" si="42"/>
        <v>1150</v>
      </c>
      <c r="M338" s="94">
        <v>600</v>
      </c>
      <c r="N338" s="83">
        <f>100</f>
        <v>100</v>
      </c>
      <c r="O338" s="86">
        <v>240</v>
      </c>
      <c r="P338" s="86">
        <v>40</v>
      </c>
      <c r="Q338" s="86">
        <f t="shared" si="43"/>
        <v>315</v>
      </c>
      <c r="R338" s="86">
        <f t="shared" si="44"/>
        <v>100</v>
      </c>
      <c r="S338" s="83">
        <f t="shared" si="45"/>
        <v>695</v>
      </c>
      <c r="T338" s="83">
        <f>50</f>
        <v>50</v>
      </c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</row>
    <row r="339" spans="1:30" ht="15.75" x14ac:dyDescent="0.25">
      <c r="A339" s="33">
        <v>51256</v>
      </c>
      <c r="B339" s="96">
        <v>30</v>
      </c>
      <c r="C339" s="83">
        <f>141.293</f>
        <v>141.29300000000001</v>
      </c>
      <c r="D339" s="83">
        <f>267.993</f>
        <v>267.99299999999999</v>
      </c>
      <c r="E339" s="92">
        <f>115.016</f>
        <v>115.01600000000001</v>
      </c>
      <c r="F339" s="83">
        <f>314.698-40-25-60-100</f>
        <v>89.697999999999979</v>
      </c>
      <c r="G339" s="86">
        <v>40</v>
      </c>
      <c r="H339" s="83">
        <f t="shared" ref="H339:H345" si="52">25+60+100</f>
        <v>185</v>
      </c>
      <c r="I339" s="83">
        <f t="shared" si="49"/>
        <v>0</v>
      </c>
      <c r="J339" s="86">
        <v>100</v>
      </c>
      <c r="K339" s="86">
        <v>300</v>
      </c>
      <c r="L339" s="83">
        <f t="shared" si="42"/>
        <v>1239</v>
      </c>
      <c r="M339" s="94">
        <v>600</v>
      </c>
      <c r="N339" s="83">
        <f>100</f>
        <v>100</v>
      </c>
      <c r="O339" s="86">
        <v>240</v>
      </c>
      <c r="P339" s="86">
        <v>160</v>
      </c>
      <c r="Q339" s="86">
        <f t="shared" si="43"/>
        <v>195</v>
      </c>
      <c r="R339" s="86">
        <f t="shared" si="44"/>
        <v>100</v>
      </c>
      <c r="S339" s="83">
        <f t="shared" si="45"/>
        <v>695</v>
      </c>
      <c r="T339" s="83">
        <f>50</f>
        <v>50</v>
      </c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</row>
    <row r="340" spans="1:30" ht="15.75" x14ac:dyDescent="0.25">
      <c r="A340" s="33">
        <v>51287</v>
      </c>
      <c r="B340" s="96">
        <v>31</v>
      </c>
      <c r="C340" s="83">
        <f>194.205</f>
        <v>194.20500000000001</v>
      </c>
      <c r="D340" s="83">
        <f>267.466</f>
        <v>267.46600000000001</v>
      </c>
      <c r="E340" s="92">
        <f>133.845</f>
        <v>133.845</v>
      </c>
      <c r="F340" s="83">
        <f>278.484-40-25-60-100</f>
        <v>53.48399999999998</v>
      </c>
      <c r="G340" s="86">
        <v>40</v>
      </c>
      <c r="H340" s="83">
        <f t="shared" si="52"/>
        <v>185</v>
      </c>
      <c r="I340" s="83">
        <f t="shared" si="49"/>
        <v>0</v>
      </c>
      <c r="J340" s="86">
        <v>100</v>
      </c>
      <c r="K340" s="86">
        <v>300</v>
      </c>
      <c r="L340" s="83">
        <f t="shared" si="42"/>
        <v>1274</v>
      </c>
      <c r="M340" s="94">
        <v>600</v>
      </c>
      <c r="N340" s="83">
        <f>75</f>
        <v>75</v>
      </c>
      <c r="O340" s="86">
        <v>240</v>
      </c>
      <c r="P340" s="86">
        <v>160</v>
      </c>
      <c r="Q340" s="86">
        <f t="shared" si="43"/>
        <v>195</v>
      </c>
      <c r="R340" s="86">
        <f t="shared" si="44"/>
        <v>100</v>
      </c>
      <c r="S340" s="83">
        <f t="shared" si="45"/>
        <v>695</v>
      </c>
      <c r="T340" s="83">
        <f>50</f>
        <v>50</v>
      </c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</row>
    <row r="341" spans="1:30" ht="15.75" x14ac:dyDescent="0.25">
      <c r="A341" s="33">
        <v>51317</v>
      </c>
      <c r="B341" s="96">
        <v>30</v>
      </c>
      <c r="C341" s="83">
        <f>194.205</f>
        <v>194.20500000000001</v>
      </c>
      <c r="D341" s="83">
        <f>267.466</f>
        <v>267.46600000000001</v>
      </c>
      <c r="E341" s="92">
        <f>133.845</f>
        <v>133.845</v>
      </c>
      <c r="F341" s="83">
        <f>278.484-40-25-60-100</f>
        <v>53.48399999999998</v>
      </c>
      <c r="G341" s="86">
        <v>40</v>
      </c>
      <c r="H341" s="83">
        <f t="shared" si="52"/>
        <v>185</v>
      </c>
      <c r="I341" s="83">
        <f t="shared" si="49"/>
        <v>0</v>
      </c>
      <c r="J341" s="86">
        <v>100</v>
      </c>
      <c r="K341" s="86">
        <v>300</v>
      </c>
      <c r="L341" s="83">
        <f t="shared" ref="L341:L404" si="53">SUM(C341:K341)</f>
        <v>1274</v>
      </c>
      <c r="M341" s="94">
        <v>600</v>
      </c>
      <c r="N341" s="83">
        <f>30</f>
        <v>30</v>
      </c>
      <c r="O341" s="86">
        <v>240</v>
      </c>
      <c r="P341" s="86">
        <v>160</v>
      </c>
      <c r="Q341" s="86">
        <f t="shared" ref="Q341:Q404" si="54">695-R341-O341-P341</f>
        <v>195</v>
      </c>
      <c r="R341" s="86">
        <f t="shared" ref="R341:R404" si="55">200-J341</f>
        <v>100</v>
      </c>
      <c r="S341" s="83">
        <f t="shared" ref="S341:S404" si="56">SUM(O341:R341)</f>
        <v>695</v>
      </c>
      <c r="T341" s="83">
        <f>50</f>
        <v>50</v>
      </c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</row>
    <row r="342" spans="1:30" ht="15.75" x14ac:dyDescent="0.25">
      <c r="A342" s="33">
        <v>51348</v>
      </c>
      <c r="B342" s="96">
        <v>31</v>
      </c>
      <c r="C342" s="83">
        <f>194.205</f>
        <v>194.20500000000001</v>
      </c>
      <c r="D342" s="83">
        <f>267.466</f>
        <v>267.46600000000001</v>
      </c>
      <c r="E342" s="92">
        <f>133.845</f>
        <v>133.845</v>
      </c>
      <c r="F342" s="83">
        <f>278.484-40-25-60-100</f>
        <v>53.48399999999998</v>
      </c>
      <c r="G342" s="86">
        <v>40</v>
      </c>
      <c r="H342" s="83">
        <f t="shared" si="52"/>
        <v>185</v>
      </c>
      <c r="I342" s="83">
        <f t="shared" si="49"/>
        <v>0</v>
      </c>
      <c r="J342" s="86">
        <v>100</v>
      </c>
      <c r="K342" s="86">
        <v>300</v>
      </c>
      <c r="L342" s="83">
        <f t="shared" si="53"/>
        <v>1274</v>
      </c>
      <c r="M342" s="94">
        <v>600</v>
      </c>
      <c r="N342" s="83">
        <f>30</f>
        <v>30</v>
      </c>
      <c r="O342" s="86">
        <v>240</v>
      </c>
      <c r="P342" s="86">
        <v>160</v>
      </c>
      <c r="Q342" s="86">
        <f t="shared" si="54"/>
        <v>195</v>
      </c>
      <c r="R342" s="86">
        <f t="shared" si="55"/>
        <v>100</v>
      </c>
      <c r="S342" s="83">
        <f t="shared" si="56"/>
        <v>695</v>
      </c>
      <c r="T342" s="83">
        <f>0</f>
        <v>0</v>
      </c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</row>
    <row r="343" spans="1:30" ht="15.75" x14ac:dyDescent="0.25">
      <c r="A343" s="33">
        <v>51379</v>
      </c>
      <c r="B343" s="96">
        <v>31</v>
      </c>
      <c r="C343" s="83">
        <f>194.205</f>
        <v>194.20500000000001</v>
      </c>
      <c r="D343" s="83">
        <f>267.466</f>
        <v>267.46600000000001</v>
      </c>
      <c r="E343" s="92">
        <f>133.845</f>
        <v>133.845</v>
      </c>
      <c r="F343" s="83">
        <f>278.484-40-25-60-100</f>
        <v>53.48399999999998</v>
      </c>
      <c r="G343" s="86">
        <v>40</v>
      </c>
      <c r="H343" s="83">
        <f t="shared" si="52"/>
        <v>185</v>
      </c>
      <c r="I343" s="83">
        <f t="shared" si="49"/>
        <v>0</v>
      </c>
      <c r="J343" s="86">
        <v>100</v>
      </c>
      <c r="K343" s="86">
        <v>300</v>
      </c>
      <c r="L343" s="83">
        <f t="shared" si="53"/>
        <v>1274</v>
      </c>
      <c r="M343" s="94">
        <v>600</v>
      </c>
      <c r="N343" s="83">
        <f>30</f>
        <v>30</v>
      </c>
      <c r="O343" s="86">
        <v>240</v>
      </c>
      <c r="P343" s="86">
        <v>160</v>
      </c>
      <c r="Q343" s="86">
        <f t="shared" si="54"/>
        <v>195</v>
      </c>
      <c r="R343" s="86">
        <f t="shared" si="55"/>
        <v>100</v>
      </c>
      <c r="S343" s="83">
        <f t="shared" si="56"/>
        <v>695</v>
      </c>
      <c r="T343" s="83">
        <f>0</f>
        <v>0</v>
      </c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</row>
    <row r="344" spans="1:30" ht="15.75" x14ac:dyDescent="0.25">
      <c r="A344" s="33">
        <v>51409</v>
      </c>
      <c r="B344" s="96">
        <v>30</v>
      </c>
      <c r="C344" s="83">
        <f>194.205</f>
        <v>194.20500000000001</v>
      </c>
      <c r="D344" s="83">
        <f>267.466</f>
        <v>267.46600000000001</v>
      </c>
      <c r="E344" s="92">
        <f>133.845</f>
        <v>133.845</v>
      </c>
      <c r="F344" s="83">
        <f>278.484-40-25-60-100</f>
        <v>53.48399999999998</v>
      </c>
      <c r="G344" s="86">
        <v>40</v>
      </c>
      <c r="H344" s="83">
        <f t="shared" si="52"/>
        <v>185</v>
      </c>
      <c r="I344" s="83">
        <f t="shared" si="49"/>
        <v>0</v>
      </c>
      <c r="J344" s="86">
        <v>100</v>
      </c>
      <c r="K344" s="86">
        <v>300</v>
      </c>
      <c r="L344" s="83">
        <f t="shared" si="53"/>
        <v>1274</v>
      </c>
      <c r="M344" s="94">
        <v>600</v>
      </c>
      <c r="N344" s="83">
        <f>30</f>
        <v>30</v>
      </c>
      <c r="O344" s="86">
        <v>240</v>
      </c>
      <c r="P344" s="86">
        <v>160</v>
      </c>
      <c r="Q344" s="86">
        <f t="shared" si="54"/>
        <v>195</v>
      </c>
      <c r="R344" s="86">
        <f t="shared" si="55"/>
        <v>100</v>
      </c>
      <c r="S344" s="83">
        <f t="shared" si="56"/>
        <v>695</v>
      </c>
      <c r="T344" s="83">
        <f>0</f>
        <v>0</v>
      </c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</row>
    <row r="345" spans="1:30" ht="15.75" x14ac:dyDescent="0.25">
      <c r="A345" s="33">
        <v>51440</v>
      </c>
      <c r="B345" s="96">
        <v>31</v>
      </c>
      <c r="C345" s="83">
        <f>131.881</f>
        <v>131.881</v>
      </c>
      <c r="D345" s="83">
        <f>277.167</f>
        <v>277.16699999999997</v>
      </c>
      <c r="E345" s="92">
        <f>79.08</f>
        <v>79.08</v>
      </c>
      <c r="F345" s="83">
        <f>350.872-40-25-60-100</f>
        <v>125.87200000000001</v>
      </c>
      <c r="G345" s="86">
        <v>40</v>
      </c>
      <c r="H345" s="83">
        <f t="shared" si="52"/>
        <v>185</v>
      </c>
      <c r="I345" s="83">
        <f t="shared" si="49"/>
        <v>0</v>
      </c>
      <c r="J345" s="86">
        <v>100</v>
      </c>
      <c r="K345" s="86">
        <v>300</v>
      </c>
      <c r="L345" s="83">
        <f t="shared" si="53"/>
        <v>1239</v>
      </c>
      <c r="M345" s="94">
        <v>600</v>
      </c>
      <c r="N345" s="83">
        <f>75</f>
        <v>75</v>
      </c>
      <c r="O345" s="86">
        <v>240</v>
      </c>
      <c r="P345" s="86">
        <v>160</v>
      </c>
      <c r="Q345" s="86">
        <f t="shared" si="54"/>
        <v>195</v>
      </c>
      <c r="R345" s="86">
        <f t="shared" si="55"/>
        <v>100</v>
      </c>
      <c r="S345" s="83">
        <f t="shared" si="56"/>
        <v>695</v>
      </c>
      <c r="T345" s="83">
        <f>0</f>
        <v>0</v>
      </c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</row>
    <row r="346" spans="1:30" ht="15.75" x14ac:dyDescent="0.25">
      <c r="A346" s="33">
        <v>51470</v>
      </c>
      <c r="B346" s="96">
        <v>30</v>
      </c>
      <c r="C346" s="83">
        <f>122.58</f>
        <v>122.58</v>
      </c>
      <c r="D346" s="83">
        <f>297.941</f>
        <v>297.94099999999997</v>
      </c>
      <c r="E346" s="92">
        <f>89.177</f>
        <v>89.177000000000007</v>
      </c>
      <c r="F346" s="83">
        <f>240.302-40-60-100</f>
        <v>40.301999999999992</v>
      </c>
      <c r="G346" s="86">
        <v>40</v>
      </c>
      <c r="H346" s="83">
        <f>60+100</f>
        <v>160</v>
      </c>
      <c r="I346" s="83">
        <f t="shared" si="49"/>
        <v>0</v>
      </c>
      <c r="J346" s="86">
        <v>100</v>
      </c>
      <c r="K346" s="86">
        <v>300</v>
      </c>
      <c r="L346" s="83">
        <f t="shared" si="53"/>
        <v>1150</v>
      </c>
      <c r="M346" s="94">
        <v>600</v>
      </c>
      <c r="N346" s="83">
        <f>100</f>
        <v>100</v>
      </c>
      <c r="O346" s="86">
        <v>240</v>
      </c>
      <c r="P346" s="86">
        <v>40</v>
      </c>
      <c r="Q346" s="86">
        <f t="shared" si="54"/>
        <v>315</v>
      </c>
      <c r="R346" s="86">
        <f t="shared" si="55"/>
        <v>100</v>
      </c>
      <c r="S346" s="83">
        <f t="shared" si="56"/>
        <v>695</v>
      </c>
      <c r="T346" s="83">
        <f>50</f>
        <v>50</v>
      </c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</row>
    <row r="347" spans="1:30" ht="15.75" x14ac:dyDescent="0.25">
      <c r="A347" s="33">
        <v>51501</v>
      </c>
      <c r="B347" s="96">
        <v>31</v>
      </c>
      <c r="C347" s="83">
        <f>122.58</f>
        <v>122.58</v>
      </c>
      <c r="D347" s="83">
        <f>297.941</f>
        <v>297.94099999999997</v>
      </c>
      <c r="E347" s="92">
        <f>89.177</f>
        <v>89.177000000000007</v>
      </c>
      <c r="F347" s="83">
        <f>240.302-40-60-100</f>
        <v>40.301999999999992</v>
      </c>
      <c r="G347" s="86">
        <v>40</v>
      </c>
      <c r="H347" s="83">
        <f>60+100</f>
        <v>160</v>
      </c>
      <c r="I347" s="83">
        <f t="shared" si="49"/>
        <v>0</v>
      </c>
      <c r="J347" s="86">
        <v>100</v>
      </c>
      <c r="K347" s="86">
        <v>300</v>
      </c>
      <c r="L347" s="83">
        <f t="shared" si="53"/>
        <v>1150</v>
      </c>
      <c r="M347" s="94">
        <v>600</v>
      </c>
      <c r="N347" s="83">
        <f>100</f>
        <v>100</v>
      </c>
      <c r="O347" s="86">
        <v>240</v>
      </c>
      <c r="P347" s="86">
        <v>40</v>
      </c>
      <c r="Q347" s="86">
        <f t="shared" si="54"/>
        <v>315</v>
      </c>
      <c r="R347" s="86">
        <f t="shared" si="55"/>
        <v>100</v>
      </c>
      <c r="S347" s="83">
        <f t="shared" si="56"/>
        <v>695</v>
      </c>
      <c r="T347" s="83">
        <f>50</f>
        <v>50</v>
      </c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</row>
    <row r="348" spans="1:30" ht="15.75" x14ac:dyDescent="0.25">
      <c r="A348" s="33">
        <v>51532</v>
      </c>
      <c r="B348" s="96">
        <v>31</v>
      </c>
      <c r="C348" s="83">
        <f>122.58</f>
        <v>122.58</v>
      </c>
      <c r="D348" s="83">
        <f>297.941</f>
        <v>297.94099999999997</v>
      </c>
      <c r="E348" s="92">
        <f>89.177</f>
        <v>89.177000000000007</v>
      </c>
      <c r="F348" s="83">
        <f>240.302-40-60-100</f>
        <v>40.301999999999992</v>
      </c>
      <c r="G348" s="86">
        <v>40</v>
      </c>
      <c r="H348" s="83">
        <f>60+100</f>
        <v>160</v>
      </c>
      <c r="I348" s="83">
        <f t="shared" si="49"/>
        <v>0</v>
      </c>
      <c r="J348" s="86">
        <v>100</v>
      </c>
      <c r="K348" s="86">
        <v>300</v>
      </c>
      <c r="L348" s="83">
        <f t="shared" si="53"/>
        <v>1150</v>
      </c>
      <c r="M348" s="94">
        <v>600</v>
      </c>
      <c r="N348" s="83">
        <f>100</f>
        <v>100</v>
      </c>
      <c r="O348" s="86">
        <v>240</v>
      </c>
      <c r="P348" s="86">
        <v>40</v>
      </c>
      <c r="Q348" s="86">
        <f t="shared" si="54"/>
        <v>315</v>
      </c>
      <c r="R348" s="86">
        <f t="shared" si="55"/>
        <v>100</v>
      </c>
      <c r="S348" s="83">
        <f t="shared" si="56"/>
        <v>695</v>
      </c>
      <c r="T348" s="83">
        <f>50</f>
        <v>50</v>
      </c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</row>
    <row r="349" spans="1:30" ht="15.75" x14ac:dyDescent="0.25">
      <c r="A349" s="33">
        <v>51560</v>
      </c>
      <c r="B349" s="96">
        <v>28</v>
      </c>
      <c r="C349" s="83">
        <f>122.58</f>
        <v>122.58</v>
      </c>
      <c r="D349" s="83">
        <f>297.941</f>
        <v>297.94099999999997</v>
      </c>
      <c r="E349" s="92">
        <f>89.177</f>
        <v>89.177000000000007</v>
      </c>
      <c r="F349" s="83">
        <f>240.302-40-60-100</f>
        <v>40.301999999999992</v>
      </c>
      <c r="G349" s="86">
        <v>40</v>
      </c>
      <c r="H349" s="83">
        <f>60+100</f>
        <v>160</v>
      </c>
      <c r="I349" s="83">
        <f t="shared" si="49"/>
        <v>0</v>
      </c>
      <c r="J349" s="86">
        <v>100</v>
      </c>
      <c r="K349" s="86">
        <v>300</v>
      </c>
      <c r="L349" s="83">
        <f t="shared" si="53"/>
        <v>1150</v>
      </c>
      <c r="M349" s="94">
        <v>600</v>
      </c>
      <c r="N349" s="83">
        <f>100</f>
        <v>100</v>
      </c>
      <c r="O349" s="86">
        <v>240</v>
      </c>
      <c r="P349" s="86">
        <v>40</v>
      </c>
      <c r="Q349" s="86">
        <f t="shared" si="54"/>
        <v>315</v>
      </c>
      <c r="R349" s="86">
        <f t="shared" si="55"/>
        <v>100</v>
      </c>
      <c r="S349" s="83">
        <f t="shared" si="56"/>
        <v>695</v>
      </c>
      <c r="T349" s="83">
        <f>50</f>
        <v>50</v>
      </c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</row>
    <row r="350" spans="1:30" ht="15.75" x14ac:dyDescent="0.25">
      <c r="A350" s="33">
        <v>51591</v>
      </c>
      <c r="B350" s="96">
        <v>31</v>
      </c>
      <c r="C350" s="83">
        <f>122.58</f>
        <v>122.58</v>
      </c>
      <c r="D350" s="83">
        <f>297.941</f>
        <v>297.94099999999997</v>
      </c>
      <c r="E350" s="92">
        <f>89.177</f>
        <v>89.177000000000007</v>
      </c>
      <c r="F350" s="83">
        <f>240.302-40-60-100</f>
        <v>40.301999999999992</v>
      </c>
      <c r="G350" s="86">
        <v>40</v>
      </c>
      <c r="H350" s="83">
        <f>60+100</f>
        <v>160</v>
      </c>
      <c r="I350" s="83">
        <f t="shared" si="49"/>
        <v>0</v>
      </c>
      <c r="J350" s="86">
        <v>100</v>
      </c>
      <c r="K350" s="86">
        <v>300</v>
      </c>
      <c r="L350" s="83">
        <f t="shared" si="53"/>
        <v>1150</v>
      </c>
      <c r="M350" s="94">
        <v>600</v>
      </c>
      <c r="N350" s="83">
        <f>100</f>
        <v>100</v>
      </c>
      <c r="O350" s="86">
        <v>240</v>
      </c>
      <c r="P350" s="86">
        <v>40</v>
      </c>
      <c r="Q350" s="86">
        <f t="shared" si="54"/>
        <v>315</v>
      </c>
      <c r="R350" s="86">
        <f t="shared" si="55"/>
        <v>100</v>
      </c>
      <c r="S350" s="83">
        <f t="shared" si="56"/>
        <v>695</v>
      </c>
      <c r="T350" s="83">
        <f>50</f>
        <v>50</v>
      </c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</row>
    <row r="351" spans="1:30" ht="15.75" x14ac:dyDescent="0.25">
      <c r="A351" s="33">
        <v>51621</v>
      </c>
      <c r="B351" s="96">
        <v>30</v>
      </c>
      <c r="C351" s="83">
        <f>141.293</f>
        <v>141.29300000000001</v>
      </c>
      <c r="D351" s="83">
        <f>267.993</f>
        <v>267.99299999999999</v>
      </c>
      <c r="E351" s="92">
        <f>115.016</f>
        <v>115.01600000000001</v>
      </c>
      <c r="F351" s="83">
        <f>314.698-40-25-60-100</f>
        <v>89.697999999999979</v>
      </c>
      <c r="G351" s="86">
        <v>40</v>
      </c>
      <c r="H351" s="83">
        <f t="shared" ref="H351:H357" si="57">25+60+100</f>
        <v>185</v>
      </c>
      <c r="I351" s="83">
        <f t="shared" si="49"/>
        <v>0</v>
      </c>
      <c r="J351" s="86">
        <v>100</v>
      </c>
      <c r="K351" s="86">
        <v>300</v>
      </c>
      <c r="L351" s="83">
        <f t="shared" si="53"/>
        <v>1239</v>
      </c>
      <c r="M351" s="94">
        <v>600</v>
      </c>
      <c r="N351" s="83">
        <f>100</f>
        <v>100</v>
      </c>
      <c r="O351" s="86">
        <v>240</v>
      </c>
      <c r="P351" s="86">
        <v>160</v>
      </c>
      <c r="Q351" s="86">
        <f t="shared" si="54"/>
        <v>195</v>
      </c>
      <c r="R351" s="86">
        <f t="shared" si="55"/>
        <v>100</v>
      </c>
      <c r="S351" s="83">
        <f t="shared" si="56"/>
        <v>695</v>
      </c>
      <c r="T351" s="83">
        <f>50</f>
        <v>50</v>
      </c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</row>
    <row r="352" spans="1:30" ht="15.75" x14ac:dyDescent="0.25">
      <c r="A352" s="33">
        <v>51652</v>
      </c>
      <c r="B352" s="96">
        <v>31</v>
      </c>
      <c r="C352" s="83">
        <f>194.205</f>
        <v>194.20500000000001</v>
      </c>
      <c r="D352" s="83">
        <f>267.466</f>
        <v>267.46600000000001</v>
      </c>
      <c r="E352" s="92">
        <f>133.845</f>
        <v>133.845</v>
      </c>
      <c r="F352" s="83">
        <f>278.484-40-25-60-100</f>
        <v>53.48399999999998</v>
      </c>
      <c r="G352" s="86">
        <v>40</v>
      </c>
      <c r="H352" s="83">
        <f t="shared" si="57"/>
        <v>185</v>
      </c>
      <c r="I352" s="83">
        <f t="shared" si="49"/>
        <v>0</v>
      </c>
      <c r="J352" s="86">
        <v>100</v>
      </c>
      <c r="K352" s="86">
        <v>300</v>
      </c>
      <c r="L352" s="83">
        <f t="shared" si="53"/>
        <v>1274</v>
      </c>
      <c r="M352" s="94">
        <v>600</v>
      </c>
      <c r="N352" s="83">
        <f>75</f>
        <v>75</v>
      </c>
      <c r="O352" s="86">
        <v>240</v>
      </c>
      <c r="P352" s="86">
        <v>160</v>
      </c>
      <c r="Q352" s="86">
        <f t="shared" si="54"/>
        <v>195</v>
      </c>
      <c r="R352" s="86">
        <f t="shared" si="55"/>
        <v>100</v>
      </c>
      <c r="S352" s="83">
        <f t="shared" si="56"/>
        <v>695</v>
      </c>
      <c r="T352" s="83">
        <f>50</f>
        <v>50</v>
      </c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</row>
    <row r="353" spans="1:30" ht="15.75" x14ac:dyDescent="0.25">
      <c r="A353" s="33">
        <v>51682</v>
      </c>
      <c r="B353" s="96">
        <v>30</v>
      </c>
      <c r="C353" s="83">
        <f>194.205</f>
        <v>194.20500000000001</v>
      </c>
      <c r="D353" s="83">
        <f>267.466</f>
        <v>267.46600000000001</v>
      </c>
      <c r="E353" s="92">
        <f>133.845</f>
        <v>133.845</v>
      </c>
      <c r="F353" s="83">
        <f>278.484-40-25-60-100</f>
        <v>53.48399999999998</v>
      </c>
      <c r="G353" s="86">
        <v>40</v>
      </c>
      <c r="H353" s="83">
        <f t="shared" si="57"/>
        <v>185</v>
      </c>
      <c r="I353" s="83">
        <f t="shared" si="49"/>
        <v>0</v>
      </c>
      <c r="J353" s="86">
        <v>100</v>
      </c>
      <c r="K353" s="86">
        <v>300</v>
      </c>
      <c r="L353" s="83">
        <f t="shared" si="53"/>
        <v>1274</v>
      </c>
      <c r="M353" s="94">
        <v>600</v>
      </c>
      <c r="N353" s="83">
        <f>30</f>
        <v>30</v>
      </c>
      <c r="O353" s="86">
        <v>240</v>
      </c>
      <c r="P353" s="86">
        <v>160</v>
      </c>
      <c r="Q353" s="86">
        <f t="shared" si="54"/>
        <v>195</v>
      </c>
      <c r="R353" s="86">
        <f t="shared" si="55"/>
        <v>100</v>
      </c>
      <c r="S353" s="83">
        <f t="shared" si="56"/>
        <v>695</v>
      </c>
      <c r="T353" s="83">
        <f>50</f>
        <v>50</v>
      </c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</row>
    <row r="354" spans="1:30" ht="15.75" x14ac:dyDescent="0.25">
      <c r="A354" s="33">
        <v>51713</v>
      </c>
      <c r="B354" s="96">
        <v>31</v>
      </c>
      <c r="C354" s="83">
        <f>194.205</f>
        <v>194.20500000000001</v>
      </c>
      <c r="D354" s="83">
        <f>267.466</f>
        <v>267.46600000000001</v>
      </c>
      <c r="E354" s="92">
        <f>133.845</f>
        <v>133.845</v>
      </c>
      <c r="F354" s="83">
        <f>278.484-40-25-60-100</f>
        <v>53.48399999999998</v>
      </c>
      <c r="G354" s="86">
        <v>40</v>
      </c>
      <c r="H354" s="83">
        <f t="shared" si="57"/>
        <v>185</v>
      </c>
      <c r="I354" s="83">
        <f t="shared" si="49"/>
        <v>0</v>
      </c>
      <c r="J354" s="86">
        <v>100</v>
      </c>
      <c r="K354" s="86">
        <v>300</v>
      </c>
      <c r="L354" s="83">
        <f t="shared" si="53"/>
        <v>1274</v>
      </c>
      <c r="M354" s="94">
        <v>600</v>
      </c>
      <c r="N354" s="83">
        <f>30</f>
        <v>30</v>
      </c>
      <c r="O354" s="86">
        <v>240</v>
      </c>
      <c r="P354" s="86">
        <v>160</v>
      </c>
      <c r="Q354" s="86">
        <f t="shared" si="54"/>
        <v>195</v>
      </c>
      <c r="R354" s="86">
        <f t="shared" si="55"/>
        <v>100</v>
      </c>
      <c r="S354" s="83">
        <f t="shared" si="56"/>
        <v>695</v>
      </c>
      <c r="T354" s="83">
        <f>0</f>
        <v>0</v>
      </c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</row>
    <row r="355" spans="1:30" ht="15.75" x14ac:dyDescent="0.25">
      <c r="A355" s="33">
        <v>51744</v>
      </c>
      <c r="B355" s="96">
        <v>31</v>
      </c>
      <c r="C355" s="83">
        <f>194.205</f>
        <v>194.20500000000001</v>
      </c>
      <c r="D355" s="83">
        <f>267.466</f>
        <v>267.46600000000001</v>
      </c>
      <c r="E355" s="92">
        <f>133.845</f>
        <v>133.845</v>
      </c>
      <c r="F355" s="83">
        <f>278.484-40-25-60-100</f>
        <v>53.48399999999998</v>
      </c>
      <c r="G355" s="86">
        <v>40</v>
      </c>
      <c r="H355" s="83">
        <f t="shared" si="57"/>
        <v>185</v>
      </c>
      <c r="I355" s="83">
        <f t="shared" si="49"/>
        <v>0</v>
      </c>
      <c r="J355" s="86">
        <v>100</v>
      </c>
      <c r="K355" s="86">
        <v>300</v>
      </c>
      <c r="L355" s="83">
        <f t="shared" si="53"/>
        <v>1274</v>
      </c>
      <c r="M355" s="94">
        <v>600</v>
      </c>
      <c r="N355" s="83">
        <f>30</f>
        <v>30</v>
      </c>
      <c r="O355" s="86">
        <v>240</v>
      </c>
      <c r="P355" s="86">
        <v>160</v>
      </c>
      <c r="Q355" s="86">
        <f t="shared" si="54"/>
        <v>195</v>
      </c>
      <c r="R355" s="86">
        <f t="shared" si="55"/>
        <v>100</v>
      </c>
      <c r="S355" s="83">
        <f t="shared" si="56"/>
        <v>695</v>
      </c>
      <c r="T355" s="83">
        <f>0</f>
        <v>0</v>
      </c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</row>
    <row r="356" spans="1:30" ht="15.75" x14ac:dyDescent="0.25">
      <c r="A356" s="33">
        <v>51774</v>
      </c>
      <c r="B356" s="96">
        <v>30</v>
      </c>
      <c r="C356" s="83">
        <f>194.205</f>
        <v>194.20500000000001</v>
      </c>
      <c r="D356" s="83">
        <f>267.466</f>
        <v>267.46600000000001</v>
      </c>
      <c r="E356" s="92">
        <f>133.845</f>
        <v>133.845</v>
      </c>
      <c r="F356" s="83">
        <f>278.484-40-25-60-100</f>
        <v>53.48399999999998</v>
      </c>
      <c r="G356" s="86">
        <v>40</v>
      </c>
      <c r="H356" s="83">
        <f t="shared" si="57"/>
        <v>185</v>
      </c>
      <c r="I356" s="83">
        <f t="shared" si="49"/>
        <v>0</v>
      </c>
      <c r="J356" s="86">
        <v>100</v>
      </c>
      <c r="K356" s="86">
        <v>300</v>
      </c>
      <c r="L356" s="83">
        <f t="shared" si="53"/>
        <v>1274</v>
      </c>
      <c r="M356" s="94">
        <v>600</v>
      </c>
      <c r="N356" s="83">
        <f>30</f>
        <v>30</v>
      </c>
      <c r="O356" s="86">
        <v>240</v>
      </c>
      <c r="P356" s="86">
        <v>160</v>
      </c>
      <c r="Q356" s="86">
        <f t="shared" si="54"/>
        <v>195</v>
      </c>
      <c r="R356" s="86">
        <f t="shared" si="55"/>
        <v>100</v>
      </c>
      <c r="S356" s="83">
        <f t="shared" si="56"/>
        <v>695</v>
      </c>
      <c r="T356" s="83">
        <f>0</f>
        <v>0</v>
      </c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</row>
    <row r="357" spans="1:30" ht="15.75" x14ac:dyDescent="0.25">
      <c r="A357" s="33">
        <v>51805</v>
      </c>
      <c r="B357" s="96">
        <v>31</v>
      </c>
      <c r="C357" s="83">
        <f>131.881</f>
        <v>131.881</v>
      </c>
      <c r="D357" s="83">
        <f>277.167</f>
        <v>277.16699999999997</v>
      </c>
      <c r="E357" s="92">
        <f>79.08</f>
        <v>79.08</v>
      </c>
      <c r="F357" s="83">
        <f>350.872-40-25-60-100</f>
        <v>125.87200000000001</v>
      </c>
      <c r="G357" s="86">
        <v>40</v>
      </c>
      <c r="H357" s="83">
        <f t="shared" si="57"/>
        <v>185</v>
      </c>
      <c r="I357" s="83">
        <f t="shared" si="49"/>
        <v>0</v>
      </c>
      <c r="J357" s="86">
        <v>100</v>
      </c>
      <c r="K357" s="86">
        <v>300</v>
      </c>
      <c r="L357" s="83">
        <f t="shared" si="53"/>
        <v>1239</v>
      </c>
      <c r="M357" s="94">
        <v>600</v>
      </c>
      <c r="N357" s="83">
        <f>75</f>
        <v>75</v>
      </c>
      <c r="O357" s="86">
        <v>240</v>
      </c>
      <c r="P357" s="86">
        <v>160</v>
      </c>
      <c r="Q357" s="86">
        <f t="shared" si="54"/>
        <v>195</v>
      </c>
      <c r="R357" s="86">
        <f t="shared" si="55"/>
        <v>100</v>
      </c>
      <c r="S357" s="83">
        <f t="shared" si="56"/>
        <v>695</v>
      </c>
      <c r="T357" s="83">
        <f>0</f>
        <v>0</v>
      </c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</row>
    <row r="358" spans="1:30" ht="15.75" x14ac:dyDescent="0.25">
      <c r="A358" s="33">
        <v>51835</v>
      </c>
      <c r="B358" s="96">
        <v>30</v>
      </c>
      <c r="C358" s="83">
        <f>122.58</f>
        <v>122.58</v>
      </c>
      <c r="D358" s="83">
        <f>297.941</f>
        <v>297.94099999999997</v>
      </c>
      <c r="E358" s="92">
        <f>89.177</f>
        <v>89.177000000000007</v>
      </c>
      <c r="F358" s="83">
        <f>240.302-40-60-100</f>
        <v>40.301999999999992</v>
      </c>
      <c r="G358" s="86">
        <v>40</v>
      </c>
      <c r="H358" s="83">
        <f>60+100</f>
        <v>160</v>
      </c>
      <c r="I358" s="83">
        <f t="shared" si="49"/>
        <v>0</v>
      </c>
      <c r="J358" s="86">
        <v>100</v>
      </c>
      <c r="K358" s="86">
        <v>300</v>
      </c>
      <c r="L358" s="83">
        <f t="shared" si="53"/>
        <v>1150</v>
      </c>
      <c r="M358" s="94">
        <v>600</v>
      </c>
      <c r="N358" s="83">
        <f>100</f>
        <v>100</v>
      </c>
      <c r="O358" s="86">
        <v>240</v>
      </c>
      <c r="P358" s="86">
        <v>40</v>
      </c>
      <c r="Q358" s="86">
        <f t="shared" si="54"/>
        <v>315</v>
      </c>
      <c r="R358" s="86">
        <f t="shared" si="55"/>
        <v>100</v>
      </c>
      <c r="S358" s="83">
        <f t="shared" si="56"/>
        <v>695</v>
      </c>
      <c r="T358" s="83">
        <f>50</f>
        <v>50</v>
      </c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</row>
    <row r="359" spans="1:30" ht="15.75" x14ac:dyDescent="0.25">
      <c r="A359" s="33">
        <v>51866</v>
      </c>
      <c r="B359" s="96">
        <v>31</v>
      </c>
      <c r="C359" s="83">
        <f>122.58</f>
        <v>122.58</v>
      </c>
      <c r="D359" s="83">
        <f>297.941</f>
        <v>297.94099999999997</v>
      </c>
      <c r="E359" s="92">
        <f>89.177</f>
        <v>89.177000000000007</v>
      </c>
      <c r="F359" s="83">
        <f>240.302-40-60-100</f>
        <v>40.301999999999992</v>
      </c>
      <c r="G359" s="86">
        <v>40</v>
      </c>
      <c r="H359" s="83">
        <f>60+100</f>
        <v>160</v>
      </c>
      <c r="I359" s="83">
        <f t="shared" si="49"/>
        <v>0</v>
      </c>
      <c r="J359" s="86">
        <v>100</v>
      </c>
      <c r="K359" s="86">
        <v>300</v>
      </c>
      <c r="L359" s="83">
        <f t="shared" si="53"/>
        <v>1150</v>
      </c>
      <c r="M359" s="94">
        <v>600</v>
      </c>
      <c r="N359" s="83">
        <f>100</f>
        <v>100</v>
      </c>
      <c r="O359" s="86">
        <v>240</v>
      </c>
      <c r="P359" s="86">
        <v>40</v>
      </c>
      <c r="Q359" s="86">
        <f t="shared" si="54"/>
        <v>315</v>
      </c>
      <c r="R359" s="86">
        <f t="shared" si="55"/>
        <v>100</v>
      </c>
      <c r="S359" s="83">
        <f t="shared" si="56"/>
        <v>695</v>
      </c>
      <c r="T359" s="83">
        <f>50</f>
        <v>50</v>
      </c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</row>
    <row r="360" spans="1:30" ht="15.75" x14ac:dyDescent="0.25">
      <c r="A360" s="33">
        <v>51897</v>
      </c>
      <c r="B360" s="96">
        <v>31</v>
      </c>
      <c r="C360" s="83">
        <f>122.58</f>
        <v>122.58</v>
      </c>
      <c r="D360" s="83">
        <f>297.941</f>
        <v>297.94099999999997</v>
      </c>
      <c r="E360" s="92">
        <f>89.177</f>
        <v>89.177000000000007</v>
      </c>
      <c r="F360" s="83">
        <f>240.302-40-60-100</f>
        <v>40.301999999999992</v>
      </c>
      <c r="G360" s="86">
        <v>40</v>
      </c>
      <c r="H360" s="83">
        <f>60+100</f>
        <v>160</v>
      </c>
      <c r="I360" s="83">
        <f t="shared" si="49"/>
        <v>0</v>
      </c>
      <c r="J360" s="86">
        <v>100</v>
      </c>
      <c r="K360" s="86">
        <v>300</v>
      </c>
      <c r="L360" s="83">
        <f t="shared" si="53"/>
        <v>1150</v>
      </c>
      <c r="M360" s="94">
        <v>600</v>
      </c>
      <c r="N360" s="83">
        <f>100</f>
        <v>100</v>
      </c>
      <c r="O360" s="86">
        <v>240</v>
      </c>
      <c r="P360" s="86">
        <v>40</v>
      </c>
      <c r="Q360" s="86">
        <f t="shared" si="54"/>
        <v>315</v>
      </c>
      <c r="R360" s="86">
        <f t="shared" si="55"/>
        <v>100</v>
      </c>
      <c r="S360" s="83">
        <f t="shared" si="56"/>
        <v>695</v>
      </c>
      <c r="T360" s="83">
        <f>50</f>
        <v>50</v>
      </c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</row>
    <row r="361" spans="1:30" ht="15.75" x14ac:dyDescent="0.25">
      <c r="A361" s="33">
        <v>51925</v>
      </c>
      <c r="B361" s="96">
        <v>28</v>
      </c>
      <c r="C361" s="83">
        <f>122.58</f>
        <v>122.58</v>
      </c>
      <c r="D361" s="83">
        <f>297.941</f>
        <v>297.94099999999997</v>
      </c>
      <c r="E361" s="92">
        <f>89.177</f>
        <v>89.177000000000007</v>
      </c>
      <c r="F361" s="83">
        <f>240.302-40-60-100</f>
        <v>40.301999999999992</v>
      </c>
      <c r="G361" s="86">
        <v>40</v>
      </c>
      <c r="H361" s="83">
        <f>60+100</f>
        <v>160</v>
      </c>
      <c r="I361" s="83">
        <f t="shared" si="49"/>
        <v>0</v>
      </c>
      <c r="J361" s="86">
        <v>100</v>
      </c>
      <c r="K361" s="86">
        <v>300</v>
      </c>
      <c r="L361" s="83">
        <f t="shared" si="53"/>
        <v>1150</v>
      </c>
      <c r="M361" s="94">
        <v>600</v>
      </c>
      <c r="N361" s="83">
        <f>100</f>
        <v>100</v>
      </c>
      <c r="O361" s="86">
        <v>240</v>
      </c>
      <c r="P361" s="86">
        <v>40</v>
      </c>
      <c r="Q361" s="86">
        <f t="shared" si="54"/>
        <v>315</v>
      </c>
      <c r="R361" s="86">
        <f t="shared" si="55"/>
        <v>100</v>
      </c>
      <c r="S361" s="83">
        <f t="shared" si="56"/>
        <v>695</v>
      </c>
      <c r="T361" s="83">
        <f>50</f>
        <v>50</v>
      </c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</row>
    <row r="362" spans="1:30" ht="15.75" x14ac:dyDescent="0.25">
      <c r="A362" s="33">
        <v>51956</v>
      </c>
      <c r="B362" s="96">
        <v>31</v>
      </c>
      <c r="C362" s="83">
        <f>122.58</f>
        <v>122.58</v>
      </c>
      <c r="D362" s="83">
        <f>297.941</f>
        <v>297.94099999999997</v>
      </c>
      <c r="E362" s="92">
        <f>89.177</f>
        <v>89.177000000000007</v>
      </c>
      <c r="F362" s="83">
        <f>240.302-40-60-100</f>
        <v>40.301999999999992</v>
      </c>
      <c r="G362" s="86">
        <v>40</v>
      </c>
      <c r="H362" s="83">
        <f>60+100</f>
        <v>160</v>
      </c>
      <c r="I362" s="83">
        <f t="shared" si="49"/>
        <v>0</v>
      </c>
      <c r="J362" s="86">
        <v>100</v>
      </c>
      <c r="K362" s="86">
        <v>300</v>
      </c>
      <c r="L362" s="83">
        <f t="shared" si="53"/>
        <v>1150</v>
      </c>
      <c r="M362" s="94">
        <v>600</v>
      </c>
      <c r="N362" s="83">
        <f>100</f>
        <v>100</v>
      </c>
      <c r="O362" s="86">
        <v>240</v>
      </c>
      <c r="P362" s="86">
        <v>40</v>
      </c>
      <c r="Q362" s="86">
        <f t="shared" si="54"/>
        <v>315</v>
      </c>
      <c r="R362" s="86">
        <f t="shared" si="55"/>
        <v>100</v>
      </c>
      <c r="S362" s="83">
        <f t="shared" si="56"/>
        <v>695</v>
      </c>
      <c r="T362" s="83">
        <f>50</f>
        <v>50</v>
      </c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</row>
    <row r="363" spans="1:30" ht="15.75" x14ac:dyDescent="0.25">
      <c r="A363" s="33">
        <v>51986</v>
      </c>
      <c r="B363" s="96">
        <v>30</v>
      </c>
      <c r="C363" s="83">
        <f>141.293</f>
        <v>141.29300000000001</v>
      </c>
      <c r="D363" s="83">
        <f>267.993</f>
        <v>267.99299999999999</v>
      </c>
      <c r="E363" s="92">
        <f>115.016</f>
        <v>115.01600000000001</v>
      </c>
      <c r="F363" s="83">
        <f>314.698-40-25-60-100</f>
        <v>89.697999999999979</v>
      </c>
      <c r="G363" s="86">
        <v>40</v>
      </c>
      <c r="H363" s="83">
        <f t="shared" ref="H363:H369" si="58">25+60+100</f>
        <v>185</v>
      </c>
      <c r="I363" s="83">
        <f t="shared" si="49"/>
        <v>0</v>
      </c>
      <c r="J363" s="86">
        <v>100</v>
      </c>
      <c r="K363" s="86">
        <v>300</v>
      </c>
      <c r="L363" s="83">
        <f t="shared" si="53"/>
        <v>1239</v>
      </c>
      <c r="M363" s="94">
        <v>600</v>
      </c>
      <c r="N363" s="83">
        <f>100</f>
        <v>100</v>
      </c>
      <c r="O363" s="86">
        <v>240</v>
      </c>
      <c r="P363" s="86">
        <v>160</v>
      </c>
      <c r="Q363" s="86">
        <f t="shared" si="54"/>
        <v>195</v>
      </c>
      <c r="R363" s="86">
        <f t="shared" si="55"/>
        <v>100</v>
      </c>
      <c r="S363" s="83">
        <f t="shared" si="56"/>
        <v>695</v>
      </c>
      <c r="T363" s="83">
        <f>50</f>
        <v>50</v>
      </c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</row>
    <row r="364" spans="1:30" ht="15.75" x14ac:dyDescent="0.25">
      <c r="A364" s="33">
        <v>52017</v>
      </c>
      <c r="B364" s="96">
        <v>31</v>
      </c>
      <c r="C364" s="83">
        <f>194.205</f>
        <v>194.20500000000001</v>
      </c>
      <c r="D364" s="83">
        <f>267.466</f>
        <v>267.46600000000001</v>
      </c>
      <c r="E364" s="92">
        <f>133.845</f>
        <v>133.845</v>
      </c>
      <c r="F364" s="83">
        <f>278.484-40-25-60-100</f>
        <v>53.48399999999998</v>
      </c>
      <c r="G364" s="86">
        <v>40</v>
      </c>
      <c r="H364" s="83">
        <f t="shared" si="58"/>
        <v>185</v>
      </c>
      <c r="I364" s="83">
        <f t="shared" si="49"/>
        <v>0</v>
      </c>
      <c r="J364" s="86">
        <v>100</v>
      </c>
      <c r="K364" s="86">
        <v>300</v>
      </c>
      <c r="L364" s="83">
        <f t="shared" si="53"/>
        <v>1274</v>
      </c>
      <c r="M364" s="94">
        <v>600</v>
      </c>
      <c r="N364" s="83">
        <f>75</f>
        <v>75</v>
      </c>
      <c r="O364" s="86">
        <v>240</v>
      </c>
      <c r="P364" s="86">
        <v>160</v>
      </c>
      <c r="Q364" s="86">
        <f t="shared" si="54"/>
        <v>195</v>
      </c>
      <c r="R364" s="86">
        <f t="shared" si="55"/>
        <v>100</v>
      </c>
      <c r="S364" s="83">
        <f t="shared" si="56"/>
        <v>695</v>
      </c>
      <c r="T364" s="83">
        <f>50</f>
        <v>50</v>
      </c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</row>
    <row r="365" spans="1:30" ht="15.75" x14ac:dyDescent="0.25">
      <c r="A365" s="33">
        <v>52047</v>
      </c>
      <c r="B365" s="96">
        <v>30</v>
      </c>
      <c r="C365" s="83">
        <f>194.205</f>
        <v>194.20500000000001</v>
      </c>
      <c r="D365" s="83">
        <f>267.466</f>
        <v>267.46600000000001</v>
      </c>
      <c r="E365" s="92">
        <f>133.845</f>
        <v>133.845</v>
      </c>
      <c r="F365" s="83">
        <f>278.484-40-25-60-100</f>
        <v>53.48399999999998</v>
      </c>
      <c r="G365" s="86">
        <v>40</v>
      </c>
      <c r="H365" s="83">
        <f t="shared" si="58"/>
        <v>185</v>
      </c>
      <c r="I365" s="83">
        <f t="shared" si="49"/>
        <v>0</v>
      </c>
      <c r="J365" s="86">
        <v>100</v>
      </c>
      <c r="K365" s="86">
        <v>300</v>
      </c>
      <c r="L365" s="83">
        <f t="shared" si="53"/>
        <v>1274</v>
      </c>
      <c r="M365" s="94">
        <v>600</v>
      </c>
      <c r="N365" s="83">
        <f>30</f>
        <v>30</v>
      </c>
      <c r="O365" s="86">
        <v>240</v>
      </c>
      <c r="P365" s="86">
        <v>160</v>
      </c>
      <c r="Q365" s="86">
        <f t="shared" si="54"/>
        <v>195</v>
      </c>
      <c r="R365" s="86">
        <f t="shared" si="55"/>
        <v>100</v>
      </c>
      <c r="S365" s="83">
        <f t="shared" si="56"/>
        <v>695</v>
      </c>
      <c r="T365" s="83">
        <f>50</f>
        <v>50</v>
      </c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</row>
    <row r="366" spans="1:30" ht="15.75" x14ac:dyDescent="0.25">
      <c r="A366" s="33">
        <v>52078</v>
      </c>
      <c r="B366" s="96">
        <v>31</v>
      </c>
      <c r="C366" s="83">
        <f>194.205</f>
        <v>194.20500000000001</v>
      </c>
      <c r="D366" s="83">
        <f>267.466</f>
        <v>267.46600000000001</v>
      </c>
      <c r="E366" s="92">
        <f>133.845</f>
        <v>133.845</v>
      </c>
      <c r="F366" s="83">
        <f>278.484-40-25-60-100</f>
        <v>53.48399999999998</v>
      </c>
      <c r="G366" s="86">
        <v>40</v>
      </c>
      <c r="H366" s="83">
        <f t="shared" si="58"/>
        <v>185</v>
      </c>
      <c r="I366" s="83">
        <f t="shared" si="49"/>
        <v>0</v>
      </c>
      <c r="J366" s="86">
        <v>100</v>
      </c>
      <c r="K366" s="86">
        <v>300</v>
      </c>
      <c r="L366" s="83">
        <f t="shared" si="53"/>
        <v>1274</v>
      </c>
      <c r="M366" s="94">
        <v>600</v>
      </c>
      <c r="N366" s="83">
        <f>30</f>
        <v>30</v>
      </c>
      <c r="O366" s="86">
        <v>240</v>
      </c>
      <c r="P366" s="86">
        <v>160</v>
      </c>
      <c r="Q366" s="86">
        <f t="shared" si="54"/>
        <v>195</v>
      </c>
      <c r="R366" s="86">
        <f t="shared" si="55"/>
        <v>100</v>
      </c>
      <c r="S366" s="83">
        <f t="shared" si="56"/>
        <v>695</v>
      </c>
      <c r="T366" s="83">
        <f>0</f>
        <v>0</v>
      </c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</row>
    <row r="367" spans="1:30" ht="15.75" x14ac:dyDescent="0.25">
      <c r="A367" s="33">
        <v>52109</v>
      </c>
      <c r="B367" s="96">
        <v>31</v>
      </c>
      <c r="C367" s="83">
        <f>194.205</f>
        <v>194.20500000000001</v>
      </c>
      <c r="D367" s="83">
        <f>267.466</f>
        <v>267.46600000000001</v>
      </c>
      <c r="E367" s="92">
        <f>133.845</f>
        <v>133.845</v>
      </c>
      <c r="F367" s="83">
        <f>278.484-40-25-60-100</f>
        <v>53.48399999999998</v>
      </c>
      <c r="G367" s="86">
        <v>40</v>
      </c>
      <c r="H367" s="83">
        <f t="shared" si="58"/>
        <v>185</v>
      </c>
      <c r="I367" s="83">
        <f t="shared" si="49"/>
        <v>0</v>
      </c>
      <c r="J367" s="86">
        <v>100</v>
      </c>
      <c r="K367" s="86">
        <v>300</v>
      </c>
      <c r="L367" s="83">
        <f t="shared" si="53"/>
        <v>1274</v>
      </c>
      <c r="M367" s="94">
        <v>600</v>
      </c>
      <c r="N367" s="83">
        <f>30</f>
        <v>30</v>
      </c>
      <c r="O367" s="86">
        <v>240</v>
      </c>
      <c r="P367" s="86">
        <v>160</v>
      </c>
      <c r="Q367" s="86">
        <f t="shared" si="54"/>
        <v>195</v>
      </c>
      <c r="R367" s="86">
        <f t="shared" si="55"/>
        <v>100</v>
      </c>
      <c r="S367" s="83">
        <f t="shared" si="56"/>
        <v>695</v>
      </c>
      <c r="T367" s="83">
        <f>0</f>
        <v>0</v>
      </c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</row>
    <row r="368" spans="1:30" ht="15.75" x14ac:dyDescent="0.25">
      <c r="A368" s="33">
        <v>52139</v>
      </c>
      <c r="B368" s="96">
        <v>30</v>
      </c>
      <c r="C368" s="83">
        <f>194.205</f>
        <v>194.20500000000001</v>
      </c>
      <c r="D368" s="83">
        <f>267.466</f>
        <v>267.46600000000001</v>
      </c>
      <c r="E368" s="92">
        <f>133.845</f>
        <v>133.845</v>
      </c>
      <c r="F368" s="83">
        <f>278.484-40-25-60-100</f>
        <v>53.48399999999998</v>
      </c>
      <c r="G368" s="86">
        <v>40</v>
      </c>
      <c r="H368" s="83">
        <f t="shared" si="58"/>
        <v>185</v>
      </c>
      <c r="I368" s="83">
        <f t="shared" si="49"/>
        <v>0</v>
      </c>
      <c r="J368" s="86">
        <v>100</v>
      </c>
      <c r="K368" s="86">
        <v>300</v>
      </c>
      <c r="L368" s="83">
        <f t="shared" si="53"/>
        <v>1274</v>
      </c>
      <c r="M368" s="94">
        <v>600</v>
      </c>
      <c r="N368" s="83">
        <f>30</f>
        <v>30</v>
      </c>
      <c r="O368" s="86">
        <v>240</v>
      </c>
      <c r="P368" s="86">
        <v>160</v>
      </c>
      <c r="Q368" s="86">
        <f t="shared" si="54"/>
        <v>195</v>
      </c>
      <c r="R368" s="86">
        <f t="shared" si="55"/>
        <v>100</v>
      </c>
      <c r="S368" s="83">
        <f t="shared" si="56"/>
        <v>695</v>
      </c>
      <c r="T368" s="83">
        <f>0</f>
        <v>0</v>
      </c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</row>
    <row r="369" spans="1:30" ht="15.75" x14ac:dyDescent="0.25">
      <c r="A369" s="33">
        <v>52170</v>
      </c>
      <c r="B369" s="96">
        <v>31</v>
      </c>
      <c r="C369" s="83">
        <f>131.881</f>
        <v>131.881</v>
      </c>
      <c r="D369" s="83">
        <f>277.167</f>
        <v>277.16699999999997</v>
      </c>
      <c r="E369" s="92">
        <f>79.08</f>
        <v>79.08</v>
      </c>
      <c r="F369" s="83">
        <f>350.872-40-25-60-100</f>
        <v>125.87200000000001</v>
      </c>
      <c r="G369" s="86">
        <v>40</v>
      </c>
      <c r="H369" s="83">
        <f t="shared" si="58"/>
        <v>185</v>
      </c>
      <c r="I369" s="83">
        <f t="shared" si="49"/>
        <v>0</v>
      </c>
      <c r="J369" s="86">
        <v>100</v>
      </c>
      <c r="K369" s="86">
        <v>300</v>
      </c>
      <c r="L369" s="83">
        <f t="shared" si="53"/>
        <v>1239</v>
      </c>
      <c r="M369" s="94">
        <v>600</v>
      </c>
      <c r="N369" s="83">
        <f>75</f>
        <v>75</v>
      </c>
      <c r="O369" s="86">
        <v>240</v>
      </c>
      <c r="P369" s="86">
        <v>160</v>
      </c>
      <c r="Q369" s="86">
        <f t="shared" si="54"/>
        <v>195</v>
      </c>
      <c r="R369" s="86">
        <f t="shared" si="55"/>
        <v>100</v>
      </c>
      <c r="S369" s="83">
        <f t="shared" si="56"/>
        <v>695</v>
      </c>
      <c r="T369" s="83">
        <f>0</f>
        <v>0</v>
      </c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</row>
    <row r="370" spans="1:30" ht="15.75" x14ac:dyDescent="0.25">
      <c r="A370" s="33">
        <v>52200</v>
      </c>
      <c r="B370" s="96">
        <v>30</v>
      </c>
      <c r="C370" s="83">
        <f>122.58</f>
        <v>122.58</v>
      </c>
      <c r="D370" s="83">
        <f>297.941</f>
        <v>297.94099999999997</v>
      </c>
      <c r="E370" s="92">
        <f>89.177</f>
        <v>89.177000000000007</v>
      </c>
      <c r="F370" s="83">
        <f>240.302-40-60-100</f>
        <v>40.301999999999992</v>
      </c>
      <c r="G370" s="86">
        <v>40</v>
      </c>
      <c r="H370" s="83">
        <f>60+100</f>
        <v>160</v>
      </c>
      <c r="I370" s="83">
        <f t="shared" si="49"/>
        <v>0</v>
      </c>
      <c r="J370" s="86">
        <v>100</v>
      </c>
      <c r="K370" s="86">
        <v>300</v>
      </c>
      <c r="L370" s="83">
        <f t="shared" si="53"/>
        <v>1150</v>
      </c>
      <c r="M370" s="94">
        <v>600</v>
      </c>
      <c r="N370" s="83">
        <f>100</f>
        <v>100</v>
      </c>
      <c r="O370" s="86">
        <v>240</v>
      </c>
      <c r="P370" s="86">
        <v>40</v>
      </c>
      <c r="Q370" s="86">
        <f t="shared" si="54"/>
        <v>315</v>
      </c>
      <c r="R370" s="86">
        <f t="shared" si="55"/>
        <v>100</v>
      </c>
      <c r="S370" s="83">
        <f t="shared" si="56"/>
        <v>695</v>
      </c>
      <c r="T370" s="83">
        <f>50</f>
        <v>50</v>
      </c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</row>
    <row r="371" spans="1:30" ht="15.75" x14ac:dyDescent="0.25">
      <c r="A371" s="33">
        <v>52231</v>
      </c>
      <c r="B371" s="96">
        <v>31</v>
      </c>
      <c r="C371" s="83">
        <f>122.58</f>
        <v>122.58</v>
      </c>
      <c r="D371" s="83">
        <f>297.941</f>
        <v>297.94099999999997</v>
      </c>
      <c r="E371" s="92">
        <f>89.177</f>
        <v>89.177000000000007</v>
      </c>
      <c r="F371" s="83">
        <f>240.302-40-60-100</f>
        <v>40.301999999999992</v>
      </c>
      <c r="G371" s="86">
        <v>40</v>
      </c>
      <c r="H371" s="83">
        <f>60+100</f>
        <v>160</v>
      </c>
      <c r="I371" s="83">
        <f t="shared" si="49"/>
        <v>0</v>
      </c>
      <c r="J371" s="86">
        <v>100</v>
      </c>
      <c r="K371" s="86">
        <v>300</v>
      </c>
      <c r="L371" s="83">
        <f t="shared" si="53"/>
        <v>1150</v>
      </c>
      <c r="M371" s="94">
        <v>600</v>
      </c>
      <c r="N371" s="83">
        <f>100</f>
        <v>100</v>
      </c>
      <c r="O371" s="86">
        <v>240</v>
      </c>
      <c r="P371" s="86">
        <v>40</v>
      </c>
      <c r="Q371" s="86">
        <f t="shared" si="54"/>
        <v>315</v>
      </c>
      <c r="R371" s="86">
        <f t="shared" si="55"/>
        <v>100</v>
      </c>
      <c r="S371" s="83">
        <f t="shared" si="56"/>
        <v>695</v>
      </c>
      <c r="T371" s="83">
        <f>50</f>
        <v>50</v>
      </c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</row>
    <row r="372" spans="1:30" ht="15.75" x14ac:dyDescent="0.25">
      <c r="A372" s="33">
        <v>52262</v>
      </c>
      <c r="B372" s="96">
        <v>31</v>
      </c>
      <c r="C372" s="83">
        <f>122.58</f>
        <v>122.58</v>
      </c>
      <c r="D372" s="83">
        <f>297.941</f>
        <v>297.94099999999997</v>
      </c>
      <c r="E372" s="92">
        <f>89.177</f>
        <v>89.177000000000007</v>
      </c>
      <c r="F372" s="83">
        <f>240.302-40-60-100</f>
        <v>40.301999999999992</v>
      </c>
      <c r="G372" s="86">
        <v>40</v>
      </c>
      <c r="H372" s="83">
        <f>60+100</f>
        <v>160</v>
      </c>
      <c r="I372" s="83">
        <f t="shared" ref="I372:I435" si="59">400-J372-K372</f>
        <v>0</v>
      </c>
      <c r="J372" s="86">
        <v>100</v>
      </c>
      <c r="K372" s="86">
        <v>300</v>
      </c>
      <c r="L372" s="83">
        <f t="shared" si="53"/>
        <v>1150</v>
      </c>
      <c r="M372" s="94">
        <v>600</v>
      </c>
      <c r="N372" s="83">
        <f>100</f>
        <v>100</v>
      </c>
      <c r="O372" s="86">
        <v>240</v>
      </c>
      <c r="P372" s="86">
        <v>40</v>
      </c>
      <c r="Q372" s="86">
        <f t="shared" si="54"/>
        <v>315</v>
      </c>
      <c r="R372" s="86">
        <f t="shared" si="55"/>
        <v>100</v>
      </c>
      <c r="S372" s="83">
        <f t="shared" si="56"/>
        <v>695</v>
      </c>
      <c r="T372" s="83">
        <f>50</f>
        <v>50</v>
      </c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</row>
    <row r="373" spans="1:30" ht="15.75" x14ac:dyDescent="0.25">
      <c r="A373" s="33">
        <v>52290</v>
      </c>
      <c r="B373" s="96">
        <v>28</v>
      </c>
      <c r="C373" s="83">
        <f>122.58</f>
        <v>122.58</v>
      </c>
      <c r="D373" s="83">
        <f>297.941</f>
        <v>297.94099999999997</v>
      </c>
      <c r="E373" s="92">
        <f>89.177</f>
        <v>89.177000000000007</v>
      </c>
      <c r="F373" s="83">
        <f>240.302-40-60-100</f>
        <v>40.301999999999992</v>
      </c>
      <c r="G373" s="86">
        <v>40</v>
      </c>
      <c r="H373" s="83">
        <f>60+100</f>
        <v>160</v>
      </c>
      <c r="I373" s="83">
        <f t="shared" si="59"/>
        <v>0</v>
      </c>
      <c r="J373" s="86">
        <v>100</v>
      </c>
      <c r="K373" s="86">
        <v>300</v>
      </c>
      <c r="L373" s="83">
        <f t="shared" si="53"/>
        <v>1150</v>
      </c>
      <c r="M373" s="94">
        <v>600</v>
      </c>
      <c r="N373" s="83">
        <f>100</f>
        <v>100</v>
      </c>
      <c r="O373" s="86">
        <v>240</v>
      </c>
      <c r="P373" s="86">
        <v>40</v>
      </c>
      <c r="Q373" s="86">
        <f t="shared" si="54"/>
        <v>315</v>
      </c>
      <c r="R373" s="86">
        <f t="shared" si="55"/>
        <v>100</v>
      </c>
      <c r="S373" s="83">
        <f t="shared" si="56"/>
        <v>695</v>
      </c>
      <c r="T373" s="83">
        <f>50</f>
        <v>50</v>
      </c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</row>
    <row r="374" spans="1:30" ht="15.75" x14ac:dyDescent="0.25">
      <c r="A374" s="33">
        <v>52321</v>
      </c>
      <c r="B374" s="96">
        <v>31</v>
      </c>
      <c r="C374" s="83">
        <f>122.58</f>
        <v>122.58</v>
      </c>
      <c r="D374" s="83">
        <f>297.941</f>
        <v>297.94099999999997</v>
      </c>
      <c r="E374" s="92">
        <f>89.177</f>
        <v>89.177000000000007</v>
      </c>
      <c r="F374" s="83">
        <f>240.302-40-60-100</f>
        <v>40.301999999999992</v>
      </c>
      <c r="G374" s="86">
        <v>40</v>
      </c>
      <c r="H374" s="83">
        <f>60+100</f>
        <v>160</v>
      </c>
      <c r="I374" s="83">
        <f t="shared" si="59"/>
        <v>0</v>
      </c>
      <c r="J374" s="86">
        <v>100</v>
      </c>
      <c r="K374" s="86">
        <v>300</v>
      </c>
      <c r="L374" s="83">
        <f t="shared" si="53"/>
        <v>1150</v>
      </c>
      <c r="M374" s="94">
        <v>600</v>
      </c>
      <c r="N374" s="83">
        <f>100</f>
        <v>100</v>
      </c>
      <c r="O374" s="86">
        <v>240</v>
      </c>
      <c r="P374" s="86">
        <v>40</v>
      </c>
      <c r="Q374" s="86">
        <f t="shared" si="54"/>
        <v>315</v>
      </c>
      <c r="R374" s="86">
        <f t="shared" si="55"/>
        <v>100</v>
      </c>
      <c r="S374" s="83">
        <f t="shared" si="56"/>
        <v>695</v>
      </c>
      <c r="T374" s="83">
        <f>50</f>
        <v>50</v>
      </c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</row>
    <row r="375" spans="1:30" ht="15.75" x14ac:dyDescent="0.25">
      <c r="A375" s="33">
        <v>52351</v>
      </c>
      <c r="B375" s="96">
        <v>30</v>
      </c>
      <c r="C375" s="83">
        <f>141.293</f>
        <v>141.29300000000001</v>
      </c>
      <c r="D375" s="83">
        <f>267.993</f>
        <v>267.99299999999999</v>
      </c>
      <c r="E375" s="92">
        <f>115.016</f>
        <v>115.01600000000001</v>
      </c>
      <c r="F375" s="83">
        <f>314.698-40-25-60-100</f>
        <v>89.697999999999979</v>
      </c>
      <c r="G375" s="86">
        <v>40</v>
      </c>
      <c r="H375" s="83">
        <f t="shared" ref="H375:H381" si="60">25+60+100</f>
        <v>185</v>
      </c>
      <c r="I375" s="83">
        <f t="shared" si="59"/>
        <v>0</v>
      </c>
      <c r="J375" s="86">
        <v>100</v>
      </c>
      <c r="K375" s="86">
        <v>300</v>
      </c>
      <c r="L375" s="83">
        <f t="shared" si="53"/>
        <v>1239</v>
      </c>
      <c r="M375" s="94">
        <v>600</v>
      </c>
      <c r="N375" s="83">
        <f>100</f>
        <v>100</v>
      </c>
      <c r="O375" s="86">
        <v>240</v>
      </c>
      <c r="P375" s="86">
        <v>160</v>
      </c>
      <c r="Q375" s="86">
        <f t="shared" si="54"/>
        <v>195</v>
      </c>
      <c r="R375" s="86">
        <f t="shared" si="55"/>
        <v>100</v>
      </c>
      <c r="S375" s="83">
        <f t="shared" si="56"/>
        <v>695</v>
      </c>
      <c r="T375" s="83">
        <f>50</f>
        <v>50</v>
      </c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</row>
    <row r="376" spans="1:30" ht="15.75" x14ac:dyDescent="0.25">
      <c r="A376" s="33">
        <v>52382</v>
      </c>
      <c r="B376" s="96">
        <v>31</v>
      </c>
      <c r="C376" s="83">
        <f>194.205</f>
        <v>194.20500000000001</v>
      </c>
      <c r="D376" s="83">
        <f>267.466</f>
        <v>267.46600000000001</v>
      </c>
      <c r="E376" s="92">
        <f>133.845</f>
        <v>133.845</v>
      </c>
      <c r="F376" s="83">
        <f>278.484-40-25-60-100</f>
        <v>53.48399999999998</v>
      </c>
      <c r="G376" s="86">
        <v>40</v>
      </c>
      <c r="H376" s="83">
        <f t="shared" si="60"/>
        <v>185</v>
      </c>
      <c r="I376" s="83">
        <f t="shared" si="59"/>
        <v>0</v>
      </c>
      <c r="J376" s="86">
        <v>100</v>
      </c>
      <c r="K376" s="86">
        <v>300</v>
      </c>
      <c r="L376" s="83">
        <f t="shared" si="53"/>
        <v>1274</v>
      </c>
      <c r="M376" s="94">
        <v>600</v>
      </c>
      <c r="N376" s="83">
        <f>75</f>
        <v>75</v>
      </c>
      <c r="O376" s="86">
        <v>240</v>
      </c>
      <c r="P376" s="86">
        <v>160</v>
      </c>
      <c r="Q376" s="86">
        <f t="shared" si="54"/>
        <v>195</v>
      </c>
      <c r="R376" s="86">
        <f t="shared" si="55"/>
        <v>100</v>
      </c>
      <c r="S376" s="83">
        <f t="shared" si="56"/>
        <v>695</v>
      </c>
      <c r="T376" s="83">
        <f>50</f>
        <v>50</v>
      </c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</row>
    <row r="377" spans="1:30" ht="15.75" x14ac:dyDescent="0.25">
      <c r="A377" s="33">
        <v>52412</v>
      </c>
      <c r="B377" s="96">
        <v>30</v>
      </c>
      <c r="C377" s="83">
        <f>194.205</f>
        <v>194.20500000000001</v>
      </c>
      <c r="D377" s="83">
        <f>267.466</f>
        <v>267.46600000000001</v>
      </c>
      <c r="E377" s="92">
        <f>133.845</f>
        <v>133.845</v>
      </c>
      <c r="F377" s="83">
        <f>278.484-40-25-60-100</f>
        <v>53.48399999999998</v>
      </c>
      <c r="G377" s="86">
        <v>40</v>
      </c>
      <c r="H377" s="83">
        <f t="shared" si="60"/>
        <v>185</v>
      </c>
      <c r="I377" s="83">
        <f t="shared" si="59"/>
        <v>0</v>
      </c>
      <c r="J377" s="86">
        <v>100</v>
      </c>
      <c r="K377" s="86">
        <v>300</v>
      </c>
      <c r="L377" s="83">
        <f t="shared" si="53"/>
        <v>1274</v>
      </c>
      <c r="M377" s="94">
        <v>600</v>
      </c>
      <c r="N377" s="83">
        <f>30</f>
        <v>30</v>
      </c>
      <c r="O377" s="86">
        <v>240</v>
      </c>
      <c r="P377" s="86">
        <v>160</v>
      </c>
      <c r="Q377" s="86">
        <f t="shared" si="54"/>
        <v>195</v>
      </c>
      <c r="R377" s="86">
        <f t="shared" si="55"/>
        <v>100</v>
      </c>
      <c r="S377" s="83">
        <f t="shared" si="56"/>
        <v>695</v>
      </c>
      <c r="T377" s="83">
        <f>50</f>
        <v>50</v>
      </c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</row>
    <row r="378" spans="1:30" ht="15.75" x14ac:dyDescent="0.25">
      <c r="A378" s="33">
        <v>52443</v>
      </c>
      <c r="B378" s="96">
        <v>31</v>
      </c>
      <c r="C378" s="83">
        <f>194.205</f>
        <v>194.20500000000001</v>
      </c>
      <c r="D378" s="83">
        <f>267.466</f>
        <v>267.46600000000001</v>
      </c>
      <c r="E378" s="92">
        <f>133.845</f>
        <v>133.845</v>
      </c>
      <c r="F378" s="83">
        <f>278.484-40-25-60-100</f>
        <v>53.48399999999998</v>
      </c>
      <c r="G378" s="86">
        <v>40</v>
      </c>
      <c r="H378" s="83">
        <f t="shared" si="60"/>
        <v>185</v>
      </c>
      <c r="I378" s="83">
        <f t="shared" si="59"/>
        <v>0</v>
      </c>
      <c r="J378" s="86">
        <v>100</v>
      </c>
      <c r="K378" s="86">
        <v>300</v>
      </c>
      <c r="L378" s="83">
        <f t="shared" si="53"/>
        <v>1274</v>
      </c>
      <c r="M378" s="94">
        <v>600</v>
      </c>
      <c r="N378" s="83">
        <f>30</f>
        <v>30</v>
      </c>
      <c r="O378" s="86">
        <v>240</v>
      </c>
      <c r="P378" s="86">
        <v>160</v>
      </c>
      <c r="Q378" s="86">
        <f t="shared" si="54"/>
        <v>195</v>
      </c>
      <c r="R378" s="86">
        <f t="shared" si="55"/>
        <v>100</v>
      </c>
      <c r="S378" s="83">
        <f t="shared" si="56"/>
        <v>695</v>
      </c>
      <c r="T378" s="83">
        <f>0</f>
        <v>0</v>
      </c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</row>
    <row r="379" spans="1:30" ht="15.75" x14ac:dyDescent="0.25">
      <c r="A379" s="33">
        <v>52474</v>
      </c>
      <c r="B379" s="96">
        <v>31</v>
      </c>
      <c r="C379" s="83">
        <f>194.205</f>
        <v>194.20500000000001</v>
      </c>
      <c r="D379" s="83">
        <f>267.466</f>
        <v>267.46600000000001</v>
      </c>
      <c r="E379" s="92">
        <f>133.845</f>
        <v>133.845</v>
      </c>
      <c r="F379" s="83">
        <f>278.484-40-25-60-100</f>
        <v>53.48399999999998</v>
      </c>
      <c r="G379" s="86">
        <v>40</v>
      </c>
      <c r="H379" s="83">
        <f t="shared" si="60"/>
        <v>185</v>
      </c>
      <c r="I379" s="83">
        <f t="shared" si="59"/>
        <v>0</v>
      </c>
      <c r="J379" s="86">
        <v>100</v>
      </c>
      <c r="K379" s="86">
        <v>300</v>
      </c>
      <c r="L379" s="83">
        <f t="shared" si="53"/>
        <v>1274</v>
      </c>
      <c r="M379" s="94">
        <v>600</v>
      </c>
      <c r="N379" s="83">
        <f>30</f>
        <v>30</v>
      </c>
      <c r="O379" s="86">
        <v>240</v>
      </c>
      <c r="P379" s="86">
        <v>160</v>
      </c>
      <c r="Q379" s="86">
        <f t="shared" si="54"/>
        <v>195</v>
      </c>
      <c r="R379" s="86">
        <f t="shared" si="55"/>
        <v>100</v>
      </c>
      <c r="S379" s="83">
        <f t="shared" si="56"/>
        <v>695</v>
      </c>
      <c r="T379" s="83">
        <f>0</f>
        <v>0</v>
      </c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</row>
    <row r="380" spans="1:30" ht="15.75" x14ac:dyDescent="0.25">
      <c r="A380" s="33">
        <v>52504</v>
      </c>
      <c r="B380" s="96">
        <v>30</v>
      </c>
      <c r="C380" s="83">
        <f>194.205</f>
        <v>194.20500000000001</v>
      </c>
      <c r="D380" s="83">
        <f>267.466</f>
        <v>267.46600000000001</v>
      </c>
      <c r="E380" s="92">
        <f>133.845</f>
        <v>133.845</v>
      </c>
      <c r="F380" s="83">
        <f>278.484-40-25-60-100</f>
        <v>53.48399999999998</v>
      </c>
      <c r="G380" s="86">
        <v>40</v>
      </c>
      <c r="H380" s="83">
        <f t="shared" si="60"/>
        <v>185</v>
      </c>
      <c r="I380" s="83">
        <f t="shared" si="59"/>
        <v>0</v>
      </c>
      <c r="J380" s="86">
        <v>100</v>
      </c>
      <c r="K380" s="86">
        <v>300</v>
      </c>
      <c r="L380" s="83">
        <f t="shared" si="53"/>
        <v>1274</v>
      </c>
      <c r="M380" s="94">
        <v>600</v>
      </c>
      <c r="N380" s="83">
        <f>30</f>
        <v>30</v>
      </c>
      <c r="O380" s="86">
        <v>240</v>
      </c>
      <c r="P380" s="86">
        <v>160</v>
      </c>
      <c r="Q380" s="86">
        <f t="shared" si="54"/>
        <v>195</v>
      </c>
      <c r="R380" s="86">
        <f t="shared" si="55"/>
        <v>100</v>
      </c>
      <c r="S380" s="83">
        <f t="shared" si="56"/>
        <v>695</v>
      </c>
      <c r="T380" s="83">
        <f>0</f>
        <v>0</v>
      </c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</row>
    <row r="381" spans="1:30" ht="15.75" x14ac:dyDescent="0.25">
      <c r="A381" s="33">
        <v>52535</v>
      </c>
      <c r="B381" s="96">
        <v>31</v>
      </c>
      <c r="C381" s="83">
        <f>131.881</f>
        <v>131.881</v>
      </c>
      <c r="D381" s="83">
        <f>277.167</f>
        <v>277.16699999999997</v>
      </c>
      <c r="E381" s="92">
        <f>79.08</f>
        <v>79.08</v>
      </c>
      <c r="F381" s="83">
        <f>350.872-40-25-60-100</f>
        <v>125.87200000000001</v>
      </c>
      <c r="G381" s="86">
        <v>40</v>
      </c>
      <c r="H381" s="83">
        <f t="shared" si="60"/>
        <v>185</v>
      </c>
      <c r="I381" s="83">
        <f t="shared" si="59"/>
        <v>0</v>
      </c>
      <c r="J381" s="86">
        <v>100</v>
      </c>
      <c r="K381" s="86">
        <v>300</v>
      </c>
      <c r="L381" s="83">
        <f t="shared" si="53"/>
        <v>1239</v>
      </c>
      <c r="M381" s="94">
        <v>600</v>
      </c>
      <c r="N381" s="83">
        <f>75</f>
        <v>75</v>
      </c>
      <c r="O381" s="86">
        <v>240</v>
      </c>
      <c r="P381" s="86">
        <v>160</v>
      </c>
      <c r="Q381" s="86">
        <f t="shared" si="54"/>
        <v>195</v>
      </c>
      <c r="R381" s="86">
        <f t="shared" si="55"/>
        <v>100</v>
      </c>
      <c r="S381" s="83">
        <f t="shared" si="56"/>
        <v>695</v>
      </c>
      <c r="T381" s="83">
        <f>0</f>
        <v>0</v>
      </c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</row>
    <row r="382" spans="1:30" ht="15.75" x14ac:dyDescent="0.25">
      <c r="A382" s="33">
        <v>52565</v>
      </c>
      <c r="B382" s="96">
        <v>30</v>
      </c>
      <c r="C382" s="83">
        <f>122.58</f>
        <v>122.58</v>
      </c>
      <c r="D382" s="83">
        <f>297.941</f>
        <v>297.94099999999997</v>
      </c>
      <c r="E382" s="92">
        <f>89.177</f>
        <v>89.177000000000007</v>
      </c>
      <c r="F382" s="83">
        <f>240.302-40-60-100</f>
        <v>40.301999999999992</v>
      </c>
      <c r="G382" s="86">
        <v>40</v>
      </c>
      <c r="H382" s="83">
        <f>60+100</f>
        <v>160</v>
      </c>
      <c r="I382" s="83">
        <f t="shared" si="59"/>
        <v>0</v>
      </c>
      <c r="J382" s="86">
        <v>100</v>
      </c>
      <c r="K382" s="86">
        <v>300</v>
      </c>
      <c r="L382" s="83">
        <f t="shared" si="53"/>
        <v>1150</v>
      </c>
      <c r="M382" s="94">
        <v>600</v>
      </c>
      <c r="N382" s="83">
        <f>100</f>
        <v>100</v>
      </c>
      <c r="O382" s="86">
        <v>240</v>
      </c>
      <c r="P382" s="86">
        <v>40</v>
      </c>
      <c r="Q382" s="86">
        <f t="shared" si="54"/>
        <v>315</v>
      </c>
      <c r="R382" s="86">
        <f t="shared" si="55"/>
        <v>100</v>
      </c>
      <c r="S382" s="83">
        <f t="shared" si="56"/>
        <v>695</v>
      </c>
      <c r="T382" s="83">
        <f>50</f>
        <v>50</v>
      </c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</row>
    <row r="383" spans="1:30" ht="15.75" x14ac:dyDescent="0.25">
      <c r="A383" s="33">
        <v>52596</v>
      </c>
      <c r="B383" s="96">
        <v>31</v>
      </c>
      <c r="C383" s="83">
        <f>122.58</f>
        <v>122.58</v>
      </c>
      <c r="D383" s="83">
        <f>297.941</f>
        <v>297.94099999999997</v>
      </c>
      <c r="E383" s="92">
        <f>89.177</f>
        <v>89.177000000000007</v>
      </c>
      <c r="F383" s="83">
        <f>240.302-40-60-100</f>
        <v>40.301999999999992</v>
      </c>
      <c r="G383" s="86">
        <v>40</v>
      </c>
      <c r="H383" s="83">
        <f>60+100</f>
        <v>160</v>
      </c>
      <c r="I383" s="83">
        <f t="shared" si="59"/>
        <v>0</v>
      </c>
      <c r="J383" s="86">
        <v>100</v>
      </c>
      <c r="K383" s="86">
        <v>300</v>
      </c>
      <c r="L383" s="83">
        <f t="shared" si="53"/>
        <v>1150</v>
      </c>
      <c r="M383" s="94">
        <v>600</v>
      </c>
      <c r="N383" s="83">
        <f>100</f>
        <v>100</v>
      </c>
      <c r="O383" s="86">
        <v>240</v>
      </c>
      <c r="P383" s="86">
        <v>40</v>
      </c>
      <c r="Q383" s="86">
        <f t="shared" si="54"/>
        <v>315</v>
      </c>
      <c r="R383" s="86">
        <f t="shared" si="55"/>
        <v>100</v>
      </c>
      <c r="S383" s="83">
        <f t="shared" si="56"/>
        <v>695</v>
      </c>
      <c r="T383" s="83">
        <f>50</f>
        <v>50</v>
      </c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</row>
    <row r="384" spans="1:30" ht="15.75" x14ac:dyDescent="0.25">
      <c r="A384" s="33">
        <v>52627</v>
      </c>
      <c r="B384" s="96">
        <v>31</v>
      </c>
      <c r="C384" s="83">
        <f>122.58</f>
        <v>122.58</v>
      </c>
      <c r="D384" s="83">
        <f>297.941</f>
        <v>297.94099999999997</v>
      </c>
      <c r="E384" s="92">
        <f>89.177</f>
        <v>89.177000000000007</v>
      </c>
      <c r="F384" s="83">
        <f>240.302-40-60-100</f>
        <v>40.301999999999992</v>
      </c>
      <c r="G384" s="86">
        <v>40</v>
      </c>
      <c r="H384" s="83">
        <f>60+100</f>
        <v>160</v>
      </c>
      <c r="I384" s="83">
        <f t="shared" si="59"/>
        <v>0</v>
      </c>
      <c r="J384" s="86">
        <v>100</v>
      </c>
      <c r="K384" s="86">
        <v>300</v>
      </c>
      <c r="L384" s="83">
        <f t="shared" si="53"/>
        <v>1150</v>
      </c>
      <c r="M384" s="94">
        <v>600</v>
      </c>
      <c r="N384" s="83">
        <f>100</f>
        <v>100</v>
      </c>
      <c r="O384" s="86">
        <v>240</v>
      </c>
      <c r="P384" s="86">
        <v>40</v>
      </c>
      <c r="Q384" s="86">
        <f t="shared" si="54"/>
        <v>315</v>
      </c>
      <c r="R384" s="86">
        <f t="shared" si="55"/>
        <v>100</v>
      </c>
      <c r="S384" s="83">
        <f t="shared" si="56"/>
        <v>695</v>
      </c>
      <c r="T384" s="83">
        <f>50</f>
        <v>50</v>
      </c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</row>
    <row r="385" spans="1:30" ht="15.75" x14ac:dyDescent="0.25">
      <c r="A385" s="33">
        <v>52655</v>
      </c>
      <c r="B385" s="96">
        <v>29</v>
      </c>
      <c r="C385" s="83">
        <f>122.58</f>
        <v>122.58</v>
      </c>
      <c r="D385" s="83">
        <f>297.941</f>
        <v>297.94099999999997</v>
      </c>
      <c r="E385" s="92">
        <f>89.177</f>
        <v>89.177000000000007</v>
      </c>
      <c r="F385" s="83">
        <f>240.302-40-60-100</f>
        <v>40.301999999999992</v>
      </c>
      <c r="G385" s="86">
        <v>40</v>
      </c>
      <c r="H385" s="83">
        <f>60+100</f>
        <v>160</v>
      </c>
      <c r="I385" s="83">
        <f t="shared" si="59"/>
        <v>0</v>
      </c>
      <c r="J385" s="86">
        <v>100</v>
      </c>
      <c r="K385" s="86">
        <v>300</v>
      </c>
      <c r="L385" s="83">
        <f t="shared" si="53"/>
        <v>1150</v>
      </c>
      <c r="M385" s="94">
        <v>600</v>
      </c>
      <c r="N385" s="83">
        <f>100</f>
        <v>100</v>
      </c>
      <c r="O385" s="86">
        <v>240</v>
      </c>
      <c r="P385" s="86">
        <v>40</v>
      </c>
      <c r="Q385" s="86">
        <f t="shared" si="54"/>
        <v>315</v>
      </c>
      <c r="R385" s="86">
        <f t="shared" si="55"/>
        <v>100</v>
      </c>
      <c r="S385" s="83">
        <f t="shared" si="56"/>
        <v>695</v>
      </c>
      <c r="T385" s="83">
        <f>50</f>
        <v>50</v>
      </c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</row>
    <row r="386" spans="1:30" ht="15.75" x14ac:dyDescent="0.25">
      <c r="A386" s="33">
        <v>52687</v>
      </c>
      <c r="B386" s="96">
        <v>31</v>
      </c>
      <c r="C386" s="83">
        <f>122.58</f>
        <v>122.58</v>
      </c>
      <c r="D386" s="83">
        <f>297.941</f>
        <v>297.94099999999997</v>
      </c>
      <c r="E386" s="92">
        <f>89.177</f>
        <v>89.177000000000007</v>
      </c>
      <c r="F386" s="83">
        <f>240.302-40-60-100</f>
        <v>40.301999999999992</v>
      </c>
      <c r="G386" s="86">
        <v>40</v>
      </c>
      <c r="H386" s="83">
        <f>60+100</f>
        <v>160</v>
      </c>
      <c r="I386" s="83">
        <f t="shared" si="59"/>
        <v>0</v>
      </c>
      <c r="J386" s="86">
        <v>100</v>
      </c>
      <c r="K386" s="86">
        <v>300</v>
      </c>
      <c r="L386" s="83">
        <f t="shared" si="53"/>
        <v>1150</v>
      </c>
      <c r="M386" s="94">
        <v>600</v>
      </c>
      <c r="N386" s="83">
        <f>100</f>
        <v>100</v>
      </c>
      <c r="O386" s="86">
        <v>240</v>
      </c>
      <c r="P386" s="86">
        <v>40</v>
      </c>
      <c r="Q386" s="86">
        <f t="shared" si="54"/>
        <v>315</v>
      </c>
      <c r="R386" s="86">
        <f t="shared" si="55"/>
        <v>100</v>
      </c>
      <c r="S386" s="83">
        <f t="shared" si="56"/>
        <v>695</v>
      </c>
      <c r="T386" s="83">
        <f>50</f>
        <v>50</v>
      </c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</row>
    <row r="387" spans="1:30" ht="15.75" x14ac:dyDescent="0.25">
      <c r="A387" s="33">
        <v>52717</v>
      </c>
      <c r="B387" s="96">
        <v>30</v>
      </c>
      <c r="C387" s="83">
        <f>141.293</f>
        <v>141.29300000000001</v>
      </c>
      <c r="D387" s="83">
        <f>267.993</f>
        <v>267.99299999999999</v>
      </c>
      <c r="E387" s="92">
        <f>115.016</f>
        <v>115.01600000000001</v>
      </c>
      <c r="F387" s="83">
        <f>314.698-40-25-60-100</f>
        <v>89.697999999999979</v>
      </c>
      <c r="G387" s="86">
        <v>40</v>
      </c>
      <c r="H387" s="83">
        <f t="shared" ref="H387:H393" si="61">25+60+100</f>
        <v>185</v>
      </c>
      <c r="I387" s="83">
        <f t="shared" si="59"/>
        <v>0</v>
      </c>
      <c r="J387" s="86">
        <v>100</v>
      </c>
      <c r="K387" s="86">
        <v>300</v>
      </c>
      <c r="L387" s="83">
        <f t="shared" si="53"/>
        <v>1239</v>
      </c>
      <c r="M387" s="94">
        <v>600</v>
      </c>
      <c r="N387" s="83">
        <f>100</f>
        <v>100</v>
      </c>
      <c r="O387" s="86">
        <v>240</v>
      </c>
      <c r="P387" s="86">
        <v>160</v>
      </c>
      <c r="Q387" s="86">
        <f t="shared" si="54"/>
        <v>195</v>
      </c>
      <c r="R387" s="86">
        <f t="shared" si="55"/>
        <v>100</v>
      </c>
      <c r="S387" s="83">
        <f t="shared" si="56"/>
        <v>695</v>
      </c>
      <c r="T387" s="83">
        <f>50</f>
        <v>50</v>
      </c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</row>
    <row r="388" spans="1:30" ht="15.75" x14ac:dyDescent="0.25">
      <c r="A388" s="33">
        <v>52748</v>
      </c>
      <c r="B388" s="96">
        <v>31</v>
      </c>
      <c r="C388" s="83">
        <f>194.205</f>
        <v>194.20500000000001</v>
      </c>
      <c r="D388" s="83">
        <f>267.466</f>
        <v>267.46600000000001</v>
      </c>
      <c r="E388" s="92">
        <f>133.845</f>
        <v>133.845</v>
      </c>
      <c r="F388" s="83">
        <f>278.484-40-25-60-100</f>
        <v>53.48399999999998</v>
      </c>
      <c r="G388" s="86">
        <v>40</v>
      </c>
      <c r="H388" s="83">
        <f t="shared" si="61"/>
        <v>185</v>
      </c>
      <c r="I388" s="83">
        <f t="shared" si="59"/>
        <v>0</v>
      </c>
      <c r="J388" s="86">
        <v>100</v>
      </c>
      <c r="K388" s="86">
        <v>300</v>
      </c>
      <c r="L388" s="83">
        <f t="shared" si="53"/>
        <v>1274</v>
      </c>
      <c r="M388" s="94">
        <v>600</v>
      </c>
      <c r="N388" s="83">
        <f>75</f>
        <v>75</v>
      </c>
      <c r="O388" s="86">
        <v>240</v>
      </c>
      <c r="P388" s="86">
        <v>160</v>
      </c>
      <c r="Q388" s="86">
        <f t="shared" si="54"/>
        <v>195</v>
      </c>
      <c r="R388" s="86">
        <f t="shared" si="55"/>
        <v>100</v>
      </c>
      <c r="S388" s="83">
        <f t="shared" si="56"/>
        <v>695</v>
      </c>
      <c r="T388" s="83">
        <f>50</f>
        <v>50</v>
      </c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</row>
    <row r="389" spans="1:30" ht="15.75" x14ac:dyDescent="0.25">
      <c r="A389" s="33">
        <v>52778</v>
      </c>
      <c r="B389" s="96">
        <v>30</v>
      </c>
      <c r="C389" s="83">
        <f>194.205</f>
        <v>194.20500000000001</v>
      </c>
      <c r="D389" s="83">
        <f>267.466</f>
        <v>267.46600000000001</v>
      </c>
      <c r="E389" s="92">
        <f>133.845</f>
        <v>133.845</v>
      </c>
      <c r="F389" s="83">
        <f>278.484-40-25-60-100</f>
        <v>53.48399999999998</v>
      </c>
      <c r="G389" s="86">
        <v>40</v>
      </c>
      <c r="H389" s="83">
        <f t="shared" si="61"/>
        <v>185</v>
      </c>
      <c r="I389" s="83">
        <f t="shared" si="59"/>
        <v>0</v>
      </c>
      <c r="J389" s="86">
        <v>100</v>
      </c>
      <c r="K389" s="86">
        <v>300</v>
      </c>
      <c r="L389" s="83">
        <f t="shared" si="53"/>
        <v>1274</v>
      </c>
      <c r="M389" s="94">
        <v>600</v>
      </c>
      <c r="N389" s="83">
        <f>30</f>
        <v>30</v>
      </c>
      <c r="O389" s="86">
        <v>240</v>
      </c>
      <c r="P389" s="86">
        <v>160</v>
      </c>
      <c r="Q389" s="86">
        <f t="shared" si="54"/>
        <v>195</v>
      </c>
      <c r="R389" s="86">
        <f t="shared" si="55"/>
        <v>100</v>
      </c>
      <c r="S389" s="83">
        <f t="shared" si="56"/>
        <v>695</v>
      </c>
      <c r="T389" s="83">
        <f>50</f>
        <v>50</v>
      </c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</row>
    <row r="390" spans="1:30" ht="15.75" x14ac:dyDescent="0.25">
      <c r="A390" s="33">
        <v>52809</v>
      </c>
      <c r="B390" s="96">
        <v>31</v>
      </c>
      <c r="C390" s="83">
        <f>194.205</f>
        <v>194.20500000000001</v>
      </c>
      <c r="D390" s="83">
        <f>267.466</f>
        <v>267.46600000000001</v>
      </c>
      <c r="E390" s="92">
        <f>133.845</f>
        <v>133.845</v>
      </c>
      <c r="F390" s="83">
        <f>278.484-40-25-60-100</f>
        <v>53.48399999999998</v>
      </c>
      <c r="G390" s="86">
        <v>40</v>
      </c>
      <c r="H390" s="83">
        <f t="shared" si="61"/>
        <v>185</v>
      </c>
      <c r="I390" s="83">
        <f t="shared" si="59"/>
        <v>0</v>
      </c>
      <c r="J390" s="86">
        <v>100</v>
      </c>
      <c r="K390" s="86">
        <v>300</v>
      </c>
      <c r="L390" s="83">
        <f t="shared" si="53"/>
        <v>1274</v>
      </c>
      <c r="M390" s="94">
        <v>600</v>
      </c>
      <c r="N390" s="83">
        <f>30</f>
        <v>30</v>
      </c>
      <c r="O390" s="86">
        <v>240</v>
      </c>
      <c r="P390" s="86">
        <v>160</v>
      </c>
      <c r="Q390" s="86">
        <f t="shared" si="54"/>
        <v>195</v>
      </c>
      <c r="R390" s="86">
        <f t="shared" si="55"/>
        <v>100</v>
      </c>
      <c r="S390" s="83">
        <f t="shared" si="56"/>
        <v>695</v>
      </c>
      <c r="T390" s="83">
        <f>0</f>
        <v>0</v>
      </c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</row>
    <row r="391" spans="1:30" ht="15.75" x14ac:dyDescent="0.25">
      <c r="A391" s="33">
        <v>52840</v>
      </c>
      <c r="B391" s="96">
        <v>31</v>
      </c>
      <c r="C391" s="83">
        <f>194.205</f>
        <v>194.20500000000001</v>
      </c>
      <c r="D391" s="83">
        <f>267.466</f>
        <v>267.46600000000001</v>
      </c>
      <c r="E391" s="92">
        <f>133.845</f>
        <v>133.845</v>
      </c>
      <c r="F391" s="83">
        <f>278.484-40-25-60-100</f>
        <v>53.48399999999998</v>
      </c>
      <c r="G391" s="86">
        <v>40</v>
      </c>
      <c r="H391" s="83">
        <f t="shared" si="61"/>
        <v>185</v>
      </c>
      <c r="I391" s="83">
        <f t="shared" si="59"/>
        <v>0</v>
      </c>
      <c r="J391" s="86">
        <v>100</v>
      </c>
      <c r="K391" s="86">
        <v>300</v>
      </c>
      <c r="L391" s="83">
        <f t="shared" si="53"/>
        <v>1274</v>
      </c>
      <c r="M391" s="94">
        <v>600</v>
      </c>
      <c r="N391" s="83">
        <f>30</f>
        <v>30</v>
      </c>
      <c r="O391" s="86">
        <v>240</v>
      </c>
      <c r="P391" s="86">
        <v>160</v>
      </c>
      <c r="Q391" s="86">
        <f t="shared" si="54"/>
        <v>195</v>
      </c>
      <c r="R391" s="86">
        <f t="shared" si="55"/>
        <v>100</v>
      </c>
      <c r="S391" s="83">
        <f t="shared" si="56"/>
        <v>695</v>
      </c>
      <c r="T391" s="83">
        <f>0</f>
        <v>0</v>
      </c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</row>
    <row r="392" spans="1:30" ht="15.75" x14ac:dyDescent="0.25">
      <c r="A392" s="33">
        <v>52870</v>
      </c>
      <c r="B392" s="96">
        <v>30</v>
      </c>
      <c r="C392" s="83">
        <f>194.205</f>
        <v>194.20500000000001</v>
      </c>
      <c r="D392" s="83">
        <f>267.466</f>
        <v>267.46600000000001</v>
      </c>
      <c r="E392" s="92">
        <f>133.845</f>
        <v>133.845</v>
      </c>
      <c r="F392" s="83">
        <f>278.484-40-25-60-100</f>
        <v>53.48399999999998</v>
      </c>
      <c r="G392" s="86">
        <v>40</v>
      </c>
      <c r="H392" s="83">
        <f t="shared" si="61"/>
        <v>185</v>
      </c>
      <c r="I392" s="83">
        <f t="shared" si="59"/>
        <v>0</v>
      </c>
      <c r="J392" s="86">
        <v>100</v>
      </c>
      <c r="K392" s="86">
        <v>300</v>
      </c>
      <c r="L392" s="83">
        <f t="shared" si="53"/>
        <v>1274</v>
      </c>
      <c r="M392" s="94">
        <v>600</v>
      </c>
      <c r="N392" s="83">
        <f>30</f>
        <v>30</v>
      </c>
      <c r="O392" s="86">
        <v>240</v>
      </c>
      <c r="P392" s="86">
        <v>160</v>
      </c>
      <c r="Q392" s="86">
        <f t="shared" si="54"/>
        <v>195</v>
      </c>
      <c r="R392" s="86">
        <f t="shared" si="55"/>
        <v>100</v>
      </c>
      <c r="S392" s="83">
        <f t="shared" si="56"/>
        <v>695</v>
      </c>
      <c r="T392" s="83">
        <f>0</f>
        <v>0</v>
      </c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</row>
    <row r="393" spans="1:30" ht="15.75" x14ac:dyDescent="0.25">
      <c r="A393" s="33">
        <v>52901</v>
      </c>
      <c r="B393" s="96">
        <v>31</v>
      </c>
      <c r="C393" s="83">
        <f>131.881</f>
        <v>131.881</v>
      </c>
      <c r="D393" s="83">
        <f>277.167</f>
        <v>277.16699999999997</v>
      </c>
      <c r="E393" s="92">
        <f>79.08</f>
        <v>79.08</v>
      </c>
      <c r="F393" s="83">
        <f>350.872-40-25-60-100</f>
        <v>125.87200000000001</v>
      </c>
      <c r="G393" s="86">
        <v>40</v>
      </c>
      <c r="H393" s="83">
        <f t="shared" si="61"/>
        <v>185</v>
      </c>
      <c r="I393" s="83">
        <f t="shared" si="59"/>
        <v>0</v>
      </c>
      <c r="J393" s="86">
        <v>100</v>
      </c>
      <c r="K393" s="86">
        <v>300</v>
      </c>
      <c r="L393" s="83">
        <f t="shared" si="53"/>
        <v>1239</v>
      </c>
      <c r="M393" s="94">
        <v>600</v>
      </c>
      <c r="N393" s="83">
        <f>75</f>
        <v>75</v>
      </c>
      <c r="O393" s="86">
        <v>240</v>
      </c>
      <c r="P393" s="86">
        <v>160</v>
      </c>
      <c r="Q393" s="86">
        <f t="shared" si="54"/>
        <v>195</v>
      </c>
      <c r="R393" s="86">
        <f t="shared" si="55"/>
        <v>100</v>
      </c>
      <c r="S393" s="83">
        <f t="shared" si="56"/>
        <v>695</v>
      </c>
      <c r="T393" s="83">
        <f>0</f>
        <v>0</v>
      </c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</row>
    <row r="394" spans="1:30" ht="15.75" x14ac:dyDescent="0.25">
      <c r="A394" s="33">
        <v>52931</v>
      </c>
      <c r="B394" s="96">
        <v>30</v>
      </c>
      <c r="C394" s="83">
        <f>122.58</f>
        <v>122.58</v>
      </c>
      <c r="D394" s="83">
        <f>297.941</f>
        <v>297.94099999999997</v>
      </c>
      <c r="E394" s="92">
        <f>89.177</f>
        <v>89.177000000000007</v>
      </c>
      <c r="F394" s="83">
        <f>240.302-40-60-100</f>
        <v>40.301999999999992</v>
      </c>
      <c r="G394" s="86">
        <v>40</v>
      </c>
      <c r="H394" s="83">
        <f>60+100</f>
        <v>160</v>
      </c>
      <c r="I394" s="83">
        <f t="shared" si="59"/>
        <v>0</v>
      </c>
      <c r="J394" s="86">
        <v>100</v>
      </c>
      <c r="K394" s="86">
        <v>300</v>
      </c>
      <c r="L394" s="83">
        <f t="shared" si="53"/>
        <v>1150</v>
      </c>
      <c r="M394" s="94">
        <v>600</v>
      </c>
      <c r="N394" s="83">
        <f>100</f>
        <v>100</v>
      </c>
      <c r="O394" s="86">
        <v>240</v>
      </c>
      <c r="P394" s="86">
        <v>40</v>
      </c>
      <c r="Q394" s="86">
        <f t="shared" si="54"/>
        <v>315</v>
      </c>
      <c r="R394" s="86">
        <f t="shared" si="55"/>
        <v>100</v>
      </c>
      <c r="S394" s="83">
        <f t="shared" si="56"/>
        <v>695</v>
      </c>
      <c r="T394" s="83">
        <f>50</f>
        <v>50</v>
      </c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</row>
    <row r="395" spans="1:30" ht="15.75" x14ac:dyDescent="0.25">
      <c r="A395" s="33">
        <v>52962</v>
      </c>
      <c r="B395" s="96">
        <v>31</v>
      </c>
      <c r="C395" s="83">
        <f>122.58</f>
        <v>122.58</v>
      </c>
      <c r="D395" s="83">
        <f>297.941</f>
        <v>297.94099999999997</v>
      </c>
      <c r="E395" s="92">
        <f>89.177</f>
        <v>89.177000000000007</v>
      </c>
      <c r="F395" s="83">
        <f>240.302-40-60-100</f>
        <v>40.301999999999992</v>
      </c>
      <c r="G395" s="86">
        <v>40</v>
      </c>
      <c r="H395" s="83">
        <f>60+100</f>
        <v>160</v>
      </c>
      <c r="I395" s="83">
        <f t="shared" si="59"/>
        <v>0</v>
      </c>
      <c r="J395" s="86">
        <v>100</v>
      </c>
      <c r="K395" s="86">
        <v>300</v>
      </c>
      <c r="L395" s="83">
        <f t="shared" si="53"/>
        <v>1150</v>
      </c>
      <c r="M395" s="94">
        <v>600</v>
      </c>
      <c r="N395" s="83">
        <f>100</f>
        <v>100</v>
      </c>
      <c r="O395" s="86">
        <v>240</v>
      </c>
      <c r="P395" s="86">
        <v>40</v>
      </c>
      <c r="Q395" s="86">
        <f t="shared" si="54"/>
        <v>315</v>
      </c>
      <c r="R395" s="86">
        <f t="shared" si="55"/>
        <v>100</v>
      </c>
      <c r="S395" s="83">
        <f t="shared" si="56"/>
        <v>695</v>
      </c>
      <c r="T395" s="83">
        <f>50</f>
        <v>50</v>
      </c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</row>
    <row r="396" spans="1:30" ht="15.75" x14ac:dyDescent="0.25">
      <c r="A396" s="33">
        <v>52993</v>
      </c>
      <c r="B396" s="96">
        <v>31</v>
      </c>
      <c r="C396" s="83">
        <f>122.58</f>
        <v>122.58</v>
      </c>
      <c r="D396" s="83">
        <f>297.941</f>
        <v>297.94099999999997</v>
      </c>
      <c r="E396" s="92">
        <f>89.177</f>
        <v>89.177000000000007</v>
      </c>
      <c r="F396" s="83">
        <f>240.302-40-60-100</f>
        <v>40.301999999999992</v>
      </c>
      <c r="G396" s="86">
        <v>40</v>
      </c>
      <c r="H396" s="83">
        <f>60+100</f>
        <v>160</v>
      </c>
      <c r="I396" s="83">
        <f t="shared" si="59"/>
        <v>0</v>
      </c>
      <c r="J396" s="86">
        <v>100</v>
      </c>
      <c r="K396" s="86">
        <v>300</v>
      </c>
      <c r="L396" s="83">
        <f t="shared" si="53"/>
        <v>1150</v>
      </c>
      <c r="M396" s="94">
        <v>600</v>
      </c>
      <c r="N396" s="83">
        <f>100</f>
        <v>100</v>
      </c>
      <c r="O396" s="86">
        <v>240</v>
      </c>
      <c r="P396" s="86">
        <v>40</v>
      </c>
      <c r="Q396" s="86">
        <f t="shared" si="54"/>
        <v>315</v>
      </c>
      <c r="R396" s="86">
        <f t="shared" si="55"/>
        <v>100</v>
      </c>
      <c r="S396" s="83">
        <f t="shared" si="56"/>
        <v>695</v>
      </c>
      <c r="T396" s="83">
        <f>50</f>
        <v>50</v>
      </c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</row>
    <row r="397" spans="1:30" ht="15.75" x14ac:dyDescent="0.25">
      <c r="A397" s="33">
        <v>53021</v>
      </c>
      <c r="B397" s="96">
        <v>28</v>
      </c>
      <c r="C397" s="83">
        <f>122.58</f>
        <v>122.58</v>
      </c>
      <c r="D397" s="83">
        <f>297.941</f>
        <v>297.94099999999997</v>
      </c>
      <c r="E397" s="92">
        <f>89.177</f>
        <v>89.177000000000007</v>
      </c>
      <c r="F397" s="83">
        <f>240.302-40-60-100</f>
        <v>40.301999999999992</v>
      </c>
      <c r="G397" s="86">
        <v>40</v>
      </c>
      <c r="H397" s="83">
        <f>60+100</f>
        <v>160</v>
      </c>
      <c r="I397" s="83">
        <f t="shared" si="59"/>
        <v>0</v>
      </c>
      <c r="J397" s="86">
        <v>100</v>
      </c>
      <c r="K397" s="86">
        <v>300</v>
      </c>
      <c r="L397" s="83">
        <f t="shared" si="53"/>
        <v>1150</v>
      </c>
      <c r="M397" s="94">
        <v>600</v>
      </c>
      <c r="N397" s="83">
        <f>100</f>
        <v>100</v>
      </c>
      <c r="O397" s="86">
        <v>240</v>
      </c>
      <c r="P397" s="86">
        <v>40</v>
      </c>
      <c r="Q397" s="86">
        <f t="shared" si="54"/>
        <v>315</v>
      </c>
      <c r="R397" s="86">
        <f t="shared" si="55"/>
        <v>100</v>
      </c>
      <c r="S397" s="83">
        <f t="shared" si="56"/>
        <v>695</v>
      </c>
      <c r="T397" s="83">
        <f>50</f>
        <v>50</v>
      </c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</row>
    <row r="398" spans="1:30" ht="15.75" x14ac:dyDescent="0.25">
      <c r="A398" s="33">
        <v>53052</v>
      </c>
      <c r="B398" s="96">
        <v>31</v>
      </c>
      <c r="C398" s="83">
        <f>122.58</f>
        <v>122.58</v>
      </c>
      <c r="D398" s="83">
        <f>297.941</f>
        <v>297.94099999999997</v>
      </c>
      <c r="E398" s="92">
        <f>89.177</f>
        <v>89.177000000000007</v>
      </c>
      <c r="F398" s="83">
        <f>240.302-40-60-100</f>
        <v>40.301999999999992</v>
      </c>
      <c r="G398" s="86">
        <v>40</v>
      </c>
      <c r="H398" s="83">
        <f>60+100</f>
        <v>160</v>
      </c>
      <c r="I398" s="83">
        <f t="shared" si="59"/>
        <v>0</v>
      </c>
      <c r="J398" s="86">
        <v>100</v>
      </c>
      <c r="K398" s="86">
        <v>300</v>
      </c>
      <c r="L398" s="83">
        <f t="shared" si="53"/>
        <v>1150</v>
      </c>
      <c r="M398" s="94">
        <v>600</v>
      </c>
      <c r="N398" s="83">
        <f>100</f>
        <v>100</v>
      </c>
      <c r="O398" s="86">
        <v>240</v>
      </c>
      <c r="P398" s="86">
        <v>40</v>
      </c>
      <c r="Q398" s="86">
        <f t="shared" si="54"/>
        <v>315</v>
      </c>
      <c r="R398" s="86">
        <f t="shared" si="55"/>
        <v>100</v>
      </c>
      <c r="S398" s="83">
        <f t="shared" si="56"/>
        <v>695</v>
      </c>
      <c r="T398" s="83">
        <f>50</f>
        <v>50</v>
      </c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</row>
    <row r="399" spans="1:30" ht="15.75" x14ac:dyDescent="0.25">
      <c r="A399" s="33">
        <v>53082</v>
      </c>
      <c r="B399" s="96">
        <v>30</v>
      </c>
      <c r="C399" s="83">
        <f>141.293</f>
        <v>141.29300000000001</v>
      </c>
      <c r="D399" s="83">
        <f>267.993</f>
        <v>267.99299999999999</v>
      </c>
      <c r="E399" s="92">
        <f>115.016</f>
        <v>115.01600000000001</v>
      </c>
      <c r="F399" s="83">
        <f>314.698-40-25-60-100</f>
        <v>89.697999999999979</v>
      </c>
      <c r="G399" s="86">
        <v>40</v>
      </c>
      <c r="H399" s="83">
        <f t="shared" ref="H399:H405" si="62">25+60+100</f>
        <v>185</v>
      </c>
      <c r="I399" s="83">
        <f t="shared" si="59"/>
        <v>0</v>
      </c>
      <c r="J399" s="86">
        <v>100</v>
      </c>
      <c r="K399" s="86">
        <v>300</v>
      </c>
      <c r="L399" s="83">
        <f t="shared" si="53"/>
        <v>1239</v>
      </c>
      <c r="M399" s="94">
        <v>600</v>
      </c>
      <c r="N399" s="83">
        <f>100</f>
        <v>100</v>
      </c>
      <c r="O399" s="86">
        <v>240</v>
      </c>
      <c r="P399" s="86">
        <v>160</v>
      </c>
      <c r="Q399" s="86">
        <f t="shared" si="54"/>
        <v>195</v>
      </c>
      <c r="R399" s="86">
        <f t="shared" si="55"/>
        <v>100</v>
      </c>
      <c r="S399" s="83">
        <f t="shared" si="56"/>
        <v>695</v>
      </c>
      <c r="T399" s="83">
        <f>50</f>
        <v>50</v>
      </c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</row>
    <row r="400" spans="1:30" ht="15.75" x14ac:dyDescent="0.25">
      <c r="A400" s="33">
        <v>53113</v>
      </c>
      <c r="B400" s="96">
        <v>31</v>
      </c>
      <c r="C400" s="83">
        <f>194.205</f>
        <v>194.20500000000001</v>
      </c>
      <c r="D400" s="83">
        <f>267.466</f>
        <v>267.46600000000001</v>
      </c>
      <c r="E400" s="92">
        <f>133.845</f>
        <v>133.845</v>
      </c>
      <c r="F400" s="83">
        <f>278.484-40-25-60-100</f>
        <v>53.48399999999998</v>
      </c>
      <c r="G400" s="86">
        <v>40</v>
      </c>
      <c r="H400" s="83">
        <f t="shared" si="62"/>
        <v>185</v>
      </c>
      <c r="I400" s="83">
        <f t="shared" si="59"/>
        <v>0</v>
      </c>
      <c r="J400" s="86">
        <v>100</v>
      </c>
      <c r="K400" s="86">
        <v>300</v>
      </c>
      <c r="L400" s="83">
        <f t="shared" si="53"/>
        <v>1274</v>
      </c>
      <c r="M400" s="94">
        <v>600</v>
      </c>
      <c r="N400" s="83">
        <f>75</f>
        <v>75</v>
      </c>
      <c r="O400" s="86">
        <v>240</v>
      </c>
      <c r="P400" s="86">
        <v>160</v>
      </c>
      <c r="Q400" s="86">
        <f t="shared" si="54"/>
        <v>195</v>
      </c>
      <c r="R400" s="86">
        <f t="shared" si="55"/>
        <v>100</v>
      </c>
      <c r="S400" s="83">
        <f t="shared" si="56"/>
        <v>695</v>
      </c>
      <c r="T400" s="83">
        <f>50</f>
        <v>50</v>
      </c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</row>
    <row r="401" spans="1:30" ht="15.75" x14ac:dyDescent="0.25">
      <c r="A401" s="33">
        <v>53143</v>
      </c>
      <c r="B401" s="96">
        <v>30</v>
      </c>
      <c r="C401" s="83">
        <f>194.205</f>
        <v>194.20500000000001</v>
      </c>
      <c r="D401" s="83">
        <f>267.466</f>
        <v>267.46600000000001</v>
      </c>
      <c r="E401" s="92">
        <f>133.845</f>
        <v>133.845</v>
      </c>
      <c r="F401" s="83">
        <f>278.484-40-25-60-100</f>
        <v>53.48399999999998</v>
      </c>
      <c r="G401" s="86">
        <v>40</v>
      </c>
      <c r="H401" s="83">
        <f t="shared" si="62"/>
        <v>185</v>
      </c>
      <c r="I401" s="83">
        <f t="shared" si="59"/>
        <v>0</v>
      </c>
      <c r="J401" s="86">
        <v>100</v>
      </c>
      <c r="K401" s="86">
        <v>300</v>
      </c>
      <c r="L401" s="83">
        <f t="shared" si="53"/>
        <v>1274</v>
      </c>
      <c r="M401" s="94">
        <v>600</v>
      </c>
      <c r="N401" s="83">
        <f>30</f>
        <v>30</v>
      </c>
      <c r="O401" s="86">
        <v>240</v>
      </c>
      <c r="P401" s="86">
        <v>160</v>
      </c>
      <c r="Q401" s="86">
        <f t="shared" si="54"/>
        <v>195</v>
      </c>
      <c r="R401" s="86">
        <f t="shared" si="55"/>
        <v>100</v>
      </c>
      <c r="S401" s="83">
        <f t="shared" si="56"/>
        <v>695</v>
      </c>
      <c r="T401" s="83">
        <f>50</f>
        <v>50</v>
      </c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</row>
    <row r="402" spans="1:30" ht="15.75" x14ac:dyDescent="0.25">
      <c r="A402" s="33">
        <v>53174</v>
      </c>
      <c r="B402" s="96">
        <v>31</v>
      </c>
      <c r="C402" s="83">
        <f>194.205</f>
        <v>194.20500000000001</v>
      </c>
      <c r="D402" s="83">
        <f>267.466</f>
        <v>267.46600000000001</v>
      </c>
      <c r="E402" s="92">
        <f>133.845</f>
        <v>133.845</v>
      </c>
      <c r="F402" s="83">
        <f>278.484-40-25-60-100</f>
        <v>53.48399999999998</v>
      </c>
      <c r="G402" s="86">
        <v>40</v>
      </c>
      <c r="H402" s="83">
        <f t="shared" si="62"/>
        <v>185</v>
      </c>
      <c r="I402" s="83">
        <f t="shared" si="59"/>
        <v>0</v>
      </c>
      <c r="J402" s="86">
        <v>100</v>
      </c>
      <c r="K402" s="86">
        <v>300</v>
      </c>
      <c r="L402" s="83">
        <f t="shared" si="53"/>
        <v>1274</v>
      </c>
      <c r="M402" s="94">
        <v>600</v>
      </c>
      <c r="N402" s="83">
        <f>30</f>
        <v>30</v>
      </c>
      <c r="O402" s="86">
        <v>240</v>
      </c>
      <c r="P402" s="86">
        <v>160</v>
      </c>
      <c r="Q402" s="86">
        <f t="shared" si="54"/>
        <v>195</v>
      </c>
      <c r="R402" s="86">
        <f t="shared" si="55"/>
        <v>100</v>
      </c>
      <c r="S402" s="83">
        <f t="shared" si="56"/>
        <v>695</v>
      </c>
      <c r="T402" s="83">
        <f>0</f>
        <v>0</v>
      </c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</row>
    <row r="403" spans="1:30" ht="15.75" x14ac:dyDescent="0.25">
      <c r="A403" s="33">
        <v>53205</v>
      </c>
      <c r="B403" s="96">
        <v>31</v>
      </c>
      <c r="C403" s="83">
        <f>194.205</f>
        <v>194.20500000000001</v>
      </c>
      <c r="D403" s="83">
        <f>267.466</f>
        <v>267.46600000000001</v>
      </c>
      <c r="E403" s="92">
        <f>133.845</f>
        <v>133.845</v>
      </c>
      <c r="F403" s="83">
        <f>278.484-40-25-60-100</f>
        <v>53.48399999999998</v>
      </c>
      <c r="G403" s="86">
        <v>40</v>
      </c>
      <c r="H403" s="83">
        <f t="shared" si="62"/>
        <v>185</v>
      </c>
      <c r="I403" s="83">
        <f t="shared" si="59"/>
        <v>0</v>
      </c>
      <c r="J403" s="86">
        <v>100</v>
      </c>
      <c r="K403" s="86">
        <v>300</v>
      </c>
      <c r="L403" s="83">
        <f t="shared" si="53"/>
        <v>1274</v>
      </c>
      <c r="M403" s="94">
        <v>600</v>
      </c>
      <c r="N403" s="83">
        <f>30</f>
        <v>30</v>
      </c>
      <c r="O403" s="86">
        <v>240</v>
      </c>
      <c r="P403" s="86">
        <v>160</v>
      </c>
      <c r="Q403" s="86">
        <f t="shared" si="54"/>
        <v>195</v>
      </c>
      <c r="R403" s="86">
        <f t="shared" si="55"/>
        <v>100</v>
      </c>
      <c r="S403" s="83">
        <f t="shared" si="56"/>
        <v>695</v>
      </c>
      <c r="T403" s="83">
        <f>0</f>
        <v>0</v>
      </c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</row>
    <row r="404" spans="1:30" ht="15.75" x14ac:dyDescent="0.25">
      <c r="A404" s="33">
        <v>53235</v>
      </c>
      <c r="B404" s="96">
        <v>30</v>
      </c>
      <c r="C404" s="83">
        <f>194.205</f>
        <v>194.20500000000001</v>
      </c>
      <c r="D404" s="83">
        <f>267.466</f>
        <v>267.46600000000001</v>
      </c>
      <c r="E404" s="92">
        <f>133.845</f>
        <v>133.845</v>
      </c>
      <c r="F404" s="83">
        <f>278.484-40-25-60-100</f>
        <v>53.48399999999998</v>
      </c>
      <c r="G404" s="86">
        <v>40</v>
      </c>
      <c r="H404" s="83">
        <f t="shared" si="62"/>
        <v>185</v>
      </c>
      <c r="I404" s="83">
        <f t="shared" si="59"/>
        <v>0</v>
      </c>
      <c r="J404" s="86">
        <v>100</v>
      </c>
      <c r="K404" s="86">
        <v>300</v>
      </c>
      <c r="L404" s="83">
        <f t="shared" si="53"/>
        <v>1274</v>
      </c>
      <c r="M404" s="94">
        <v>600</v>
      </c>
      <c r="N404" s="83">
        <f>30</f>
        <v>30</v>
      </c>
      <c r="O404" s="86">
        <v>240</v>
      </c>
      <c r="P404" s="86">
        <v>160</v>
      </c>
      <c r="Q404" s="86">
        <f t="shared" si="54"/>
        <v>195</v>
      </c>
      <c r="R404" s="86">
        <f t="shared" si="55"/>
        <v>100</v>
      </c>
      <c r="S404" s="83">
        <f t="shared" si="56"/>
        <v>695</v>
      </c>
      <c r="T404" s="83">
        <f>0</f>
        <v>0</v>
      </c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</row>
    <row r="405" spans="1:30" ht="15.75" x14ac:dyDescent="0.25">
      <c r="A405" s="33">
        <v>53266</v>
      </c>
      <c r="B405" s="96">
        <v>31</v>
      </c>
      <c r="C405" s="83">
        <f>131.881</f>
        <v>131.881</v>
      </c>
      <c r="D405" s="83">
        <f>277.167</f>
        <v>277.16699999999997</v>
      </c>
      <c r="E405" s="92">
        <f>79.08</f>
        <v>79.08</v>
      </c>
      <c r="F405" s="83">
        <f>350.872-40-25-60-100</f>
        <v>125.87200000000001</v>
      </c>
      <c r="G405" s="86">
        <v>40</v>
      </c>
      <c r="H405" s="83">
        <f t="shared" si="62"/>
        <v>185</v>
      </c>
      <c r="I405" s="83">
        <f t="shared" si="59"/>
        <v>0</v>
      </c>
      <c r="J405" s="86">
        <v>100</v>
      </c>
      <c r="K405" s="86">
        <v>300</v>
      </c>
      <c r="L405" s="83">
        <f t="shared" ref="L405:L468" si="63">SUM(C405:K405)</f>
        <v>1239</v>
      </c>
      <c r="M405" s="94">
        <v>600</v>
      </c>
      <c r="N405" s="83">
        <f>75</f>
        <v>75</v>
      </c>
      <c r="O405" s="86">
        <v>240</v>
      </c>
      <c r="P405" s="86">
        <v>160</v>
      </c>
      <c r="Q405" s="86">
        <f t="shared" ref="Q405:Q468" si="64">695-R405-O405-P405</f>
        <v>195</v>
      </c>
      <c r="R405" s="86">
        <f t="shared" ref="R405:R468" si="65">200-J405</f>
        <v>100</v>
      </c>
      <c r="S405" s="83">
        <f t="shared" ref="S405:S468" si="66">SUM(O405:R405)</f>
        <v>695</v>
      </c>
      <c r="T405" s="83">
        <f>0</f>
        <v>0</v>
      </c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</row>
    <row r="406" spans="1:30" ht="15.75" x14ac:dyDescent="0.25">
      <c r="A406" s="33">
        <v>53296</v>
      </c>
      <c r="B406" s="96">
        <v>30</v>
      </c>
      <c r="C406" s="83">
        <f>122.58</f>
        <v>122.58</v>
      </c>
      <c r="D406" s="83">
        <f>297.941</f>
        <v>297.94099999999997</v>
      </c>
      <c r="E406" s="92">
        <f>89.177</f>
        <v>89.177000000000007</v>
      </c>
      <c r="F406" s="83">
        <f>240.302-40-60-100</f>
        <v>40.301999999999992</v>
      </c>
      <c r="G406" s="86">
        <v>40</v>
      </c>
      <c r="H406" s="83">
        <f>60+100</f>
        <v>160</v>
      </c>
      <c r="I406" s="83">
        <f t="shared" si="59"/>
        <v>0</v>
      </c>
      <c r="J406" s="86">
        <v>100</v>
      </c>
      <c r="K406" s="86">
        <v>300</v>
      </c>
      <c r="L406" s="83">
        <f t="shared" si="63"/>
        <v>1150</v>
      </c>
      <c r="M406" s="94">
        <v>600</v>
      </c>
      <c r="N406" s="83">
        <f>100</f>
        <v>100</v>
      </c>
      <c r="O406" s="86">
        <v>240</v>
      </c>
      <c r="P406" s="86">
        <v>40</v>
      </c>
      <c r="Q406" s="86">
        <f t="shared" si="64"/>
        <v>315</v>
      </c>
      <c r="R406" s="86">
        <f t="shared" si="65"/>
        <v>100</v>
      </c>
      <c r="S406" s="83">
        <f t="shared" si="66"/>
        <v>695</v>
      </c>
      <c r="T406" s="83">
        <f>50</f>
        <v>50</v>
      </c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</row>
    <row r="407" spans="1:30" ht="15.75" x14ac:dyDescent="0.25">
      <c r="A407" s="33">
        <v>53327</v>
      </c>
      <c r="B407" s="96">
        <v>31</v>
      </c>
      <c r="C407" s="83">
        <f>122.58</f>
        <v>122.58</v>
      </c>
      <c r="D407" s="83">
        <f>297.941</f>
        <v>297.94099999999997</v>
      </c>
      <c r="E407" s="92">
        <f>89.177</f>
        <v>89.177000000000007</v>
      </c>
      <c r="F407" s="83">
        <f>240.302-40-60-100</f>
        <v>40.301999999999992</v>
      </c>
      <c r="G407" s="86">
        <v>40</v>
      </c>
      <c r="H407" s="83">
        <f>60+100</f>
        <v>160</v>
      </c>
      <c r="I407" s="83">
        <f t="shared" si="59"/>
        <v>0</v>
      </c>
      <c r="J407" s="86">
        <v>100</v>
      </c>
      <c r="K407" s="86">
        <v>300</v>
      </c>
      <c r="L407" s="83">
        <f t="shared" si="63"/>
        <v>1150</v>
      </c>
      <c r="M407" s="94">
        <v>600</v>
      </c>
      <c r="N407" s="83">
        <f>100</f>
        <v>100</v>
      </c>
      <c r="O407" s="86">
        <v>240</v>
      </c>
      <c r="P407" s="86">
        <v>40</v>
      </c>
      <c r="Q407" s="86">
        <f t="shared" si="64"/>
        <v>315</v>
      </c>
      <c r="R407" s="86">
        <f t="shared" si="65"/>
        <v>100</v>
      </c>
      <c r="S407" s="83">
        <f t="shared" si="66"/>
        <v>695</v>
      </c>
      <c r="T407" s="83">
        <f>50</f>
        <v>50</v>
      </c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</row>
    <row r="408" spans="1:30" ht="15.75" x14ac:dyDescent="0.25">
      <c r="A408" s="33">
        <v>53358</v>
      </c>
      <c r="B408" s="96">
        <v>31</v>
      </c>
      <c r="C408" s="83">
        <f>122.58</f>
        <v>122.58</v>
      </c>
      <c r="D408" s="83">
        <f>297.941</f>
        <v>297.94099999999997</v>
      </c>
      <c r="E408" s="92">
        <f>89.177</f>
        <v>89.177000000000007</v>
      </c>
      <c r="F408" s="83">
        <f>240.302-40-60-100</f>
        <v>40.301999999999992</v>
      </c>
      <c r="G408" s="86">
        <v>40</v>
      </c>
      <c r="H408" s="83">
        <f>60+100</f>
        <v>160</v>
      </c>
      <c r="I408" s="83">
        <f t="shared" si="59"/>
        <v>0</v>
      </c>
      <c r="J408" s="86">
        <v>100</v>
      </c>
      <c r="K408" s="86">
        <v>300</v>
      </c>
      <c r="L408" s="83">
        <f t="shared" si="63"/>
        <v>1150</v>
      </c>
      <c r="M408" s="94">
        <v>600</v>
      </c>
      <c r="N408" s="83">
        <f>100</f>
        <v>100</v>
      </c>
      <c r="O408" s="86">
        <v>240</v>
      </c>
      <c r="P408" s="86">
        <v>40</v>
      </c>
      <c r="Q408" s="86">
        <f t="shared" si="64"/>
        <v>315</v>
      </c>
      <c r="R408" s="86">
        <f t="shared" si="65"/>
        <v>100</v>
      </c>
      <c r="S408" s="83">
        <f t="shared" si="66"/>
        <v>695</v>
      </c>
      <c r="T408" s="83">
        <f>50</f>
        <v>50</v>
      </c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</row>
    <row r="409" spans="1:30" ht="15.75" x14ac:dyDescent="0.25">
      <c r="A409" s="33">
        <v>53386</v>
      </c>
      <c r="B409" s="96">
        <v>28</v>
      </c>
      <c r="C409" s="83">
        <f>122.58</f>
        <v>122.58</v>
      </c>
      <c r="D409" s="83">
        <f>297.941</f>
        <v>297.94099999999997</v>
      </c>
      <c r="E409" s="92">
        <f>89.177</f>
        <v>89.177000000000007</v>
      </c>
      <c r="F409" s="83">
        <f>240.302-40-60-100</f>
        <v>40.301999999999992</v>
      </c>
      <c r="G409" s="86">
        <v>40</v>
      </c>
      <c r="H409" s="83">
        <f>60+100</f>
        <v>160</v>
      </c>
      <c r="I409" s="83">
        <f t="shared" si="59"/>
        <v>0</v>
      </c>
      <c r="J409" s="86">
        <v>100</v>
      </c>
      <c r="K409" s="86">
        <v>300</v>
      </c>
      <c r="L409" s="83">
        <f t="shared" si="63"/>
        <v>1150</v>
      </c>
      <c r="M409" s="94">
        <v>600</v>
      </c>
      <c r="N409" s="83">
        <f>100</f>
        <v>100</v>
      </c>
      <c r="O409" s="86">
        <v>240</v>
      </c>
      <c r="P409" s="86">
        <v>40</v>
      </c>
      <c r="Q409" s="86">
        <f t="shared" si="64"/>
        <v>315</v>
      </c>
      <c r="R409" s="86">
        <f t="shared" si="65"/>
        <v>100</v>
      </c>
      <c r="S409" s="83">
        <f t="shared" si="66"/>
        <v>695</v>
      </c>
      <c r="T409" s="83">
        <f>50</f>
        <v>50</v>
      </c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</row>
    <row r="410" spans="1:30" ht="15.75" x14ac:dyDescent="0.25">
      <c r="A410" s="33">
        <v>53417</v>
      </c>
      <c r="B410" s="96">
        <v>31</v>
      </c>
      <c r="C410" s="83">
        <f>122.58</f>
        <v>122.58</v>
      </c>
      <c r="D410" s="83">
        <f>297.941</f>
        <v>297.94099999999997</v>
      </c>
      <c r="E410" s="92">
        <f>89.177</f>
        <v>89.177000000000007</v>
      </c>
      <c r="F410" s="83">
        <f>240.302-40-60-100</f>
        <v>40.301999999999992</v>
      </c>
      <c r="G410" s="86">
        <v>40</v>
      </c>
      <c r="H410" s="83">
        <f>60+100</f>
        <v>160</v>
      </c>
      <c r="I410" s="83">
        <f t="shared" si="59"/>
        <v>0</v>
      </c>
      <c r="J410" s="86">
        <v>100</v>
      </c>
      <c r="K410" s="86">
        <v>300</v>
      </c>
      <c r="L410" s="83">
        <f t="shared" si="63"/>
        <v>1150</v>
      </c>
      <c r="M410" s="94">
        <v>600</v>
      </c>
      <c r="N410" s="83">
        <f>100</f>
        <v>100</v>
      </c>
      <c r="O410" s="86">
        <v>240</v>
      </c>
      <c r="P410" s="86">
        <v>40</v>
      </c>
      <c r="Q410" s="86">
        <f t="shared" si="64"/>
        <v>315</v>
      </c>
      <c r="R410" s="86">
        <f t="shared" si="65"/>
        <v>100</v>
      </c>
      <c r="S410" s="83">
        <f t="shared" si="66"/>
        <v>695</v>
      </c>
      <c r="T410" s="83">
        <f>50</f>
        <v>50</v>
      </c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</row>
    <row r="411" spans="1:30" ht="15.75" x14ac:dyDescent="0.25">
      <c r="A411" s="33">
        <v>53447</v>
      </c>
      <c r="B411" s="96">
        <v>30</v>
      </c>
      <c r="C411" s="83">
        <f>141.293</f>
        <v>141.29300000000001</v>
      </c>
      <c r="D411" s="83">
        <f>267.993</f>
        <v>267.99299999999999</v>
      </c>
      <c r="E411" s="92">
        <f>115.016</f>
        <v>115.01600000000001</v>
      </c>
      <c r="F411" s="83">
        <f>314.698-40-25-60-100</f>
        <v>89.697999999999979</v>
      </c>
      <c r="G411" s="86">
        <v>40</v>
      </c>
      <c r="H411" s="83">
        <f t="shared" ref="H411:H417" si="67">25+60+100</f>
        <v>185</v>
      </c>
      <c r="I411" s="83">
        <f t="shared" si="59"/>
        <v>0</v>
      </c>
      <c r="J411" s="86">
        <v>100</v>
      </c>
      <c r="K411" s="86">
        <v>300</v>
      </c>
      <c r="L411" s="83">
        <f t="shared" si="63"/>
        <v>1239</v>
      </c>
      <c r="M411" s="94">
        <v>600</v>
      </c>
      <c r="N411" s="83">
        <f>100</f>
        <v>100</v>
      </c>
      <c r="O411" s="86">
        <v>240</v>
      </c>
      <c r="P411" s="86">
        <v>160</v>
      </c>
      <c r="Q411" s="86">
        <f t="shared" si="64"/>
        <v>195</v>
      </c>
      <c r="R411" s="86">
        <f t="shared" si="65"/>
        <v>100</v>
      </c>
      <c r="S411" s="83">
        <f t="shared" si="66"/>
        <v>695</v>
      </c>
      <c r="T411" s="83">
        <f>50</f>
        <v>50</v>
      </c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</row>
    <row r="412" spans="1:30" ht="15.75" x14ac:dyDescent="0.25">
      <c r="A412" s="33">
        <v>53478</v>
      </c>
      <c r="B412" s="96">
        <v>31</v>
      </c>
      <c r="C412" s="83">
        <f>194.205</f>
        <v>194.20500000000001</v>
      </c>
      <c r="D412" s="83">
        <f>267.466</f>
        <v>267.46600000000001</v>
      </c>
      <c r="E412" s="92">
        <f>133.845</f>
        <v>133.845</v>
      </c>
      <c r="F412" s="83">
        <f>278.484-40-25-60-100</f>
        <v>53.48399999999998</v>
      </c>
      <c r="G412" s="86">
        <v>40</v>
      </c>
      <c r="H412" s="83">
        <f t="shared" si="67"/>
        <v>185</v>
      </c>
      <c r="I412" s="83">
        <f t="shared" si="59"/>
        <v>0</v>
      </c>
      <c r="J412" s="86">
        <v>100</v>
      </c>
      <c r="K412" s="86">
        <v>300</v>
      </c>
      <c r="L412" s="83">
        <f t="shared" si="63"/>
        <v>1274</v>
      </c>
      <c r="M412" s="94">
        <v>600</v>
      </c>
      <c r="N412" s="83">
        <f>75</f>
        <v>75</v>
      </c>
      <c r="O412" s="86">
        <v>240</v>
      </c>
      <c r="P412" s="86">
        <v>160</v>
      </c>
      <c r="Q412" s="86">
        <f t="shared" si="64"/>
        <v>195</v>
      </c>
      <c r="R412" s="86">
        <f t="shared" si="65"/>
        <v>100</v>
      </c>
      <c r="S412" s="83">
        <f t="shared" si="66"/>
        <v>695</v>
      </c>
      <c r="T412" s="83">
        <f>50</f>
        <v>50</v>
      </c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</row>
    <row r="413" spans="1:30" ht="15.75" x14ac:dyDescent="0.25">
      <c r="A413" s="33">
        <v>53508</v>
      </c>
      <c r="B413" s="96">
        <v>30</v>
      </c>
      <c r="C413" s="83">
        <f>194.205</f>
        <v>194.20500000000001</v>
      </c>
      <c r="D413" s="83">
        <f>267.466</f>
        <v>267.46600000000001</v>
      </c>
      <c r="E413" s="92">
        <f>133.845</f>
        <v>133.845</v>
      </c>
      <c r="F413" s="83">
        <f>278.484-40-25-60-100</f>
        <v>53.48399999999998</v>
      </c>
      <c r="G413" s="86">
        <v>40</v>
      </c>
      <c r="H413" s="83">
        <f t="shared" si="67"/>
        <v>185</v>
      </c>
      <c r="I413" s="83">
        <f t="shared" si="59"/>
        <v>0</v>
      </c>
      <c r="J413" s="86">
        <v>100</v>
      </c>
      <c r="K413" s="86">
        <v>300</v>
      </c>
      <c r="L413" s="83">
        <f t="shared" si="63"/>
        <v>1274</v>
      </c>
      <c r="M413" s="94">
        <v>600</v>
      </c>
      <c r="N413" s="83">
        <f>30</f>
        <v>30</v>
      </c>
      <c r="O413" s="86">
        <v>240</v>
      </c>
      <c r="P413" s="86">
        <v>160</v>
      </c>
      <c r="Q413" s="86">
        <f t="shared" si="64"/>
        <v>195</v>
      </c>
      <c r="R413" s="86">
        <f t="shared" si="65"/>
        <v>100</v>
      </c>
      <c r="S413" s="83">
        <f t="shared" si="66"/>
        <v>695</v>
      </c>
      <c r="T413" s="83">
        <f>50</f>
        <v>50</v>
      </c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</row>
    <row r="414" spans="1:30" ht="15.75" x14ac:dyDescent="0.25">
      <c r="A414" s="33">
        <v>53539</v>
      </c>
      <c r="B414" s="96">
        <v>31</v>
      </c>
      <c r="C414" s="83">
        <f>194.205</f>
        <v>194.20500000000001</v>
      </c>
      <c r="D414" s="83">
        <f>267.466</f>
        <v>267.46600000000001</v>
      </c>
      <c r="E414" s="92">
        <f>133.845</f>
        <v>133.845</v>
      </c>
      <c r="F414" s="83">
        <f>278.484-40-25-60-100</f>
        <v>53.48399999999998</v>
      </c>
      <c r="G414" s="86">
        <v>40</v>
      </c>
      <c r="H414" s="83">
        <f t="shared" si="67"/>
        <v>185</v>
      </c>
      <c r="I414" s="83">
        <f t="shared" si="59"/>
        <v>0</v>
      </c>
      <c r="J414" s="86">
        <v>100</v>
      </c>
      <c r="K414" s="86">
        <v>300</v>
      </c>
      <c r="L414" s="83">
        <f t="shared" si="63"/>
        <v>1274</v>
      </c>
      <c r="M414" s="94">
        <v>600</v>
      </c>
      <c r="N414" s="83">
        <f>30</f>
        <v>30</v>
      </c>
      <c r="O414" s="86">
        <v>240</v>
      </c>
      <c r="P414" s="86">
        <v>160</v>
      </c>
      <c r="Q414" s="86">
        <f t="shared" si="64"/>
        <v>195</v>
      </c>
      <c r="R414" s="86">
        <f t="shared" si="65"/>
        <v>100</v>
      </c>
      <c r="S414" s="83">
        <f t="shared" si="66"/>
        <v>695</v>
      </c>
      <c r="T414" s="83">
        <f>0</f>
        <v>0</v>
      </c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</row>
    <row r="415" spans="1:30" ht="15.75" x14ac:dyDescent="0.25">
      <c r="A415" s="33">
        <v>53570</v>
      </c>
      <c r="B415" s="96">
        <v>31</v>
      </c>
      <c r="C415" s="83">
        <f>194.205</f>
        <v>194.20500000000001</v>
      </c>
      <c r="D415" s="83">
        <f>267.466</f>
        <v>267.46600000000001</v>
      </c>
      <c r="E415" s="92">
        <f>133.845</f>
        <v>133.845</v>
      </c>
      <c r="F415" s="83">
        <f>278.484-40-25-60-100</f>
        <v>53.48399999999998</v>
      </c>
      <c r="G415" s="86">
        <v>40</v>
      </c>
      <c r="H415" s="83">
        <f t="shared" si="67"/>
        <v>185</v>
      </c>
      <c r="I415" s="83">
        <f t="shared" si="59"/>
        <v>0</v>
      </c>
      <c r="J415" s="86">
        <v>100</v>
      </c>
      <c r="K415" s="86">
        <v>300</v>
      </c>
      <c r="L415" s="83">
        <f t="shared" si="63"/>
        <v>1274</v>
      </c>
      <c r="M415" s="94">
        <v>600</v>
      </c>
      <c r="N415" s="83">
        <f>30</f>
        <v>30</v>
      </c>
      <c r="O415" s="86">
        <v>240</v>
      </c>
      <c r="P415" s="86">
        <v>160</v>
      </c>
      <c r="Q415" s="86">
        <f t="shared" si="64"/>
        <v>195</v>
      </c>
      <c r="R415" s="86">
        <f t="shared" si="65"/>
        <v>100</v>
      </c>
      <c r="S415" s="83">
        <f t="shared" si="66"/>
        <v>695</v>
      </c>
      <c r="T415" s="83">
        <f>0</f>
        <v>0</v>
      </c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</row>
    <row r="416" spans="1:30" ht="15.75" x14ac:dyDescent="0.25">
      <c r="A416" s="33">
        <v>53600</v>
      </c>
      <c r="B416" s="96">
        <v>30</v>
      </c>
      <c r="C416" s="83">
        <f>194.205</f>
        <v>194.20500000000001</v>
      </c>
      <c r="D416" s="83">
        <f>267.466</f>
        <v>267.46600000000001</v>
      </c>
      <c r="E416" s="92">
        <f>133.845</f>
        <v>133.845</v>
      </c>
      <c r="F416" s="83">
        <f>278.484-40-25-60-100</f>
        <v>53.48399999999998</v>
      </c>
      <c r="G416" s="86">
        <v>40</v>
      </c>
      <c r="H416" s="83">
        <f t="shared" si="67"/>
        <v>185</v>
      </c>
      <c r="I416" s="83">
        <f t="shared" si="59"/>
        <v>0</v>
      </c>
      <c r="J416" s="86">
        <v>100</v>
      </c>
      <c r="K416" s="86">
        <v>300</v>
      </c>
      <c r="L416" s="83">
        <f t="shared" si="63"/>
        <v>1274</v>
      </c>
      <c r="M416" s="94">
        <v>600</v>
      </c>
      <c r="N416" s="83">
        <f>30</f>
        <v>30</v>
      </c>
      <c r="O416" s="86">
        <v>240</v>
      </c>
      <c r="P416" s="86">
        <v>160</v>
      </c>
      <c r="Q416" s="86">
        <f t="shared" si="64"/>
        <v>195</v>
      </c>
      <c r="R416" s="86">
        <f t="shared" si="65"/>
        <v>100</v>
      </c>
      <c r="S416" s="83">
        <f t="shared" si="66"/>
        <v>695</v>
      </c>
      <c r="T416" s="83">
        <f>0</f>
        <v>0</v>
      </c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</row>
    <row r="417" spans="1:30" ht="15.75" x14ac:dyDescent="0.25">
      <c r="A417" s="33">
        <v>53631</v>
      </c>
      <c r="B417" s="96">
        <v>31</v>
      </c>
      <c r="C417" s="83">
        <f>131.881</f>
        <v>131.881</v>
      </c>
      <c r="D417" s="83">
        <f>277.167</f>
        <v>277.16699999999997</v>
      </c>
      <c r="E417" s="92">
        <f>79.08</f>
        <v>79.08</v>
      </c>
      <c r="F417" s="83">
        <f>350.872-40-25-60-100</f>
        <v>125.87200000000001</v>
      </c>
      <c r="G417" s="86">
        <v>40</v>
      </c>
      <c r="H417" s="83">
        <f t="shared" si="67"/>
        <v>185</v>
      </c>
      <c r="I417" s="83">
        <f t="shared" si="59"/>
        <v>0</v>
      </c>
      <c r="J417" s="86">
        <v>100</v>
      </c>
      <c r="K417" s="86">
        <v>300</v>
      </c>
      <c r="L417" s="83">
        <f t="shared" si="63"/>
        <v>1239</v>
      </c>
      <c r="M417" s="94">
        <v>600</v>
      </c>
      <c r="N417" s="83">
        <f>75</f>
        <v>75</v>
      </c>
      <c r="O417" s="86">
        <v>240</v>
      </c>
      <c r="P417" s="86">
        <v>160</v>
      </c>
      <c r="Q417" s="86">
        <f t="shared" si="64"/>
        <v>195</v>
      </c>
      <c r="R417" s="86">
        <f t="shared" si="65"/>
        <v>100</v>
      </c>
      <c r="S417" s="83">
        <f t="shared" si="66"/>
        <v>695</v>
      </c>
      <c r="T417" s="83">
        <f>0</f>
        <v>0</v>
      </c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</row>
    <row r="418" spans="1:30" ht="15.75" x14ac:dyDescent="0.25">
      <c r="A418" s="33">
        <v>53661</v>
      </c>
      <c r="B418" s="96">
        <v>30</v>
      </c>
      <c r="C418" s="83">
        <f>122.58</f>
        <v>122.58</v>
      </c>
      <c r="D418" s="83">
        <f>297.941</f>
        <v>297.94099999999997</v>
      </c>
      <c r="E418" s="92">
        <f>89.177</f>
        <v>89.177000000000007</v>
      </c>
      <c r="F418" s="83">
        <f>240.302-40-60-100</f>
        <v>40.301999999999992</v>
      </c>
      <c r="G418" s="86">
        <v>40</v>
      </c>
      <c r="H418" s="83">
        <f>60+100</f>
        <v>160</v>
      </c>
      <c r="I418" s="83">
        <f t="shared" si="59"/>
        <v>0</v>
      </c>
      <c r="J418" s="86">
        <v>100</v>
      </c>
      <c r="K418" s="86">
        <v>300</v>
      </c>
      <c r="L418" s="83">
        <f t="shared" si="63"/>
        <v>1150</v>
      </c>
      <c r="M418" s="94">
        <v>600</v>
      </c>
      <c r="N418" s="83">
        <f>100</f>
        <v>100</v>
      </c>
      <c r="O418" s="86">
        <v>240</v>
      </c>
      <c r="P418" s="86">
        <v>40</v>
      </c>
      <c r="Q418" s="86">
        <f t="shared" si="64"/>
        <v>315</v>
      </c>
      <c r="R418" s="86">
        <f t="shared" si="65"/>
        <v>100</v>
      </c>
      <c r="S418" s="83">
        <f t="shared" si="66"/>
        <v>695</v>
      </c>
      <c r="T418" s="83">
        <f>50</f>
        <v>50</v>
      </c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</row>
    <row r="419" spans="1:30" ht="15.75" x14ac:dyDescent="0.25">
      <c r="A419" s="33">
        <v>53692</v>
      </c>
      <c r="B419" s="96">
        <v>31</v>
      </c>
      <c r="C419" s="83">
        <f>122.58</f>
        <v>122.58</v>
      </c>
      <c r="D419" s="83">
        <f>297.941</f>
        <v>297.94099999999997</v>
      </c>
      <c r="E419" s="92">
        <f>89.177</f>
        <v>89.177000000000007</v>
      </c>
      <c r="F419" s="83">
        <f>240.302-40-60-100</f>
        <v>40.301999999999992</v>
      </c>
      <c r="G419" s="86">
        <v>40</v>
      </c>
      <c r="H419" s="83">
        <f>60+100</f>
        <v>160</v>
      </c>
      <c r="I419" s="83">
        <f t="shared" si="59"/>
        <v>0</v>
      </c>
      <c r="J419" s="86">
        <v>100</v>
      </c>
      <c r="K419" s="86">
        <v>300</v>
      </c>
      <c r="L419" s="83">
        <f t="shared" si="63"/>
        <v>1150</v>
      </c>
      <c r="M419" s="94">
        <v>600</v>
      </c>
      <c r="N419" s="83">
        <f>100</f>
        <v>100</v>
      </c>
      <c r="O419" s="86">
        <v>240</v>
      </c>
      <c r="P419" s="86">
        <v>40</v>
      </c>
      <c r="Q419" s="86">
        <f t="shared" si="64"/>
        <v>315</v>
      </c>
      <c r="R419" s="86">
        <f t="shared" si="65"/>
        <v>100</v>
      </c>
      <c r="S419" s="83">
        <f t="shared" si="66"/>
        <v>695</v>
      </c>
      <c r="T419" s="83">
        <f>50</f>
        <v>50</v>
      </c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</row>
    <row r="420" spans="1:30" ht="15.75" x14ac:dyDescent="0.25">
      <c r="A420" s="33">
        <v>53723</v>
      </c>
      <c r="B420" s="96">
        <v>31</v>
      </c>
      <c r="C420" s="83">
        <f>122.58</f>
        <v>122.58</v>
      </c>
      <c r="D420" s="83">
        <f>297.941</f>
        <v>297.94099999999997</v>
      </c>
      <c r="E420" s="92">
        <f>89.177</f>
        <v>89.177000000000007</v>
      </c>
      <c r="F420" s="83">
        <f>240.302-40-60-100</f>
        <v>40.301999999999992</v>
      </c>
      <c r="G420" s="86">
        <v>40</v>
      </c>
      <c r="H420" s="83">
        <f>60+100</f>
        <v>160</v>
      </c>
      <c r="I420" s="83">
        <f t="shared" si="59"/>
        <v>0</v>
      </c>
      <c r="J420" s="86">
        <v>100</v>
      </c>
      <c r="K420" s="86">
        <v>300</v>
      </c>
      <c r="L420" s="83">
        <f t="shared" si="63"/>
        <v>1150</v>
      </c>
      <c r="M420" s="94">
        <v>600</v>
      </c>
      <c r="N420" s="83">
        <f>100</f>
        <v>100</v>
      </c>
      <c r="O420" s="86">
        <v>240</v>
      </c>
      <c r="P420" s="86">
        <v>40</v>
      </c>
      <c r="Q420" s="86">
        <f t="shared" si="64"/>
        <v>315</v>
      </c>
      <c r="R420" s="86">
        <f t="shared" si="65"/>
        <v>100</v>
      </c>
      <c r="S420" s="83">
        <f t="shared" si="66"/>
        <v>695</v>
      </c>
      <c r="T420" s="83">
        <f>50</f>
        <v>50</v>
      </c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</row>
    <row r="421" spans="1:30" ht="15.75" x14ac:dyDescent="0.25">
      <c r="A421" s="33">
        <v>53751</v>
      </c>
      <c r="B421" s="96">
        <v>28</v>
      </c>
      <c r="C421" s="83">
        <f>122.58</f>
        <v>122.58</v>
      </c>
      <c r="D421" s="83">
        <f>297.941</f>
        <v>297.94099999999997</v>
      </c>
      <c r="E421" s="92">
        <f>89.177</f>
        <v>89.177000000000007</v>
      </c>
      <c r="F421" s="83">
        <f>240.302-40-60-100</f>
        <v>40.301999999999992</v>
      </c>
      <c r="G421" s="86">
        <v>40</v>
      </c>
      <c r="H421" s="83">
        <f>60+100</f>
        <v>160</v>
      </c>
      <c r="I421" s="83">
        <f t="shared" si="59"/>
        <v>0</v>
      </c>
      <c r="J421" s="86">
        <v>100</v>
      </c>
      <c r="K421" s="86">
        <v>300</v>
      </c>
      <c r="L421" s="83">
        <f t="shared" si="63"/>
        <v>1150</v>
      </c>
      <c r="M421" s="94">
        <v>600</v>
      </c>
      <c r="N421" s="83">
        <f>100</f>
        <v>100</v>
      </c>
      <c r="O421" s="86">
        <v>240</v>
      </c>
      <c r="P421" s="86">
        <v>40</v>
      </c>
      <c r="Q421" s="86">
        <f t="shared" si="64"/>
        <v>315</v>
      </c>
      <c r="R421" s="86">
        <f t="shared" si="65"/>
        <v>100</v>
      </c>
      <c r="S421" s="83">
        <f t="shared" si="66"/>
        <v>695</v>
      </c>
      <c r="T421" s="83">
        <f>50</f>
        <v>50</v>
      </c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</row>
    <row r="422" spans="1:30" ht="15.75" x14ac:dyDescent="0.25">
      <c r="A422" s="33">
        <v>53782</v>
      </c>
      <c r="B422" s="96">
        <v>31</v>
      </c>
      <c r="C422" s="83">
        <f>122.58</f>
        <v>122.58</v>
      </c>
      <c r="D422" s="83">
        <f>297.941</f>
        <v>297.94099999999997</v>
      </c>
      <c r="E422" s="92">
        <f>89.177</f>
        <v>89.177000000000007</v>
      </c>
      <c r="F422" s="83">
        <f>240.302-40-60-100</f>
        <v>40.301999999999992</v>
      </c>
      <c r="G422" s="86">
        <v>40</v>
      </c>
      <c r="H422" s="83">
        <f>60+100</f>
        <v>160</v>
      </c>
      <c r="I422" s="83">
        <f t="shared" si="59"/>
        <v>0</v>
      </c>
      <c r="J422" s="86">
        <v>100</v>
      </c>
      <c r="K422" s="86">
        <v>300</v>
      </c>
      <c r="L422" s="83">
        <f t="shared" si="63"/>
        <v>1150</v>
      </c>
      <c r="M422" s="94">
        <v>600</v>
      </c>
      <c r="N422" s="83">
        <f>100</f>
        <v>100</v>
      </c>
      <c r="O422" s="86">
        <v>240</v>
      </c>
      <c r="P422" s="86">
        <v>40</v>
      </c>
      <c r="Q422" s="86">
        <f t="shared" si="64"/>
        <v>315</v>
      </c>
      <c r="R422" s="86">
        <f t="shared" si="65"/>
        <v>100</v>
      </c>
      <c r="S422" s="83">
        <f t="shared" si="66"/>
        <v>695</v>
      </c>
      <c r="T422" s="83">
        <f>50</f>
        <v>50</v>
      </c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</row>
    <row r="423" spans="1:30" ht="15.75" x14ac:dyDescent="0.25">
      <c r="A423" s="33">
        <v>53812</v>
      </c>
      <c r="B423" s="96">
        <v>30</v>
      </c>
      <c r="C423" s="83">
        <f>141.293</f>
        <v>141.29300000000001</v>
      </c>
      <c r="D423" s="83">
        <f>267.993</f>
        <v>267.99299999999999</v>
      </c>
      <c r="E423" s="92">
        <f>115.016</f>
        <v>115.01600000000001</v>
      </c>
      <c r="F423" s="83">
        <f>314.698-40-25-60-100</f>
        <v>89.697999999999979</v>
      </c>
      <c r="G423" s="86">
        <v>40</v>
      </c>
      <c r="H423" s="83">
        <f t="shared" ref="H423:H429" si="68">25+60+100</f>
        <v>185</v>
      </c>
      <c r="I423" s="83">
        <f t="shared" si="59"/>
        <v>0</v>
      </c>
      <c r="J423" s="86">
        <v>100</v>
      </c>
      <c r="K423" s="86">
        <v>300</v>
      </c>
      <c r="L423" s="83">
        <f t="shared" si="63"/>
        <v>1239</v>
      </c>
      <c r="M423" s="94">
        <v>600</v>
      </c>
      <c r="N423" s="83">
        <f>100</f>
        <v>100</v>
      </c>
      <c r="O423" s="86">
        <v>240</v>
      </c>
      <c r="P423" s="86">
        <v>160</v>
      </c>
      <c r="Q423" s="86">
        <f t="shared" si="64"/>
        <v>195</v>
      </c>
      <c r="R423" s="86">
        <f t="shared" si="65"/>
        <v>100</v>
      </c>
      <c r="S423" s="83">
        <f t="shared" si="66"/>
        <v>695</v>
      </c>
      <c r="T423" s="83">
        <f>50</f>
        <v>50</v>
      </c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</row>
    <row r="424" spans="1:30" ht="15.75" x14ac:dyDescent="0.25">
      <c r="A424" s="33">
        <v>53843</v>
      </c>
      <c r="B424" s="96">
        <v>31</v>
      </c>
      <c r="C424" s="83">
        <f>194.205</f>
        <v>194.20500000000001</v>
      </c>
      <c r="D424" s="83">
        <f>267.466</f>
        <v>267.46600000000001</v>
      </c>
      <c r="E424" s="92">
        <f>133.845</f>
        <v>133.845</v>
      </c>
      <c r="F424" s="83">
        <f>278.484-40-25-60-100</f>
        <v>53.48399999999998</v>
      </c>
      <c r="G424" s="86">
        <v>40</v>
      </c>
      <c r="H424" s="83">
        <f t="shared" si="68"/>
        <v>185</v>
      </c>
      <c r="I424" s="83">
        <f t="shared" si="59"/>
        <v>0</v>
      </c>
      <c r="J424" s="86">
        <v>100</v>
      </c>
      <c r="K424" s="86">
        <v>300</v>
      </c>
      <c r="L424" s="83">
        <f t="shared" si="63"/>
        <v>1274</v>
      </c>
      <c r="M424" s="94">
        <v>600</v>
      </c>
      <c r="N424" s="83">
        <f>75</f>
        <v>75</v>
      </c>
      <c r="O424" s="86">
        <v>240</v>
      </c>
      <c r="P424" s="86">
        <v>160</v>
      </c>
      <c r="Q424" s="86">
        <f t="shared" si="64"/>
        <v>195</v>
      </c>
      <c r="R424" s="86">
        <f t="shared" si="65"/>
        <v>100</v>
      </c>
      <c r="S424" s="83">
        <f t="shared" si="66"/>
        <v>695</v>
      </c>
      <c r="T424" s="83">
        <f>50</f>
        <v>50</v>
      </c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</row>
    <row r="425" spans="1:30" ht="15.75" x14ac:dyDescent="0.25">
      <c r="A425" s="33">
        <v>53873</v>
      </c>
      <c r="B425" s="96">
        <v>30</v>
      </c>
      <c r="C425" s="83">
        <f>194.205</f>
        <v>194.20500000000001</v>
      </c>
      <c r="D425" s="83">
        <f>267.466</f>
        <v>267.46600000000001</v>
      </c>
      <c r="E425" s="92">
        <f>133.845</f>
        <v>133.845</v>
      </c>
      <c r="F425" s="83">
        <f>278.484-40-25-60-100</f>
        <v>53.48399999999998</v>
      </c>
      <c r="G425" s="86">
        <v>40</v>
      </c>
      <c r="H425" s="83">
        <f t="shared" si="68"/>
        <v>185</v>
      </c>
      <c r="I425" s="83">
        <f t="shared" si="59"/>
        <v>0</v>
      </c>
      <c r="J425" s="86">
        <v>100</v>
      </c>
      <c r="K425" s="86">
        <v>300</v>
      </c>
      <c r="L425" s="83">
        <f t="shared" si="63"/>
        <v>1274</v>
      </c>
      <c r="M425" s="94">
        <v>600</v>
      </c>
      <c r="N425" s="83">
        <f>30</f>
        <v>30</v>
      </c>
      <c r="O425" s="86">
        <v>240</v>
      </c>
      <c r="P425" s="86">
        <v>160</v>
      </c>
      <c r="Q425" s="86">
        <f t="shared" si="64"/>
        <v>195</v>
      </c>
      <c r="R425" s="86">
        <f t="shared" si="65"/>
        <v>100</v>
      </c>
      <c r="S425" s="83">
        <f t="shared" si="66"/>
        <v>695</v>
      </c>
      <c r="T425" s="83">
        <f>50</f>
        <v>50</v>
      </c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</row>
    <row r="426" spans="1:30" ht="15.75" x14ac:dyDescent="0.25">
      <c r="A426" s="33">
        <v>53904</v>
      </c>
      <c r="B426" s="96">
        <v>31</v>
      </c>
      <c r="C426" s="83">
        <f>194.205</f>
        <v>194.20500000000001</v>
      </c>
      <c r="D426" s="83">
        <f>267.466</f>
        <v>267.46600000000001</v>
      </c>
      <c r="E426" s="92">
        <f>133.845</f>
        <v>133.845</v>
      </c>
      <c r="F426" s="83">
        <f>278.484-40-25-60-100</f>
        <v>53.48399999999998</v>
      </c>
      <c r="G426" s="86">
        <v>40</v>
      </c>
      <c r="H426" s="83">
        <f t="shared" si="68"/>
        <v>185</v>
      </c>
      <c r="I426" s="83">
        <f t="shared" si="59"/>
        <v>0</v>
      </c>
      <c r="J426" s="86">
        <v>100</v>
      </c>
      <c r="K426" s="86">
        <v>300</v>
      </c>
      <c r="L426" s="83">
        <f t="shared" si="63"/>
        <v>1274</v>
      </c>
      <c r="M426" s="94">
        <v>600</v>
      </c>
      <c r="N426" s="83">
        <f>30</f>
        <v>30</v>
      </c>
      <c r="O426" s="86">
        <v>240</v>
      </c>
      <c r="P426" s="86">
        <v>160</v>
      </c>
      <c r="Q426" s="86">
        <f t="shared" si="64"/>
        <v>195</v>
      </c>
      <c r="R426" s="86">
        <f t="shared" si="65"/>
        <v>100</v>
      </c>
      <c r="S426" s="83">
        <f t="shared" si="66"/>
        <v>695</v>
      </c>
      <c r="T426" s="83">
        <f>0</f>
        <v>0</v>
      </c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</row>
    <row r="427" spans="1:30" ht="15.75" x14ac:dyDescent="0.25">
      <c r="A427" s="33">
        <v>53935</v>
      </c>
      <c r="B427" s="96">
        <v>31</v>
      </c>
      <c r="C427" s="83">
        <f>194.205</f>
        <v>194.20500000000001</v>
      </c>
      <c r="D427" s="83">
        <f>267.466</f>
        <v>267.46600000000001</v>
      </c>
      <c r="E427" s="92">
        <f>133.845</f>
        <v>133.845</v>
      </c>
      <c r="F427" s="83">
        <f>278.484-40-25-60-100</f>
        <v>53.48399999999998</v>
      </c>
      <c r="G427" s="86">
        <v>40</v>
      </c>
      <c r="H427" s="83">
        <f t="shared" si="68"/>
        <v>185</v>
      </c>
      <c r="I427" s="83">
        <f t="shared" si="59"/>
        <v>0</v>
      </c>
      <c r="J427" s="86">
        <v>100</v>
      </c>
      <c r="K427" s="86">
        <v>300</v>
      </c>
      <c r="L427" s="83">
        <f t="shared" si="63"/>
        <v>1274</v>
      </c>
      <c r="M427" s="94">
        <v>600</v>
      </c>
      <c r="N427" s="83">
        <f>30</f>
        <v>30</v>
      </c>
      <c r="O427" s="86">
        <v>240</v>
      </c>
      <c r="P427" s="86">
        <v>160</v>
      </c>
      <c r="Q427" s="86">
        <f t="shared" si="64"/>
        <v>195</v>
      </c>
      <c r="R427" s="86">
        <f t="shared" si="65"/>
        <v>100</v>
      </c>
      <c r="S427" s="83">
        <f t="shared" si="66"/>
        <v>695</v>
      </c>
      <c r="T427" s="83">
        <f>0</f>
        <v>0</v>
      </c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</row>
    <row r="428" spans="1:30" ht="15.75" x14ac:dyDescent="0.25">
      <c r="A428" s="33">
        <v>53965</v>
      </c>
      <c r="B428" s="96">
        <v>30</v>
      </c>
      <c r="C428" s="83">
        <f>194.205</f>
        <v>194.20500000000001</v>
      </c>
      <c r="D428" s="83">
        <f>267.466</f>
        <v>267.46600000000001</v>
      </c>
      <c r="E428" s="92">
        <f>133.845</f>
        <v>133.845</v>
      </c>
      <c r="F428" s="83">
        <f>278.484-40-25-60-100</f>
        <v>53.48399999999998</v>
      </c>
      <c r="G428" s="86">
        <v>40</v>
      </c>
      <c r="H428" s="83">
        <f t="shared" si="68"/>
        <v>185</v>
      </c>
      <c r="I428" s="83">
        <f t="shared" si="59"/>
        <v>0</v>
      </c>
      <c r="J428" s="86">
        <v>100</v>
      </c>
      <c r="K428" s="86">
        <v>300</v>
      </c>
      <c r="L428" s="83">
        <f t="shared" si="63"/>
        <v>1274</v>
      </c>
      <c r="M428" s="94">
        <v>600</v>
      </c>
      <c r="N428" s="83">
        <f>30</f>
        <v>30</v>
      </c>
      <c r="O428" s="86">
        <v>240</v>
      </c>
      <c r="P428" s="86">
        <v>160</v>
      </c>
      <c r="Q428" s="86">
        <f t="shared" si="64"/>
        <v>195</v>
      </c>
      <c r="R428" s="86">
        <f t="shared" si="65"/>
        <v>100</v>
      </c>
      <c r="S428" s="83">
        <f t="shared" si="66"/>
        <v>695</v>
      </c>
      <c r="T428" s="83">
        <f>0</f>
        <v>0</v>
      </c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</row>
    <row r="429" spans="1:30" ht="15.75" x14ac:dyDescent="0.25">
      <c r="A429" s="33">
        <v>53996</v>
      </c>
      <c r="B429" s="96">
        <v>31</v>
      </c>
      <c r="C429" s="83">
        <f>131.881</f>
        <v>131.881</v>
      </c>
      <c r="D429" s="83">
        <f>277.167</f>
        <v>277.16699999999997</v>
      </c>
      <c r="E429" s="92">
        <f>79.08</f>
        <v>79.08</v>
      </c>
      <c r="F429" s="83">
        <f>350.872-40-25-60-100</f>
        <v>125.87200000000001</v>
      </c>
      <c r="G429" s="86">
        <v>40</v>
      </c>
      <c r="H429" s="83">
        <f t="shared" si="68"/>
        <v>185</v>
      </c>
      <c r="I429" s="83">
        <f t="shared" si="59"/>
        <v>0</v>
      </c>
      <c r="J429" s="86">
        <v>100</v>
      </c>
      <c r="K429" s="86">
        <v>300</v>
      </c>
      <c r="L429" s="83">
        <f t="shared" si="63"/>
        <v>1239</v>
      </c>
      <c r="M429" s="94">
        <v>600</v>
      </c>
      <c r="N429" s="83">
        <f>75</f>
        <v>75</v>
      </c>
      <c r="O429" s="86">
        <v>240</v>
      </c>
      <c r="P429" s="86">
        <v>160</v>
      </c>
      <c r="Q429" s="86">
        <f t="shared" si="64"/>
        <v>195</v>
      </c>
      <c r="R429" s="86">
        <f t="shared" si="65"/>
        <v>100</v>
      </c>
      <c r="S429" s="83">
        <f t="shared" si="66"/>
        <v>695</v>
      </c>
      <c r="T429" s="83">
        <f>0</f>
        <v>0</v>
      </c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</row>
    <row r="430" spans="1:30" ht="15.75" x14ac:dyDescent="0.25">
      <c r="A430" s="33">
        <v>54026</v>
      </c>
      <c r="B430" s="96">
        <v>30</v>
      </c>
      <c r="C430" s="83">
        <f>122.58</f>
        <v>122.58</v>
      </c>
      <c r="D430" s="83">
        <f>297.941</f>
        <v>297.94099999999997</v>
      </c>
      <c r="E430" s="92">
        <f>89.177</f>
        <v>89.177000000000007</v>
      </c>
      <c r="F430" s="83">
        <f>240.302-40-60-100</f>
        <v>40.301999999999992</v>
      </c>
      <c r="G430" s="86">
        <v>40</v>
      </c>
      <c r="H430" s="83">
        <f>60+100</f>
        <v>160</v>
      </c>
      <c r="I430" s="83">
        <f t="shared" si="59"/>
        <v>0</v>
      </c>
      <c r="J430" s="86">
        <v>100</v>
      </c>
      <c r="K430" s="86">
        <v>300</v>
      </c>
      <c r="L430" s="83">
        <f t="shared" si="63"/>
        <v>1150</v>
      </c>
      <c r="M430" s="94">
        <v>600</v>
      </c>
      <c r="N430" s="83">
        <f>100</f>
        <v>100</v>
      </c>
      <c r="O430" s="86">
        <v>240</v>
      </c>
      <c r="P430" s="86">
        <v>40</v>
      </c>
      <c r="Q430" s="86">
        <f t="shared" si="64"/>
        <v>315</v>
      </c>
      <c r="R430" s="86">
        <f t="shared" si="65"/>
        <v>100</v>
      </c>
      <c r="S430" s="83">
        <f t="shared" si="66"/>
        <v>695</v>
      </c>
      <c r="T430" s="83">
        <f>50</f>
        <v>50</v>
      </c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</row>
    <row r="431" spans="1:30" ht="15.75" x14ac:dyDescent="0.25">
      <c r="A431" s="33">
        <v>54057</v>
      </c>
      <c r="B431" s="96">
        <v>31</v>
      </c>
      <c r="C431" s="83">
        <f>122.58</f>
        <v>122.58</v>
      </c>
      <c r="D431" s="83">
        <f>297.941</f>
        <v>297.94099999999997</v>
      </c>
      <c r="E431" s="92">
        <f>89.177</f>
        <v>89.177000000000007</v>
      </c>
      <c r="F431" s="83">
        <f>240.302-40-60-100</f>
        <v>40.301999999999992</v>
      </c>
      <c r="G431" s="86">
        <v>40</v>
      </c>
      <c r="H431" s="83">
        <f>60+100</f>
        <v>160</v>
      </c>
      <c r="I431" s="83">
        <f t="shared" si="59"/>
        <v>0</v>
      </c>
      <c r="J431" s="86">
        <v>100</v>
      </c>
      <c r="K431" s="86">
        <v>300</v>
      </c>
      <c r="L431" s="83">
        <f t="shared" si="63"/>
        <v>1150</v>
      </c>
      <c r="M431" s="94">
        <v>600</v>
      </c>
      <c r="N431" s="83">
        <f>100</f>
        <v>100</v>
      </c>
      <c r="O431" s="86">
        <v>240</v>
      </c>
      <c r="P431" s="86">
        <v>40</v>
      </c>
      <c r="Q431" s="86">
        <f t="shared" si="64"/>
        <v>315</v>
      </c>
      <c r="R431" s="86">
        <f t="shared" si="65"/>
        <v>100</v>
      </c>
      <c r="S431" s="83">
        <f t="shared" si="66"/>
        <v>695</v>
      </c>
      <c r="T431" s="83">
        <f>50</f>
        <v>50</v>
      </c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</row>
    <row r="432" spans="1:30" ht="15.75" x14ac:dyDescent="0.25">
      <c r="A432" s="33">
        <v>54088</v>
      </c>
      <c r="B432" s="96">
        <v>31</v>
      </c>
      <c r="C432" s="83">
        <f>122.58</f>
        <v>122.58</v>
      </c>
      <c r="D432" s="83">
        <f>297.941</f>
        <v>297.94099999999997</v>
      </c>
      <c r="E432" s="92">
        <f>89.177</f>
        <v>89.177000000000007</v>
      </c>
      <c r="F432" s="83">
        <f>240.302-40-60-100</f>
        <v>40.301999999999992</v>
      </c>
      <c r="G432" s="86">
        <v>40</v>
      </c>
      <c r="H432" s="83">
        <f>60+100</f>
        <v>160</v>
      </c>
      <c r="I432" s="83">
        <f t="shared" si="59"/>
        <v>0</v>
      </c>
      <c r="J432" s="86">
        <v>100</v>
      </c>
      <c r="K432" s="86">
        <v>300</v>
      </c>
      <c r="L432" s="83">
        <f t="shared" si="63"/>
        <v>1150</v>
      </c>
      <c r="M432" s="94">
        <v>600</v>
      </c>
      <c r="N432" s="83">
        <f>100</f>
        <v>100</v>
      </c>
      <c r="O432" s="86">
        <v>240</v>
      </c>
      <c r="P432" s="86">
        <v>40</v>
      </c>
      <c r="Q432" s="86">
        <f t="shared" si="64"/>
        <v>315</v>
      </c>
      <c r="R432" s="86">
        <f t="shared" si="65"/>
        <v>100</v>
      </c>
      <c r="S432" s="83">
        <f t="shared" si="66"/>
        <v>695</v>
      </c>
      <c r="T432" s="83">
        <f>50</f>
        <v>50</v>
      </c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</row>
    <row r="433" spans="1:30" ht="15.75" x14ac:dyDescent="0.25">
      <c r="A433" s="33">
        <v>54116</v>
      </c>
      <c r="B433" s="96">
        <v>29</v>
      </c>
      <c r="C433" s="83">
        <f>122.58</f>
        <v>122.58</v>
      </c>
      <c r="D433" s="83">
        <f>297.941</f>
        <v>297.94099999999997</v>
      </c>
      <c r="E433" s="92">
        <f>89.177</f>
        <v>89.177000000000007</v>
      </c>
      <c r="F433" s="83">
        <f>240.302-40-60-100</f>
        <v>40.301999999999992</v>
      </c>
      <c r="G433" s="86">
        <v>40</v>
      </c>
      <c r="H433" s="83">
        <f>60+100</f>
        <v>160</v>
      </c>
      <c r="I433" s="83">
        <f t="shared" si="59"/>
        <v>0</v>
      </c>
      <c r="J433" s="86">
        <v>100</v>
      </c>
      <c r="K433" s="86">
        <v>300</v>
      </c>
      <c r="L433" s="83">
        <f t="shared" si="63"/>
        <v>1150</v>
      </c>
      <c r="M433" s="94">
        <v>600</v>
      </c>
      <c r="N433" s="83">
        <f>100</f>
        <v>100</v>
      </c>
      <c r="O433" s="86">
        <v>240</v>
      </c>
      <c r="P433" s="86">
        <v>40</v>
      </c>
      <c r="Q433" s="86">
        <f t="shared" si="64"/>
        <v>315</v>
      </c>
      <c r="R433" s="86">
        <f t="shared" si="65"/>
        <v>100</v>
      </c>
      <c r="S433" s="83">
        <f t="shared" si="66"/>
        <v>695</v>
      </c>
      <c r="T433" s="83">
        <f>50</f>
        <v>50</v>
      </c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</row>
    <row r="434" spans="1:30" ht="15.75" x14ac:dyDescent="0.25">
      <c r="A434" s="33">
        <v>54148</v>
      </c>
      <c r="B434" s="96">
        <v>31</v>
      </c>
      <c r="C434" s="83">
        <f>122.58</f>
        <v>122.58</v>
      </c>
      <c r="D434" s="83">
        <f>297.941</f>
        <v>297.94099999999997</v>
      </c>
      <c r="E434" s="92">
        <f>89.177</f>
        <v>89.177000000000007</v>
      </c>
      <c r="F434" s="83">
        <f>240.302-40-60-100</f>
        <v>40.301999999999992</v>
      </c>
      <c r="G434" s="86">
        <v>40</v>
      </c>
      <c r="H434" s="83">
        <f>60+100</f>
        <v>160</v>
      </c>
      <c r="I434" s="83">
        <f t="shared" si="59"/>
        <v>0</v>
      </c>
      <c r="J434" s="86">
        <v>100</v>
      </c>
      <c r="K434" s="86">
        <v>300</v>
      </c>
      <c r="L434" s="83">
        <f t="shared" si="63"/>
        <v>1150</v>
      </c>
      <c r="M434" s="94">
        <v>600</v>
      </c>
      <c r="N434" s="83">
        <f>100</f>
        <v>100</v>
      </c>
      <c r="O434" s="86">
        <v>240</v>
      </c>
      <c r="P434" s="86">
        <v>40</v>
      </c>
      <c r="Q434" s="86">
        <f t="shared" si="64"/>
        <v>315</v>
      </c>
      <c r="R434" s="86">
        <f t="shared" si="65"/>
        <v>100</v>
      </c>
      <c r="S434" s="83">
        <f t="shared" si="66"/>
        <v>695</v>
      </c>
      <c r="T434" s="83">
        <f>50</f>
        <v>50</v>
      </c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</row>
    <row r="435" spans="1:30" ht="15.75" x14ac:dyDescent="0.25">
      <c r="A435" s="33">
        <v>54178</v>
      </c>
      <c r="B435" s="96">
        <v>30</v>
      </c>
      <c r="C435" s="83">
        <f>141.293</f>
        <v>141.29300000000001</v>
      </c>
      <c r="D435" s="83">
        <f>267.993</f>
        <v>267.99299999999999</v>
      </c>
      <c r="E435" s="92">
        <f>115.016</f>
        <v>115.01600000000001</v>
      </c>
      <c r="F435" s="83">
        <f>314.698-40-25-60-100</f>
        <v>89.697999999999979</v>
      </c>
      <c r="G435" s="86">
        <v>40</v>
      </c>
      <c r="H435" s="83">
        <f t="shared" ref="H435:H441" si="69">25+60+100</f>
        <v>185</v>
      </c>
      <c r="I435" s="83">
        <f t="shared" si="59"/>
        <v>0</v>
      </c>
      <c r="J435" s="86">
        <v>100</v>
      </c>
      <c r="K435" s="86">
        <v>300</v>
      </c>
      <c r="L435" s="83">
        <f t="shared" si="63"/>
        <v>1239</v>
      </c>
      <c r="M435" s="94">
        <v>600</v>
      </c>
      <c r="N435" s="83">
        <f>100</f>
        <v>100</v>
      </c>
      <c r="O435" s="86">
        <v>240</v>
      </c>
      <c r="P435" s="86">
        <v>160</v>
      </c>
      <c r="Q435" s="86">
        <f t="shared" si="64"/>
        <v>195</v>
      </c>
      <c r="R435" s="86">
        <f t="shared" si="65"/>
        <v>100</v>
      </c>
      <c r="S435" s="83">
        <f t="shared" si="66"/>
        <v>695</v>
      </c>
      <c r="T435" s="83">
        <f>50</f>
        <v>50</v>
      </c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</row>
    <row r="436" spans="1:30" ht="15.75" x14ac:dyDescent="0.25">
      <c r="A436" s="33">
        <v>54209</v>
      </c>
      <c r="B436" s="96">
        <v>31</v>
      </c>
      <c r="C436" s="83">
        <f>194.205</f>
        <v>194.20500000000001</v>
      </c>
      <c r="D436" s="83">
        <f>267.466</f>
        <v>267.46600000000001</v>
      </c>
      <c r="E436" s="92">
        <f>133.845</f>
        <v>133.845</v>
      </c>
      <c r="F436" s="83">
        <f>278.484-40-25-60-100</f>
        <v>53.48399999999998</v>
      </c>
      <c r="G436" s="86">
        <v>40</v>
      </c>
      <c r="H436" s="83">
        <f t="shared" si="69"/>
        <v>185</v>
      </c>
      <c r="I436" s="83">
        <f t="shared" ref="I436:I499" si="70">400-J436-K436</f>
        <v>0</v>
      </c>
      <c r="J436" s="86">
        <v>100</v>
      </c>
      <c r="K436" s="86">
        <v>300</v>
      </c>
      <c r="L436" s="83">
        <f t="shared" si="63"/>
        <v>1274</v>
      </c>
      <c r="M436" s="94">
        <v>600</v>
      </c>
      <c r="N436" s="83">
        <f>75</f>
        <v>75</v>
      </c>
      <c r="O436" s="86">
        <v>240</v>
      </c>
      <c r="P436" s="86">
        <v>160</v>
      </c>
      <c r="Q436" s="86">
        <f t="shared" si="64"/>
        <v>195</v>
      </c>
      <c r="R436" s="86">
        <f t="shared" si="65"/>
        <v>100</v>
      </c>
      <c r="S436" s="83">
        <f t="shared" si="66"/>
        <v>695</v>
      </c>
      <c r="T436" s="83">
        <f>50</f>
        <v>50</v>
      </c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</row>
    <row r="437" spans="1:30" ht="15.75" x14ac:dyDescent="0.25">
      <c r="A437" s="33">
        <v>54239</v>
      </c>
      <c r="B437" s="96">
        <v>30</v>
      </c>
      <c r="C437" s="83">
        <f>194.205</f>
        <v>194.20500000000001</v>
      </c>
      <c r="D437" s="83">
        <f>267.466</f>
        <v>267.46600000000001</v>
      </c>
      <c r="E437" s="92">
        <f>133.845</f>
        <v>133.845</v>
      </c>
      <c r="F437" s="83">
        <f>278.484-40-25-60-100</f>
        <v>53.48399999999998</v>
      </c>
      <c r="G437" s="86">
        <v>40</v>
      </c>
      <c r="H437" s="83">
        <f t="shared" si="69"/>
        <v>185</v>
      </c>
      <c r="I437" s="83">
        <f t="shared" si="70"/>
        <v>0</v>
      </c>
      <c r="J437" s="86">
        <v>100</v>
      </c>
      <c r="K437" s="86">
        <v>300</v>
      </c>
      <c r="L437" s="83">
        <f t="shared" si="63"/>
        <v>1274</v>
      </c>
      <c r="M437" s="94">
        <v>600</v>
      </c>
      <c r="N437" s="83">
        <f>30</f>
        <v>30</v>
      </c>
      <c r="O437" s="86">
        <v>240</v>
      </c>
      <c r="P437" s="86">
        <v>160</v>
      </c>
      <c r="Q437" s="86">
        <f t="shared" si="64"/>
        <v>195</v>
      </c>
      <c r="R437" s="86">
        <f t="shared" si="65"/>
        <v>100</v>
      </c>
      <c r="S437" s="83">
        <f t="shared" si="66"/>
        <v>695</v>
      </c>
      <c r="T437" s="83">
        <f>50</f>
        <v>50</v>
      </c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</row>
    <row r="438" spans="1:30" ht="15.75" x14ac:dyDescent="0.25">
      <c r="A438" s="33">
        <v>54270</v>
      </c>
      <c r="B438" s="96">
        <v>31</v>
      </c>
      <c r="C438" s="83">
        <f>194.205</f>
        <v>194.20500000000001</v>
      </c>
      <c r="D438" s="83">
        <f>267.466</f>
        <v>267.46600000000001</v>
      </c>
      <c r="E438" s="92">
        <f>133.845</f>
        <v>133.845</v>
      </c>
      <c r="F438" s="83">
        <f>278.484-40-25-60-100</f>
        <v>53.48399999999998</v>
      </c>
      <c r="G438" s="86">
        <v>40</v>
      </c>
      <c r="H438" s="83">
        <f t="shared" si="69"/>
        <v>185</v>
      </c>
      <c r="I438" s="83">
        <f t="shared" si="70"/>
        <v>0</v>
      </c>
      <c r="J438" s="86">
        <v>100</v>
      </c>
      <c r="K438" s="86">
        <v>300</v>
      </c>
      <c r="L438" s="83">
        <f t="shared" si="63"/>
        <v>1274</v>
      </c>
      <c r="M438" s="94">
        <v>600</v>
      </c>
      <c r="N438" s="83">
        <f>30</f>
        <v>30</v>
      </c>
      <c r="O438" s="86">
        <v>240</v>
      </c>
      <c r="P438" s="86">
        <v>160</v>
      </c>
      <c r="Q438" s="86">
        <f t="shared" si="64"/>
        <v>195</v>
      </c>
      <c r="R438" s="86">
        <f t="shared" si="65"/>
        <v>100</v>
      </c>
      <c r="S438" s="83">
        <f t="shared" si="66"/>
        <v>695</v>
      </c>
      <c r="T438" s="83">
        <f>0</f>
        <v>0</v>
      </c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</row>
    <row r="439" spans="1:30" ht="15.75" x14ac:dyDescent="0.25">
      <c r="A439" s="33">
        <v>54301</v>
      </c>
      <c r="B439" s="96">
        <v>31</v>
      </c>
      <c r="C439" s="83">
        <f>194.205</f>
        <v>194.20500000000001</v>
      </c>
      <c r="D439" s="83">
        <f>267.466</f>
        <v>267.46600000000001</v>
      </c>
      <c r="E439" s="92">
        <f>133.845</f>
        <v>133.845</v>
      </c>
      <c r="F439" s="83">
        <f>278.484-40-25-60-100</f>
        <v>53.48399999999998</v>
      </c>
      <c r="G439" s="86">
        <v>40</v>
      </c>
      <c r="H439" s="83">
        <f t="shared" si="69"/>
        <v>185</v>
      </c>
      <c r="I439" s="83">
        <f t="shared" si="70"/>
        <v>0</v>
      </c>
      <c r="J439" s="86">
        <v>100</v>
      </c>
      <c r="K439" s="86">
        <v>300</v>
      </c>
      <c r="L439" s="83">
        <f t="shared" si="63"/>
        <v>1274</v>
      </c>
      <c r="M439" s="94">
        <v>600</v>
      </c>
      <c r="N439" s="83">
        <f>30</f>
        <v>30</v>
      </c>
      <c r="O439" s="86">
        <v>240</v>
      </c>
      <c r="P439" s="86">
        <v>160</v>
      </c>
      <c r="Q439" s="86">
        <f t="shared" si="64"/>
        <v>195</v>
      </c>
      <c r="R439" s="86">
        <f t="shared" si="65"/>
        <v>100</v>
      </c>
      <c r="S439" s="83">
        <f t="shared" si="66"/>
        <v>695</v>
      </c>
      <c r="T439" s="83">
        <f>0</f>
        <v>0</v>
      </c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</row>
    <row r="440" spans="1:30" ht="15.75" x14ac:dyDescent="0.25">
      <c r="A440" s="33">
        <v>54331</v>
      </c>
      <c r="B440" s="96">
        <v>30</v>
      </c>
      <c r="C440" s="83">
        <f>194.205</f>
        <v>194.20500000000001</v>
      </c>
      <c r="D440" s="83">
        <f>267.466</f>
        <v>267.46600000000001</v>
      </c>
      <c r="E440" s="92">
        <f>133.845</f>
        <v>133.845</v>
      </c>
      <c r="F440" s="83">
        <f>278.484-40-25-60-100</f>
        <v>53.48399999999998</v>
      </c>
      <c r="G440" s="86">
        <v>40</v>
      </c>
      <c r="H440" s="83">
        <f t="shared" si="69"/>
        <v>185</v>
      </c>
      <c r="I440" s="83">
        <f t="shared" si="70"/>
        <v>0</v>
      </c>
      <c r="J440" s="86">
        <v>100</v>
      </c>
      <c r="K440" s="86">
        <v>300</v>
      </c>
      <c r="L440" s="83">
        <f t="shared" si="63"/>
        <v>1274</v>
      </c>
      <c r="M440" s="94">
        <v>600</v>
      </c>
      <c r="N440" s="83">
        <f>30</f>
        <v>30</v>
      </c>
      <c r="O440" s="86">
        <v>240</v>
      </c>
      <c r="P440" s="86">
        <v>160</v>
      </c>
      <c r="Q440" s="86">
        <f t="shared" si="64"/>
        <v>195</v>
      </c>
      <c r="R440" s="86">
        <f t="shared" si="65"/>
        <v>100</v>
      </c>
      <c r="S440" s="83">
        <f t="shared" si="66"/>
        <v>695</v>
      </c>
      <c r="T440" s="83">
        <f>0</f>
        <v>0</v>
      </c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</row>
    <row r="441" spans="1:30" ht="15.75" x14ac:dyDescent="0.25">
      <c r="A441" s="33">
        <v>54362</v>
      </c>
      <c r="B441" s="96">
        <v>31</v>
      </c>
      <c r="C441" s="83">
        <f>131.881</f>
        <v>131.881</v>
      </c>
      <c r="D441" s="83">
        <f>277.167</f>
        <v>277.16699999999997</v>
      </c>
      <c r="E441" s="92">
        <f>79.08</f>
        <v>79.08</v>
      </c>
      <c r="F441" s="83">
        <f>350.872-40-25-60-100</f>
        <v>125.87200000000001</v>
      </c>
      <c r="G441" s="86">
        <v>40</v>
      </c>
      <c r="H441" s="83">
        <f t="shared" si="69"/>
        <v>185</v>
      </c>
      <c r="I441" s="83">
        <f t="shared" si="70"/>
        <v>0</v>
      </c>
      <c r="J441" s="86">
        <v>100</v>
      </c>
      <c r="K441" s="86">
        <v>300</v>
      </c>
      <c r="L441" s="83">
        <f t="shared" si="63"/>
        <v>1239</v>
      </c>
      <c r="M441" s="94">
        <v>600</v>
      </c>
      <c r="N441" s="83">
        <f>75</f>
        <v>75</v>
      </c>
      <c r="O441" s="86">
        <v>240</v>
      </c>
      <c r="P441" s="86">
        <v>160</v>
      </c>
      <c r="Q441" s="86">
        <f t="shared" si="64"/>
        <v>195</v>
      </c>
      <c r="R441" s="86">
        <f t="shared" si="65"/>
        <v>100</v>
      </c>
      <c r="S441" s="83">
        <f t="shared" si="66"/>
        <v>695</v>
      </c>
      <c r="T441" s="83">
        <f>0</f>
        <v>0</v>
      </c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</row>
    <row r="442" spans="1:30" ht="15.75" x14ac:dyDescent="0.25">
      <c r="A442" s="33">
        <v>54392</v>
      </c>
      <c r="B442" s="96">
        <v>30</v>
      </c>
      <c r="C442" s="83">
        <f>122.58</f>
        <v>122.58</v>
      </c>
      <c r="D442" s="83">
        <f>297.941</f>
        <v>297.94099999999997</v>
      </c>
      <c r="E442" s="92">
        <f>89.177</f>
        <v>89.177000000000007</v>
      </c>
      <c r="F442" s="83">
        <f>240.302-40-60-100</f>
        <v>40.301999999999992</v>
      </c>
      <c r="G442" s="86">
        <v>40</v>
      </c>
      <c r="H442" s="83">
        <f>60+100</f>
        <v>160</v>
      </c>
      <c r="I442" s="83">
        <f t="shared" si="70"/>
        <v>0</v>
      </c>
      <c r="J442" s="86">
        <v>100</v>
      </c>
      <c r="K442" s="86">
        <v>300</v>
      </c>
      <c r="L442" s="83">
        <f t="shared" si="63"/>
        <v>1150</v>
      </c>
      <c r="M442" s="94">
        <v>600</v>
      </c>
      <c r="N442" s="83">
        <f>100</f>
        <v>100</v>
      </c>
      <c r="O442" s="86">
        <v>240</v>
      </c>
      <c r="P442" s="86">
        <v>40</v>
      </c>
      <c r="Q442" s="86">
        <f t="shared" si="64"/>
        <v>315</v>
      </c>
      <c r="R442" s="86">
        <f t="shared" si="65"/>
        <v>100</v>
      </c>
      <c r="S442" s="83">
        <f t="shared" si="66"/>
        <v>695</v>
      </c>
      <c r="T442" s="83">
        <f>50</f>
        <v>50</v>
      </c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</row>
    <row r="443" spans="1:30" ht="15.75" x14ac:dyDescent="0.25">
      <c r="A443" s="33">
        <v>54423</v>
      </c>
      <c r="B443" s="96">
        <v>31</v>
      </c>
      <c r="C443" s="83">
        <f>122.58</f>
        <v>122.58</v>
      </c>
      <c r="D443" s="83">
        <f>297.941</f>
        <v>297.94099999999997</v>
      </c>
      <c r="E443" s="92">
        <f>89.177</f>
        <v>89.177000000000007</v>
      </c>
      <c r="F443" s="83">
        <f>240.302-40-60-100</f>
        <v>40.301999999999992</v>
      </c>
      <c r="G443" s="86">
        <v>40</v>
      </c>
      <c r="H443" s="83">
        <f>60+100</f>
        <v>160</v>
      </c>
      <c r="I443" s="83">
        <f t="shared" si="70"/>
        <v>0</v>
      </c>
      <c r="J443" s="86">
        <v>100</v>
      </c>
      <c r="K443" s="86">
        <v>300</v>
      </c>
      <c r="L443" s="83">
        <f t="shared" si="63"/>
        <v>1150</v>
      </c>
      <c r="M443" s="94">
        <v>600</v>
      </c>
      <c r="N443" s="83">
        <f>100</f>
        <v>100</v>
      </c>
      <c r="O443" s="86">
        <v>240</v>
      </c>
      <c r="P443" s="86">
        <v>40</v>
      </c>
      <c r="Q443" s="86">
        <f t="shared" si="64"/>
        <v>315</v>
      </c>
      <c r="R443" s="86">
        <f t="shared" si="65"/>
        <v>100</v>
      </c>
      <c r="S443" s="83">
        <f t="shared" si="66"/>
        <v>695</v>
      </c>
      <c r="T443" s="83">
        <f>50</f>
        <v>50</v>
      </c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</row>
    <row r="444" spans="1:30" ht="15.75" x14ac:dyDescent="0.25">
      <c r="A444" s="33">
        <v>54454</v>
      </c>
      <c r="B444" s="96">
        <v>31</v>
      </c>
      <c r="C444" s="83">
        <f>122.58</f>
        <v>122.58</v>
      </c>
      <c r="D444" s="83">
        <f>297.941</f>
        <v>297.94099999999997</v>
      </c>
      <c r="E444" s="92">
        <f>89.177</f>
        <v>89.177000000000007</v>
      </c>
      <c r="F444" s="83">
        <f>240.302-40-60-100</f>
        <v>40.301999999999992</v>
      </c>
      <c r="G444" s="86">
        <v>40</v>
      </c>
      <c r="H444" s="83">
        <f>60+100</f>
        <v>160</v>
      </c>
      <c r="I444" s="83">
        <f t="shared" si="70"/>
        <v>0</v>
      </c>
      <c r="J444" s="86">
        <v>100</v>
      </c>
      <c r="K444" s="86">
        <v>300</v>
      </c>
      <c r="L444" s="83">
        <f t="shared" si="63"/>
        <v>1150</v>
      </c>
      <c r="M444" s="94">
        <v>600</v>
      </c>
      <c r="N444" s="83">
        <f>100</f>
        <v>100</v>
      </c>
      <c r="O444" s="86">
        <v>240</v>
      </c>
      <c r="P444" s="86">
        <v>40</v>
      </c>
      <c r="Q444" s="86">
        <f t="shared" si="64"/>
        <v>315</v>
      </c>
      <c r="R444" s="86">
        <f t="shared" si="65"/>
        <v>100</v>
      </c>
      <c r="S444" s="83">
        <f t="shared" si="66"/>
        <v>695</v>
      </c>
      <c r="T444" s="83">
        <f>50</f>
        <v>50</v>
      </c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</row>
    <row r="445" spans="1:30" ht="15.75" x14ac:dyDescent="0.25">
      <c r="A445" s="33">
        <v>54482</v>
      </c>
      <c r="B445" s="96">
        <v>28</v>
      </c>
      <c r="C445" s="83">
        <f>122.58</f>
        <v>122.58</v>
      </c>
      <c r="D445" s="83">
        <f>297.941</f>
        <v>297.94099999999997</v>
      </c>
      <c r="E445" s="92">
        <f>89.177</f>
        <v>89.177000000000007</v>
      </c>
      <c r="F445" s="83">
        <f>240.302-40-60-100</f>
        <v>40.301999999999992</v>
      </c>
      <c r="G445" s="86">
        <v>40</v>
      </c>
      <c r="H445" s="83">
        <f>60+100</f>
        <v>160</v>
      </c>
      <c r="I445" s="83">
        <f t="shared" si="70"/>
        <v>0</v>
      </c>
      <c r="J445" s="86">
        <v>100</v>
      </c>
      <c r="K445" s="86">
        <v>300</v>
      </c>
      <c r="L445" s="83">
        <f t="shared" si="63"/>
        <v>1150</v>
      </c>
      <c r="M445" s="94">
        <v>600</v>
      </c>
      <c r="N445" s="83">
        <f>100</f>
        <v>100</v>
      </c>
      <c r="O445" s="86">
        <v>240</v>
      </c>
      <c r="P445" s="86">
        <v>40</v>
      </c>
      <c r="Q445" s="86">
        <f t="shared" si="64"/>
        <v>315</v>
      </c>
      <c r="R445" s="86">
        <f t="shared" si="65"/>
        <v>100</v>
      </c>
      <c r="S445" s="83">
        <f t="shared" si="66"/>
        <v>695</v>
      </c>
      <c r="T445" s="83">
        <f>50</f>
        <v>50</v>
      </c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</row>
    <row r="446" spans="1:30" ht="15.75" x14ac:dyDescent="0.25">
      <c r="A446" s="33">
        <v>54513</v>
      </c>
      <c r="B446" s="96">
        <v>31</v>
      </c>
      <c r="C446" s="83">
        <f>122.58</f>
        <v>122.58</v>
      </c>
      <c r="D446" s="83">
        <f>297.941</f>
        <v>297.94099999999997</v>
      </c>
      <c r="E446" s="92">
        <f>89.177</f>
        <v>89.177000000000007</v>
      </c>
      <c r="F446" s="83">
        <f>240.302-40-60-100</f>
        <v>40.301999999999992</v>
      </c>
      <c r="G446" s="86">
        <v>40</v>
      </c>
      <c r="H446" s="83">
        <f>60+100</f>
        <v>160</v>
      </c>
      <c r="I446" s="83">
        <f t="shared" si="70"/>
        <v>0</v>
      </c>
      <c r="J446" s="86">
        <v>100</v>
      </c>
      <c r="K446" s="86">
        <v>300</v>
      </c>
      <c r="L446" s="83">
        <f t="shared" si="63"/>
        <v>1150</v>
      </c>
      <c r="M446" s="94">
        <v>600</v>
      </c>
      <c r="N446" s="83">
        <f>100</f>
        <v>100</v>
      </c>
      <c r="O446" s="86">
        <v>240</v>
      </c>
      <c r="P446" s="86">
        <v>40</v>
      </c>
      <c r="Q446" s="86">
        <f t="shared" si="64"/>
        <v>315</v>
      </c>
      <c r="R446" s="86">
        <f t="shared" si="65"/>
        <v>100</v>
      </c>
      <c r="S446" s="83">
        <f t="shared" si="66"/>
        <v>695</v>
      </c>
      <c r="T446" s="83">
        <f>50</f>
        <v>50</v>
      </c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</row>
    <row r="447" spans="1:30" ht="15.75" x14ac:dyDescent="0.25">
      <c r="A447" s="33">
        <v>54543</v>
      </c>
      <c r="B447" s="96">
        <v>30</v>
      </c>
      <c r="C447" s="83">
        <f>141.293</f>
        <v>141.29300000000001</v>
      </c>
      <c r="D447" s="83">
        <f>267.993</f>
        <v>267.99299999999999</v>
      </c>
      <c r="E447" s="92">
        <f>115.016</f>
        <v>115.01600000000001</v>
      </c>
      <c r="F447" s="83">
        <f>314.698-40-25-60-100</f>
        <v>89.697999999999979</v>
      </c>
      <c r="G447" s="86">
        <v>40</v>
      </c>
      <c r="H447" s="83">
        <f t="shared" ref="H447:H453" si="71">25+60+100</f>
        <v>185</v>
      </c>
      <c r="I447" s="83">
        <f t="shared" si="70"/>
        <v>0</v>
      </c>
      <c r="J447" s="86">
        <v>100</v>
      </c>
      <c r="K447" s="86">
        <v>300</v>
      </c>
      <c r="L447" s="83">
        <f t="shared" si="63"/>
        <v>1239</v>
      </c>
      <c r="M447" s="94">
        <v>600</v>
      </c>
      <c r="N447" s="83">
        <f>100</f>
        <v>100</v>
      </c>
      <c r="O447" s="86">
        <v>240</v>
      </c>
      <c r="P447" s="86">
        <v>160</v>
      </c>
      <c r="Q447" s="86">
        <f t="shared" si="64"/>
        <v>195</v>
      </c>
      <c r="R447" s="86">
        <f t="shared" si="65"/>
        <v>100</v>
      </c>
      <c r="S447" s="83">
        <f t="shared" si="66"/>
        <v>695</v>
      </c>
      <c r="T447" s="83">
        <f>50</f>
        <v>50</v>
      </c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</row>
    <row r="448" spans="1:30" ht="15.75" x14ac:dyDescent="0.25">
      <c r="A448" s="33">
        <v>54574</v>
      </c>
      <c r="B448" s="96">
        <v>31</v>
      </c>
      <c r="C448" s="83">
        <f>194.205</f>
        <v>194.20500000000001</v>
      </c>
      <c r="D448" s="83">
        <f>267.466</f>
        <v>267.46600000000001</v>
      </c>
      <c r="E448" s="92">
        <f>133.845</f>
        <v>133.845</v>
      </c>
      <c r="F448" s="83">
        <f>278.484-40-25-60-100</f>
        <v>53.48399999999998</v>
      </c>
      <c r="G448" s="86">
        <v>40</v>
      </c>
      <c r="H448" s="83">
        <f t="shared" si="71"/>
        <v>185</v>
      </c>
      <c r="I448" s="83">
        <f t="shared" si="70"/>
        <v>0</v>
      </c>
      <c r="J448" s="86">
        <v>100</v>
      </c>
      <c r="K448" s="86">
        <v>300</v>
      </c>
      <c r="L448" s="83">
        <f t="shared" si="63"/>
        <v>1274</v>
      </c>
      <c r="M448" s="94">
        <v>600</v>
      </c>
      <c r="N448" s="83">
        <f>75</f>
        <v>75</v>
      </c>
      <c r="O448" s="86">
        <v>240</v>
      </c>
      <c r="P448" s="86">
        <v>160</v>
      </c>
      <c r="Q448" s="86">
        <f t="shared" si="64"/>
        <v>195</v>
      </c>
      <c r="R448" s="86">
        <f t="shared" si="65"/>
        <v>100</v>
      </c>
      <c r="S448" s="83">
        <f t="shared" si="66"/>
        <v>695</v>
      </c>
      <c r="T448" s="83">
        <f>50</f>
        <v>50</v>
      </c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</row>
    <row r="449" spans="1:30" ht="15.75" x14ac:dyDescent="0.25">
      <c r="A449" s="33">
        <v>54604</v>
      </c>
      <c r="B449" s="96">
        <v>30</v>
      </c>
      <c r="C449" s="83">
        <f>194.205</f>
        <v>194.20500000000001</v>
      </c>
      <c r="D449" s="83">
        <f>267.466</f>
        <v>267.46600000000001</v>
      </c>
      <c r="E449" s="92">
        <f>133.845</f>
        <v>133.845</v>
      </c>
      <c r="F449" s="83">
        <f>278.484-40-25-60-100</f>
        <v>53.48399999999998</v>
      </c>
      <c r="G449" s="86">
        <v>40</v>
      </c>
      <c r="H449" s="83">
        <f t="shared" si="71"/>
        <v>185</v>
      </c>
      <c r="I449" s="83">
        <f t="shared" si="70"/>
        <v>0</v>
      </c>
      <c r="J449" s="86">
        <v>100</v>
      </c>
      <c r="K449" s="86">
        <v>300</v>
      </c>
      <c r="L449" s="83">
        <f t="shared" si="63"/>
        <v>1274</v>
      </c>
      <c r="M449" s="94">
        <v>600</v>
      </c>
      <c r="N449" s="83">
        <f>30</f>
        <v>30</v>
      </c>
      <c r="O449" s="86">
        <v>240</v>
      </c>
      <c r="P449" s="86">
        <v>160</v>
      </c>
      <c r="Q449" s="86">
        <f t="shared" si="64"/>
        <v>195</v>
      </c>
      <c r="R449" s="86">
        <f t="shared" si="65"/>
        <v>100</v>
      </c>
      <c r="S449" s="83">
        <f t="shared" si="66"/>
        <v>695</v>
      </c>
      <c r="T449" s="83">
        <f>50</f>
        <v>50</v>
      </c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</row>
    <row r="450" spans="1:30" ht="15.75" x14ac:dyDescent="0.25">
      <c r="A450" s="33">
        <v>54635</v>
      </c>
      <c r="B450" s="96">
        <v>31</v>
      </c>
      <c r="C450" s="83">
        <f>194.205</f>
        <v>194.20500000000001</v>
      </c>
      <c r="D450" s="83">
        <f>267.466</f>
        <v>267.46600000000001</v>
      </c>
      <c r="E450" s="92">
        <f>133.845</f>
        <v>133.845</v>
      </c>
      <c r="F450" s="83">
        <f>278.484-40-25-60-100</f>
        <v>53.48399999999998</v>
      </c>
      <c r="G450" s="86">
        <v>40</v>
      </c>
      <c r="H450" s="83">
        <f t="shared" si="71"/>
        <v>185</v>
      </c>
      <c r="I450" s="83">
        <f t="shared" si="70"/>
        <v>0</v>
      </c>
      <c r="J450" s="86">
        <v>100</v>
      </c>
      <c r="K450" s="86">
        <v>300</v>
      </c>
      <c r="L450" s="83">
        <f t="shared" si="63"/>
        <v>1274</v>
      </c>
      <c r="M450" s="94">
        <v>600</v>
      </c>
      <c r="N450" s="83">
        <f>30</f>
        <v>30</v>
      </c>
      <c r="O450" s="86">
        <v>240</v>
      </c>
      <c r="P450" s="86">
        <v>160</v>
      </c>
      <c r="Q450" s="86">
        <f t="shared" si="64"/>
        <v>195</v>
      </c>
      <c r="R450" s="86">
        <f t="shared" si="65"/>
        <v>100</v>
      </c>
      <c r="S450" s="83">
        <f t="shared" si="66"/>
        <v>695</v>
      </c>
      <c r="T450" s="83">
        <f>0</f>
        <v>0</v>
      </c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</row>
    <row r="451" spans="1:30" ht="15.75" x14ac:dyDescent="0.25">
      <c r="A451" s="33">
        <v>54666</v>
      </c>
      <c r="B451" s="96">
        <v>31</v>
      </c>
      <c r="C451" s="83">
        <f>194.205</f>
        <v>194.20500000000001</v>
      </c>
      <c r="D451" s="83">
        <f>267.466</f>
        <v>267.46600000000001</v>
      </c>
      <c r="E451" s="92">
        <f>133.845</f>
        <v>133.845</v>
      </c>
      <c r="F451" s="83">
        <f>278.484-40-25-60-100</f>
        <v>53.48399999999998</v>
      </c>
      <c r="G451" s="86">
        <v>40</v>
      </c>
      <c r="H451" s="83">
        <f t="shared" si="71"/>
        <v>185</v>
      </c>
      <c r="I451" s="83">
        <f t="shared" si="70"/>
        <v>0</v>
      </c>
      <c r="J451" s="86">
        <v>100</v>
      </c>
      <c r="K451" s="86">
        <v>300</v>
      </c>
      <c r="L451" s="83">
        <f t="shared" si="63"/>
        <v>1274</v>
      </c>
      <c r="M451" s="94">
        <v>600</v>
      </c>
      <c r="N451" s="83">
        <f>30</f>
        <v>30</v>
      </c>
      <c r="O451" s="86">
        <v>240</v>
      </c>
      <c r="P451" s="86">
        <v>160</v>
      </c>
      <c r="Q451" s="86">
        <f t="shared" si="64"/>
        <v>195</v>
      </c>
      <c r="R451" s="86">
        <f t="shared" si="65"/>
        <v>100</v>
      </c>
      <c r="S451" s="83">
        <f t="shared" si="66"/>
        <v>695</v>
      </c>
      <c r="T451" s="83">
        <f>0</f>
        <v>0</v>
      </c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</row>
    <row r="452" spans="1:30" ht="15.75" x14ac:dyDescent="0.25">
      <c r="A452" s="33">
        <v>54696</v>
      </c>
      <c r="B452" s="96">
        <v>30</v>
      </c>
      <c r="C452" s="83">
        <f>194.205</f>
        <v>194.20500000000001</v>
      </c>
      <c r="D452" s="83">
        <f>267.466</f>
        <v>267.46600000000001</v>
      </c>
      <c r="E452" s="92">
        <f>133.845</f>
        <v>133.845</v>
      </c>
      <c r="F452" s="83">
        <f>278.484-40-25-60-100</f>
        <v>53.48399999999998</v>
      </c>
      <c r="G452" s="86">
        <v>40</v>
      </c>
      <c r="H452" s="83">
        <f t="shared" si="71"/>
        <v>185</v>
      </c>
      <c r="I452" s="83">
        <f t="shared" si="70"/>
        <v>0</v>
      </c>
      <c r="J452" s="86">
        <v>100</v>
      </c>
      <c r="K452" s="86">
        <v>300</v>
      </c>
      <c r="L452" s="83">
        <f t="shared" si="63"/>
        <v>1274</v>
      </c>
      <c r="M452" s="94">
        <v>600</v>
      </c>
      <c r="N452" s="83">
        <f>30</f>
        <v>30</v>
      </c>
      <c r="O452" s="86">
        <v>240</v>
      </c>
      <c r="P452" s="86">
        <v>160</v>
      </c>
      <c r="Q452" s="86">
        <f t="shared" si="64"/>
        <v>195</v>
      </c>
      <c r="R452" s="86">
        <f t="shared" si="65"/>
        <v>100</v>
      </c>
      <c r="S452" s="83">
        <f t="shared" si="66"/>
        <v>695</v>
      </c>
      <c r="T452" s="83">
        <f>0</f>
        <v>0</v>
      </c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</row>
    <row r="453" spans="1:30" ht="15.75" x14ac:dyDescent="0.25">
      <c r="A453" s="33">
        <v>54727</v>
      </c>
      <c r="B453" s="96">
        <v>31</v>
      </c>
      <c r="C453" s="83">
        <f>131.881</f>
        <v>131.881</v>
      </c>
      <c r="D453" s="83">
        <f>277.167</f>
        <v>277.16699999999997</v>
      </c>
      <c r="E453" s="92">
        <f>79.08</f>
        <v>79.08</v>
      </c>
      <c r="F453" s="83">
        <f>350.872-40-25-60-100</f>
        <v>125.87200000000001</v>
      </c>
      <c r="G453" s="86">
        <v>40</v>
      </c>
      <c r="H453" s="83">
        <f t="shared" si="71"/>
        <v>185</v>
      </c>
      <c r="I453" s="83">
        <f t="shared" si="70"/>
        <v>0</v>
      </c>
      <c r="J453" s="86">
        <v>100</v>
      </c>
      <c r="K453" s="86">
        <v>300</v>
      </c>
      <c r="L453" s="83">
        <f t="shared" si="63"/>
        <v>1239</v>
      </c>
      <c r="M453" s="94">
        <v>600</v>
      </c>
      <c r="N453" s="83">
        <f>75</f>
        <v>75</v>
      </c>
      <c r="O453" s="86">
        <v>240</v>
      </c>
      <c r="P453" s="86">
        <v>160</v>
      </c>
      <c r="Q453" s="86">
        <f t="shared" si="64"/>
        <v>195</v>
      </c>
      <c r="R453" s="86">
        <f t="shared" si="65"/>
        <v>100</v>
      </c>
      <c r="S453" s="83">
        <f t="shared" si="66"/>
        <v>695</v>
      </c>
      <c r="T453" s="83">
        <f>0</f>
        <v>0</v>
      </c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</row>
    <row r="454" spans="1:30" ht="15.75" x14ac:dyDescent="0.25">
      <c r="A454" s="33">
        <v>54757</v>
      </c>
      <c r="B454" s="96">
        <v>30</v>
      </c>
      <c r="C454" s="83">
        <f>122.58</f>
        <v>122.58</v>
      </c>
      <c r="D454" s="83">
        <f>297.941</f>
        <v>297.94099999999997</v>
      </c>
      <c r="E454" s="92">
        <f>89.177</f>
        <v>89.177000000000007</v>
      </c>
      <c r="F454" s="83">
        <f>240.302-40-60-100</f>
        <v>40.301999999999992</v>
      </c>
      <c r="G454" s="86">
        <v>40</v>
      </c>
      <c r="H454" s="83">
        <f>60+100</f>
        <v>160</v>
      </c>
      <c r="I454" s="83">
        <f t="shared" si="70"/>
        <v>0</v>
      </c>
      <c r="J454" s="86">
        <v>100</v>
      </c>
      <c r="K454" s="86">
        <v>300</v>
      </c>
      <c r="L454" s="83">
        <f t="shared" si="63"/>
        <v>1150</v>
      </c>
      <c r="M454" s="94">
        <v>600</v>
      </c>
      <c r="N454" s="83">
        <f>100</f>
        <v>100</v>
      </c>
      <c r="O454" s="86">
        <v>240</v>
      </c>
      <c r="P454" s="86">
        <v>40</v>
      </c>
      <c r="Q454" s="86">
        <f t="shared" si="64"/>
        <v>315</v>
      </c>
      <c r="R454" s="86">
        <f t="shared" si="65"/>
        <v>100</v>
      </c>
      <c r="S454" s="83">
        <f t="shared" si="66"/>
        <v>695</v>
      </c>
      <c r="T454" s="83">
        <f>50</f>
        <v>50</v>
      </c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</row>
    <row r="455" spans="1:30" ht="15.75" x14ac:dyDescent="0.25">
      <c r="A455" s="33">
        <v>54788</v>
      </c>
      <c r="B455" s="96">
        <v>31</v>
      </c>
      <c r="C455" s="83">
        <f>122.58</f>
        <v>122.58</v>
      </c>
      <c r="D455" s="83">
        <f>297.941</f>
        <v>297.94099999999997</v>
      </c>
      <c r="E455" s="92">
        <f>89.177</f>
        <v>89.177000000000007</v>
      </c>
      <c r="F455" s="83">
        <f>240.302-40-60-100</f>
        <v>40.301999999999992</v>
      </c>
      <c r="G455" s="86">
        <v>40</v>
      </c>
      <c r="H455" s="83">
        <f>60+100</f>
        <v>160</v>
      </c>
      <c r="I455" s="83">
        <f t="shared" si="70"/>
        <v>0</v>
      </c>
      <c r="J455" s="86">
        <v>100</v>
      </c>
      <c r="K455" s="86">
        <v>300</v>
      </c>
      <c r="L455" s="83">
        <f t="shared" si="63"/>
        <v>1150</v>
      </c>
      <c r="M455" s="94">
        <v>600</v>
      </c>
      <c r="N455" s="83">
        <f>100</f>
        <v>100</v>
      </c>
      <c r="O455" s="86">
        <v>240</v>
      </c>
      <c r="P455" s="86">
        <v>40</v>
      </c>
      <c r="Q455" s="86">
        <f t="shared" si="64"/>
        <v>315</v>
      </c>
      <c r="R455" s="86">
        <f t="shared" si="65"/>
        <v>100</v>
      </c>
      <c r="S455" s="83">
        <f t="shared" si="66"/>
        <v>695</v>
      </c>
      <c r="T455" s="83">
        <f>50</f>
        <v>50</v>
      </c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</row>
    <row r="456" spans="1:30" ht="15.75" x14ac:dyDescent="0.25">
      <c r="A456" s="33">
        <v>54819</v>
      </c>
      <c r="B456" s="96">
        <v>31</v>
      </c>
      <c r="C456" s="83">
        <f>122.58</f>
        <v>122.58</v>
      </c>
      <c r="D456" s="83">
        <f>297.941</f>
        <v>297.94099999999997</v>
      </c>
      <c r="E456" s="92">
        <f>89.177</f>
        <v>89.177000000000007</v>
      </c>
      <c r="F456" s="83">
        <f>240.302-40-60-100</f>
        <v>40.301999999999992</v>
      </c>
      <c r="G456" s="86">
        <v>40</v>
      </c>
      <c r="H456" s="83">
        <f>60+100</f>
        <v>160</v>
      </c>
      <c r="I456" s="83">
        <f t="shared" si="70"/>
        <v>0</v>
      </c>
      <c r="J456" s="86">
        <v>100</v>
      </c>
      <c r="K456" s="86">
        <v>300</v>
      </c>
      <c r="L456" s="83">
        <f t="shared" si="63"/>
        <v>1150</v>
      </c>
      <c r="M456" s="94">
        <v>600</v>
      </c>
      <c r="N456" s="83">
        <f>100</f>
        <v>100</v>
      </c>
      <c r="O456" s="86">
        <v>240</v>
      </c>
      <c r="P456" s="86">
        <v>40</v>
      </c>
      <c r="Q456" s="86">
        <f t="shared" si="64"/>
        <v>315</v>
      </c>
      <c r="R456" s="86">
        <f t="shared" si="65"/>
        <v>100</v>
      </c>
      <c r="S456" s="83">
        <f t="shared" si="66"/>
        <v>695</v>
      </c>
      <c r="T456" s="83">
        <f>50</f>
        <v>50</v>
      </c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</row>
    <row r="457" spans="1:30" ht="15.75" x14ac:dyDescent="0.25">
      <c r="A457" s="33">
        <v>54847</v>
      </c>
      <c r="B457" s="96">
        <v>28</v>
      </c>
      <c r="C457" s="83">
        <f>122.58</f>
        <v>122.58</v>
      </c>
      <c r="D457" s="83">
        <f>297.941</f>
        <v>297.94099999999997</v>
      </c>
      <c r="E457" s="92">
        <f>89.177</f>
        <v>89.177000000000007</v>
      </c>
      <c r="F457" s="83">
        <f>240.302-40-60-100</f>
        <v>40.301999999999992</v>
      </c>
      <c r="G457" s="86">
        <v>40</v>
      </c>
      <c r="H457" s="83">
        <f>60+100</f>
        <v>160</v>
      </c>
      <c r="I457" s="83">
        <f t="shared" si="70"/>
        <v>0</v>
      </c>
      <c r="J457" s="86">
        <v>100</v>
      </c>
      <c r="K457" s="86">
        <v>300</v>
      </c>
      <c r="L457" s="83">
        <f t="shared" si="63"/>
        <v>1150</v>
      </c>
      <c r="M457" s="94">
        <v>600</v>
      </c>
      <c r="N457" s="83">
        <f>100</f>
        <v>100</v>
      </c>
      <c r="O457" s="86">
        <v>240</v>
      </c>
      <c r="P457" s="86">
        <v>40</v>
      </c>
      <c r="Q457" s="86">
        <f t="shared" si="64"/>
        <v>315</v>
      </c>
      <c r="R457" s="86">
        <f t="shared" si="65"/>
        <v>100</v>
      </c>
      <c r="S457" s="83">
        <f t="shared" si="66"/>
        <v>695</v>
      </c>
      <c r="T457" s="83">
        <f>50</f>
        <v>50</v>
      </c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</row>
    <row r="458" spans="1:30" ht="15.75" x14ac:dyDescent="0.25">
      <c r="A458" s="33">
        <v>54878</v>
      </c>
      <c r="B458" s="96">
        <v>31</v>
      </c>
      <c r="C458" s="83">
        <f>122.58</f>
        <v>122.58</v>
      </c>
      <c r="D458" s="83">
        <f>297.941</f>
        <v>297.94099999999997</v>
      </c>
      <c r="E458" s="92">
        <f>89.177</f>
        <v>89.177000000000007</v>
      </c>
      <c r="F458" s="83">
        <f>240.302-40-60-100</f>
        <v>40.301999999999992</v>
      </c>
      <c r="G458" s="86">
        <v>40</v>
      </c>
      <c r="H458" s="83">
        <f>60+100</f>
        <v>160</v>
      </c>
      <c r="I458" s="83">
        <f t="shared" si="70"/>
        <v>0</v>
      </c>
      <c r="J458" s="86">
        <v>100</v>
      </c>
      <c r="K458" s="86">
        <v>300</v>
      </c>
      <c r="L458" s="83">
        <f t="shared" si="63"/>
        <v>1150</v>
      </c>
      <c r="M458" s="94">
        <v>600</v>
      </c>
      <c r="N458" s="83">
        <f>100</f>
        <v>100</v>
      </c>
      <c r="O458" s="86">
        <v>240</v>
      </c>
      <c r="P458" s="86">
        <v>40</v>
      </c>
      <c r="Q458" s="86">
        <f t="shared" si="64"/>
        <v>315</v>
      </c>
      <c r="R458" s="86">
        <f t="shared" si="65"/>
        <v>100</v>
      </c>
      <c r="S458" s="83">
        <f t="shared" si="66"/>
        <v>695</v>
      </c>
      <c r="T458" s="83">
        <f>50</f>
        <v>50</v>
      </c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</row>
    <row r="459" spans="1:30" ht="15.75" x14ac:dyDescent="0.25">
      <c r="A459" s="33">
        <v>54908</v>
      </c>
      <c r="B459" s="96">
        <v>30</v>
      </c>
      <c r="C459" s="83">
        <f>141.293</f>
        <v>141.29300000000001</v>
      </c>
      <c r="D459" s="83">
        <f>267.993</f>
        <v>267.99299999999999</v>
      </c>
      <c r="E459" s="92">
        <f>115.016</f>
        <v>115.01600000000001</v>
      </c>
      <c r="F459" s="83">
        <f>314.698-40-25-60-100</f>
        <v>89.697999999999979</v>
      </c>
      <c r="G459" s="86">
        <v>40</v>
      </c>
      <c r="H459" s="83">
        <f t="shared" ref="H459:H465" si="72">25+60+100</f>
        <v>185</v>
      </c>
      <c r="I459" s="83">
        <f t="shared" si="70"/>
        <v>0</v>
      </c>
      <c r="J459" s="86">
        <v>100</v>
      </c>
      <c r="K459" s="86">
        <v>300</v>
      </c>
      <c r="L459" s="83">
        <f t="shared" si="63"/>
        <v>1239</v>
      </c>
      <c r="M459" s="94">
        <v>600</v>
      </c>
      <c r="N459" s="83">
        <f>100</f>
        <v>100</v>
      </c>
      <c r="O459" s="86">
        <v>240</v>
      </c>
      <c r="P459" s="86">
        <v>160</v>
      </c>
      <c r="Q459" s="86">
        <f t="shared" si="64"/>
        <v>195</v>
      </c>
      <c r="R459" s="86">
        <f t="shared" si="65"/>
        <v>100</v>
      </c>
      <c r="S459" s="83">
        <f t="shared" si="66"/>
        <v>695</v>
      </c>
      <c r="T459" s="83">
        <f>50</f>
        <v>50</v>
      </c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</row>
    <row r="460" spans="1:30" ht="15.75" x14ac:dyDescent="0.25">
      <c r="A460" s="33">
        <v>54939</v>
      </c>
      <c r="B460" s="96">
        <v>31</v>
      </c>
      <c r="C460" s="83">
        <f>194.205</f>
        <v>194.20500000000001</v>
      </c>
      <c r="D460" s="83">
        <f>267.466</f>
        <v>267.46600000000001</v>
      </c>
      <c r="E460" s="92">
        <f>133.845</f>
        <v>133.845</v>
      </c>
      <c r="F460" s="83">
        <f>278.484-40-25-60-100</f>
        <v>53.48399999999998</v>
      </c>
      <c r="G460" s="86">
        <v>40</v>
      </c>
      <c r="H460" s="83">
        <f t="shared" si="72"/>
        <v>185</v>
      </c>
      <c r="I460" s="83">
        <f t="shared" si="70"/>
        <v>0</v>
      </c>
      <c r="J460" s="86">
        <v>100</v>
      </c>
      <c r="K460" s="86">
        <v>300</v>
      </c>
      <c r="L460" s="83">
        <f t="shared" si="63"/>
        <v>1274</v>
      </c>
      <c r="M460" s="94">
        <v>600</v>
      </c>
      <c r="N460" s="83">
        <f>75</f>
        <v>75</v>
      </c>
      <c r="O460" s="86">
        <v>240</v>
      </c>
      <c r="P460" s="86">
        <v>160</v>
      </c>
      <c r="Q460" s="86">
        <f t="shared" si="64"/>
        <v>195</v>
      </c>
      <c r="R460" s="86">
        <f t="shared" si="65"/>
        <v>100</v>
      </c>
      <c r="S460" s="83">
        <f t="shared" si="66"/>
        <v>695</v>
      </c>
      <c r="T460" s="83">
        <f>50</f>
        <v>50</v>
      </c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</row>
    <row r="461" spans="1:30" ht="15.75" x14ac:dyDescent="0.25">
      <c r="A461" s="33">
        <v>54969</v>
      </c>
      <c r="B461" s="96">
        <v>30</v>
      </c>
      <c r="C461" s="83">
        <f>194.205</f>
        <v>194.20500000000001</v>
      </c>
      <c r="D461" s="83">
        <f>267.466</f>
        <v>267.46600000000001</v>
      </c>
      <c r="E461" s="92">
        <f>133.845</f>
        <v>133.845</v>
      </c>
      <c r="F461" s="83">
        <f>278.484-40-25-60-100</f>
        <v>53.48399999999998</v>
      </c>
      <c r="G461" s="86">
        <v>40</v>
      </c>
      <c r="H461" s="83">
        <f t="shared" si="72"/>
        <v>185</v>
      </c>
      <c r="I461" s="83">
        <f t="shared" si="70"/>
        <v>0</v>
      </c>
      <c r="J461" s="86">
        <v>100</v>
      </c>
      <c r="K461" s="86">
        <v>300</v>
      </c>
      <c r="L461" s="83">
        <f t="shared" si="63"/>
        <v>1274</v>
      </c>
      <c r="M461" s="94">
        <v>600</v>
      </c>
      <c r="N461" s="83">
        <f>30</f>
        <v>30</v>
      </c>
      <c r="O461" s="86">
        <v>240</v>
      </c>
      <c r="P461" s="86">
        <v>160</v>
      </c>
      <c r="Q461" s="86">
        <f t="shared" si="64"/>
        <v>195</v>
      </c>
      <c r="R461" s="86">
        <f t="shared" si="65"/>
        <v>100</v>
      </c>
      <c r="S461" s="83">
        <f t="shared" si="66"/>
        <v>695</v>
      </c>
      <c r="T461" s="83">
        <f>50</f>
        <v>50</v>
      </c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</row>
    <row r="462" spans="1:30" ht="15.75" x14ac:dyDescent="0.25">
      <c r="A462" s="33">
        <v>55000</v>
      </c>
      <c r="B462" s="96">
        <v>31</v>
      </c>
      <c r="C462" s="83">
        <f>194.205</f>
        <v>194.20500000000001</v>
      </c>
      <c r="D462" s="83">
        <f>267.466</f>
        <v>267.46600000000001</v>
      </c>
      <c r="E462" s="92">
        <f>133.845</f>
        <v>133.845</v>
      </c>
      <c r="F462" s="83">
        <f>278.484-40-25-60-100</f>
        <v>53.48399999999998</v>
      </c>
      <c r="G462" s="86">
        <v>40</v>
      </c>
      <c r="H462" s="83">
        <f t="shared" si="72"/>
        <v>185</v>
      </c>
      <c r="I462" s="83">
        <f t="shared" si="70"/>
        <v>0</v>
      </c>
      <c r="J462" s="86">
        <v>100</v>
      </c>
      <c r="K462" s="86">
        <v>300</v>
      </c>
      <c r="L462" s="83">
        <f t="shared" si="63"/>
        <v>1274</v>
      </c>
      <c r="M462" s="94">
        <v>600</v>
      </c>
      <c r="N462" s="83">
        <f>30</f>
        <v>30</v>
      </c>
      <c r="O462" s="86">
        <v>240</v>
      </c>
      <c r="P462" s="86">
        <v>160</v>
      </c>
      <c r="Q462" s="86">
        <f t="shared" si="64"/>
        <v>195</v>
      </c>
      <c r="R462" s="86">
        <f t="shared" si="65"/>
        <v>100</v>
      </c>
      <c r="S462" s="83">
        <f t="shared" si="66"/>
        <v>695</v>
      </c>
      <c r="T462" s="83">
        <f>0</f>
        <v>0</v>
      </c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</row>
    <row r="463" spans="1:30" ht="15.75" x14ac:dyDescent="0.25">
      <c r="A463" s="33">
        <v>55031</v>
      </c>
      <c r="B463" s="96">
        <v>31</v>
      </c>
      <c r="C463" s="83">
        <f>194.205</f>
        <v>194.20500000000001</v>
      </c>
      <c r="D463" s="83">
        <f>267.466</f>
        <v>267.46600000000001</v>
      </c>
      <c r="E463" s="92">
        <f>133.845</f>
        <v>133.845</v>
      </c>
      <c r="F463" s="83">
        <f>278.484-40-25-60-100</f>
        <v>53.48399999999998</v>
      </c>
      <c r="G463" s="86">
        <v>40</v>
      </c>
      <c r="H463" s="83">
        <f t="shared" si="72"/>
        <v>185</v>
      </c>
      <c r="I463" s="83">
        <f t="shared" si="70"/>
        <v>0</v>
      </c>
      <c r="J463" s="86">
        <v>100</v>
      </c>
      <c r="K463" s="86">
        <v>300</v>
      </c>
      <c r="L463" s="83">
        <f t="shared" si="63"/>
        <v>1274</v>
      </c>
      <c r="M463" s="94">
        <v>600</v>
      </c>
      <c r="N463" s="83">
        <f>30</f>
        <v>30</v>
      </c>
      <c r="O463" s="86">
        <v>240</v>
      </c>
      <c r="P463" s="86">
        <v>160</v>
      </c>
      <c r="Q463" s="86">
        <f t="shared" si="64"/>
        <v>195</v>
      </c>
      <c r="R463" s="86">
        <f t="shared" si="65"/>
        <v>100</v>
      </c>
      <c r="S463" s="83">
        <f t="shared" si="66"/>
        <v>695</v>
      </c>
      <c r="T463" s="83">
        <f>0</f>
        <v>0</v>
      </c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</row>
    <row r="464" spans="1:30" ht="15.75" x14ac:dyDescent="0.25">
      <c r="A464" s="33">
        <v>55061</v>
      </c>
      <c r="B464" s="96">
        <v>30</v>
      </c>
      <c r="C464" s="83">
        <f>194.205</f>
        <v>194.20500000000001</v>
      </c>
      <c r="D464" s="83">
        <f>267.466</f>
        <v>267.46600000000001</v>
      </c>
      <c r="E464" s="92">
        <f>133.845</f>
        <v>133.845</v>
      </c>
      <c r="F464" s="83">
        <f>278.484-40-25-60-100</f>
        <v>53.48399999999998</v>
      </c>
      <c r="G464" s="86">
        <v>40</v>
      </c>
      <c r="H464" s="83">
        <f t="shared" si="72"/>
        <v>185</v>
      </c>
      <c r="I464" s="83">
        <f t="shared" si="70"/>
        <v>0</v>
      </c>
      <c r="J464" s="86">
        <v>100</v>
      </c>
      <c r="K464" s="86">
        <v>300</v>
      </c>
      <c r="L464" s="83">
        <f t="shared" si="63"/>
        <v>1274</v>
      </c>
      <c r="M464" s="94">
        <v>600</v>
      </c>
      <c r="N464" s="83">
        <f>30</f>
        <v>30</v>
      </c>
      <c r="O464" s="86">
        <v>240</v>
      </c>
      <c r="P464" s="86">
        <v>160</v>
      </c>
      <c r="Q464" s="86">
        <f t="shared" si="64"/>
        <v>195</v>
      </c>
      <c r="R464" s="86">
        <f t="shared" si="65"/>
        <v>100</v>
      </c>
      <c r="S464" s="83">
        <f t="shared" si="66"/>
        <v>695</v>
      </c>
      <c r="T464" s="83">
        <f>0</f>
        <v>0</v>
      </c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</row>
    <row r="465" spans="1:30" ht="15.75" x14ac:dyDescent="0.25">
      <c r="A465" s="33">
        <v>55092</v>
      </c>
      <c r="B465" s="96">
        <v>31</v>
      </c>
      <c r="C465" s="83">
        <f>131.881</f>
        <v>131.881</v>
      </c>
      <c r="D465" s="83">
        <f>277.167</f>
        <v>277.16699999999997</v>
      </c>
      <c r="E465" s="92">
        <f>79.08</f>
        <v>79.08</v>
      </c>
      <c r="F465" s="83">
        <f>350.872-40-25-60-100</f>
        <v>125.87200000000001</v>
      </c>
      <c r="G465" s="86">
        <v>40</v>
      </c>
      <c r="H465" s="83">
        <f t="shared" si="72"/>
        <v>185</v>
      </c>
      <c r="I465" s="83">
        <f t="shared" si="70"/>
        <v>0</v>
      </c>
      <c r="J465" s="86">
        <v>100</v>
      </c>
      <c r="K465" s="86">
        <v>300</v>
      </c>
      <c r="L465" s="83">
        <f t="shared" si="63"/>
        <v>1239</v>
      </c>
      <c r="M465" s="94">
        <v>600</v>
      </c>
      <c r="N465" s="83">
        <f>75</f>
        <v>75</v>
      </c>
      <c r="O465" s="86">
        <v>240</v>
      </c>
      <c r="P465" s="86">
        <v>160</v>
      </c>
      <c r="Q465" s="86">
        <f t="shared" si="64"/>
        <v>195</v>
      </c>
      <c r="R465" s="86">
        <f t="shared" si="65"/>
        <v>100</v>
      </c>
      <c r="S465" s="83">
        <f t="shared" si="66"/>
        <v>695</v>
      </c>
      <c r="T465" s="83">
        <f>0</f>
        <v>0</v>
      </c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</row>
    <row r="466" spans="1:30" ht="15.75" x14ac:dyDescent="0.25">
      <c r="A466" s="33">
        <v>55122</v>
      </c>
      <c r="B466" s="96">
        <v>30</v>
      </c>
      <c r="C466" s="83">
        <f>122.58</f>
        <v>122.58</v>
      </c>
      <c r="D466" s="83">
        <f>297.941</f>
        <v>297.94099999999997</v>
      </c>
      <c r="E466" s="92">
        <f>89.177</f>
        <v>89.177000000000007</v>
      </c>
      <c r="F466" s="83">
        <f>240.302-40-60-100</f>
        <v>40.301999999999992</v>
      </c>
      <c r="G466" s="86">
        <v>40</v>
      </c>
      <c r="H466" s="83">
        <f>60+100</f>
        <v>160</v>
      </c>
      <c r="I466" s="83">
        <f t="shared" si="70"/>
        <v>0</v>
      </c>
      <c r="J466" s="86">
        <v>100</v>
      </c>
      <c r="K466" s="86">
        <v>300</v>
      </c>
      <c r="L466" s="83">
        <f t="shared" si="63"/>
        <v>1150</v>
      </c>
      <c r="M466" s="94">
        <v>600</v>
      </c>
      <c r="N466" s="83">
        <f>100</f>
        <v>100</v>
      </c>
      <c r="O466" s="86">
        <v>240</v>
      </c>
      <c r="P466" s="86">
        <v>40</v>
      </c>
      <c r="Q466" s="86">
        <f t="shared" si="64"/>
        <v>315</v>
      </c>
      <c r="R466" s="86">
        <f t="shared" si="65"/>
        <v>100</v>
      </c>
      <c r="S466" s="83">
        <f t="shared" si="66"/>
        <v>695</v>
      </c>
      <c r="T466" s="83">
        <f>50</f>
        <v>50</v>
      </c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</row>
    <row r="467" spans="1:30" ht="15.75" x14ac:dyDescent="0.25">
      <c r="A467" s="33">
        <v>55153</v>
      </c>
      <c r="B467" s="96">
        <v>31</v>
      </c>
      <c r="C467" s="83">
        <f>122.58</f>
        <v>122.58</v>
      </c>
      <c r="D467" s="83">
        <f>297.941</f>
        <v>297.94099999999997</v>
      </c>
      <c r="E467" s="92">
        <f>89.177</f>
        <v>89.177000000000007</v>
      </c>
      <c r="F467" s="83">
        <f>240.302-40-60-100</f>
        <v>40.301999999999992</v>
      </c>
      <c r="G467" s="86">
        <v>40</v>
      </c>
      <c r="H467" s="83">
        <f>60+100</f>
        <v>160</v>
      </c>
      <c r="I467" s="83">
        <f t="shared" si="70"/>
        <v>0</v>
      </c>
      <c r="J467" s="86">
        <v>100</v>
      </c>
      <c r="K467" s="86">
        <v>300</v>
      </c>
      <c r="L467" s="83">
        <f t="shared" si="63"/>
        <v>1150</v>
      </c>
      <c r="M467" s="94">
        <v>600</v>
      </c>
      <c r="N467" s="83">
        <f>100</f>
        <v>100</v>
      </c>
      <c r="O467" s="86">
        <v>240</v>
      </c>
      <c r="P467" s="86">
        <v>40</v>
      </c>
      <c r="Q467" s="86">
        <f t="shared" si="64"/>
        <v>315</v>
      </c>
      <c r="R467" s="86">
        <f t="shared" si="65"/>
        <v>100</v>
      </c>
      <c r="S467" s="83">
        <f t="shared" si="66"/>
        <v>695</v>
      </c>
      <c r="T467" s="83">
        <f>50</f>
        <v>50</v>
      </c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</row>
    <row r="468" spans="1:30" ht="15.75" x14ac:dyDescent="0.25">
      <c r="A468" s="33">
        <v>55184</v>
      </c>
      <c r="B468" s="96">
        <v>31</v>
      </c>
      <c r="C468" s="83">
        <f>122.58</f>
        <v>122.58</v>
      </c>
      <c r="D468" s="83">
        <f>297.941</f>
        <v>297.94099999999997</v>
      </c>
      <c r="E468" s="92">
        <f>89.177</f>
        <v>89.177000000000007</v>
      </c>
      <c r="F468" s="83">
        <f>240.302-40-60-100</f>
        <v>40.301999999999992</v>
      </c>
      <c r="G468" s="86">
        <v>40</v>
      </c>
      <c r="H468" s="83">
        <f>60+100</f>
        <v>160</v>
      </c>
      <c r="I468" s="83">
        <f t="shared" si="70"/>
        <v>0</v>
      </c>
      <c r="J468" s="86">
        <v>100</v>
      </c>
      <c r="K468" s="86">
        <v>300</v>
      </c>
      <c r="L468" s="83">
        <f t="shared" si="63"/>
        <v>1150</v>
      </c>
      <c r="M468" s="94">
        <v>600</v>
      </c>
      <c r="N468" s="83">
        <f>100</f>
        <v>100</v>
      </c>
      <c r="O468" s="86">
        <v>240</v>
      </c>
      <c r="P468" s="86">
        <v>40</v>
      </c>
      <c r="Q468" s="86">
        <f t="shared" si="64"/>
        <v>315</v>
      </c>
      <c r="R468" s="86">
        <f t="shared" si="65"/>
        <v>100</v>
      </c>
      <c r="S468" s="83">
        <f t="shared" si="66"/>
        <v>695</v>
      </c>
      <c r="T468" s="83">
        <f>50</f>
        <v>50</v>
      </c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</row>
    <row r="469" spans="1:30" ht="15.75" x14ac:dyDescent="0.25">
      <c r="A469" s="33">
        <v>55212</v>
      </c>
      <c r="B469" s="96">
        <v>28</v>
      </c>
      <c r="C469" s="83">
        <f>122.58</f>
        <v>122.58</v>
      </c>
      <c r="D469" s="83">
        <f>297.941</f>
        <v>297.94099999999997</v>
      </c>
      <c r="E469" s="92">
        <f>89.177</f>
        <v>89.177000000000007</v>
      </c>
      <c r="F469" s="83">
        <f>240.302-40-60-100</f>
        <v>40.301999999999992</v>
      </c>
      <c r="G469" s="86">
        <v>40</v>
      </c>
      <c r="H469" s="83">
        <f>60+100</f>
        <v>160</v>
      </c>
      <c r="I469" s="83">
        <f t="shared" si="70"/>
        <v>0</v>
      </c>
      <c r="J469" s="86">
        <v>100</v>
      </c>
      <c r="K469" s="86">
        <v>300</v>
      </c>
      <c r="L469" s="83">
        <f t="shared" ref="L469:L532" si="73">SUM(C469:K469)</f>
        <v>1150</v>
      </c>
      <c r="M469" s="94">
        <v>600</v>
      </c>
      <c r="N469" s="83">
        <f>100</f>
        <v>100</v>
      </c>
      <c r="O469" s="86">
        <v>240</v>
      </c>
      <c r="P469" s="86">
        <v>40</v>
      </c>
      <c r="Q469" s="86">
        <f t="shared" ref="Q469:Q532" si="74">695-R469-O469-P469</f>
        <v>315</v>
      </c>
      <c r="R469" s="86">
        <f t="shared" ref="R469:R532" si="75">200-J469</f>
        <v>100</v>
      </c>
      <c r="S469" s="83">
        <f t="shared" ref="S469:S532" si="76">SUM(O469:R469)</f>
        <v>695</v>
      </c>
      <c r="T469" s="83">
        <f>50</f>
        <v>50</v>
      </c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</row>
    <row r="470" spans="1:30" ht="15.75" x14ac:dyDescent="0.25">
      <c r="A470" s="33">
        <v>55243</v>
      </c>
      <c r="B470" s="96">
        <v>31</v>
      </c>
      <c r="C470" s="83">
        <f>122.58</f>
        <v>122.58</v>
      </c>
      <c r="D470" s="83">
        <f>297.941</f>
        <v>297.94099999999997</v>
      </c>
      <c r="E470" s="92">
        <f>89.177</f>
        <v>89.177000000000007</v>
      </c>
      <c r="F470" s="83">
        <f>240.302-40-60-100</f>
        <v>40.301999999999992</v>
      </c>
      <c r="G470" s="86">
        <v>40</v>
      </c>
      <c r="H470" s="83">
        <f>60+100</f>
        <v>160</v>
      </c>
      <c r="I470" s="83">
        <f t="shared" si="70"/>
        <v>0</v>
      </c>
      <c r="J470" s="86">
        <v>100</v>
      </c>
      <c r="K470" s="86">
        <v>300</v>
      </c>
      <c r="L470" s="83">
        <f t="shared" si="73"/>
        <v>1150</v>
      </c>
      <c r="M470" s="94">
        <v>600</v>
      </c>
      <c r="N470" s="83">
        <f>100</f>
        <v>100</v>
      </c>
      <c r="O470" s="86">
        <v>240</v>
      </c>
      <c r="P470" s="86">
        <v>40</v>
      </c>
      <c r="Q470" s="86">
        <f t="shared" si="74"/>
        <v>315</v>
      </c>
      <c r="R470" s="86">
        <f t="shared" si="75"/>
        <v>100</v>
      </c>
      <c r="S470" s="83">
        <f t="shared" si="76"/>
        <v>695</v>
      </c>
      <c r="T470" s="83">
        <f>50</f>
        <v>50</v>
      </c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</row>
    <row r="471" spans="1:30" ht="15.75" x14ac:dyDescent="0.25">
      <c r="A471" s="33">
        <v>55273</v>
      </c>
      <c r="B471" s="96">
        <v>30</v>
      </c>
      <c r="C471" s="83">
        <f>141.293</f>
        <v>141.29300000000001</v>
      </c>
      <c r="D471" s="83">
        <f>267.993</f>
        <v>267.99299999999999</v>
      </c>
      <c r="E471" s="92">
        <f>115.016</f>
        <v>115.01600000000001</v>
      </c>
      <c r="F471" s="83">
        <f>314.698-40-25-60-100</f>
        <v>89.697999999999979</v>
      </c>
      <c r="G471" s="86">
        <v>40</v>
      </c>
      <c r="H471" s="83">
        <f t="shared" ref="H471:H477" si="77">25+60+100</f>
        <v>185</v>
      </c>
      <c r="I471" s="83">
        <f t="shared" si="70"/>
        <v>0</v>
      </c>
      <c r="J471" s="86">
        <v>100</v>
      </c>
      <c r="K471" s="86">
        <v>300</v>
      </c>
      <c r="L471" s="83">
        <f t="shared" si="73"/>
        <v>1239</v>
      </c>
      <c r="M471" s="94">
        <v>600</v>
      </c>
      <c r="N471" s="83">
        <f>100</f>
        <v>100</v>
      </c>
      <c r="O471" s="86">
        <v>240</v>
      </c>
      <c r="P471" s="86">
        <v>160</v>
      </c>
      <c r="Q471" s="86">
        <f t="shared" si="74"/>
        <v>195</v>
      </c>
      <c r="R471" s="86">
        <f t="shared" si="75"/>
        <v>100</v>
      </c>
      <c r="S471" s="83">
        <f t="shared" si="76"/>
        <v>695</v>
      </c>
      <c r="T471" s="83">
        <f>50</f>
        <v>50</v>
      </c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</row>
    <row r="472" spans="1:30" ht="15.75" x14ac:dyDescent="0.25">
      <c r="A472" s="33">
        <v>55304</v>
      </c>
      <c r="B472" s="96">
        <v>31</v>
      </c>
      <c r="C472" s="83">
        <f>194.205</f>
        <v>194.20500000000001</v>
      </c>
      <c r="D472" s="83">
        <f>267.466</f>
        <v>267.46600000000001</v>
      </c>
      <c r="E472" s="92">
        <f>133.845</f>
        <v>133.845</v>
      </c>
      <c r="F472" s="83">
        <f>278.484-40-25-60-100</f>
        <v>53.48399999999998</v>
      </c>
      <c r="G472" s="86">
        <v>40</v>
      </c>
      <c r="H472" s="83">
        <f t="shared" si="77"/>
        <v>185</v>
      </c>
      <c r="I472" s="83">
        <f t="shared" si="70"/>
        <v>0</v>
      </c>
      <c r="J472" s="86">
        <v>100</v>
      </c>
      <c r="K472" s="86">
        <v>300</v>
      </c>
      <c r="L472" s="83">
        <f t="shared" si="73"/>
        <v>1274</v>
      </c>
      <c r="M472" s="94">
        <v>600</v>
      </c>
      <c r="N472" s="83">
        <f>75</f>
        <v>75</v>
      </c>
      <c r="O472" s="86">
        <v>240</v>
      </c>
      <c r="P472" s="86">
        <v>160</v>
      </c>
      <c r="Q472" s="86">
        <f t="shared" si="74"/>
        <v>195</v>
      </c>
      <c r="R472" s="86">
        <f t="shared" si="75"/>
        <v>100</v>
      </c>
      <c r="S472" s="83">
        <f t="shared" si="76"/>
        <v>695</v>
      </c>
      <c r="T472" s="83">
        <f>50</f>
        <v>50</v>
      </c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</row>
    <row r="473" spans="1:30" ht="15.75" x14ac:dyDescent="0.25">
      <c r="A473" s="33">
        <v>55334</v>
      </c>
      <c r="B473" s="96">
        <v>30</v>
      </c>
      <c r="C473" s="83">
        <f>194.205</f>
        <v>194.20500000000001</v>
      </c>
      <c r="D473" s="83">
        <f>267.466</f>
        <v>267.46600000000001</v>
      </c>
      <c r="E473" s="92">
        <f>133.845</f>
        <v>133.845</v>
      </c>
      <c r="F473" s="83">
        <f>278.484-40-25-60-100</f>
        <v>53.48399999999998</v>
      </c>
      <c r="G473" s="86">
        <v>40</v>
      </c>
      <c r="H473" s="83">
        <f t="shared" si="77"/>
        <v>185</v>
      </c>
      <c r="I473" s="83">
        <f t="shared" si="70"/>
        <v>0</v>
      </c>
      <c r="J473" s="86">
        <v>100</v>
      </c>
      <c r="K473" s="86">
        <v>300</v>
      </c>
      <c r="L473" s="83">
        <f t="shared" si="73"/>
        <v>1274</v>
      </c>
      <c r="M473" s="94">
        <v>600</v>
      </c>
      <c r="N473" s="83">
        <f>30</f>
        <v>30</v>
      </c>
      <c r="O473" s="86">
        <v>240</v>
      </c>
      <c r="P473" s="86">
        <v>160</v>
      </c>
      <c r="Q473" s="86">
        <f t="shared" si="74"/>
        <v>195</v>
      </c>
      <c r="R473" s="86">
        <f t="shared" si="75"/>
        <v>100</v>
      </c>
      <c r="S473" s="83">
        <f t="shared" si="76"/>
        <v>695</v>
      </c>
      <c r="T473" s="83">
        <f>50</f>
        <v>50</v>
      </c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</row>
    <row r="474" spans="1:30" ht="15.75" x14ac:dyDescent="0.25">
      <c r="A474" s="33">
        <v>55365</v>
      </c>
      <c r="B474" s="96">
        <v>31</v>
      </c>
      <c r="C474" s="83">
        <f>194.205</f>
        <v>194.20500000000001</v>
      </c>
      <c r="D474" s="83">
        <f>267.466</f>
        <v>267.46600000000001</v>
      </c>
      <c r="E474" s="92">
        <f>133.845</f>
        <v>133.845</v>
      </c>
      <c r="F474" s="83">
        <f>278.484-40-25-60-100</f>
        <v>53.48399999999998</v>
      </c>
      <c r="G474" s="86">
        <v>40</v>
      </c>
      <c r="H474" s="83">
        <f t="shared" si="77"/>
        <v>185</v>
      </c>
      <c r="I474" s="83">
        <f t="shared" si="70"/>
        <v>0</v>
      </c>
      <c r="J474" s="86">
        <v>100</v>
      </c>
      <c r="K474" s="86">
        <v>300</v>
      </c>
      <c r="L474" s="83">
        <f t="shared" si="73"/>
        <v>1274</v>
      </c>
      <c r="M474" s="94">
        <v>600</v>
      </c>
      <c r="N474" s="83">
        <f>30</f>
        <v>30</v>
      </c>
      <c r="O474" s="86">
        <v>240</v>
      </c>
      <c r="P474" s="86">
        <v>160</v>
      </c>
      <c r="Q474" s="86">
        <f t="shared" si="74"/>
        <v>195</v>
      </c>
      <c r="R474" s="86">
        <f t="shared" si="75"/>
        <v>100</v>
      </c>
      <c r="S474" s="83">
        <f t="shared" si="76"/>
        <v>695</v>
      </c>
      <c r="T474" s="83">
        <f>0</f>
        <v>0</v>
      </c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</row>
    <row r="475" spans="1:30" ht="15.75" x14ac:dyDescent="0.25">
      <c r="A475" s="33">
        <v>55396</v>
      </c>
      <c r="B475" s="96">
        <v>31</v>
      </c>
      <c r="C475" s="83">
        <f>194.205</f>
        <v>194.20500000000001</v>
      </c>
      <c r="D475" s="83">
        <f>267.466</f>
        <v>267.46600000000001</v>
      </c>
      <c r="E475" s="92">
        <f>133.845</f>
        <v>133.845</v>
      </c>
      <c r="F475" s="83">
        <f>278.484-40-25-60-100</f>
        <v>53.48399999999998</v>
      </c>
      <c r="G475" s="86">
        <v>40</v>
      </c>
      <c r="H475" s="83">
        <f t="shared" si="77"/>
        <v>185</v>
      </c>
      <c r="I475" s="83">
        <f t="shared" si="70"/>
        <v>0</v>
      </c>
      <c r="J475" s="86">
        <v>100</v>
      </c>
      <c r="K475" s="86">
        <v>300</v>
      </c>
      <c r="L475" s="83">
        <f t="shared" si="73"/>
        <v>1274</v>
      </c>
      <c r="M475" s="94">
        <v>600</v>
      </c>
      <c r="N475" s="83">
        <f>30</f>
        <v>30</v>
      </c>
      <c r="O475" s="86">
        <v>240</v>
      </c>
      <c r="P475" s="86">
        <v>160</v>
      </c>
      <c r="Q475" s="86">
        <f t="shared" si="74"/>
        <v>195</v>
      </c>
      <c r="R475" s="86">
        <f t="shared" si="75"/>
        <v>100</v>
      </c>
      <c r="S475" s="83">
        <f t="shared" si="76"/>
        <v>695</v>
      </c>
      <c r="T475" s="83">
        <f>0</f>
        <v>0</v>
      </c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</row>
    <row r="476" spans="1:30" ht="15.75" x14ac:dyDescent="0.25">
      <c r="A476" s="33">
        <v>55426</v>
      </c>
      <c r="B476" s="96">
        <v>30</v>
      </c>
      <c r="C476" s="83">
        <f>194.205</f>
        <v>194.20500000000001</v>
      </c>
      <c r="D476" s="83">
        <f>267.466</f>
        <v>267.46600000000001</v>
      </c>
      <c r="E476" s="92">
        <f>133.845</f>
        <v>133.845</v>
      </c>
      <c r="F476" s="83">
        <f>278.484-40-25-60-100</f>
        <v>53.48399999999998</v>
      </c>
      <c r="G476" s="86">
        <v>40</v>
      </c>
      <c r="H476" s="83">
        <f t="shared" si="77"/>
        <v>185</v>
      </c>
      <c r="I476" s="83">
        <f t="shared" si="70"/>
        <v>0</v>
      </c>
      <c r="J476" s="86">
        <v>100</v>
      </c>
      <c r="K476" s="86">
        <v>300</v>
      </c>
      <c r="L476" s="83">
        <f t="shared" si="73"/>
        <v>1274</v>
      </c>
      <c r="M476" s="94">
        <v>600</v>
      </c>
      <c r="N476" s="83">
        <f>30</f>
        <v>30</v>
      </c>
      <c r="O476" s="86">
        <v>240</v>
      </c>
      <c r="P476" s="86">
        <v>160</v>
      </c>
      <c r="Q476" s="86">
        <f t="shared" si="74"/>
        <v>195</v>
      </c>
      <c r="R476" s="86">
        <f t="shared" si="75"/>
        <v>100</v>
      </c>
      <c r="S476" s="83">
        <f t="shared" si="76"/>
        <v>695</v>
      </c>
      <c r="T476" s="83">
        <f>0</f>
        <v>0</v>
      </c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</row>
    <row r="477" spans="1:30" ht="15.75" x14ac:dyDescent="0.25">
      <c r="A477" s="33">
        <v>55457</v>
      </c>
      <c r="B477" s="96">
        <v>31</v>
      </c>
      <c r="C477" s="83">
        <f>131.881</f>
        <v>131.881</v>
      </c>
      <c r="D477" s="83">
        <f>277.167</f>
        <v>277.16699999999997</v>
      </c>
      <c r="E477" s="92">
        <f>79.08</f>
        <v>79.08</v>
      </c>
      <c r="F477" s="83">
        <f>350.872-40-25-60-100</f>
        <v>125.87200000000001</v>
      </c>
      <c r="G477" s="86">
        <v>40</v>
      </c>
      <c r="H477" s="83">
        <f t="shared" si="77"/>
        <v>185</v>
      </c>
      <c r="I477" s="83">
        <f t="shared" si="70"/>
        <v>0</v>
      </c>
      <c r="J477" s="86">
        <v>100</v>
      </c>
      <c r="K477" s="86">
        <v>300</v>
      </c>
      <c r="L477" s="83">
        <f t="shared" si="73"/>
        <v>1239</v>
      </c>
      <c r="M477" s="94">
        <v>600</v>
      </c>
      <c r="N477" s="83">
        <f>75</f>
        <v>75</v>
      </c>
      <c r="O477" s="86">
        <v>240</v>
      </c>
      <c r="P477" s="86">
        <v>160</v>
      </c>
      <c r="Q477" s="86">
        <f t="shared" si="74"/>
        <v>195</v>
      </c>
      <c r="R477" s="86">
        <f t="shared" si="75"/>
        <v>100</v>
      </c>
      <c r="S477" s="83">
        <f t="shared" si="76"/>
        <v>695</v>
      </c>
      <c r="T477" s="83">
        <f>0</f>
        <v>0</v>
      </c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</row>
    <row r="478" spans="1:30" ht="15.75" x14ac:dyDescent="0.25">
      <c r="A478" s="33">
        <v>55487</v>
      </c>
      <c r="B478" s="96">
        <v>30</v>
      </c>
      <c r="C478" s="83">
        <f>122.58</f>
        <v>122.58</v>
      </c>
      <c r="D478" s="83">
        <f>297.941</f>
        <v>297.94099999999997</v>
      </c>
      <c r="E478" s="92">
        <f>89.177</f>
        <v>89.177000000000007</v>
      </c>
      <c r="F478" s="83">
        <f>240.302-40-60-100</f>
        <v>40.301999999999992</v>
      </c>
      <c r="G478" s="86">
        <v>40</v>
      </c>
      <c r="H478" s="83">
        <f>60+100</f>
        <v>160</v>
      </c>
      <c r="I478" s="83">
        <f t="shared" si="70"/>
        <v>0</v>
      </c>
      <c r="J478" s="86">
        <v>100</v>
      </c>
      <c r="K478" s="86">
        <v>300</v>
      </c>
      <c r="L478" s="83">
        <f t="shared" si="73"/>
        <v>1150</v>
      </c>
      <c r="M478" s="94">
        <v>600</v>
      </c>
      <c r="N478" s="83">
        <f>100</f>
        <v>100</v>
      </c>
      <c r="O478" s="86">
        <v>240</v>
      </c>
      <c r="P478" s="86">
        <v>40</v>
      </c>
      <c r="Q478" s="86">
        <f t="shared" si="74"/>
        <v>315</v>
      </c>
      <c r="R478" s="86">
        <f t="shared" si="75"/>
        <v>100</v>
      </c>
      <c r="S478" s="83">
        <f t="shared" si="76"/>
        <v>695</v>
      </c>
      <c r="T478" s="83">
        <f>50</f>
        <v>50</v>
      </c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</row>
    <row r="479" spans="1:30" ht="15.75" x14ac:dyDescent="0.25">
      <c r="A479" s="33">
        <v>55518</v>
      </c>
      <c r="B479" s="96">
        <v>31</v>
      </c>
      <c r="C479" s="83">
        <f>122.58</f>
        <v>122.58</v>
      </c>
      <c r="D479" s="83">
        <f>297.941</f>
        <v>297.94099999999997</v>
      </c>
      <c r="E479" s="92">
        <f>89.177</f>
        <v>89.177000000000007</v>
      </c>
      <c r="F479" s="83">
        <f>240.302-40-60-100</f>
        <v>40.301999999999992</v>
      </c>
      <c r="G479" s="86">
        <v>40</v>
      </c>
      <c r="H479" s="83">
        <f>60+100</f>
        <v>160</v>
      </c>
      <c r="I479" s="83">
        <f t="shared" si="70"/>
        <v>0</v>
      </c>
      <c r="J479" s="86">
        <v>100</v>
      </c>
      <c r="K479" s="86">
        <v>300</v>
      </c>
      <c r="L479" s="83">
        <f t="shared" si="73"/>
        <v>1150</v>
      </c>
      <c r="M479" s="94">
        <v>600</v>
      </c>
      <c r="N479" s="83">
        <f>100</f>
        <v>100</v>
      </c>
      <c r="O479" s="86">
        <v>240</v>
      </c>
      <c r="P479" s="86">
        <v>40</v>
      </c>
      <c r="Q479" s="86">
        <f t="shared" si="74"/>
        <v>315</v>
      </c>
      <c r="R479" s="86">
        <f t="shared" si="75"/>
        <v>100</v>
      </c>
      <c r="S479" s="83">
        <f t="shared" si="76"/>
        <v>695</v>
      </c>
      <c r="T479" s="83">
        <f>50</f>
        <v>50</v>
      </c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</row>
    <row r="480" spans="1:30" ht="15.75" x14ac:dyDescent="0.25">
      <c r="A480" s="33">
        <v>55549</v>
      </c>
      <c r="B480" s="96">
        <v>31</v>
      </c>
      <c r="C480" s="83">
        <f>122.58</f>
        <v>122.58</v>
      </c>
      <c r="D480" s="83">
        <f>297.941</f>
        <v>297.94099999999997</v>
      </c>
      <c r="E480" s="92">
        <f>89.177</f>
        <v>89.177000000000007</v>
      </c>
      <c r="F480" s="83">
        <f>240.302-40-60-100</f>
        <v>40.301999999999992</v>
      </c>
      <c r="G480" s="86">
        <v>40</v>
      </c>
      <c r="H480" s="83">
        <f>60+100</f>
        <v>160</v>
      </c>
      <c r="I480" s="83">
        <f t="shared" si="70"/>
        <v>0</v>
      </c>
      <c r="J480" s="86">
        <v>100</v>
      </c>
      <c r="K480" s="86">
        <v>300</v>
      </c>
      <c r="L480" s="83">
        <f t="shared" si="73"/>
        <v>1150</v>
      </c>
      <c r="M480" s="94">
        <v>600</v>
      </c>
      <c r="N480" s="83">
        <f>100</f>
        <v>100</v>
      </c>
      <c r="O480" s="86">
        <v>240</v>
      </c>
      <c r="P480" s="86">
        <v>40</v>
      </c>
      <c r="Q480" s="86">
        <f t="shared" si="74"/>
        <v>315</v>
      </c>
      <c r="R480" s="86">
        <f t="shared" si="75"/>
        <v>100</v>
      </c>
      <c r="S480" s="83">
        <f t="shared" si="76"/>
        <v>695</v>
      </c>
      <c r="T480" s="83">
        <f>50</f>
        <v>50</v>
      </c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</row>
    <row r="481" spans="1:30" ht="15.75" x14ac:dyDescent="0.25">
      <c r="A481" s="33">
        <v>55577</v>
      </c>
      <c r="B481" s="96">
        <v>29</v>
      </c>
      <c r="C481" s="83">
        <f>122.58</f>
        <v>122.58</v>
      </c>
      <c r="D481" s="83">
        <f>297.941</f>
        <v>297.94099999999997</v>
      </c>
      <c r="E481" s="92">
        <f>89.177</f>
        <v>89.177000000000007</v>
      </c>
      <c r="F481" s="83">
        <f>240.302-40-60-100</f>
        <v>40.301999999999992</v>
      </c>
      <c r="G481" s="86">
        <v>40</v>
      </c>
      <c r="H481" s="83">
        <f>60+100</f>
        <v>160</v>
      </c>
      <c r="I481" s="83">
        <f t="shared" si="70"/>
        <v>0</v>
      </c>
      <c r="J481" s="86">
        <v>100</v>
      </c>
      <c r="K481" s="86">
        <v>300</v>
      </c>
      <c r="L481" s="83">
        <f t="shared" si="73"/>
        <v>1150</v>
      </c>
      <c r="M481" s="94">
        <v>600</v>
      </c>
      <c r="N481" s="83">
        <f>100</f>
        <v>100</v>
      </c>
      <c r="O481" s="86">
        <v>240</v>
      </c>
      <c r="P481" s="86">
        <v>40</v>
      </c>
      <c r="Q481" s="86">
        <f t="shared" si="74"/>
        <v>315</v>
      </c>
      <c r="R481" s="86">
        <f t="shared" si="75"/>
        <v>100</v>
      </c>
      <c r="S481" s="83">
        <f t="shared" si="76"/>
        <v>695</v>
      </c>
      <c r="T481" s="83">
        <f>50</f>
        <v>50</v>
      </c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</row>
    <row r="482" spans="1:30" ht="15.75" x14ac:dyDescent="0.25">
      <c r="A482" s="33">
        <v>55609</v>
      </c>
      <c r="B482" s="96">
        <v>31</v>
      </c>
      <c r="C482" s="83">
        <f>122.58</f>
        <v>122.58</v>
      </c>
      <c r="D482" s="83">
        <f>297.941</f>
        <v>297.94099999999997</v>
      </c>
      <c r="E482" s="92">
        <f>89.177</f>
        <v>89.177000000000007</v>
      </c>
      <c r="F482" s="83">
        <f>240.302-40-60-100</f>
        <v>40.301999999999992</v>
      </c>
      <c r="G482" s="86">
        <v>40</v>
      </c>
      <c r="H482" s="83">
        <f>60+100</f>
        <v>160</v>
      </c>
      <c r="I482" s="83">
        <f t="shared" si="70"/>
        <v>0</v>
      </c>
      <c r="J482" s="86">
        <v>100</v>
      </c>
      <c r="K482" s="86">
        <v>300</v>
      </c>
      <c r="L482" s="83">
        <f t="shared" si="73"/>
        <v>1150</v>
      </c>
      <c r="M482" s="94">
        <v>600</v>
      </c>
      <c r="N482" s="83">
        <f>100</f>
        <v>100</v>
      </c>
      <c r="O482" s="86">
        <v>240</v>
      </c>
      <c r="P482" s="86">
        <v>40</v>
      </c>
      <c r="Q482" s="86">
        <f t="shared" si="74"/>
        <v>315</v>
      </c>
      <c r="R482" s="86">
        <f t="shared" si="75"/>
        <v>100</v>
      </c>
      <c r="S482" s="83">
        <f t="shared" si="76"/>
        <v>695</v>
      </c>
      <c r="T482" s="83">
        <f>50</f>
        <v>50</v>
      </c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</row>
    <row r="483" spans="1:30" ht="15.75" x14ac:dyDescent="0.25">
      <c r="A483" s="33">
        <v>55639</v>
      </c>
      <c r="B483" s="96">
        <v>30</v>
      </c>
      <c r="C483" s="83">
        <f>141.293</f>
        <v>141.29300000000001</v>
      </c>
      <c r="D483" s="83">
        <f>267.993</f>
        <v>267.99299999999999</v>
      </c>
      <c r="E483" s="92">
        <f>115.016</f>
        <v>115.01600000000001</v>
      </c>
      <c r="F483" s="83">
        <f>314.698-40-25-60-100</f>
        <v>89.697999999999979</v>
      </c>
      <c r="G483" s="86">
        <v>40</v>
      </c>
      <c r="H483" s="83">
        <f t="shared" ref="H483:H489" si="78">25+60+100</f>
        <v>185</v>
      </c>
      <c r="I483" s="83">
        <f t="shared" si="70"/>
        <v>0</v>
      </c>
      <c r="J483" s="86">
        <v>100</v>
      </c>
      <c r="K483" s="86">
        <v>300</v>
      </c>
      <c r="L483" s="83">
        <f t="shared" si="73"/>
        <v>1239</v>
      </c>
      <c r="M483" s="94">
        <v>600</v>
      </c>
      <c r="N483" s="83">
        <f>100</f>
        <v>100</v>
      </c>
      <c r="O483" s="86">
        <v>240</v>
      </c>
      <c r="P483" s="86">
        <v>160</v>
      </c>
      <c r="Q483" s="86">
        <f t="shared" si="74"/>
        <v>195</v>
      </c>
      <c r="R483" s="86">
        <f t="shared" si="75"/>
        <v>100</v>
      </c>
      <c r="S483" s="83">
        <f t="shared" si="76"/>
        <v>695</v>
      </c>
      <c r="T483" s="83">
        <f>50</f>
        <v>50</v>
      </c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</row>
    <row r="484" spans="1:30" ht="15.75" x14ac:dyDescent="0.25">
      <c r="A484" s="33">
        <v>55670</v>
      </c>
      <c r="B484" s="96">
        <v>31</v>
      </c>
      <c r="C484" s="83">
        <f>194.205</f>
        <v>194.20500000000001</v>
      </c>
      <c r="D484" s="83">
        <f>267.466</f>
        <v>267.46600000000001</v>
      </c>
      <c r="E484" s="92">
        <f>133.845</f>
        <v>133.845</v>
      </c>
      <c r="F484" s="83">
        <f>278.484-40-25-60-100</f>
        <v>53.48399999999998</v>
      </c>
      <c r="G484" s="86">
        <v>40</v>
      </c>
      <c r="H484" s="83">
        <f t="shared" si="78"/>
        <v>185</v>
      </c>
      <c r="I484" s="83">
        <f t="shared" si="70"/>
        <v>0</v>
      </c>
      <c r="J484" s="86">
        <v>100</v>
      </c>
      <c r="K484" s="86">
        <v>300</v>
      </c>
      <c r="L484" s="83">
        <f t="shared" si="73"/>
        <v>1274</v>
      </c>
      <c r="M484" s="94">
        <v>600</v>
      </c>
      <c r="N484" s="83">
        <f>75</f>
        <v>75</v>
      </c>
      <c r="O484" s="86">
        <v>240</v>
      </c>
      <c r="P484" s="86">
        <v>160</v>
      </c>
      <c r="Q484" s="86">
        <f t="shared" si="74"/>
        <v>195</v>
      </c>
      <c r="R484" s="86">
        <f t="shared" si="75"/>
        <v>100</v>
      </c>
      <c r="S484" s="83">
        <f t="shared" si="76"/>
        <v>695</v>
      </c>
      <c r="T484" s="83">
        <f>50</f>
        <v>50</v>
      </c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</row>
    <row r="485" spans="1:30" ht="15.75" x14ac:dyDescent="0.25">
      <c r="A485" s="33">
        <v>55700</v>
      </c>
      <c r="B485" s="96">
        <v>30</v>
      </c>
      <c r="C485" s="83">
        <f>194.205</f>
        <v>194.20500000000001</v>
      </c>
      <c r="D485" s="83">
        <f>267.466</f>
        <v>267.46600000000001</v>
      </c>
      <c r="E485" s="92">
        <f>133.845</f>
        <v>133.845</v>
      </c>
      <c r="F485" s="83">
        <f>278.484-40-25-60-100</f>
        <v>53.48399999999998</v>
      </c>
      <c r="G485" s="86">
        <v>40</v>
      </c>
      <c r="H485" s="83">
        <f t="shared" si="78"/>
        <v>185</v>
      </c>
      <c r="I485" s="83">
        <f t="shared" si="70"/>
        <v>0</v>
      </c>
      <c r="J485" s="86">
        <v>100</v>
      </c>
      <c r="K485" s="86">
        <v>300</v>
      </c>
      <c r="L485" s="83">
        <f t="shared" si="73"/>
        <v>1274</v>
      </c>
      <c r="M485" s="94">
        <v>600</v>
      </c>
      <c r="N485" s="83">
        <f>30</f>
        <v>30</v>
      </c>
      <c r="O485" s="86">
        <v>240</v>
      </c>
      <c r="P485" s="86">
        <v>160</v>
      </c>
      <c r="Q485" s="86">
        <f t="shared" si="74"/>
        <v>195</v>
      </c>
      <c r="R485" s="86">
        <f t="shared" si="75"/>
        <v>100</v>
      </c>
      <c r="S485" s="83">
        <f t="shared" si="76"/>
        <v>695</v>
      </c>
      <c r="T485" s="83">
        <f>50</f>
        <v>50</v>
      </c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</row>
    <row r="486" spans="1:30" ht="15.75" x14ac:dyDescent="0.25">
      <c r="A486" s="33">
        <v>55731</v>
      </c>
      <c r="B486" s="96">
        <v>31</v>
      </c>
      <c r="C486" s="83">
        <f>194.205</f>
        <v>194.20500000000001</v>
      </c>
      <c r="D486" s="83">
        <f>267.466</f>
        <v>267.46600000000001</v>
      </c>
      <c r="E486" s="92">
        <f>133.845</f>
        <v>133.845</v>
      </c>
      <c r="F486" s="83">
        <f>278.484-40-25-60-100</f>
        <v>53.48399999999998</v>
      </c>
      <c r="G486" s="86">
        <v>40</v>
      </c>
      <c r="H486" s="83">
        <f t="shared" si="78"/>
        <v>185</v>
      </c>
      <c r="I486" s="83">
        <f t="shared" si="70"/>
        <v>0</v>
      </c>
      <c r="J486" s="86">
        <v>100</v>
      </c>
      <c r="K486" s="86">
        <v>300</v>
      </c>
      <c r="L486" s="83">
        <f t="shared" si="73"/>
        <v>1274</v>
      </c>
      <c r="M486" s="94">
        <v>600</v>
      </c>
      <c r="N486" s="83">
        <f>30</f>
        <v>30</v>
      </c>
      <c r="O486" s="86">
        <v>240</v>
      </c>
      <c r="P486" s="86">
        <v>160</v>
      </c>
      <c r="Q486" s="86">
        <f t="shared" si="74"/>
        <v>195</v>
      </c>
      <c r="R486" s="86">
        <f t="shared" si="75"/>
        <v>100</v>
      </c>
      <c r="S486" s="83">
        <f t="shared" si="76"/>
        <v>695</v>
      </c>
      <c r="T486" s="83">
        <f>0</f>
        <v>0</v>
      </c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</row>
    <row r="487" spans="1:30" ht="15.75" x14ac:dyDescent="0.25">
      <c r="A487" s="33">
        <v>55762</v>
      </c>
      <c r="B487" s="96">
        <v>31</v>
      </c>
      <c r="C487" s="83">
        <f>194.205</f>
        <v>194.20500000000001</v>
      </c>
      <c r="D487" s="83">
        <f>267.466</f>
        <v>267.46600000000001</v>
      </c>
      <c r="E487" s="92">
        <f>133.845</f>
        <v>133.845</v>
      </c>
      <c r="F487" s="83">
        <f>278.484-40-25-60-100</f>
        <v>53.48399999999998</v>
      </c>
      <c r="G487" s="86">
        <v>40</v>
      </c>
      <c r="H487" s="83">
        <f t="shared" si="78"/>
        <v>185</v>
      </c>
      <c r="I487" s="83">
        <f t="shared" si="70"/>
        <v>0</v>
      </c>
      <c r="J487" s="86">
        <v>100</v>
      </c>
      <c r="K487" s="86">
        <v>300</v>
      </c>
      <c r="L487" s="83">
        <f t="shared" si="73"/>
        <v>1274</v>
      </c>
      <c r="M487" s="94">
        <v>600</v>
      </c>
      <c r="N487" s="83">
        <f>30</f>
        <v>30</v>
      </c>
      <c r="O487" s="86">
        <v>240</v>
      </c>
      <c r="P487" s="86">
        <v>160</v>
      </c>
      <c r="Q487" s="86">
        <f t="shared" si="74"/>
        <v>195</v>
      </c>
      <c r="R487" s="86">
        <f t="shared" si="75"/>
        <v>100</v>
      </c>
      <c r="S487" s="83">
        <f t="shared" si="76"/>
        <v>695</v>
      </c>
      <c r="T487" s="83">
        <f>0</f>
        <v>0</v>
      </c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</row>
    <row r="488" spans="1:30" ht="15.75" x14ac:dyDescent="0.25">
      <c r="A488" s="33">
        <v>55792</v>
      </c>
      <c r="B488" s="96">
        <v>30</v>
      </c>
      <c r="C488" s="83">
        <f>194.205</f>
        <v>194.20500000000001</v>
      </c>
      <c r="D488" s="83">
        <f>267.466</f>
        <v>267.46600000000001</v>
      </c>
      <c r="E488" s="92">
        <f>133.845</f>
        <v>133.845</v>
      </c>
      <c r="F488" s="83">
        <f>278.484-40-25-60-100</f>
        <v>53.48399999999998</v>
      </c>
      <c r="G488" s="86">
        <v>40</v>
      </c>
      <c r="H488" s="83">
        <f t="shared" si="78"/>
        <v>185</v>
      </c>
      <c r="I488" s="83">
        <f t="shared" si="70"/>
        <v>0</v>
      </c>
      <c r="J488" s="86">
        <v>100</v>
      </c>
      <c r="K488" s="86">
        <v>300</v>
      </c>
      <c r="L488" s="83">
        <f t="shared" si="73"/>
        <v>1274</v>
      </c>
      <c r="M488" s="94">
        <v>600</v>
      </c>
      <c r="N488" s="83">
        <f>30</f>
        <v>30</v>
      </c>
      <c r="O488" s="86">
        <v>240</v>
      </c>
      <c r="P488" s="86">
        <v>160</v>
      </c>
      <c r="Q488" s="86">
        <f t="shared" si="74"/>
        <v>195</v>
      </c>
      <c r="R488" s="86">
        <f t="shared" si="75"/>
        <v>100</v>
      </c>
      <c r="S488" s="83">
        <f t="shared" si="76"/>
        <v>695</v>
      </c>
      <c r="T488" s="83">
        <f>0</f>
        <v>0</v>
      </c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</row>
    <row r="489" spans="1:30" ht="15.75" x14ac:dyDescent="0.25">
      <c r="A489" s="33">
        <v>55823</v>
      </c>
      <c r="B489" s="96">
        <v>31</v>
      </c>
      <c r="C489" s="83">
        <f>131.881</f>
        <v>131.881</v>
      </c>
      <c r="D489" s="83">
        <f>277.167</f>
        <v>277.16699999999997</v>
      </c>
      <c r="E489" s="92">
        <f>79.08</f>
        <v>79.08</v>
      </c>
      <c r="F489" s="83">
        <f>350.872-40-25-60-100</f>
        <v>125.87200000000001</v>
      </c>
      <c r="G489" s="86">
        <v>40</v>
      </c>
      <c r="H489" s="83">
        <f t="shared" si="78"/>
        <v>185</v>
      </c>
      <c r="I489" s="83">
        <f t="shared" si="70"/>
        <v>0</v>
      </c>
      <c r="J489" s="86">
        <v>100</v>
      </c>
      <c r="K489" s="86">
        <v>300</v>
      </c>
      <c r="L489" s="83">
        <f t="shared" si="73"/>
        <v>1239</v>
      </c>
      <c r="M489" s="94">
        <v>600</v>
      </c>
      <c r="N489" s="83">
        <f>75</f>
        <v>75</v>
      </c>
      <c r="O489" s="86">
        <v>240</v>
      </c>
      <c r="P489" s="86">
        <v>160</v>
      </c>
      <c r="Q489" s="86">
        <f t="shared" si="74"/>
        <v>195</v>
      </c>
      <c r="R489" s="86">
        <f t="shared" si="75"/>
        <v>100</v>
      </c>
      <c r="S489" s="83">
        <f t="shared" si="76"/>
        <v>695</v>
      </c>
      <c r="T489" s="83">
        <f>0</f>
        <v>0</v>
      </c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</row>
    <row r="490" spans="1:30" ht="15.75" x14ac:dyDescent="0.25">
      <c r="A490" s="33">
        <v>55853</v>
      </c>
      <c r="B490" s="96">
        <v>30</v>
      </c>
      <c r="C490" s="83">
        <f>122.58</f>
        <v>122.58</v>
      </c>
      <c r="D490" s="83">
        <f>297.941</f>
        <v>297.94099999999997</v>
      </c>
      <c r="E490" s="92">
        <f>89.177</f>
        <v>89.177000000000007</v>
      </c>
      <c r="F490" s="83">
        <f>240.302-40-60-100</f>
        <v>40.301999999999992</v>
      </c>
      <c r="G490" s="86">
        <v>40</v>
      </c>
      <c r="H490" s="83">
        <f>60+100</f>
        <v>160</v>
      </c>
      <c r="I490" s="83">
        <f t="shared" si="70"/>
        <v>0</v>
      </c>
      <c r="J490" s="86">
        <v>100</v>
      </c>
      <c r="K490" s="86">
        <v>300</v>
      </c>
      <c r="L490" s="83">
        <f t="shared" si="73"/>
        <v>1150</v>
      </c>
      <c r="M490" s="94">
        <v>600</v>
      </c>
      <c r="N490" s="83">
        <f>100</f>
        <v>100</v>
      </c>
      <c r="O490" s="86">
        <v>240</v>
      </c>
      <c r="P490" s="86">
        <v>40</v>
      </c>
      <c r="Q490" s="86">
        <f t="shared" si="74"/>
        <v>315</v>
      </c>
      <c r="R490" s="86">
        <f t="shared" si="75"/>
        <v>100</v>
      </c>
      <c r="S490" s="83">
        <f t="shared" si="76"/>
        <v>695</v>
      </c>
      <c r="T490" s="83">
        <f>50</f>
        <v>50</v>
      </c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</row>
    <row r="491" spans="1:30" ht="15.75" x14ac:dyDescent="0.25">
      <c r="A491" s="33">
        <v>55884</v>
      </c>
      <c r="B491" s="96">
        <v>31</v>
      </c>
      <c r="C491" s="83">
        <f>122.58</f>
        <v>122.58</v>
      </c>
      <c r="D491" s="83">
        <f>297.941</f>
        <v>297.94099999999997</v>
      </c>
      <c r="E491" s="92">
        <f>89.177</f>
        <v>89.177000000000007</v>
      </c>
      <c r="F491" s="83">
        <f>240.302-40-60-100</f>
        <v>40.301999999999992</v>
      </c>
      <c r="G491" s="86">
        <v>40</v>
      </c>
      <c r="H491" s="83">
        <f>60+100</f>
        <v>160</v>
      </c>
      <c r="I491" s="83">
        <f t="shared" si="70"/>
        <v>0</v>
      </c>
      <c r="J491" s="86">
        <v>100</v>
      </c>
      <c r="K491" s="86">
        <v>300</v>
      </c>
      <c r="L491" s="83">
        <f t="shared" si="73"/>
        <v>1150</v>
      </c>
      <c r="M491" s="94">
        <v>600</v>
      </c>
      <c r="N491" s="83">
        <f>100</f>
        <v>100</v>
      </c>
      <c r="O491" s="86">
        <v>240</v>
      </c>
      <c r="P491" s="86">
        <v>40</v>
      </c>
      <c r="Q491" s="86">
        <f t="shared" si="74"/>
        <v>315</v>
      </c>
      <c r="R491" s="86">
        <f t="shared" si="75"/>
        <v>100</v>
      </c>
      <c r="S491" s="83">
        <f t="shared" si="76"/>
        <v>695</v>
      </c>
      <c r="T491" s="83">
        <f>50</f>
        <v>50</v>
      </c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</row>
    <row r="492" spans="1:30" ht="15.75" x14ac:dyDescent="0.25">
      <c r="A492" s="33">
        <v>55915</v>
      </c>
      <c r="B492" s="96">
        <v>31</v>
      </c>
      <c r="C492" s="83">
        <f>122.58</f>
        <v>122.58</v>
      </c>
      <c r="D492" s="83">
        <f>297.941</f>
        <v>297.94099999999997</v>
      </c>
      <c r="E492" s="92">
        <f>89.177</f>
        <v>89.177000000000007</v>
      </c>
      <c r="F492" s="83">
        <f>240.302-40-60-100</f>
        <v>40.301999999999992</v>
      </c>
      <c r="G492" s="86">
        <v>40</v>
      </c>
      <c r="H492" s="83">
        <f>60+100</f>
        <v>160</v>
      </c>
      <c r="I492" s="83">
        <f t="shared" si="70"/>
        <v>0</v>
      </c>
      <c r="J492" s="86">
        <v>100</v>
      </c>
      <c r="K492" s="86">
        <v>300</v>
      </c>
      <c r="L492" s="83">
        <f t="shared" si="73"/>
        <v>1150</v>
      </c>
      <c r="M492" s="94">
        <v>600</v>
      </c>
      <c r="N492" s="83">
        <f>100</f>
        <v>100</v>
      </c>
      <c r="O492" s="86">
        <v>240</v>
      </c>
      <c r="P492" s="86">
        <v>40</v>
      </c>
      <c r="Q492" s="86">
        <f t="shared" si="74"/>
        <v>315</v>
      </c>
      <c r="R492" s="86">
        <f t="shared" si="75"/>
        <v>100</v>
      </c>
      <c r="S492" s="83">
        <f t="shared" si="76"/>
        <v>695</v>
      </c>
      <c r="T492" s="83">
        <f>50</f>
        <v>50</v>
      </c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</row>
    <row r="493" spans="1:30" ht="15.75" x14ac:dyDescent="0.25">
      <c r="A493" s="33">
        <v>55943</v>
      </c>
      <c r="B493" s="96">
        <v>28</v>
      </c>
      <c r="C493" s="83">
        <f>122.58</f>
        <v>122.58</v>
      </c>
      <c r="D493" s="83">
        <f>297.941</f>
        <v>297.94099999999997</v>
      </c>
      <c r="E493" s="92">
        <f>89.177</f>
        <v>89.177000000000007</v>
      </c>
      <c r="F493" s="83">
        <f>240.302-40-60-100</f>
        <v>40.301999999999992</v>
      </c>
      <c r="G493" s="86">
        <v>40</v>
      </c>
      <c r="H493" s="83">
        <f>60+100</f>
        <v>160</v>
      </c>
      <c r="I493" s="83">
        <f t="shared" si="70"/>
        <v>0</v>
      </c>
      <c r="J493" s="86">
        <v>100</v>
      </c>
      <c r="K493" s="86">
        <v>300</v>
      </c>
      <c r="L493" s="83">
        <f t="shared" si="73"/>
        <v>1150</v>
      </c>
      <c r="M493" s="94">
        <v>600</v>
      </c>
      <c r="N493" s="83">
        <f>100</f>
        <v>100</v>
      </c>
      <c r="O493" s="86">
        <v>240</v>
      </c>
      <c r="P493" s="86">
        <v>40</v>
      </c>
      <c r="Q493" s="86">
        <f t="shared" si="74"/>
        <v>315</v>
      </c>
      <c r="R493" s="86">
        <f t="shared" si="75"/>
        <v>100</v>
      </c>
      <c r="S493" s="83">
        <f t="shared" si="76"/>
        <v>695</v>
      </c>
      <c r="T493" s="83">
        <f>50</f>
        <v>50</v>
      </c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</row>
    <row r="494" spans="1:30" ht="15.75" x14ac:dyDescent="0.25">
      <c r="A494" s="33">
        <v>55974</v>
      </c>
      <c r="B494" s="96">
        <v>31</v>
      </c>
      <c r="C494" s="83">
        <f>122.58</f>
        <v>122.58</v>
      </c>
      <c r="D494" s="83">
        <f>297.941</f>
        <v>297.94099999999997</v>
      </c>
      <c r="E494" s="92">
        <f>89.177</f>
        <v>89.177000000000007</v>
      </c>
      <c r="F494" s="83">
        <f>240.302-40-60-100</f>
        <v>40.301999999999992</v>
      </c>
      <c r="G494" s="86">
        <v>40</v>
      </c>
      <c r="H494" s="83">
        <f>60+100</f>
        <v>160</v>
      </c>
      <c r="I494" s="83">
        <f t="shared" si="70"/>
        <v>0</v>
      </c>
      <c r="J494" s="86">
        <v>100</v>
      </c>
      <c r="K494" s="86">
        <v>300</v>
      </c>
      <c r="L494" s="83">
        <f t="shared" si="73"/>
        <v>1150</v>
      </c>
      <c r="M494" s="94">
        <v>600</v>
      </c>
      <c r="N494" s="83">
        <f>100</f>
        <v>100</v>
      </c>
      <c r="O494" s="86">
        <v>240</v>
      </c>
      <c r="P494" s="86">
        <v>40</v>
      </c>
      <c r="Q494" s="86">
        <f t="shared" si="74"/>
        <v>315</v>
      </c>
      <c r="R494" s="86">
        <f t="shared" si="75"/>
        <v>100</v>
      </c>
      <c r="S494" s="83">
        <f t="shared" si="76"/>
        <v>695</v>
      </c>
      <c r="T494" s="83">
        <f>50</f>
        <v>50</v>
      </c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</row>
    <row r="495" spans="1:30" ht="15.75" x14ac:dyDescent="0.25">
      <c r="A495" s="33">
        <v>56004</v>
      </c>
      <c r="B495" s="96">
        <v>30</v>
      </c>
      <c r="C495" s="83">
        <f>141.293</f>
        <v>141.29300000000001</v>
      </c>
      <c r="D495" s="83">
        <f>267.993</f>
        <v>267.99299999999999</v>
      </c>
      <c r="E495" s="92">
        <f>115.016</f>
        <v>115.01600000000001</v>
      </c>
      <c r="F495" s="83">
        <f>314.698-40-25-60-100</f>
        <v>89.697999999999979</v>
      </c>
      <c r="G495" s="86">
        <v>40</v>
      </c>
      <c r="H495" s="83">
        <f t="shared" ref="H495:H501" si="79">25+60+100</f>
        <v>185</v>
      </c>
      <c r="I495" s="83">
        <f t="shared" si="70"/>
        <v>0</v>
      </c>
      <c r="J495" s="86">
        <v>100</v>
      </c>
      <c r="K495" s="86">
        <v>300</v>
      </c>
      <c r="L495" s="83">
        <f t="shared" si="73"/>
        <v>1239</v>
      </c>
      <c r="M495" s="94">
        <v>600</v>
      </c>
      <c r="N495" s="83">
        <f>100</f>
        <v>100</v>
      </c>
      <c r="O495" s="86">
        <v>240</v>
      </c>
      <c r="P495" s="86">
        <v>160</v>
      </c>
      <c r="Q495" s="86">
        <f t="shared" si="74"/>
        <v>195</v>
      </c>
      <c r="R495" s="86">
        <f t="shared" si="75"/>
        <v>100</v>
      </c>
      <c r="S495" s="83">
        <f t="shared" si="76"/>
        <v>695</v>
      </c>
      <c r="T495" s="83">
        <f>50</f>
        <v>50</v>
      </c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</row>
    <row r="496" spans="1:30" ht="15.75" x14ac:dyDescent="0.25">
      <c r="A496" s="33">
        <v>56035</v>
      </c>
      <c r="B496" s="96">
        <v>31</v>
      </c>
      <c r="C496" s="83">
        <f>194.205</f>
        <v>194.20500000000001</v>
      </c>
      <c r="D496" s="83">
        <f>267.466</f>
        <v>267.46600000000001</v>
      </c>
      <c r="E496" s="92">
        <f>133.845</f>
        <v>133.845</v>
      </c>
      <c r="F496" s="83">
        <f>278.484-40-25-60-100</f>
        <v>53.48399999999998</v>
      </c>
      <c r="G496" s="86">
        <v>40</v>
      </c>
      <c r="H496" s="83">
        <f t="shared" si="79"/>
        <v>185</v>
      </c>
      <c r="I496" s="83">
        <f t="shared" si="70"/>
        <v>0</v>
      </c>
      <c r="J496" s="86">
        <v>100</v>
      </c>
      <c r="K496" s="86">
        <v>300</v>
      </c>
      <c r="L496" s="83">
        <f t="shared" si="73"/>
        <v>1274</v>
      </c>
      <c r="M496" s="94">
        <v>600</v>
      </c>
      <c r="N496" s="83">
        <f>75</f>
        <v>75</v>
      </c>
      <c r="O496" s="86">
        <v>240</v>
      </c>
      <c r="P496" s="86">
        <v>160</v>
      </c>
      <c r="Q496" s="86">
        <f t="shared" si="74"/>
        <v>195</v>
      </c>
      <c r="R496" s="86">
        <f t="shared" si="75"/>
        <v>100</v>
      </c>
      <c r="S496" s="83">
        <f t="shared" si="76"/>
        <v>695</v>
      </c>
      <c r="T496" s="83">
        <f>50</f>
        <v>50</v>
      </c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</row>
    <row r="497" spans="1:30" ht="15.75" x14ac:dyDescent="0.25">
      <c r="A497" s="33">
        <v>56065</v>
      </c>
      <c r="B497" s="96">
        <v>30</v>
      </c>
      <c r="C497" s="83">
        <f>194.205</f>
        <v>194.20500000000001</v>
      </c>
      <c r="D497" s="83">
        <f>267.466</f>
        <v>267.46600000000001</v>
      </c>
      <c r="E497" s="92">
        <f>133.845</f>
        <v>133.845</v>
      </c>
      <c r="F497" s="83">
        <f>278.484-40-25-60-100</f>
        <v>53.48399999999998</v>
      </c>
      <c r="G497" s="86">
        <v>40</v>
      </c>
      <c r="H497" s="83">
        <f t="shared" si="79"/>
        <v>185</v>
      </c>
      <c r="I497" s="83">
        <f t="shared" si="70"/>
        <v>0</v>
      </c>
      <c r="J497" s="86">
        <v>100</v>
      </c>
      <c r="K497" s="86">
        <v>300</v>
      </c>
      <c r="L497" s="83">
        <f t="shared" si="73"/>
        <v>1274</v>
      </c>
      <c r="M497" s="94">
        <v>600</v>
      </c>
      <c r="N497" s="83">
        <f>30</f>
        <v>30</v>
      </c>
      <c r="O497" s="86">
        <v>240</v>
      </c>
      <c r="P497" s="86">
        <v>160</v>
      </c>
      <c r="Q497" s="86">
        <f t="shared" si="74"/>
        <v>195</v>
      </c>
      <c r="R497" s="86">
        <f t="shared" si="75"/>
        <v>100</v>
      </c>
      <c r="S497" s="83">
        <f t="shared" si="76"/>
        <v>695</v>
      </c>
      <c r="T497" s="83">
        <f>50</f>
        <v>50</v>
      </c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</row>
    <row r="498" spans="1:30" ht="15.75" x14ac:dyDescent="0.25">
      <c r="A498" s="33">
        <v>56096</v>
      </c>
      <c r="B498" s="96">
        <v>31</v>
      </c>
      <c r="C498" s="83">
        <f>194.205</f>
        <v>194.20500000000001</v>
      </c>
      <c r="D498" s="83">
        <f>267.466</f>
        <v>267.46600000000001</v>
      </c>
      <c r="E498" s="92">
        <f>133.845</f>
        <v>133.845</v>
      </c>
      <c r="F498" s="83">
        <f>278.484-40-25-60-100</f>
        <v>53.48399999999998</v>
      </c>
      <c r="G498" s="86">
        <v>40</v>
      </c>
      <c r="H498" s="83">
        <f t="shared" si="79"/>
        <v>185</v>
      </c>
      <c r="I498" s="83">
        <f t="shared" si="70"/>
        <v>0</v>
      </c>
      <c r="J498" s="86">
        <v>100</v>
      </c>
      <c r="K498" s="86">
        <v>300</v>
      </c>
      <c r="L498" s="83">
        <f t="shared" si="73"/>
        <v>1274</v>
      </c>
      <c r="M498" s="94">
        <v>600</v>
      </c>
      <c r="N498" s="83">
        <f>30</f>
        <v>30</v>
      </c>
      <c r="O498" s="86">
        <v>240</v>
      </c>
      <c r="P498" s="86">
        <v>160</v>
      </c>
      <c r="Q498" s="86">
        <f t="shared" si="74"/>
        <v>195</v>
      </c>
      <c r="R498" s="86">
        <f t="shared" si="75"/>
        <v>100</v>
      </c>
      <c r="S498" s="83">
        <f t="shared" si="76"/>
        <v>695</v>
      </c>
      <c r="T498" s="83">
        <f>0</f>
        <v>0</v>
      </c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</row>
    <row r="499" spans="1:30" ht="15.75" x14ac:dyDescent="0.25">
      <c r="A499" s="33">
        <v>56127</v>
      </c>
      <c r="B499" s="96">
        <v>31</v>
      </c>
      <c r="C499" s="83">
        <f>194.205</f>
        <v>194.20500000000001</v>
      </c>
      <c r="D499" s="83">
        <f>267.466</f>
        <v>267.46600000000001</v>
      </c>
      <c r="E499" s="92">
        <f>133.845</f>
        <v>133.845</v>
      </c>
      <c r="F499" s="83">
        <f>278.484-40-25-60-100</f>
        <v>53.48399999999998</v>
      </c>
      <c r="G499" s="86">
        <v>40</v>
      </c>
      <c r="H499" s="83">
        <f t="shared" si="79"/>
        <v>185</v>
      </c>
      <c r="I499" s="83">
        <f t="shared" si="70"/>
        <v>0</v>
      </c>
      <c r="J499" s="86">
        <v>100</v>
      </c>
      <c r="K499" s="86">
        <v>300</v>
      </c>
      <c r="L499" s="83">
        <f t="shared" si="73"/>
        <v>1274</v>
      </c>
      <c r="M499" s="94">
        <v>600</v>
      </c>
      <c r="N499" s="83">
        <f>30</f>
        <v>30</v>
      </c>
      <c r="O499" s="86">
        <v>240</v>
      </c>
      <c r="P499" s="86">
        <v>160</v>
      </c>
      <c r="Q499" s="86">
        <f t="shared" si="74"/>
        <v>195</v>
      </c>
      <c r="R499" s="86">
        <f t="shared" si="75"/>
        <v>100</v>
      </c>
      <c r="S499" s="83">
        <f t="shared" si="76"/>
        <v>695</v>
      </c>
      <c r="T499" s="83">
        <f>0</f>
        <v>0</v>
      </c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</row>
    <row r="500" spans="1:30" ht="15.75" x14ac:dyDescent="0.25">
      <c r="A500" s="33">
        <v>56157</v>
      </c>
      <c r="B500" s="96">
        <v>30</v>
      </c>
      <c r="C500" s="83">
        <f>194.205</f>
        <v>194.20500000000001</v>
      </c>
      <c r="D500" s="83">
        <f>267.466</f>
        <v>267.46600000000001</v>
      </c>
      <c r="E500" s="92">
        <f>133.845</f>
        <v>133.845</v>
      </c>
      <c r="F500" s="83">
        <f>278.484-40-25-60-100</f>
        <v>53.48399999999998</v>
      </c>
      <c r="G500" s="86">
        <v>40</v>
      </c>
      <c r="H500" s="83">
        <f t="shared" si="79"/>
        <v>185</v>
      </c>
      <c r="I500" s="83">
        <f t="shared" ref="I500:I563" si="80">400-J500-K500</f>
        <v>0</v>
      </c>
      <c r="J500" s="86">
        <v>100</v>
      </c>
      <c r="K500" s="86">
        <v>300</v>
      </c>
      <c r="L500" s="83">
        <f t="shared" si="73"/>
        <v>1274</v>
      </c>
      <c r="M500" s="94">
        <v>600</v>
      </c>
      <c r="N500" s="83">
        <f>30</f>
        <v>30</v>
      </c>
      <c r="O500" s="86">
        <v>240</v>
      </c>
      <c r="P500" s="86">
        <v>160</v>
      </c>
      <c r="Q500" s="86">
        <f t="shared" si="74"/>
        <v>195</v>
      </c>
      <c r="R500" s="86">
        <f t="shared" si="75"/>
        <v>100</v>
      </c>
      <c r="S500" s="83">
        <f t="shared" si="76"/>
        <v>695</v>
      </c>
      <c r="T500" s="83">
        <f>0</f>
        <v>0</v>
      </c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</row>
    <row r="501" spans="1:30" ht="15.75" x14ac:dyDescent="0.25">
      <c r="A501" s="33">
        <v>56188</v>
      </c>
      <c r="B501" s="96">
        <v>31</v>
      </c>
      <c r="C501" s="83">
        <f>131.881</f>
        <v>131.881</v>
      </c>
      <c r="D501" s="83">
        <f>277.167</f>
        <v>277.16699999999997</v>
      </c>
      <c r="E501" s="92">
        <f>79.08</f>
        <v>79.08</v>
      </c>
      <c r="F501" s="83">
        <f>350.872-40-25-60-100</f>
        <v>125.87200000000001</v>
      </c>
      <c r="G501" s="86">
        <v>40</v>
      </c>
      <c r="H501" s="83">
        <f t="shared" si="79"/>
        <v>185</v>
      </c>
      <c r="I501" s="83">
        <f t="shared" si="80"/>
        <v>0</v>
      </c>
      <c r="J501" s="86">
        <v>100</v>
      </c>
      <c r="K501" s="86">
        <v>300</v>
      </c>
      <c r="L501" s="83">
        <f t="shared" si="73"/>
        <v>1239</v>
      </c>
      <c r="M501" s="94">
        <v>600</v>
      </c>
      <c r="N501" s="83">
        <f>75</f>
        <v>75</v>
      </c>
      <c r="O501" s="86">
        <v>240</v>
      </c>
      <c r="P501" s="86">
        <v>160</v>
      </c>
      <c r="Q501" s="86">
        <f t="shared" si="74"/>
        <v>195</v>
      </c>
      <c r="R501" s="86">
        <f t="shared" si="75"/>
        <v>100</v>
      </c>
      <c r="S501" s="83">
        <f t="shared" si="76"/>
        <v>695</v>
      </c>
      <c r="T501" s="83">
        <f>0</f>
        <v>0</v>
      </c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</row>
    <row r="502" spans="1:30" ht="15.75" x14ac:dyDescent="0.25">
      <c r="A502" s="33">
        <v>56218</v>
      </c>
      <c r="B502" s="96">
        <v>30</v>
      </c>
      <c r="C502" s="83">
        <f>122.58</f>
        <v>122.58</v>
      </c>
      <c r="D502" s="83">
        <f>297.941</f>
        <v>297.94099999999997</v>
      </c>
      <c r="E502" s="92">
        <f>89.177</f>
        <v>89.177000000000007</v>
      </c>
      <c r="F502" s="83">
        <f>240.302-40-60-100</f>
        <v>40.301999999999992</v>
      </c>
      <c r="G502" s="86">
        <v>40</v>
      </c>
      <c r="H502" s="83">
        <f>60+100</f>
        <v>160</v>
      </c>
      <c r="I502" s="83">
        <f t="shared" si="80"/>
        <v>0</v>
      </c>
      <c r="J502" s="86">
        <v>100</v>
      </c>
      <c r="K502" s="86">
        <v>300</v>
      </c>
      <c r="L502" s="83">
        <f t="shared" si="73"/>
        <v>1150</v>
      </c>
      <c r="M502" s="94">
        <v>600</v>
      </c>
      <c r="N502" s="83">
        <f>100</f>
        <v>100</v>
      </c>
      <c r="O502" s="86">
        <v>240</v>
      </c>
      <c r="P502" s="86">
        <v>40</v>
      </c>
      <c r="Q502" s="86">
        <f t="shared" si="74"/>
        <v>315</v>
      </c>
      <c r="R502" s="86">
        <f t="shared" si="75"/>
        <v>100</v>
      </c>
      <c r="S502" s="83">
        <f t="shared" si="76"/>
        <v>695</v>
      </c>
      <c r="T502" s="83">
        <f>50</f>
        <v>50</v>
      </c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</row>
    <row r="503" spans="1:30" ht="15.75" x14ac:dyDescent="0.25">
      <c r="A503" s="33">
        <v>56249</v>
      </c>
      <c r="B503" s="96">
        <v>31</v>
      </c>
      <c r="C503" s="83">
        <f>122.58</f>
        <v>122.58</v>
      </c>
      <c r="D503" s="83">
        <f>297.941</f>
        <v>297.94099999999997</v>
      </c>
      <c r="E503" s="92">
        <f>89.177</f>
        <v>89.177000000000007</v>
      </c>
      <c r="F503" s="83">
        <f>240.302-40-60-100</f>
        <v>40.301999999999992</v>
      </c>
      <c r="G503" s="86">
        <v>40</v>
      </c>
      <c r="H503" s="83">
        <f>60+100</f>
        <v>160</v>
      </c>
      <c r="I503" s="83">
        <f t="shared" si="80"/>
        <v>0</v>
      </c>
      <c r="J503" s="86">
        <v>100</v>
      </c>
      <c r="K503" s="86">
        <v>300</v>
      </c>
      <c r="L503" s="83">
        <f t="shared" si="73"/>
        <v>1150</v>
      </c>
      <c r="M503" s="94">
        <v>600</v>
      </c>
      <c r="N503" s="83">
        <f>100</f>
        <v>100</v>
      </c>
      <c r="O503" s="86">
        <v>240</v>
      </c>
      <c r="P503" s="86">
        <v>40</v>
      </c>
      <c r="Q503" s="86">
        <f t="shared" si="74"/>
        <v>315</v>
      </c>
      <c r="R503" s="86">
        <f t="shared" si="75"/>
        <v>100</v>
      </c>
      <c r="S503" s="83">
        <f t="shared" si="76"/>
        <v>695</v>
      </c>
      <c r="T503" s="83">
        <f>50</f>
        <v>50</v>
      </c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</row>
    <row r="504" spans="1:30" ht="15.75" x14ac:dyDescent="0.25">
      <c r="A504" s="33">
        <v>56280</v>
      </c>
      <c r="B504" s="96">
        <v>31</v>
      </c>
      <c r="C504" s="83">
        <f>122.58</f>
        <v>122.58</v>
      </c>
      <c r="D504" s="83">
        <f>297.941</f>
        <v>297.94099999999997</v>
      </c>
      <c r="E504" s="92">
        <f>89.177</f>
        <v>89.177000000000007</v>
      </c>
      <c r="F504" s="83">
        <f>240.302-40-60-100</f>
        <v>40.301999999999992</v>
      </c>
      <c r="G504" s="86">
        <v>40</v>
      </c>
      <c r="H504" s="83">
        <f>60+100</f>
        <v>160</v>
      </c>
      <c r="I504" s="83">
        <f t="shared" si="80"/>
        <v>0</v>
      </c>
      <c r="J504" s="86">
        <v>100</v>
      </c>
      <c r="K504" s="86">
        <v>300</v>
      </c>
      <c r="L504" s="83">
        <f t="shared" si="73"/>
        <v>1150</v>
      </c>
      <c r="M504" s="94">
        <v>600</v>
      </c>
      <c r="N504" s="83">
        <f>100</f>
        <v>100</v>
      </c>
      <c r="O504" s="86">
        <v>240</v>
      </c>
      <c r="P504" s="86">
        <v>40</v>
      </c>
      <c r="Q504" s="86">
        <f t="shared" si="74"/>
        <v>315</v>
      </c>
      <c r="R504" s="86">
        <f t="shared" si="75"/>
        <v>100</v>
      </c>
      <c r="S504" s="83">
        <f t="shared" si="76"/>
        <v>695</v>
      </c>
      <c r="T504" s="83">
        <f>50</f>
        <v>50</v>
      </c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</row>
    <row r="505" spans="1:30" ht="15.75" x14ac:dyDescent="0.25">
      <c r="A505" s="33">
        <v>56308</v>
      </c>
      <c r="B505" s="96">
        <v>28</v>
      </c>
      <c r="C505" s="83">
        <f>122.58</f>
        <v>122.58</v>
      </c>
      <c r="D505" s="83">
        <f>297.941</f>
        <v>297.94099999999997</v>
      </c>
      <c r="E505" s="92">
        <f>89.177</f>
        <v>89.177000000000007</v>
      </c>
      <c r="F505" s="83">
        <f>240.302-40-60-100</f>
        <v>40.301999999999992</v>
      </c>
      <c r="G505" s="86">
        <v>40</v>
      </c>
      <c r="H505" s="83">
        <f>60+100</f>
        <v>160</v>
      </c>
      <c r="I505" s="83">
        <f t="shared" si="80"/>
        <v>0</v>
      </c>
      <c r="J505" s="86">
        <v>100</v>
      </c>
      <c r="K505" s="86">
        <v>300</v>
      </c>
      <c r="L505" s="83">
        <f t="shared" si="73"/>
        <v>1150</v>
      </c>
      <c r="M505" s="94">
        <v>600</v>
      </c>
      <c r="N505" s="83">
        <f>100</f>
        <v>100</v>
      </c>
      <c r="O505" s="86">
        <v>240</v>
      </c>
      <c r="P505" s="86">
        <v>40</v>
      </c>
      <c r="Q505" s="86">
        <f t="shared" si="74"/>
        <v>315</v>
      </c>
      <c r="R505" s="86">
        <f t="shared" si="75"/>
        <v>100</v>
      </c>
      <c r="S505" s="83">
        <f t="shared" si="76"/>
        <v>695</v>
      </c>
      <c r="T505" s="83">
        <f>50</f>
        <v>50</v>
      </c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</row>
    <row r="506" spans="1:30" ht="15.75" x14ac:dyDescent="0.25">
      <c r="A506" s="33">
        <v>56339</v>
      </c>
      <c r="B506" s="96">
        <v>31</v>
      </c>
      <c r="C506" s="83">
        <f>122.58</f>
        <v>122.58</v>
      </c>
      <c r="D506" s="83">
        <f>297.941</f>
        <v>297.94099999999997</v>
      </c>
      <c r="E506" s="92">
        <f>89.177</f>
        <v>89.177000000000007</v>
      </c>
      <c r="F506" s="83">
        <f>240.302-40-60-100</f>
        <v>40.301999999999992</v>
      </c>
      <c r="G506" s="86">
        <v>40</v>
      </c>
      <c r="H506" s="83">
        <f>60+100</f>
        <v>160</v>
      </c>
      <c r="I506" s="83">
        <f t="shared" si="80"/>
        <v>0</v>
      </c>
      <c r="J506" s="86">
        <v>100</v>
      </c>
      <c r="K506" s="86">
        <v>300</v>
      </c>
      <c r="L506" s="83">
        <f t="shared" si="73"/>
        <v>1150</v>
      </c>
      <c r="M506" s="94">
        <v>600</v>
      </c>
      <c r="N506" s="83">
        <f>100</f>
        <v>100</v>
      </c>
      <c r="O506" s="86">
        <v>240</v>
      </c>
      <c r="P506" s="86">
        <v>40</v>
      </c>
      <c r="Q506" s="86">
        <f t="shared" si="74"/>
        <v>315</v>
      </c>
      <c r="R506" s="86">
        <f t="shared" si="75"/>
        <v>100</v>
      </c>
      <c r="S506" s="83">
        <f t="shared" si="76"/>
        <v>695</v>
      </c>
      <c r="T506" s="83">
        <f>50</f>
        <v>50</v>
      </c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</row>
    <row r="507" spans="1:30" ht="15.75" x14ac:dyDescent="0.25">
      <c r="A507" s="33">
        <v>56369</v>
      </c>
      <c r="B507" s="96">
        <v>30</v>
      </c>
      <c r="C507" s="83">
        <f>141.293</f>
        <v>141.29300000000001</v>
      </c>
      <c r="D507" s="83">
        <f>267.993</f>
        <v>267.99299999999999</v>
      </c>
      <c r="E507" s="92">
        <f>115.016</f>
        <v>115.01600000000001</v>
      </c>
      <c r="F507" s="83">
        <f>314.698-40-25-60-100</f>
        <v>89.697999999999979</v>
      </c>
      <c r="G507" s="86">
        <v>40</v>
      </c>
      <c r="H507" s="83">
        <f t="shared" ref="H507:H513" si="81">25+60+100</f>
        <v>185</v>
      </c>
      <c r="I507" s="83">
        <f t="shared" si="80"/>
        <v>0</v>
      </c>
      <c r="J507" s="86">
        <v>100</v>
      </c>
      <c r="K507" s="86">
        <v>300</v>
      </c>
      <c r="L507" s="83">
        <f t="shared" si="73"/>
        <v>1239</v>
      </c>
      <c r="M507" s="94">
        <v>600</v>
      </c>
      <c r="N507" s="83">
        <f>100</f>
        <v>100</v>
      </c>
      <c r="O507" s="86">
        <v>240</v>
      </c>
      <c r="P507" s="86">
        <v>160</v>
      </c>
      <c r="Q507" s="86">
        <f t="shared" si="74"/>
        <v>195</v>
      </c>
      <c r="R507" s="86">
        <f t="shared" si="75"/>
        <v>100</v>
      </c>
      <c r="S507" s="83">
        <f t="shared" si="76"/>
        <v>695</v>
      </c>
      <c r="T507" s="83">
        <f>50</f>
        <v>50</v>
      </c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</row>
    <row r="508" spans="1:30" ht="15.75" x14ac:dyDescent="0.25">
      <c r="A508" s="33">
        <v>56400</v>
      </c>
      <c r="B508" s="96">
        <v>31</v>
      </c>
      <c r="C508" s="83">
        <f>194.205</f>
        <v>194.20500000000001</v>
      </c>
      <c r="D508" s="83">
        <f>267.466</f>
        <v>267.46600000000001</v>
      </c>
      <c r="E508" s="92">
        <f>133.845</f>
        <v>133.845</v>
      </c>
      <c r="F508" s="83">
        <f>278.484-40-25-60-100</f>
        <v>53.48399999999998</v>
      </c>
      <c r="G508" s="86">
        <v>40</v>
      </c>
      <c r="H508" s="83">
        <f t="shared" si="81"/>
        <v>185</v>
      </c>
      <c r="I508" s="83">
        <f t="shared" si="80"/>
        <v>0</v>
      </c>
      <c r="J508" s="86">
        <v>100</v>
      </c>
      <c r="K508" s="86">
        <v>300</v>
      </c>
      <c r="L508" s="83">
        <f t="shared" si="73"/>
        <v>1274</v>
      </c>
      <c r="M508" s="94">
        <v>600</v>
      </c>
      <c r="N508" s="83">
        <f>75</f>
        <v>75</v>
      </c>
      <c r="O508" s="86">
        <v>240</v>
      </c>
      <c r="P508" s="86">
        <v>160</v>
      </c>
      <c r="Q508" s="86">
        <f t="shared" si="74"/>
        <v>195</v>
      </c>
      <c r="R508" s="86">
        <f t="shared" si="75"/>
        <v>100</v>
      </c>
      <c r="S508" s="83">
        <f t="shared" si="76"/>
        <v>695</v>
      </c>
      <c r="T508" s="83">
        <f>50</f>
        <v>50</v>
      </c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</row>
    <row r="509" spans="1:30" ht="15.75" x14ac:dyDescent="0.25">
      <c r="A509" s="33">
        <v>56430</v>
      </c>
      <c r="B509" s="96">
        <v>30</v>
      </c>
      <c r="C509" s="83">
        <f>194.205</f>
        <v>194.20500000000001</v>
      </c>
      <c r="D509" s="83">
        <f>267.466</f>
        <v>267.46600000000001</v>
      </c>
      <c r="E509" s="92">
        <f>133.845</f>
        <v>133.845</v>
      </c>
      <c r="F509" s="83">
        <f>278.484-40-25-60-100</f>
        <v>53.48399999999998</v>
      </c>
      <c r="G509" s="86">
        <v>40</v>
      </c>
      <c r="H509" s="83">
        <f t="shared" si="81"/>
        <v>185</v>
      </c>
      <c r="I509" s="83">
        <f t="shared" si="80"/>
        <v>0</v>
      </c>
      <c r="J509" s="86">
        <v>100</v>
      </c>
      <c r="K509" s="86">
        <v>300</v>
      </c>
      <c r="L509" s="83">
        <f t="shared" si="73"/>
        <v>1274</v>
      </c>
      <c r="M509" s="94">
        <v>600</v>
      </c>
      <c r="N509" s="83">
        <f>30</f>
        <v>30</v>
      </c>
      <c r="O509" s="86">
        <v>240</v>
      </c>
      <c r="P509" s="86">
        <v>160</v>
      </c>
      <c r="Q509" s="86">
        <f t="shared" si="74"/>
        <v>195</v>
      </c>
      <c r="R509" s="86">
        <f t="shared" si="75"/>
        <v>100</v>
      </c>
      <c r="S509" s="83">
        <f t="shared" si="76"/>
        <v>695</v>
      </c>
      <c r="T509" s="83">
        <f>50</f>
        <v>50</v>
      </c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</row>
    <row r="510" spans="1:30" ht="15.75" x14ac:dyDescent="0.25">
      <c r="A510" s="33">
        <v>56461</v>
      </c>
      <c r="B510" s="96">
        <v>31</v>
      </c>
      <c r="C510" s="83">
        <f>194.205</f>
        <v>194.20500000000001</v>
      </c>
      <c r="D510" s="83">
        <f>267.466</f>
        <v>267.46600000000001</v>
      </c>
      <c r="E510" s="92">
        <f>133.845</f>
        <v>133.845</v>
      </c>
      <c r="F510" s="83">
        <f>278.484-40-25-60-100</f>
        <v>53.48399999999998</v>
      </c>
      <c r="G510" s="86">
        <v>40</v>
      </c>
      <c r="H510" s="83">
        <f t="shared" si="81"/>
        <v>185</v>
      </c>
      <c r="I510" s="83">
        <f t="shared" si="80"/>
        <v>0</v>
      </c>
      <c r="J510" s="86">
        <v>100</v>
      </c>
      <c r="K510" s="86">
        <v>300</v>
      </c>
      <c r="L510" s="83">
        <f t="shared" si="73"/>
        <v>1274</v>
      </c>
      <c r="M510" s="94">
        <v>600</v>
      </c>
      <c r="N510" s="83">
        <f>30</f>
        <v>30</v>
      </c>
      <c r="O510" s="86">
        <v>240</v>
      </c>
      <c r="P510" s="86">
        <v>160</v>
      </c>
      <c r="Q510" s="86">
        <f t="shared" si="74"/>
        <v>195</v>
      </c>
      <c r="R510" s="86">
        <f t="shared" si="75"/>
        <v>100</v>
      </c>
      <c r="S510" s="83">
        <f t="shared" si="76"/>
        <v>695</v>
      </c>
      <c r="T510" s="83">
        <f>0</f>
        <v>0</v>
      </c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</row>
    <row r="511" spans="1:30" ht="15.75" x14ac:dyDescent="0.25">
      <c r="A511" s="33">
        <v>56492</v>
      </c>
      <c r="B511" s="96">
        <v>31</v>
      </c>
      <c r="C511" s="83">
        <f>194.205</f>
        <v>194.20500000000001</v>
      </c>
      <c r="D511" s="83">
        <f>267.466</f>
        <v>267.46600000000001</v>
      </c>
      <c r="E511" s="92">
        <f>133.845</f>
        <v>133.845</v>
      </c>
      <c r="F511" s="83">
        <f>278.484-40-25-60-100</f>
        <v>53.48399999999998</v>
      </c>
      <c r="G511" s="86">
        <v>40</v>
      </c>
      <c r="H511" s="83">
        <f t="shared" si="81"/>
        <v>185</v>
      </c>
      <c r="I511" s="83">
        <f t="shared" si="80"/>
        <v>0</v>
      </c>
      <c r="J511" s="86">
        <v>100</v>
      </c>
      <c r="K511" s="86">
        <v>300</v>
      </c>
      <c r="L511" s="83">
        <f t="shared" si="73"/>
        <v>1274</v>
      </c>
      <c r="M511" s="94">
        <v>600</v>
      </c>
      <c r="N511" s="83">
        <f>30</f>
        <v>30</v>
      </c>
      <c r="O511" s="86">
        <v>240</v>
      </c>
      <c r="P511" s="86">
        <v>160</v>
      </c>
      <c r="Q511" s="86">
        <f t="shared" si="74"/>
        <v>195</v>
      </c>
      <c r="R511" s="86">
        <f t="shared" si="75"/>
        <v>100</v>
      </c>
      <c r="S511" s="83">
        <f t="shared" si="76"/>
        <v>695</v>
      </c>
      <c r="T511" s="83">
        <f>0</f>
        <v>0</v>
      </c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</row>
    <row r="512" spans="1:30" ht="15.75" x14ac:dyDescent="0.25">
      <c r="A512" s="33">
        <v>56522</v>
      </c>
      <c r="B512" s="96">
        <v>30</v>
      </c>
      <c r="C512" s="83">
        <f>194.205</f>
        <v>194.20500000000001</v>
      </c>
      <c r="D512" s="83">
        <f>267.466</f>
        <v>267.46600000000001</v>
      </c>
      <c r="E512" s="92">
        <f>133.845</f>
        <v>133.845</v>
      </c>
      <c r="F512" s="83">
        <f>278.484-40-25-60-100</f>
        <v>53.48399999999998</v>
      </c>
      <c r="G512" s="86">
        <v>40</v>
      </c>
      <c r="H512" s="83">
        <f t="shared" si="81"/>
        <v>185</v>
      </c>
      <c r="I512" s="83">
        <f t="shared" si="80"/>
        <v>0</v>
      </c>
      <c r="J512" s="86">
        <v>100</v>
      </c>
      <c r="K512" s="86">
        <v>300</v>
      </c>
      <c r="L512" s="83">
        <f t="shared" si="73"/>
        <v>1274</v>
      </c>
      <c r="M512" s="94">
        <v>600</v>
      </c>
      <c r="N512" s="83">
        <f>30</f>
        <v>30</v>
      </c>
      <c r="O512" s="86">
        <v>240</v>
      </c>
      <c r="P512" s="86">
        <v>160</v>
      </c>
      <c r="Q512" s="86">
        <f t="shared" si="74"/>
        <v>195</v>
      </c>
      <c r="R512" s="86">
        <f t="shared" si="75"/>
        <v>100</v>
      </c>
      <c r="S512" s="83">
        <f t="shared" si="76"/>
        <v>695</v>
      </c>
      <c r="T512" s="83">
        <f>0</f>
        <v>0</v>
      </c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</row>
    <row r="513" spans="1:30" ht="15.75" x14ac:dyDescent="0.25">
      <c r="A513" s="33">
        <v>56553</v>
      </c>
      <c r="B513" s="96">
        <v>31</v>
      </c>
      <c r="C513" s="83">
        <f>131.881</f>
        <v>131.881</v>
      </c>
      <c r="D513" s="83">
        <f>277.167</f>
        <v>277.16699999999997</v>
      </c>
      <c r="E513" s="92">
        <f>79.08</f>
        <v>79.08</v>
      </c>
      <c r="F513" s="83">
        <f>350.872-40-25-60-100</f>
        <v>125.87200000000001</v>
      </c>
      <c r="G513" s="86">
        <v>40</v>
      </c>
      <c r="H513" s="83">
        <f t="shared" si="81"/>
        <v>185</v>
      </c>
      <c r="I513" s="83">
        <f t="shared" si="80"/>
        <v>0</v>
      </c>
      <c r="J513" s="86">
        <v>100</v>
      </c>
      <c r="K513" s="86">
        <v>300</v>
      </c>
      <c r="L513" s="83">
        <f t="shared" si="73"/>
        <v>1239</v>
      </c>
      <c r="M513" s="94">
        <v>600</v>
      </c>
      <c r="N513" s="83">
        <f>75</f>
        <v>75</v>
      </c>
      <c r="O513" s="86">
        <v>240</v>
      </c>
      <c r="P513" s="86">
        <v>160</v>
      </c>
      <c r="Q513" s="86">
        <f t="shared" si="74"/>
        <v>195</v>
      </c>
      <c r="R513" s="86">
        <f t="shared" si="75"/>
        <v>100</v>
      </c>
      <c r="S513" s="83">
        <f t="shared" si="76"/>
        <v>695</v>
      </c>
      <c r="T513" s="83">
        <f>0</f>
        <v>0</v>
      </c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</row>
    <row r="514" spans="1:30" ht="15.75" x14ac:dyDescent="0.25">
      <c r="A514" s="33">
        <v>56583</v>
      </c>
      <c r="B514" s="96">
        <v>30</v>
      </c>
      <c r="C514" s="83">
        <f>122.58</f>
        <v>122.58</v>
      </c>
      <c r="D514" s="83">
        <f>297.941</f>
        <v>297.94099999999997</v>
      </c>
      <c r="E514" s="92">
        <f>89.177</f>
        <v>89.177000000000007</v>
      </c>
      <c r="F514" s="83">
        <f>240.302-40-60-100</f>
        <v>40.301999999999992</v>
      </c>
      <c r="G514" s="86">
        <v>40</v>
      </c>
      <c r="H514" s="83">
        <f>60+100</f>
        <v>160</v>
      </c>
      <c r="I514" s="83">
        <f t="shared" si="80"/>
        <v>0</v>
      </c>
      <c r="J514" s="86">
        <v>100</v>
      </c>
      <c r="K514" s="86">
        <v>300</v>
      </c>
      <c r="L514" s="83">
        <f t="shared" si="73"/>
        <v>1150</v>
      </c>
      <c r="M514" s="94">
        <v>600</v>
      </c>
      <c r="N514" s="83">
        <f>100</f>
        <v>100</v>
      </c>
      <c r="O514" s="86">
        <v>240</v>
      </c>
      <c r="P514" s="86">
        <v>40</v>
      </c>
      <c r="Q514" s="86">
        <f t="shared" si="74"/>
        <v>315</v>
      </c>
      <c r="R514" s="86">
        <f t="shared" si="75"/>
        <v>100</v>
      </c>
      <c r="S514" s="83">
        <f t="shared" si="76"/>
        <v>695</v>
      </c>
      <c r="T514" s="83">
        <f>50</f>
        <v>50</v>
      </c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</row>
    <row r="515" spans="1:30" ht="15.75" x14ac:dyDescent="0.25">
      <c r="A515" s="33">
        <v>56614</v>
      </c>
      <c r="B515" s="96">
        <v>31</v>
      </c>
      <c r="C515" s="83">
        <f>122.58</f>
        <v>122.58</v>
      </c>
      <c r="D515" s="83">
        <f>297.941</f>
        <v>297.94099999999997</v>
      </c>
      <c r="E515" s="92">
        <f>89.177</f>
        <v>89.177000000000007</v>
      </c>
      <c r="F515" s="83">
        <f>240.302-40-60-100</f>
        <v>40.301999999999992</v>
      </c>
      <c r="G515" s="86">
        <v>40</v>
      </c>
      <c r="H515" s="83">
        <f>60+100</f>
        <v>160</v>
      </c>
      <c r="I515" s="83">
        <f t="shared" si="80"/>
        <v>0</v>
      </c>
      <c r="J515" s="86">
        <v>100</v>
      </c>
      <c r="K515" s="86">
        <v>300</v>
      </c>
      <c r="L515" s="83">
        <f t="shared" si="73"/>
        <v>1150</v>
      </c>
      <c r="M515" s="94">
        <v>600</v>
      </c>
      <c r="N515" s="83">
        <f>100</f>
        <v>100</v>
      </c>
      <c r="O515" s="86">
        <v>240</v>
      </c>
      <c r="P515" s="86">
        <v>40</v>
      </c>
      <c r="Q515" s="86">
        <f t="shared" si="74"/>
        <v>315</v>
      </c>
      <c r="R515" s="86">
        <f t="shared" si="75"/>
        <v>100</v>
      </c>
      <c r="S515" s="83">
        <f t="shared" si="76"/>
        <v>695</v>
      </c>
      <c r="T515" s="83">
        <f>50</f>
        <v>50</v>
      </c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</row>
    <row r="516" spans="1:30" ht="15.75" x14ac:dyDescent="0.25">
      <c r="A516" s="32">
        <v>56645</v>
      </c>
      <c r="B516" s="95">
        <v>31</v>
      </c>
      <c r="C516" s="83">
        <f>122.58</f>
        <v>122.58</v>
      </c>
      <c r="D516" s="83">
        <f>297.941</f>
        <v>297.94099999999997</v>
      </c>
      <c r="E516" s="92">
        <f>89.177</f>
        <v>89.177000000000007</v>
      </c>
      <c r="F516" s="83">
        <f>240.302-40-60-100</f>
        <v>40.301999999999992</v>
      </c>
      <c r="G516" s="86">
        <v>40</v>
      </c>
      <c r="H516" s="83">
        <f>60+100</f>
        <v>160</v>
      </c>
      <c r="I516" s="83">
        <f t="shared" si="80"/>
        <v>0</v>
      </c>
      <c r="J516" s="86">
        <v>100</v>
      </c>
      <c r="K516" s="86">
        <v>300</v>
      </c>
      <c r="L516" s="83">
        <f t="shared" si="73"/>
        <v>1150</v>
      </c>
      <c r="M516" s="94">
        <v>600</v>
      </c>
      <c r="N516" s="83">
        <f>100</f>
        <v>100</v>
      </c>
      <c r="O516" s="86">
        <v>240</v>
      </c>
      <c r="P516" s="86">
        <v>40</v>
      </c>
      <c r="Q516" s="86">
        <f t="shared" si="74"/>
        <v>315</v>
      </c>
      <c r="R516" s="86">
        <f t="shared" si="75"/>
        <v>100</v>
      </c>
      <c r="S516" s="83">
        <f t="shared" si="76"/>
        <v>695</v>
      </c>
      <c r="T516" s="83">
        <f>50</f>
        <v>50</v>
      </c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</row>
    <row r="517" spans="1:30" ht="15.75" x14ac:dyDescent="0.25">
      <c r="A517" s="32">
        <v>56673</v>
      </c>
      <c r="B517" s="95">
        <v>28</v>
      </c>
      <c r="C517" s="83">
        <f>122.58</f>
        <v>122.58</v>
      </c>
      <c r="D517" s="83">
        <f>297.941</f>
        <v>297.94099999999997</v>
      </c>
      <c r="E517" s="92">
        <f>89.177</f>
        <v>89.177000000000007</v>
      </c>
      <c r="F517" s="83">
        <f>240.302-40-60-100</f>
        <v>40.301999999999992</v>
      </c>
      <c r="G517" s="86">
        <v>40</v>
      </c>
      <c r="H517" s="83">
        <f>60+100</f>
        <v>160</v>
      </c>
      <c r="I517" s="83">
        <f t="shared" si="80"/>
        <v>0</v>
      </c>
      <c r="J517" s="86">
        <v>100</v>
      </c>
      <c r="K517" s="86">
        <v>300</v>
      </c>
      <c r="L517" s="83">
        <f t="shared" si="73"/>
        <v>1150</v>
      </c>
      <c r="M517" s="94">
        <v>600</v>
      </c>
      <c r="N517" s="83">
        <f>100</f>
        <v>100</v>
      </c>
      <c r="O517" s="86">
        <v>240</v>
      </c>
      <c r="P517" s="86">
        <v>40</v>
      </c>
      <c r="Q517" s="86">
        <f t="shared" si="74"/>
        <v>315</v>
      </c>
      <c r="R517" s="86">
        <f t="shared" si="75"/>
        <v>100</v>
      </c>
      <c r="S517" s="83">
        <f t="shared" si="76"/>
        <v>695</v>
      </c>
      <c r="T517" s="83">
        <f>50</f>
        <v>50</v>
      </c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</row>
    <row r="518" spans="1:30" ht="15.75" x14ac:dyDescent="0.25">
      <c r="A518" s="32">
        <v>56704</v>
      </c>
      <c r="B518" s="95">
        <v>31</v>
      </c>
      <c r="C518" s="83">
        <f>122.58</f>
        <v>122.58</v>
      </c>
      <c r="D518" s="83">
        <f>297.941</f>
        <v>297.94099999999997</v>
      </c>
      <c r="E518" s="92">
        <f>89.177</f>
        <v>89.177000000000007</v>
      </c>
      <c r="F518" s="83">
        <f>240.302-40-60-100</f>
        <v>40.301999999999992</v>
      </c>
      <c r="G518" s="86">
        <v>40</v>
      </c>
      <c r="H518" s="83">
        <f>60+100</f>
        <v>160</v>
      </c>
      <c r="I518" s="83">
        <f t="shared" si="80"/>
        <v>0</v>
      </c>
      <c r="J518" s="86">
        <v>100</v>
      </c>
      <c r="K518" s="86">
        <v>300</v>
      </c>
      <c r="L518" s="83">
        <f t="shared" si="73"/>
        <v>1150</v>
      </c>
      <c r="M518" s="94">
        <v>600</v>
      </c>
      <c r="N518" s="83">
        <f>100</f>
        <v>100</v>
      </c>
      <c r="O518" s="86">
        <v>240</v>
      </c>
      <c r="P518" s="86">
        <v>40</v>
      </c>
      <c r="Q518" s="86">
        <f t="shared" si="74"/>
        <v>315</v>
      </c>
      <c r="R518" s="86">
        <f t="shared" si="75"/>
        <v>100</v>
      </c>
      <c r="S518" s="83">
        <f t="shared" si="76"/>
        <v>695</v>
      </c>
      <c r="T518" s="83">
        <f>50</f>
        <v>50</v>
      </c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</row>
    <row r="519" spans="1:30" ht="15.75" x14ac:dyDescent="0.25">
      <c r="A519" s="32">
        <v>56734</v>
      </c>
      <c r="B519" s="95">
        <v>30</v>
      </c>
      <c r="C519" s="83">
        <f>141.293</f>
        <v>141.29300000000001</v>
      </c>
      <c r="D519" s="83">
        <f>267.993</f>
        <v>267.99299999999999</v>
      </c>
      <c r="E519" s="92">
        <f>115.016</f>
        <v>115.01600000000001</v>
      </c>
      <c r="F519" s="83">
        <f>314.698-40-25-60-100</f>
        <v>89.697999999999979</v>
      </c>
      <c r="G519" s="86">
        <v>40</v>
      </c>
      <c r="H519" s="83">
        <f t="shared" ref="H519:H525" si="82">25+60+100</f>
        <v>185</v>
      </c>
      <c r="I519" s="83">
        <f t="shared" si="80"/>
        <v>0</v>
      </c>
      <c r="J519" s="86">
        <v>100</v>
      </c>
      <c r="K519" s="86">
        <v>300</v>
      </c>
      <c r="L519" s="83">
        <f t="shared" si="73"/>
        <v>1239</v>
      </c>
      <c r="M519" s="94">
        <v>600</v>
      </c>
      <c r="N519" s="83">
        <f>100</f>
        <v>100</v>
      </c>
      <c r="O519" s="86">
        <v>240</v>
      </c>
      <c r="P519" s="86">
        <v>160</v>
      </c>
      <c r="Q519" s="86">
        <f t="shared" si="74"/>
        <v>195</v>
      </c>
      <c r="R519" s="86">
        <f t="shared" si="75"/>
        <v>100</v>
      </c>
      <c r="S519" s="83">
        <f t="shared" si="76"/>
        <v>695</v>
      </c>
      <c r="T519" s="83">
        <f>50</f>
        <v>50</v>
      </c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</row>
    <row r="520" spans="1:30" ht="15.75" x14ac:dyDescent="0.25">
      <c r="A520" s="32">
        <v>56765</v>
      </c>
      <c r="B520" s="95">
        <v>31</v>
      </c>
      <c r="C520" s="83">
        <f>194.205</f>
        <v>194.20500000000001</v>
      </c>
      <c r="D520" s="83">
        <f>267.466</f>
        <v>267.46600000000001</v>
      </c>
      <c r="E520" s="92">
        <f>133.845</f>
        <v>133.845</v>
      </c>
      <c r="F520" s="83">
        <f>278.484-40-25-60-100</f>
        <v>53.48399999999998</v>
      </c>
      <c r="G520" s="86">
        <v>40</v>
      </c>
      <c r="H520" s="83">
        <f t="shared" si="82"/>
        <v>185</v>
      </c>
      <c r="I520" s="83">
        <f t="shared" si="80"/>
        <v>0</v>
      </c>
      <c r="J520" s="86">
        <v>100</v>
      </c>
      <c r="K520" s="86">
        <v>300</v>
      </c>
      <c r="L520" s="83">
        <f t="shared" si="73"/>
        <v>1274</v>
      </c>
      <c r="M520" s="94">
        <v>600</v>
      </c>
      <c r="N520" s="83">
        <f>75</f>
        <v>75</v>
      </c>
      <c r="O520" s="86">
        <v>240</v>
      </c>
      <c r="P520" s="86">
        <v>160</v>
      </c>
      <c r="Q520" s="86">
        <f t="shared" si="74"/>
        <v>195</v>
      </c>
      <c r="R520" s="86">
        <f t="shared" si="75"/>
        <v>100</v>
      </c>
      <c r="S520" s="83">
        <f t="shared" si="76"/>
        <v>695</v>
      </c>
      <c r="T520" s="83">
        <f>50</f>
        <v>50</v>
      </c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</row>
    <row r="521" spans="1:30" ht="15.75" x14ac:dyDescent="0.25">
      <c r="A521" s="32">
        <v>56795</v>
      </c>
      <c r="B521" s="95">
        <v>30</v>
      </c>
      <c r="C521" s="83">
        <f>194.205</f>
        <v>194.20500000000001</v>
      </c>
      <c r="D521" s="83">
        <f>267.466</f>
        <v>267.46600000000001</v>
      </c>
      <c r="E521" s="92">
        <f>133.845</f>
        <v>133.845</v>
      </c>
      <c r="F521" s="83">
        <f>278.484-40-25-60-100</f>
        <v>53.48399999999998</v>
      </c>
      <c r="G521" s="86">
        <v>40</v>
      </c>
      <c r="H521" s="83">
        <f t="shared" si="82"/>
        <v>185</v>
      </c>
      <c r="I521" s="83">
        <f t="shared" si="80"/>
        <v>0</v>
      </c>
      <c r="J521" s="86">
        <v>100</v>
      </c>
      <c r="K521" s="86">
        <v>300</v>
      </c>
      <c r="L521" s="83">
        <f t="shared" si="73"/>
        <v>1274</v>
      </c>
      <c r="M521" s="94">
        <v>600</v>
      </c>
      <c r="N521" s="83">
        <f>30</f>
        <v>30</v>
      </c>
      <c r="O521" s="86">
        <v>240</v>
      </c>
      <c r="P521" s="86">
        <v>160</v>
      </c>
      <c r="Q521" s="86">
        <f t="shared" si="74"/>
        <v>195</v>
      </c>
      <c r="R521" s="86">
        <f t="shared" si="75"/>
        <v>100</v>
      </c>
      <c r="S521" s="83">
        <f t="shared" si="76"/>
        <v>695</v>
      </c>
      <c r="T521" s="83">
        <f>50</f>
        <v>50</v>
      </c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</row>
    <row r="522" spans="1:30" ht="15.75" x14ac:dyDescent="0.25">
      <c r="A522" s="32">
        <v>56826</v>
      </c>
      <c r="B522" s="95">
        <v>31</v>
      </c>
      <c r="C522" s="83">
        <f>194.205</f>
        <v>194.20500000000001</v>
      </c>
      <c r="D522" s="83">
        <f>267.466</f>
        <v>267.46600000000001</v>
      </c>
      <c r="E522" s="92">
        <f>133.845</f>
        <v>133.845</v>
      </c>
      <c r="F522" s="83">
        <f>278.484-40-25-60-100</f>
        <v>53.48399999999998</v>
      </c>
      <c r="G522" s="86">
        <v>40</v>
      </c>
      <c r="H522" s="83">
        <f t="shared" si="82"/>
        <v>185</v>
      </c>
      <c r="I522" s="83">
        <f t="shared" si="80"/>
        <v>0</v>
      </c>
      <c r="J522" s="86">
        <v>100</v>
      </c>
      <c r="K522" s="86">
        <v>300</v>
      </c>
      <c r="L522" s="83">
        <f t="shared" si="73"/>
        <v>1274</v>
      </c>
      <c r="M522" s="94">
        <v>600</v>
      </c>
      <c r="N522" s="83">
        <f>30</f>
        <v>30</v>
      </c>
      <c r="O522" s="86">
        <v>240</v>
      </c>
      <c r="P522" s="86">
        <v>160</v>
      </c>
      <c r="Q522" s="86">
        <f t="shared" si="74"/>
        <v>195</v>
      </c>
      <c r="R522" s="86">
        <f t="shared" si="75"/>
        <v>100</v>
      </c>
      <c r="S522" s="83">
        <f t="shared" si="76"/>
        <v>695</v>
      </c>
      <c r="T522" s="83">
        <f>0</f>
        <v>0</v>
      </c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</row>
    <row r="523" spans="1:30" ht="15.75" x14ac:dyDescent="0.25">
      <c r="A523" s="32">
        <v>56857</v>
      </c>
      <c r="B523" s="95">
        <v>31</v>
      </c>
      <c r="C523" s="83">
        <f>194.205</f>
        <v>194.20500000000001</v>
      </c>
      <c r="D523" s="83">
        <f>267.466</f>
        <v>267.46600000000001</v>
      </c>
      <c r="E523" s="92">
        <f>133.845</f>
        <v>133.845</v>
      </c>
      <c r="F523" s="83">
        <f>278.484-40-25-60-100</f>
        <v>53.48399999999998</v>
      </c>
      <c r="G523" s="86">
        <v>40</v>
      </c>
      <c r="H523" s="83">
        <f t="shared" si="82"/>
        <v>185</v>
      </c>
      <c r="I523" s="83">
        <f t="shared" si="80"/>
        <v>0</v>
      </c>
      <c r="J523" s="86">
        <v>100</v>
      </c>
      <c r="K523" s="86">
        <v>300</v>
      </c>
      <c r="L523" s="83">
        <f t="shared" si="73"/>
        <v>1274</v>
      </c>
      <c r="M523" s="94">
        <v>600</v>
      </c>
      <c r="N523" s="83">
        <f>30</f>
        <v>30</v>
      </c>
      <c r="O523" s="86">
        <v>240</v>
      </c>
      <c r="P523" s="86">
        <v>160</v>
      </c>
      <c r="Q523" s="86">
        <f t="shared" si="74"/>
        <v>195</v>
      </c>
      <c r="R523" s="86">
        <f t="shared" si="75"/>
        <v>100</v>
      </c>
      <c r="S523" s="83">
        <f t="shared" si="76"/>
        <v>695</v>
      </c>
      <c r="T523" s="83">
        <f>0</f>
        <v>0</v>
      </c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</row>
    <row r="524" spans="1:30" ht="15.75" x14ac:dyDescent="0.25">
      <c r="A524" s="32">
        <v>56887</v>
      </c>
      <c r="B524" s="95">
        <v>30</v>
      </c>
      <c r="C524" s="83">
        <f>194.205</f>
        <v>194.20500000000001</v>
      </c>
      <c r="D524" s="83">
        <f>267.466</f>
        <v>267.46600000000001</v>
      </c>
      <c r="E524" s="92">
        <f>133.845</f>
        <v>133.845</v>
      </c>
      <c r="F524" s="83">
        <f>278.484-40-25-60-100</f>
        <v>53.48399999999998</v>
      </c>
      <c r="G524" s="86">
        <v>40</v>
      </c>
      <c r="H524" s="83">
        <f t="shared" si="82"/>
        <v>185</v>
      </c>
      <c r="I524" s="83">
        <f t="shared" si="80"/>
        <v>0</v>
      </c>
      <c r="J524" s="86">
        <v>100</v>
      </c>
      <c r="K524" s="86">
        <v>300</v>
      </c>
      <c r="L524" s="83">
        <f t="shared" si="73"/>
        <v>1274</v>
      </c>
      <c r="M524" s="94">
        <v>600</v>
      </c>
      <c r="N524" s="83">
        <f>30</f>
        <v>30</v>
      </c>
      <c r="O524" s="86">
        <v>240</v>
      </c>
      <c r="P524" s="86">
        <v>160</v>
      </c>
      <c r="Q524" s="86">
        <f t="shared" si="74"/>
        <v>195</v>
      </c>
      <c r="R524" s="86">
        <f t="shared" si="75"/>
        <v>100</v>
      </c>
      <c r="S524" s="83">
        <f t="shared" si="76"/>
        <v>695</v>
      </c>
      <c r="T524" s="83">
        <f>0</f>
        <v>0</v>
      </c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</row>
    <row r="525" spans="1:30" ht="15.75" x14ac:dyDescent="0.25">
      <c r="A525" s="32">
        <v>56918</v>
      </c>
      <c r="B525" s="95">
        <v>31</v>
      </c>
      <c r="C525" s="83">
        <f>131.881</f>
        <v>131.881</v>
      </c>
      <c r="D525" s="83">
        <f>277.167</f>
        <v>277.16699999999997</v>
      </c>
      <c r="E525" s="92">
        <f>79.08</f>
        <v>79.08</v>
      </c>
      <c r="F525" s="83">
        <f>350.872-40-25-60-100</f>
        <v>125.87200000000001</v>
      </c>
      <c r="G525" s="86">
        <v>40</v>
      </c>
      <c r="H525" s="83">
        <f t="shared" si="82"/>
        <v>185</v>
      </c>
      <c r="I525" s="83">
        <f t="shared" si="80"/>
        <v>0</v>
      </c>
      <c r="J525" s="86">
        <v>100</v>
      </c>
      <c r="K525" s="86">
        <v>300</v>
      </c>
      <c r="L525" s="83">
        <f t="shared" si="73"/>
        <v>1239</v>
      </c>
      <c r="M525" s="94">
        <v>600</v>
      </c>
      <c r="N525" s="83">
        <f>75</f>
        <v>75</v>
      </c>
      <c r="O525" s="86">
        <v>240</v>
      </c>
      <c r="P525" s="86">
        <v>160</v>
      </c>
      <c r="Q525" s="86">
        <f t="shared" si="74"/>
        <v>195</v>
      </c>
      <c r="R525" s="86">
        <f t="shared" si="75"/>
        <v>100</v>
      </c>
      <c r="S525" s="83">
        <f t="shared" si="76"/>
        <v>695</v>
      </c>
      <c r="T525" s="83">
        <f>0</f>
        <v>0</v>
      </c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</row>
    <row r="526" spans="1:30" ht="15.75" x14ac:dyDescent="0.25">
      <c r="A526" s="32">
        <v>56948</v>
      </c>
      <c r="B526" s="95">
        <v>30</v>
      </c>
      <c r="C526" s="83">
        <f>122.58</f>
        <v>122.58</v>
      </c>
      <c r="D526" s="83">
        <f>297.941</f>
        <v>297.94099999999997</v>
      </c>
      <c r="E526" s="92">
        <f>89.177</f>
        <v>89.177000000000007</v>
      </c>
      <c r="F526" s="83">
        <f>240.302-40-60-100</f>
        <v>40.301999999999992</v>
      </c>
      <c r="G526" s="86">
        <v>40</v>
      </c>
      <c r="H526" s="83">
        <f>60+100</f>
        <v>160</v>
      </c>
      <c r="I526" s="83">
        <f t="shared" si="80"/>
        <v>0</v>
      </c>
      <c r="J526" s="86">
        <v>100</v>
      </c>
      <c r="K526" s="86">
        <v>300</v>
      </c>
      <c r="L526" s="83">
        <f t="shared" si="73"/>
        <v>1150</v>
      </c>
      <c r="M526" s="94">
        <v>600</v>
      </c>
      <c r="N526" s="83">
        <f>100</f>
        <v>100</v>
      </c>
      <c r="O526" s="86">
        <v>240</v>
      </c>
      <c r="P526" s="86">
        <v>40</v>
      </c>
      <c r="Q526" s="86">
        <f t="shared" si="74"/>
        <v>315</v>
      </c>
      <c r="R526" s="86">
        <f t="shared" si="75"/>
        <v>100</v>
      </c>
      <c r="S526" s="83">
        <f t="shared" si="76"/>
        <v>695</v>
      </c>
      <c r="T526" s="83">
        <f>50</f>
        <v>50</v>
      </c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</row>
    <row r="527" spans="1:30" ht="15.75" x14ac:dyDescent="0.25">
      <c r="A527" s="32">
        <v>56979</v>
      </c>
      <c r="B527" s="95">
        <v>31</v>
      </c>
      <c r="C527" s="83">
        <f>122.58</f>
        <v>122.58</v>
      </c>
      <c r="D527" s="83">
        <f>297.941</f>
        <v>297.94099999999997</v>
      </c>
      <c r="E527" s="92">
        <f>89.177</f>
        <v>89.177000000000007</v>
      </c>
      <c r="F527" s="83">
        <f>240.302-40-60-100</f>
        <v>40.301999999999992</v>
      </c>
      <c r="G527" s="86">
        <v>40</v>
      </c>
      <c r="H527" s="83">
        <f>60+100</f>
        <v>160</v>
      </c>
      <c r="I527" s="83">
        <f t="shared" si="80"/>
        <v>0</v>
      </c>
      <c r="J527" s="86">
        <v>100</v>
      </c>
      <c r="K527" s="86">
        <v>300</v>
      </c>
      <c r="L527" s="83">
        <f t="shared" si="73"/>
        <v>1150</v>
      </c>
      <c r="M527" s="94">
        <v>600</v>
      </c>
      <c r="N527" s="83">
        <f>100</f>
        <v>100</v>
      </c>
      <c r="O527" s="86">
        <v>240</v>
      </c>
      <c r="P527" s="86">
        <v>40</v>
      </c>
      <c r="Q527" s="86">
        <f t="shared" si="74"/>
        <v>315</v>
      </c>
      <c r="R527" s="86">
        <f t="shared" si="75"/>
        <v>100</v>
      </c>
      <c r="S527" s="83">
        <f t="shared" si="76"/>
        <v>695</v>
      </c>
      <c r="T527" s="83">
        <f>50</f>
        <v>50</v>
      </c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</row>
    <row r="528" spans="1:30" ht="15.75" x14ac:dyDescent="0.25">
      <c r="A528" s="32">
        <v>57010</v>
      </c>
      <c r="B528" s="95">
        <v>31</v>
      </c>
      <c r="C528" s="83">
        <f>122.58</f>
        <v>122.58</v>
      </c>
      <c r="D528" s="83">
        <f>297.941</f>
        <v>297.94099999999997</v>
      </c>
      <c r="E528" s="92">
        <f>89.177</f>
        <v>89.177000000000007</v>
      </c>
      <c r="F528" s="83">
        <f>240.302-40-60-100</f>
        <v>40.301999999999992</v>
      </c>
      <c r="G528" s="86">
        <v>40</v>
      </c>
      <c r="H528" s="83">
        <f>60+100</f>
        <v>160</v>
      </c>
      <c r="I528" s="83">
        <f t="shared" si="80"/>
        <v>0</v>
      </c>
      <c r="J528" s="86">
        <v>100</v>
      </c>
      <c r="K528" s="86">
        <v>300</v>
      </c>
      <c r="L528" s="83">
        <f t="shared" si="73"/>
        <v>1150</v>
      </c>
      <c r="M528" s="94">
        <v>600</v>
      </c>
      <c r="N528" s="83">
        <f>100</f>
        <v>100</v>
      </c>
      <c r="O528" s="86">
        <v>240</v>
      </c>
      <c r="P528" s="86">
        <v>40</v>
      </c>
      <c r="Q528" s="86">
        <f t="shared" si="74"/>
        <v>315</v>
      </c>
      <c r="R528" s="86">
        <f t="shared" si="75"/>
        <v>100</v>
      </c>
      <c r="S528" s="83">
        <f t="shared" si="76"/>
        <v>695</v>
      </c>
      <c r="T528" s="83">
        <f>50</f>
        <v>50</v>
      </c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</row>
    <row r="529" spans="1:30" ht="15.75" x14ac:dyDescent="0.25">
      <c r="A529" s="32">
        <v>57038</v>
      </c>
      <c r="B529" s="95">
        <v>29</v>
      </c>
      <c r="C529" s="83">
        <f>122.58</f>
        <v>122.58</v>
      </c>
      <c r="D529" s="83">
        <f>297.941</f>
        <v>297.94099999999997</v>
      </c>
      <c r="E529" s="92">
        <f>89.177</f>
        <v>89.177000000000007</v>
      </c>
      <c r="F529" s="83">
        <f>240.302-40-60-100</f>
        <v>40.301999999999992</v>
      </c>
      <c r="G529" s="86">
        <v>40</v>
      </c>
      <c r="H529" s="83">
        <f>60+100</f>
        <v>160</v>
      </c>
      <c r="I529" s="83">
        <f t="shared" si="80"/>
        <v>0</v>
      </c>
      <c r="J529" s="86">
        <v>100</v>
      </c>
      <c r="K529" s="86">
        <v>300</v>
      </c>
      <c r="L529" s="83">
        <f t="shared" si="73"/>
        <v>1150</v>
      </c>
      <c r="M529" s="94">
        <v>600</v>
      </c>
      <c r="N529" s="83">
        <f>100</f>
        <v>100</v>
      </c>
      <c r="O529" s="86">
        <v>240</v>
      </c>
      <c r="P529" s="86">
        <v>40</v>
      </c>
      <c r="Q529" s="86">
        <f t="shared" si="74"/>
        <v>315</v>
      </c>
      <c r="R529" s="86">
        <f t="shared" si="75"/>
        <v>100</v>
      </c>
      <c r="S529" s="83">
        <f t="shared" si="76"/>
        <v>695</v>
      </c>
      <c r="T529" s="83">
        <f>50</f>
        <v>50</v>
      </c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</row>
    <row r="530" spans="1:30" ht="15.75" x14ac:dyDescent="0.25">
      <c r="A530" s="32">
        <v>57070</v>
      </c>
      <c r="B530" s="95">
        <v>31</v>
      </c>
      <c r="C530" s="83">
        <f>122.58</f>
        <v>122.58</v>
      </c>
      <c r="D530" s="83">
        <f>297.941</f>
        <v>297.94099999999997</v>
      </c>
      <c r="E530" s="92">
        <f>89.177</f>
        <v>89.177000000000007</v>
      </c>
      <c r="F530" s="83">
        <f>240.302-40-60-100</f>
        <v>40.301999999999992</v>
      </c>
      <c r="G530" s="86">
        <v>40</v>
      </c>
      <c r="H530" s="83">
        <f>60+100</f>
        <v>160</v>
      </c>
      <c r="I530" s="83">
        <f t="shared" si="80"/>
        <v>0</v>
      </c>
      <c r="J530" s="86">
        <v>100</v>
      </c>
      <c r="K530" s="86">
        <v>300</v>
      </c>
      <c r="L530" s="83">
        <f t="shared" si="73"/>
        <v>1150</v>
      </c>
      <c r="M530" s="94">
        <v>600</v>
      </c>
      <c r="N530" s="83">
        <f>100</f>
        <v>100</v>
      </c>
      <c r="O530" s="86">
        <v>240</v>
      </c>
      <c r="P530" s="86">
        <v>40</v>
      </c>
      <c r="Q530" s="86">
        <f t="shared" si="74"/>
        <v>315</v>
      </c>
      <c r="R530" s="86">
        <f t="shared" si="75"/>
        <v>100</v>
      </c>
      <c r="S530" s="83">
        <f t="shared" si="76"/>
        <v>695</v>
      </c>
      <c r="T530" s="83">
        <f>50</f>
        <v>50</v>
      </c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</row>
    <row r="531" spans="1:30" ht="15.75" x14ac:dyDescent="0.25">
      <c r="A531" s="32">
        <v>57100</v>
      </c>
      <c r="B531" s="95">
        <v>30</v>
      </c>
      <c r="C531" s="83">
        <f>141.293</f>
        <v>141.29300000000001</v>
      </c>
      <c r="D531" s="83">
        <f>267.993</f>
        <v>267.99299999999999</v>
      </c>
      <c r="E531" s="92">
        <f>115.016</f>
        <v>115.01600000000001</v>
      </c>
      <c r="F531" s="83">
        <f>314.698-40-25-60-100</f>
        <v>89.697999999999979</v>
      </c>
      <c r="G531" s="86">
        <v>40</v>
      </c>
      <c r="H531" s="83">
        <f t="shared" ref="H531:H537" si="83">25+60+100</f>
        <v>185</v>
      </c>
      <c r="I531" s="83">
        <f t="shared" si="80"/>
        <v>0</v>
      </c>
      <c r="J531" s="86">
        <v>100</v>
      </c>
      <c r="K531" s="86">
        <v>300</v>
      </c>
      <c r="L531" s="83">
        <f t="shared" si="73"/>
        <v>1239</v>
      </c>
      <c r="M531" s="94">
        <v>600</v>
      </c>
      <c r="N531" s="83">
        <f>100</f>
        <v>100</v>
      </c>
      <c r="O531" s="86">
        <v>240</v>
      </c>
      <c r="P531" s="86">
        <v>160</v>
      </c>
      <c r="Q531" s="86">
        <f t="shared" si="74"/>
        <v>195</v>
      </c>
      <c r="R531" s="86">
        <f t="shared" si="75"/>
        <v>100</v>
      </c>
      <c r="S531" s="83">
        <f t="shared" si="76"/>
        <v>695</v>
      </c>
      <c r="T531" s="83">
        <f>50</f>
        <v>50</v>
      </c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</row>
    <row r="532" spans="1:30" ht="15.75" x14ac:dyDescent="0.25">
      <c r="A532" s="32">
        <v>57131</v>
      </c>
      <c r="B532" s="95">
        <v>31</v>
      </c>
      <c r="C532" s="83">
        <f>194.205</f>
        <v>194.20500000000001</v>
      </c>
      <c r="D532" s="83">
        <f>267.466</f>
        <v>267.46600000000001</v>
      </c>
      <c r="E532" s="92">
        <f>133.845</f>
        <v>133.845</v>
      </c>
      <c r="F532" s="83">
        <f>278.484-40-25-60-100</f>
        <v>53.48399999999998</v>
      </c>
      <c r="G532" s="86">
        <v>40</v>
      </c>
      <c r="H532" s="83">
        <f t="shared" si="83"/>
        <v>185</v>
      </c>
      <c r="I532" s="83">
        <f t="shared" si="80"/>
        <v>0</v>
      </c>
      <c r="J532" s="86">
        <v>100</v>
      </c>
      <c r="K532" s="86">
        <v>300</v>
      </c>
      <c r="L532" s="83">
        <f t="shared" si="73"/>
        <v>1274</v>
      </c>
      <c r="M532" s="94">
        <v>600</v>
      </c>
      <c r="N532" s="83">
        <f>75</f>
        <v>75</v>
      </c>
      <c r="O532" s="86">
        <v>240</v>
      </c>
      <c r="P532" s="86">
        <v>160</v>
      </c>
      <c r="Q532" s="86">
        <f t="shared" si="74"/>
        <v>195</v>
      </c>
      <c r="R532" s="86">
        <f t="shared" si="75"/>
        <v>100</v>
      </c>
      <c r="S532" s="83">
        <f t="shared" si="76"/>
        <v>695</v>
      </c>
      <c r="T532" s="83">
        <f>50</f>
        <v>50</v>
      </c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</row>
    <row r="533" spans="1:30" ht="15.75" x14ac:dyDescent="0.25">
      <c r="A533" s="32">
        <v>57161</v>
      </c>
      <c r="B533" s="95">
        <v>30</v>
      </c>
      <c r="C533" s="83">
        <f>194.205</f>
        <v>194.20500000000001</v>
      </c>
      <c r="D533" s="83">
        <f>267.466</f>
        <v>267.46600000000001</v>
      </c>
      <c r="E533" s="92">
        <f>133.845</f>
        <v>133.845</v>
      </c>
      <c r="F533" s="83">
        <f>278.484-40-25-60-100</f>
        <v>53.48399999999998</v>
      </c>
      <c r="G533" s="86">
        <v>40</v>
      </c>
      <c r="H533" s="83">
        <f t="shared" si="83"/>
        <v>185</v>
      </c>
      <c r="I533" s="83">
        <f t="shared" si="80"/>
        <v>0</v>
      </c>
      <c r="J533" s="86">
        <v>100</v>
      </c>
      <c r="K533" s="86">
        <v>300</v>
      </c>
      <c r="L533" s="83">
        <f t="shared" ref="L533:L596" si="84">SUM(C533:K533)</f>
        <v>1274</v>
      </c>
      <c r="M533" s="94">
        <v>600</v>
      </c>
      <c r="N533" s="83">
        <f>30</f>
        <v>30</v>
      </c>
      <c r="O533" s="86">
        <v>240</v>
      </c>
      <c r="P533" s="86">
        <v>160</v>
      </c>
      <c r="Q533" s="86">
        <f t="shared" ref="Q533:Q596" si="85">695-R533-O533-P533</f>
        <v>195</v>
      </c>
      <c r="R533" s="86">
        <f t="shared" ref="R533:R596" si="86">200-J533</f>
        <v>100</v>
      </c>
      <c r="S533" s="83">
        <f t="shared" ref="S533:S596" si="87">SUM(O533:R533)</f>
        <v>695</v>
      </c>
      <c r="T533" s="83">
        <f>50</f>
        <v>50</v>
      </c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</row>
    <row r="534" spans="1:30" ht="15.75" x14ac:dyDescent="0.25">
      <c r="A534" s="32">
        <v>57192</v>
      </c>
      <c r="B534" s="95">
        <v>31</v>
      </c>
      <c r="C534" s="83">
        <f>194.205</f>
        <v>194.20500000000001</v>
      </c>
      <c r="D534" s="83">
        <f>267.466</f>
        <v>267.46600000000001</v>
      </c>
      <c r="E534" s="92">
        <f>133.845</f>
        <v>133.845</v>
      </c>
      <c r="F534" s="83">
        <f>278.484-40-25-60-100</f>
        <v>53.48399999999998</v>
      </c>
      <c r="G534" s="86">
        <v>40</v>
      </c>
      <c r="H534" s="83">
        <f t="shared" si="83"/>
        <v>185</v>
      </c>
      <c r="I534" s="83">
        <f t="shared" si="80"/>
        <v>0</v>
      </c>
      <c r="J534" s="86">
        <v>100</v>
      </c>
      <c r="K534" s="86">
        <v>300</v>
      </c>
      <c r="L534" s="83">
        <f t="shared" si="84"/>
        <v>1274</v>
      </c>
      <c r="M534" s="94">
        <v>600</v>
      </c>
      <c r="N534" s="83">
        <f>30</f>
        <v>30</v>
      </c>
      <c r="O534" s="86">
        <v>240</v>
      </c>
      <c r="P534" s="86">
        <v>160</v>
      </c>
      <c r="Q534" s="86">
        <f t="shared" si="85"/>
        <v>195</v>
      </c>
      <c r="R534" s="86">
        <f t="shared" si="86"/>
        <v>100</v>
      </c>
      <c r="S534" s="83">
        <f t="shared" si="87"/>
        <v>695</v>
      </c>
      <c r="T534" s="83">
        <f>0</f>
        <v>0</v>
      </c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</row>
    <row r="535" spans="1:30" ht="15.75" x14ac:dyDescent="0.25">
      <c r="A535" s="32">
        <v>57223</v>
      </c>
      <c r="B535" s="95">
        <v>31</v>
      </c>
      <c r="C535" s="83">
        <f>194.205</f>
        <v>194.20500000000001</v>
      </c>
      <c r="D535" s="83">
        <f>267.466</f>
        <v>267.46600000000001</v>
      </c>
      <c r="E535" s="92">
        <f>133.845</f>
        <v>133.845</v>
      </c>
      <c r="F535" s="83">
        <f>278.484-40-25-60-100</f>
        <v>53.48399999999998</v>
      </c>
      <c r="G535" s="86">
        <v>40</v>
      </c>
      <c r="H535" s="83">
        <f t="shared" si="83"/>
        <v>185</v>
      </c>
      <c r="I535" s="83">
        <f t="shared" si="80"/>
        <v>0</v>
      </c>
      <c r="J535" s="86">
        <v>100</v>
      </c>
      <c r="K535" s="86">
        <v>300</v>
      </c>
      <c r="L535" s="83">
        <f t="shared" si="84"/>
        <v>1274</v>
      </c>
      <c r="M535" s="94">
        <v>600</v>
      </c>
      <c r="N535" s="83">
        <f>30</f>
        <v>30</v>
      </c>
      <c r="O535" s="86">
        <v>240</v>
      </c>
      <c r="P535" s="86">
        <v>160</v>
      </c>
      <c r="Q535" s="86">
        <f t="shared" si="85"/>
        <v>195</v>
      </c>
      <c r="R535" s="86">
        <f t="shared" si="86"/>
        <v>100</v>
      </c>
      <c r="S535" s="83">
        <f t="shared" si="87"/>
        <v>695</v>
      </c>
      <c r="T535" s="83">
        <f>0</f>
        <v>0</v>
      </c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</row>
    <row r="536" spans="1:30" ht="15.75" x14ac:dyDescent="0.25">
      <c r="A536" s="32">
        <v>57253</v>
      </c>
      <c r="B536" s="95">
        <v>30</v>
      </c>
      <c r="C536" s="83">
        <f>194.205</f>
        <v>194.20500000000001</v>
      </c>
      <c r="D536" s="83">
        <f>267.466</f>
        <v>267.46600000000001</v>
      </c>
      <c r="E536" s="92">
        <f>133.845</f>
        <v>133.845</v>
      </c>
      <c r="F536" s="83">
        <f>278.484-40-25-60-100</f>
        <v>53.48399999999998</v>
      </c>
      <c r="G536" s="86">
        <v>40</v>
      </c>
      <c r="H536" s="83">
        <f t="shared" si="83"/>
        <v>185</v>
      </c>
      <c r="I536" s="83">
        <f t="shared" si="80"/>
        <v>0</v>
      </c>
      <c r="J536" s="86">
        <v>100</v>
      </c>
      <c r="K536" s="86">
        <v>300</v>
      </c>
      <c r="L536" s="83">
        <f t="shared" si="84"/>
        <v>1274</v>
      </c>
      <c r="M536" s="94">
        <v>600</v>
      </c>
      <c r="N536" s="83">
        <f>30</f>
        <v>30</v>
      </c>
      <c r="O536" s="86">
        <v>240</v>
      </c>
      <c r="P536" s="86">
        <v>160</v>
      </c>
      <c r="Q536" s="86">
        <f t="shared" si="85"/>
        <v>195</v>
      </c>
      <c r="R536" s="86">
        <f t="shared" si="86"/>
        <v>100</v>
      </c>
      <c r="S536" s="83">
        <f t="shared" si="87"/>
        <v>695</v>
      </c>
      <c r="T536" s="83">
        <f>0</f>
        <v>0</v>
      </c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</row>
    <row r="537" spans="1:30" ht="15.75" x14ac:dyDescent="0.25">
      <c r="A537" s="32">
        <v>57284</v>
      </c>
      <c r="B537" s="95">
        <v>31</v>
      </c>
      <c r="C537" s="83">
        <f>131.881</f>
        <v>131.881</v>
      </c>
      <c r="D537" s="83">
        <f>277.167</f>
        <v>277.16699999999997</v>
      </c>
      <c r="E537" s="92">
        <f>79.08</f>
        <v>79.08</v>
      </c>
      <c r="F537" s="83">
        <f>350.872-40-25-60-100</f>
        <v>125.87200000000001</v>
      </c>
      <c r="G537" s="86">
        <v>40</v>
      </c>
      <c r="H537" s="83">
        <f t="shared" si="83"/>
        <v>185</v>
      </c>
      <c r="I537" s="83">
        <f t="shared" si="80"/>
        <v>0</v>
      </c>
      <c r="J537" s="86">
        <v>100</v>
      </c>
      <c r="K537" s="86">
        <v>300</v>
      </c>
      <c r="L537" s="83">
        <f t="shared" si="84"/>
        <v>1239</v>
      </c>
      <c r="M537" s="94">
        <v>600</v>
      </c>
      <c r="N537" s="83">
        <f>75</f>
        <v>75</v>
      </c>
      <c r="O537" s="86">
        <v>240</v>
      </c>
      <c r="P537" s="86">
        <v>160</v>
      </c>
      <c r="Q537" s="86">
        <f t="shared" si="85"/>
        <v>195</v>
      </c>
      <c r="R537" s="86">
        <f t="shared" si="86"/>
        <v>100</v>
      </c>
      <c r="S537" s="83">
        <f t="shared" si="87"/>
        <v>695</v>
      </c>
      <c r="T537" s="83">
        <f>0</f>
        <v>0</v>
      </c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</row>
    <row r="538" spans="1:30" ht="15.75" x14ac:dyDescent="0.25">
      <c r="A538" s="32">
        <v>57314</v>
      </c>
      <c r="B538" s="95">
        <v>30</v>
      </c>
      <c r="C538" s="83">
        <f>122.58</f>
        <v>122.58</v>
      </c>
      <c r="D538" s="83">
        <f>297.941</f>
        <v>297.94099999999997</v>
      </c>
      <c r="E538" s="92">
        <f>89.177</f>
        <v>89.177000000000007</v>
      </c>
      <c r="F538" s="83">
        <f>240.302-40-60-100</f>
        <v>40.301999999999992</v>
      </c>
      <c r="G538" s="86">
        <v>40</v>
      </c>
      <c r="H538" s="83">
        <f>60+100</f>
        <v>160</v>
      </c>
      <c r="I538" s="83">
        <f t="shared" si="80"/>
        <v>0</v>
      </c>
      <c r="J538" s="86">
        <v>100</v>
      </c>
      <c r="K538" s="86">
        <v>300</v>
      </c>
      <c r="L538" s="83">
        <f t="shared" si="84"/>
        <v>1150</v>
      </c>
      <c r="M538" s="94">
        <v>600</v>
      </c>
      <c r="N538" s="83">
        <f>100</f>
        <v>100</v>
      </c>
      <c r="O538" s="86">
        <v>240</v>
      </c>
      <c r="P538" s="86">
        <v>40</v>
      </c>
      <c r="Q538" s="86">
        <f t="shared" si="85"/>
        <v>315</v>
      </c>
      <c r="R538" s="86">
        <f t="shared" si="86"/>
        <v>100</v>
      </c>
      <c r="S538" s="83">
        <f t="shared" si="87"/>
        <v>695</v>
      </c>
      <c r="T538" s="83">
        <f>50</f>
        <v>50</v>
      </c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</row>
    <row r="539" spans="1:30" ht="15.75" x14ac:dyDescent="0.25">
      <c r="A539" s="32">
        <v>57345</v>
      </c>
      <c r="B539" s="95">
        <v>31</v>
      </c>
      <c r="C539" s="83">
        <f>122.58</f>
        <v>122.58</v>
      </c>
      <c r="D539" s="83">
        <f>297.941</f>
        <v>297.94099999999997</v>
      </c>
      <c r="E539" s="92">
        <f>89.177</f>
        <v>89.177000000000007</v>
      </c>
      <c r="F539" s="83">
        <f>240.302-40-60-100</f>
        <v>40.301999999999992</v>
      </c>
      <c r="G539" s="86">
        <v>40</v>
      </c>
      <c r="H539" s="83">
        <f>60+100</f>
        <v>160</v>
      </c>
      <c r="I539" s="83">
        <f t="shared" si="80"/>
        <v>0</v>
      </c>
      <c r="J539" s="86">
        <v>100</v>
      </c>
      <c r="K539" s="86">
        <v>300</v>
      </c>
      <c r="L539" s="83">
        <f t="shared" si="84"/>
        <v>1150</v>
      </c>
      <c r="M539" s="94">
        <v>600</v>
      </c>
      <c r="N539" s="83">
        <f>100</f>
        <v>100</v>
      </c>
      <c r="O539" s="86">
        <v>240</v>
      </c>
      <c r="P539" s="86">
        <v>40</v>
      </c>
      <c r="Q539" s="86">
        <f t="shared" si="85"/>
        <v>315</v>
      </c>
      <c r="R539" s="86">
        <f t="shared" si="86"/>
        <v>100</v>
      </c>
      <c r="S539" s="83">
        <f t="shared" si="87"/>
        <v>695</v>
      </c>
      <c r="T539" s="83">
        <f>50</f>
        <v>50</v>
      </c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</row>
    <row r="540" spans="1:30" ht="15.75" x14ac:dyDescent="0.25">
      <c r="A540" s="32">
        <v>57376</v>
      </c>
      <c r="B540" s="95">
        <v>31</v>
      </c>
      <c r="C540" s="83">
        <f>122.58</f>
        <v>122.58</v>
      </c>
      <c r="D540" s="83">
        <f>297.941</f>
        <v>297.94099999999997</v>
      </c>
      <c r="E540" s="92">
        <f>89.177</f>
        <v>89.177000000000007</v>
      </c>
      <c r="F540" s="83">
        <f>240.302-40-60-100</f>
        <v>40.301999999999992</v>
      </c>
      <c r="G540" s="86">
        <v>40</v>
      </c>
      <c r="H540" s="83">
        <f>60+100</f>
        <v>160</v>
      </c>
      <c r="I540" s="83">
        <f t="shared" si="80"/>
        <v>0</v>
      </c>
      <c r="J540" s="86">
        <v>100</v>
      </c>
      <c r="K540" s="86">
        <v>300</v>
      </c>
      <c r="L540" s="83">
        <f t="shared" si="84"/>
        <v>1150</v>
      </c>
      <c r="M540" s="94">
        <v>600</v>
      </c>
      <c r="N540" s="83">
        <f>100</f>
        <v>100</v>
      </c>
      <c r="O540" s="86">
        <v>240</v>
      </c>
      <c r="P540" s="86">
        <v>40</v>
      </c>
      <c r="Q540" s="86">
        <f t="shared" si="85"/>
        <v>315</v>
      </c>
      <c r="R540" s="86">
        <f t="shared" si="86"/>
        <v>100</v>
      </c>
      <c r="S540" s="83">
        <f t="shared" si="87"/>
        <v>695</v>
      </c>
      <c r="T540" s="83">
        <f>50</f>
        <v>50</v>
      </c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</row>
    <row r="541" spans="1:30" ht="15.75" x14ac:dyDescent="0.25">
      <c r="A541" s="32">
        <v>57404</v>
      </c>
      <c r="B541" s="95">
        <v>28</v>
      </c>
      <c r="C541" s="83">
        <f>122.58</f>
        <v>122.58</v>
      </c>
      <c r="D541" s="83">
        <f>297.941</f>
        <v>297.94099999999997</v>
      </c>
      <c r="E541" s="92">
        <f>89.177</f>
        <v>89.177000000000007</v>
      </c>
      <c r="F541" s="83">
        <f>240.302-40-60-100</f>
        <v>40.301999999999992</v>
      </c>
      <c r="G541" s="86">
        <v>40</v>
      </c>
      <c r="H541" s="83">
        <f>60+100</f>
        <v>160</v>
      </c>
      <c r="I541" s="83">
        <f t="shared" si="80"/>
        <v>0</v>
      </c>
      <c r="J541" s="86">
        <v>100</v>
      </c>
      <c r="K541" s="86">
        <v>300</v>
      </c>
      <c r="L541" s="83">
        <f t="shared" si="84"/>
        <v>1150</v>
      </c>
      <c r="M541" s="94">
        <v>600</v>
      </c>
      <c r="N541" s="83">
        <f>100</f>
        <v>100</v>
      </c>
      <c r="O541" s="86">
        <v>240</v>
      </c>
      <c r="P541" s="86">
        <v>40</v>
      </c>
      <c r="Q541" s="86">
        <f t="shared" si="85"/>
        <v>315</v>
      </c>
      <c r="R541" s="86">
        <f t="shared" si="86"/>
        <v>100</v>
      </c>
      <c r="S541" s="83">
        <f t="shared" si="87"/>
        <v>695</v>
      </c>
      <c r="T541" s="83">
        <f>50</f>
        <v>50</v>
      </c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</row>
    <row r="542" spans="1:30" ht="15.75" x14ac:dyDescent="0.25">
      <c r="A542" s="32">
        <v>57435</v>
      </c>
      <c r="B542" s="95">
        <v>31</v>
      </c>
      <c r="C542" s="83">
        <f>122.58</f>
        <v>122.58</v>
      </c>
      <c r="D542" s="83">
        <f>297.941</f>
        <v>297.94099999999997</v>
      </c>
      <c r="E542" s="92">
        <f>89.177</f>
        <v>89.177000000000007</v>
      </c>
      <c r="F542" s="83">
        <f>240.302-40-60-100</f>
        <v>40.301999999999992</v>
      </c>
      <c r="G542" s="86">
        <v>40</v>
      </c>
      <c r="H542" s="83">
        <f>60+100</f>
        <v>160</v>
      </c>
      <c r="I542" s="83">
        <f t="shared" si="80"/>
        <v>0</v>
      </c>
      <c r="J542" s="86">
        <v>100</v>
      </c>
      <c r="K542" s="86">
        <v>300</v>
      </c>
      <c r="L542" s="83">
        <f t="shared" si="84"/>
        <v>1150</v>
      </c>
      <c r="M542" s="94">
        <v>600</v>
      </c>
      <c r="N542" s="83">
        <f>100</f>
        <v>100</v>
      </c>
      <c r="O542" s="86">
        <v>240</v>
      </c>
      <c r="P542" s="86">
        <v>40</v>
      </c>
      <c r="Q542" s="86">
        <f t="shared" si="85"/>
        <v>315</v>
      </c>
      <c r="R542" s="86">
        <f t="shared" si="86"/>
        <v>100</v>
      </c>
      <c r="S542" s="83">
        <f t="shared" si="87"/>
        <v>695</v>
      </c>
      <c r="T542" s="83">
        <f>50</f>
        <v>50</v>
      </c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</row>
    <row r="543" spans="1:30" ht="15.75" x14ac:dyDescent="0.25">
      <c r="A543" s="32">
        <v>57465</v>
      </c>
      <c r="B543" s="95">
        <v>30</v>
      </c>
      <c r="C543" s="83">
        <f>141.293</f>
        <v>141.29300000000001</v>
      </c>
      <c r="D543" s="83">
        <f>267.993</f>
        <v>267.99299999999999</v>
      </c>
      <c r="E543" s="92">
        <f>115.016</f>
        <v>115.01600000000001</v>
      </c>
      <c r="F543" s="83">
        <f>314.698-40-25-60-100</f>
        <v>89.697999999999979</v>
      </c>
      <c r="G543" s="86">
        <v>40</v>
      </c>
      <c r="H543" s="83">
        <f t="shared" ref="H543:H549" si="88">25+60+100</f>
        <v>185</v>
      </c>
      <c r="I543" s="83">
        <f t="shared" si="80"/>
        <v>0</v>
      </c>
      <c r="J543" s="86">
        <v>100</v>
      </c>
      <c r="K543" s="86">
        <v>300</v>
      </c>
      <c r="L543" s="83">
        <f t="shared" si="84"/>
        <v>1239</v>
      </c>
      <c r="M543" s="94">
        <v>600</v>
      </c>
      <c r="N543" s="83">
        <f>100</f>
        <v>100</v>
      </c>
      <c r="O543" s="86">
        <v>240</v>
      </c>
      <c r="P543" s="86">
        <v>160</v>
      </c>
      <c r="Q543" s="86">
        <f t="shared" si="85"/>
        <v>195</v>
      </c>
      <c r="R543" s="86">
        <f t="shared" si="86"/>
        <v>100</v>
      </c>
      <c r="S543" s="83">
        <f t="shared" si="87"/>
        <v>695</v>
      </c>
      <c r="T543" s="83">
        <f>50</f>
        <v>50</v>
      </c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</row>
    <row r="544" spans="1:30" ht="15.75" x14ac:dyDescent="0.25">
      <c r="A544" s="32">
        <v>57496</v>
      </c>
      <c r="B544" s="95">
        <v>31</v>
      </c>
      <c r="C544" s="83">
        <f>194.205</f>
        <v>194.20500000000001</v>
      </c>
      <c r="D544" s="83">
        <f>267.466</f>
        <v>267.46600000000001</v>
      </c>
      <c r="E544" s="92">
        <f>133.845</f>
        <v>133.845</v>
      </c>
      <c r="F544" s="83">
        <f>278.484-40-25-60-100</f>
        <v>53.48399999999998</v>
      </c>
      <c r="G544" s="86">
        <v>40</v>
      </c>
      <c r="H544" s="83">
        <f t="shared" si="88"/>
        <v>185</v>
      </c>
      <c r="I544" s="83">
        <f t="shared" si="80"/>
        <v>0</v>
      </c>
      <c r="J544" s="86">
        <v>100</v>
      </c>
      <c r="K544" s="86">
        <v>300</v>
      </c>
      <c r="L544" s="83">
        <f t="shared" si="84"/>
        <v>1274</v>
      </c>
      <c r="M544" s="94">
        <v>600</v>
      </c>
      <c r="N544" s="83">
        <f>75</f>
        <v>75</v>
      </c>
      <c r="O544" s="86">
        <v>240</v>
      </c>
      <c r="P544" s="86">
        <v>160</v>
      </c>
      <c r="Q544" s="86">
        <f t="shared" si="85"/>
        <v>195</v>
      </c>
      <c r="R544" s="86">
        <f t="shared" si="86"/>
        <v>100</v>
      </c>
      <c r="S544" s="83">
        <f t="shared" si="87"/>
        <v>695</v>
      </c>
      <c r="T544" s="83">
        <f>50</f>
        <v>50</v>
      </c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</row>
    <row r="545" spans="1:30" ht="15.75" x14ac:dyDescent="0.25">
      <c r="A545" s="32">
        <v>57526</v>
      </c>
      <c r="B545" s="95">
        <v>30</v>
      </c>
      <c r="C545" s="83">
        <f>194.205</f>
        <v>194.20500000000001</v>
      </c>
      <c r="D545" s="83">
        <f>267.466</f>
        <v>267.46600000000001</v>
      </c>
      <c r="E545" s="92">
        <f>133.845</f>
        <v>133.845</v>
      </c>
      <c r="F545" s="83">
        <f>278.484-40-25-60-100</f>
        <v>53.48399999999998</v>
      </c>
      <c r="G545" s="86">
        <v>40</v>
      </c>
      <c r="H545" s="83">
        <f t="shared" si="88"/>
        <v>185</v>
      </c>
      <c r="I545" s="83">
        <f t="shared" si="80"/>
        <v>0</v>
      </c>
      <c r="J545" s="86">
        <v>100</v>
      </c>
      <c r="K545" s="86">
        <v>300</v>
      </c>
      <c r="L545" s="83">
        <f t="shared" si="84"/>
        <v>1274</v>
      </c>
      <c r="M545" s="94">
        <v>600</v>
      </c>
      <c r="N545" s="83">
        <f>30</f>
        <v>30</v>
      </c>
      <c r="O545" s="86">
        <v>240</v>
      </c>
      <c r="P545" s="86">
        <v>160</v>
      </c>
      <c r="Q545" s="86">
        <f t="shared" si="85"/>
        <v>195</v>
      </c>
      <c r="R545" s="86">
        <f t="shared" si="86"/>
        <v>100</v>
      </c>
      <c r="S545" s="83">
        <f t="shared" si="87"/>
        <v>695</v>
      </c>
      <c r="T545" s="83">
        <f>50</f>
        <v>50</v>
      </c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</row>
    <row r="546" spans="1:30" ht="15.75" x14ac:dyDescent="0.25">
      <c r="A546" s="32">
        <v>57557</v>
      </c>
      <c r="B546" s="95">
        <v>31</v>
      </c>
      <c r="C546" s="83">
        <f>194.205</f>
        <v>194.20500000000001</v>
      </c>
      <c r="D546" s="83">
        <f>267.466</f>
        <v>267.46600000000001</v>
      </c>
      <c r="E546" s="92">
        <f>133.845</f>
        <v>133.845</v>
      </c>
      <c r="F546" s="83">
        <f>278.484-40-25-60-100</f>
        <v>53.48399999999998</v>
      </c>
      <c r="G546" s="86">
        <v>40</v>
      </c>
      <c r="H546" s="83">
        <f t="shared" si="88"/>
        <v>185</v>
      </c>
      <c r="I546" s="83">
        <f t="shared" si="80"/>
        <v>0</v>
      </c>
      <c r="J546" s="86">
        <v>100</v>
      </c>
      <c r="K546" s="86">
        <v>300</v>
      </c>
      <c r="L546" s="83">
        <f t="shared" si="84"/>
        <v>1274</v>
      </c>
      <c r="M546" s="94">
        <v>600</v>
      </c>
      <c r="N546" s="83">
        <f>30</f>
        <v>30</v>
      </c>
      <c r="O546" s="86">
        <v>240</v>
      </c>
      <c r="P546" s="86">
        <v>160</v>
      </c>
      <c r="Q546" s="86">
        <f t="shared" si="85"/>
        <v>195</v>
      </c>
      <c r="R546" s="86">
        <f t="shared" si="86"/>
        <v>100</v>
      </c>
      <c r="S546" s="83">
        <f t="shared" si="87"/>
        <v>695</v>
      </c>
      <c r="T546" s="83">
        <f>0</f>
        <v>0</v>
      </c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</row>
    <row r="547" spans="1:30" ht="15.75" x14ac:dyDescent="0.25">
      <c r="A547" s="32">
        <v>57588</v>
      </c>
      <c r="B547" s="95">
        <v>31</v>
      </c>
      <c r="C547" s="83">
        <f>194.205</f>
        <v>194.20500000000001</v>
      </c>
      <c r="D547" s="83">
        <f>267.466</f>
        <v>267.46600000000001</v>
      </c>
      <c r="E547" s="92">
        <f>133.845</f>
        <v>133.845</v>
      </c>
      <c r="F547" s="83">
        <f>278.484-40-25-60-100</f>
        <v>53.48399999999998</v>
      </c>
      <c r="G547" s="86">
        <v>40</v>
      </c>
      <c r="H547" s="83">
        <f t="shared" si="88"/>
        <v>185</v>
      </c>
      <c r="I547" s="83">
        <f t="shared" si="80"/>
        <v>0</v>
      </c>
      <c r="J547" s="86">
        <v>100</v>
      </c>
      <c r="K547" s="86">
        <v>300</v>
      </c>
      <c r="L547" s="83">
        <f t="shared" si="84"/>
        <v>1274</v>
      </c>
      <c r="M547" s="94">
        <v>600</v>
      </c>
      <c r="N547" s="83">
        <f>30</f>
        <v>30</v>
      </c>
      <c r="O547" s="86">
        <v>240</v>
      </c>
      <c r="P547" s="86">
        <v>160</v>
      </c>
      <c r="Q547" s="86">
        <f t="shared" si="85"/>
        <v>195</v>
      </c>
      <c r="R547" s="86">
        <f t="shared" si="86"/>
        <v>100</v>
      </c>
      <c r="S547" s="83">
        <f t="shared" si="87"/>
        <v>695</v>
      </c>
      <c r="T547" s="83">
        <f>0</f>
        <v>0</v>
      </c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</row>
    <row r="548" spans="1:30" ht="15.75" x14ac:dyDescent="0.25">
      <c r="A548" s="32">
        <v>57618</v>
      </c>
      <c r="B548" s="95">
        <v>30</v>
      </c>
      <c r="C548" s="83">
        <f>194.205</f>
        <v>194.20500000000001</v>
      </c>
      <c r="D548" s="83">
        <f>267.466</f>
        <v>267.46600000000001</v>
      </c>
      <c r="E548" s="92">
        <f>133.845</f>
        <v>133.845</v>
      </c>
      <c r="F548" s="83">
        <f>278.484-40-25-60-100</f>
        <v>53.48399999999998</v>
      </c>
      <c r="G548" s="86">
        <v>40</v>
      </c>
      <c r="H548" s="83">
        <f t="shared" si="88"/>
        <v>185</v>
      </c>
      <c r="I548" s="83">
        <f t="shared" si="80"/>
        <v>0</v>
      </c>
      <c r="J548" s="86">
        <v>100</v>
      </c>
      <c r="K548" s="86">
        <v>300</v>
      </c>
      <c r="L548" s="83">
        <f t="shared" si="84"/>
        <v>1274</v>
      </c>
      <c r="M548" s="94">
        <v>600</v>
      </c>
      <c r="N548" s="83">
        <f>30</f>
        <v>30</v>
      </c>
      <c r="O548" s="86">
        <v>240</v>
      </c>
      <c r="P548" s="86">
        <v>160</v>
      </c>
      <c r="Q548" s="86">
        <f t="shared" si="85"/>
        <v>195</v>
      </c>
      <c r="R548" s="86">
        <f t="shared" si="86"/>
        <v>100</v>
      </c>
      <c r="S548" s="83">
        <f t="shared" si="87"/>
        <v>695</v>
      </c>
      <c r="T548" s="83">
        <f>0</f>
        <v>0</v>
      </c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</row>
    <row r="549" spans="1:30" ht="15.75" x14ac:dyDescent="0.25">
      <c r="A549" s="32">
        <v>57649</v>
      </c>
      <c r="B549" s="95">
        <v>31</v>
      </c>
      <c r="C549" s="83">
        <f>131.881</f>
        <v>131.881</v>
      </c>
      <c r="D549" s="83">
        <f>277.167</f>
        <v>277.16699999999997</v>
      </c>
      <c r="E549" s="92">
        <f>79.08</f>
        <v>79.08</v>
      </c>
      <c r="F549" s="83">
        <f>350.872-40-25-60-100</f>
        <v>125.87200000000001</v>
      </c>
      <c r="G549" s="86">
        <v>40</v>
      </c>
      <c r="H549" s="83">
        <f t="shared" si="88"/>
        <v>185</v>
      </c>
      <c r="I549" s="83">
        <f t="shared" si="80"/>
        <v>0</v>
      </c>
      <c r="J549" s="86">
        <v>100</v>
      </c>
      <c r="K549" s="86">
        <v>300</v>
      </c>
      <c r="L549" s="83">
        <f t="shared" si="84"/>
        <v>1239</v>
      </c>
      <c r="M549" s="94">
        <v>600</v>
      </c>
      <c r="N549" s="83">
        <f>75</f>
        <v>75</v>
      </c>
      <c r="O549" s="86">
        <v>240</v>
      </c>
      <c r="P549" s="86">
        <v>160</v>
      </c>
      <c r="Q549" s="86">
        <f t="shared" si="85"/>
        <v>195</v>
      </c>
      <c r="R549" s="86">
        <f t="shared" si="86"/>
        <v>100</v>
      </c>
      <c r="S549" s="83">
        <f t="shared" si="87"/>
        <v>695</v>
      </c>
      <c r="T549" s="83">
        <f>0</f>
        <v>0</v>
      </c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</row>
    <row r="550" spans="1:30" ht="15.75" x14ac:dyDescent="0.25">
      <c r="A550" s="32">
        <v>57679</v>
      </c>
      <c r="B550" s="95">
        <v>30</v>
      </c>
      <c r="C550" s="83">
        <f>122.58</f>
        <v>122.58</v>
      </c>
      <c r="D550" s="83">
        <f>297.941</f>
        <v>297.94099999999997</v>
      </c>
      <c r="E550" s="92">
        <f>89.177</f>
        <v>89.177000000000007</v>
      </c>
      <c r="F550" s="83">
        <f>240.302-40-60-100</f>
        <v>40.301999999999992</v>
      </c>
      <c r="G550" s="86">
        <v>40</v>
      </c>
      <c r="H550" s="83">
        <f>60+100</f>
        <v>160</v>
      </c>
      <c r="I550" s="83">
        <f t="shared" si="80"/>
        <v>0</v>
      </c>
      <c r="J550" s="86">
        <v>100</v>
      </c>
      <c r="K550" s="86">
        <v>300</v>
      </c>
      <c r="L550" s="83">
        <f t="shared" si="84"/>
        <v>1150</v>
      </c>
      <c r="M550" s="94">
        <v>600</v>
      </c>
      <c r="N550" s="83">
        <f>100</f>
        <v>100</v>
      </c>
      <c r="O550" s="86">
        <v>240</v>
      </c>
      <c r="P550" s="86">
        <v>40</v>
      </c>
      <c r="Q550" s="86">
        <f t="shared" si="85"/>
        <v>315</v>
      </c>
      <c r="R550" s="86">
        <f t="shared" si="86"/>
        <v>100</v>
      </c>
      <c r="S550" s="83">
        <f t="shared" si="87"/>
        <v>695</v>
      </c>
      <c r="T550" s="83">
        <f>50</f>
        <v>50</v>
      </c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</row>
    <row r="551" spans="1:30" ht="15.75" x14ac:dyDescent="0.25">
      <c r="A551" s="32">
        <v>57710</v>
      </c>
      <c r="B551" s="95">
        <v>31</v>
      </c>
      <c r="C551" s="83">
        <f>122.58</f>
        <v>122.58</v>
      </c>
      <c r="D551" s="83">
        <f>297.941</f>
        <v>297.94099999999997</v>
      </c>
      <c r="E551" s="92">
        <f>89.177</f>
        <v>89.177000000000007</v>
      </c>
      <c r="F551" s="83">
        <f>240.302-40-60-100</f>
        <v>40.301999999999992</v>
      </c>
      <c r="G551" s="86">
        <v>40</v>
      </c>
      <c r="H551" s="83">
        <f>60+100</f>
        <v>160</v>
      </c>
      <c r="I551" s="83">
        <f t="shared" si="80"/>
        <v>0</v>
      </c>
      <c r="J551" s="86">
        <v>100</v>
      </c>
      <c r="K551" s="86">
        <v>300</v>
      </c>
      <c r="L551" s="83">
        <f t="shared" si="84"/>
        <v>1150</v>
      </c>
      <c r="M551" s="94">
        <v>600</v>
      </c>
      <c r="N551" s="83">
        <f>100</f>
        <v>100</v>
      </c>
      <c r="O551" s="86">
        <v>240</v>
      </c>
      <c r="P551" s="86">
        <v>40</v>
      </c>
      <c r="Q551" s="86">
        <f t="shared" si="85"/>
        <v>315</v>
      </c>
      <c r="R551" s="86">
        <f t="shared" si="86"/>
        <v>100</v>
      </c>
      <c r="S551" s="83">
        <f t="shared" si="87"/>
        <v>695</v>
      </c>
      <c r="T551" s="83">
        <f>50</f>
        <v>50</v>
      </c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</row>
    <row r="552" spans="1:30" ht="15.75" x14ac:dyDescent="0.25">
      <c r="A552" s="32">
        <v>57741</v>
      </c>
      <c r="B552" s="95">
        <v>31</v>
      </c>
      <c r="C552" s="83">
        <f>122.58</f>
        <v>122.58</v>
      </c>
      <c r="D552" s="83">
        <f>297.941</f>
        <v>297.94099999999997</v>
      </c>
      <c r="E552" s="92">
        <f>89.177</f>
        <v>89.177000000000007</v>
      </c>
      <c r="F552" s="83">
        <f>240.302-40-60-100</f>
        <v>40.301999999999992</v>
      </c>
      <c r="G552" s="86">
        <v>40</v>
      </c>
      <c r="H552" s="83">
        <f>60+100</f>
        <v>160</v>
      </c>
      <c r="I552" s="83">
        <f t="shared" si="80"/>
        <v>0</v>
      </c>
      <c r="J552" s="86">
        <v>100</v>
      </c>
      <c r="K552" s="86">
        <v>300</v>
      </c>
      <c r="L552" s="83">
        <f t="shared" si="84"/>
        <v>1150</v>
      </c>
      <c r="M552" s="94">
        <v>600</v>
      </c>
      <c r="N552" s="83">
        <f>100</f>
        <v>100</v>
      </c>
      <c r="O552" s="86">
        <v>240</v>
      </c>
      <c r="P552" s="86">
        <v>40</v>
      </c>
      <c r="Q552" s="86">
        <f t="shared" si="85"/>
        <v>315</v>
      </c>
      <c r="R552" s="86">
        <f t="shared" si="86"/>
        <v>100</v>
      </c>
      <c r="S552" s="83">
        <f t="shared" si="87"/>
        <v>695</v>
      </c>
      <c r="T552" s="83">
        <f>50</f>
        <v>50</v>
      </c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</row>
    <row r="553" spans="1:30" ht="15.75" x14ac:dyDescent="0.25">
      <c r="A553" s="32">
        <v>57769</v>
      </c>
      <c r="B553" s="95">
        <v>28</v>
      </c>
      <c r="C553" s="83">
        <f>122.58</f>
        <v>122.58</v>
      </c>
      <c r="D553" s="83">
        <f>297.941</f>
        <v>297.94099999999997</v>
      </c>
      <c r="E553" s="92">
        <f>89.177</f>
        <v>89.177000000000007</v>
      </c>
      <c r="F553" s="83">
        <f>240.302-40-60-100</f>
        <v>40.301999999999992</v>
      </c>
      <c r="G553" s="86">
        <v>40</v>
      </c>
      <c r="H553" s="83">
        <f>60+100</f>
        <v>160</v>
      </c>
      <c r="I553" s="83">
        <f t="shared" si="80"/>
        <v>0</v>
      </c>
      <c r="J553" s="86">
        <v>100</v>
      </c>
      <c r="K553" s="86">
        <v>300</v>
      </c>
      <c r="L553" s="83">
        <f t="shared" si="84"/>
        <v>1150</v>
      </c>
      <c r="M553" s="94">
        <v>600</v>
      </c>
      <c r="N553" s="83">
        <f>100</f>
        <v>100</v>
      </c>
      <c r="O553" s="86">
        <v>240</v>
      </c>
      <c r="P553" s="86">
        <v>40</v>
      </c>
      <c r="Q553" s="86">
        <f t="shared" si="85"/>
        <v>315</v>
      </c>
      <c r="R553" s="86">
        <f t="shared" si="86"/>
        <v>100</v>
      </c>
      <c r="S553" s="83">
        <f t="shared" si="87"/>
        <v>695</v>
      </c>
      <c r="T553" s="83">
        <f>50</f>
        <v>50</v>
      </c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</row>
    <row r="554" spans="1:30" ht="15.75" x14ac:dyDescent="0.25">
      <c r="A554" s="32">
        <v>57800</v>
      </c>
      <c r="B554" s="95">
        <v>31</v>
      </c>
      <c r="C554" s="83">
        <f>122.58</f>
        <v>122.58</v>
      </c>
      <c r="D554" s="83">
        <f>297.941</f>
        <v>297.94099999999997</v>
      </c>
      <c r="E554" s="92">
        <f>89.177</f>
        <v>89.177000000000007</v>
      </c>
      <c r="F554" s="83">
        <f>240.302-40-60-100</f>
        <v>40.301999999999992</v>
      </c>
      <c r="G554" s="86">
        <v>40</v>
      </c>
      <c r="H554" s="83">
        <f>60+100</f>
        <v>160</v>
      </c>
      <c r="I554" s="83">
        <f t="shared" si="80"/>
        <v>0</v>
      </c>
      <c r="J554" s="86">
        <v>100</v>
      </c>
      <c r="K554" s="86">
        <v>300</v>
      </c>
      <c r="L554" s="83">
        <f t="shared" si="84"/>
        <v>1150</v>
      </c>
      <c r="M554" s="94">
        <v>600</v>
      </c>
      <c r="N554" s="83">
        <f>100</f>
        <v>100</v>
      </c>
      <c r="O554" s="86">
        <v>240</v>
      </c>
      <c r="P554" s="86">
        <v>40</v>
      </c>
      <c r="Q554" s="86">
        <f t="shared" si="85"/>
        <v>315</v>
      </c>
      <c r="R554" s="86">
        <f t="shared" si="86"/>
        <v>100</v>
      </c>
      <c r="S554" s="83">
        <f t="shared" si="87"/>
        <v>695</v>
      </c>
      <c r="T554" s="83">
        <f>50</f>
        <v>50</v>
      </c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</row>
    <row r="555" spans="1:30" ht="15.75" x14ac:dyDescent="0.25">
      <c r="A555" s="32">
        <v>57830</v>
      </c>
      <c r="B555" s="95">
        <v>30</v>
      </c>
      <c r="C555" s="83">
        <f>141.293</f>
        <v>141.29300000000001</v>
      </c>
      <c r="D555" s="83">
        <f>267.993</f>
        <v>267.99299999999999</v>
      </c>
      <c r="E555" s="92">
        <f>115.016</f>
        <v>115.01600000000001</v>
      </c>
      <c r="F555" s="83">
        <f>314.698-40-25-60-100</f>
        <v>89.697999999999979</v>
      </c>
      <c r="G555" s="86">
        <v>40</v>
      </c>
      <c r="H555" s="83">
        <f t="shared" ref="H555:H561" si="89">25+60+100</f>
        <v>185</v>
      </c>
      <c r="I555" s="83">
        <f t="shared" si="80"/>
        <v>0</v>
      </c>
      <c r="J555" s="86">
        <v>100</v>
      </c>
      <c r="K555" s="86">
        <v>300</v>
      </c>
      <c r="L555" s="83">
        <f t="shared" si="84"/>
        <v>1239</v>
      </c>
      <c r="M555" s="94">
        <v>600</v>
      </c>
      <c r="N555" s="83">
        <f>100</f>
        <v>100</v>
      </c>
      <c r="O555" s="86">
        <v>240</v>
      </c>
      <c r="P555" s="86">
        <v>160</v>
      </c>
      <c r="Q555" s="86">
        <f t="shared" si="85"/>
        <v>195</v>
      </c>
      <c r="R555" s="86">
        <f t="shared" si="86"/>
        <v>100</v>
      </c>
      <c r="S555" s="83">
        <f t="shared" si="87"/>
        <v>695</v>
      </c>
      <c r="T555" s="83">
        <f>50</f>
        <v>50</v>
      </c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</row>
    <row r="556" spans="1:30" ht="15.75" x14ac:dyDescent="0.25">
      <c r="A556" s="32">
        <v>57861</v>
      </c>
      <c r="B556" s="95">
        <v>31</v>
      </c>
      <c r="C556" s="83">
        <f>194.205</f>
        <v>194.20500000000001</v>
      </c>
      <c r="D556" s="83">
        <f>267.466</f>
        <v>267.46600000000001</v>
      </c>
      <c r="E556" s="92">
        <f>133.845</f>
        <v>133.845</v>
      </c>
      <c r="F556" s="83">
        <f>278.484-40-25-60-100</f>
        <v>53.48399999999998</v>
      </c>
      <c r="G556" s="86">
        <v>40</v>
      </c>
      <c r="H556" s="83">
        <f t="shared" si="89"/>
        <v>185</v>
      </c>
      <c r="I556" s="83">
        <f t="shared" si="80"/>
        <v>0</v>
      </c>
      <c r="J556" s="86">
        <v>100</v>
      </c>
      <c r="K556" s="86">
        <v>300</v>
      </c>
      <c r="L556" s="83">
        <f t="shared" si="84"/>
        <v>1274</v>
      </c>
      <c r="M556" s="94">
        <v>600</v>
      </c>
      <c r="N556" s="83">
        <f>75</f>
        <v>75</v>
      </c>
      <c r="O556" s="86">
        <v>240</v>
      </c>
      <c r="P556" s="86">
        <v>160</v>
      </c>
      <c r="Q556" s="86">
        <f t="shared" si="85"/>
        <v>195</v>
      </c>
      <c r="R556" s="86">
        <f t="shared" si="86"/>
        <v>100</v>
      </c>
      <c r="S556" s="83">
        <f t="shared" si="87"/>
        <v>695</v>
      </c>
      <c r="T556" s="83">
        <f>50</f>
        <v>50</v>
      </c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</row>
    <row r="557" spans="1:30" ht="15.75" x14ac:dyDescent="0.25">
      <c r="A557" s="32">
        <v>57891</v>
      </c>
      <c r="B557" s="95">
        <v>30</v>
      </c>
      <c r="C557" s="83">
        <f>194.205</f>
        <v>194.20500000000001</v>
      </c>
      <c r="D557" s="83">
        <f>267.466</f>
        <v>267.46600000000001</v>
      </c>
      <c r="E557" s="92">
        <f>133.845</f>
        <v>133.845</v>
      </c>
      <c r="F557" s="83">
        <f>278.484-40-25-60-100</f>
        <v>53.48399999999998</v>
      </c>
      <c r="G557" s="86">
        <v>40</v>
      </c>
      <c r="H557" s="83">
        <f t="shared" si="89"/>
        <v>185</v>
      </c>
      <c r="I557" s="83">
        <f t="shared" si="80"/>
        <v>0</v>
      </c>
      <c r="J557" s="86">
        <v>100</v>
      </c>
      <c r="K557" s="86">
        <v>300</v>
      </c>
      <c r="L557" s="83">
        <f t="shared" si="84"/>
        <v>1274</v>
      </c>
      <c r="M557" s="94">
        <v>600</v>
      </c>
      <c r="N557" s="83">
        <f>30</f>
        <v>30</v>
      </c>
      <c r="O557" s="86">
        <v>240</v>
      </c>
      <c r="P557" s="86">
        <v>160</v>
      </c>
      <c r="Q557" s="86">
        <f t="shared" si="85"/>
        <v>195</v>
      </c>
      <c r="R557" s="86">
        <f t="shared" si="86"/>
        <v>100</v>
      </c>
      <c r="S557" s="83">
        <f t="shared" si="87"/>
        <v>695</v>
      </c>
      <c r="T557" s="83">
        <f>50</f>
        <v>50</v>
      </c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</row>
    <row r="558" spans="1:30" ht="15.75" x14ac:dyDescent="0.25">
      <c r="A558" s="32">
        <v>57922</v>
      </c>
      <c r="B558" s="95">
        <v>31</v>
      </c>
      <c r="C558" s="83">
        <f>194.205</f>
        <v>194.20500000000001</v>
      </c>
      <c r="D558" s="83">
        <f>267.466</f>
        <v>267.46600000000001</v>
      </c>
      <c r="E558" s="92">
        <f>133.845</f>
        <v>133.845</v>
      </c>
      <c r="F558" s="83">
        <f>278.484-40-25-60-100</f>
        <v>53.48399999999998</v>
      </c>
      <c r="G558" s="86">
        <v>40</v>
      </c>
      <c r="H558" s="83">
        <f t="shared" si="89"/>
        <v>185</v>
      </c>
      <c r="I558" s="83">
        <f t="shared" si="80"/>
        <v>0</v>
      </c>
      <c r="J558" s="86">
        <v>100</v>
      </c>
      <c r="K558" s="86">
        <v>300</v>
      </c>
      <c r="L558" s="83">
        <f t="shared" si="84"/>
        <v>1274</v>
      </c>
      <c r="M558" s="94">
        <v>600</v>
      </c>
      <c r="N558" s="83">
        <f>30</f>
        <v>30</v>
      </c>
      <c r="O558" s="86">
        <v>240</v>
      </c>
      <c r="P558" s="86">
        <v>160</v>
      </c>
      <c r="Q558" s="86">
        <f t="shared" si="85"/>
        <v>195</v>
      </c>
      <c r="R558" s="86">
        <f t="shared" si="86"/>
        <v>100</v>
      </c>
      <c r="S558" s="83">
        <f t="shared" si="87"/>
        <v>695</v>
      </c>
      <c r="T558" s="83">
        <f>0</f>
        <v>0</v>
      </c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</row>
    <row r="559" spans="1:30" ht="15.75" x14ac:dyDescent="0.25">
      <c r="A559" s="32">
        <v>57953</v>
      </c>
      <c r="B559" s="95">
        <v>31</v>
      </c>
      <c r="C559" s="83">
        <f>194.205</f>
        <v>194.20500000000001</v>
      </c>
      <c r="D559" s="83">
        <f>267.466</f>
        <v>267.46600000000001</v>
      </c>
      <c r="E559" s="92">
        <f>133.845</f>
        <v>133.845</v>
      </c>
      <c r="F559" s="83">
        <f>278.484-40-25-60-100</f>
        <v>53.48399999999998</v>
      </c>
      <c r="G559" s="86">
        <v>40</v>
      </c>
      <c r="H559" s="83">
        <f t="shared" si="89"/>
        <v>185</v>
      </c>
      <c r="I559" s="83">
        <f t="shared" si="80"/>
        <v>0</v>
      </c>
      <c r="J559" s="86">
        <v>100</v>
      </c>
      <c r="K559" s="86">
        <v>300</v>
      </c>
      <c r="L559" s="83">
        <f t="shared" si="84"/>
        <v>1274</v>
      </c>
      <c r="M559" s="94">
        <v>600</v>
      </c>
      <c r="N559" s="83">
        <f>30</f>
        <v>30</v>
      </c>
      <c r="O559" s="86">
        <v>240</v>
      </c>
      <c r="P559" s="86">
        <v>160</v>
      </c>
      <c r="Q559" s="86">
        <f t="shared" si="85"/>
        <v>195</v>
      </c>
      <c r="R559" s="86">
        <f t="shared" si="86"/>
        <v>100</v>
      </c>
      <c r="S559" s="83">
        <f t="shared" si="87"/>
        <v>695</v>
      </c>
      <c r="T559" s="83">
        <f>0</f>
        <v>0</v>
      </c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</row>
    <row r="560" spans="1:30" ht="15.75" x14ac:dyDescent="0.25">
      <c r="A560" s="32">
        <v>57983</v>
      </c>
      <c r="B560" s="95">
        <v>30</v>
      </c>
      <c r="C560" s="83">
        <f>194.205</f>
        <v>194.20500000000001</v>
      </c>
      <c r="D560" s="83">
        <f>267.466</f>
        <v>267.46600000000001</v>
      </c>
      <c r="E560" s="92">
        <f>133.845</f>
        <v>133.845</v>
      </c>
      <c r="F560" s="83">
        <f>278.484-40-25-60-100</f>
        <v>53.48399999999998</v>
      </c>
      <c r="G560" s="86">
        <v>40</v>
      </c>
      <c r="H560" s="83">
        <f t="shared" si="89"/>
        <v>185</v>
      </c>
      <c r="I560" s="83">
        <f t="shared" si="80"/>
        <v>0</v>
      </c>
      <c r="J560" s="86">
        <v>100</v>
      </c>
      <c r="K560" s="86">
        <v>300</v>
      </c>
      <c r="L560" s="83">
        <f t="shared" si="84"/>
        <v>1274</v>
      </c>
      <c r="M560" s="94">
        <v>600</v>
      </c>
      <c r="N560" s="83">
        <f>30</f>
        <v>30</v>
      </c>
      <c r="O560" s="86">
        <v>240</v>
      </c>
      <c r="P560" s="86">
        <v>160</v>
      </c>
      <c r="Q560" s="86">
        <f t="shared" si="85"/>
        <v>195</v>
      </c>
      <c r="R560" s="86">
        <f t="shared" si="86"/>
        <v>100</v>
      </c>
      <c r="S560" s="83">
        <f t="shared" si="87"/>
        <v>695</v>
      </c>
      <c r="T560" s="83">
        <f>0</f>
        <v>0</v>
      </c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</row>
    <row r="561" spans="1:30" ht="15.75" x14ac:dyDescent="0.25">
      <c r="A561" s="32">
        <v>58014</v>
      </c>
      <c r="B561" s="95">
        <v>31</v>
      </c>
      <c r="C561" s="83">
        <f>131.881</f>
        <v>131.881</v>
      </c>
      <c r="D561" s="83">
        <f>277.167</f>
        <v>277.16699999999997</v>
      </c>
      <c r="E561" s="92">
        <f>79.08</f>
        <v>79.08</v>
      </c>
      <c r="F561" s="83">
        <f>350.872-40-25-60-100</f>
        <v>125.87200000000001</v>
      </c>
      <c r="G561" s="86">
        <v>40</v>
      </c>
      <c r="H561" s="83">
        <f t="shared" si="89"/>
        <v>185</v>
      </c>
      <c r="I561" s="83">
        <f t="shared" si="80"/>
        <v>0</v>
      </c>
      <c r="J561" s="86">
        <v>100</v>
      </c>
      <c r="K561" s="86">
        <v>300</v>
      </c>
      <c r="L561" s="83">
        <f t="shared" si="84"/>
        <v>1239</v>
      </c>
      <c r="M561" s="94">
        <v>600</v>
      </c>
      <c r="N561" s="83">
        <f>75</f>
        <v>75</v>
      </c>
      <c r="O561" s="86">
        <v>240</v>
      </c>
      <c r="P561" s="86">
        <v>160</v>
      </c>
      <c r="Q561" s="86">
        <f t="shared" si="85"/>
        <v>195</v>
      </c>
      <c r="R561" s="86">
        <f t="shared" si="86"/>
        <v>100</v>
      </c>
      <c r="S561" s="83">
        <f t="shared" si="87"/>
        <v>695</v>
      </c>
      <c r="T561" s="83">
        <f>0</f>
        <v>0</v>
      </c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</row>
    <row r="562" spans="1:30" ht="15.75" x14ac:dyDescent="0.25">
      <c r="A562" s="32">
        <v>58044</v>
      </c>
      <c r="B562" s="95">
        <v>30</v>
      </c>
      <c r="C562" s="83">
        <f>122.58</f>
        <v>122.58</v>
      </c>
      <c r="D562" s="83">
        <f>297.941</f>
        <v>297.94099999999997</v>
      </c>
      <c r="E562" s="92">
        <f>89.177</f>
        <v>89.177000000000007</v>
      </c>
      <c r="F562" s="83">
        <f>240.302-40-60-100</f>
        <v>40.301999999999992</v>
      </c>
      <c r="G562" s="86">
        <v>40</v>
      </c>
      <c r="H562" s="83">
        <f>60+100</f>
        <v>160</v>
      </c>
      <c r="I562" s="83">
        <f t="shared" si="80"/>
        <v>0</v>
      </c>
      <c r="J562" s="86">
        <v>100</v>
      </c>
      <c r="K562" s="86">
        <v>300</v>
      </c>
      <c r="L562" s="83">
        <f t="shared" si="84"/>
        <v>1150</v>
      </c>
      <c r="M562" s="94">
        <v>600</v>
      </c>
      <c r="N562" s="83">
        <f>100</f>
        <v>100</v>
      </c>
      <c r="O562" s="86">
        <v>240</v>
      </c>
      <c r="P562" s="86">
        <v>40</v>
      </c>
      <c r="Q562" s="86">
        <f t="shared" si="85"/>
        <v>315</v>
      </c>
      <c r="R562" s="86">
        <f t="shared" si="86"/>
        <v>100</v>
      </c>
      <c r="S562" s="83">
        <f t="shared" si="87"/>
        <v>695</v>
      </c>
      <c r="T562" s="83">
        <f>50</f>
        <v>50</v>
      </c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</row>
    <row r="563" spans="1:30" ht="15.75" x14ac:dyDescent="0.25">
      <c r="A563" s="32">
        <v>58075</v>
      </c>
      <c r="B563" s="95">
        <v>31</v>
      </c>
      <c r="C563" s="83">
        <f>122.58</f>
        <v>122.58</v>
      </c>
      <c r="D563" s="83">
        <f>297.941</f>
        <v>297.94099999999997</v>
      </c>
      <c r="E563" s="92">
        <f>89.177</f>
        <v>89.177000000000007</v>
      </c>
      <c r="F563" s="83">
        <f>240.302-40-60-100</f>
        <v>40.301999999999992</v>
      </c>
      <c r="G563" s="86">
        <v>40</v>
      </c>
      <c r="H563" s="83">
        <f>60+100</f>
        <v>160</v>
      </c>
      <c r="I563" s="83">
        <f t="shared" si="80"/>
        <v>0</v>
      </c>
      <c r="J563" s="86">
        <v>100</v>
      </c>
      <c r="K563" s="86">
        <v>300</v>
      </c>
      <c r="L563" s="83">
        <f t="shared" si="84"/>
        <v>1150</v>
      </c>
      <c r="M563" s="94">
        <v>600</v>
      </c>
      <c r="N563" s="83">
        <f>100</f>
        <v>100</v>
      </c>
      <c r="O563" s="86">
        <v>240</v>
      </c>
      <c r="P563" s="86">
        <v>40</v>
      </c>
      <c r="Q563" s="86">
        <f t="shared" si="85"/>
        <v>315</v>
      </c>
      <c r="R563" s="86">
        <f t="shared" si="86"/>
        <v>100</v>
      </c>
      <c r="S563" s="83">
        <f t="shared" si="87"/>
        <v>695</v>
      </c>
      <c r="T563" s="83">
        <f>50</f>
        <v>50</v>
      </c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</row>
    <row r="564" spans="1:30" ht="15.75" x14ac:dyDescent="0.25">
      <c r="A564" s="32">
        <v>58106</v>
      </c>
      <c r="B564" s="95">
        <v>31</v>
      </c>
      <c r="C564" s="83">
        <f>122.58</f>
        <v>122.58</v>
      </c>
      <c r="D564" s="83">
        <f>297.941</f>
        <v>297.94099999999997</v>
      </c>
      <c r="E564" s="92">
        <f>89.177</f>
        <v>89.177000000000007</v>
      </c>
      <c r="F564" s="83">
        <f>240.302-40-60-100</f>
        <v>40.301999999999992</v>
      </c>
      <c r="G564" s="86">
        <v>40</v>
      </c>
      <c r="H564" s="83">
        <f>60+100</f>
        <v>160</v>
      </c>
      <c r="I564" s="83">
        <f t="shared" ref="I564:I627" si="90">400-J564-K564</f>
        <v>0</v>
      </c>
      <c r="J564" s="86">
        <v>100</v>
      </c>
      <c r="K564" s="86">
        <v>300</v>
      </c>
      <c r="L564" s="83">
        <f t="shared" si="84"/>
        <v>1150</v>
      </c>
      <c r="M564" s="94">
        <v>600</v>
      </c>
      <c r="N564" s="83">
        <f>100</f>
        <v>100</v>
      </c>
      <c r="O564" s="86">
        <v>240</v>
      </c>
      <c r="P564" s="86">
        <v>40</v>
      </c>
      <c r="Q564" s="86">
        <f t="shared" si="85"/>
        <v>315</v>
      </c>
      <c r="R564" s="86">
        <f t="shared" si="86"/>
        <v>100</v>
      </c>
      <c r="S564" s="83">
        <f t="shared" si="87"/>
        <v>695</v>
      </c>
      <c r="T564" s="83">
        <f>50</f>
        <v>50</v>
      </c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</row>
    <row r="565" spans="1:30" ht="15.75" x14ac:dyDescent="0.25">
      <c r="A565" s="32">
        <v>58134</v>
      </c>
      <c r="B565" s="95">
        <v>28</v>
      </c>
      <c r="C565" s="83">
        <f>122.58</f>
        <v>122.58</v>
      </c>
      <c r="D565" s="83">
        <f>297.941</f>
        <v>297.94099999999997</v>
      </c>
      <c r="E565" s="92">
        <f>89.177</f>
        <v>89.177000000000007</v>
      </c>
      <c r="F565" s="83">
        <f>240.302-40-60-100</f>
        <v>40.301999999999992</v>
      </c>
      <c r="G565" s="86">
        <v>40</v>
      </c>
      <c r="H565" s="83">
        <f>60+100</f>
        <v>160</v>
      </c>
      <c r="I565" s="83">
        <f t="shared" si="90"/>
        <v>0</v>
      </c>
      <c r="J565" s="86">
        <v>100</v>
      </c>
      <c r="K565" s="86">
        <v>300</v>
      </c>
      <c r="L565" s="83">
        <f t="shared" si="84"/>
        <v>1150</v>
      </c>
      <c r="M565" s="94">
        <v>600</v>
      </c>
      <c r="N565" s="83">
        <f>100</f>
        <v>100</v>
      </c>
      <c r="O565" s="86">
        <v>240</v>
      </c>
      <c r="P565" s="86">
        <v>40</v>
      </c>
      <c r="Q565" s="86">
        <f t="shared" si="85"/>
        <v>315</v>
      </c>
      <c r="R565" s="86">
        <f t="shared" si="86"/>
        <v>100</v>
      </c>
      <c r="S565" s="83">
        <f t="shared" si="87"/>
        <v>695</v>
      </c>
      <c r="T565" s="83">
        <f>50</f>
        <v>50</v>
      </c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</row>
    <row r="566" spans="1:30" ht="15.75" x14ac:dyDescent="0.25">
      <c r="A566" s="32">
        <v>58165</v>
      </c>
      <c r="B566" s="95">
        <v>31</v>
      </c>
      <c r="C566" s="83">
        <f>122.58</f>
        <v>122.58</v>
      </c>
      <c r="D566" s="83">
        <f>297.941</f>
        <v>297.94099999999997</v>
      </c>
      <c r="E566" s="92">
        <f>89.177</f>
        <v>89.177000000000007</v>
      </c>
      <c r="F566" s="83">
        <f>240.302-40-60-100</f>
        <v>40.301999999999992</v>
      </c>
      <c r="G566" s="86">
        <v>40</v>
      </c>
      <c r="H566" s="83">
        <f>60+100</f>
        <v>160</v>
      </c>
      <c r="I566" s="83">
        <f t="shared" si="90"/>
        <v>0</v>
      </c>
      <c r="J566" s="86">
        <v>100</v>
      </c>
      <c r="K566" s="86">
        <v>300</v>
      </c>
      <c r="L566" s="83">
        <f t="shared" si="84"/>
        <v>1150</v>
      </c>
      <c r="M566" s="94">
        <v>600</v>
      </c>
      <c r="N566" s="83">
        <f>100</f>
        <v>100</v>
      </c>
      <c r="O566" s="86">
        <v>240</v>
      </c>
      <c r="P566" s="86">
        <v>40</v>
      </c>
      <c r="Q566" s="86">
        <f t="shared" si="85"/>
        <v>315</v>
      </c>
      <c r="R566" s="86">
        <f t="shared" si="86"/>
        <v>100</v>
      </c>
      <c r="S566" s="83">
        <f t="shared" si="87"/>
        <v>695</v>
      </c>
      <c r="T566" s="83">
        <f>50</f>
        <v>50</v>
      </c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</row>
    <row r="567" spans="1:30" ht="15.75" x14ac:dyDescent="0.25">
      <c r="A567" s="32">
        <v>58195</v>
      </c>
      <c r="B567" s="95">
        <v>30</v>
      </c>
      <c r="C567" s="83">
        <f>141.293</f>
        <v>141.29300000000001</v>
      </c>
      <c r="D567" s="83">
        <f>267.993</f>
        <v>267.99299999999999</v>
      </c>
      <c r="E567" s="92">
        <f>115.016</f>
        <v>115.01600000000001</v>
      </c>
      <c r="F567" s="83">
        <f>314.698-40-25-60-100</f>
        <v>89.697999999999979</v>
      </c>
      <c r="G567" s="86">
        <v>40</v>
      </c>
      <c r="H567" s="83">
        <f t="shared" ref="H567:H573" si="91">25+60+100</f>
        <v>185</v>
      </c>
      <c r="I567" s="83">
        <f t="shared" si="90"/>
        <v>0</v>
      </c>
      <c r="J567" s="86">
        <v>100</v>
      </c>
      <c r="K567" s="86">
        <v>300</v>
      </c>
      <c r="L567" s="83">
        <f t="shared" si="84"/>
        <v>1239</v>
      </c>
      <c r="M567" s="94">
        <v>600</v>
      </c>
      <c r="N567" s="83">
        <f>100</f>
        <v>100</v>
      </c>
      <c r="O567" s="86">
        <v>240</v>
      </c>
      <c r="P567" s="86">
        <v>160</v>
      </c>
      <c r="Q567" s="86">
        <f t="shared" si="85"/>
        <v>195</v>
      </c>
      <c r="R567" s="86">
        <f t="shared" si="86"/>
        <v>100</v>
      </c>
      <c r="S567" s="83">
        <f t="shared" si="87"/>
        <v>695</v>
      </c>
      <c r="T567" s="83">
        <f>50</f>
        <v>50</v>
      </c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</row>
    <row r="568" spans="1:30" ht="15.75" x14ac:dyDescent="0.25">
      <c r="A568" s="32">
        <v>58226</v>
      </c>
      <c r="B568" s="95">
        <v>31</v>
      </c>
      <c r="C568" s="83">
        <f>194.205</f>
        <v>194.20500000000001</v>
      </c>
      <c r="D568" s="83">
        <f>267.466</f>
        <v>267.46600000000001</v>
      </c>
      <c r="E568" s="92">
        <f>133.845</f>
        <v>133.845</v>
      </c>
      <c r="F568" s="83">
        <f>278.484-40-25-60-100</f>
        <v>53.48399999999998</v>
      </c>
      <c r="G568" s="86">
        <v>40</v>
      </c>
      <c r="H568" s="83">
        <f t="shared" si="91"/>
        <v>185</v>
      </c>
      <c r="I568" s="83">
        <f t="shared" si="90"/>
        <v>0</v>
      </c>
      <c r="J568" s="86">
        <v>100</v>
      </c>
      <c r="K568" s="86">
        <v>300</v>
      </c>
      <c r="L568" s="83">
        <f t="shared" si="84"/>
        <v>1274</v>
      </c>
      <c r="M568" s="94">
        <v>600</v>
      </c>
      <c r="N568" s="83">
        <f>75</f>
        <v>75</v>
      </c>
      <c r="O568" s="86">
        <v>240</v>
      </c>
      <c r="P568" s="86">
        <v>160</v>
      </c>
      <c r="Q568" s="86">
        <f t="shared" si="85"/>
        <v>195</v>
      </c>
      <c r="R568" s="86">
        <f t="shared" si="86"/>
        <v>100</v>
      </c>
      <c r="S568" s="83">
        <f t="shared" si="87"/>
        <v>695</v>
      </c>
      <c r="T568" s="83">
        <f>50</f>
        <v>50</v>
      </c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</row>
    <row r="569" spans="1:30" ht="15.75" x14ac:dyDescent="0.25">
      <c r="A569" s="32">
        <v>58256</v>
      </c>
      <c r="B569" s="95">
        <v>30</v>
      </c>
      <c r="C569" s="83">
        <f>194.205</f>
        <v>194.20500000000001</v>
      </c>
      <c r="D569" s="83">
        <f>267.466</f>
        <v>267.46600000000001</v>
      </c>
      <c r="E569" s="92">
        <f>133.845</f>
        <v>133.845</v>
      </c>
      <c r="F569" s="83">
        <f>278.484-40-25-60-100</f>
        <v>53.48399999999998</v>
      </c>
      <c r="G569" s="86">
        <v>40</v>
      </c>
      <c r="H569" s="83">
        <f t="shared" si="91"/>
        <v>185</v>
      </c>
      <c r="I569" s="83">
        <f t="shared" si="90"/>
        <v>0</v>
      </c>
      <c r="J569" s="86">
        <v>100</v>
      </c>
      <c r="K569" s="86">
        <v>300</v>
      </c>
      <c r="L569" s="83">
        <f t="shared" si="84"/>
        <v>1274</v>
      </c>
      <c r="M569" s="94">
        <v>600</v>
      </c>
      <c r="N569" s="83">
        <f>30</f>
        <v>30</v>
      </c>
      <c r="O569" s="86">
        <v>240</v>
      </c>
      <c r="P569" s="86">
        <v>160</v>
      </c>
      <c r="Q569" s="86">
        <f t="shared" si="85"/>
        <v>195</v>
      </c>
      <c r="R569" s="86">
        <f t="shared" si="86"/>
        <v>100</v>
      </c>
      <c r="S569" s="83">
        <f t="shared" si="87"/>
        <v>695</v>
      </c>
      <c r="T569" s="83">
        <f>50</f>
        <v>50</v>
      </c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</row>
    <row r="570" spans="1:30" ht="15.75" x14ac:dyDescent="0.25">
      <c r="A570" s="32">
        <v>58287</v>
      </c>
      <c r="B570" s="95">
        <v>31</v>
      </c>
      <c r="C570" s="83">
        <f>194.205</f>
        <v>194.20500000000001</v>
      </c>
      <c r="D570" s="83">
        <f>267.466</f>
        <v>267.46600000000001</v>
      </c>
      <c r="E570" s="92">
        <f>133.845</f>
        <v>133.845</v>
      </c>
      <c r="F570" s="83">
        <f>278.484-40-25-60-100</f>
        <v>53.48399999999998</v>
      </c>
      <c r="G570" s="86">
        <v>40</v>
      </c>
      <c r="H570" s="83">
        <f t="shared" si="91"/>
        <v>185</v>
      </c>
      <c r="I570" s="83">
        <f t="shared" si="90"/>
        <v>0</v>
      </c>
      <c r="J570" s="86">
        <v>100</v>
      </c>
      <c r="K570" s="86">
        <v>300</v>
      </c>
      <c r="L570" s="83">
        <f t="shared" si="84"/>
        <v>1274</v>
      </c>
      <c r="M570" s="94">
        <v>600</v>
      </c>
      <c r="N570" s="83">
        <f>30</f>
        <v>30</v>
      </c>
      <c r="O570" s="86">
        <v>240</v>
      </c>
      <c r="P570" s="86">
        <v>160</v>
      </c>
      <c r="Q570" s="86">
        <f t="shared" si="85"/>
        <v>195</v>
      </c>
      <c r="R570" s="86">
        <f t="shared" si="86"/>
        <v>100</v>
      </c>
      <c r="S570" s="83">
        <f t="shared" si="87"/>
        <v>695</v>
      </c>
      <c r="T570" s="83">
        <f>0</f>
        <v>0</v>
      </c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</row>
    <row r="571" spans="1:30" ht="15.75" x14ac:dyDescent="0.25">
      <c r="A571" s="32">
        <v>58318</v>
      </c>
      <c r="B571" s="95">
        <v>31</v>
      </c>
      <c r="C571" s="83">
        <f>194.205</f>
        <v>194.20500000000001</v>
      </c>
      <c r="D571" s="83">
        <f>267.466</f>
        <v>267.46600000000001</v>
      </c>
      <c r="E571" s="92">
        <f>133.845</f>
        <v>133.845</v>
      </c>
      <c r="F571" s="83">
        <f>278.484-40-25-60-100</f>
        <v>53.48399999999998</v>
      </c>
      <c r="G571" s="86">
        <v>40</v>
      </c>
      <c r="H571" s="83">
        <f t="shared" si="91"/>
        <v>185</v>
      </c>
      <c r="I571" s="83">
        <f t="shared" si="90"/>
        <v>0</v>
      </c>
      <c r="J571" s="86">
        <v>100</v>
      </c>
      <c r="K571" s="86">
        <v>300</v>
      </c>
      <c r="L571" s="83">
        <f t="shared" si="84"/>
        <v>1274</v>
      </c>
      <c r="M571" s="94">
        <v>600</v>
      </c>
      <c r="N571" s="83">
        <f>30</f>
        <v>30</v>
      </c>
      <c r="O571" s="86">
        <v>240</v>
      </c>
      <c r="P571" s="86">
        <v>160</v>
      </c>
      <c r="Q571" s="86">
        <f t="shared" si="85"/>
        <v>195</v>
      </c>
      <c r="R571" s="86">
        <f t="shared" si="86"/>
        <v>100</v>
      </c>
      <c r="S571" s="83">
        <f t="shared" si="87"/>
        <v>695</v>
      </c>
      <c r="T571" s="83">
        <f>0</f>
        <v>0</v>
      </c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</row>
    <row r="572" spans="1:30" ht="15.75" x14ac:dyDescent="0.25">
      <c r="A572" s="32">
        <v>58348</v>
      </c>
      <c r="B572" s="95">
        <v>30</v>
      </c>
      <c r="C572" s="83">
        <f>194.205</f>
        <v>194.20500000000001</v>
      </c>
      <c r="D572" s="83">
        <f>267.466</f>
        <v>267.46600000000001</v>
      </c>
      <c r="E572" s="92">
        <f>133.845</f>
        <v>133.845</v>
      </c>
      <c r="F572" s="83">
        <f>278.484-40-25-60-100</f>
        <v>53.48399999999998</v>
      </c>
      <c r="G572" s="86">
        <v>40</v>
      </c>
      <c r="H572" s="83">
        <f t="shared" si="91"/>
        <v>185</v>
      </c>
      <c r="I572" s="83">
        <f t="shared" si="90"/>
        <v>0</v>
      </c>
      <c r="J572" s="86">
        <v>100</v>
      </c>
      <c r="K572" s="86">
        <v>300</v>
      </c>
      <c r="L572" s="83">
        <f t="shared" si="84"/>
        <v>1274</v>
      </c>
      <c r="M572" s="94">
        <v>600</v>
      </c>
      <c r="N572" s="83">
        <f>30</f>
        <v>30</v>
      </c>
      <c r="O572" s="86">
        <v>240</v>
      </c>
      <c r="P572" s="86">
        <v>160</v>
      </c>
      <c r="Q572" s="86">
        <f t="shared" si="85"/>
        <v>195</v>
      </c>
      <c r="R572" s="86">
        <f t="shared" si="86"/>
        <v>100</v>
      </c>
      <c r="S572" s="83">
        <f t="shared" si="87"/>
        <v>695</v>
      </c>
      <c r="T572" s="83">
        <f>0</f>
        <v>0</v>
      </c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</row>
    <row r="573" spans="1:30" ht="15.75" x14ac:dyDescent="0.25">
      <c r="A573" s="32">
        <v>58379</v>
      </c>
      <c r="B573" s="95">
        <v>31</v>
      </c>
      <c r="C573" s="83">
        <f>131.881</f>
        <v>131.881</v>
      </c>
      <c r="D573" s="83">
        <f>277.167</f>
        <v>277.16699999999997</v>
      </c>
      <c r="E573" s="92">
        <f>79.08</f>
        <v>79.08</v>
      </c>
      <c r="F573" s="83">
        <f>350.872-40-25-60-100</f>
        <v>125.87200000000001</v>
      </c>
      <c r="G573" s="86">
        <v>40</v>
      </c>
      <c r="H573" s="83">
        <f t="shared" si="91"/>
        <v>185</v>
      </c>
      <c r="I573" s="83">
        <f t="shared" si="90"/>
        <v>0</v>
      </c>
      <c r="J573" s="86">
        <v>100</v>
      </c>
      <c r="K573" s="86">
        <v>300</v>
      </c>
      <c r="L573" s="83">
        <f t="shared" si="84"/>
        <v>1239</v>
      </c>
      <c r="M573" s="94">
        <v>600</v>
      </c>
      <c r="N573" s="83">
        <f>75</f>
        <v>75</v>
      </c>
      <c r="O573" s="86">
        <v>240</v>
      </c>
      <c r="P573" s="86">
        <v>160</v>
      </c>
      <c r="Q573" s="86">
        <f t="shared" si="85"/>
        <v>195</v>
      </c>
      <c r="R573" s="86">
        <f t="shared" si="86"/>
        <v>100</v>
      </c>
      <c r="S573" s="83">
        <f t="shared" si="87"/>
        <v>695</v>
      </c>
      <c r="T573" s="83">
        <f>0</f>
        <v>0</v>
      </c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</row>
    <row r="574" spans="1:30" ht="15.75" x14ac:dyDescent="0.25">
      <c r="A574" s="32">
        <v>58409</v>
      </c>
      <c r="B574" s="95">
        <v>30</v>
      </c>
      <c r="C574" s="83">
        <f>122.58</f>
        <v>122.58</v>
      </c>
      <c r="D574" s="83">
        <f>297.941</f>
        <v>297.94099999999997</v>
      </c>
      <c r="E574" s="92">
        <f>89.177</f>
        <v>89.177000000000007</v>
      </c>
      <c r="F574" s="83">
        <f>240.302-40-60-100</f>
        <v>40.301999999999992</v>
      </c>
      <c r="G574" s="86">
        <v>40</v>
      </c>
      <c r="H574" s="83">
        <f>60+100</f>
        <v>160</v>
      </c>
      <c r="I574" s="83">
        <f t="shared" si="90"/>
        <v>0</v>
      </c>
      <c r="J574" s="86">
        <v>100</v>
      </c>
      <c r="K574" s="86">
        <v>300</v>
      </c>
      <c r="L574" s="83">
        <f t="shared" si="84"/>
        <v>1150</v>
      </c>
      <c r="M574" s="94">
        <v>600</v>
      </c>
      <c r="N574" s="83">
        <f>100</f>
        <v>100</v>
      </c>
      <c r="O574" s="86">
        <v>240</v>
      </c>
      <c r="P574" s="86">
        <v>40</v>
      </c>
      <c r="Q574" s="86">
        <f t="shared" si="85"/>
        <v>315</v>
      </c>
      <c r="R574" s="86">
        <f t="shared" si="86"/>
        <v>100</v>
      </c>
      <c r="S574" s="83">
        <f t="shared" si="87"/>
        <v>695</v>
      </c>
      <c r="T574" s="83">
        <f>50</f>
        <v>50</v>
      </c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</row>
    <row r="575" spans="1:30" ht="15.75" x14ac:dyDescent="0.25">
      <c r="A575" s="32">
        <v>58440</v>
      </c>
      <c r="B575" s="95">
        <v>31</v>
      </c>
      <c r="C575" s="83">
        <f>122.58</f>
        <v>122.58</v>
      </c>
      <c r="D575" s="83">
        <f>297.941</f>
        <v>297.94099999999997</v>
      </c>
      <c r="E575" s="92">
        <f>89.177</f>
        <v>89.177000000000007</v>
      </c>
      <c r="F575" s="83">
        <f>240.302-40-60-100</f>
        <v>40.301999999999992</v>
      </c>
      <c r="G575" s="86">
        <v>40</v>
      </c>
      <c r="H575" s="83">
        <f>60+100</f>
        <v>160</v>
      </c>
      <c r="I575" s="83">
        <f t="shared" si="90"/>
        <v>0</v>
      </c>
      <c r="J575" s="86">
        <v>100</v>
      </c>
      <c r="K575" s="86">
        <v>300</v>
      </c>
      <c r="L575" s="83">
        <f t="shared" si="84"/>
        <v>1150</v>
      </c>
      <c r="M575" s="94">
        <v>600</v>
      </c>
      <c r="N575" s="83">
        <f>100</f>
        <v>100</v>
      </c>
      <c r="O575" s="86">
        <v>240</v>
      </c>
      <c r="P575" s="86">
        <v>40</v>
      </c>
      <c r="Q575" s="86">
        <f t="shared" si="85"/>
        <v>315</v>
      </c>
      <c r="R575" s="86">
        <f t="shared" si="86"/>
        <v>100</v>
      </c>
      <c r="S575" s="83">
        <f t="shared" si="87"/>
        <v>695</v>
      </c>
      <c r="T575" s="83">
        <f>50</f>
        <v>50</v>
      </c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</row>
    <row r="576" spans="1:30" ht="15.75" x14ac:dyDescent="0.25">
      <c r="A576" s="32">
        <v>58471</v>
      </c>
      <c r="B576" s="95">
        <v>31</v>
      </c>
      <c r="C576" s="83">
        <f>122.58</f>
        <v>122.58</v>
      </c>
      <c r="D576" s="83">
        <f>297.941</f>
        <v>297.94099999999997</v>
      </c>
      <c r="E576" s="92">
        <f>89.177</f>
        <v>89.177000000000007</v>
      </c>
      <c r="F576" s="83">
        <f>240.302-40-60-100</f>
        <v>40.301999999999992</v>
      </c>
      <c r="G576" s="86">
        <v>40</v>
      </c>
      <c r="H576" s="83">
        <f>60+100</f>
        <v>160</v>
      </c>
      <c r="I576" s="83">
        <f t="shared" si="90"/>
        <v>0</v>
      </c>
      <c r="J576" s="86">
        <v>100</v>
      </c>
      <c r="K576" s="86">
        <v>300</v>
      </c>
      <c r="L576" s="83">
        <f t="shared" si="84"/>
        <v>1150</v>
      </c>
      <c r="M576" s="94">
        <v>600</v>
      </c>
      <c r="N576" s="83">
        <f>100</f>
        <v>100</v>
      </c>
      <c r="O576" s="86">
        <v>240</v>
      </c>
      <c r="P576" s="86">
        <v>40</v>
      </c>
      <c r="Q576" s="86">
        <f t="shared" si="85"/>
        <v>315</v>
      </c>
      <c r="R576" s="86">
        <f t="shared" si="86"/>
        <v>100</v>
      </c>
      <c r="S576" s="83">
        <f t="shared" si="87"/>
        <v>695</v>
      </c>
      <c r="T576" s="83">
        <f>50</f>
        <v>50</v>
      </c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</row>
    <row r="577" spans="1:30" ht="15.75" x14ac:dyDescent="0.25">
      <c r="A577" s="32">
        <v>58499</v>
      </c>
      <c r="B577" s="95">
        <v>29</v>
      </c>
      <c r="C577" s="83">
        <f>122.58</f>
        <v>122.58</v>
      </c>
      <c r="D577" s="83">
        <f>297.941</f>
        <v>297.94099999999997</v>
      </c>
      <c r="E577" s="92">
        <f>89.177</f>
        <v>89.177000000000007</v>
      </c>
      <c r="F577" s="83">
        <f>240.302-40-60-100</f>
        <v>40.301999999999992</v>
      </c>
      <c r="G577" s="86">
        <v>40</v>
      </c>
      <c r="H577" s="83">
        <f>60+100</f>
        <v>160</v>
      </c>
      <c r="I577" s="83">
        <f t="shared" si="90"/>
        <v>0</v>
      </c>
      <c r="J577" s="86">
        <v>100</v>
      </c>
      <c r="K577" s="86">
        <v>300</v>
      </c>
      <c r="L577" s="83">
        <f t="shared" si="84"/>
        <v>1150</v>
      </c>
      <c r="M577" s="94">
        <v>600</v>
      </c>
      <c r="N577" s="83">
        <f>100</f>
        <v>100</v>
      </c>
      <c r="O577" s="86">
        <v>240</v>
      </c>
      <c r="P577" s="86">
        <v>40</v>
      </c>
      <c r="Q577" s="86">
        <f t="shared" si="85"/>
        <v>315</v>
      </c>
      <c r="R577" s="86">
        <f t="shared" si="86"/>
        <v>100</v>
      </c>
      <c r="S577" s="83">
        <f t="shared" si="87"/>
        <v>695</v>
      </c>
      <c r="T577" s="83">
        <f>50</f>
        <v>50</v>
      </c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</row>
    <row r="578" spans="1:30" ht="15.75" x14ac:dyDescent="0.25">
      <c r="A578" s="32">
        <v>58531</v>
      </c>
      <c r="B578" s="95">
        <v>31</v>
      </c>
      <c r="C578" s="83">
        <f>122.58</f>
        <v>122.58</v>
      </c>
      <c r="D578" s="83">
        <f>297.941</f>
        <v>297.94099999999997</v>
      </c>
      <c r="E578" s="92">
        <f>89.177</f>
        <v>89.177000000000007</v>
      </c>
      <c r="F578" s="83">
        <f>240.302-40-60-100</f>
        <v>40.301999999999992</v>
      </c>
      <c r="G578" s="86">
        <v>40</v>
      </c>
      <c r="H578" s="83">
        <f>60+100</f>
        <v>160</v>
      </c>
      <c r="I578" s="83">
        <f t="shared" si="90"/>
        <v>0</v>
      </c>
      <c r="J578" s="86">
        <v>100</v>
      </c>
      <c r="K578" s="86">
        <v>300</v>
      </c>
      <c r="L578" s="83">
        <f t="shared" si="84"/>
        <v>1150</v>
      </c>
      <c r="M578" s="94">
        <v>600</v>
      </c>
      <c r="N578" s="83">
        <f>100</f>
        <v>100</v>
      </c>
      <c r="O578" s="86">
        <v>240</v>
      </c>
      <c r="P578" s="86">
        <v>40</v>
      </c>
      <c r="Q578" s="86">
        <f t="shared" si="85"/>
        <v>315</v>
      </c>
      <c r="R578" s="86">
        <f t="shared" si="86"/>
        <v>100</v>
      </c>
      <c r="S578" s="83">
        <f t="shared" si="87"/>
        <v>695</v>
      </c>
      <c r="T578" s="83">
        <f>50</f>
        <v>50</v>
      </c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</row>
    <row r="579" spans="1:30" ht="15.75" x14ac:dyDescent="0.25">
      <c r="A579" s="32">
        <v>58561</v>
      </c>
      <c r="B579" s="95">
        <v>30</v>
      </c>
      <c r="C579" s="83">
        <f>141.293</f>
        <v>141.29300000000001</v>
      </c>
      <c r="D579" s="83">
        <f>267.993</f>
        <v>267.99299999999999</v>
      </c>
      <c r="E579" s="92">
        <f>115.016</f>
        <v>115.01600000000001</v>
      </c>
      <c r="F579" s="83">
        <f>314.698-40-25-60-100</f>
        <v>89.697999999999979</v>
      </c>
      <c r="G579" s="86">
        <v>40</v>
      </c>
      <c r="H579" s="83">
        <f t="shared" ref="H579:H585" si="92">25+60+100</f>
        <v>185</v>
      </c>
      <c r="I579" s="83">
        <f t="shared" si="90"/>
        <v>0</v>
      </c>
      <c r="J579" s="86">
        <v>100</v>
      </c>
      <c r="K579" s="86">
        <v>300</v>
      </c>
      <c r="L579" s="83">
        <f t="shared" si="84"/>
        <v>1239</v>
      </c>
      <c r="M579" s="94">
        <v>600</v>
      </c>
      <c r="N579" s="83">
        <f>100</f>
        <v>100</v>
      </c>
      <c r="O579" s="86">
        <v>240</v>
      </c>
      <c r="P579" s="86">
        <v>160</v>
      </c>
      <c r="Q579" s="86">
        <f t="shared" si="85"/>
        <v>195</v>
      </c>
      <c r="R579" s="86">
        <f t="shared" si="86"/>
        <v>100</v>
      </c>
      <c r="S579" s="83">
        <f t="shared" si="87"/>
        <v>695</v>
      </c>
      <c r="T579" s="83">
        <f>50</f>
        <v>50</v>
      </c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</row>
    <row r="580" spans="1:30" ht="15.75" x14ac:dyDescent="0.25">
      <c r="A580" s="32">
        <v>58592</v>
      </c>
      <c r="B580" s="95">
        <v>31</v>
      </c>
      <c r="C580" s="83">
        <f>194.205</f>
        <v>194.20500000000001</v>
      </c>
      <c r="D580" s="83">
        <f>267.466</f>
        <v>267.46600000000001</v>
      </c>
      <c r="E580" s="92">
        <f>133.845</f>
        <v>133.845</v>
      </c>
      <c r="F580" s="83">
        <f>278.484-40-25-60-100</f>
        <v>53.48399999999998</v>
      </c>
      <c r="G580" s="86">
        <v>40</v>
      </c>
      <c r="H580" s="83">
        <f t="shared" si="92"/>
        <v>185</v>
      </c>
      <c r="I580" s="83">
        <f t="shared" si="90"/>
        <v>0</v>
      </c>
      <c r="J580" s="86">
        <v>100</v>
      </c>
      <c r="K580" s="86">
        <v>300</v>
      </c>
      <c r="L580" s="83">
        <f t="shared" si="84"/>
        <v>1274</v>
      </c>
      <c r="M580" s="94">
        <v>600</v>
      </c>
      <c r="N580" s="83">
        <f>75</f>
        <v>75</v>
      </c>
      <c r="O580" s="86">
        <v>240</v>
      </c>
      <c r="P580" s="86">
        <v>160</v>
      </c>
      <c r="Q580" s="86">
        <f t="shared" si="85"/>
        <v>195</v>
      </c>
      <c r="R580" s="86">
        <f t="shared" si="86"/>
        <v>100</v>
      </c>
      <c r="S580" s="83">
        <f t="shared" si="87"/>
        <v>695</v>
      </c>
      <c r="T580" s="83">
        <f>50</f>
        <v>50</v>
      </c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</row>
    <row r="581" spans="1:30" ht="15.75" x14ac:dyDescent="0.25">
      <c r="A581" s="32">
        <v>58622</v>
      </c>
      <c r="B581" s="95">
        <v>30</v>
      </c>
      <c r="C581" s="83">
        <f>194.205</f>
        <v>194.20500000000001</v>
      </c>
      <c r="D581" s="83">
        <f>267.466</f>
        <v>267.46600000000001</v>
      </c>
      <c r="E581" s="92">
        <f>133.845</f>
        <v>133.845</v>
      </c>
      <c r="F581" s="83">
        <f>278.484-40-25-60-100</f>
        <v>53.48399999999998</v>
      </c>
      <c r="G581" s="86">
        <v>40</v>
      </c>
      <c r="H581" s="83">
        <f t="shared" si="92"/>
        <v>185</v>
      </c>
      <c r="I581" s="83">
        <f t="shared" si="90"/>
        <v>0</v>
      </c>
      <c r="J581" s="86">
        <v>100</v>
      </c>
      <c r="K581" s="86">
        <v>300</v>
      </c>
      <c r="L581" s="83">
        <f t="shared" si="84"/>
        <v>1274</v>
      </c>
      <c r="M581" s="94">
        <v>600</v>
      </c>
      <c r="N581" s="83">
        <f>30</f>
        <v>30</v>
      </c>
      <c r="O581" s="86">
        <v>240</v>
      </c>
      <c r="P581" s="86">
        <v>160</v>
      </c>
      <c r="Q581" s="86">
        <f t="shared" si="85"/>
        <v>195</v>
      </c>
      <c r="R581" s="86">
        <f t="shared" si="86"/>
        <v>100</v>
      </c>
      <c r="S581" s="83">
        <f t="shared" si="87"/>
        <v>695</v>
      </c>
      <c r="T581" s="83">
        <f>50</f>
        <v>50</v>
      </c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</row>
    <row r="582" spans="1:30" ht="15.75" x14ac:dyDescent="0.25">
      <c r="A582" s="32">
        <v>58653</v>
      </c>
      <c r="B582" s="95">
        <v>31</v>
      </c>
      <c r="C582" s="83">
        <f>194.205</f>
        <v>194.20500000000001</v>
      </c>
      <c r="D582" s="83">
        <f>267.466</f>
        <v>267.46600000000001</v>
      </c>
      <c r="E582" s="92">
        <f>133.845</f>
        <v>133.845</v>
      </c>
      <c r="F582" s="83">
        <f>278.484-40-25-60-100</f>
        <v>53.48399999999998</v>
      </c>
      <c r="G582" s="86">
        <v>40</v>
      </c>
      <c r="H582" s="83">
        <f t="shared" si="92"/>
        <v>185</v>
      </c>
      <c r="I582" s="83">
        <f t="shared" si="90"/>
        <v>0</v>
      </c>
      <c r="J582" s="86">
        <v>100</v>
      </c>
      <c r="K582" s="86">
        <v>300</v>
      </c>
      <c r="L582" s="83">
        <f t="shared" si="84"/>
        <v>1274</v>
      </c>
      <c r="M582" s="94">
        <v>600</v>
      </c>
      <c r="N582" s="83">
        <f>30</f>
        <v>30</v>
      </c>
      <c r="O582" s="86">
        <v>240</v>
      </c>
      <c r="P582" s="86">
        <v>160</v>
      </c>
      <c r="Q582" s="86">
        <f t="shared" si="85"/>
        <v>195</v>
      </c>
      <c r="R582" s="86">
        <f t="shared" si="86"/>
        <v>100</v>
      </c>
      <c r="S582" s="83">
        <f t="shared" si="87"/>
        <v>695</v>
      </c>
      <c r="T582" s="83">
        <f>0</f>
        <v>0</v>
      </c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</row>
    <row r="583" spans="1:30" ht="15.75" x14ac:dyDescent="0.25">
      <c r="A583" s="32">
        <v>58684</v>
      </c>
      <c r="B583" s="95">
        <v>31</v>
      </c>
      <c r="C583" s="83">
        <f>194.205</f>
        <v>194.20500000000001</v>
      </c>
      <c r="D583" s="83">
        <f>267.466</f>
        <v>267.46600000000001</v>
      </c>
      <c r="E583" s="92">
        <f>133.845</f>
        <v>133.845</v>
      </c>
      <c r="F583" s="83">
        <f>278.484-40-25-60-100</f>
        <v>53.48399999999998</v>
      </c>
      <c r="G583" s="86">
        <v>40</v>
      </c>
      <c r="H583" s="83">
        <f t="shared" si="92"/>
        <v>185</v>
      </c>
      <c r="I583" s="83">
        <f t="shared" si="90"/>
        <v>0</v>
      </c>
      <c r="J583" s="86">
        <v>100</v>
      </c>
      <c r="K583" s="86">
        <v>300</v>
      </c>
      <c r="L583" s="83">
        <f t="shared" si="84"/>
        <v>1274</v>
      </c>
      <c r="M583" s="94">
        <v>600</v>
      </c>
      <c r="N583" s="83">
        <f>30</f>
        <v>30</v>
      </c>
      <c r="O583" s="86">
        <v>240</v>
      </c>
      <c r="P583" s="86">
        <v>160</v>
      </c>
      <c r="Q583" s="86">
        <f t="shared" si="85"/>
        <v>195</v>
      </c>
      <c r="R583" s="86">
        <f t="shared" si="86"/>
        <v>100</v>
      </c>
      <c r="S583" s="83">
        <f t="shared" si="87"/>
        <v>695</v>
      </c>
      <c r="T583" s="83">
        <f>0</f>
        <v>0</v>
      </c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</row>
    <row r="584" spans="1:30" ht="15.75" x14ac:dyDescent="0.25">
      <c r="A584" s="32">
        <v>58714</v>
      </c>
      <c r="B584" s="95">
        <v>30</v>
      </c>
      <c r="C584" s="83">
        <f>194.205</f>
        <v>194.20500000000001</v>
      </c>
      <c r="D584" s="83">
        <f>267.466</f>
        <v>267.46600000000001</v>
      </c>
      <c r="E584" s="92">
        <f>133.845</f>
        <v>133.845</v>
      </c>
      <c r="F584" s="83">
        <f>278.484-40-25-60-100</f>
        <v>53.48399999999998</v>
      </c>
      <c r="G584" s="86">
        <v>40</v>
      </c>
      <c r="H584" s="83">
        <f t="shared" si="92"/>
        <v>185</v>
      </c>
      <c r="I584" s="83">
        <f t="shared" si="90"/>
        <v>0</v>
      </c>
      <c r="J584" s="86">
        <v>100</v>
      </c>
      <c r="K584" s="86">
        <v>300</v>
      </c>
      <c r="L584" s="83">
        <f t="shared" si="84"/>
        <v>1274</v>
      </c>
      <c r="M584" s="94">
        <v>600</v>
      </c>
      <c r="N584" s="83">
        <f>30</f>
        <v>30</v>
      </c>
      <c r="O584" s="86">
        <v>240</v>
      </c>
      <c r="P584" s="86">
        <v>160</v>
      </c>
      <c r="Q584" s="86">
        <f t="shared" si="85"/>
        <v>195</v>
      </c>
      <c r="R584" s="86">
        <f t="shared" si="86"/>
        <v>100</v>
      </c>
      <c r="S584" s="83">
        <f t="shared" si="87"/>
        <v>695</v>
      </c>
      <c r="T584" s="83">
        <f>0</f>
        <v>0</v>
      </c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</row>
    <row r="585" spans="1:30" ht="15.75" x14ac:dyDescent="0.25">
      <c r="A585" s="32">
        <v>58745</v>
      </c>
      <c r="B585" s="95">
        <v>31</v>
      </c>
      <c r="C585" s="83">
        <f>131.881</f>
        <v>131.881</v>
      </c>
      <c r="D585" s="83">
        <f>277.167</f>
        <v>277.16699999999997</v>
      </c>
      <c r="E585" s="92">
        <f>79.08</f>
        <v>79.08</v>
      </c>
      <c r="F585" s="83">
        <f>350.872-40-25-60-100</f>
        <v>125.87200000000001</v>
      </c>
      <c r="G585" s="86">
        <v>40</v>
      </c>
      <c r="H585" s="83">
        <f t="shared" si="92"/>
        <v>185</v>
      </c>
      <c r="I585" s="83">
        <f t="shared" si="90"/>
        <v>0</v>
      </c>
      <c r="J585" s="86">
        <v>100</v>
      </c>
      <c r="K585" s="86">
        <v>300</v>
      </c>
      <c r="L585" s="83">
        <f t="shared" si="84"/>
        <v>1239</v>
      </c>
      <c r="M585" s="94">
        <v>600</v>
      </c>
      <c r="N585" s="83">
        <f>75</f>
        <v>75</v>
      </c>
      <c r="O585" s="86">
        <v>240</v>
      </c>
      <c r="P585" s="86">
        <v>160</v>
      </c>
      <c r="Q585" s="86">
        <f t="shared" si="85"/>
        <v>195</v>
      </c>
      <c r="R585" s="86">
        <f t="shared" si="86"/>
        <v>100</v>
      </c>
      <c r="S585" s="83">
        <f t="shared" si="87"/>
        <v>695</v>
      </c>
      <c r="T585" s="83">
        <f>0</f>
        <v>0</v>
      </c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</row>
    <row r="586" spans="1:30" ht="15.75" x14ac:dyDescent="0.25">
      <c r="A586" s="32">
        <v>58775</v>
      </c>
      <c r="B586" s="95">
        <v>30</v>
      </c>
      <c r="C586" s="83">
        <f>122.58</f>
        <v>122.58</v>
      </c>
      <c r="D586" s="83">
        <f>297.941</f>
        <v>297.94099999999997</v>
      </c>
      <c r="E586" s="92">
        <f>89.177</f>
        <v>89.177000000000007</v>
      </c>
      <c r="F586" s="83">
        <f>240.302-40-60-100</f>
        <v>40.301999999999992</v>
      </c>
      <c r="G586" s="86">
        <v>40</v>
      </c>
      <c r="H586" s="83">
        <f>60+100</f>
        <v>160</v>
      </c>
      <c r="I586" s="83">
        <f t="shared" si="90"/>
        <v>0</v>
      </c>
      <c r="J586" s="86">
        <v>100</v>
      </c>
      <c r="K586" s="86">
        <v>300</v>
      </c>
      <c r="L586" s="83">
        <f t="shared" si="84"/>
        <v>1150</v>
      </c>
      <c r="M586" s="94">
        <v>600</v>
      </c>
      <c r="N586" s="83">
        <f>100</f>
        <v>100</v>
      </c>
      <c r="O586" s="86">
        <v>240</v>
      </c>
      <c r="P586" s="86">
        <v>40</v>
      </c>
      <c r="Q586" s="86">
        <f t="shared" si="85"/>
        <v>315</v>
      </c>
      <c r="R586" s="86">
        <f t="shared" si="86"/>
        <v>100</v>
      </c>
      <c r="S586" s="83">
        <f t="shared" si="87"/>
        <v>695</v>
      </c>
      <c r="T586" s="83">
        <f>50</f>
        <v>50</v>
      </c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</row>
    <row r="587" spans="1:30" ht="15.75" x14ac:dyDescent="0.25">
      <c r="A587" s="32">
        <v>58806</v>
      </c>
      <c r="B587" s="95">
        <v>31</v>
      </c>
      <c r="C587" s="83">
        <f>122.58</f>
        <v>122.58</v>
      </c>
      <c r="D587" s="83">
        <f>297.941</f>
        <v>297.94099999999997</v>
      </c>
      <c r="E587" s="92">
        <f>89.177</f>
        <v>89.177000000000007</v>
      </c>
      <c r="F587" s="83">
        <f>240.302-40-60-100</f>
        <v>40.301999999999992</v>
      </c>
      <c r="G587" s="86">
        <v>40</v>
      </c>
      <c r="H587" s="83">
        <f>60+100</f>
        <v>160</v>
      </c>
      <c r="I587" s="83">
        <f t="shared" si="90"/>
        <v>0</v>
      </c>
      <c r="J587" s="86">
        <v>100</v>
      </c>
      <c r="K587" s="86">
        <v>300</v>
      </c>
      <c r="L587" s="83">
        <f t="shared" si="84"/>
        <v>1150</v>
      </c>
      <c r="M587" s="94">
        <v>600</v>
      </c>
      <c r="N587" s="83">
        <f>100</f>
        <v>100</v>
      </c>
      <c r="O587" s="86">
        <v>240</v>
      </c>
      <c r="P587" s="86">
        <v>40</v>
      </c>
      <c r="Q587" s="86">
        <f t="shared" si="85"/>
        <v>315</v>
      </c>
      <c r="R587" s="86">
        <f t="shared" si="86"/>
        <v>100</v>
      </c>
      <c r="S587" s="83">
        <f t="shared" si="87"/>
        <v>695</v>
      </c>
      <c r="T587" s="83">
        <f>50</f>
        <v>50</v>
      </c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</row>
    <row r="588" spans="1:30" ht="15.75" x14ac:dyDescent="0.25">
      <c r="A588" s="32">
        <v>58837</v>
      </c>
      <c r="B588" s="95">
        <v>31</v>
      </c>
      <c r="C588" s="83">
        <f>122.58</f>
        <v>122.58</v>
      </c>
      <c r="D588" s="83">
        <f>297.941</f>
        <v>297.94099999999997</v>
      </c>
      <c r="E588" s="92">
        <f>89.177</f>
        <v>89.177000000000007</v>
      </c>
      <c r="F588" s="83">
        <f>240.302-40-60-100</f>
        <v>40.301999999999992</v>
      </c>
      <c r="G588" s="86">
        <v>40</v>
      </c>
      <c r="H588" s="83">
        <f>60+100</f>
        <v>160</v>
      </c>
      <c r="I588" s="83">
        <f t="shared" si="90"/>
        <v>0</v>
      </c>
      <c r="J588" s="86">
        <v>100</v>
      </c>
      <c r="K588" s="86">
        <v>300</v>
      </c>
      <c r="L588" s="83">
        <f t="shared" si="84"/>
        <v>1150</v>
      </c>
      <c r="M588" s="94">
        <v>600</v>
      </c>
      <c r="N588" s="83">
        <f>100</f>
        <v>100</v>
      </c>
      <c r="O588" s="86">
        <v>240</v>
      </c>
      <c r="P588" s="86">
        <v>40</v>
      </c>
      <c r="Q588" s="86">
        <f t="shared" si="85"/>
        <v>315</v>
      </c>
      <c r="R588" s="86">
        <f t="shared" si="86"/>
        <v>100</v>
      </c>
      <c r="S588" s="83">
        <f t="shared" si="87"/>
        <v>695</v>
      </c>
      <c r="T588" s="83">
        <f>50</f>
        <v>50</v>
      </c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</row>
    <row r="589" spans="1:30" ht="15.75" x14ac:dyDescent="0.25">
      <c r="A589" s="32">
        <v>58865</v>
      </c>
      <c r="B589" s="95">
        <v>28</v>
      </c>
      <c r="C589" s="83">
        <f>122.58</f>
        <v>122.58</v>
      </c>
      <c r="D589" s="83">
        <f>297.941</f>
        <v>297.94099999999997</v>
      </c>
      <c r="E589" s="92">
        <f>89.177</f>
        <v>89.177000000000007</v>
      </c>
      <c r="F589" s="83">
        <f>240.302-40-60-100</f>
        <v>40.301999999999992</v>
      </c>
      <c r="G589" s="86">
        <v>40</v>
      </c>
      <c r="H589" s="83">
        <f>60+100</f>
        <v>160</v>
      </c>
      <c r="I589" s="83">
        <f t="shared" si="90"/>
        <v>0</v>
      </c>
      <c r="J589" s="86">
        <v>100</v>
      </c>
      <c r="K589" s="86">
        <v>300</v>
      </c>
      <c r="L589" s="83">
        <f t="shared" si="84"/>
        <v>1150</v>
      </c>
      <c r="M589" s="94">
        <v>600</v>
      </c>
      <c r="N589" s="83">
        <f>100</f>
        <v>100</v>
      </c>
      <c r="O589" s="86">
        <v>240</v>
      </c>
      <c r="P589" s="86">
        <v>40</v>
      </c>
      <c r="Q589" s="86">
        <f t="shared" si="85"/>
        <v>315</v>
      </c>
      <c r="R589" s="86">
        <f t="shared" si="86"/>
        <v>100</v>
      </c>
      <c r="S589" s="83">
        <f t="shared" si="87"/>
        <v>695</v>
      </c>
      <c r="T589" s="83">
        <f>50</f>
        <v>50</v>
      </c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</row>
    <row r="590" spans="1:30" ht="15.75" x14ac:dyDescent="0.25">
      <c r="A590" s="32">
        <v>58893</v>
      </c>
      <c r="B590" s="95">
        <v>31</v>
      </c>
      <c r="C590" s="83">
        <f>122.58</f>
        <v>122.58</v>
      </c>
      <c r="D590" s="83">
        <f>297.941</f>
        <v>297.94099999999997</v>
      </c>
      <c r="E590" s="92">
        <f>89.177</f>
        <v>89.177000000000007</v>
      </c>
      <c r="F590" s="83">
        <f>240.302-40-60-100</f>
        <v>40.301999999999992</v>
      </c>
      <c r="G590" s="86">
        <v>40</v>
      </c>
      <c r="H590" s="83">
        <f>60+100</f>
        <v>160</v>
      </c>
      <c r="I590" s="83">
        <f t="shared" si="90"/>
        <v>0</v>
      </c>
      <c r="J590" s="86">
        <v>100</v>
      </c>
      <c r="K590" s="86">
        <v>300</v>
      </c>
      <c r="L590" s="83">
        <f t="shared" si="84"/>
        <v>1150</v>
      </c>
      <c r="M590" s="94">
        <v>600</v>
      </c>
      <c r="N590" s="83">
        <f>100</f>
        <v>100</v>
      </c>
      <c r="O590" s="86">
        <v>240</v>
      </c>
      <c r="P590" s="86">
        <v>40</v>
      </c>
      <c r="Q590" s="86">
        <f t="shared" si="85"/>
        <v>315</v>
      </c>
      <c r="R590" s="86">
        <f t="shared" si="86"/>
        <v>100</v>
      </c>
      <c r="S590" s="83">
        <f t="shared" si="87"/>
        <v>695</v>
      </c>
      <c r="T590" s="83">
        <f>50</f>
        <v>50</v>
      </c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</row>
    <row r="591" spans="1:30" ht="15.75" x14ac:dyDescent="0.25">
      <c r="A591" s="32">
        <v>58926</v>
      </c>
      <c r="B591" s="95">
        <v>30</v>
      </c>
      <c r="C591" s="83">
        <f>141.293</f>
        <v>141.29300000000001</v>
      </c>
      <c r="D591" s="83">
        <f>267.993</f>
        <v>267.99299999999999</v>
      </c>
      <c r="E591" s="92">
        <f>115.016</f>
        <v>115.01600000000001</v>
      </c>
      <c r="F591" s="83">
        <f>314.698-40-25-60-100</f>
        <v>89.697999999999979</v>
      </c>
      <c r="G591" s="86">
        <v>40</v>
      </c>
      <c r="H591" s="83">
        <f t="shared" ref="H591:H597" si="93">25+60+100</f>
        <v>185</v>
      </c>
      <c r="I591" s="83">
        <f t="shared" si="90"/>
        <v>0</v>
      </c>
      <c r="J591" s="86">
        <v>100</v>
      </c>
      <c r="K591" s="86">
        <v>300</v>
      </c>
      <c r="L591" s="83">
        <f t="shared" si="84"/>
        <v>1239</v>
      </c>
      <c r="M591" s="94">
        <v>600</v>
      </c>
      <c r="N591" s="83">
        <f>100</f>
        <v>100</v>
      </c>
      <c r="O591" s="86">
        <v>240</v>
      </c>
      <c r="P591" s="86">
        <v>160</v>
      </c>
      <c r="Q591" s="86">
        <f t="shared" si="85"/>
        <v>195</v>
      </c>
      <c r="R591" s="86">
        <f t="shared" si="86"/>
        <v>100</v>
      </c>
      <c r="S591" s="83">
        <f t="shared" si="87"/>
        <v>695</v>
      </c>
      <c r="T591" s="83">
        <f>50</f>
        <v>50</v>
      </c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</row>
    <row r="592" spans="1:30" ht="15.75" x14ac:dyDescent="0.25">
      <c r="A592" s="32">
        <v>58957</v>
      </c>
      <c r="B592" s="95">
        <v>31</v>
      </c>
      <c r="C592" s="83">
        <f>194.205</f>
        <v>194.20500000000001</v>
      </c>
      <c r="D592" s="83">
        <f>267.466</f>
        <v>267.46600000000001</v>
      </c>
      <c r="E592" s="92">
        <f>133.845</f>
        <v>133.845</v>
      </c>
      <c r="F592" s="83">
        <f>278.484-40-25-60-100</f>
        <v>53.48399999999998</v>
      </c>
      <c r="G592" s="86">
        <v>40</v>
      </c>
      <c r="H592" s="83">
        <f t="shared" si="93"/>
        <v>185</v>
      </c>
      <c r="I592" s="83">
        <f t="shared" si="90"/>
        <v>0</v>
      </c>
      <c r="J592" s="86">
        <v>100</v>
      </c>
      <c r="K592" s="86">
        <v>300</v>
      </c>
      <c r="L592" s="83">
        <f t="shared" si="84"/>
        <v>1274</v>
      </c>
      <c r="M592" s="94">
        <v>600</v>
      </c>
      <c r="N592" s="83">
        <f>75</f>
        <v>75</v>
      </c>
      <c r="O592" s="86">
        <v>240</v>
      </c>
      <c r="P592" s="86">
        <v>160</v>
      </c>
      <c r="Q592" s="86">
        <f t="shared" si="85"/>
        <v>195</v>
      </c>
      <c r="R592" s="86">
        <f t="shared" si="86"/>
        <v>100</v>
      </c>
      <c r="S592" s="83">
        <f t="shared" si="87"/>
        <v>695</v>
      </c>
      <c r="T592" s="83">
        <f>50</f>
        <v>50</v>
      </c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</row>
    <row r="593" spans="1:30" ht="15.75" x14ac:dyDescent="0.25">
      <c r="A593" s="32">
        <v>58987</v>
      </c>
      <c r="B593" s="95">
        <v>30</v>
      </c>
      <c r="C593" s="83">
        <f>194.205</f>
        <v>194.20500000000001</v>
      </c>
      <c r="D593" s="83">
        <f>267.466</f>
        <v>267.46600000000001</v>
      </c>
      <c r="E593" s="92">
        <f>133.845</f>
        <v>133.845</v>
      </c>
      <c r="F593" s="83">
        <f>278.484-40-25-60-100</f>
        <v>53.48399999999998</v>
      </c>
      <c r="G593" s="86">
        <v>40</v>
      </c>
      <c r="H593" s="83">
        <f t="shared" si="93"/>
        <v>185</v>
      </c>
      <c r="I593" s="83">
        <f t="shared" si="90"/>
        <v>0</v>
      </c>
      <c r="J593" s="86">
        <v>100</v>
      </c>
      <c r="K593" s="86">
        <v>300</v>
      </c>
      <c r="L593" s="83">
        <f t="shared" si="84"/>
        <v>1274</v>
      </c>
      <c r="M593" s="94">
        <v>600</v>
      </c>
      <c r="N593" s="83">
        <f>30</f>
        <v>30</v>
      </c>
      <c r="O593" s="86">
        <v>240</v>
      </c>
      <c r="P593" s="86">
        <v>160</v>
      </c>
      <c r="Q593" s="86">
        <f t="shared" si="85"/>
        <v>195</v>
      </c>
      <c r="R593" s="86">
        <f t="shared" si="86"/>
        <v>100</v>
      </c>
      <c r="S593" s="83">
        <f t="shared" si="87"/>
        <v>695</v>
      </c>
      <c r="T593" s="83">
        <f>50</f>
        <v>50</v>
      </c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</row>
    <row r="594" spans="1:30" ht="15.75" x14ac:dyDescent="0.25">
      <c r="A594" s="32">
        <v>59018</v>
      </c>
      <c r="B594" s="95">
        <v>31</v>
      </c>
      <c r="C594" s="83">
        <f>194.205</f>
        <v>194.20500000000001</v>
      </c>
      <c r="D594" s="83">
        <f>267.466</f>
        <v>267.46600000000001</v>
      </c>
      <c r="E594" s="92">
        <f>133.845</f>
        <v>133.845</v>
      </c>
      <c r="F594" s="83">
        <f>278.484-40-25-60-100</f>
        <v>53.48399999999998</v>
      </c>
      <c r="G594" s="86">
        <v>40</v>
      </c>
      <c r="H594" s="83">
        <f t="shared" si="93"/>
        <v>185</v>
      </c>
      <c r="I594" s="83">
        <f t="shared" si="90"/>
        <v>0</v>
      </c>
      <c r="J594" s="86">
        <v>100</v>
      </c>
      <c r="K594" s="86">
        <v>300</v>
      </c>
      <c r="L594" s="83">
        <f t="shared" si="84"/>
        <v>1274</v>
      </c>
      <c r="M594" s="94">
        <v>600</v>
      </c>
      <c r="N594" s="83">
        <f>30</f>
        <v>30</v>
      </c>
      <c r="O594" s="86">
        <v>240</v>
      </c>
      <c r="P594" s="86">
        <v>160</v>
      </c>
      <c r="Q594" s="86">
        <f t="shared" si="85"/>
        <v>195</v>
      </c>
      <c r="R594" s="86">
        <f t="shared" si="86"/>
        <v>100</v>
      </c>
      <c r="S594" s="83">
        <f t="shared" si="87"/>
        <v>695</v>
      </c>
      <c r="T594" s="83">
        <f>0</f>
        <v>0</v>
      </c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</row>
    <row r="595" spans="1:30" ht="15.75" x14ac:dyDescent="0.25">
      <c r="A595" s="32">
        <v>59049</v>
      </c>
      <c r="B595" s="95">
        <v>31</v>
      </c>
      <c r="C595" s="83">
        <f>194.205</f>
        <v>194.20500000000001</v>
      </c>
      <c r="D595" s="83">
        <f>267.466</f>
        <v>267.46600000000001</v>
      </c>
      <c r="E595" s="92">
        <f>133.845</f>
        <v>133.845</v>
      </c>
      <c r="F595" s="83">
        <f>278.484-40-25-60-100</f>
        <v>53.48399999999998</v>
      </c>
      <c r="G595" s="86">
        <v>40</v>
      </c>
      <c r="H595" s="83">
        <f t="shared" si="93"/>
        <v>185</v>
      </c>
      <c r="I595" s="83">
        <f t="shared" si="90"/>
        <v>0</v>
      </c>
      <c r="J595" s="86">
        <v>100</v>
      </c>
      <c r="K595" s="86">
        <v>300</v>
      </c>
      <c r="L595" s="83">
        <f t="shared" si="84"/>
        <v>1274</v>
      </c>
      <c r="M595" s="94">
        <v>600</v>
      </c>
      <c r="N595" s="83">
        <f>30</f>
        <v>30</v>
      </c>
      <c r="O595" s="86">
        <v>240</v>
      </c>
      <c r="P595" s="86">
        <v>160</v>
      </c>
      <c r="Q595" s="86">
        <f t="shared" si="85"/>
        <v>195</v>
      </c>
      <c r="R595" s="86">
        <f t="shared" si="86"/>
        <v>100</v>
      </c>
      <c r="S595" s="83">
        <f t="shared" si="87"/>
        <v>695</v>
      </c>
      <c r="T595" s="83">
        <f>0</f>
        <v>0</v>
      </c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</row>
    <row r="596" spans="1:30" ht="15.75" x14ac:dyDescent="0.25">
      <c r="A596" s="32">
        <v>59079</v>
      </c>
      <c r="B596" s="95">
        <v>30</v>
      </c>
      <c r="C596" s="83">
        <f>194.205</f>
        <v>194.20500000000001</v>
      </c>
      <c r="D596" s="83">
        <f>267.466</f>
        <v>267.46600000000001</v>
      </c>
      <c r="E596" s="92">
        <f>133.845</f>
        <v>133.845</v>
      </c>
      <c r="F596" s="83">
        <f>278.484-40-25-60-100</f>
        <v>53.48399999999998</v>
      </c>
      <c r="G596" s="86">
        <v>40</v>
      </c>
      <c r="H596" s="83">
        <f t="shared" si="93"/>
        <v>185</v>
      </c>
      <c r="I596" s="83">
        <f t="shared" si="90"/>
        <v>0</v>
      </c>
      <c r="J596" s="86">
        <v>100</v>
      </c>
      <c r="K596" s="86">
        <v>300</v>
      </c>
      <c r="L596" s="83">
        <f t="shared" si="84"/>
        <v>1274</v>
      </c>
      <c r="M596" s="94">
        <v>600</v>
      </c>
      <c r="N596" s="83">
        <f>30</f>
        <v>30</v>
      </c>
      <c r="O596" s="86">
        <v>240</v>
      </c>
      <c r="P596" s="86">
        <v>160</v>
      </c>
      <c r="Q596" s="86">
        <f t="shared" si="85"/>
        <v>195</v>
      </c>
      <c r="R596" s="86">
        <f t="shared" si="86"/>
        <v>100</v>
      </c>
      <c r="S596" s="83">
        <f t="shared" si="87"/>
        <v>695</v>
      </c>
      <c r="T596" s="83">
        <f>0</f>
        <v>0</v>
      </c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</row>
    <row r="597" spans="1:30" ht="15.75" x14ac:dyDescent="0.25">
      <c r="A597" s="32">
        <v>59110</v>
      </c>
      <c r="B597" s="95">
        <v>31</v>
      </c>
      <c r="C597" s="83">
        <f>131.881</f>
        <v>131.881</v>
      </c>
      <c r="D597" s="83">
        <f>277.167</f>
        <v>277.16699999999997</v>
      </c>
      <c r="E597" s="92">
        <f>79.08</f>
        <v>79.08</v>
      </c>
      <c r="F597" s="83">
        <f>350.872-40-25-60-100</f>
        <v>125.87200000000001</v>
      </c>
      <c r="G597" s="86">
        <v>40</v>
      </c>
      <c r="H597" s="83">
        <f t="shared" si="93"/>
        <v>185</v>
      </c>
      <c r="I597" s="83">
        <f t="shared" si="90"/>
        <v>0</v>
      </c>
      <c r="J597" s="86">
        <v>100</v>
      </c>
      <c r="K597" s="86">
        <v>300</v>
      </c>
      <c r="L597" s="83">
        <f t="shared" ref="L597:L660" si="94">SUM(C597:K597)</f>
        <v>1239</v>
      </c>
      <c r="M597" s="94">
        <v>600</v>
      </c>
      <c r="N597" s="83">
        <f>75</f>
        <v>75</v>
      </c>
      <c r="O597" s="86">
        <v>240</v>
      </c>
      <c r="P597" s="86">
        <v>160</v>
      </c>
      <c r="Q597" s="86">
        <f t="shared" ref="Q597:Q660" si="95">695-R597-O597-P597</f>
        <v>195</v>
      </c>
      <c r="R597" s="86">
        <f t="shared" ref="R597:R660" si="96">200-J597</f>
        <v>100</v>
      </c>
      <c r="S597" s="83">
        <f t="shared" ref="S597:S660" si="97">SUM(O597:R597)</f>
        <v>695</v>
      </c>
      <c r="T597" s="83">
        <f>0</f>
        <v>0</v>
      </c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</row>
    <row r="598" spans="1:30" ht="15.75" x14ac:dyDescent="0.25">
      <c r="A598" s="32">
        <v>59140</v>
      </c>
      <c r="B598" s="95">
        <v>30</v>
      </c>
      <c r="C598" s="83">
        <f>122.58</f>
        <v>122.58</v>
      </c>
      <c r="D598" s="83">
        <f>297.941</f>
        <v>297.94099999999997</v>
      </c>
      <c r="E598" s="92">
        <f>89.177</f>
        <v>89.177000000000007</v>
      </c>
      <c r="F598" s="83">
        <f>240.302-40-60-100</f>
        <v>40.301999999999992</v>
      </c>
      <c r="G598" s="86">
        <v>40</v>
      </c>
      <c r="H598" s="83">
        <f>60+100</f>
        <v>160</v>
      </c>
      <c r="I598" s="83">
        <f t="shared" si="90"/>
        <v>0</v>
      </c>
      <c r="J598" s="86">
        <v>100</v>
      </c>
      <c r="K598" s="86">
        <v>300</v>
      </c>
      <c r="L598" s="83">
        <f t="shared" si="94"/>
        <v>1150</v>
      </c>
      <c r="M598" s="94">
        <v>600</v>
      </c>
      <c r="N598" s="83">
        <f>100</f>
        <v>100</v>
      </c>
      <c r="O598" s="86">
        <v>240</v>
      </c>
      <c r="P598" s="86">
        <v>40</v>
      </c>
      <c r="Q598" s="86">
        <f t="shared" si="95"/>
        <v>315</v>
      </c>
      <c r="R598" s="86">
        <f t="shared" si="96"/>
        <v>100</v>
      </c>
      <c r="S598" s="83">
        <f t="shared" si="97"/>
        <v>695</v>
      </c>
      <c r="T598" s="83">
        <f>50</f>
        <v>50</v>
      </c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</row>
    <row r="599" spans="1:30" ht="15.75" x14ac:dyDescent="0.25">
      <c r="A599" s="32">
        <v>59171</v>
      </c>
      <c r="B599" s="95">
        <v>31</v>
      </c>
      <c r="C599" s="83">
        <f>122.58</f>
        <v>122.58</v>
      </c>
      <c r="D599" s="83">
        <f>297.941</f>
        <v>297.94099999999997</v>
      </c>
      <c r="E599" s="92">
        <f>89.177</f>
        <v>89.177000000000007</v>
      </c>
      <c r="F599" s="83">
        <f>240.302-40-60-100</f>
        <v>40.301999999999992</v>
      </c>
      <c r="G599" s="86">
        <v>40</v>
      </c>
      <c r="H599" s="83">
        <f>60+100</f>
        <v>160</v>
      </c>
      <c r="I599" s="83">
        <f t="shared" si="90"/>
        <v>0</v>
      </c>
      <c r="J599" s="86">
        <v>100</v>
      </c>
      <c r="K599" s="86">
        <v>300</v>
      </c>
      <c r="L599" s="83">
        <f t="shared" si="94"/>
        <v>1150</v>
      </c>
      <c r="M599" s="94">
        <v>600</v>
      </c>
      <c r="N599" s="83">
        <f>100</f>
        <v>100</v>
      </c>
      <c r="O599" s="86">
        <v>240</v>
      </c>
      <c r="P599" s="86">
        <v>40</v>
      </c>
      <c r="Q599" s="86">
        <f t="shared" si="95"/>
        <v>315</v>
      </c>
      <c r="R599" s="86">
        <f t="shared" si="96"/>
        <v>100</v>
      </c>
      <c r="S599" s="83">
        <f t="shared" si="97"/>
        <v>695</v>
      </c>
      <c r="T599" s="83">
        <f>50</f>
        <v>50</v>
      </c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</row>
    <row r="600" spans="1:30" ht="15.75" x14ac:dyDescent="0.25">
      <c r="A600" s="32">
        <v>59202</v>
      </c>
      <c r="B600" s="95">
        <f t="shared" ref="B600:B663" si="98">EOMONTH(A600,0)-EOMONTH(A600,-1)</f>
        <v>31</v>
      </c>
      <c r="C600" s="83">
        <f>122.58</f>
        <v>122.58</v>
      </c>
      <c r="D600" s="83">
        <f>297.941</f>
        <v>297.94099999999997</v>
      </c>
      <c r="E600" s="92">
        <f>89.177</f>
        <v>89.177000000000007</v>
      </c>
      <c r="F600" s="83">
        <f>240.302-40-60-100</f>
        <v>40.301999999999992</v>
      </c>
      <c r="G600" s="86">
        <v>40</v>
      </c>
      <c r="H600" s="83">
        <f>60+100</f>
        <v>160</v>
      </c>
      <c r="I600" s="83">
        <f t="shared" si="90"/>
        <v>0</v>
      </c>
      <c r="J600" s="86">
        <v>100</v>
      </c>
      <c r="K600" s="86">
        <v>300</v>
      </c>
      <c r="L600" s="83">
        <f t="shared" si="94"/>
        <v>1150</v>
      </c>
      <c r="M600" s="94">
        <v>600</v>
      </c>
      <c r="N600" s="83">
        <f>100</f>
        <v>100</v>
      </c>
      <c r="O600" s="86">
        <v>240</v>
      </c>
      <c r="P600" s="86">
        <v>40</v>
      </c>
      <c r="Q600" s="86">
        <f t="shared" si="95"/>
        <v>315</v>
      </c>
      <c r="R600" s="86">
        <f t="shared" si="96"/>
        <v>100</v>
      </c>
      <c r="S600" s="83">
        <f t="shared" si="97"/>
        <v>695</v>
      </c>
      <c r="T600" s="83">
        <f>50</f>
        <v>50</v>
      </c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</row>
    <row r="601" spans="1:30" ht="15.75" x14ac:dyDescent="0.25">
      <c r="A601" s="32">
        <v>59230</v>
      </c>
      <c r="B601" s="95">
        <f t="shared" si="98"/>
        <v>28</v>
      </c>
      <c r="C601" s="83">
        <f>122.58</f>
        <v>122.58</v>
      </c>
      <c r="D601" s="83">
        <f>297.941</f>
        <v>297.94099999999997</v>
      </c>
      <c r="E601" s="92">
        <f>89.177</f>
        <v>89.177000000000007</v>
      </c>
      <c r="F601" s="83">
        <f>240.302-40-60-100</f>
        <v>40.301999999999992</v>
      </c>
      <c r="G601" s="86">
        <v>40</v>
      </c>
      <c r="H601" s="83">
        <f>60+100</f>
        <v>160</v>
      </c>
      <c r="I601" s="83">
        <f t="shared" si="90"/>
        <v>0</v>
      </c>
      <c r="J601" s="86">
        <v>100</v>
      </c>
      <c r="K601" s="86">
        <v>300</v>
      </c>
      <c r="L601" s="83">
        <f t="shared" si="94"/>
        <v>1150</v>
      </c>
      <c r="M601" s="94">
        <v>600</v>
      </c>
      <c r="N601" s="83">
        <f>100</f>
        <v>100</v>
      </c>
      <c r="O601" s="86">
        <v>240</v>
      </c>
      <c r="P601" s="86">
        <v>40</v>
      </c>
      <c r="Q601" s="86">
        <f t="shared" si="95"/>
        <v>315</v>
      </c>
      <c r="R601" s="86">
        <f t="shared" si="96"/>
        <v>100</v>
      </c>
      <c r="S601" s="83">
        <f t="shared" si="97"/>
        <v>695</v>
      </c>
      <c r="T601" s="83">
        <f>50</f>
        <v>50</v>
      </c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</row>
    <row r="602" spans="1:30" ht="15.75" x14ac:dyDescent="0.25">
      <c r="A602" s="32">
        <v>59261</v>
      </c>
      <c r="B602" s="95">
        <f t="shared" si="98"/>
        <v>31</v>
      </c>
      <c r="C602" s="83">
        <f>122.58</f>
        <v>122.58</v>
      </c>
      <c r="D602" s="83">
        <f>297.941</f>
        <v>297.94099999999997</v>
      </c>
      <c r="E602" s="92">
        <f>89.177</f>
        <v>89.177000000000007</v>
      </c>
      <c r="F602" s="83">
        <f>240.302-40-60-100</f>
        <v>40.301999999999992</v>
      </c>
      <c r="G602" s="86">
        <v>40</v>
      </c>
      <c r="H602" s="83">
        <f>60+100</f>
        <v>160</v>
      </c>
      <c r="I602" s="83">
        <f t="shared" si="90"/>
        <v>0</v>
      </c>
      <c r="J602" s="86">
        <v>100</v>
      </c>
      <c r="K602" s="86">
        <v>300</v>
      </c>
      <c r="L602" s="83">
        <f t="shared" si="94"/>
        <v>1150</v>
      </c>
      <c r="M602" s="94">
        <v>600</v>
      </c>
      <c r="N602" s="83">
        <f>100</f>
        <v>100</v>
      </c>
      <c r="O602" s="86">
        <v>240</v>
      </c>
      <c r="P602" s="86">
        <v>40</v>
      </c>
      <c r="Q602" s="86">
        <f t="shared" si="95"/>
        <v>315</v>
      </c>
      <c r="R602" s="86">
        <f t="shared" si="96"/>
        <v>100</v>
      </c>
      <c r="S602" s="83">
        <f t="shared" si="97"/>
        <v>695</v>
      </c>
      <c r="T602" s="83">
        <f>50</f>
        <v>50</v>
      </c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</row>
    <row r="603" spans="1:30" ht="15.75" x14ac:dyDescent="0.25">
      <c r="A603" s="32">
        <v>59291</v>
      </c>
      <c r="B603" s="95">
        <f t="shared" si="98"/>
        <v>30</v>
      </c>
      <c r="C603" s="83">
        <f>141.293</f>
        <v>141.29300000000001</v>
      </c>
      <c r="D603" s="83">
        <f>267.993</f>
        <v>267.99299999999999</v>
      </c>
      <c r="E603" s="92">
        <f>115.016</f>
        <v>115.01600000000001</v>
      </c>
      <c r="F603" s="83">
        <f>314.698-40-25-60-100</f>
        <v>89.697999999999979</v>
      </c>
      <c r="G603" s="86">
        <v>40</v>
      </c>
      <c r="H603" s="83">
        <f t="shared" ref="H603:H609" si="99">25+60+100</f>
        <v>185</v>
      </c>
      <c r="I603" s="83">
        <f t="shared" si="90"/>
        <v>0</v>
      </c>
      <c r="J603" s="86">
        <v>100</v>
      </c>
      <c r="K603" s="86">
        <v>300</v>
      </c>
      <c r="L603" s="83">
        <f t="shared" si="94"/>
        <v>1239</v>
      </c>
      <c r="M603" s="94">
        <v>600</v>
      </c>
      <c r="N603" s="83">
        <f>100</f>
        <v>100</v>
      </c>
      <c r="O603" s="86">
        <v>240</v>
      </c>
      <c r="P603" s="86">
        <v>40</v>
      </c>
      <c r="Q603" s="86">
        <f t="shared" si="95"/>
        <v>315</v>
      </c>
      <c r="R603" s="86">
        <f t="shared" si="96"/>
        <v>100</v>
      </c>
      <c r="S603" s="83">
        <f t="shared" si="97"/>
        <v>695</v>
      </c>
      <c r="T603" s="83">
        <f>50</f>
        <v>50</v>
      </c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</row>
    <row r="604" spans="1:30" ht="15.75" x14ac:dyDescent="0.25">
      <c r="A604" s="32">
        <v>59322</v>
      </c>
      <c r="B604" s="95">
        <f t="shared" si="98"/>
        <v>31</v>
      </c>
      <c r="C604" s="83">
        <f>194.205</f>
        <v>194.20500000000001</v>
      </c>
      <c r="D604" s="83">
        <f>267.466</f>
        <v>267.46600000000001</v>
      </c>
      <c r="E604" s="92">
        <f>133.845</f>
        <v>133.845</v>
      </c>
      <c r="F604" s="83">
        <f>278.484-40-25-60-100</f>
        <v>53.48399999999998</v>
      </c>
      <c r="G604" s="86">
        <v>40</v>
      </c>
      <c r="H604" s="83">
        <f t="shared" si="99"/>
        <v>185</v>
      </c>
      <c r="I604" s="83">
        <f t="shared" si="90"/>
        <v>0</v>
      </c>
      <c r="J604" s="86">
        <v>100</v>
      </c>
      <c r="K604" s="86">
        <v>300</v>
      </c>
      <c r="L604" s="83">
        <f t="shared" si="94"/>
        <v>1274</v>
      </c>
      <c r="M604" s="94">
        <v>600</v>
      </c>
      <c r="N604" s="83">
        <f>75</f>
        <v>75</v>
      </c>
      <c r="O604" s="86">
        <v>240</v>
      </c>
      <c r="P604" s="86">
        <v>40</v>
      </c>
      <c r="Q604" s="86">
        <f t="shared" si="95"/>
        <v>315</v>
      </c>
      <c r="R604" s="86">
        <f t="shared" si="96"/>
        <v>100</v>
      </c>
      <c r="S604" s="83">
        <f t="shared" si="97"/>
        <v>695</v>
      </c>
      <c r="T604" s="83">
        <f>50</f>
        <v>50</v>
      </c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</row>
    <row r="605" spans="1:30" ht="15.75" x14ac:dyDescent="0.25">
      <c r="A605" s="32">
        <v>59352</v>
      </c>
      <c r="B605" s="95">
        <f t="shared" si="98"/>
        <v>30</v>
      </c>
      <c r="C605" s="83">
        <f>194.205</f>
        <v>194.20500000000001</v>
      </c>
      <c r="D605" s="83">
        <f>267.466</f>
        <v>267.46600000000001</v>
      </c>
      <c r="E605" s="92">
        <f>133.845</f>
        <v>133.845</v>
      </c>
      <c r="F605" s="83">
        <f>278.484-40-25-60-100</f>
        <v>53.48399999999998</v>
      </c>
      <c r="G605" s="86">
        <v>40</v>
      </c>
      <c r="H605" s="83">
        <f t="shared" si="99"/>
        <v>185</v>
      </c>
      <c r="I605" s="83">
        <f t="shared" si="90"/>
        <v>0</v>
      </c>
      <c r="J605" s="86">
        <v>100</v>
      </c>
      <c r="K605" s="86">
        <v>300</v>
      </c>
      <c r="L605" s="83">
        <f t="shared" si="94"/>
        <v>1274</v>
      </c>
      <c r="M605" s="94">
        <v>600</v>
      </c>
      <c r="N605" s="83">
        <f>30</f>
        <v>30</v>
      </c>
      <c r="O605" s="86">
        <v>240</v>
      </c>
      <c r="P605" s="86">
        <v>40</v>
      </c>
      <c r="Q605" s="86">
        <f t="shared" si="95"/>
        <v>315</v>
      </c>
      <c r="R605" s="86">
        <f t="shared" si="96"/>
        <v>100</v>
      </c>
      <c r="S605" s="83">
        <f t="shared" si="97"/>
        <v>695</v>
      </c>
      <c r="T605" s="83">
        <f>50</f>
        <v>50</v>
      </c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</row>
    <row r="606" spans="1:30" ht="15.75" x14ac:dyDescent="0.25">
      <c r="A606" s="32">
        <v>59383</v>
      </c>
      <c r="B606" s="95">
        <f t="shared" si="98"/>
        <v>31</v>
      </c>
      <c r="C606" s="83">
        <f>194.205</f>
        <v>194.20500000000001</v>
      </c>
      <c r="D606" s="83">
        <f>267.466</f>
        <v>267.46600000000001</v>
      </c>
      <c r="E606" s="92">
        <f>133.845</f>
        <v>133.845</v>
      </c>
      <c r="F606" s="83">
        <f>278.484-40-25-60-100</f>
        <v>53.48399999999998</v>
      </c>
      <c r="G606" s="86">
        <v>40</v>
      </c>
      <c r="H606" s="83">
        <f t="shared" si="99"/>
        <v>185</v>
      </c>
      <c r="I606" s="83">
        <f t="shared" si="90"/>
        <v>0</v>
      </c>
      <c r="J606" s="86">
        <v>100</v>
      </c>
      <c r="K606" s="86">
        <v>300</v>
      </c>
      <c r="L606" s="83">
        <f t="shared" si="94"/>
        <v>1274</v>
      </c>
      <c r="M606" s="94">
        <v>600</v>
      </c>
      <c r="N606" s="83">
        <f>30</f>
        <v>30</v>
      </c>
      <c r="O606" s="86">
        <v>240</v>
      </c>
      <c r="P606" s="86">
        <v>40</v>
      </c>
      <c r="Q606" s="86">
        <f t="shared" si="95"/>
        <v>315</v>
      </c>
      <c r="R606" s="86">
        <f t="shared" si="96"/>
        <v>100</v>
      </c>
      <c r="S606" s="83">
        <f t="shared" si="97"/>
        <v>695</v>
      </c>
      <c r="T606" s="83">
        <f>0</f>
        <v>0</v>
      </c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</row>
    <row r="607" spans="1:30" ht="15.75" x14ac:dyDescent="0.25">
      <c r="A607" s="32">
        <v>59414</v>
      </c>
      <c r="B607" s="95">
        <f t="shared" si="98"/>
        <v>31</v>
      </c>
      <c r="C607" s="83">
        <f>194.205</f>
        <v>194.20500000000001</v>
      </c>
      <c r="D607" s="83">
        <f>267.466</f>
        <v>267.46600000000001</v>
      </c>
      <c r="E607" s="92">
        <f>133.845</f>
        <v>133.845</v>
      </c>
      <c r="F607" s="83">
        <f>278.484-40-25-60-100</f>
        <v>53.48399999999998</v>
      </c>
      <c r="G607" s="86">
        <v>40</v>
      </c>
      <c r="H607" s="83">
        <f t="shared" si="99"/>
        <v>185</v>
      </c>
      <c r="I607" s="83">
        <f t="shared" si="90"/>
        <v>0</v>
      </c>
      <c r="J607" s="86">
        <v>100</v>
      </c>
      <c r="K607" s="86">
        <v>300</v>
      </c>
      <c r="L607" s="83">
        <f t="shared" si="94"/>
        <v>1274</v>
      </c>
      <c r="M607" s="94">
        <v>600</v>
      </c>
      <c r="N607" s="83">
        <f>30</f>
        <v>30</v>
      </c>
      <c r="O607" s="86">
        <v>240</v>
      </c>
      <c r="P607" s="86">
        <v>40</v>
      </c>
      <c r="Q607" s="86">
        <f t="shared" si="95"/>
        <v>315</v>
      </c>
      <c r="R607" s="86">
        <f t="shared" si="96"/>
        <v>100</v>
      </c>
      <c r="S607" s="83">
        <f t="shared" si="97"/>
        <v>695</v>
      </c>
      <c r="T607" s="83">
        <f>0</f>
        <v>0</v>
      </c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</row>
    <row r="608" spans="1:30" ht="15.75" x14ac:dyDescent="0.25">
      <c r="A608" s="32">
        <v>59444</v>
      </c>
      <c r="B608" s="95">
        <f t="shared" si="98"/>
        <v>30</v>
      </c>
      <c r="C608" s="83">
        <f>194.205</f>
        <v>194.20500000000001</v>
      </c>
      <c r="D608" s="83">
        <f>267.466</f>
        <v>267.46600000000001</v>
      </c>
      <c r="E608" s="92">
        <f>133.845</f>
        <v>133.845</v>
      </c>
      <c r="F608" s="83">
        <f>278.484-40-25-60-100</f>
        <v>53.48399999999998</v>
      </c>
      <c r="G608" s="86">
        <v>40</v>
      </c>
      <c r="H608" s="83">
        <f t="shared" si="99"/>
        <v>185</v>
      </c>
      <c r="I608" s="83">
        <f t="shared" si="90"/>
        <v>0</v>
      </c>
      <c r="J608" s="86">
        <v>100</v>
      </c>
      <c r="K608" s="86">
        <v>300</v>
      </c>
      <c r="L608" s="83">
        <f t="shared" si="94"/>
        <v>1274</v>
      </c>
      <c r="M608" s="94">
        <v>600</v>
      </c>
      <c r="N608" s="83">
        <f>30</f>
        <v>30</v>
      </c>
      <c r="O608" s="86">
        <v>240</v>
      </c>
      <c r="P608" s="86">
        <v>40</v>
      </c>
      <c r="Q608" s="86">
        <f t="shared" si="95"/>
        <v>315</v>
      </c>
      <c r="R608" s="86">
        <f t="shared" si="96"/>
        <v>100</v>
      </c>
      <c r="S608" s="83">
        <f t="shared" si="97"/>
        <v>695</v>
      </c>
      <c r="T608" s="83">
        <f>0</f>
        <v>0</v>
      </c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</row>
    <row r="609" spans="1:30" ht="15.75" x14ac:dyDescent="0.25">
      <c r="A609" s="32">
        <v>59475</v>
      </c>
      <c r="B609" s="95">
        <f t="shared" si="98"/>
        <v>31</v>
      </c>
      <c r="C609" s="83">
        <f>131.881</f>
        <v>131.881</v>
      </c>
      <c r="D609" s="83">
        <f>277.167</f>
        <v>277.16699999999997</v>
      </c>
      <c r="E609" s="92">
        <f>79.08</f>
        <v>79.08</v>
      </c>
      <c r="F609" s="83">
        <f>350.872-40-25-60-100</f>
        <v>125.87200000000001</v>
      </c>
      <c r="G609" s="86">
        <v>40</v>
      </c>
      <c r="H609" s="83">
        <f t="shared" si="99"/>
        <v>185</v>
      </c>
      <c r="I609" s="83">
        <f t="shared" si="90"/>
        <v>0</v>
      </c>
      <c r="J609" s="86">
        <v>100</v>
      </c>
      <c r="K609" s="86">
        <v>300</v>
      </c>
      <c r="L609" s="83">
        <f t="shared" si="94"/>
        <v>1239</v>
      </c>
      <c r="M609" s="94">
        <v>600</v>
      </c>
      <c r="N609" s="83">
        <f>75</f>
        <v>75</v>
      </c>
      <c r="O609" s="86">
        <v>240</v>
      </c>
      <c r="P609" s="86">
        <v>40</v>
      </c>
      <c r="Q609" s="86">
        <f t="shared" si="95"/>
        <v>315</v>
      </c>
      <c r="R609" s="86">
        <f t="shared" si="96"/>
        <v>100</v>
      </c>
      <c r="S609" s="83">
        <f t="shared" si="97"/>
        <v>695</v>
      </c>
      <c r="T609" s="83">
        <f>0</f>
        <v>0</v>
      </c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</row>
    <row r="610" spans="1:30" ht="15.75" x14ac:dyDescent="0.25">
      <c r="A610" s="32">
        <v>59505</v>
      </c>
      <c r="B610" s="95">
        <f t="shared" si="98"/>
        <v>30</v>
      </c>
      <c r="C610" s="83">
        <f>122.58</f>
        <v>122.58</v>
      </c>
      <c r="D610" s="83">
        <f>297.941</f>
        <v>297.94099999999997</v>
      </c>
      <c r="E610" s="92">
        <f>89.177</f>
        <v>89.177000000000007</v>
      </c>
      <c r="F610" s="83">
        <f>240.302-40-60-100</f>
        <v>40.301999999999992</v>
      </c>
      <c r="G610" s="86">
        <v>40</v>
      </c>
      <c r="H610" s="83">
        <f>60+100</f>
        <v>160</v>
      </c>
      <c r="I610" s="83">
        <f t="shared" si="90"/>
        <v>0</v>
      </c>
      <c r="J610" s="86">
        <v>100</v>
      </c>
      <c r="K610" s="86">
        <v>300</v>
      </c>
      <c r="L610" s="83">
        <f t="shared" si="94"/>
        <v>1150</v>
      </c>
      <c r="M610" s="94">
        <v>600</v>
      </c>
      <c r="N610" s="83">
        <f>100</f>
        <v>100</v>
      </c>
      <c r="O610" s="86">
        <v>240</v>
      </c>
      <c r="P610" s="86">
        <v>40</v>
      </c>
      <c r="Q610" s="86">
        <f t="shared" si="95"/>
        <v>315</v>
      </c>
      <c r="R610" s="86">
        <f t="shared" si="96"/>
        <v>100</v>
      </c>
      <c r="S610" s="83">
        <f t="shared" si="97"/>
        <v>695</v>
      </c>
      <c r="T610" s="83">
        <f>50</f>
        <v>50</v>
      </c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</row>
    <row r="611" spans="1:30" ht="15.75" x14ac:dyDescent="0.25">
      <c r="A611" s="32">
        <v>59536</v>
      </c>
      <c r="B611" s="95">
        <f t="shared" si="98"/>
        <v>31</v>
      </c>
      <c r="C611" s="83">
        <f>122.58</f>
        <v>122.58</v>
      </c>
      <c r="D611" s="83">
        <f>297.941</f>
        <v>297.94099999999997</v>
      </c>
      <c r="E611" s="92">
        <f>89.177</f>
        <v>89.177000000000007</v>
      </c>
      <c r="F611" s="83">
        <f>240.302-40-60-100</f>
        <v>40.301999999999992</v>
      </c>
      <c r="G611" s="86">
        <v>40</v>
      </c>
      <c r="H611" s="83">
        <f>60+100</f>
        <v>160</v>
      </c>
      <c r="I611" s="83">
        <f t="shared" si="90"/>
        <v>0</v>
      </c>
      <c r="J611" s="86">
        <v>100</v>
      </c>
      <c r="K611" s="86">
        <v>300</v>
      </c>
      <c r="L611" s="83">
        <f t="shared" si="94"/>
        <v>1150</v>
      </c>
      <c r="M611" s="94">
        <v>600</v>
      </c>
      <c r="N611" s="83">
        <f>100</f>
        <v>100</v>
      </c>
      <c r="O611" s="86">
        <v>240</v>
      </c>
      <c r="P611" s="86">
        <v>40</v>
      </c>
      <c r="Q611" s="86">
        <f t="shared" si="95"/>
        <v>315</v>
      </c>
      <c r="R611" s="86">
        <f t="shared" si="96"/>
        <v>100</v>
      </c>
      <c r="S611" s="83">
        <f t="shared" si="97"/>
        <v>695</v>
      </c>
      <c r="T611" s="83">
        <f>50</f>
        <v>50</v>
      </c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</row>
    <row r="612" spans="1:30" ht="15.75" x14ac:dyDescent="0.25">
      <c r="A612" s="32">
        <v>59567</v>
      </c>
      <c r="B612" s="95">
        <f t="shared" si="98"/>
        <v>31</v>
      </c>
      <c r="C612" s="83">
        <f>122.58</f>
        <v>122.58</v>
      </c>
      <c r="D612" s="83">
        <f>297.941</f>
        <v>297.94099999999997</v>
      </c>
      <c r="E612" s="92">
        <f>89.177</f>
        <v>89.177000000000007</v>
      </c>
      <c r="F612" s="83">
        <f>240.302-40-60-100</f>
        <v>40.301999999999992</v>
      </c>
      <c r="G612" s="86">
        <v>40</v>
      </c>
      <c r="H612" s="83">
        <f>60+100</f>
        <v>160</v>
      </c>
      <c r="I612" s="83">
        <f t="shared" si="90"/>
        <v>0</v>
      </c>
      <c r="J612" s="86">
        <v>100</v>
      </c>
      <c r="K612" s="86">
        <v>300</v>
      </c>
      <c r="L612" s="83">
        <f t="shared" si="94"/>
        <v>1150</v>
      </c>
      <c r="M612" s="94">
        <v>600</v>
      </c>
      <c r="N612" s="83">
        <f>100</f>
        <v>100</v>
      </c>
      <c r="O612" s="86">
        <v>240</v>
      </c>
      <c r="P612" s="86">
        <v>40</v>
      </c>
      <c r="Q612" s="86">
        <f t="shared" si="95"/>
        <v>315</v>
      </c>
      <c r="R612" s="86">
        <f t="shared" si="96"/>
        <v>100</v>
      </c>
      <c r="S612" s="83">
        <f t="shared" si="97"/>
        <v>695</v>
      </c>
      <c r="T612" s="83">
        <f>50</f>
        <v>50</v>
      </c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</row>
    <row r="613" spans="1:30" ht="15.75" x14ac:dyDescent="0.25">
      <c r="A613" s="32">
        <v>59595</v>
      </c>
      <c r="B613" s="95">
        <f t="shared" si="98"/>
        <v>28</v>
      </c>
      <c r="C613" s="83">
        <f>122.58</f>
        <v>122.58</v>
      </c>
      <c r="D613" s="83">
        <f>297.941</f>
        <v>297.94099999999997</v>
      </c>
      <c r="E613" s="92">
        <f>89.177</f>
        <v>89.177000000000007</v>
      </c>
      <c r="F613" s="83">
        <f>240.302-40-60-100</f>
        <v>40.301999999999992</v>
      </c>
      <c r="G613" s="86">
        <v>40</v>
      </c>
      <c r="H613" s="83">
        <f>60+100</f>
        <v>160</v>
      </c>
      <c r="I613" s="83">
        <f t="shared" si="90"/>
        <v>0</v>
      </c>
      <c r="J613" s="86">
        <v>100</v>
      </c>
      <c r="K613" s="86">
        <v>300</v>
      </c>
      <c r="L613" s="83">
        <f t="shared" si="94"/>
        <v>1150</v>
      </c>
      <c r="M613" s="94">
        <v>600</v>
      </c>
      <c r="N613" s="83">
        <f>100</f>
        <v>100</v>
      </c>
      <c r="O613" s="86">
        <v>240</v>
      </c>
      <c r="P613" s="86">
        <v>40</v>
      </c>
      <c r="Q613" s="86">
        <f t="shared" si="95"/>
        <v>315</v>
      </c>
      <c r="R613" s="86">
        <f t="shared" si="96"/>
        <v>100</v>
      </c>
      <c r="S613" s="83">
        <f t="shared" si="97"/>
        <v>695</v>
      </c>
      <c r="T613" s="83">
        <f>50</f>
        <v>50</v>
      </c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</row>
    <row r="614" spans="1:30" ht="15.75" x14ac:dyDescent="0.25">
      <c r="A614" s="32">
        <v>59626</v>
      </c>
      <c r="B614" s="95">
        <f t="shared" si="98"/>
        <v>31</v>
      </c>
      <c r="C614" s="83">
        <f>122.58</f>
        <v>122.58</v>
      </c>
      <c r="D614" s="83">
        <f>297.941</f>
        <v>297.94099999999997</v>
      </c>
      <c r="E614" s="92">
        <f>89.177</f>
        <v>89.177000000000007</v>
      </c>
      <c r="F614" s="83">
        <f>240.302-40-60-100</f>
        <v>40.301999999999992</v>
      </c>
      <c r="G614" s="86">
        <v>40</v>
      </c>
      <c r="H614" s="83">
        <f>60+100</f>
        <v>160</v>
      </c>
      <c r="I614" s="83">
        <f t="shared" si="90"/>
        <v>0</v>
      </c>
      <c r="J614" s="86">
        <v>100</v>
      </c>
      <c r="K614" s="86">
        <v>300</v>
      </c>
      <c r="L614" s="83">
        <f t="shared" si="94"/>
        <v>1150</v>
      </c>
      <c r="M614" s="94">
        <v>600</v>
      </c>
      <c r="N614" s="83">
        <f>100</f>
        <v>100</v>
      </c>
      <c r="O614" s="86">
        <v>240</v>
      </c>
      <c r="P614" s="86">
        <v>40</v>
      </c>
      <c r="Q614" s="86">
        <f t="shared" si="95"/>
        <v>315</v>
      </c>
      <c r="R614" s="86">
        <f t="shared" si="96"/>
        <v>100</v>
      </c>
      <c r="S614" s="83">
        <f t="shared" si="97"/>
        <v>695</v>
      </c>
      <c r="T614" s="83">
        <f>50</f>
        <v>50</v>
      </c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</row>
    <row r="615" spans="1:30" ht="15.75" x14ac:dyDescent="0.25">
      <c r="A615" s="32">
        <v>59656</v>
      </c>
      <c r="B615" s="95">
        <f t="shared" si="98"/>
        <v>30</v>
      </c>
      <c r="C615" s="83">
        <f>141.293</f>
        <v>141.29300000000001</v>
      </c>
      <c r="D615" s="83">
        <f>267.993</f>
        <v>267.99299999999999</v>
      </c>
      <c r="E615" s="92">
        <f>115.016</f>
        <v>115.01600000000001</v>
      </c>
      <c r="F615" s="83">
        <f>314.698-40-25-60-100</f>
        <v>89.697999999999979</v>
      </c>
      <c r="G615" s="86">
        <v>40</v>
      </c>
      <c r="H615" s="83">
        <f t="shared" ref="H615:H621" si="100">25+60+100</f>
        <v>185</v>
      </c>
      <c r="I615" s="83">
        <f t="shared" si="90"/>
        <v>0</v>
      </c>
      <c r="J615" s="86">
        <v>100</v>
      </c>
      <c r="K615" s="86">
        <v>300</v>
      </c>
      <c r="L615" s="83">
        <f t="shared" si="94"/>
        <v>1239</v>
      </c>
      <c r="M615" s="94">
        <v>600</v>
      </c>
      <c r="N615" s="83">
        <f>100</f>
        <v>100</v>
      </c>
      <c r="O615" s="86">
        <v>240</v>
      </c>
      <c r="P615" s="86">
        <v>40</v>
      </c>
      <c r="Q615" s="86">
        <f t="shared" si="95"/>
        <v>315</v>
      </c>
      <c r="R615" s="86">
        <f t="shared" si="96"/>
        <v>100</v>
      </c>
      <c r="S615" s="83">
        <f t="shared" si="97"/>
        <v>695</v>
      </c>
      <c r="T615" s="83">
        <f>50</f>
        <v>50</v>
      </c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</row>
    <row r="616" spans="1:30" ht="15.75" x14ac:dyDescent="0.25">
      <c r="A616" s="32">
        <v>59687</v>
      </c>
      <c r="B616" s="95">
        <f t="shared" si="98"/>
        <v>31</v>
      </c>
      <c r="C616" s="83">
        <f>194.205</f>
        <v>194.20500000000001</v>
      </c>
      <c r="D616" s="83">
        <f>267.466</f>
        <v>267.46600000000001</v>
      </c>
      <c r="E616" s="92">
        <f>133.845</f>
        <v>133.845</v>
      </c>
      <c r="F616" s="83">
        <f>278.484-40-25-60-100</f>
        <v>53.48399999999998</v>
      </c>
      <c r="G616" s="86">
        <v>40</v>
      </c>
      <c r="H616" s="83">
        <f t="shared" si="100"/>
        <v>185</v>
      </c>
      <c r="I616" s="83">
        <f t="shared" si="90"/>
        <v>0</v>
      </c>
      <c r="J616" s="86">
        <v>100</v>
      </c>
      <c r="K616" s="86">
        <v>300</v>
      </c>
      <c r="L616" s="83">
        <f t="shared" si="94"/>
        <v>1274</v>
      </c>
      <c r="M616" s="94">
        <v>600</v>
      </c>
      <c r="N616" s="83">
        <f>75</f>
        <v>75</v>
      </c>
      <c r="O616" s="86">
        <v>240</v>
      </c>
      <c r="P616" s="86">
        <v>40</v>
      </c>
      <c r="Q616" s="86">
        <f t="shared" si="95"/>
        <v>315</v>
      </c>
      <c r="R616" s="86">
        <f t="shared" si="96"/>
        <v>100</v>
      </c>
      <c r="S616" s="83">
        <f t="shared" si="97"/>
        <v>695</v>
      </c>
      <c r="T616" s="83">
        <f>50</f>
        <v>50</v>
      </c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</row>
    <row r="617" spans="1:30" ht="15.75" x14ac:dyDescent="0.25">
      <c r="A617" s="32">
        <v>59717</v>
      </c>
      <c r="B617" s="95">
        <f t="shared" si="98"/>
        <v>30</v>
      </c>
      <c r="C617" s="83">
        <f>194.205</f>
        <v>194.20500000000001</v>
      </c>
      <c r="D617" s="83">
        <f>267.466</f>
        <v>267.46600000000001</v>
      </c>
      <c r="E617" s="92">
        <f>133.845</f>
        <v>133.845</v>
      </c>
      <c r="F617" s="83">
        <f>278.484-40-25-60-100</f>
        <v>53.48399999999998</v>
      </c>
      <c r="G617" s="86">
        <v>40</v>
      </c>
      <c r="H617" s="83">
        <f t="shared" si="100"/>
        <v>185</v>
      </c>
      <c r="I617" s="83">
        <f t="shared" si="90"/>
        <v>0</v>
      </c>
      <c r="J617" s="86">
        <v>100</v>
      </c>
      <c r="K617" s="86">
        <v>300</v>
      </c>
      <c r="L617" s="83">
        <f t="shared" si="94"/>
        <v>1274</v>
      </c>
      <c r="M617" s="94">
        <v>600</v>
      </c>
      <c r="N617" s="83">
        <f>30</f>
        <v>30</v>
      </c>
      <c r="O617" s="86">
        <v>240</v>
      </c>
      <c r="P617" s="86">
        <v>40</v>
      </c>
      <c r="Q617" s="86">
        <f t="shared" si="95"/>
        <v>315</v>
      </c>
      <c r="R617" s="86">
        <f t="shared" si="96"/>
        <v>100</v>
      </c>
      <c r="S617" s="83">
        <f t="shared" si="97"/>
        <v>695</v>
      </c>
      <c r="T617" s="83">
        <f>50</f>
        <v>50</v>
      </c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</row>
    <row r="618" spans="1:30" ht="15.75" x14ac:dyDescent="0.25">
      <c r="A618" s="32">
        <v>59748</v>
      </c>
      <c r="B618" s="95">
        <f t="shared" si="98"/>
        <v>31</v>
      </c>
      <c r="C618" s="83">
        <f>194.205</f>
        <v>194.20500000000001</v>
      </c>
      <c r="D618" s="83">
        <f>267.466</f>
        <v>267.46600000000001</v>
      </c>
      <c r="E618" s="92">
        <f>133.845</f>
        <v>133.845</v>
      </c>
      <c r="F618" s="83">
        <f>278.484-40-25-60-100</f>
        <v>53.48399999999998</v>
      </c>
      <c r="G618" s="86">
        <v>40</v>
      </c>
      <c r="H618" s="83">
        <f t="shared" si="100"/>
        <v>185</v>
      </c>
      <c r="I618" s="83">
        <f t="shared" si="90"/>
        <v>0</v>
      </c>
      <c r="J618" s="86">
        <v>100</v>
      </c>
      <c r="K618" s="86">
        <v>300</v>
      </c>
      <c r="L618" s="83">
        <f t="shared" si="94"/>
        <v>1274</v>
      </c>
      <c r="M618" s="94">
        <v>600</v>
      </c>
      <c r="N618" s="83">
        <f>30</f>
        <v>30</v>
      </c>
      <c r="O618" s="86">
        <v>240</v>
      </c>
      <c r="P618" s="86">
        <v>40</v>
      </c>
      <c r="Q618" s="86">
        <f t="shared" si="95"/>
        <v>315</v>
      </c>
      <c r="R618" s="86">
        <f t="shared" si="96"/>
        <v>100</v>
      </c>
      <c r="S618" s="83">
        <f t="shared" si="97"/>
        <v>695</v>
      </c>
      <c r="T618" s="83">
        <f>0</f>
        <v>0</v>
      </c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</row>
    <row r="619" spans="1:30" ht="15.75" x14ac:dyDescent="0.25">
      <c r="A619" s="32">
        <v>59779</v>
      </c>
      <c r="B619" s="95">
        <f t="shared" si="98"/>
        <v>31</v>
      </c>
      <c r="C619" s="83">
        <f>194.205</f>
        <v>194.20500000000001</v>
      </c>
      <c r="D619" s="83">
        <f>267.466</f>
        <v>267.46600000000001</v>
      </c>
      <c r="E619" s="92">
        <f>133.845</f>
        <v>133.845</v>
      </c>
      <c r="F619" s="83">
        <f>278.484-40-25-60-100</f>
        <v>53.48399999999998</v>
      </c>
      <c r="G619" s="86">
        <v>40</v>
      </c>
      <c r="H619" s="83">
        <f t="shared" si="100"/>
        <v>185</v>
      </c>
      <c r="I619" s="83">
        <f t="shared" si="90"/>
        <v>0</v>
      </c>
      <c r="J619" s="86">
        <v>100</v>
      </c>
      <c r="K619" s="86">
        <v>300</v>
      </c>
      <c r="L619" s="83">
        <f t="shared" si="94"/>
        <v>1274</v>
      </c>
      <c r="M619" s="94">
        <v>600</v>
      </c>
      <c r="N619" s="83">
        <f>30</f>
        <v>30</v>
      </c>
      <c r="O619" s="86">
        <v>240</v>
      </c>
      <c r="P619" s="86">
        <v>40</v>
      </c>
      <c r="Q619" s="86">
        <f t="shared" si="95"/>
        <v>315</v>
      </c>
      <c r="R619" s="86">
        <f t="shared" si="96"/>
        <v>100</v>
      </c>
      <c r="S619" s="83">
        <f t="shared" si="97"/>
        <v>695</v>
      </c>
      <c r="T619" s="83">
        <f>0</f>
        <v>0</v>
      </c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</row>
    <row r="620" spans="1:30" ht="15.75" x14ac:dyDescent="0.25">
      <c r="A620" s="32">
        <v>59809</v>
      </c>
      <c r="B620" s="95">
        <f t="shared" si="98"/>
        <v>30</v>
      </c>
      <c r="C620" s="83">
        <f>194.205</f>
        <v>194.20500000000001</v>
      </c>
      <c r="D620" s="83">
        <f>267.466</f>
        <v>267.46600000000001</v>
      </c>
      <c r="E620" s="92">
        <f>133.845</f>
        <v>133.845</v>
      </c>
      <c r="F620" s="83">
        <f>278.484-40-25-60-100</f>
        <v>53.48399999999998</v>
      </c>
      <c r="G620" s="86">
        <v>40</v>
      </c>
      <c r="H620" s="83">
        <f t="shared" si="100"/>
        <v>185</v>
      </c>
      <c r="I620" s="83">
        <f t="shared" si="90"/>
        <v>0</v>
      </c>
      <c r="J620" s="86">
        <v>100</v>
      </c>
      <c r="K620" s="86">
        <v>300</v>
      </c>
      <c r="L620" s="83">
        <f t="shared" si="94"/>
        <v>1274</v>
      </c>
      <c r="M620" s="94">
        <v>600</v>
      </c>
      <c r="N620" s="83">
        <f>30</f>
        <v>30</v>
      </c>
      <c r="O620" s="86">
        <v>240</v>
      </c>
      <c r="P620" s="86">
        <v>40</v>
      </c>
      <c r="Q620" s="86">
        <f t="shared" si="95"/>
        <v>315</v>
      </c>
      <c r="R620" s="86">
        <f t="shared" si="96"/>
        <v>100</v>
      </c>
      <c r="S620" s="83">
        <f t="shared" si="97"/>
        <v>695</v>
      </c>
      <c r="T620" s="83">
        <f>0</f>
        <v>0</v>
      </c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</row>
    <row r="621" spans="1:30" ht="15.75" x14ac:dyDescent="0.25">
      <c r="A621" s="32">
        <v>59840</v>
      </c>
      <c r="B621" s="95">
        <f t="shared" si="98"/>
        <v>31</v>
      </c>
      <c r="C621" s="83">
        <f>131.881</f>
        <v>131.881</v>
      </c>
      <c r="D621" s="83">
        <f>277.167</f>
        <v>277.16699999999997</v>
      </c>
      <c r="E621" s="92">
        <f>79.08</f>
        <v>79.08</v>
      </c>
      <c r="F621" s="83">
        <f>350.872-40-25-60-100</f>
        <v>125.87200000000001</v>
      </c>
      <c r="G621" s="86">
        <v>40</v>
      </c>
      <c r="H621" s="83">
        <f t="shared" si="100"/>
        <v>185</v>
      </c>
      <c r="I621" s="83">
        <f t="shared" si="90"/>
        <v>0</v>
      </c>
      <c r="J621" s="86">
        <v>100</v>
      </c>
      <c r="K621" s="86">
        <v>300</v>
      </c>
      <c r="L621" s="83">
        <f t="shared" si="94"/>
        <v>1239</v>
      </c>
      <c r="M621" s="94">
        <v>600</v>
      </c>
      <c r="N621" s="83">
        <f>75</f>
        <v>75</v>
      </c>
      <c r="O621" s="86">
        <v>240</v>
      </c>
      <c r="P621" s="86">
        <v>40</v>
      </c>
      <c r="Q621" s="86">
        <f t="shared" si="95"/>
        <v>315</v>
      </c>
      <c r="R621" s="86">
        <f t="shared" si="96"/>
        <v>100</v>
      </c>
      <c r="S621" s="83">
        <f t="shared" si="97"/>
        <v>695</v>
      </c>
      <c r="T621" s="83">
        <f>0</f>
        <v>0</v>
      </c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</row>
    <row r="622" spans="1:30" ht="15.75" x14ac:dyDescent="0.25">
      <c r="A622" s="32">
        <v>59870</v>
      </c>
      <c r="B622" s="95">
        <f t="shared" si="98"/>
        <v>30</v>
      </c>
      <c r="C622" s="83">
        <f>122.58</f>
        <v>122.58</v>
      </c>
      <c r="D622" s="83">
        <f>297.941</f>
        <v>297.94099999999997</v>
      </c>
      <c r="E622" s="92">
        <f>89.177</f>
        <v>89.177000000000007</v>
      </c>
      <c r="F622" s="83">
        <f>240.302-40-60-100</f>
        <v>40.301999999999992</v>
      </c>
      <c r="G622" s="86">
        <v>40</v>
      </c>
      <c r="H622" s="83">
        <f>60+100</f>
        <v>160</v>
      </c>
      <c r="I622" s="83">
        <f t="shared" si="90"/>
        <v>0</v>
      </c>
      <c r="J622" s="86">
        <v>100</v>
      </c>
      <c r="K622" s="86">
        <v>300</v>
      </c>
      <c r="L622" s="83">
        <f t="shared" si="94"/>
        <v>1150</v>
      </c>
      <c r="M622" s="94">
        <v>600</v>
      </c>
      <c r="N622" s="83">
        <f>100</f>
        <v>100</v>
      </c>
      <c r="O622" s="86">
        <v>240</v>
      </c>
      <c r="P622" s="86">
        <v>40</v>
      </c>
      <c r="Q622" s="86">
        <f t="shared" si="95"/>
        <v>315</v>
      </c>
      <c r="R622" s="86">
        <f t="shared" si="96"/>
        <v>100</v>
      </c>
      <c r="S622" s="83">
        <f t="shared" si="97"/>
        <v>695</v>
      </c>
      <c r="T622" s="83">
        <f>50</f>
        <v>50</v>
      </c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</row>
    <row r="623" spans="1:30" ht="15.75" x14ac:dyDescent="0.25">
      <c r="A623" s="32">
        <v>59901</v>
      </c>
      <c r="B623" s="95">
        <f t="shared" si="98"/>
        <v>31</v>
      </c>
      <c r="C623" s="83">
        <f>122.58</f>
        <v>122.58</v>
      </c>
      <c r="D623" s="83">
        <f>297.941</f>
        <v>297.94099999999997</v>
      </c>
      <c r="E623" s="92">
        <f>89.177</f>
        <v>89.177000000000007</v>
      </c>
      <c r="F623" s="83">
        <f>240.302-40-60-100</f>
        <v>40.301999999999992</v>
      </c>
      <c r="G623" s="86">
        <v>40</v>
      </c>
      <c r="H623" s="83">
        <f>60+100</f>
        <v>160</v>
      </c>
      <c r="I623" s="83">
        <f t="shared" si="90"/>
        <v>0</v>
      </c>
      <c r="J623" s="86">
        <v>100</v>
      </c>
      <c r="K623" s="86">
        <v>300</v>
      </c>
      <c r="L623" s="83">
        <f t="shared" si="94"/>
        <v>1150</v>
      </c>
      <c r="M623" s="94">
        <v>600</v>
      </c>
      <c r="N623" s="83">
        <f>100</f>
        <v>100</v>
      </c>
      <c r="O623" s="86">
        <v>240</v>
      </c>
      <c r="P623" s="86">
        <v>40</v>
      </c>
      <c r="Q623" s="86">
        <f t="shared" si="95"/>
        <v>315</v>
      </c>
      <c r="R623" s="86">
        <f t="shared" si="96"/>
        <v>100</v>
      </c>
      <c r="S623" s="83">
        <f t="shared" si="97"/>
        <v>695</v>
      </c>
      <c r="T623" s="83">
        <f>50</f>
        <v>50</v>
      </c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</row>
    <row r="624" spans="1:30" ht="15.75" x14ac:dyDescent="0.25">
      <c r="A624" s="32">
        <v>59932</v>
      </c>
      <c r="B624" s="95">
        <f t="shared" si="98"/>
        <v>31</v>
      </c>
      <c r="C624" s="83">
        <f>122.58</f>
        <v>122.58</v>
      </c>
      <c r="D624" s="83">
        <f>297.941</f>
        <v>297.94099999999997</v>
      </c>
      <c r="E624" s="92">
        <f>89.177</f>
        <v>89.177000000000007</v>
      </c>
      <c r="F624" s="83">
        <f>240.302-40-60-100</f>
        <v>40.301999999999992</v>
      </c>
      <c r="G624" s="86">
        <v>40</v>
      </c>
      <c r="H624" s="83">
        <f>60+100</f>
        <v>160</v>
      </c>
      <c r="I624" s="83">
        <f t="shared" si="90"/>
        <v>0</v>
      </c>
      <c r="J624" s="86">
        <v>100</v>
      </c>
      <c r="K624" s="86">
        <v>300</v>
      </c>
      <c r="L624" s="83">
        <f t="shared" si="94"/>
        <v>1150</v>
      </c>
      <c r="M624" s="94">
        <v>600</v>
      </c>
      <c r="N624" s="83">
        <f>100</f>
        <v>100</v>
      </c>
      <c r="O624" s="86">
        <v>240</v>
      </c>
      <c r="P624" s="86">
        <v>40</v>
      </c>
      <c r="Q624" s="86">
        <f t="shared" si="95"/>
        <v>315</v>
      </c>
      <c r="R624" s="86">
        <f t="shared" si="96"/>
        <v>100</v>
      </c>
      <c r="S624" s="83">
        <f t="shared" si="97"/>
        <v>695</v>
      </c>
      <c r="T624" s="83">
        <f>50</f>
        <v>50</v>
      </c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</row>
    <row r="625" spans="1:30" ht="15.75" x14ac:dyDescent="0.25">
      <c r="A625" s="32">
        <v>59961</v>
      </c>
      <c r="B625" s="95">
        <f t="shared" si="98"/>
        <v>29</v>
      </c>
      <c r="C625" s="83">
        <f>122.58</f>
        <v>122.58</v>
      </c>
      <c r="D625" s="83">
        <f>297.941</f>
        <v>297.94099999999997</v>
      </c>
      <c r="E625" s="92">
        <f>89.177</f>
        <v>89.177000000000007</v>
      </c>
      <c r="F625" s="83">
        <f>240.302-40-60-100</f>
        <v>40.301999999999992</v>
      </c>
      <c r="G625" s="86">
        <v>40</v>
      </c>
      <c r="H625" s="83">
        <f>60+100</f>
        <v>160</v>
      </c>
      <c r="I625" s="83">
        <f t="shared" si="90"/>
        <v>0</v>
      </c>
      <c r="J625" s="86">
        <v>100</v>
      </c>
      <c r="K625" s="86">
        <v>300</v>
      </c>
      <c r="L625" s="83">
        <f t="shared" si="94"/>
        <v>1150</v>
      </c>
      <c r="M625" s="94">
        <v>600</v>
      </c>
      <c r="N625" s="83">
        <f>100</f>
        <v>100</v>
      </c>
      <c r="O625" s="86">
        <v>240</v>
      </c>
      <c r="P625" s="86">
        <v>40</v>
      </c>
      <c r="Q625" s="86">
        <f t="shared" si="95"/>
        <v>315</v>
      </c>
      <c r="R625" s="86">
        <f t="shared" si="96"/>
        <v>100</v>
      </c>
      <c r="S625" s="83">
        <f t="shared" si="97"/>
        <v>695</v>
      </c>
      <c r="T625" s="83">
        <f>50</f>
        <v>50</v>
      </c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</row>
    <row r="626" spans="1:30" ht="15.75" x14ac:dyDescent="0.25">
      <c r="A626" s="32">
        <v>59992</v>
      </c>
      <c r="B626" s="95">
        <f t="shared" si="98"/>
        <v>31</v>
      </c>
      <c r="C626" s="83">
        <f>122.58</f>
        <v>122.58</v>
      </c>
      <c r="D626" s="83">
        <f>297.941</f>
        <v>297.94099999999997</v>
      </c>
      <c r="E626" s="92">
        <f>89.177</f>
        <v>89.177000000000007</v>
      </c>
      <c r="F626" s="83">
        <f>240.302-40-60-100</f>
        <v>40.301999999999992</v>
      </c>
      <c r="G626" s="86">
        <v>40</v>
      </c>
      <c r="H626" s="83">
        <f>60+100</f>
        <v>160</v>
      </c>
      <c r="I626" s="83">
        <f t="shared" si="90"/>
        <v>0</v>
      </c>
      <c r="J626" s="86">
        <v>100</v>
      </c>
      <c r="K626" s="86">
        <v>300</v>
      </c>
      <c r="L626" s="83">
        <f t="shared" si="94"/>
        <v>1150</v>
      </c>
      <c r="M626" s="94">
        <v>600</v>
      </c>
      <c r="N626" s="83">
        <f>100</f>
        <v>100</v>
      </c>
      <c r="O626" s="86">
        <v>240</v>
      </c>
      <c r="P626" s="86">
        <v>40</v>
      </c>
      <c r="Q626" s="86">
        <f t="shared" si="95"/>
        <v>315</v>
      </c>
      <c r="R626" s="86">
        <f t="shared" si="96"/>
        <v>100</v>
      </c>
      <c r="S626" s="83">
        <f t="shared" si="97"/>
        <v>695</v>
      </c>
      <c r="T626" s="83">
        <f>50</f>
        <v>50</v>
      </c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</row>
    <row r="627" spans="1:30" ht="15.75" x14ac:dyDescent="0.25">
      <c r="A627" s="32">
        <v>60022</v>
      </c>
      <c r="B627" s="95">
        <f t="shared" si="98"/>
        <v>30</v>
      </c>
      <c r="C627" s="83">
        <f>141.293</f>
        <v>141.29300000000001</v>
      </c>
      <c r="D627" s="83">
        <f>267.993</f>
        <v>267.99299999999999</v>
      </c>
      <c r="E627" s="92">
        <f>115.016</f>
        <v>115.01600000000001</v>
      </c>
      <c r="F627" s="83">
        <f>314.698-40-25-60-100</f>
        <v>89.697999999999979</v>
      </c>
      <c r="G627" s="86">
        <v>40</v>
      </c>
      <c r="H627" s="83">
        <f t="shared" ref="H627:H633" si="101">25+60+100</f>
        <v>185</v>
      </c>
      <c r="I627" s="83">
        <f t="shared" si="90"/>
        <v>0</v>
      </c>
      <c r="J627" s="86">
        <v>100</v>
      </c>
      <c r="K627" s="86">
        <v>300</v>
      </c>
      <c r="L627" s="83">
        <f t="shared" si="94"/>
        <v>1239</v>
      </c>
      <c r="M627" s="94">
        <v>600</v>
      </c>
      <c r="N627" s="83">
        <f>100</f>
        <v>100</v>
      </c>
      <c r="O627" s="86">
        <v>240</v>
      </c>
      <c r="P627" s="86">
        <v>40</v>
      </c>
      <c r="Q627" s="86">
        <f t="shared" si="95"/>
        <v>315</v>
      </c>
      <c r="R627" s="86">
        <f t="shared" si="96"/>
        <v>100</v>
      </c>
      <c r="S627" s="83">
        <f t="shared" si="97"/>
        <v>695</v>
      </c>
      <c r="T627" s="83">
        <f>50</f>
        <v>50</v>
      </c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</row>
    <row r="628" spans="1:30" ht="15.75" x14ac:dyDescent="0.25">
      <c r="A628" s="32">
        <v>60053</v>
      </c>
      <c r="B628" s="95">
        <f t="shared" si="98"/>
        <v>31</v>
      </c>
      <c r="C628" s="83">
        <f>194.205</f>
        <v>194.20500000000001</v>
      </c>
      <c r="D628" s="83">
        <f>267.466</f>
        <v>267.46600000000001</v>
      </c>
      <c r="E628" s="92">
        <f>133.845</f>
        <v>133.845</v>
      </c>
      <c r="F628" s="83">
        <f>278.484-40-25-60-100</f>
        <v>53.48399999999998</v>
      </c>
      <c r="G628" s="86">
        <v>40</v>
      </c>
      <c r="H628" s="83">
        <f t="shared" si="101"/>
        <v>185</v>
      </c>
      <c r="I628" s="83">
        <f t="shared" ref="I628:I691" si="102">400-J628-K628</f>
        <v>0</v>
      </c>
      <c r="J628" s="86">
        <v>100</v>
      </c>
      <c r="K628" s="86">
        <v>300</v>
      </c>
      <c r="L628" s="83">
        <f t="shared" si="94"/>
        <v>1274</v>
      </c>
      <c r="M628" s="94">
        <v>600</v>
      </c>
      <c r="N628" s="83">
        <f>75</f>
        <v>75</v>
      </c>
      <c r="O628" s="86">
        <v>240</v>
      </c>
      <c r="P628" s="86">
        <v>40</v>
      </c>
      <c r="Q628" s="86">
        <f t="shared" si="95"/>
        <v>315</v>
      </c>
      <c r="R628" s="86">
        <f t="shared" si="96"/>
        <v>100</v>
      </c>
      <c r="S628" s="83">
        <f t="shared" si="97"/>
        <v>695</v>
      </c>
      <c r="T628" s="83">
        <f>50</f>
        <v>50</v>
      </c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</row>
    <row r="629" spans="1:30" ht="15.75" x14ac:dyDescent="0.25">
      <c r="A629" s="32">
        <v>60083</v>
      </c>
      <c r="B629" s="95">
        <f t="shared" si="98"/>
        <v>30</v>
      </c>
      <c r="C629" s="83">
        <f>194.205</f>
        <v>194.20500000000001</v>
      </c>
      <c r="D629" s="83">
        <f>267.466</f>
        <v>267.46600000000001</v>
      </c>
      <c r="E629" s="92">
        <f>133.845</f>
        <v>133.845</v>
      </c>
      <c r="F629" s="83">
        <f>278.484-40-25-60-100</f>
        <v>53.48399999999998</v>
      </c>
      <c r="G629" s="86">
        <v>40</v>
      </c>
      <c r="H629" s="83">
        <f t="shared" si="101"/>
        <v>185</v>
      </c>
      <c r="I629" s="83">
        <f t="shared" si="102"/>
        <v>0</v>
      </c>
      <c r="J629" s="86">
        <v>100</v>
      </c>
      <c r="K629" s="86">
        <v>300</v>
      </c>
      <c r="L629" s="83">
        <f t="shared" si="94"/>
        <v>1274</v>
      </c>
      <c r="M629" s="94">
        <v>600</v>
      </c>
      <c r="N629" s="83">
        <f>30</f>
        <v>30</v>
      </c>
      <c r="O629" s="86">
        <v>240</v>
      </c>
      <c r="P629" s="86">
        <v>40</v>
      </c>
      <c r="Q629" s="86">
        <f t="shared" si="95"/>
        <v>315</v>
      </c>
      <c r="R629" s="86">
        <f t="shared" si="96"/>
        <v>100</v>
      </c>
      <c r="S629" s="83">
        <f t="shared" si="97"/>
        <v>695</v>
      </c>
      <c r="T629" s="83">
        <f>50</f>
        <v>50</v>
      </c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</row>
    <row r="630" spans="1:30" ht="15.75" x14ac:dyDescent="0.25">
      <c r="A630" s="32">
        <v>60114</v>
      </c>
      <c r="B630" s="95">
        <f t="shared" si="98"/>
        <v>31</v>
      </c>
      <c r="C630" s="83">
        <f>194.205</f>
        <v>194.20500000000001</v>
      </c>
      <c r="D630" s="83">
        <f>267.466</f>
        <v>267.46600000000001</v>
      </c>
      <c r="E630" s="92">
        <f>133.845</f>
        <v>133.845</v>
      </c>
      <c r="F630" s="83">
        <f>278.484-40-25-60-100</f>
        <v>53.48399999999998</v>
      </c>
      <c r="G630" s="86">
        <v>40</v>
      </c>
      <c r="H630" s="83">
        <f t="shared" si="101"/>
        <v>185</v>
      </c>
      <c r="I630" s="83">
        <f t="shared" si="102"/>
        <v>0</v>
      </c>
      <c r="J630" s="86">
        <v>100</v>
      </c>
      <c r="K630" s="86">
        <v>300</v>
      </c>
      <c r="L630" s="83">
        <f t="shared" si="94"/>
        <v>1274</v>
      </c>
      <c r="M630" s="94">
        <v>600</v>
      </c>
      <c r="N630" s="83">
        <f>30</f>
        <v>30</v>
      </c>
      <c r="O630" s="86">
        <v>240</v>
      </c>
      <c r="P630" s="86">
        <v>40</v>
      </c>
      <c r="Q630" s="86">
        <f t="shared" si="95"/>
        <v>315</v>
      </c>
      <c r="R630" s="86">
        <f t="shared" si="96"/>
        <v>100</v>
      </c>
      <c r="S630" s="83">
        <f t="shared" si="97"/>
        <v>695</v>
      </c>
      <c r="T630" s="83">
        <f>0</f>
        <v>0</v>
      </c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</row>
    <row r="631" spans="1:30" ht="15.75" x14ac:dyDescent="0.25">
      <c r="A631" s="32">
        <v>60145</v>
      </c>
      <c r="B631" s="95">
        <f t="shared" si="98"/>
        <v>31</v>
      </c>
      <c r="C631" s="83">
        <f>194.205</f>
        <v>194.20500000000001</v>
      </c>
      <c r="D631" s="83">
        <f>267.466</f>
        <v>267.46600000000001</v>
      </c>
      <c r="E631" s="92">
        <f>133.845</f>
        <v>133.845</v>
      </c>
      <c r="F631" s="83">
        <f>278.484-40-25-60-100</f>
        <v>53.48399999999998</v>
      </c>
      <c r="G631" s="86">
        <v>40</v>
      </c>
      <c r="H631" s="83">
        <f t="shared" si="101"/>
        <v>185</v>
      </c>
      <c r="I631" s="83">
        <f t="shared" si="102"/>
        <v>0</v>
      </c>
      <c r="J631" s="86">
        <v>100</v>
      </c>
      <c r="K631" s="86">
        <v>300</v>
      </c>
      <c r="L631" s="83">
        <f t="shared" si="94"/>
        <v>1274</v>
      </c>
      <c r="M631" s="94">
        <v>600</v>
      </c>
      <c r="N631" s="83">
        <f>30</f>
        <v>30</v>
      </c>
      <c r="O631" s="86">
        <v>240</v>
      </c>
      <c r="P631" s="86">
        <v>40</v>
      </c>
      <c r="Q631" s="86">
        <f t="shared" si="95"/>
        <v>315</v>
      </c>
      <c r="R631" s="86">
        <f t="shared" si="96"/>
        <v>100</v>
      </c>
      <c r="S631" s="83">
        <f t="shared" si="97"/>
        <v>695</v>
      </c>
      <c r="T631" s="83">
        <f>0</f>
        <v>0</v>
      </c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</row>
    <row r="632" spans="1:30" ht="15.75" x14ac:dyDescent="0.25">
      <c r="A632" s="32">
        <v>60175</v>
      </c>
      <c r="B632" s="95">
        <f t="shared" si="98"/>
        <v>30</v>
      </c>
      <c r="C632" s="83">
        <f>194.205</f>
        <v>194.20500000000001</v>
      </c>
      <c r="D632" s="83">
        <f>267.466</f>
        <v>267.46600000000001</v>
      </c>
      <c r="E632" s="92">
        <f>133.845</f>
        <v>133.845</v>
      </c>
      <c r="F632" s="83">
        <f>278.484-40-25-60-100</f>
        <v>53.48399999999998</v>
      </c>
      <c r="G632" s="86">
        <v>40</v>
      </c>
      <c r="H632" s="83">
        <f t="shared" si="101"/>
        <v>185</v>
      </c>
      <c r="I632" s="83">
        <f t="shared" si="102"/>
        <v>0</v>
      </c>
      <c r="J632" s="86">
        <v>100</v>
      </c>
      <c r="K632" s="86">
        <v>300</v>
      </c>
      <c r="L632" s="83">
        <f t="shared" si="94"/>
        <v>1274</v>
      </c>
      <c r="M632" s="94">
        <v>600</v>
      </c>
      <c r="N632" s="83">
        <f>30</f>
        <v>30</v>
      </c>
      <c r="O632" s="86">
        <v>240</v>
      </c>
      <c r="P632" s="86">
        <v>40</v>
      </c>
      <c r="Q632" s="86">
        <f t="shared" si="95"/>
        <v>315</v>
      </c>
      <c r="R632" s="86">
        <f t="shared" si="96"/>
        <v>100</v>
      </c>
      <c r="S632" s="83">
        <f t="shared" si="97"/>
        <v>695</v>
      </c>
      <c r="T632" s="83">
        <f>0</f>
        <v>0</v>
      </c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</row>
    <row r="633" spans="1:30" ht="15.75" x14ac:dyDescent="0.25">
      <c r="A633" s="32">
        <v>60206</v>
      </c>
      <c r="B633" s="95">
        <f t="shared" si="98"/>
        <v>31</v>
      </c>
      <c r="C633" s="83">
        <f>131.881</f>
        <v>131.881</v>
      </c>
      <c r="D633" s="83">
        <f>277.167</f>
        <v>277.16699999999997</v>
      </c>
      <c r="E633" s="92">
        <f>79.08</f>
        <v>79.08</v>
      </c>
      <c r="F633" s="83">
        <f>350.872-40-25-60-100</f>
        <v>125.87200000000001</v>
      </c>
      <c r="G633" s="86">
        <v>40</v>
      </c>
      <c r="H633" s="83">
        <f t="shared" si="101"/>
        <v>185</v>
      </c>
      <c r="I633" s="83">
        <f t="shared" si="102"/>
        <v>0</v>
      </c>
      <c r="J633" s="86">
        <v>100</v>
      </c>
      <c r="K633" s="86">
        <v>300</v>
      </c>
      <c r="L633" s="83">
        <f t="shared" si="94"/>
        <v>1239</v>
      </c>
      <c r="M633" s="94">
        <v>600</v>
      </c>
      <c r="N633" s="83">
        <f>75</f>
        <v>75</v>
      </c>
      <c r="O633" s="86">
        <v>240</v>
      </c>
      <c r="P633" s="86">
        <v>40</v>
      </c>
      <c r="Q633" s="86">
        <f t="shared" si="95"/>
        <v>315</v>
      </c>
      <c r="R633" s="86">
        <f t="shared" si="96"/>
        <v>100</v>
      </c>
      <c r="S633" s="83">
        <f t="shared" si="97"/>
        <v>695</v>
      </c>
      <c r="T633" s="83">
        <f>0</f>
        <v>0</v>
      </c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</row>
    <row r="634" spans="1:30" ht="15.75" x14ac:dyDescent="0.25">
      <c r="A634" s="32">
        <v>60236</v>
      </c>
      <c r="B634" s="95">
        <f t="shared" si="98"/>
        <v>30</v>
      </c>
      <c r="C634" s="83">
        <f>122.58</f>
        <v>122.58</v>
      </c>
      <c r="D634" s="83">
        <f>297.941</f>
        <v>297.94099999999997</v>
      </c>
      <c r="E634" s="92">
        <f>89.177</f>
        <v>89.177000000000007</v>
      </c>
      <c r="F634" s="83">
        <f>240.302-40-60-100</f>
        <v>40.301999999999992</v>
      </c>
      <c r="G634" s="86">
        <v>40</v>
      </c>
      <c r="H634" s="83">
        <f>60+100</f>
        <v>160</v>
      </c>
      <c r="I634" s="83">
        <f t="shared" si="102"/>
        <v>0</v>
      </c>
      <c r="J634" s="86">
        <v>100</v>
      </c>
      <c r="K634" s="86">
        <v>300</v>
      </c>
      <c r="L634" s="83">
        <f t="shared" si="94"/>
        <v>1150</v>
      </c>
      <c r="M634" s="94">
        <v>600</v>
      </c>
      <c r="N634" s="83">
        <f>100</f>
        <v>100</v>
      </c>
      <c r="O634" s="86">
        <v>240</v>
      </c>
      <c r="P634" s="86">
        <v>40</v>
      </c>
      <c r="Q634" s="86">
        <f t="shared" si="95"/>
        <v>315</v>
      </c>
      <c r="R634" s="86">
        <f t="shared" si="96"/>
        <v>100</v>
      </c>
      <c r="S634" s="83">
        <f t="shared" si="97"/>
        <v>695</v>
      </c>
      <c r="T634" s="83">
        <f>50</f>
        <v>50</v>
      </c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</row>
    <row r="635" spans="1:30" ht="15.75" x14ac:dyDescent="0.25">
      <c r="A635" s="32">
        <v>60267</v>
      </c>
      <c r="B635" s="95">
        <f t="shared" si="98"/>
        <v>31</v>
      </c>
      <c r="C635" s="83">
        <f>122.58</f>
        <v>122.58</v>
      </c>
      <c r="D635" s="83">
        <f>297.941</f>
        <v>297.94099999999997</v>
      </c>
      <c r="E635" s="92">
        <f>89.177</f>
        <v>89.177000000000007</v>
      </c>
      <c r="F635" s="83">
        <f>240.302-40-60-100</f>
        <v>40.301999999999992</v>
      </c>
      <c r="G635" s="86">
        <v>40</v>
      </c>
      <c r="H635" s="83">
        <f>60+100</f>
        <v>160</v>
      </c>
      <c r="I635" s="83">
        <f t="shared" si="102"/>
        <v>0</v>
      </c>
      <c r="J635" s="86">
        <v>100</v>
      </c>
      <c r="K635" s="86">
        <v>300</v>
      </c>
      <c r="L635" s="83">
        <f t="shared" si="94"/>
        <v>1150</v>
      </c>
      <c r="M635" s="94">
        <v>600</v>
      </c>
      <c r="N635" s="83">
        <f>100</f>
        <v>100</v>
      </c>
      <c r="O635" s="86">
        <v>240</v>
      </c>
      <c r="P635" s="86">
        <v>40</v>
      </c>
      <c r="Q635" s="86">
        <f t="shared" si="95"/>
        <v>315</v>
      </c>
      <c r="R635" s="86">
        <f t="shared" si="96"/>
        <v>100</v>
      </c>
      <c r="S635" s="83">
        <f t="shared" si="97"/>
        <v>695</v>
      </c>
      <c r="T635" s="83">
        <f>50</f>
        <v>50</v>
      </c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</row>
    <row r="636" spans="1:30" ht="15.75" x14ac:dyDescent="0.25">
      <c r="A636" s="32">
        <v>60298</v>
      </c>
      <c r="B636" s="95">
        <f t="shared" si="98"/>
        <v>31</v>
      </c>
      <c r="C636" s="83">
        <f>122.58</f>
        <v>122.58</v>
      </c>
      <c r="D636" s="83">
        <f>297.941</f>
        <v>297.94099999999997</v>
      </c>
      <c r="E636" s="92">
        <f>89.177</f>
        <v>89.177000000000007</v>
      </c>
      <c r="F636" s="83">
        <f>240.302-40-60-100</f>
        <v>40.301999999999992</v>
      </c>
      <c r="G636" s="86">
        <v>40</v>
      </c>
      <c r="H636" s="83">
        <f>60+100</f>
        <v>160</v>
      </c>
      <c r="I636" s="83">
        <f t="shared" si="102"/>
        <v>0</v>
      </c>
      <c r="J636" s="86">
        <v>100</v>
      </c>
      <c r="K636" s="86">
        <v>300</v>
      </c>
      <c r="L636" s="83">
        <f t="shared" si="94"/>
        <v>1150</v>
      </c>
      <c r="M636" s="94">
        <v>600</v>
      </c>
      <c r="N636" s="83">
        <f>100</f>
        <v>100</v>
      </c>
      <c r="O636" s="86">
        <v>240</v>
      </c>
      <c r="P636" s="86">
        <v>40</v>
      </c>
      <c r="Q636" s="86">
        <f t="shared" si="95"/>
        <v>315</v>
      </c>
      <c r="R636" s="86">
        <f t="shared" si="96"/>
        <v>100</v>
      </c>
      <c r="S636" s="83">
        <f t="shared" si="97"/>
        <v>695</v>
      </c>
      <c r="T636" s="83">
        <f>50</f>
        <v>50</v>
      </c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</row>
    <row r="637" spans="1:30" ht="15.75" x14ac:dyDescent="0.25">
      <c r="A637" s="32">
        <v>60326</v>
      </c>
      <c r="B637" s="95">
        <f t="shared" si="98"/>
        <v>28</v>
      </c>
      <c r="C637" s="83">
        <f>122.58</f>
        <v>122.58</v>
      </c>
      <c r="D637" s="83">
        <f>297.941</f>
        <v>297.94099999999997</v>
      </c>
      <c r="E637" s="92">
        <f>89.177</f>
        <v>89.177000000000007</v>
      </c>
      <c r="F637" s="83">
        <f>240.302-40-60-100</f>
        <v>40.301999999999992</v>
      </c>
      <c r="G637" s="86">
        <v>40</v>
      </c>
      <c r="H637" s="83">
        <f>60+100</f>
        <v>160</v>
      </c>
      <c r="I637" s="83">
        <f t="shared" si="102"/>
        <v>0</v>
      </c>
      <c r="J637" s="86">
        <v>100</v>
      </c>
      <c r="K637" s="86">
        <v>300</v>
      </c>
      <c r="L637" s="83">
        <f t="shared" si="94"/>
        <v>1150</v>
      </c>
      <c r="M637" s="94">
        <v>600</v>
      </c>
      <c r="N637" s="83">
        <f>100</f>
        <v>100</v>
      </c>
      <c r="O637" s="86">
        <v>240</v>
      </c>
      <c r="P637" s="86">
        <v>40</v>
      </c>
      <c r="Q637" s="86">
        <f t="shared" si="95"/>
        <v>315</v>
      </c>
      <c r="R637" s="86">
        <f t="shared" si="96"/>
        <v>100</v>
      </c>
      <c r="S637" s="83">
        <f t="shared" si="97"/>
        <v>695</v>
      </c>
      <c r="T637" s="83">
        <f>50</f>
        <v>50</v>
      </c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</row>
    <row r="638" spans="1:30" ht="15.75" x14ac:dyDescent="0.25">
      <c r="A638" s="32">
        <v>60357</v>
      </c>
      <c r="B638" s="95">
        <f t="shared" si="98"/>
        <v>31</v>
      </c>
      <c r="C638" s="83">
        <f>122.58</f>
        <v>122.58</v>
      </c>
      <c r="D638" s="83">
        <f>297.941</f>
        <v>297.94099999999997</v>
      </c>
      <c r="E638" s="92">
        <f>89.177</f>
        <v>89.177000000000007</v>
      </c>
      <c r="F638" s="83">
        <f>240.302-40-60-100</f>
        <v>40.301999999999992</v>
      </c>
      <c r="G638" s="86">
        <v>40</v>
      </c>
      <c r="H638" s="83">
        <f>60+100</f>
        <v>160</v>
      </c>
      <c r="I638" s="83">
        <f t="shared" si="102"/>
        <v>0</v>
      </c>
      <c r="J638" s="86">
        <v>100</v>
      </c>
      <c r="K638" s="86">
        <v>300</v>
      </c>
      <c r="L638" s="83">
        <f t="shared" si="94"/>
        <v>1150</v>
      </c>
      <c r="M638" s="94">
        <v>600</v>
      </c>
      <c r="N638" s="83">
        <f>100</f>
        <v>100</v>
      </c>
      <c r="O638" s="86">
        <v>240</v>
      </c>
      <c r="P638" s="86">
        <v>40</v>
      </c>
      <c r="Q638" s="86">
        <f t="shared" si="95"/>
        <v>315</v>
      </c>
      <c r="R638" s="86">
        <f t="shared" si="96"/>
        <v>100</v>
      </c>
      <c r="S638" s="83">
        <f t="shared" si="97"/>
        <v>695</v>
      </c>
      <c r="T638" s="83">
        <f>50</f>
        <v>50</v>
      </c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</row>
    <row r="639" spans="1:30" ht="15.75" x14ac:dyDescent="0.25">
      <c r="A639" s="32">
        <v>60387</v>
      </c>
      <c r="B639" s="95">
        <f t="shared" si="98"/>
        <v>30</v>
      </c>
      <c r="C639" s="83">
        <f>141.293</f>
        <v>141.29300000000001</v>
      </c>
      <c r="D639" s="83">
        <f>267.993</f>
        <v>267.99299999999999</v>
      </c>
      <c r="E639" s="92">
        <f>115.016</f>
        <v>115.01600000000001</v>
      </c>
      <c r="F639" s="83">
        <f>314.698-40-25-60-100</f>
        <v>89.697999999999979</v>
      </c>
      <c r="G639" s="86">
        <v>40</v>
      </c>
      <c r="H639" s="83">
        <f t="shared" ref="H639:H645" si="103">25+60+100</f>
        <v>185</v>
      </c>
      <c r="I639" s="83">
        <f t="shared" si="102"/>
        <v>0</v>
      </c>
      <c r="J639" s="86">
        <v>100</v>
      </c>
      <c r="K639" s="86">
        <v>300</v>
      </c>
      <c r="L639" s="83">
        <f t="shared" si="94"/>
        <v>1239</v>
      </c>
      <c r="M639" s="94">
        <v>600</v>
      </c>
      <c r="N639" s="83">
        <f>100</f>
        <v>100</v>
      </c>
      <c r="O639" s="86">
        <v>240</v>
      </c>
      <c r="P639" s="86">
        <v>40</v>
      </c>
      <c r="Q639" s="86">
        <f t="shared" si="95"/>
        <v>315</v>
      </c>
      <c r="R639" s="86">
        <f t="shared" si="96"/>
        <v>100</v>
      </c>
      <c r="S639" s="83">
        <f t="shared" si="97"/>
        <v>695</v>
      </c>
      <c r="T639" s="83">
        <f>50</f>
        <v>50</v>
      </c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</row>
    <row r="640" spans="1:30" ht="15.75" x14ac:dyDescent="0.25">
      <c r="A640" s="32">
        <v>60418</v>
      </c>
      <c r="B640" s="95">
        <f t="shared" si="98"/>
        <v>31</v>
      </c>
      <c r="C640" s="83">
        <f>194.205</f>
        <v>194.20500000000001</v>
      </c>
      <c r="D640" s="83">
        <f>267.466</f>
        <v>267.46600000000001</v>
      </c>
      <c r="E640" s="92">
        <f>133.845</f>
        <v>133.845</v>
      </c>
      <c r="F640" s="83">
        <f>278.484-40-25-60-100</f>
        <v>53.48399999999998</v>
      </c>
      <c r="G640" s="86">
        <v>40</v>
      </c>
      <c r="H640" s="83">
        <f t="shared" si="103"/>
        <v>185</v>
      </c>
      <c r="I640" s="83">
        <f t="shared" si="102"/>
        <v>0</v>
      </c>
      <c r="J640" s="86">
        <v>100</v>
      </c>
      <c r="K640" s="86">
        <v>300</v>
      </c>
      <c r="L640" s="83">
        <f t="shared" si="94"/>
        <v>1274</v>
      </c>
      <c r="M640" s="94">
        <v>600</v>
      </c>
      <c r="N640" s="83">
        <f>75</f>
        <v>75</v>
      </c>
      <c r="O640" s="86">
        <v>240</v>
      </c>
      <c r="P640" s="86">
        <v>40</v>
      </c>
      <c r="Q640" s="86">
        <f t="shared" si="95"/>
        <v>315</v>
      </c>
      <c r="R640" s="86">
        <f t="shared" si="96"/>
        <v>100</v>
      </c>
      <c r="S640" s="83">
        <f t="shared" si="97"/>
        <v>695</v>
      </c>
      <c r="T640" s="83">
        <f>50</f>
        <v>50</v>
      </c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</row>
    <row r="641" spans="1:30" ht="15.75" x14ac:dyDescent="0.25">
      <c r="A641" s="32">
        <v>60448</v>
      </c>
      <c r="B641" s="95">
        <f t="shared" si="98"/>
        <v>30</v>
      </c>
      <c r="C641" s="83">
        <f>194.205</f>
        <v>194.20500000000001</v>
      </c>
      <c r="D641" s="83">
        <f>267.466</f>
        <v>267.46600000000001</v>
      </c>
      <c r="E641" s="92">
        <f>133.845</f>
        <v>133.845</v>
      </c>
      <c r="F641" s="83">
        <f>278.484-40-25-60-100</f>
        <v>53.48399999999998</v>
      </c>
      <c r="G641" s="86">
        <v>40</v>
      </c>
      <c r="H641" s="83">
        <f t="shared" si="103"/>
        <v>185</v>
      </c>
      <c r="I641" s="83">
        <f t="shared" si="102"/>
        <v>0</v>
      </c>
      <c r="J641" s="86">
        <v>100</v>
      </c>
      <c r="K641" s="86">
        <v>300</v>
      </c>
      <c r="L641" s="83">
        <f t="shared" si="94"/>
        <v>1274</v>
      </c>
      <c r="M641" s="94">
        <v>600</v>
      </c>
      <c r="N641" s="83">
        <f>30</f>
        <v>30</v>
      </c>
      <c r="O641" s="86">
        <v>240</v>
      </c>
      <c r="P641" s="86">
        <v>40</v>
      </c>
      <c r="Q641" s="86">
        <f t="shared" si="95"/>
        <v>315</v>
      </c>
      <c r="R641" s="86">
        <f t="shared" si="96"/>
        <v>100</v>
      </c>
      <c r="S641" s="83">
        <f t="shared" si="97"/>
        <v>695</v>
      </c>
      <c r="T641" s="83">
        <f>50</f>
        <v>50</v>
      </c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</row>
    <row r="642" spans="1:30" ht="15.75" x14ac:dyDescent="0.25">
      <c r="A642" s="32">
        <v>60479</v>
      </c>
      <c r="B642" s="95">
        <f t="shared" si="98"/>
        <v>31</v>
      </c>
      <c r="C642" s="83">
        <f>194.205</f>
        <v>194.20500000000001</v>
      </c>
      <c r="D642" s="83">
        <f>267.466</f>
        <v>267.46600000000001</v>
      </c>
      <c r="E642" s="92">
        <f>133.845</f>
        <v>133.845</v>
      </c>
      <c r="F642" s="83">
        <f>278.484-40-25-60-100</f>
        <v>53.48399999999998</v>
      </c>
      <c r="G642" s="86">
        <v>40</v>
      </c>
      <c r="H642" s="83">
        <f t="shared" si="103"/>
        <v>185</v>
      </c>
      <c r="I642" s="83">
        <f t="shared" si="102"/>
        <v>0</v>
      </c>
      <c r="J642" s="86">
        <v>100</v>
      </c>
      <c r="K642" s="86">
        <v>300</v>
      </c>
      <c r="L642" s="83">
        <f t="shared" si="94"/>
        <v>1274</v>
      </c>
      <c r="M642" s="94">
        <v>600</v>
      </c>
      <c r="N642" s="83">
        <f>30</f>
        <v>30</v>
      </c>
      <c r="O642" s="86">
        <v>240</v>
      </c>
      <c r="P642" s="86">
        <v>40</v>
      </c>
      <c r="Q642" s="86">
        <f t="shared" si="95"/>
        <v>315</v>
      </c>
      <c r="R642" s="86">
        <f t="shared" si="96"/>
        <v>100</v>
      </c>
      <c r="S642" s="83">
        <f t="shared" si="97"/>
        <v>695</v>
      </c>
      <c r="T642" s="83">
        <f>0</f>
        <v>0</v>
      </c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</row>
    <row r="643" spans="1:30" ht="15.75" x14ac:dyDescent="0.25">
      <c r="A643" s="32">
        <v>60510</v>
      </c>
      <c r="B643" s="95">
        <f t="shared" si="98"/>
        <v>31</v>
      </c>
      <c r="C643" s="83">
        <f>194.205</f>
        <v>194.20500000000001</v>
      </c>
      <c r="D643" s="83">
        <f>267.466</f>
        <v>267.46600000000001</v>
      </c>
      <c r="E643" s="92">
        <f>133.845</f>
        <v>133.845</v>
      </c>
      <c r="F643" s="83">
        <f>278.484-40-25-60-100</f>
        <v>53.48399999999998</v>
      </c>
      <c r="G643" s="86">
        <v>40</v>
      </c>
      <c r="H643" s="83">
        <f t="shared" si="103"/>
        <v>185</v>
      </c>
      <c r="I643" s="83">
        <f t="shared" si="102"/>
        <v>0</v>
      </c>
      <c r="J643" s="86">
        <v>100</v>
      </c>
      <c r="K643" s="86">
        <v>300</v>
      </c>
      <c r="L643" s="83">
        <f t="shared" si="94"/>
        <v>1274</v>
      </c>
      <c r="M643" s="94">
        <v>600</v>
      </c>
      <c r="N643" s="83">
        <f>30</f>
        <v>30</v>
      </c>
      <c r="O643" s="86">
        <v>240</v>
      </c>
      <c r="P643" s="86">
        <v>40</v>
      </c>
      <c r="Q643" s="86">
        <f t="shared" si="95"/>
        <v>315</v>
      </c>
      <c r="R643" s="86">
        <f t="shared" si="96"/>
        <v>100</v>
      </c>
      <c r="S643" s="83">
        <f t="shared" si="97"/>
        <v>695</v>
      </c>
      <c r="T643" s="83">
        <f>0</f>
        <v>0</v>
      </c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</row>
    <row r="644" spans="1:30" ht="15.75" x14ac:dyDescent="0.25">
      <c r="A644" s="32">
        <v>60540</v>
      </c>
      <c r="B644" s="95">
        <f t="shared" si="98"/>
        <v>30</v>
      </c>
      <c r="C644" s="83">
        <f>194.205</f>
        <v>194.20500000000001</v>
      </c>
      <c r="D644" s="83">
        <f>267.466</f>
        <v>267.46600000000001</v>
      </c>
      <c r="E644" s="92">
        <f>133.845</f>
        <v>133.845</v>
      </c>
      <c r="F644" s="83">
        <f>278.484-40-25-60-100</f>
        <v>53.48399999999998</v>
      </c>
      <c r="G644" s="86">
        <v>40</v>
      </c>
      <c r="H644" s="83">
        <f t="shared" si="103"/>
        <v>185</v>
      </c>
      <c r="I644" s="83">
        <f t="shared" si="102"/>
        <v>0</v>
      </c>
      <c r="J644" s="86">
        <v>100</v>
      </c>
      <c r="K644" s="86">
        <v>300</v>
      </c>
      <c r="L644" s="83">
        <f t="shared" si="94"/>
        <v>1274</v>
      </c>
      <c r="M644" s="94">
        <v>600</v>
      </c>
      <c r="N644" s="83">
        <f>30</f>
        <v>30</v>
      </c>
      <c r="O644" s="86">
        <v>240</v>
      </c>
      <c r="P644" s="86">
        <v>40</v>
      </c>
      <c r="Q644" s="86">
        <f t="shared" si="95"/>
        <v>315</v>
      </c>
      <c r="R644" s="86">
        <f t="shared" si="96"/>
        <v>100</v>
      </c>
      <c r="S644" s="83">
        <f t="shared" si="97"/>
        <v>695</v>
      </c>
      <c r="T644" s="83">
        <f>0</f>
        <v>0</v>
      </c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</row>
    <row r="645" spans="1:30" ht="15.75" x14ac:dyDescent="0.25">
      <c r="A645" s="32">
        <v>60571</v>
      </c>
      <c r="B645" s="95">
        <f t="shared" si="98"/>
        <v>31</v>
      </c>
      <c r="C645" s="83">
        <f>131.881</f>
        <v>131.881</v>
      </c>
      <c r="D645" s="83">
        <f>277.167</f>
        <v>277.16699999999997</v>
      </c>
      <c r="E645" s="92">
        <f>79.08</f>
        <v>79.08</v>
      </c>
      <c r="F645" s="83">
        <f>350.872-40-25-60-100</f>
        <v>125.87200000000001</v>
      </c>
      <c r="G645" s="86">
        <v>40</v>
      </c>
      <c r="H645" s="83">
        <f t="shared" si="103"/>
        <v>185</v>
      </c>
      <c r="I645" s="83">
        <f t="shared" si="102"/>
        <v>0</v>
      </c>
      <c r="J645" s="86">
        <v>100</v>
      </c>
      <c r="K645" s="86">
        <v>300</v>
      </c>
      <c r="L645" s="83">
        <f t="shared" si="94"/>
        <v>1239</v>
      </c>
      <c r="M645" s="94">
        <v>600</v>
      </c>
      <c r="N645" s="83">
        <f>75</f>
        <v>75</v>
      </c>
      <c r="O645" s="86">
        <v>240</v>
      </c>
      <c r="P645" s="86">
        <v>40</v>
      </c>
      <c r="Q645" s="86">
        <f t="shared" si="95"/>
        <v>315</v>
      </c>
      <c r="R645" s="86">
        <f t="shared" si="96"/>
        <v>100</v>
      </c>
      <c r="S645" s="83">
        <f t="shared" si="97"/>
        <v>695</v>
      </c>
      <c r="T645" s="83">
        <f>0</f>
        <v>0</v>
      </c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</row>
    <row r="646" spans="1:30" ht="15.75" x14ac:dyDescent="0.25">
      <c r="A646" s="32">
        <v>60601</v>
      </c>
      <c r="B646" s="95">
        <f t="shared" si="98"/>
        <v>30</v>
      </c>
      <c r="C646" s="83">
        <f>122.58</f>
        <v>122.58</v>
      </c>
      <c r="D646" s="83">
        <f>297.941</f>
        <v>297.94099999999997</v>
      </c>
      <c r="E646" s="92">
        <f>89.177</f>
        <v>89.177000000000007</v>
      </c>
      <c r="F646" s="83">
        <f>240.302-40-60-100</f>
        <v>40.301999999999992</v>
      </c>
      <c r="G646" s="86">
        <v>40</v>
      </c>
      <c r="H646" s="83">
        <f>60+100</f>
        <v>160</v>
      </c>
      <c r="I646" s="83">
        <f t="shared" si="102"/>
        <v>0</v>
      </c>
      <c r="J646" s="86">
        <v>100</v>
      </c>
      <c r="K646" s="86">
        <v>300</v>
      </c>
      <c r="L646" s="83">
        <f t="shared" si="94"/>
        <v>1150</v>
      </c>
      <c r="M646" s="94">
        <v>600</v>
      </c>
      <c r="N646" s="83">
        <f>100</f>
        <v>100</v>
      </c>
      <c r="O646" s="86">
        <v>240</v>
      </c>
      <c r="P646" s="86">
        <v>40</v>
      </c>
      <c r="Q646" s="86">
        <f t="shared" si="95"/>
        <v>315</v>
      </c>
      <c r="R646" s="86">
        <f t="shared" si="96"/>
        <v>100</v>
      </c>
      <c r="S646" s="83">
        <f t="shared" si="97"/>
        <v>695</v>
      </c>
      <c r="T646" s="83">
        <f>50</f>
        <v>50</v>
      </c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</row>
    <row r="647" spans="1:30" ht="15.75" x14ac:dyDescent="0.25">
      <c r="A647" s="32">
        <v>60632</v>
      </c>
      <c r="B647" s="95">
        <f t="shared" si="98"/>
        <v>31</v>
      </c>
      <c r="C647" s="83">
        <f>122.58</f>
        <v>122.58</v>
      </c>
      <c r="D647" s="83">
        <f>297.941</f>
        <v>297.94099999999997</v>
      </c>
      <c r="E647" s="92">
        <f>89.177</f>
        <v>89.177000000000007</v>
      </c>
      <c r="F647" s="83">
        <f>240.302-40-60-100</f>
        <v>40.301999999999992</v>
      </c>
      <c r="G647" s="86">
        <v>40</v>
      </c>
      <c r="H647" s="83">
        <f>60+100</f>
        <v>160</v>
      </c>
      <c r="I647" s="83">
        <f t="shared" si="102"/>
        <v>0</v>
      </c>
      <c r="J647" s="86">
        <v>100</v>
      </c>
      <c r="K647" s="86">
        <v>300</v>
      </c>
      <c r="L647" s="83">
        <f t="shared" si="94"/>
        <v>1150</v>
      </c>
      <c r="M647" s="94">
        <v>600</v>
      </c>
      <c r="N647" s="83">
        <f>100</f>
        <v>100</v>
      </c>
      <c r="O647" s="86">
        <v>240</v>
      </c>
      <c r="P647" s="86">
        <v>40</v>
      </c>
      <c r="Q647" s="86">
        <f t="shared" si="95"/>
        <v>315</v>
      </c>
      <c r="R647" s="86">
        <f t="shared" si="96"/>
        <v>100</v>
      </c>
      <c r="S647" s="83">
        <f t="shared" si="97"/>
        <v>695</v>
      </c>
      <c r="T647" s="83">
        <f>50</f>
        <v>50</v>
      </c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</row>
    <row r="648" spans="1:30" ht="15.75" x14ac:dyDescent="0.25">
      <c r="A648" s="32">
        <v>60663</v>
      </c>
      <c r="B648" s="95">
        <f t="shared" si="98"/>
        <v>31</v>
      </c>
      <c r="C648" s="83">
        <f>122.58</f>
        <v>122.58</v>
      </c>
      <c r="D648" s="83">
        <f>297.941</f>
        <v>297.94099999999997</v>
      </c>
      <c r="E648" s="92">
        <f>89.177</f>
        <v>89.177000000000007</v>
      </c>
      <c r="F648" s="83">
        <f>240.302-40-60-100</f>
        <v>40.301999999999992</v>
      </c>
      <c r="G648" s="86">
        <v>40</v>
      </c>
      <c r="H648" s="83">
        <f>60+100</f>
        <v>160</v>
      </c>
      <c r="I648" s="83">
        <f t="shared" si="102"/>
        <v>0</v>
      </c>
      <c r="J648" s="86">
        <v>100</v>
      </c>
      <c r="K648" s="86">
        <v>300</v>
      </c>
      <c r="L648" s="83">
        <f t="shared" si="94"/>
        <v>1150</v>
      </c>
      <c r="M648" s="94">
        <v>600</v>
      </c>
      <c r="N648" s="83">
        <f>100</f>
        <v>100</v>
      </c>
      <c r="O648" s="86">
        <v>240</v>
      </c>
      <c r="P648" s="86">
        <v>40</v>
      </c>
      <c r="Q648" s="86">
        <f t="shared" si="95"/>
        <v>315</v>
      </c>
      <c r="R648" s="86">
        <f t="shared" si="96"/>
        <v>100</v>
      </c>
      <c r="S648" s="83">
        <f t="shared" si="97"/>
        <v>695</v>
      </c>
      <c r="T648" s="83">
        <f>50</f>
        <v>50</v>
      </c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</row>
    <row r="649" spans="1:30" ht="15.75" x14ac:dyDescent="0.25">
      <c r="A649" s="32">
        <v>60691</v>
      </c>
      <c r="B649" s="95">
        <f t="shared" si="98"/>
        <v>28</v>
      </c>
      <c r="C649" s="83">
        <f>122.58</f>
        <v>122.58</v>
      </c>
      <c r="D649" s="83">
        <f>297.941</f>
        <v>297.94099999999997</v>
      </c>
      <c r="E649" s="92">
        <f>89.177</f>
        <v>89.177000000000007</v>
      </c>
      <c r="F649" s="83">
        <f>240.302-40-60-100</f>
        <v>40.301999999999992</v>
      </c>
      <c r="G649" s="86">
        <v>40</v>
      </c>
      <c r="H649" s="83">
        <f>60+100</f>
        <v>160</v>
      </c>
      <c r="I649" s="83">
        <f t="shared" si="102"/>
        <v>0</v>
      </c>
      <c r="J649" s="86">
        <v>100</v>
      </c>
      <c r="K649" s="86">
        <v>300</v>
      </c>
      <c r="L649" s="83">
        <f t="shared" si="94"/>
        <v>1150</v>
      </c>
      <c r="M649" s="94">
        <v>600</v>
      </c>
      <c r="N649" s="83">
        <f>100</f>
        <v>100</v>
      </c>
      <c r="O649" s="86">
        <v>240</v>
      </c>
      <c r="P649" s="86">
        <v>40</v>
      </c>
      <c r="Q649" s="86">
        <f t="shared" si="95"/>
        <v>315</v>
      </c>
      <c r="R649" s="86">
        <f t="shared" si="96"/>
        <v>100</v>
      </c>
      <c r="S649" s="83">
        <f t="shared" si="97"/>
        <v>695</v>
      </c>
      <c r="T649" s="83">
        <f>50</f>
        <v>50</v>
      </c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</row>
    <row r="650" spans="1:30" ht="15.75" x14ac:dyDescent="0.25">
      <c r="A650" s="32">
        <v>60722</v>
      </c>
      <c r="B650" s="95">
        <f t="shared" si="98"/>
        <v>31</v>
      </c>
      <c r="C650" s="83">
        <f>122.58</f>
        <v>122.58</v>
      </c>
      <c r="D650" s="83">
        <f>297.941</f>
        <v>297.94099999999997</v>
      </c>
      <c r="E650" s="92">
        <f>89.177</f>
        <v>89.177000000000007</v>
      </c>
      <c r="F650" s="83">
        <f>240.302-40-60-100</f>
        <v>40.301999999999992</v>
      </c>
      <c r="G650" s="86">
        <v>40</v>
      </c>
      <c r="H650" s="83">
        <f>60+100</f>
        <v>160</v>
      </c>
      <c r="I650" s="83">
        <f t="shared" si="102"/>
        <v>0</v>
      </c>
      <c r="J650" s="86">
        <v>100</v>
      </c>
      <c r="K650" s="86">
        <v>300</v>
      </c>
      <c r="L650" s="83">
        <f t="shared" si="94"/>
        <v>1150</v>
      </c>
      <c r="M650" s="94">
        <v>600</v>
      </c>
      <c r="N650" s="83">
        <f>100</f>
        <v>100</v>
      </c>
      <c r="O650" s="86">
        <v>240</v>
      </c>
      <c r="P650" s="86">
        <v>40</v>
      </c>
      <c r="Q650" s="86">
        <f t="shared" si="95"/>
        <v>315</v>
      </c>
      <c r="R650" s="86">
        <f t="shared" si="96"/>
        <v>100</v>
      </c>
      <c r="S650" s="83">
        <f t="shared" si="97"/>
        <v>695</v>
      </c>
      <c r="T650" s="83">
        <f>50</f>
        <v>50</v>
      </c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</row>
    <row r="651" spans="1:30" ht="15.75" x14ac:dyDescent="0.25">
      <c r="A651" s="32">
        <v>60752</v>
      </c>
      <c r="B651" s="95">
        <f t="shared" si="98"/>
        <v>30</v>
      </c>
      <c r="C651" s="83">
        <f>141.293</f>
        <v>141.29300000000001</v>
      </c>
      <c r="D651" s="83">
        <f>267.993</f>
        <v>267.99299999999999</v>
      </c>
      <c r="E651" s="92">
        <f>115.016</f>
        <v>115.01600000000001</v>
      </c>
      <c r="F651" s="83">
        <f>314.698-40-25-60-100</f>
        <v>89.697999999999979</v>
      </c>
      <c r="G651" s="86">
        <v>40</v>
      </c>
      <c r="H651" s="83">
        <f t="shared" ref="H651:H657" si="104">25+60+100</f>
        <v>185</v>
      </c>
      <c r="I651" s="83">
        <f t="shared" si="102"/>
        <v>0</v>
      </c>
      <c r="J651" s="86">
        <v>100</v>
      </c>
      <c r="K651" s="86">
        <v>300</v>
      </c>
      <c r="L651" s="83">
        <f t="shared" si="94"/>
        <v>1239</v>
      </c>
      <c r="M651" s="94">
        <v>600</v>
      </c>
      <c r="N651" s="83">
        <f>100</f>
        <v>100</v>
      </c>
      <c r="O651" s="86">
        <v>240</v>
      </c>
      <c r="P651" s="86">
        <v>40</v>
      </c>
      <c r="Q651" s="86">
        <f t="shared" si="95"/>
        <v>315</v>
      </c>
      <c r="R651" s="86">
        <f t="shared" si="96"/>
        <v>100</v>
      </c>
      <c r="S651" s="83">
        <f t="shared" si="97"/>
        <v>695</v>
      </c>
      <c r="T651" s="83">
        <f>50</f>
        <v>50</v>
      </c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</row>
    <row r="652" spans="1:30" ht="15.75" x14ac:dyDescent="0.25">
      <c r="A652" s="32">
        <v>60783</v>
      </c>
      <c r="B652" s="95">
        <f t="shared" si="98"/>
        <v>31</v>
      </c>
      <c r="C652" s="83">
        <f>194.205</f>
        <v>194.20500000000001</v>
      </c>
      <c r="D652" s="83">
        <f>267.466</f>
        <v>267.46600000000001</v>
      </c>
      <c r="E652" s="92">
        <f>133.845</f>
        <v>133.845</v>
      </c>
      <c r="F652" s="83">
        <f>278.484-40-25-60-100</f>
        <v>53.48399999999998</v>
      </c>
      <c r="G652" s="86">
        <v>40</v>
      </c>
      <c r="H652" s="83">
        <f t="shared" si="104"/>
        <v>185</v>
      </c>
      <c r="I652" s="83">
        <f t="shared" si="102"/>
        <v>0</v>
      </c>
      <c r="J652" s="86">
        <v>100</v>
      </c>
      <c r="K652" s="86">
        <v>300</v>
      </c>
      <c r="L652" s="83">
        <f t="shared" si="94"/>
        <v>1274</v>
      </c>
      <c r="M652" s="94">
        <v>600</v>
      </c>
      <c r="N652" s="83">
        <f>75</f>
        <v>75</v>
      </c>
      <c r="O652" s="86">
        <v>240</v>
      </c>
      <c r="P652" s="86">
        <v>40</v>
      </c>
      <c r="Q652" s="86">
        <f t="shared" si="95"/>
        <v>315</v>
      </c>
      <c r="R652" s="86">
        <f t="shared" si="96"/>
        <v>100</v>
      </c>
      <c r="S652" s="83">
        <f t="shared" si="97"/>
        <v>695</v>
      </c>
      <c r="T652" s="83">
        <f>50</f>
        <v>50</v>
      </c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</row>
    <row r="653" spans="1:30" ht="15.75" x14ac:dyDescent="0.25">
      <c r="A653" s="32">
        <v>60813</v>
      </c>
      <c r="B653" s="95">
        <f t="shared" si="98"/>
        <v>30</v>
      </c>
      <c r="C653" s="83">
        <f>194.205</f>
        <v>194.20500000000001</v>
      </c>
      <c r="D653" s="83">
        <f>267.466</f>
        <v>267.46600000000001</v>
      </c>
      <c r="E653" s="92">
        <f>133.845</f>
        <v>133.845</v>
      </c>
      <c r="F653" s="83">
        <f>278.484-40-25-60-100</f>
        <v>53.48399999999998</v>
      </c>
      <c r="G653" s="86">
        <v>40</v>
      </c>
      <c r="H653" s="83">
        <f t="shared" si="104"/>
        <v>185</v>
      </c>
      <c r="I653" s="83">
        <f t="shared" si="102"/>
        <v>0</v>
      </c>
      <c r="J653" s="86">
        <v>100</v>
      </c>
      <c r="K653" s="86">
        <v>300</v>
      </c>
      <c r="L653" s="83">
        <f t="shared" si="94"/>
        <v>1274</v>
      </c>
      <c r="M653" s="94">
        <v>600</v>
      </c>
      <c r="N653" s="83">
        <f>30</f>
        <v>30</v>
      </c>
      <c r="O653" s="86">
        <v>240</v>
      </c>
      <c r="P653" s="86">
        <v>40</v>
      </c>
      <c r="Q653" s="86">
        <f t="shared" si="95"/>
        <v>315</v>
      </c>
      <c r="R653" s="86">
        <f t="shared" si="96"/>
        <v>100</v>
      </c>
      <c r="S653" s="83">
        <f t="shared" si="97"/>
        <v>695</v>
      </c>
      <c r="T653" s="83">
        <f>50</f>
        <v>50</v>
      </c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</row>
    <row r="654" spans="1:30" ht="15.75" x14ac:dyDescent="0.25">
      <c r="A654" s="32">
        <v>60844</v>
      </c>
      <c r="B654" s="95">
        <f t="shared" si="98"/>
        <v>31</v>
      </c>
      <c r="C654" s="83">
        <f>194.205</f>
        <v>194.20500000000001</v>
      </c>
      <c r="D654" s="83">
        <f>267.466</f>
        <v>267.46600000000001</v>
      </c>
      <c r="E654" s="92">
        <f>133.845</f>
        <v>133.845</v>
      </c>
      <c r="F654" s="83">
        <f>278.484-40-25-60-100</f>
        <v>53.48399999999998</v>
      </c>
      <c r="G654" s="86">
        <v>40</v>
      </c>
      <c r="H654" s="83">
        <f t="shared" si="104"/>
        <v>185</v>
      </c>
      <c r="I654" s="83">
        <f t="shared" si="102"/>
        <v>0</v>
      </c>
      <c r="J654" s="86">
        <v>100</v>
      </c>
      <c r="K654" s="86">
        <v>300</v>
      </c>
      <c r="L654" s="83">
        <f t="shared" si="94"/>
        <v>1274</v>
      </c>
      <c r="M654" s="94">
        <v>600</v>
      </c>
      <c r="N654" s="83">
        <f>30</f>
        <v>30</v>
      </c>
      <c r="O654" s="86">
        <v>240</v>
      </c>
      <c r="P654" s="86">
        <v>40</v>
      </c>
      <c r="Q654" s="86">
        <f t="shared" si="95"/>
        <v>315</v>
      </c>
      <c r="R654" s="86">
        <f t="shared" si="96"/>
        <v>100</v>
      </c>
      <c r="S654" s="83">
        <f t="shared" si="97"/>
        <v>695</v>
      </c>
      <c r="T654" s="83">
        <f>0</f>
        <v>0</v>
      </c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</row>
    <row r="655" spans="1:30" ht="15.75" x14ac:dyDescent="0.25">
      <c r="A655" s="32">
        <v>60875</v>
      </c>
      <c r="B655" s="95">
        <f t="shared" si="98"/>
        <v>31</v>
      </c>
      <c r="C655" s="83">
        <f>194.205</f>
        <v>194.20500000000001</v>
      </c>
      <c r="D655" s="83">
        <f>267.466</f>
        <v>267.46600000000001</v>
      </c>
      <c r="E655" s="92">
        <f>133.845</f>
        <v>133.845</v>
      </c>
      <c r="F655" s="83">
        <f>278.484-40-25-60-100</f>
        <v>53.48399999999998</v>
      </c>
      <c r="G655" s="86">
        <v>40</v>
      </c>
      <c r="H655" s="83">
        <f t="shared" si="104"/>
        <v>185</v>
      </c>
      <c r="I655" s="83">
        <f t="shared" si="102"/>
        <v>0</v>
      </c>
      <c r="J655" s="86">
        <v>100</v>
      </c>
      <c r="K655" s="86">
        <v>300</v>
      </c>
      <c r="L655" s="83">
        <f t="shared" si="94"/>
        <v>1274</v>
      </c>
      <c r="M655" s="94">
        <v>600</v>
      </c>
      <c r="N655" s="83">
        <f>30</f>
        <v>30</v>
      </c>
      <c r="O655" s="86">
        <v>240</v>
      </c>
      <c r="P655" s="86">
        <v>40</v>
      </c>
      <c r="Q655" s="86">
        <f t="shared" si="95"/>
        <v>315</v>
      </c>
      <c r="R655" s="86">
        <f t="shared" si="96"/>
        <v>100</v>
      </c>
      <c r="S655" s="83">
        <f t="shared" si="97"/>
        <v>695</v>
      </c>
      <c r="T655" s="83">
        <f>0</f>
        <v>0</v>
      </c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</row>
    <row r="656" spans="1:30" ht="15.75" x14ac:dyDescent="0.25">
      <c r="A656" s="32">
        <v>60905</v>
      </c>
      <c r="B656" s="95">
        <f t="shared" si="98"/>
        <v>30</v>
      </c>
      <c r="C656" s="83">
        <f>194.205</f>
        <v>194.20500000000001</v>
      </c>
      <c r="D656" s="83">
        <f>267.466</f>
        <v>267.46600000000001</v>
      </c>
      <c r="E656" s="92">
        <f>133.845</f>
        <v>133.845</v>
      </c>
      <c r="F656" s="83">
        <f>278.484-40-25-60-100</f>
        <v>53.48399999999998</v>
      </c>
      <c r="G656" s="86">
        <v>40</v>
      </c>
      <c r="H656" s="83">
        <f t="shared" si="104"/>
        <v>185</v>
      </c>
      <c r="I656" s="83">
        <f t="shared" si="102"/>
        <v>0</v>
      </c>
      <c r="J656" s="86">
        <v>100</v>
      </c>
      <c r="K656" s="86">
        <v>300</v>
      </c>
      <c r="L656" s="83">
        <f t="shared" si="94"/>
        <v>1274</v>
      </c>
      <c r="M656" s="94">
        <v>600</v>
      </c>
      <c r="N656" s="83">
        <f>30</f>
        <v>30</v>
      </c>
      <c r="O656" s="86">
        <v>240</v>
      </c>
      <c r="P656" s="86">
        <v>40</v>
      </c>
      <c r="Q656" s="86">
        <f t="shared" si="95"/>
        <v>315</v>
      </c>
      <c r="R656" s="86">
        <f t="shared" si="96"/>
        <v>100</v>
      </c>
      <c r="S656" s="83">
        <f t="shared" si="97"/>
        <v>695</v>
      </c>
      <c r="T656" s="83">
        <f>0</f>
        <v>0</v>
      </c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</row>
    <row r="657" spans="1:30" ht="15.75" x14ac:dyDescent="0.25">
      <c r="A657" s="32">
        <v>60936</v>
      </c>
      <c r="B657" s="95">
        <f t="shared" si="98"/>
        <v>31</v>
      </c>
      <c r="C657" s="83">
        <f>131.881</f>
        <v>131.881</v>
      </c>
      <c r="D657" s="83">
        <f>277.167</f>
        <v>277.16699999999997</v>
      </c>
      <c r="E657" s="92">
        <f>79.08</f>
        <v>79.08</v>
      </c>
      <c r="F657" s="83">
        <f>350.872-40-25-60-100</f>
        <v>125.87200000000001</v>
      </c>
      <c r="G657" s="86">
        <v>40</v>
      </c>
      <c r="H657" s="83">
        <f t="shared" si="104"/>
        <v>185</v>
      </c>
      <c r="I657" s="83">
        <f t="shared" si="102"/>
        <v>0</v>
      </c>
      <c r="J657" s="86">
        <v>100</v>
      </c>
      <c r="K657" s="86">
        <v>300</v>
      </c>
      <c r="L657" s="83">
        <f t="shared" si="94"/>
        <v>1239</v>
      </c>
      <c r="M657" s="94">
        <v>600</v>
      </c>
      <c r="N657" s="83">
        <f>75</f>
        <v>75</v>
      </c>
      <c r="O657" s="86">
        <v>240</v>
      </c>
      <c r="P657" s="86">
        <v>40</v>
      </c>
      <c r="Q657" s="86">
        <f t="shared" si="95"/>
        <v>315</v>
      </c>
      <c r="R657" s="86">
        <f t="shared" si="96"/>
        <v>100</v>
      </c>
      <c r="S657" s="83">
        <f t="shared" si="97"/>
        <v>695</v>
      </c>
      <c r="T657" s="83">
        <f>0</f>
        <v>0</v>
      </c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</row>
    <row r="658" spans="1:30" ht="15.75" x14ac:dyDescent="0.25">
      <c r="A658" s="32">
        <v>60966</v>
      </c>
      <c r="B658" s="95">
        <f t="shared" si="98"/>
        <v>30</v>
      </c>
      <c r="C658" s="83">
        <f>122.58</f>
        <v>122.58</v>
      </c>
      <c r="D658" s="83">
        <f>297.941</f>
        <v>297.94099999999997</v>
      </c>
      <c r="E658" s="92">
        <f>89.177</f>
        <v>89.177000000000007</v>
      </c>
      <c r="F658" s="83">
        <f>240.302-40-60-100</f>
        <v>40.301999999999992</v>
      </c>
      <c r="G658" s="86">
        <v>40</v>
      </c>
      <c r="H658" s="83">
        <f>60+100</f>
        <v>160</v>
      </c>
      <c r="I658" s="83">
        <f t="shared" si="102"/>
        <v>0</v>
      </c>
      <c r="J658" s="86">
        <v>100</v>
      </c>
      <c r="K658" s="86">
        <v>300</v>
      </c>
      <c r="L658" s="83">
        <f t="shared" si="94"/>
        <v>1150</v>
      </c>
      <c r="M658" s="94">
        <v>600</v>
      </c>
      <c r="N658" s="83">
        <f>100</f>
        <v>100</v>
      </c>
      <c r="O658" s="86">
        <v>240</v>
      </c>
      <c r="P658" s="86">
        <v>40</v>
      </c>
      <c r="Q658" s="86">
        <f t="shared" si="95"/>
        <v>315</v>
      </c>
      <c r="R658" s="86">
        <f t="shared" si="96"/>
        <v>100</v>
      </c>
      <c r="S658" s="83">
        <f t="shared" si="97"/>
        <v>695</v>
      </c>
      <c r="T658" s="83">
        <f>50</f>
        <v>50</v>
      </c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</row>
    <row r="659" spans="1:30" ht="15.75" x14ac:dyDescent="0.25">
      <c r="A659" s="32">
        <v>60997</v>
      </c>
      <c r="B659" s="95">
        <f t="shared" si="98"/>
        <v>31</v>
      </c>
      <c r="C659" s="83">
        <f>122.58</f>
        <v>122.58</v>
      </c>
      <c r="D659" s="83">
        <f>297.941</f>
        <v>297.94099999999997</v>
      </c>
      <c r="E659" s="92">
        <f>89.177</f>
        <v>89.177000000000007</v>
      </c>
      <c r="F659" s="83">
        <f>240.302-40-60-100</f>
        <v>40.301999999999992</v>
      </c>
      <c r="G659" s="86">
        <v>40</v>
      </c>
      <c r="H659" s="83">
        <f>60+100</f>
        <v>160</v>
      </c>
      <c r="I659" s="83">
        <f t="shared" si="102"/>
        <v>0</v>
      </c>
      <c r="J659" s="86">
        <v>100</v>
      </c>
      <c r="K659" s="86">
        <v>300</v>
      </c>
      <c r="L659" s="83">
        <f t="shared" si="94"/>
        <v>1150</v>
      </c>
      <c r="M659" s="94">
        <v>600</v>
      </c>
      <c r="N659" s="83">
        <f>100</f>
        <v>100</v>
      </c>
      <c r="O659" s="86">
        <v>240</v>
      </c>
      <c r="P659" s="86">
        <v>40</v>
      </c>
      <c r="Q659" s="86">
        <f t="shared" si="95"/>
        <v>315</v>
      </c>
      <c r="R659" s="86">
        <f t="shared" si="96"/>
        <v>100</v>
      </c>
      <c r="S659" s="83">
        <f t="shared" si="97"/>
        <v>695</v>
      </c>
      <c r="T659" s="83">
        <f>50</f>
        <v>50</v>
      </c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</row>
    <row r="660" spans="1:30" ht="15.75" x14ac:dyDescent="0.25">
      <c r="A660" s="32">
        <v>61028</v>
      </c>
      <c r="B660" s="95">
        <f t="shared" si="98"/>
        <v>31</v>
      </c>
      <c r="C660" s="83">
        <f>122.58</f>
        <v>122.58</v>
      </c>
      <c r="D660" s="83">
        <f>297.941</f>
        <v>297.94099999999997</v>
      </c>
      <c r="E660" s="92">
        <f>89.177</f>
        <v>89.177000000000007</v>
      </c>
      <c r="F660" s="83">
        <f>240.302-40-60-100</f>
        <v>40.301999999999992</v>
      </c>
      <c r="G660" s="86">
        <v>40</v>
      </c>
      <c r="H660" s="83">
        <f>60+100</f>
        <v>160</v>
      </c>
      <c r="I660" s="83">
        <f t="shared" si="102"/>
        <v>0</v>
      </c>
      <c r="J660" s="86">
        <v>100</v>
      </c>
      <c r="K660" s="86">
        <v>300</v>
      </c>
      <c r="L660" s="83">
        <f t="shared" si="94"/>
        <v>1150</v>
      </c>
      <c r="M660" s="94">
        <v>600</v>
      </c>
      <c r="N660" s="83">
        <f>100</f>
        <v>100</v>
      </c>
      <c r="O660" s="86">
        <v>240</v>
      </c>
      <c r="P660" s="86">
        <v>40</v>
      </c>
      <c r="Q660" s="86">
        <f t="shared" si="95"/>
        <v>315</v>
      </c>
      <c r="R660" s="86">
        <f t="shared" si="96"/>
        <v>100</v>
      </c>
      <c r="S660" s="83">
        <f t="shared" si="97"/>
        <v>695</v>
      </c>
      <c r="T660" s="83">
        <f>50</f>
        <v>50</v>
      </c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</row>
    <row r="661" spans="1:30" ht="15.75" x14ac:dyDescent="0.25">
      <c r="A661" s="32">
        <v>61056</v>
      </c>
      <c r="B661" s="95">
        <f t="shared" si="98"/>
        <v>28</v>
      </c>
      <c r="C661" s="83">
        <f>122.58</f>
        <v>122.58</v>
      </c>
      <c r="D661" s="83">
        <f>297.941</f>
        <v>297.94099999999997</v>
      </c>
      <c r="E661" s="92">
        <f>89.177</f>
        <v>89.177000000000007</v>
      </c>
      <c r="F661" s="83">
        <f>240.302-40-60-100</f>
        <v>40.301999999999992</v>
      </c>
      <c r="G661" s="86">
        <v>40</v>
      </c>
      <c r="H661" s="83">
        <f>60+100</f>
        <v>160</v>
      </c>
      <c r="I661" s="83">
        <f t="shared" si="102"/>
        <v>0</v>
      </c>
      <c r="J661" s="86">
        <v>100</v>
      </c>
      <c r="K661" s="86">
        <v>300</v>
      </c>
      <c r="L661" s="83">
        <f t="shared" ref="L661:L724" si="105">SUM(C661:K661)</f>
        <v>1150</v>
      </c>
      <c r="M661" s="94">
        <v>600</v>
      </c>
      <c r="N661" s="83">
        <f>100</f>
        <v>100</v>
      </c>
      <c r="O661" s="86">
        <v>240</v>
      </c>
      <c r="P661" s="86">
        <v>40</v>
      </c>
      <c r="Q661" s="86">
        <f t="shared" ref="Q661:Q724" si="106">695-R661-O661-P661</f>
        <v>315</v>
      </c>
      <c r="R661" s="86">
        <f t="shared" ref="R661:R724" si="107">200-J661</f>
        <v>100</v>
      </c>
      <c r="S661" s="83">
        <f t="shared" ref="S661:S724" si="108">SUM(O661:R661)</f>
        <v>695</v>
      </c>
      <c r="T661" s="83">
        <f>50</f>
        <v>50</v>
      </c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</row>
    <row r="662" spans="1:30" ht="15.75" x14ac:dyDescent="0.25">
      <c r="A662" s="32">
        <v>61087</v>
      </c>
      <c r="B662" s="95">
        <f t="shared" si="98"/>
        <v>31</v>
      </c>
      <c r="C662" s="83">
        <f>122.58</f>
        <v>122.58</v>
      </c>
      <c r="D662" s="83">
        <f>297.941</f>
        <v>297.94099999999997</v>
      </c>
      <c r="E662" s="92">
        <f>89.177</f>
        <v>89.177000000000007</v>
      </c>
      <c r="F662" s="83">
        <f>240.302-40-60-100</f>
        <v>40.301999999999992</v>
      </c>
      <c r="G662" s="86">
        <v>40</v>
      </c>
      <c r="H662" s="83">
        <f>60+100</f>
        <v>160</v>
      </c>
      <c r="I662" s="83">
        <f t="shared" si="102"/>
        <v>0</v>
      </c>
      <c r="J662" s="86">
        <v>100</v>
      </c>
      <c r="K662" s="86">
        <v>300</v>
      </c>
      <c r="L662" s="83">
        <f t="shared" si="105"/>
        <v>1150</v>
      </c>
      <c r="M662" s="94">
        <v>600</v>
      </c>
      <c r="N662" s="83">
        <f>100</f>
        <v>100</v>
      </c>
      <c r="O662" s="86">
        <v>240</v>
      </c>
      <c r="P662" s="86">
        <v>40</v>
      </c>
      <c r="Q662" s="86">
        <f t="shared" si="106"/>
        <v>315</v>
      </c>
      <c r="R662" s="86">
        <f t="shared" si="107"/>
        <v>100</v>
      </c>
      <c r="S662" s="83">
        <f t="shared" si="108"/>
        <v>695</v>
      </c>
      <c r="T662" s="83">
        <f>50</f>
        <v>50</v>
      </c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</row>
    <row r="663" spans="1:30" ht="15.75" x14ac:dyDescent="0.25">
      <c r="A663" s="32">
        <v>61117</v>
      </c>
      <c r="B663" s="95">
        <f t="shared" si="98"/>
        <v>30</v>
      </c>
      <c r="C663" s="83">
        <f>141.293</f>
        <v>141.29300000000001</v>
      </c>
      <c r="D663" s="83">
        <f>267.993</f>
        <v>267.99299999999999</v>
      </c>
      <c r="E663" s="92">
        <f>115.016</f>
        <v>115.01600000000001</v>
      </c>
      <c r="F663" s="83">
        <f>314.698-40-25-60-100</f>
        <v>89.697999999999979</v>
      </c>
      <c r="G663" s="86">
        <v>40</v>
      </c>
      <c r="H663" s="83">
        <f t="shared" ref="H663:H669" si="109">25+60+100</f>
        <v>185</v>
      </c>
      <c r="I663" s="83">
        <f t="shared" si="102"/>
        <v>0</v>
      </c>
      <c r="J663" s="86">
        <v>100</v>
      </c>
      <c r="K663" s="86">
        <v>300</v>
      </c>
      <c r="L663" s="83">
        <f t="shared" si="105"/>
        <v>1239</v>
      </c>
      <c r="M663" s="94">
        <v>600</v>
      </c>
      <c r="N663" s="83">
        <f>100</f>
        <v>100</v>
      </c>
      <c r="O663" s="86">
        <v>240</v>
      </c>
      <c r="P663" s="86">
        <v>40</v>
      </c>
      <c r="Q663" s="86">
        <f t="shared" si="106"/>
        <v>315</v>
      </c>
      <c r="R663" s="86">
        <f t="shared" si="107"/>
        <v>100</v>
      </c>
      <c r="S663" s="83">
        <f t="shared" si="108"/>
        <v>695</v>
      </c>
      <c r="T663" s="83">
        <f>50</f>
        <v>50</v>
      </c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</row>
    <row r="664" spans="1:30" ht="15.75" x14ac:dyDescent="0.25">
      <c r="A664" s="32">
        <v>61148</v>
      </c>
      <c r="B664" s="95">
        <f t="shared" ref="B664:B727" si="110">EOMONTH(A664,0)-EOMONTH(A664,-1)</f>
        <v>31</v>
      </c>
      <c r="C664" s="83">
        <f>194.205</f>
        <v>194.20500000000001</v>
      </c>
      <c r="D664" s="83">
        <f>267.466</f>
        <v>267.46600000000001</v>
      </c>
      <c r="E664" s="92">
        <f>133.845</f>
        <v>133.845</v>
      </c>
      <c r="F664" s="83">
        <f>278.484-40-25-60-100</f>
        <v>53.48399999999998</v>
      </c>
      <c r="G664" s="86">
        <v>40</v>
      </c>
      <c r="H664" s="83">
        <f t="shared" si="109"/>
        <v>185</v>
      </c>
      <c r="I664" s="83">
        <f t="shared" si="102"/>
        <v>0</v>
      </c>
      <c r="J664" s="86">
        <v>100</v>
      </c>
      <c r="K664" s="86">
        <v>300</v>
      </c>
      <c r="L664" s="83">
        <f t="shared" si="105"/>
        <v>1274</v>
      </c>
      <c r="M664" s="94">
        <v>600</v>
      </c>
      <c r="N664" s="83">
        <f>75</f>
        <v>75</v>
      </c>
      <c r="O664" s="86">
        <v>240</v>
      </c>
      <c r="P664" s="86">
        <v>40</v>
      </c>
      <c r="Q664" s="86">
        <f t="shared" si="106"/>
        <v>315</v>
      </c>
      <c r="R664" s="86">
        <f t="shared" si="107"/>
        <v>100</v>
      </c>
      <c r="S664" s="83">
        <f t="shared" si="108"/>
        <v>695</v>
      </c>
      <c r="T664" s="83">
        <f>50</f>
        <v>50</v>
      </c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</row>
    <row r="665" spans="1:30" ht="15.75" x14ac:dyDescent="0.25">
      <c r="A665" s="32">
        <v>61178</v>
      </c>
      <c r="B665" s="95">
        <f t="shared" si="110"/>
        <v>30</v>
      </c>
      <c r="C665" s="83">
        <f>194.205</f>
        <v>194.20500000000001</v>
      </c>
      <c r="D665" s="83">
        <f>267.466</f>
        <v>267.46600000000001</v>
      </c>
      <c r="E665" s="92">
        <f>133.845</f>
        <v>133.845</v>
      </c>
      <c r="F665" s="83">
        <f>278.484-40-25-60-100</f>
        <v>53.48399999999998</v>
      </c>
      <c r="G665" s="86">
        <v>40</v>
      </c>
      <c r="H665" s="83">
        <f t="shared" si="109"/>
        <v>185</v>
      </c>
      <c r="I665" s="83">
        <f t="shared" si="102"/>
        <v>0</v>
      </c>
      <c r="J665" s="86">
        <v>100</v>
      </c>
      <c r="K665" s="86">
        <v>300</v>
      </c>
      <c r="L665" s="83">
        <f t="shared" si="105"/>
        <v>1274</v>
      </c>
      <c r="M665" s="94">
        <v>600</v>
      </c>
      <c r="N665" s="83">
        <f>30</f>
        <v>30</v>
      </c>
      <c r="O665" s="86">
        <v>240</v>
      </c>
      <c r="P665" s="86">
        <v>40</v>
      </c>
      <c r="Q665" s="86">
        <f t="shared" si="106"/>
        <v>315</v>
      </c>
      <c r="R665" s="86">
        <f t="shared" si="107"/>
        <v>100</v>
      </c>
      <c r="S665" s="83">
        <f t="shared" si="108"/>
        <v>695</v>
      </c>
      <c r="T665" s="83">
        <f>50</f>
        <v>50</v>
      </c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</row>
    <row r="666" spans="1:30" ht="15.75" x14ac:dyDescent="0.25">
      <c r="A666" s="32">
        <v>61209</v>
      </c>
      <c r="B666" s="95">
        <f t="shared" si="110"/>
        <v>31</v>
      </c>
      <c r="C666" s="83">
        <f>194.205</f>
        <v>194.20500000000001</v>
      </c>
      <c r="D666" s="83">
        <f>267.466</f>
        <v>267.46600000000001</v>
      </c>
      <c r="E666" s="92">
        <f>133.845</f>
        <v>133.845</v>
      </c>
      <c r="F666" s="83">
        <f>278.484-40-25-60-100</f>
        <v>53.48399999999998</v>
      </c>
      <c r="G666" s="86">
        <v>40</v>
      </c>
      <c r="H666" s="83">
        <f t="shared" si="109"/>
        <v>185</v>
      </c>
      <c r="I666" s="83">
        <f t="shared" si="102"/>
        <v>0</v>
      </c>
      <c r="J666" s="86">
        <v>100</v>
      </c>
      <c r="K666" s="86">
        <v>300</v>
      </c>
      <c r="L666" s="83">
        <f t="shared" si="105"/>
        <v>1274</v>
      </c>
      <c r="M666" s="94">
        <v>600</v>
      </c>
      <c r="N666" s="83">
        <f>30</f>
        <v>30</v>
      </c>
      <c r="O666" s="86">
        <v>240</v>
      </c>
      <c r="P666" s="86">
        <v>40</v>
      </c>
      <c r="Q666" s="86">
        <f t="shared" si="106"/>
        <v>315</v>
      </c>
      <c r="R666" s="86">
        <f t="shared" si="107"/>
        <v>100</v>
      </c>
      <c r="S666" s="83">
        <f t="shared" si="108"/>
        <v>695</v>
      </c>
      <c r="T666" s="83">
        <f>0</f>
        <v>0</v>
      </c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</row>
    <row r="667" spans="1:30" ht="15.75" x14ac:dyDescent="0.25">
      <c r="A667" s="32">
        <v>61240</v>
      </c>
      <c r="B667" s="95">
        <f t="shared" si="110"/>
        <v>31</v>
      </c>
      <c r="C667" s="83">
        <f>194.205</f>
        <v>194.20500000000001</v>
      </c>
      <c r="D667" s="83">
        <f>267.466</f>
        <v>267.46600000000001</v>
      </c>
      <c r="E667" s="92">
        <f>133.845</f>
        <v>133.845</v>
      </c>
      <c r="F667" s="83">
        <f>278.484-40-25-60-100</f>
        <v>53.48399999999998</v>
      </c>
      <c r="G667" s="86">
        <v>40</v>
      </c>
      <c r="H667" s="83">
        <f t="shared" si="109"/>
        <v>185</v>
      </c>
      <c r="I667" s="83">
        <f t="shared" si="102"/>
        <v>0</v>
      </c>
      <c r="J667" s="86">
        <v>100</v>
      </c>
      <c r="K667" s="86">
        <v>300</v>
      </c>
      <c r="L667" s="83">
        <f t="shared" si="105"/>
        <v>1274</v>
      </c>
      <c r="M667" s="94">
        <v>600</v>
      </c>
      <c r="N667" s="83">
        <f>30</f>
        <v>30</v>
      </c>
      <c r="O667" s="86">
        <v>240</v>
      </c>
      <c r="P667" s="86">
        <v>40</v>
      </c>
      <c r="Q667" s="86">
        <f t="shared" si="106"/>
        <v>315</v>
      </c>
      <c r="R667" s="86">
        <f t="shared" si="107"/>
        <v>100</v>
      </c>
      <c r="S667" s="83">
        <f t="shared" si="108"/>
        <v>695</v>
      </c>
      <c r="T667" s="83">
        <f>0</f>
        <v>0</v>
      </c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</row>
    <row r="668" spans="1:30" ht="15.75" x14ac:dyDescent="0.25">
      <c r="A668" s="32">
        <v>61270</v>
      </c>
      <c r="B668" s="95">
        <f t="shared" si="110"/>
        <v>30</v>
      </c>
      <c r="C668" s="83">
        <f>194.205</f>
        <v>194.20500000000001</v>
      </c>
      <c r="D668" s="83">
        <f>267.466</f>
        <v>267.46600000000001</v>
      </c>
      <c r="E668" s="92">
        <f>133.845</f>
        <v>133.845</v>
      </c>
      <c r="F668" s="83">
        <f>278.484-40-25-60-100</f>
        <v>53.48399999999998</v>
      </c>
      <c r="G668" s="86">
        <v>40</v>
      </c>
      <c r="H668" s="83">
        <f t="shared" si="109"/>
        <v>185</v>
      </c>
      <c r="I668" s="83">
        <f t="shared" si="102"/>
        <v>0</v>
      </c>
      <c r="J668" s="86">
        <v>100</v>
      </c>
      <c r="K668" s="86">
        <v>300</v>
      </c>
      <c r="L668" s="83">
        <f t="shared" si="105"/>
        <v>1274</v>
      </c>
      <c r="M668" s="94">
        <v>600</v>
      </c>
      <c r="N668" s="83">
        <f>30</f>
        <v>30</v>
      </c>
      <c r="O668" s="86">
        <v>240</v>
      </c>
      <c r="P668" s="86">
        <v>40</v>
      </c>
      <c r="Q668" s="86">
        <f t="shared" si="106"/>
        <v>315</v>
      </c>
      <c r="R668" s="86">
        <f t="shared" si="107"/>
        <v>100</v>
      </c>
      <c r="S668" s="83">
        <f t="shared" si="108"/>
        <v>695</v>
      </c>
      <c r="T668" s="83">
        <f>0</f>
        <v>0</v>
      </c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</row>
    <row r="669" spans="1:30" ht="15.75" x14ac:dyDescent="0.25">
      <c r="A669" s="32">
        <v>61301</v>
      </c>
      <c r="B669" s="95">
        <f t="shared" si="110"/>
        <v>31</v>
      </c>
      <c r="C669" s="83">
        <f>131.881</f>
        <v>131.881</v>
      </c>
      <c r="D669" s="83">
        <f>277.167</f>
        <v>277.16699999999997</v>
      </c>
      <c r="E669" s="92">
        <f>79.08</f>
        <v>79.08</v>
      </c>
      <c r="F669" s="83">
        <f>350.872-40-25-60-100</f>
        <v>125.87200000000001</v>
      </c>
      <c r="G669" s="86">
        <v>40</v>
      </c>
      <c r="H669" s="83">
        <f t="shared" si="109"/>
        <v>185</v>
      </c>
      <c r="I669" s="83">
        <f t="shared" si="102"/>
        <v>0</v>
      </c>
      <c r="J669" s="86">
        <v>100</v>
      </c>
      <c r="K669" s="86">
        <v>300</v>
      </c>
      <c r="L669" s="83">
        <f t="shared" si="105"/>
        <v>1239</v>
      </c>
      <c r="M669" s="94">
        <v>600</v>
      </c>
      <c r="N669" s="83">
        <f>75</f>
        <v>75</v>
      </c>
      <c r="O669" s="86">
        <v>240</v>
      </c>
      <c r="P669" s="86">
        <v>40</v>
      </c>
      <c r="Q669" s="86">
        <f t="shared" si="106"/>
        <v>315</v>
      </c>
      <c r="R669" s="86">
        <f t="shared" si="107"/>
        <v>100</v>
      </c>
      <c r="S669" s="83">
        <f t="shared" si="108"/>
        <v>695</v>
      </c>
      <c r="T669" s="83">
        <f>0</f>
        <v>0</v>
      </c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</row>
    <row r="670" spans="1:30" ht="15.75" x14ac:dyDescent="0.25">
      <c r="A670" s="32">
        <v>61331</v>
      </c>
      <c r="B670" s="95">
        <f t="shared" si="110"/>
        <v>30</v>
      </c>
      <c r="C670" s="83">
        <f>122.58</f>
        <v>122.58</v>
      </c>
      <c r="D670" s="83">
        <f>297.941</f>
        <v>297.94099999999997</v>
      </c>
      <c r="E670" s="92">
        <f>89.177</f>
        <v>89.177000000000007</v>
      </c>
      <c r="F670" s="83">
        <f>240.302-40-60-100</f>
        <v>40.301999999999992</v>
      </c>
      <c r="G670" s="86">
        <v>40</v>
      </c>
      <c r="H670" s="83">
        <f>60+100</f>
        <v>160</v>
      </c>
      <c r="I670" s="83">
        <f t="shared" si="102"/>
        <v>0</v>
      </c>
      <c r="J670" s="86">
        <v>100</v>
      </c>
      <c r="K670" s="86">
        <v>300</v>
      </c>
      <c r="L670" s="83">
        <f t="shared" si="105"/>
        <v>1150</v>
      </c>
      <c r="M670" s="94">
        <v>600</v>
      </c>
      <c r="N670" s="83">
        <f>100</f>
        <v>100</v>
      </c>
      <c r="O670" s="86">
        <v>240</v>
      </c>
      <c r="P670" s="86">
        <v>40</v>
      </c>
      <c r="Q670" s="86">
        <f t="shared" si="106"/>
        <v>315</v>
      </c>
      <c r="R670" s="86">
        <f t="shared" si="107"/>
        <v>100</v>
      </c>
      <c r="S670" s="83">
        <f t="shared" si="108"/>
        <v>695</v>
      </c>
      <c r="T670" s="83">
        <f>50</f>
        <v>50</v>
      </c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</row>
    <row r="671" spans="1:30" ht="15.75" x14ac:dyDescent="0.25">
      <c r="A671" s="32">
        <v>61362</v>
      </c>
      <c r="B671" s="95">
        <f t="shared" si="110"/>
        <v>31</v>
      </c>
      <c r="C671" s="83">
        <f>122.58</f>
        <v>122.58</v>
      </c>
      <c r="D671" s="83">
        <f>297.941</f>
        <v>297.94099999999997</v>
      </c>
      <c r="E671" s="92">
        <f>89.177</f>
        <v>89.177000000000007</v>
      </c>
      <c r="F671" s="83">
        <f>240.302-40-60-100</f>
        <v>40.301999999999992</v>
      </c>
      <c r="G671" s="86">
        <v>40</v>
      </c>
      <c r="H671" s="83">
        <f>60+100</f>
        <v>160</v>
      </c>
      <c r="I671" s="83">
        <f t="shared" si="102"/>
        <v>0</v>
      </c>
      <c r="J671" s="86">
        <v>100</v>
      </c>
      <c r="K671" s="86">
        <v>300</v>
      </c>
      <c r="L671" s="83">
        <f t="shared" si="105"/>
        <v>1150</v>
      </c>
      <c r="M671" s="94">
        <v>600</v>
      </c>
      <c r="N671" s="83">
        <f>100</f>
        <v>100</v>
      </c>
      <c r="O671" s="86">
        <v>240</v>
      </c>
      <c r="P671" s="86">
        <v>40</v>
      </c>
      <c r="Q671" s="86">
        <f t="shared" si="106"/>
        <v>315</v>
      </c>
      <c r="R671" s="86">
        <f t="shared" si="107"/>
        <v>100</v>
      </c>
      <c r="S671" s="83">
        <f t="shared" si="108"/>
        <v>695</v>
      </c>
      <c r="T671" s="83">
        <f>50</f>
        <v>50</v>
      </c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</row>
    <row r="672" spans="1:30" ht="15.75" x14ac:dyDescent="0.25">
      <c r="A672" s="32">
        <v>61393</v>
      </c>
      <c r="B672" s="95">
        <f t="shared" si="110"/>
        <v>31</v>
      </c>
      <c r="C672" s="83">
        <f>122.58</f>
        <v>122.58</v>
      </c>
      <c r="D672" s="83">
        <f>297.941</f>
        <v>297.94099999999997</v>
      </c>
      <c r="E672" s="92">
        <f>89.177</f>
        <v>89.177000000000007</v>
      </c>
      <c r="F672" s="83">
        <f>240.302-40-60-100</f>
        <v>40.301999999999992</v>
      </c>
      <c r="G672" s="86">
        <v>40</v>
      </c>
      <c r="H672" s="83">
        <f>60+100</f>
        <v>160</v>
      </c>
      <c r="I672" s="83">
        <f t="shared" si="102"/>
        <v>0</v>
      </c>
      <c r="J672" s="86">
        <v>100</v>
      </c>
      <c r="K672" s="86">
        <v>300</v>
      </c>
      <c r="L672" s="83">
        <f t="shared" si="105"/>
        <v>1150</v>
      </c>
      <c r="M672" s="94">
        <v>600</v>
      </c>
      <c r="N672" s="83">
        <f>100</f>
        <v>100</v>
      </c>
      <c r="O672" s="86">
        <v>240</v>
      </c>
      <c r="P672" s="86">
        <v>40</v>
      </c>
      <c r="Q672" s="86">
        <f t="shared" si="106"/>
        <v>315</v>
      </c>
      <c r="R672" s="86">
        <f t="shared" si="107"/>
        <v>100</v>
      </c>
      <c r="S672" s="83">
        <f t="shared" si="108"/>
        <v>695</v>
      </c>
      <c r="T672" s="83">
        <f>50</f>
        <v>50</v>
      </c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</row>
    <row r="673" spans="1:30" ht="15.75" x14ac:dyDescent="0.25">
      <c r="A673" s="32">
        <v>61422</v>
      </c>
      <c r="B673" s="95">
        <f t="shared" si="110"/>
        <v>29</v>
      </c>
      <c r="C673" s="83">
        <f>122.58</f>
        <v>122.58</v>
      </c>
      <c r="D673" s="83">
        <f>297.941</f>
        <v>297.94099999999997</v>
      </c>
      <c r="E673" s="92">
        <f>89.177</f>
        <v>89.177000000000007</v>
      </c>
      <c r="F673" s="83">
        <f>240.302-40-60-100</f>
        <v>40.301999999999992</v>
      </c>
      <c r="G673" s="86">
        <v>40</v>
      </c>
      <c r="H673" s="83">
        <f>60+100</f>
        <v>160</v>
      </c>
      <c r="I673" s="83">
        <f t="shared" si="102"/>
        <v>0</v>
      </c>
      <c r="J673" s="86">
        <v>100</v>
      </c>
      <c r="K673" s="86">
        <v>300</v>
      </c>
      <c r="L673" s="83">
        <f t="shared" si="105"/>
        <v>1150</v>
      </c>
      <c r="M673" s="94">
        <v>600</v>
      </c>
      <c r="N673" s="83">
        <f>100</f>
        <v>100</v>
      </c>
      <c r="O673" s="86">
        <v>240</v>
      </c>
      <c r="P673" s="86">
        <v>40</v>
      </c>
      <c r="Q673" s="86">
        <f t="shared" si="106"/>
        <v>315</v>
      </c>
      <c r="R673" s="86">
        <f t="shared" si="107"/>
        <v>100</v>
      </c>
      <c r="S673" s="83">
        <f t="shared" si="108"/>
        <v>695</v>
      </c>
      <c r="T673" s="83">
        <f>50</f>
        <v>50</v>
      </c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</row>
    <row r="674" spans="1:30" ht="15.75" x14ac:dyDescent="0.25">
      <c r="A674" s="32">
        <v>61453</v>
      </c>
      <c r="B674" s="95">
        <f t="shared" si="110"/>
        <v>31</v>
      </c>
      <c r="C674" s="83">
        <f>122.58</f>
        <v>122.58</v>
      </c>
      <c r="D674" s="83">
        <f>297.941</f>
        <v>297.94099999999997</v>
      </c>
      <c r="E674" s="92">
        <f>89.177</f>
        <v>89.177000000000007</v>
      </c>
      <c r="F674" s="83">
        <f>240.302-40-60-100</f>
        <v>40.301999999999992</v>
      </c>
      <c r="G674" s="86">
        <v>40</v>
      </c>
      <c r="H674" s="83">
        <f>60+100</f>
        <v>160</v>
      </c>
      <c r="I674" s="83">
        <f t="shared" si="102"/>
        <v>0</v>
      </c>
      <c r="J674" s="86">
        <v>100</v>
      </c>
      <c r="K674" s="86">
        <v>300</v>
      </c>
      <c r="L674" s="83">
        <f t="shared" si="105"/>
        <v>1150</v>
      </c>
      <c r="M674" s="94">
        <v>600</v>
      </c>
      <c r="N674" s="83">
        <f>100</f>
        <v>100</v>
      </c>
      <c r="O674" s="86">
        <v>240</v>
      </c>
      <c r="P674" s="86">
        <v>40</v>
      </c>
      <c r="Q674" s="86">
        <f t="shared" si="106"/>
        <v>315</v>
      </c>
      <c r="R674" s="86">
        <f t="shared" si="107"/>
        <v>100</v>
      </c>
      <c r="S674" s="83">
        <f t="shared" si="108"/>
        <v>695</v>
      </c>
      <c r="T674" s="83">
        <f>50</f>
        <v>50</v>
      </c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</row>
    <row r="675" spans="1:30" ht="15.75" x14ac:dyDescent="0.25">
      <c r="A675" s="32">
        <v>61483</v>
      </c>
      <c r="B675" s="95">
        <f t="shared" si="110"/>
        <v>30</v>
      </c>
      <c r="C675" s="83">
        <f>141.293</f>
        <v>141.29300000000001</v>
      </c>
      <c r="D675" s="83">
        <f>267.993</f>
        <v>267.99299999999999</v>
      </c>
      <c r="E675" s="92">
        <f>115.016</f>
        <v>115.01600000000001</v>
      </c>
      <c r="F675" s="83">
        <f>314.698-40-25-60-100</f>
        <v>89.697999999999979</v>
      </c>
      <c r="G675" s="86">
        <v>40</v>
      </c>
      <c r="H675" s="83">
        <f t="shared" ref="H675:H681" si="111">25+60+100</f>
        <v>185</v>
      </c>
      <c r="I675" s="83">
        <f t="shared" si="102"/>
        <v>0</v>
      </c>
      <c r="J675" s="86">
        <v>100</v>
      </c>
      <c r="K675" s="86">
        <v>300</v>
      </c>
      <c r="L675" s="83">
        <f t="shared" si="105"/>
        <v>1239</v>
      </c>
      <c r="M675" s="94">
        <v>600</v>
      </c>
      <c r="N675" s="83">
        <f>100</f>
        <v>100</v>
      </c>
      <c r="O675" s="86">
        <v>240</v>
      </c>
      <c r="P675" s="86">
        <v>40</v>
      </c>
      <c r="Q675" s="86">
        <f t="shared" si="106"/>
        <v>315</v>
      </c>
      <c r="R675" s="86">
        <f t="shared" si="107"/>
        <v>100</v>
      </c>
      <c r="S675" s="83">
        <f t="shared" si="108"/>
        <v>695</v>
      </c>
      <c r="T675" s="83">
        <f>50</f>
        <v>50</v>
      </c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</row>
    <row r="676" spans="1:30" ht="15.75" x14ac:dyDescent="0.25">
      <c r="A676" s="32">
        <v>61514</v>
      </c>
      <c r="B676" s="95">
        <f t="shared" si="110"/>
        <v>31</v>
      </c>
      <c r="C676" s="83">
        <f>194.205</f>
        <v>194.20500000000001</v>
      </c>
      <c r="D676" s="83">
        <f>267.466</f>
        <v>267.46600000000001</v>
      </c>
      <c r="E676" s="92">
        <f>133.845</f>
        <v>133.845</v>
      </c>
      <c r="F676" s="83">
        <f>278.484-40-25-60-100</f>
        <v>53.48399999999998</v>
      </c>
      <c r="G676" s="86">
        <v>40</v>
      </c>
      <c r="H676" s="83">
        <f t="shared" si="111"/>
        <v>185</v>
      </c>
      <c r="I676" s="83">
        <f t="shared" si="102"/>
        <v>0</v>
      </c>
      <c r="J676" s="86">
        <v>100</v>
      </c>
      <c r="K676" s="86">
        <v>300</v>
      </c>
      <c r="L676" s="83">
        <f t="shared" si="105"/>
        <v>1274</v>
      </c>
      <c r="M676" s="94">
        <v>600</v>
      </c>
      <c r="N676" s="83">
        <f>75</f>
        <v>75</v>
      </c>
      <c r="O676" s="86">
        <v>240</v>
      </c>
      <c r="P676" s="86">
        <v>40</v>
      </c>
      <c r="Q676" s="86">
        <f t="shared" si="106"/>
        <v>315</v>
      </c>
      <c r="R676" s="86">
        <f t="shared" si="107"/>
        <v>100</v>
      </c>
      <c r="S676" s="83">
        <f t="shared" si="108"/>
        <v>695</v>
      </c>
      <c r="T676" s="83">
        <f>50</f>
        <v>50</v>
      </c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</row>
    <row r="677" spans="1:30" ht="15.75" x14ac:dyDescent="0.25">
      <c r="A677" s="32">
        <v>61544</v>
      </c>
      <c r="B677" s="95">
        <f t="shared" si="110"/>
        <v>30</v>
      </c>
      <c r="C677" s="83">
        <f>194.205</f>
        <v>194.20500000000001</v>
      </c>
      <c r="D677" s="83">
        <f>267.466</f>
        <v>267.46600000000001</v>
      </c>
      <c r="E677" s="92">
        <f>133.845</f>
        <v>133.845</v>
      </c>
      <c r="F677" s="83">
        <f>278.484-40-25-60-100</f>
        <v>53.48399999999998</v>
      </c>
      <c r="G677" s="86">
        <v>40</v>
      </c>
      <c r="H677" s="83">
        <f t="shared" si="111"/>
        <v>185</v>
      </c>
      <c r="I677" s="83">
        <f t="shared" si="102"/>
        <v>0</v>
      </c>
      <c r="J677" s="86">
        <v>100</v>
      </c>
      <c r="K677" s="86">
        <v>300</v>
      </c>
      <c r="L677" s="83">
        <f t="shared" si="105"/>
        <v>1274</v>
      </c>
      <c r="M677" s="94">
        <v>600</v>
      </c>
      <c r="N677" s="83">
        <f>30</f>
        <v>30</v>
      </c>
      <c r="O677" s="86">
        <v>240</v>
      </c>
      <c r="P677" s="86">
        <v>40</v>
      </c>
      <c r="Q677" s="86">
        <f t="shared" si="106"/>
        <v>315</v>
      </c>
      <c r="R677" s="86">
        <f t="shared" si="107"/>
        <v>100</v>
      </c>
      <c r="S677" s="83">
        <f t="shared" si="108"/>
        <v>695</v>
      </c>
      <c r="T677" s="83">
        <f>50</f>
        <v>50</v>
      </c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</row>
    <row r="678" spans="1:30" ht="15.75" x14ac:dyDescent="0.25">
      <c r="A678" s="32">
        <v>61575</v>
      </c>
      <c r="B678" s="95">
        <f t="shared" si="110"/>
        <v>31</v>
      </c>
      <c r="C678" s="83">
        <f>194.205</f>
        <v>194.20500000000001</v>
      </c>
      <c r="D678" s="83">
        <f>267.466</f>
        <v>267.46600000000001</v>
      </c>
      <c r="E678" s="92">
        <f>133.845</f>
        <v>133.845</v>
      </c>
      <c r="F678" s="83">
        <f>278.484-40-25-60-100</f>
        <v>53.48399999999998</v>
      </c>
      <c r="G678" s="86">
        <v>40</v>
      </c>
      <c r="H678" s="83">
        <f t="shared" si="111"/>
        <v>185</v>
      </c>
      <c r="I678" s="83">
        <f t="shared" si="102"/>
        <v>0</v>
      </c>
      <c r="J678" s="86">
        <v>100</v>
      </c>
      <c r="K678" s="86">
        <v>300</v>
      </c>
      <c r="L678" s="83">
        <f t="shared" si="105"/>
        <v>1274</v>
      </c>
      <c r="M678" s="94">
        <v>600</v>
      </c>
      <c r="N678" s="83">
        <f>30</f>
        <v>30</v>
      </c>
      <c r="O678" s="86">
        <v>240</v>
      </c>
      <c r="P678" s="86">
        <v>40</v>
      </c>
      <c r="Q678" s="86">
        <f t="shared" si="106"/>
        <v>315</v>
      </c>
      <c r="R678" s="86">
        <f t="shared" si="107"/>
        <v>100</v>
      </c>
      <c r="S678" s="83">
        <f t="shared" si="108"/>
        <v>695</v>
      </c>
      <c r="T678" s="83">
        <f>0</f>
        <v>0</v>
      </c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</row>
    <row r="679" spans="1:30" ht="15.75" x14ac:dyDescent="0.25">
      <c r="A679" s="32">
        <v>61606</v>
      </c>
      <c r="B679" s="95">
        <f t="shared" si="110"/>
        <v>31</v>
      </c>
      <c r="C679" s="83">
        <f>194.205</f>
        <v>194.20500000000001</v>
      </c>
      <c r="D679" s="83">
        <f>267.466</f>
        <v>267.46600000000001</v>
      </c>
      <c r="E679" s="92">
        <f>133.845</f>
        <v>133.845</v>
      </c>
      <c r="F679" s="83">
        <f>278.484-40-25-60-100</f>
        <v>53.48399999999998</v>
      </c>
      <c r="G679" s="86">
        <v>40</v>
      </c>
      <c r="H679" s="83">
        <f t="shared" si="111"/>
        <v>185</v>
      </c>
      <c r="I679" s="83">
        <f t="shared" si="102"/>
        <v>0</v>
      </c>
      <c r="J679" s="86">
        <v>100</v>
      </c>
      <c r="K679" s="86">
        <v>300</v>
      </c>
      <c r="L679" s="83">
        <f t="shared" si="105"/>
        <v>1274</v>
      </c>
      <c r="M679" s="94">
        <v>600</v>
      </c>
      <c r="N679" s="83">
        <f>30</f>
        <v>30</v>
      </c>
      <c r="O679" s="86">
        <v>240</v>
      </c>
      <c r="P679" s="86">
        <v>40</v>
      </c>
      <c r="Q679" s="86">
        <f t="shared" si="106"/>
        <v>315</v>
      </c>
      <c r="R679" s="86">
        <f t="shared" si="107"/>
        <v>100</v>
      </c>
      <c r="S679" s="83">
        <f t="shared" si="108"/>
        <v>695</v>
      </c>
      <c r="T679" s="83">
        <f>0</f>
        <v>0</v>
      </c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</row>
    <row r="680" spans="1:30" ht="15.75" x14ac:dyDescent="0.25">
      <c r="A680" s="32">
        <v>61636</v>
      </c>
      <c r="B680" s="95">
        <f t="shared" si="110"/>
        <v>30</v>
      </c>
      <c r="C680" s="83">
        <f>194.205</f>
        <v>194.20500000000001</v>
      </c>
      <c r="D680" s="83">
        <f>267.466</f>
        <v>267.46600000000001</v>
      </c>
      <c r="E680" s="92">
        <f>133.845</f>
        <v>133.845</v>
      </c>
      <c r="F680" s="83">
        <f>278.484-40-25-60-100</f>
        <v>53.48399999999998</v>
      </c>
      <c r="G680" s="86">
        <v>40</v>
      </c>
      <c r="H680" s="83">
        <f t="shared" si="111"/>
        <v>185</v>
      </c>
      <c r="I680" s="83">
        <f t="shared" si="102"/>
        <v>0</v>
      </c>
      <c r="J680" s="86">
        <v>100</v>
      </c>
      <c r="K680" s="86">
        <v>300</v>
      </c>
      <c r="L680" s="83">
        <f t="shared" si="105"/>
        <v>1274</v>
      </c>
      <c r="M680" s="94">
        <v>600</v>
      </c>
      <c r="N680" s="83">
        <f>30</f>
        <v>30</v>
      </c>
      <c r="O680" s="86">
        <v>240</v>
      </c>
      <c r="P680" s="86">
        <v>40</v>
      </c>
      <c r="Q680" s="86">
        <f t="shared" si="106"/>
        <v>315</v>
      </c>
      <c r="R680" s="86">
        <f t="shared" si="107"/>
        <v>100</v>
      </c>
      <c r="S680" s="83">
        <f t="shared" si="108"/>
        <v>695</v>
      </c>
      <c r="T680" s="83">
        <f>0</f>
        <v>0</v>
      </c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</row>
    <row r="681" spans="1:30" ht="15.75" x14ac:dyDescent="0.25">
      <c r="A681" s="32">
        <v>61667</v>
      </c>
      <c r="B681" s="95">
        <f t="shared" si="110"/>
        <v>31</v>
      </c>
      <c r="C681" s="83">
        <f>131.881</f>
        <v>131.881</v>
      </c>
      <c r="D681" s="83">
        <f>277.167</f>
        <v>277.16699999999997</v>
      </c>
      <c r="E681" s="92">
        <f>79.08</f>
        <v>79.08</v>
      </c>
      <c r="F681" s="83">
        <f>350.872-40-25-60-100</f>
        <v>125.87200000000001</v>
      </c>
      <c r="G681" s="86">
        <v>40</v>
      </c>
      <c r="H681" s="83">
        <f t="shared" si="111"/>
        <v>185</v>
      </c>
      <c r="I681" s="83">
        <f t="shared" si="102"/>
        <v>0</v>
      </c>
      <c r="J681" s="86">
        <v>100</v>
      </c>
      <c r="K681" s="86">
        <v>300</v>
      </c>
      <c r="L681" s="83">
        <f t="shared" si="105"/>
        <v>1239</v>
      </c>
      <c r="M681" s="94">
        <v>600</v>
      </c>
      <c r="N681" s="83">
        <f>75</f>
        <v>75</v>
      </c>
      <c r="O681" s="86">
        <v>240</v>
      </c>
      <c r="P681" s="86">
        <v>40</v>
      </c>
      <c r="Q681" s="86">
        <f t="shared" si="106"/>
        <v>315</v>
      </c>
      <c r="R681" s="86">
        <f t="shared" si="107"/>
        <v>100</v>
      </c>
      <c r="S681" s="83">
        <f t="shared" si="108"/>
        <v>695</v>
      </c>
      <c r="T681" s="83">
        <f>0</f>
        <v>0</v>
      </c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</row>
    <row r="682" spans="1:30" ht="15.75" x14ac:dyDescent="0.25">
      <c r="A682" s="32">
        <v>61697</v>
      </c>
      <c r="B682" s="95">
        <f t="shared" si="110"/>
        <v>30</v>
      </c>
      <c r="C682" s="83">
        <f>122.58</f>
        <v>122.58</v>
      </c>
      <c r="D682" s="83">
        <f>297.941</f>
        <v>297.94099999999997</v>
      </c>
      <c r="E682" s="92">
        <f>89.177</f>
        <v>89.177000000000007</v>
      </c>
      <c r="F682" s="83">
        <f>240.302-40-60-100</f>
        <v>40.301999999999992</v>
      </c>
      <c r="G682" s="86">
        <v>40</v>
      </c>
      <c r="H682" s="83">
        <f>60+100</f>
        <v>160</v>
      </c>
      <c r="I682" s="83">
        <f t="shared" si="102"/>
        <v>0</v>
      </c>
      <c r="J682" s="86">
        <v>100</v>
      </c>
      <c r="K682" s="86">
        <v>300</v>
      </c>
      <c r="L682" s="83">
        <f t="shared" si="105"/>
        <v>1150</v>
      </c>
      <c r="M682" s="94">
        <v>600</v>
      </c>
      <c r="N682" s="83">
        <f>100</f>
        <v>100</v>
      </c>
      <c r="O682" s="86">
        <v>240</v>
      </c>
      <c r="P682" s="86">
        <v>40</v>
      </c>
      <c r="Q682" s="86">
        <f t="shared" si="106"/>
        <v>315</v>
      </c>
      <c r="R682" s="86">
        <f t="shared" si="107"/>
        <v>100</v>
      </c>
      <c r="S682" s="83">
        <f t="shared" si="108"/>
        <v>695</v>
      </c>
      <c r="T682" s="83">
        <f>50</f>
        <v>50</v>
      </c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</row>
    <row r="683" spans="1:30" ht="15.75" x14ac:dyDescent="0.25">
      <c r="A683" s="32">
        <v>61728</v>
      </c>
      <c r="B683" s="95">
        <f t="shared" si="110"/>
        <v>31</v>
      </c>
      <c r="C683" s="83">
        <f>122.58</f>
        <v>122.58</v>
      </c>
      <c r="D683" s="83">
        <f>297.941</f>
        <v>297.94099999999997</v>
      </c>
      <c r="E683" s="92">
        <f>89.177</f>
        <v>89.177000000000007</v>
      </c>
      <c r="F683" s="83">
        <f>240.302-40-60-100</f>
        <v>40.301999999999992</v>
      </c>
      <c r="G683" s="86">
        <v>40</v>
      </c>
      <c r="H683" s="83">
        <f>60+100</f>
        <v>160</v>
      </c>
      <c r="I683" s="83">
        <f t="shared" si="102"/>
        <v>0</v>
      </c>
      <c r="J683" s="86">
        <v>100</v>
      </c>
      <c r="K683" s="86">
        <v>300</v>
      </c>
      <c r="L683" s="83">
        <f t="shared" si="105"/>
        <v>1150</v>
      </c>
      <c r="M683" s="94">
        <v>600</v>
      </c>
      <c r="N683" s="83">
        <f>100</f>
        <v>100</v>
      </c>
      <c r="O683" s="86">
        <v>240</v>
      </c>
      <c r="P683" s="86">
        <v>40</v>
      </c>
      <c r="Q683" s="86">
        <f t="shared" si="106"/>
        <v>315</v>
      </c>
      <c r="R683" s="86">
        <f t="shared" si="107"/>
        <v>100</v>
      </c>
      <c r="S683" s="83">
        <f t="shared" si="108"/>
        <v>695</v>
      </c>
      <c r="T683" s="83">
        <f>50</f>
        <v>50</v>
      </c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</row>
    <row r="684" spans="1:30" ht="15.75" x14ac:dyDescent="0.25">
      <c r="A684" s="32">
        <v>61759</v>
      </c>
      <c r="B684" s="95">
        <f t="shared" si="110"/>
        <v>31</v>
      </c>
      <c r="C684" s="83">
        <f>122.58</f>
        <v>122.58</v>
      </c>
      <c r="D684" s="83">
        <f>297.941</f>
        <v>297.94099999999997</v>
      </c>
      <c r="E684" s="92">
        <f>89.177</f>
        <v>89.177000000000007</v>
      </c>
      <c r="F684" s="83">
        <f>240.302-40-60-100</f>
        <v>40.301999999999992</v>
      </c>
      <c r="G684" s="86">
        <v>40</v>
      </c>
      <c r="H684" s="83">
        <f>60+100</f>
        <v>160</v>
      </c>
      <c r="I684" s="83">
        <f t="shared" si="102"/>
        <v>0</v>
      </c>
      <c r="J684" s="86">
        <v>100</v>
      </c>
      <c r="K684" s="86">
        <v>300</v>
      </c>
      <c r="L684" s="83">
        <f t="shared" si="105"/>
        <v>1150</v>
      </c>
      <c r="M684" s="94">
        <v>600</v>
      </c>
      <c r="N684" s="83">
        <f>100</f>
        <v>100</v>
      </c>
      <c r="O684" s="86">
        <v>240</v>
      </c>
      <c r="P684" s="86">
        <v>40</v>
      </c>
      <c r="Q684" s="86">
        <f t="shared" si="106"/>
        <v>315</v>
      </c>
      <c r="R684" s="86">
        <f t="shared" si="107"/>
        <v>100</v>
      </c>
      <c r="S684" s="83">
        <f t="shared" si="108"/>
        <v>695</v>
      </c>
      <c r="T684" s="83">
        <f>50</f>
        <v>50</v>
      </c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</row>
    <row r="685" spans="1:30" ht="15.75" x14ac:dyDescent="0.25">
      <c r="A685" s="32">
        <v>61787</v>
      </c>
      <c r="B685" s="95">
        <f t="shared" si="110"/>
        <v>28</v>
      </c>
      <c r="C685" s="83">
        <f>122.58</f>
        <v>122.58</v>
      </c>
      <c r="D685" s="83">
        <f>297.941</f>
        <v>297.94099999999997</v>
      </c>
      <c r="E685" s="92">
        <f>89.177</f>
        <v>89.177000000000007</v>
      </c>
      <c r="F685" s="83">
        <f>240.302-40-60-100</f>
        <v>40.301999999999992</v>
      </c>
      <c r="G685" s="86">
        <v>40</v>
      </c>
      <c r="H685" s="83">
        <f>60+100</f>
        <v>160</v>
      </c>
      <c r="I685" s="83">
        <f t="shared" si="102"/>
        <v>0</v>
      </c>
      <c r="J685" s="86">
        <v>100</v>
      </c>
      <c r="K685" s="86">
        <v>300</v>
      </c>
      <c r="L685" s="83">
        <f t="shared" si="105"/>
        <v>1150</v>
      </c>
      <c r="M685" s="94">
        <v>600</v>
      </c>
      <c r="N685" s="83">
        <f>100</f>
        <v>100</v>
      </c>
      <c r="O685" s="86">
        <v>240</v>
      </c>
      <c r="P685" s="86">
        <v>40</v>
      </c>
      <c r="Q685" s="86">
        <f t="shared" si="106"/>
        <v>315</v>
      </c>
      <c r="R685" s="86">
        <f t="shared" si="107"/>
        <v>100</v>
      </c>
      <c r="S685" s="83">
        <f t="shared" si="108"/>
        <v>695</v>
      </c>
      <c r="T685" s="83">
        <f>50</f>
        <v>50</v>
      </c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</row>
    <row r="686" spans="1:30" ht="15.75" x14ac:dyDescent="0.25">
      <c r="A686" s="32">
        <v>61818</v>
      </c>
      <c r="B686" s="95">
        <f t="shared" si="110"/>
        <v>31</v>
      </c>
      <c r="C686" s="83">
        <f>122.58</f>
        <v>122.58</v>
      </c>
      <c r="D686" s="83">
        <f>297.941</f>
        <v>297.94099999999997</v>
      </c>
      <c r="E686" s="92">
        <f>89.177</f>
        <v>89.177000000000007</v>
      </c>
      <c r="F686" s="83">
        <f>240.302-40-60-100</f>
        <v>40.301999999999992</v>
      </c>
      <c r="G686" s="86">
        <v>40</v>
      </c>
      <c r="H686" s="83">
        <f>60+100</f>
        <v>160</v>
      </c>
      <c r="I686" s="83">
        <f t="shared" si="102"/>
        <v>0</v>
      </c>
      <c r="J686" s="86">
        <v>100</v>
      </c>
      <c r="K686" s="86">
        <v>300</v>
      </c>
      <c r="L686" s="83">
        <f t="shared" si="105"/>
        <v>1150</v>
      </c>
      <c r="M686" s="94">
        <v>600</v>
      </c>
      <c r="N686" s="83">
        <f>100</f>
        <v>100</v>
      </c>
      <c r="O686" s="86">
        <v>240</v>
      </c>
      <c r="P686" s="86">
        <v>40</v>
      </c>
      <c r="Q686" s="86">
        <f t="shared" si="106"/>
        <v>315</v>
      </c>
      <c r="R686" s="86">
        <f t="shared" si="107"/>
        <v>100</v>
      </c>
      <c r="S686" s="83">
        <f t="shared" si="108"/>
        <v>695</v>
      </c>
      <c r="T686" s="83">
        <f>50</f>
        <v>50</v>
      </c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</row>
    <row r="687" spans="1:30" ht="15.75" x14ac:dyDescent="0.25">
      <c r="A687" s="32">
        <v>61848</v>
      </c>
      <c r="B687" s="95">
        <f t="shared" si="110"/>
        <v>30</v>
      </c>
      <c r="C687" s="83">
        <f>141.293</f>
        <v>141.29300000000001</v>
      </c>
      <c r="D687" s="83">
        <f>267.993</f>
        <v>267.99299999999999</v>
      </c>
      <c r="E687" s="92">
        <f>115.016</f>
        <v>115.01600000000001</v>
      </c>
      <c r="F687" s="83">
        <f>314.698-40-25-60-100</f>
        <v>89.697999999999979</v>
      </c>
      <c r="G687" s="86">
        <v>40</v>
      </c>
      <c r="H687" s="83">
        <f t="shared" ref="H687:H693" si="112">25+60+100</f>
        <v>185</v>
      </c>
      <c r="I687" s="83">
        <f t="shared" si="102"/>
        <v>0</v>
      </c>
      <c r="J687" s="86">
        <v>100</v>
      </c>
      <c r="K687" s="86">
        <v>300</v>
      </c>
      <c r="L687" s="83">
        <f t="shared" si="105"/>
        <v>1239</v>
      </c>
      <c r="M687" s="94">
        <v>600</v>
      </c>
      <c r="N687" s="83">
        <f>100</f>
        <v>100</v>
      </c>
      <c r="O687" s="86">
        <v>240</v>
      </c>
      <c r="P687" s="86">
        <v>40</v>
      </c>
      <c r="Q687" s="86">
        <f t="shared" si="106"/>
        <v>315</v>
      </c>
      <c r="R687" s="86">
        <f t="shared" si="107"/>
        <v>100</v>
      </c>
      <c r="S687" s="83">
        <f t="shared" si="108"/>
        <v>695</v>
      </c>
      <c r="T687" s="83">
        <f>50</f>
        <v>50</v>
      </c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</row>
    <row r="688" spans="1:30" ht="15.75" x14ac:dyDescent="0.25">
      <c r="A688" s="32">
        <v>61879</v>
      </c>
      <c r="B688" s="95">
        <f t="shared" si="110"/>
        <v>31</v>
      </c>
      <c r="C688" s="83">
        <f>194.205</f>
        <v>194.20500000000001</v>
      </c>
      <c r="D688" s="83">
        <f>267.466</f>
        <v>267.46600000000001</v>
      </c>
      <c r="E688" s="92">
        <f>133.845</f>
        <v>133.845</v>
      </c>
      <c r="F688" s="83">
        <f>278.484-40-25-60-100</f>
        <v>53.48399999999998</v>
      </c>
      <c r="G688" s="86">
        <v>40</v>
      </c>
      <c r="H688" s="83">
        <f t="shared" si="112"/>
        <v>185</v>
      </c>
      <c r="I688" s="83">
        <f t="shared" si="102"/>
        <v>0</v>
      </c>
      <c r="J688" s="86">
        <v>100</v>
      </c>
      <c r="K688" s="86">
        <v>300</v>
      </c>
      <c r="L688" s="83">
        <f t="shared" si="105"/>
        <v>1274</v>
      </c>
      <c r="M688" s="94">
        <v>600</v>
      </c>
      <c r="N688" s="83">
        <f>75</f>
        <v>75</v>
      </c>
      <c r="O688" s="86">
        <v>240</v>
      </c>
      <c r="P688" s="86">
        <v>40</v>
      </c>
      <c r="Q688" s="86">
        <f t="shared" si="106"/>
        <v>315</v>
      </c>
      <c r="R688" s="86">
        <f t="shared" si="107"/>
        <v>100</v>
      </c>
      <c r="S688" s="83">
        <f t="shared" si="108"/>
        <v>695</v>
      </c>
      <c r="T688" s="83">
        <f>50</f>
        <v>50</v>
      </c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</row>
    <row r="689" spans="1:30" ht="15.75" x14ac:dyDescent="0.25">
      <c r="A689" s="32">
        <v>61909</v>
      </c>
      <c r="B689" s="95">
        <f t="shared" si="110"/>
        <v>30</v>
      </c>
      <c r="C689" s="83">
        <f>194.205</f>
        <v>194.20500000000001</v>
      </c>
      <c r="D689" s="83">
        <f>267.466</f>
        <v>267.46600000000001</v>
      </c>
      <c r="E689" s="92">
        <f>133.845</f>
        <v>133.845</v>
      </c>
      <c r="F689" s="83">
        <f>278.484-40-25-60-100</f>
        <v>53.48399999999998</v>
      </c>
      <c r="G689" s="86">
        <v>40</v>
      </c>
      <c r="H689" s="83">
        <f t="shared" si="112"/>
        <v>185</v>
      </c>
      <c r="I689" s="83">
        <f t="shared" si="102"/>
        <v>0</v>
      </c>
      <c r="J689" s="86">
        <v>100</v>
      </c>
      <c r="K689" s="86">
        <v>300</v>
      </c>
      <c r="L689" s="83">
        <f t="shared" si="105"/>
        <v>1274</v>
      </c>
      <c r="M689" s="94">
        <v>600</v>
      </c>
      <c r="N689" s="83">
        <f>30</f>
        <v>30</v>
      </c>
      <c r="O689" s="86">
        <v>240</v>
      </c>
      <c r="P689" s="86">
        <v>40</v>
      </c>
      <c r="Q689" s="86">
        <f t="shared" si="106"/>
        <v>315</v>
      </c>
      <c r="R689" s="86">
        <f t="shared" si="107"/>
        <v>100</v>
      </c>
      <c r="S689" s="83">
        <f t="shared" si="108"/>
        <v>695</v>
      </c>
      <c r="T689" s="83">
        <f>50</f>
        <v>50</v>
      </c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</row>
    <row r="690" spans="1:30" ht="15.75" x14ac:dyDescent="0.25">
      <c r="A690" s="32">
        <v>61940</v>
      </c>
      <c r="B690" s="95">
        <f t="shared" si="110"/>
        <v>31</v>
      </c>
      <c r="C690" s="83">
        <f>194.205</f>
        <v>194.20500000000001</v>
      </c>
      <c r="D690" s="83">
        <f>267.466</f>
        <v>267.46600000000001</v>
      </c>
      <c r="E690" s="92">
        <f>133.845</f>
        <v>133.845</v>
      </c>
      <c r="F690" s="83">
        <f>278.484-40-25-60-100</f>
        <v>53.48399999999998</v>
      </c>
      <c r="G690" s="86">
        <v>40</v>
      </c>
      <c r="H690" s="83">
        <f t="shared" si="112"/>
        <v>185</v>
      </c>
      <c r="I690" s="83">
        <f t="shared" si="102"/>
        <v>0</v>
      </c>
      <c r="J690" s="86">
        <v>100</v>
      </c>
      <c r="K690" s="86">
        <v>300</v>
      </c>
      <c r="L690" s="83">
        <f t="shared" si="105"/>
        <v>1274</v>
      </c>
      <c r="M690" s="94">
        <v>600</v>
      </c>
      <c r="N690" s="83">
        <f>30</f>
        <v>30</v>
      </c>
      <c r="O690" s="86">
        <v>240</v>
      </c>
      <c r="P690" s="86">
        <v>40</v>
      </c>
      <c r="Q690" s="86">
        <f t="shared" si="106"/>
        <v>315</v>
      </c>
      <c r="R690" s="86">
        <f t="shared" si="107"/>
        <v>100</v>
      </c>
      <c r="S690" s="83">
        <f t="shared" si="108"/>
        <v>695</v>
      </c>
      <c r="T690" s="83">
        <f>0</f>
        <v>0</v>
      </c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</row>
    <row r="691" spans="1:30" ht="15.75" x14ac:dyDescent="0.25">
      <c r="A691" s="32">
        <v>61971</v>
      </c>
      <c r="B691" s="95">
        <f t="shared" si="110"/>
        <v>31</v>
      </c>
      <c r="C691" s="83">
        <f>194.205</f>
        <v>194.20500000000001</v>
      </c>
      <c r="D691" s="83">
        <f>267.466</f>
        <v>267.46600000000001</v>
      </c>
      <c r="E691" s="92">
        <f>133.845</f>
        <v>133.845</v>
      </c>
      <c r="F691" s="83">
        <f>278.484-40-25-60-100</f>
        <v>53.48399999999998</v>
      </c>
      <c r="G691" s="86">
        <v>40</v>
      </c>
      <c r="H691" s="83">
        <f t="shared" si="112"/>
        <v>185</v>
      </c>
      <c r="I691" s="83">
        <f t="shared" si="102"/>
        <v>0</v>
      </c>
      <c r="J691" s="86">
        <v>100</v>
      </c>
      <c r="K691" s="86">
        <v>300</v>
      </c>
      <c r="L691" s="83">
        <f t="shared" si="105"/>
        <v>1274</v>
      </c>
      <c r="M691" s="94">
        <v>600</v>
      </c>
      <c r="N691" s="83">
        <f>30</f>
        <v>30</v>
      </c>
      <c r="O691" s="86">
        <v>240</v>
      </c>
      <c r="P691" s="86">
        <v>40</v>
      </c>
      <c r="Q691" s="86">
        <f t="shared" si="106"/>
        <v>315</v>
      </c>
      <c r="R691" s="86">
        <f t="shared" si="107"/>
        <v>100</v>
      </c>
      <c r="S691" s="83">
        <f t="shared" si="108"/>
        <v>695</v>
      </c>
      <c r="T691" s="83">
        <f>0</f>
        <v>0</v>
      </c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</row>
    <row r="692" spans="1:30" ht="15.75" x14ac:dyDescent="0.25">
      <c r="A692" s="32">
        <v>62001</v>
      </c>
      <c r="B692" s="95">
        <f t="shared" si="110"/>
        <v>30</v>
      </c>
      <c r="C692" s="83">
        <f>194.205</f>
        <v>194.20500000000001</v>
      </c>
      <c r="D692" s="83">
        <f>267.466</f>
        <v>267.46600000000001</v>
      </c>
      <c r="E692" s="92">
        <f>133.845</f>
        <v>133.845</v>
      </c>
      <c r="F692" s="83">
        <f>278.484-40-25-60-100</f>
        <v>53.48399999999998</v>
      </c>
      <c r="G692" s="86">
        <v>40</v>
      </c>
      <c r="H692" s="83">
        <f t="shared" si="112"/>
        <v>185</v>
      </c>
      <c r="I692" s="83">
        <f t="shared" ref="I692:I755" si="113">400-J692-K692</f>
        <v>0</v>
      </c>
      <c r="J692" s="86">
        <v>100</v>
      </c>
      <c r="K692" s="86">
        <v>300</v>
      </c>
      <c r="L692" s="83">
        <f t="shared" si="105"/>
        <v>1274</v>
      </c>
      <c r="M692" s="94">
        <v>600</v>
      </c>
      <c r="N692" s="83">
        <f>30</f>
        <v>30</v>
      </c>
      <c r="O692" s="86">
        <v>240</v>
      </c>
      <c r="P692" s="86">
        <v>40</v>
      </c>
      <c r="Q692" s="86">
        <f t="shared" si="106"/>
        <v>315</v>
      </c>
      <c r="R692" s="86">
        <f t="shared" si="107"/>
        <v>100</v>
      </c>
      <c r="S692" s="83">
        <f t="shared" si="108"/>
        <v>695</v>
      </c>
      <c r="T692" s="83">
        <f>0</f>
        <v>0</v>
      </c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</row>
    <row r="693" spans="1:30" ht="15.75" x14ac:dyDescent="0.25">
      <c r="A693" s="32">
        <v>62032</v>
      </c>
      <c r="B693" s="95">
        <f t="shared" si="110"/>
        <v>31</v>
      </c>
      <c r="C693" s="83">
        <f>131.881</f>
        <v>131.881</v>
      </c>
      <c r="D693" s="83">
        <f>277.167</f>
        <v>277.16699999999997</v>
      </c>
      <c r="E693" s="92">
        <f>79.08</f>
        <v>79.08</v>
      </c>
      <c r="F693" s="83">
        <f>350.872-40-25-60-100</f>
        <v>125.87200000000001</v>
      </c>
      <c r="G693" s="86">
        <v>40</v>
      </c>
      <c r="H693" s="83">
        <f t="shared" si="112"/>
        <v>185</v>
      </c>
      <c r="I693" s="83">
        <f t="shared" si="113"/>
        <v>0</v>
      </c>
      <c r="J693" s="86">
        <v>100</v>
      </c>
      <c r="K693" s="86">
        <v>300</v>
      </c>
      <c r="L693" s="83">
        <f t="shared" si="105"/>
        <v>1239</v>
      </c>
      <c r="M693" s="94">
        <v>600</v>
      </c>
      <c r="N693" s="83">
        <f>75</f>
        <v>75</v>
      </c>
      <c r="O693" s="86">
        <v>240</v>
      </c>
      <c r="P693" s="86">
        <v>40</v>
      </c>
      <c r="Q693" s="86">
        <f t="shared" si="106"/>
        <v>315</v>
      </c>
      <c r="R693" s="86">
        <f t="shared" si="107"/>
        <v>100</v>
      </c>
      <c r="S693" s="83">
        <f t="shared" si="108"/>
        <v>695</v>
      </c>
      <c r="T693" s="83">
        <f>0</f>
        <v>0</v>
      </c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</row>
    <row r="694" spans="1:30" ht="15.75" x14ac:dyDescent="0.25">
      <c r="A694" s="32">
        <v>62062</v>
      </c>
      <c r="B694" s="95">
        <f t="shared" si="110"/>
        <v>30</v>
      </c>
      <c r="C694" s="83">
        <f>122.58</f>
        <v>122.58</v>
      </c>
      <c r="D694" s="83">
        <f>297.941</f>
        <v>297.94099999999997</v>
      </c>
      <c r="E694" s="92">
        <f>89.177</f>
        <v>89.177000000000007</v>
      </c>
      <c r="F694" s="83">
        <f>240.302-40-60-100</f>
        <v>40.301999999999992</v>
      </c>
      <c r="G694" s="86">
        <v>40</v>
      </c>
      <c r="H694" s="83">
        <f>60+100</f>
        <v>160</v>
      </c>
      <c r="I694" s="83">
        <f t="shared" si="113"/>
        <v>0</v>
      </c>
      <c r="J694" s="86">
        <v>100</v>
      </c>
      <c r="K694" s="86">
        <v>300</v>
      </c>
      <c r="L694" s="83">
        <f t="shared" si="105"/>
        <v>1150</v>
      </c>
      <c r="M694" s="94">
        <v>600</v>
      </c>
      <c r="N694" s="83">
        <f>100</f>
        <v>100</v>
      </c>
      <c r="O694" s="86">
        <v>240</v>
      </c>
      <c r="P694" s="86">
        <v>40</v>
      </c>
      <c r="Q694" s="86">
        <f t="shared" si="106"/>
        <v>315</v>
      </c>
      <c r="R694" s="86">
        <f t="shared" si="107"/>
        <v>100</v>
      </c>
      <c r="S694" s="83">
        <f t="shared" si="108"/>
        <v>695</v>
      </c>
      <c r="T694" s="83">
        <f>50</f>
        <v>50</v>
      </c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</row>
    <row r="695" spans="1:30" ht="15.75" x14ac:dyDescent="0.25">
      <c r="A695" s="32">
        <v>62093</v>
      </c>
      <c r="B695" s="95">
        <f t="shared" si="110"/>
        <v>31</v>
      </c>
      <c r="C695" s="83">
        <f>122.58</f>
        <v>122.58</v>
      </c>
      <c r="D695" s="83">
        <f>297.941</f>
        <v>297.94099999999997</v>
      </c>
      <c r="E695" s="92">
        <f>89.177</f>
        <v>89.177000000000007</v>
      </c>
      <c r="F695" s="83">
        <f>240.302-40-60-100</f>
        <v>40.301999999999992</v>
      </c>
      <c r="G695" s="86">
        <v>40</v>
      </c>
      <c r="H695" s="83">
        <f>60+100</f>
        <v>160</v>
      </c>
      <c r="I695" s="83">
        <f t="shared" si="113"/>
        <v>0</v>
      </c>
      <c r="J695" s="86">
        <v>100</v>
      </c>
      <c r="K695" s="86">
        <v>300</v>
      </c>
      <c r="L695" s="83">
        <f t="shared" si="105"/>
        <v>1150</v>
      </c>
      <c r="M695" s="94">
        <v>600</v>
      </c>
      <c r="N695" s="83">
        <f>100</f>
        <v>100</v>
      </c>
      <c r="O695" s="86">
        <v>240</v>
      </c>
      <c r="P695" s="86">
        <v>40</v>
      </c>
      <c r="Q695" s="86">
        <f t="shared" si="106"/>
        <v>315</v>
      </c>
      <c r="R695" s="86">
        <f t="shared" si="107"/>
        <v>100</v>
      </c>
      <c r="S695" s="83">
        <f t="shared" si="108"/>
        <v>695</v>
      </c>
      <c r="T695" s="83">
        <f>50</f>
        <v>50</v>
      </c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</row>
    <row r="696" spans="1:30" ht="15.75" x14ac:dyDescent="0.25">
      <c r="A696" s="32">
        <v>62124</v>
      </c>
      <c r="B696" s="95">
        <f t="shared" si="110"/>
        <v>31</v>
      </c>
      <c r="C696" s="83">
        <f>122.58</f>
        <v>122.58</v>
      </c>
      <c r="D696" s="83">
        <f>297.941</f>
        <v>297.94099999999997</v>
      </c>
      <c r="E696" s="92">
        <f>89.177</f>
        <v>89.177000000000007</v>
      </c>
      <c r="F696" s="83">
        <f>240.302-40-60-100</f>
        <v>40.301999999999992</v>
      </c>
      <c r="G696" s="86">
        <v>40</v>
      </c>
      <c r="H696" s="83">
        <f>60+100</f>
        <v>160</v>
      </c>
      <c r="I696" s="83">
        <f t="shared" si="113"/>
        <v>0</v>
      </c>
      <c r="J696" s="86">
        <v>100</v>
      </c>
      <c r="K696" s="86">
        <v>300</v>
      </c>
      <c r="L696" s="83">
        <f t="shared" si="105"/>
        <v>1150</v>
      </c>
      <c r="M696" s="94">
        <v>600</v>
      </c>
      <c r="N696" s="83">
        <f>100</f>
        <v>100</v>
      </c>
      <c r="O696" s="86">
        <v>240</v>
      </c>
      <c r="P696" s="86">
        <v>40</v>
      </c>
      <c r="Q696" s="86">
        <f t="shared" si="106"/>
        <v>315</v>
      </c>
      <c r="R696" s="86">
        <f t="shared" si="107"/>
        <v>100</v>
      </c>
      <c r="S696" s="83">
        <f t="shared" si="108"/>
        <v>695</v>
      </c>
      <c r="T696" s="83">
        <f>50</f>
        <v>50</v>
      </c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</row>
    <row r="697" spans="1:30" ht="15.75" x14ac:dyDescent="0.25">
      <c r="A697" s="32">
        <v>62152</v>
      </c>
      <c r="B697" s="95">
        <f t="shared" si="110"/>
        <v>28</v>
      </c>
      <c r="C697" s="83">
        <f>122.58</f>
        <v>122.58</v>
      </c>
      <c r="D697" s="83">
        <f>297.941</f>
        <v>297.94099999999997</v>
      </c>
      <c r="E697" s="92">
        <f>89.177</f>
        <v>89.177000000000007</v>
      </c>
      <c r="F697" s="83">
        <f>240.302-40-60-100</f>
        <v>40.301999999999992</v>
      </c>
      <c r="G697" s="86">
        <v>40</v>
      </c>
      <c r="H697" s="83">
        <f>60+100</f>
        <v>160</v>
      </c>
      <c r="I697" s="83">
        <f t="shared" si="113"/>
        <v>0</v>
      </c>
      <c r="J697" s="86">
        <v>100</v>
      </c>
      <c r="K697" s="86">
        <v>300</v>
      </c>
      <c r="L697" s="83">
        <f t="shared" si="105"/>
        <v>1150</v>
      </c>
      <c r="M697" s="94">
        <v>600</v>
      </c>
      <c r="N697" s="83">
        <f>100</f>
        <v>100</v>
      </c>
      <c r="O697" s="86">
        <v>240</v>
      </c>
      <c r="P697" s="86">
        <v>40</v>
      </c>
      <c r="Q697" s="86">
        <f t="shared" si="106"/>
        <v>315</v>
      </c>
      <c r="R697" s="86">
        <f t="shared" si="107"/>
        <v>100</v>
      </c>
      <c r="S697" s="83">
        <f t="shared" si="108"/>
        <v>695</v>
      </c>
      <c r="T697" s="83">
        <f>50</f>
        <v>50</v>
      </c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</row>
    <row r="698" spans="1:30" ht="15.75" x14ac:dyDescent="0.25">
      <c r="A698" s="32">
        <v>62183</v>
      </c>
      <c r="B698" s="95">
        <f t="shared" si="110"/>
        <v>31</v>
      </c>
      <c r="C698" s="83">
        <f>122.58</f>
        <v>122.58</v>
      </c>
      <c r="D698" s="83">
        <f>297.941</f>
        <v>297.94099999999997</v>
      </c>
      <c r="E698" s="92">
        <f>89.177</f>
        <v>89.177000000000007</v>
      </c>
      <c r="F698" s="83">
        <f>240.302-40-60-100</f>
        <v>40.301999999999992</v>
      </c>
      <c r="G698" s="86">
        <v>40</v>
      </c>
      <c r="H698" s="83">
        <f>60+100</f>
        <v>160</v>
      </c>
      <c r="I698" s="83">
        <f t="shared" si="113"/>
        <v>0</v>
      </c>
      <c r="J698" s="86">
        <v>100</v>
      </c>
      <c r="K698" s="86">
        <v>300</v>
      </c>
      <c r="L698" s="83">
        <f t="shared" si="105"/>
        <v>1150</v>
      </c>
      <c r="M698" s="94">
        <v>600</v>
      </c>
      <c r="N698" s="83">
        <f>100</f>
        <v>100</v>
      </c>
      <c r="O698" s="86">
        <v>240</v>
      </c>
      <c r="P698" s="86">
        <v>40</v>
      </c>
      <c r="Q698" s="86">
        <f t="shared" si="106"/>
        <v>315</v>
      </c>
      <c r="R698" s="86">
        <f t="shared" si="107"/>
        <v>100</v>
      </c>
      <c r="S698" s="83">
        <f t="shared" si="108"/>
        <v>695</v>
      </c>
      <c r="T698" s="83">
        <f>50</f>
        <v>50</v>
      </c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</row>
    <row r="699" spans="1:30" ht="15.75" x14ac:dyDescent="0.25">
      <c r="A699" s="32">
        <v>62213</v>
      </c>
      <c r="B699" s="95">
        <f t="shared" si="110"/>
        <v>30</v>
      </c>
      <c r="C699" s="83">
        <f>141.293</f>
        <v>141.29300000000001</v>
      </c>
      <c r="D699" s="83">
        <f>267.993</f>
        <v>267.99299999999999</v>
      </c>
      <c r="E699" s="92">
        <f>115.016</f>
        <v>115.01600000000001</v>
      </c>
      <c r="F699" s="83">
        <f>314.698-40-25-60-100</f>
        <v>89.697999999999979</v>
      </c>
      <c r="G699" s="86">
        <v>40</v>
      </c>
      <c r="H699" s="83">
        <f t="shared" ref="H699:H705" si="114">25+60+100</f>
        <v>185</v>
      </c>
      <c r="I699" s="83">
        <f t="shared" si="113"/>
        <v>0</v>
      </c>
      <c r="J699" s="86">
        <v>100</v>
      </c>
      <c r="K699" s="86">
        <v>300</v>
      </c>
      <c r="L699" s="83">
        <f t="shared" si="105"/>
        <v>1239</v>
      </c>
      <c r="M699" s="94">
        <v>600</v>
      </c>
      <c r="N699" s="83">
        <f>100</f>
        <v>100</v>
      </c>
      <c r="O699" s="86">
        <v>240</v>
      </c>
      <c r="P699" s="86">
        <v>40</v>
      </c>
      <c r="Q699" s="86">
        <f t="shared" si="106"/>
        <v>315</v>
      </c>
      <c r="R699" s="86">
        <f t="shared" si="107"/>
        <v>100</v>
      </c>
      <c r="S699" s="83">
        <f t="shared" si="108"/>
        <v>695</v>
      </c>
      <c r="T699" s="83">
        <f>50</f>
        <v>50</v>
      </c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</row>
    <row r="700" spans="1:30" ht="15.75" x14ac:dyDescent="0.25">
      <c r="A700" s="32">
        <v>62244</v>
      </c>
      <c r="B700" s="95">
        <f t="shared" si="110"/>
        <v>31</v>
      </c>
      <c r="C700" s="83">
        <f>194.205</f>
        <v>194.20500000000001</v>
      </c>
      <c r="D700" s="83">
        <f>267.466</f>
        <v>267.46600000000001</v>
      </c>
      <c r="E700" s="92">
        <f>133.845</f>
        <v>133.845</v>
      </c>
      <c r="F700" s="83">
        <f>278.484-40-25-60-100</f>
        <v>53.48399999999998</v>
      </c>
      <c r="G700" s="86">
        <v>40</v>
      </c>
      <c r="H700" s="83">
        <f t="shared" si="114"/>
        <v>185</v>
      </c>
      <c r="I700" s="83">
        <f t="shared" si="113"/>
        <v>0</v>
      </c>
      <c r="J700" s="86">
        <v>100</v>
      </c>
      <c r="K700" s="86">
        <v>300</v>
      </c>
      <c r="L700" s="83">
        <f t="shared" si="105"/>
        <v>1274</v>
      </c>
      <c r="M700" s="94">
        <v>600</v>
      </c>
      <c r="N700" s="83">
        <f>75</f>
        <v>75</v>
      </c>
      <c r="O700" s="86">
        <v>240</v>
      </c>
      <c r="P700" s="86">
        <v>40</v>
      </c>
      <c r="Q700" s="86">
        <f t="shared" si="106"/>
        <v>315</v>
      </c>
      <c r="R700" s="86">
        <f t="shared" si="107"/>
        <v>100</v>
      </c>
      <c r="S700" s="83">
        <f t="shared" si="108"/>
        <v>695</v>
      </c>
      <c r="T700" s="83">
        <f>50</f>
        <v>50</v>
      </c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</row>
    <row r="701" spans="1:30" ht="15.75" x14ac:dyDescent="0.25">
      <c r="A701" s="32">
        <v>62274</v>
      </c>
      <c r="B701" s="95">
        <f t="shared" si="110"/>
        <v>30</v>
      </c>
      <c r="C701" s="83">
        <f>194.205</f>
        <v>194.20500000000001</v>
      </c>
      <c r="D701" s="83">
        <f>267.466</f>
        <v>267.46600000000001</v>
      </c>
      <c r="E701" s="92">
        <f>133.845</f>
        <v>133.845</v>
      </c>
      <c r="F701" s="83">
        <f>278.484-40-25-60-100</f>
        <v>53.48399999999998</v>
      </c>
      <c r="G701" s="86">
        <v>40</v>
      </c>
      <c r="H701" s="83">
        <f t="shared" si="114"/>
        <v>185</v>
      </c>
      <c r="I701" s="83">
        <f t="shared" si="113"/>
        <v>0</v>
      </c>
      <c r="J701" s="86">
        <v>100</v>
      </c>
      <c r="K701" s="86">
        <v>300</v>
      </c>
      <c r="L701" s="83">
        <f t="shared" si="105"/>
        <v>1274</v>
      </c>
      <c r="M701" s="94">
        <v>600</v>
      </c>
      <c r="N701" s="83">
        <f>30</f>
        <v>30</v>
      </c>
      <c r="O701" s="86">
        <v>240</v>
      </c>
      <c r="P701" s="86">
        <v>40</v>
      </c>
      <c r="Q701" s="86">
        <f t="shared" si="106"/>
        <v>315</v>
      </c>
      <c r="R701" s="86">
        <f t="shared" si="107"/>
        <v>100</v>
      </c>
      <c r="S701" s="83">
        <f t="shared" si="108"/>
        <v>695</v>
      </c>
      <c r="T701" s="83">
        <f>50</f>
        <v>50</v>
      </c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</row>
    <row r="702" spans="1:30" ht="15.75" x14ac:dyDescent="0.25">
      <c r="A702" s="32">
        <v>62305</v>
      </c>
      <c r="B702" s="95">
        <f t="shared" si="110"/>
        <v>31</v>
      </c>
      <c r="C702" s="83">
        <f>194.205</f>
        <v>194.20500000000001</v>
      </c>
      <c r="D702" s="83">
        <f>267.466</f>
        <v>267.46600000000001</v>
      </c>
      <c r="E702" s="92">
        <f>133.845</f>
        <v>133.845</v>
      </c>
      <c r="F702" s="83">
        <f>278.484-40-25-60-100</f>
        <v>53.48399999999998</v>
      </c>
      <c r="G702" s="86">
        <v>40</v>
      </c>
      <c r="H702" s="83">
        <f t="shared" si="114"/>
        <v>185</v>
      </c>
      <c r="I702" s="83">
        <f t="shared" si="113"/>
        <v>0</v>
      </c>
      <c r="J702" s="86">
        <v>100</v>
      </c>
      <c r="K702" s="86">
        <v>300</v>
      </c>
      <c r="L702" s="83">
        <f t="shared" si="105"/>
        <v>1274</v>
      </c>
      <c r="M702" s="94">
        <v>600</v>
      </c>
      <c r="N702" s="83">
        <f>30</f>
        <v>30</v>
      </c>
      <c r="O702" s="86">
        <v>240</v>
      </c>
      <c r="P702" s="86">
        <v>40</v>
      </c>
      <c r="Q702" s="86">
        <f t="shared" si="106"/>
        <v>315</v>
      </c>
      <c r="R702" s="86">
        <f t="shared" si="107"/>
        <v>100</v>
      </c>
      <c r="S702" s="83">
        <f t="shared" si="108"/>
        <v>695</v>
      </c>
      <c r="T702" s="83">
        <f>0</f>
        <v>0</v>
      </c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</row>
    <row r="703" spans="1:30" ht="15.75" x14ac:dyDescent="0.25">
      <c r="A703" s="32">
        <v>62336</v>
      </c>
      <c r="B703" s="95">
        <f t="shared" si="110"/>
        <v>31</v>
      </c>
      <c r="C703" s="83">
        <f>194.205</f>
        <v>194.20500000000001</v>
      </c>
      <c r="D703" s="83">
        <f>267.466</f>
        <v>267.46600000000001</v>
      </c>
      <c r="E703" s="92">
        <f>133.845</f>
        <v>133.845</v>
      </c>
      <c r="F703" s="83">
        <f>278.484-40-25-60-100</f>
        <v>53.48399999999998</v>
      </c>
      <c r="G703" s="86">
        <v>40</v>
      </c>
      <c r="H703" s="83">
        <f t="shared" si="114"/>
        <v>185</v>
      </c>
      <c r="I703" s="83">
        <f t="shared" si="113"/>
        <v>0</v>
      </c>
      <c r="J703" s="86">
        <v>100</v>
      </c>
      <c r="K703" s="86">
        <v>300</v>
      </c>
      <c r="L703" s="83">
        <f t="shared" si="105"/>
        <v>1274</v>
      </c>
      <c r="M703" s="94">
        <v>600</v>
      </c>
      <c r="N703" s="83">
        <f>30</f>
        <v>30</v>
      </c>
      <c r="O703" s="86">
        <v>240</v>
      </c>
      <c r="P703" s="86">
        <v>40</v>
      </c>
      <c r="Q703" s="86">
        <f t="shared" si="106"/>
        <v>315</v>
      </c>
      <c r="R703" s="86">
        <f t="shared" si="107"/>
        <v>100</v>
      </c>
      <c r="S703" s="83">
        <f t="shared" si="108"/>
        <v>695</v>
      </c>
      <c r="T703" s="83">
        <f>0</f>
        <v>0</v>
      </c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</row>
    <row r="704" spans="1:30" ht="15.75" x14ac:dyDescent="0.25">
      <c r="A704" s="32">
        <v>62366</v>
      </c>
      <c r="B704" s="95">
        <f t="shared" si="110"/>
        <v>30</v>
      </c>
      <c r="C704" s="83">
        <f>194.205</f>
        <v>194.20500000000001</v>
      </c>
      <c r="D704" s="83">
        <f>267.466</f>
        <v>267.46600000000001</v>
      </c>
      <c r="E704" s="92">
        <f>133.845</f>
        <v>133.845</v>
      </c>
      <c r="F704" s="83">
        <f>278.484-40-25-60-100</f>
        <v>53.48399999999998</v>
      </c>
      <c r="G704" s="86">
        <v>40</v>
      </c>
      <c r="H704" s="83">
        <f t="shared" si="114"/>
        <v>185</v>
      </c>
      <c r="I704" s="83">
        <f t="shared" si="113"/>
        <v>0</v>
      </c>
      <c r="J704" s="86">
        <v>100</v>
      </c>
      <c r="K704" s="86">
        <v>300</v>
      </c>
      <c r="L704" s="83">
        <f t="shared" si="105"/>
        <v>1274</v>
      </c>
      <c r="M704" s="94">
        <v>600</v>
      </c>
      <c r="N704" s="83">
        <f>30</f>
        <v>30</v>
      </c>
      <c r="O704" s="86">
        <v>240</v>
      </c>
      <c r="P704" s="86">
        <v>40</v>
      </c>
      <c r="Q704" s="86">
        <f t="shared" si="106"/>
        <v>315</v>
      </c>
      <c r="R704" s="86">
        <f t="shared" si="107"/>
        <v>100</v>
      </c>
      <c r="S704" s="83">
        <f t="shared" si="108"/>
        <v>695</v>
      </c>
      <c r="T704" s="83">
        <f>0</f>
        <v>0</v>
      </c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</row>
    <row r="705" spans="1:30" ht="15.75" x14ac:dyDescent="0.25">
      <c r="A705" s="32">
        <v>62397</v>
      </c>
      <c r="B705" s="95">
        <f t="shared" si="110"/>
        <v>31</v>
      </c>
      <c r="C705" s="83">
        <f>131.881</f>
        <v>131.881</v>
      </c>
      <c r="D705" s="83">
        <f>277.167</f>
        <v>277.16699999999997</v>
      </c>
      <c r="E705" s="92">
        <f>79.08</f>
        <v>79.08</v>
      </c>
      <c r="F705" s="83">
        <f>350.872-40-25-60-100</f>
        <v>125.87200000000001</v>
      </c>
      <c r="G705" s="86">
        <v>40</v>
      </c>
      <c r="H705" s="83">
        <f t="shared" si="114"/>
        <v>185</v>
      </c>
      <c r="I705" s="83">
        <f t="shared" si="113"/>
        <v>0</v>
      </c>
      <c r="J705" s="86">
        <v>100</v>
      </c>
      <c r="K705" s="86">
        <v>300</v>
      </c>
      <c r="L705" s="83">
        <f t="shared" si="105"/>
        <v>1239</v>
      </c>
      <c r="M705" s="94">
        <v>600</v>
      </c>
      <c r="N705" s="83">
        <f>75</f>
        <v>75</v>
      </c>
      <c r="O705" s="86">
        <v>240</v>
      </c>
      <c r="P705" s="86">
        <v>40</v>
      </c>
      <c r="Q705" s="86">
        <f t="shared" si="106"/>
        <v>315</v>
      </c>
      <c r="R705" s="86">
        <f t="shared" si="107"/>
        <v>100</v>
      </c>
      <c r="S705" s="83">
        <f t="shared" si="108"/>
        <v>695</v>
      </c>
      <c r="T705" s="83">
        <f>0</f>
        <v>0</v>
      </c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</row>
    <row r="706" spans="1:30" ht="15.75" x14ac:dyDescent="0.25">
      <c r="A706" s="32">
        <v>62427</v>
      </c>
      <c r="B706" s="95">
        <f t="shared" si="110"/>
        <v>30</v>
      </c>
      <c r="C706" s="83">
        <f>122.58</f>
        <v>122.58</v>
      </c>
      <c r="D706" s="83">
        <f>297.941</f>
        <v>297.94099999999997</v>
      </c>
      <c r="E706" s="92">
        <f>89.177</f>
        <v>89.177000000000007</v>
      </c>
      <c r="F706" s="83">
        <f>240.302-40-60-100</f>
        <v>40.301999999999992</v>
      </c>
      <c r="G706" s="86">
        <v>40</v>
      </c>
      <c r="H706" s="83">
        <f>60+100</f>
        <v>160</v>
      </c>
      <c r="I706" s="83">
        <f t="shared" si="113"/>
        <v>0</v>
      </c>
      <c r="J706" s="86">
        <v>100</v>
      </c>
      <c r="K706" s="86">
        <v>300</v>
      </c>
      <c r="L706" s="83">
        <f t="shared" si="105"/>
        <v>1150</v>
      </c>
      <c r="M706" s="94">
        <v>600</v>
      </c>
      <c r="N706" s="83">
        <f>100</f>
        <v>100</v>
      </c>
      <c r="O706" s="86">
        <v>240</v>
      </c>
      <c r="P706" s="86">
        <v>40</v>
      </c>
      <c r="Q706" s="86">
        <f t="shared" si="106"/>
        <v>315</v>
      </c>
      <c r="R706" s="86">
        <f t="shared" si="107"/>
        <v>100</v>
      </c>
      <c r="S706" s="83">
        <f t="shared" si="108"/>
        <v>695</v>
      </c>
      <c r="T706" s="83">
        <f>50</f>
        <v>50</v>
      </c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</row>
    <row r="707" spans="1:30" ht="15.75" x14ac:dyDescent="0.25">
      <c r="A707" s="32">
        <v>62458</v>
      </c>
      <c r="B707" s="95">
        <f t="shared" si="110"/>
        <v>31</v>
      </c>
      <c r="C707" s="83">
        <f>122.58</f>
        <v>122.58</v>
      </c>
      <c r="D707" s="83">
        <f>297.941</f>
        <v>297.94099999999997</v>
      </c>
      <c r="E707" s="92">
        <f>89.177</f>
        <v>89.177000000000007</v>
      </c>
      <c r="F707" s="83">
        <f>240.302-40-60-100</f>
        <v>40.301999999999992</v>
      </c>
      <c r="G707" s="86">
        <v>40</v>
      </c>
      <c r="H707" s="83">
        <f>60+100</f>
        <v>160</v>
      </c>
      <c r="I707" s="83">
        <f t="shared" si="113"/>
        <v>0</v>
      </c>
      <c r="J707" s="86">
        <v>100</v>
      </c>
      <c r="K707" s="86">
        <v>300</v>
      </c>
      <c r="L707" s="83">
        <f t="shared" si="105"/>
        <v>1150</v>
      </c>
      <c r="M707" s="94">
        <v>600</v>
      </c>
      <c r="N707" s="83">
        <f>100</f>
        <v>100</v>
      </c>
      <c r="O707" s="86">
        <v>240</v>
      </c>
      <c r="P707" s="86">
        <v>40</v>
      </c>
      <c r="Q707" s="86">
        <f t="shared" si="106"/>
        <v>315</v>
      </c>
      <c r="R707" s="86">
        <f t="shared" si="107"/>
        <v>100</v>
      </c>
      <c r="S707" s="83">
        <f t="shared" si="108"/>
        <v>695</v>
      </c>
      <c r="T707" s="83">
        <f>50</f>
        <v>50</v>
      </c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</row>
    <row r="708" spans="1:30" ht="15.75" x14ac:dyDescent="0.25">
      <c r="A708" s="32">
        <v>62489</v>
      </c>
      <c r="B708" s="95">
        <f t="shared" si="110"/>
        <v>31</v>
      </c>
      <c r="C708" s="83">
        <f>122.58</f>
        <v>122.58</v>
      </c>
      <c r="D708" s="83">
        <f>297.941</f>
        <v>297.94099999999997</v>
      </c>
      <c r="E708" s="92">
        <f>89.177</f>
        <v>89.177000000000007</v>
      </c>
      <c r="F708" s="83">
        <f>240.302-40-60-100</f>
        <v>40.301999999999992</v>
      </c>
      <c r="G708" s="86">
        <v>40</v>
      </c>
      <c r="H708" s="83">
        <f>60+100</f>
        <v>160</v>
      </c>
      <c r="I708" s="83">
        <f t="shared" si="113"/>
        <v>0</v>
      </c>
      <c r="J708" s="86">
        <v>100</v>
      </c>
      <c r="K708" s="86">
        <v>300</v>
      </c>
      <c r="L708" s="83">
        <f t="shared" si="105"/>
        <v>1150</v>
      </c>
      <c r="M708" s="94">
        <v>600</v>
      </c>
      <c r="N708" s="83">
        <f>100</f>
        <v>100</v>
      </c>
      <c r="O708" s="86">
        <v>240</v>
      </c>
      <c r="P708" s="86">
        <v>40</v>
      </c>
      <c r="Q708" s="86">
        <f t="shared" si="106"/>
        <v>315</v>
      </c>
      <c r="R708" s="86">
        <f t="shared" si="107"/>
        <v>100</v>
      </c>
      <c r="S708" s="83">
        <f t="shared" si="108"/>
        <v>695</v>
      </c>
      <c r="T708" s="83">
        <f>50</f>
        <v>50</v>
      </c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</row>
    <row r="709" spans="1:30" ht="15.75" x14ac:dyDescent="0.25">
      <c r="A709" s="32">
        <v>62517</v>
      </c>
      <c r="B709" s="95">
        <f t="shared" si="110"/>
        <v>28</v>
      </c>
      <c r="C709" s="83">
        <f>122.58</f>
        <v>122.58</v>
      </c>
      <c r="D709" s="83">
        <f>297.941</f>
        <v>297.94099999999997</v>
      </c>
      <c r="E709" s="92">
        <f>89.177</f>
        <v>89.177000000000007</v>
      </c>
      <c r="F709" s="83">
        <f>240.302-40-60-100</f>
        <v>40.301999999999992</v>
      </c>
      <c r="G709" s="86">
        <v>40</v>
      </c>
      <c r="H709" s="83">
        <f>60+100</f>
        <v>160</v>
      </c>
      <c r="I709" s="83">
        <f t="shared" si="113"/>
        <v>0</v>
      </c>
      <c r="J709" s="86">
        <v>100</v>
      </c>
      <c r="K709" s="86">
        <v>300</v>
      </c>
      <c r="L709" s="83">
        <f t="shared" si="105"/>
        <v>1150</v>
      </c>
      <c r="M709" s="94">
        <v>600</v>
      </c>
      <c r="N709" s="83">
        <f>100</f>
        <v>100</v>
      </c>
      <c r="O709" s="86">
        <v>240</v>
      </c>
      <c r="P709" s="86">
        <v>40</v>
      </c>
      <c r="Q709" s="86">
        <f t="shared" si="106"/>
        <v>315</v>
      </c>
      <c r="R709" s="86">
        <f t="shared" si="107"/>
        <v>100</v>
      </c>
      <c r="S709" s="83">
        <f t="shared" si="108"/>
        <v>695</v>
      </c>
      <c r="T709" s="83">
        <f>50</f>
        <v>50</v>
      </c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</row>
    <row r="710" spans="1:30" ht="15.75" x14ac:dyDescent="0.25">
      <c r="A710" s="32">
        <v>62548</v>
      </c>
      <c r="B710" s="95">
        <f t="shared" si="110"/>
        <v>31</v>
      </c>
      <c r="C710" s="83">
        <f>122.58</f>
        <v>122.58</v>
      </c>
      <c r="D710" s="83">
        <f>297.941</f>
        <v>297.94099999999997</v>
      </c>
      <c r="E710" s="92">
        <f>89.177</f>
        <v>89.177000000000007</v>
      </c>
      <c r="F710" s="83">
        <f>240.302-40-60-100</f>
        <v>40.301999999999992</v>
      </c>
      <c r="G710" s="86">
        <v>40</v>
      </c>
      <c r="H710" s="83">
        <f>60+100</f>
        <v>160</v>
      </c>
      <c r="I710" s="83">
        <f t="shared" si="113"/>
        <v>0</v>
      </c>
      <c r="J710" s="86">
        <v>100</v>
      </c>
      <c r="K710" s="86">
        <v>300</v>
      </c>
      <c r="L710" s="83">
        <f t="shared" si="105"/>
        <v>1150</v>
      </c>
      <c r="M710" s="94">
        <v>600</v>
      </c>
      <c r="N710" s="83">
        <f>100</f>
        <v>100</v>
      </c>
      <c r="O710" s="86">
        <v>240</v>
      </c>
      <c r="P710" s="86">
        <v>40</v>
      </c>
      <c r="Q710" s="86">
        <f t="shared" si="106"/>
        <v>315</v>
      </c>
      <c r="R710" s="86">
        <f t="shared" si="107"/>
        <v>100</v>
      </c>
      <c r="S710" s="83">
        <f t="shared" si="108"/>
        <v>695</v>
      </c>
      <c r="T710" s="83">
        <f>50</f>
        <v>50</v>
      </c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</row>
    <row r="711" spans="1:30" ht="15.75" x14ac:dyDescent="0.25">
      <c r="A711" s="32">
        <v>62578</v>
      </c>
      <c r="B711" s="95">
        <f t="shared" si="110"/>
        <v>30</v>
      </c>
      <c r="C711" s="83">
        <f>141.293</f>
        <v>141.29300000000001</v>
      </c>
      <c r="D711" s="83">
        <f>267.993</f>
        <v>267.99299999999999</v>
      </c>
      <c r="E711" s="92">
        <f>115.016</f>
        <v>115.01600000000001</v>
      </c>
      <c r="F711" s="83">
        <f>314.698-40-25-60-100</f>
        <v>89.697999999999979</v>
      </c>
      <c r="G711" s="86">
        <v>40</v>
      </c>
      <c r="H711" s="83">
        <f t="shared" ref="H711:H717" si="115">25+60+100</f>
        <v>185</v>
      </c>
      <c r="I711" s="83">
        <f t="shared" si="113"/>
        <v>0</v>
      </c>
      <c r="J711" s="86">
        <v>100</v>
      </c>
      <c r="K711" s="86">
        <v>300</v>
      </c>
      <c r="L711" s="83">
        <f t="shared" si="105"/>
        <v>1239</v>
      </c>
      <c r="M711" s="94">
        <v>600</v>
      </c>
      <c r="N711" s="83">
        <f>100</f>
        <v>100</v>
      </c>
      <c r="O711" s="86">
        <v>240</v>
      </c>
      <c r="P711" s="86">
        <v>40</v>
      </c>
      <c r="Q711" s="86">
        <f t="shared" si="106"/>
        <v>315</v>
      </c>
      <c r="R711" s="86">
        <f t="shared" si="107"/>
        <v>100</v>
      </c>
      <c r="S711" s="83">
        <f t="shared" si="108"/>
        <v>695</v>
      </c>
      <c r="T711" s="83">
        <f>50</f>
        <v>50</v>
      </c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</row>
    <row r="712" spans="1:30" ht="15.75" x14ac:dyDescent="0.25">
      <c r="A712" s="32">
        <v>62609</v>
      </c>
      <c r="B712" s="95">
        <f t="shared" si="110"/>
        <v>31</v>
      </c>
      <c r="C712" s="83">
        <f>194.205</f>
        <v>194.20500000000001</v>
      </c>
      <c r="D712" s="83">
        <f>267.466</f>
        <v>267.46600000000001</v>
      </c>
      <c r="E712" s="92">
        <f>133.845</f>
        <v>133.845</v>
      </c>
      <c r="F712" s="83">
        <f>278.484-40-25-60-100</f>
        <v>53.48399999999998</v>
      </c>
      <c r="G712" s="86">
        <v>40</v>
      </c>
      <c r="H712" s="83">
        <f t="shared" si="115"/>
        <v>185</v>
      </c>
      <c r="I712" s="83">
        <f t="shared" si="113"/>
        <v>0</v>
      </c>
      <c r="J712" s="86">
        <v>100</v>
      </c>
      <c r="K712" s="86">
        <v>300</v>
      </c>
      <c r="L712" s="83">
        <f t="shared" si="105"/>
        <v>1274</v>
      </c>
      <c r="M712" s="94">
        <v>600</v>
      </c>
      <c r="N712" s="83">
        <f>75</f>
        <v>75</v>
      </c>
      <c r="O712" s="86">
        <v>240</v>
      </c>
      <c r="P712" s="86">
        <v>40</v>
      </c>
      <c r="Q712" s="86">
        <f t="shared" si="106"/>
        <v>315</v>
      </c>
      <c r="R712" s="86">
        <f t="shared" si="107"/>
        <v>100</v>
      </c>
      <c r="S712" s="83">
        <f t="shared" si="108"/>
        <v>695</v>
      </c>
      <c r="T712" s="83">
        <f>50</f>
        <v>50</v>
      </c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</row>
    <row r="713" spans="1:30" ht="15.75" x14ac:dyDescent="0.25">
      <c r="A713" s="32">
        <v>62639</v>
      </c>
      <c r="B713" s="95">
        <f t="shared" si="110"/>
        <v>30</v>
      </c>
      <c r="C713" s="83">
        <f>194.205</f>
        <v>194.20500000000001</v>
      </c>
      <c r="D713" s="83">
        <f>267.466</f>
        <v>267.46600000000001</v>
      </c>
      <c r="E713" s="92">
        <f>133.845</f>
        <v>133.845</v>
      </c>
      <c r="F713" s="83">
        <f>278.484-40-25-60-100</f>
        <v>53.48399999999998</v>
      </c>
      <c r="G713" s="86">
        <v>40</v>
      </c>
      <c r="H713" s="83">
        <f t="shared" si="115"/>
        <v>185</v>
      </c>
      <c r="I713" s="83">
        <f t="shared" si="113"/>
        <v>0</v>
      </c>
      <c r="J713" s="86">
        <v>100</v>
      </c>
      <c r="K713" s="86">
        <v>300</v>
      </c>
      <c r="L713" s="83">
        <f t="shared" si="105"/>
        <v>1274</v>
      </c>
      <c r="M713" s="94">
        <v>600</v>
      </c>
      <c r="N713" s="83">
        <f>30</f>
        <v>30</v>
      </c>
      <c r="O713" s="86">
        <v>240</v>
      </c>
      <c r="P713" s="86">
        <v>40</v>
      </c>
      <c r="Q713" s="86">
        <f t="shared" si="106"/>
        <v>315</v>
      </c>
      <c r="R713" s="86">
        <f t="shared" si="107"/>
        <v>100</v>
      </c>
      <c r="S713" s="83">
        <f t="shared" si="108"/>
        <v>695</v>
      </c>
      <c r="T713" s="83">
        <f>50</f>
        <v>50</v>
      </c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</row>
    <row r="714" spans="1:30" ht="15.75" x14ac:dyDescent="0.25">
      <c r="A714" s="32">
        <v>62670</v>
      </c>
      <c r="B714" s="95">
        <f t="shared" si="110"/>
        <v>31</v>
      </c>
      <c r="C714" s="83">
        <f>194.205</f>
        <v>194.20500000000001</v>
      </c>
      <c r="D714" s="83">
        <f>267.466</f>
        <v>267.46600000000001</v>
      </c>
      <c r="E714" s="92">
        <f>133.845</f>
        <v>133.845</v>
      </c>
      <c r="F714" s="83">
        <f>278.484-40-25-60-100</f>
        <v>53.48399999999998</v>
      </c>
      <c r="G714" s="86">
        <v>40</v>
      </c>
      <c r="H714" s="83">
        <f t="shared" si="115"/>
        <v>185</v>
      </c>
      <c r="I714" s="83">
        <f t="shared" si="113"/>
        <v>0</v>
      </c>
      <c r="J714" s="86">
        <v>100</v>
      </c>
      <c r="K714" s="86">
        <v>300</v>
      </c>
      <c r="L714" s="83">
        <f t="shared" si="105"/>
        <v>1274</v>
      </c>
      <c r="M714" s="94">
        <v>600</v>
      </c>
      <c r="N714" s="83">
        <f>30</f>
        <v>30</v>
      </c>
      <c r="O714" s="86">
        <v>240</v>
      </c>
      <c r="P714" s="86">
        <v>40</v>
      </c>
      <c r="Q714" s="86">
        <f t="shared" si="106"/>
        <v>315</v>
      </c>
      <c r="R714" s="86">
        <f t="shared" si="107"/>
        <v>100</v>
      </c>
      <c r="S714" s="83">
        <f t="shared" si="108"/>
        <v>695</v>
      </c>
      <c r="T714" s="83">
        <f>0</f>
        <v>0</v>
      </c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</row>
    <row r="715" spans="1:30" ht="15.75" x14ac:dyDescent="0.25">
      <c r="A715" s="32">
        <v>62701</v>
      </c>
      <c r="B715" s="95">
        <f t="shared" si="110"/>
        <v>31</v>
      </c>
      <c r="C715" s="83">
        <f>194.205</f>
        <v>194.20500000000001</v>
      </c>
      <c r="D715" s="83">
        <f>267.466</f>
        <v>267.46600000000001</v>
      </c>
      <c r="E715" s="92">
        <f>133.845</f>
        <v>133.845</v>
      </c>
      <c r="F715" s="83">
        <f>278.484-40-25-60-100</f>
        <v>53.48399999999998</v>
      </c>
      <c r="G715" s="86">
        <v>40</v>
      </c>
      <c r="H715" s="83">
        <f t="shared" si="115"/>
        <v>185</v>
      </c>
      <c r="I715" s="83">
        <f t="shared" si="113"/>
        <v>0</v>
      </c>
      <c r="J715" s="86">
        <v>100</v>
      </c>
      <c r="K715" s="86">
        <v>300</v>
      </c>
      <c r="L715" s="83">
        <f t="shared" si="105"/>
        <v>1274</v>
      </c>
      <c r="M715" s="94">
        <v>600</v>
      </c>
      <c r="N715" s="83">
        <f>30</f>
        <v>30</v>
      </c>
      <c r="O715" s="86">
        <v>240</v>
      </c>
      <c r="P715" s="86">
        <v>40</v>
      </c>
      <c r="Q715" s="86">
        <f t="shared" si="106"/>
        <v>315</v>
      </c>
      <c r="R715" s="86">
        <f t="shared" si="107"/>
        <v>100</v>
      </c>
      <c r="S715" s="83">
        <f t="shared" si="108"/>
        <v>695</v>
      </c>
      <c r="T715" s="83">
        <f>0</f>
        <v>0</v>
      </c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</row>
    <row r="716" spans="1:30" ht="15.75" x14ac:dyDescent="0.25">
      <c r="A716" s="32">
        <v>62731</v>
      </c>
      <c r="B716" s="95">
        <f t="shared" si="110"/>
        <v>30</v>
      </c>
      <c r="C716" s="83">
        <f>194.205</f>
        <v>194.20500000000001</v>
      </c>
      <c r="D716" s="83">
        <f>267.466</f>
        <v>267.46600000000001</v>
      </c>
      <c r="E716" s="92">
        <f>133.845</f>
        <v>133.845</v>
      </c>
      <c r="F716" s="83">
        <f>278.484-40-25-60-100</f>
        <v>53.48399999999998</v>
      </c>
      <c r="G716" s="86">
        <v>40</v>
      </c>
      <c r="H716" s="83">
        <f t="shared" si="115"/>
        <v>185</v>
      </c>
      <c r="I716" s="83">
        <f t="shared" si="113"/>
        <v>0</v>
      </c>
      <c r="J716" s="86">
        <v>100</v>
      </c>
      <c r="K716" s="86">
        <v>300</v>
      </c>
      <c r="L716" s="83">
        <f t="shared" si="105"/>
        <v>1274</v>
      </c>
      <c r="M716" s="94">
        <v>600</v>
      </c>
      <c r="N716" s="83">
        <f>30</f>
        <v>30</v>
      </c>
      <c r="O716" s="86">
        <v>240</v>
      </c>
      <c r="P716" s="86">
        <v>40</v>
      </c>
      <c r="Q716" s="86">
        <f t="shared" si="106"/>
        <v>315</v>
      </c>
      <c r="R716" s="86">
        <f t="shared" si="107"/>
        <v>100</v>
      </c>
      <c r="S716" s="83">
        <f t="shared" si="108"/>
        <v>695</v>
      </c>
      <c r="T716" s="83">
        <f>0</f>
        <v>0</v>
      </c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</row>
    <row r="717" spans="1:30" ht="15.75" x14ac:dyDescent="0.25">
      <c r="A717" s="32">
        <v>62762</v>
      </c>
      <c r="B717" s="95">
        <f t="shared" si="110"/>
        <v>31</v>
      </c>
      <c r="C717" s="83">
        <f>131.881</f>
        <v>131.881</v>
      </c>
      <c r="D717" s="83">
        <f>277.167</f>
        <v>277.16699999999997</v>
      </c>
      <c r="E717" s="92">
        <f>79.08</f>
        <v>79.08</v>
      </c>
      <c r="F717" s="83">
        <f>350.872-40-25-60-100</f>
        <v>125.87200000000001</v>
      </c>
      <c r="G717" s="86">
        <v>40</v>
      </c>
      <c r="H717" s="83">
        <f t="shared" si="115"/>
        <v>185</v>
      </c>
      <c r="I717" s="83">
        <f t="shared" si="113"/>
        <v>0</v>
      </c>
      <c r="J717" s="86">
        <v>100</v>
      </c>
      <c r="K717" s="86">
        <v>300</v>
      </c>
      <c r="L717" s="83">
        <f t="shared" si="105"/>
        <v>1239</v>
      </c>
      <c r="M717" s="94">
        <v>600</v>
      </c>
      <c r="N717" s="83">
        <f>75</f>
        <v>75</v>
      </c>
      <c r="O717" s="86">
        <v>240</v>
      </c>
      <c r="P717" s="86">
        <v>40</v>
      </c>
      <c r="Q717" s="86">
        <f t="shared" si="106"/>
        <v>315</v>
      </c>
      <c r="R717" s="86">
        <f t="shared" si="107"/>
        <v>100</v>
      </c>
      <c r="S717" s="83">
        <f t="shared" si="108"/>
        <v>695</v>
      </c>
      <c r="T717" s="83">
        <f>0</f>
        <v>0</v>
      </c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</row>
    <row r="718" spans="1:30" ht="15.75" x14ac:dyDescent="0.25">
      <c r="A718" s="32">
        <v>62792</v>
      </c>
      <c r="B718" s="95">
        <f t="shared" si="110"/>
        <v>30</v>
      </c>
      <c r="C718" s="83">
        <f>122.58</f>
        <v>122.58</v>
      </c>
      <c r="D718" s="83">
        <f>297.941</f>
        <v>297.94099999999997</v>
      </c>
      <c r="E718" s="92">
        <f>89.177</f>
        <v>89.177000000000007</v>
      </c>
      <c r="F718" s="83">
        <f>240.302-40-60-100</f>
        <v>40.301999999999992</v>
      </c>
      <c r="G718" s="86">
        <v>40</v>
      </c>
      <c r="H718" s="83">
        <f>60+100</f>
        <v>160</v>
      </c>
      <c r="I718" s="83">
        <f t="shared" si="113"/>
        <v>0</v>
      </c>
      <c r="J718" s="86">
        <v>100</v>
      </c>
      <c r="K718" s="86">
        <v>300</v>
      </c>
      <c r="L718" s="83">
        <f t="shared" si="105"/>
        <v>1150</v>
      </c>
      <c r="M718" s="94">
        <v>600</v>
      </c>
      <c r="N718" s="83">
        <f>100</f>
        <v>100</v>
      </c>
      <c r="O718" s="86">
        <v>240</v>
      </c>
      <c r="P718" s="86">
        <v>40</v>
      </c>
      <c r="Q718" s="86">
        <f t="shared" si="106"/>
        <v>315</v>
      </c>
      <c r="R718" s="86">
        <f t="shared" si="107"/>
        <v>100</v>
      </c>
      <c r="S718" s="83">
        <f t="shared" si="108"/>
        <v>695</v>
      </c>
      <c r="T718" s="83">
        <f>50</f>
        <v>50</v>
      </c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</row>
    <row r="719" spans="1:30" ht="15.75" x14ac:dyDescent="0.25">
      <c r="A719" s="32">
        <v>62823</v>
      </c>
      <c r="B719" s="95">
        <f t="shared" si="110"/>
        <v>31</v>
      </c>
      <c r="C719" s="83">
        <f>122.58</f>
        <v>122.58</v>
      </c>
      <c r="D719" s="83">
        <f>297.941</f>
        <v>297.94099999999997</v>
      </c>
      <c r="E719" s="92">
        <f>89.177</f>
        <v>89.177000000000007</v>
      </c>
      <c r="F719" s="83">
        <f>240.302-40-60-100</f>
        <v>40.301999999999992</v>
      </c>
      <c r="G719" s="86">
        <v>40</v>
      </c>
      <c r="H719" s="83">
        <f>60+100</f>
        <v>160</v>
      </c>
      <c r="I719" s="83">
        <f t="shared" si="113"/>
        <v>0</v>
      </c>
      <c r="J719" s="86">
        <v>100</v>
      </c>
      <c r="K719" s="86">
        <v>300</v>
      </c>
      <c r="L719" s="83">
        <f t="shared" si="105"/>
        <v>1150</v>
      </c>
      <c r="M719" s="94">
        <v>600</v>
      </c>
      <c r="N719" s="83">
        <f>100</f>
        <v>100</v>
      </c>
      <c r="O719" s="86">
        <v>240</v>
      </c>
      <c r="P719" s="86">
        <v>40</v>
      </c>
      <c r="Q719" s="86">
        <f t="shared" si="106"/>
        <v>315</v>
      </c>
      <c r="R719" s="86">
        <f t="shared" si="107"/>
        <v>100</v>
      </c>
      <c r="S719" s="83">
        <f t="shared" si="108"/>
        <v>695</v>
      </c>
      <c r="T719" s="83">
        <f>50</f>
        <v>50</v>
      </c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</row>
    <row r="720" spans="1:30" ht="15.75" x14ac:dyDescent="0.25">
      <c r="A720" s="32">
        <v>62854</v>
      </c>
      <c r="B720" s="95">
        <f t="shared" si="110"/>
        <v>31</v>
      </c>
      <c r="C720" s="83">
        <f>122.58</f>
        <v>122.58</v>
      </c>
      <c r="D720" s="83">
        <f>297.941</f>
        <v>297.94099999999997</v>
      </c>
      <c r="E720" s="92">
        <f>89.177</f>
        <v>89.177000000000007</v>
      </c>
      <c r="F720" s="83">
        <f>240.302-40-60-100</f>
        <v>40.301999999999992</v>
      </c>
      <c r="G720" s="86">
        <v>40</v>
      </c>
      <c r="H720" s="83">
        <f>60+100</f>
        <v>160</v>
      </c>
      <c r="I720" s="83">
        <f t="shared" si="113"/>
        <v>0</v>
      </c>
      <c r="J720" s="86">
        <v>100</v>
      </c>
      <c r="K720" s="86">
        <v>300</v>
      </c>
      <c r="L720" s="83">
        <f t="shared" si="105"/>
        <v>1150</v>
      </c>
      <c r="M720" s="94">
        <v>600</v>
      </c>
      <c r="N720" s="83">
        <f>100</f>
        <v>100</v>
      </c>
      <c r="O720" s="86">
        <v>240</v>
      </c>
      <c r="P720" s="86">
        <v>40</v>
      </c>
      <c r="Q720" s="86">
        <f t="shared" si="106"/>
        <v>315</v>
      </c>
      <c r="R720" s="86">
        <f t="shared" si="107"/>
        <v>100</v>
      </c>
      <c r="S720" s="83">
        <f t="shared" si="108"/>
        <v>695</v>
      </c>
      <c r="T720" s="83">
        <f>50</f>
        <v>50</v>
      </c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</row>
    <row r="721" spans="1:30" ht="15.75" x14ac:dyDescent="0.25">
      <c r="A721" s="32">
        <v>62883</v>
      </c>
      <c r="B721" s="95">
        <f t="shared" si="110"/>
        <v>29</v>
      </c>
      <c r="C721" s="83">
        <f>122.58</f>
        <v>122.58</v>
      </c>
      <c r="D721" s="83">
        <f>297.941</f>
        <v>297.94099999999997</v>
      </c>
      <c r="E721" s="92">
        <f>89.177</f>
        <v>89.177000000000007</v>
      </c>
      <c r="F721" s="83">
        <f>240.302-40-60-100</f>
        <v>40.301999999999992</v>
      </c>
      <c r="G721" s="86">
        <v>40</v>
      </c>
      <c r="H721" s="83">
        <f>60+100</f>
        <v>160</v>
      </c>
      <c r="I721" s="83">
        <f t="shared" si="113"/>
        <v>0</v>
      </c>
      <c r="J721" s="86">
        <v>100</v>
      </c>
      <c r="K721" s="86">
        <v>300</v>
      </c>
      <c r="L721" s="83">
        <f t="shared" si="105"/>
        <v>1150</v>
      </c>
      <c r="M721" s="94">
        <v>600</v>
      </c>
      <c r="N721" s="83">
        <f>100</f>
        <v>100</v>
      </c>
      <c r="O721" s="86">
        <v>240</v>
      </c>
      <c r="P721" s="86">
        <v>40</v>
      </c>
      <c r="Q721" s="86">
        <f t="shared" si="106"/>
        <v>315</v>
      </c>
      <c r="R721" s="86">
        <f t="shared" si="107"/>
        <v>100</v>
      </c>
      <c r="S721" s="83">
        <f t="shared" si="108"/>
        <v>695</v>
      </c>
      <c r="T721" s="83">
        <f>50</f>
        <v>50</v>
      </c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</row>
    <row r="722" spans="1:30" ht="15.75" x14ac:dyDescent="0.25">
      <c r="A722" s="32">
        <v>62914</v>
      </c>
      <c r="B722" s="95">
        <f t="shared" si="110"/>
        <v>31</v>
      </c>
      <c r="C722" s="83">
        <f>122.58</f>
        <v>122.58</v>
      </c>
      <c r="D722" s="83">
        <f>297.941</f>
        <v>297.94099999999997</v>
      </c>
      <c r="E722" s="92">
        <f>89.177</f>
        <v>89.177000000000007</v>
      </c>
      <c r="F722" s="83">
        <f>240.302-40-60-100</f>
        <v>40.301999999999992</v>
      </c>
      <c r="G722" s="86">
        <v>40</v>
      </c>
      <c r="H722" s="83">
        <f>60+100</f>
        <v>160</v>
      </c>
      <c r="I722" s="83">
        <f t="shared" si="113"/>
        <v>0</v>
      </c>
      <c r="J722" s="86">
        <v>100</v>
      </c>
      <c r="K722" s="86">
        <v>300</v>
      </c>
      <c r="L722" s="83">
        <f t="shared" si="105"/>
        <v>1150</v>
      </c>
      <c r="M722" s="94">
        <v>600</v>
      </c>
      <c r="N722" s="83">
        <f>100</f>
        <v>100</v>
      </c>
      <c r="O722" s="86">
        <v>240</v>
      </c>
      <c r="P722" s="86">
        <v>40</v>
      </c>
      <c r="Q722" s="86">
        <f t="shared" si="106"/>
        <v>315</v>
      </c>
      <c r="R722" s="86">
        <f t="shared" si="107"/>
        <v>100</v>
      </c>
      <c r="S722" s="83">
        <f t="shared" si="108"/>
        <v>695</v>
      </c>
      <c r="T722" s="83">
        <f>50</f>
        <v>50</v>
      </c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</row>
    <row r="723" spans="1:30" ht="15.75" x14ac:dyDescent="0.25">
      <c r="A723" s="32">
        <v>62944</v>
      </c>
      <c r="B723" s="95">
        <f t="shared" si="110"/>
        <v>30</v>
      </c>
      <c r="C723" s="83">
        <f>141.293</f>
        <v>141.29300000000001</v>
      </c>
      <c r="D723" s="83">
        <f>267.993</f>
        <v>267.99299999999999</v>
      </c>
      <c r="E723" s="92">
        <f>115.016</f>
        <v>115.01600000000001</v>
      </c>
      <c r="F723" s="83">
        <f>314.698-40-25-60-100</f>
        <v>89.697999999999979</v>
      </c>
      <c r="G723" s="86">
        <v>40</v>
      </c>
      <c r="H723" s="83">
        <f t="shared" ref="H723:H729" si="116">25+60+100</f>
        <v>185</v>
      </c>
      <c r="I723" s="83">
        <f t="shared" si="113"/>
        <v>0</v>
      </c>
      <c r="J723" s="86">
        <v>100</v>
      </c>
      <c r="K723" s="86">
        <v>300</v>
      </c>
      <c r="L723" s="83">
        <f t="shared" si="105"/>
        <v>1239</v>
      </c>
      <c r="M723" s="94">
        <v>600</v>
      </c>
      <c r="N723" s="83">
        <f>100</f>
        <v>100</v>
      </c>
      <c r="O723" s="86">
        <v>240</v>
      </c>
      <c r="P723" s="86">
        <v>40</v>
      </c>
      <c r="Q723" s="86">
        <f t="shared" si="106"/>
        <v>315</v>
      </c>
      <c r="R723" s="86">
        <f t="shared" si="107"/>
        <v>100</v>
      </c>
      <c r="S723" s="83">
        <f t="shared" si="108"/>
        <v>695</v>
      </c>
      <c r="T723" s="83">
        <f>50</f>
        <v>50</v>
      </c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</row>
    <row r="724" spans="1:30" ht="15.75" x14ac:dyDescent="0.25">
      <c r="A724" s="32">
        <v>62975</v>
      </c>
      <c r="B724" s="95">
        <f t="shared" si="110"/>
        <v>31</v>
      </c>
      <c r="C724" s="83">
        <f>194.205</f>
        <v>194.20500000000001</v>
      </c>
      <c r="D724" s="83">
        <f>267.466</f>
        <v>267.46600000000001</v>
      </c>
      <c r="E724" s="92">
        <f>133.845</f>
        <v>133.845</v>
      </c>
      <c r="F724" s="83">
        <f>278.484-40-25-60-100</f>
        <v>53.48399999999998</v>
      </c>
      <c r="G724" s="86">
        <v>40</v>
      </c>
      <c r="H724" s="83">
        <f t="shared" si="116"/>
        <v>185</v>
      </c>
      <c r="I724" s="83">
        <f t="shared" si="113"/>
        <v>0</v>
      </c>
      <c r="J724" s="86">
        <v>100</v>
      </c>
      <c r="K724" s="86">
        <v>300</v>
      </c>
      <c r="L724" s="83">
        <f t="shared" si="105"/>
        <v>1274</v>
      </c>
      <c r="M724" s="94">
        <v>600</v>
      </c>
      <c r="N724" s="83">
        <f>75</f>
        <v>75</v>
      </c>
      <c r="O724" s="86">
        <v>240</v>
      </c>
      <c r="P724" s="86">
        <v>40</v>
      </c>
      <c r="Q724" s="86">
        <f t="shared" si="106"/>
        <v>315</v>
      </c>
      <c r="R724" s="86">
        <f t="shared" si="107"/>
        <v>100</v>
      </c>
      <c r="S724" s="83">
        <f t="shared" si="108"/>
        <v>695</v>
      </c>
      <c r="T724" s="83">
        <f>50</f>
        <v>50</v>
      </c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</row>
    <row r="725" spans="1:30" ht="15.75" x14ac:dyDescent="0.25">
      <c r="A725" s="32">
        <v>63005</v>
      </c>
      <c r="B725" s="95">
        <f t="shared" si="110"/>
        <v>30</v>
      </c>
      <c r="C725" s="83">
        <f>194.205</f>
        <v>194.20500000000001</v>
      </c>
      <c r="D725" s="83">
        <f>267.466</f>
        <v>267.46600000000001</v>
      </c>
      <c r="E725" s="92">
        <f>133.845</f>
        <v>133.845</v>
      </c>
      <c r="F725" s="83">
        <f>278.484-40-25-60-100</f>
        <v>53.48399999999998</v>
      </c>
      <c r="G725" s="86">
        <v>40</v>
      </c>
      <c r="H725" s="83">
        <f t="shared" si="116"/>
        <v>185</v>
      </c>
      <c r="I725" s="83">
        <f t="shared" si="113"/>
        <v>0</v>
      </c>
      <c r="J725" s="86">
        <v>100</v>
      </c>
      <c r="K725" s="86">
        <v>300</v>
      </c>
      <c r="L725" s="83">
        <f t="shared" ref="L725:L788" si="117">SUM(C725:K725)</f>
        <v>1274</v>
      </c>
      <c r="M725" s="94">
        <v>600</v>
      </c>
      <c r="N725" s="83">
        <f>30</f>
        <v>30</v>
      </c>
      <c r="O725" s="86">
        <v>240</v>
      </c>
      <c r="P725" s="86">
        <v>40</v>
      </c>
      <c r="Q725" s="86">
        <f t="shared" ref="Q725:Q788" si="118">695-R725-O725-P725</f>
        <v>315</v>
      </c>
      <c r="R725" s="86">
        <f t="shared" ref="R725:R788" si="119">200-J725</f>
        <v>100</v>
      </c>
      <c r="S725" s="83">
        <f t="shared" ref="S725:S788" si="120">SUM(O725:R725)</f>
        <v>695</v>
      </c>
      <c r="T725" s="83">
        <f>50</f>
        <v>50</v>
      </c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</row>
    <row r="726" spans="1:30" ht="15.75" x14ac:dyDescent="0.25">
      <c r="A726" s="32">
        <v>63036</v>
      </c>
      <c r="B726" s="95">
        <f t="shared" si="110"/>
        <v>31</v>
      </c>
      <c r="C726" s="83">
        <f>194.205</f>
        <v>194.20500000000001</v>
      </c>
      <c r="D726" s="83">
        <f>267.466</f>
        <v>267.46600000000001</v>
      </c>
      <c r="E726" s="92">
        <f>133.845</f>
        <v>133.845</v>
      </c>
      <c r="F726" s="83">
        <f>278.484-40-25-60-100</f>
        <v>53.48399999999998</v>
      </c>
      <c r="G726" s="86">
        <v>40</v>
      </c>
      <c r="H726" s="83">
        <f t="shared" si="116"/>
        <v>185</v>
      </c>
      <c r="I726" s="83">
        <f t="shared" si="113"/>
        <v>0</v>
      </c>
      <c r="J726" s="86">
        <v>100</v>
      </c>
      <c r="K726" s="86">
        <v>300</v>
      </c>
      <c r="L726" s="83">
        <f t="shared" si="117"/>
        <v>1274</v>
      </c>
      <c r="M726" s="94">
        <v>600</v>
      </c>
      <c r="N726" s="83">
        <f>30</f>
        <v>30</v>
      </c>
      <c r="O726" s="86">
        <v>240</v>
      </c>
      <c r="P726" s="86">
        <v>40</v>
      </c>
      <c r="Q726" s="86">
        <f t="shared" si="118"/>
        <v>315</v>
      </c>
      <c r="R726" s="86">
        <f t="shared" si="119"/>
        <v>100</v>
      </c>
      <c r="S726" s="83">
        <f t="shared" si="120"/>
        <v>695</v>
      </c>
      <c r="T726" s="83">
        <f>0</f>
        <v>0</v>
      </c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</row>
    <row r="727" spans="1:30" ht="15.75" x14ac:dyDescent="0.25">
      <c r="A727" s="32">
        <v>63067</v>
      </c>
      <c r="B727" s="95">
        <f t="shared" si="110"/>
        <v>31</v>
      </c>
      <c r="C727" s="83">
        <f>194.205</f>
        <v>194.20500000000001</v>
      </c>
      <c r="D727" s="83">
        <f>267.466</f>
        <v>267.46600000000001</v>
      </c>
      <c r="E727" s="92">
        <f>133.845</f>
        <v>133.845</v>
      </c>
      <c r="F727" s="83">
        <f>278.484-40-25-60-100</f>
        <v>53.48399999999998</v>
      </c>
      <c r="G727" s="86">
        <v>40</v>
      </c>
      <c r="H727" s="83">
        <f t="shared" si="116"/>
        <v>185</v>
      </c>
      <c r="I727" s="83">
        <f t="shared" si="113"/>
        <v>0</v>
      </c>
      <c r="J727" s="86">
        <v>100</v>
      </c>
      <c r="K727" s="86">
        <v>300</v>
      </c>
      <c r="L727" s="83">
        <f t="shared" si="117"/>
        <v>1274</v>
      </c>
      <c r="M727" s="94">
        <v>600</v>
      </c>
      <c r="N727" s="83">
        <f>30</f>
        <v>30</v>
      </c>
      <c r="O727" s="86">
        <v>240</v>
      </c>
      <c r="P727" s="86">
        <v>40</v>
      </c>
      <c r="Q727" s="86">
        <f t="shared" si="118"/>
        <v>315</v>
      </c>
      <c r="R727" s="86">
        <f t="shared" si="119"/>
        <v>100</v>
      </c>
      <c r="S727" s="83">
        <f t="shared" si="120"/>
        <v>695</v>
      </c>
      <c r="T727" s="83">
        <f>0</f>
        <v>0</v>
      </c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</row>
    <row r="728" spans="1:30" ht="15.75" x14ac:dyDescent="0.25">
      <c r="A728" s="32">
        <v>63097</v>
      </c>
      <c r="B728" s="95">
        <f t="shared" ref="B728:B791" si="121">EOMONTH(A728,0)-EOMONTH(A728,-1)</f>
        <v>30</v>
      </c>
      <c r="C728" s="83">
        <f>194.205</f>
        <v>194.20500000000001</v>
      </c>
      <c r="D728" s="83">
        <f>267.466</f>
        <v>267.46600000000001</v>
      </c>
      <c r="E728" s="92">
        <f>133.845</f>
        <v>133.845</v>
      </c>
      <c r="F728" s="83">
        <f>278.484-40-25-60-100</f>
        <v>53.48399999999998</v>
      </c>
      <c r="G728" s="86">
        <v>40</v>
      </c>
      <c r="H728" s="83">
        <f t="shared" si="116"/>
        <v>185</v>
      </c>
      <c r="I728" s="83">
        <f t="shared" si="113"/>
        <v>0</v>
      </c>
      <c r="J728" s="86">
        <v>100</v>
      </c>
      <c r="K728" s="86">
        <v>300</v>
      </c>
      <c r="L728" s="83">
        <f t="shared" si="117"/>
        <v>1274</v>
      </c>
      <c r="M728" s="94">
        <v>600</v>
      </c>
      <c r="N728" s="83">
        <f>30</f>
        <v>30</v>
      </c>
      <c r="O728" s="86">
        <v>240</v>
      </c>
      <c r="P728" s="86">
        <v>40</v>
      </c>
      <c r="Q728" s="86">
        <f t="shared" si="118"/>
        <v>315</v>
      </c>
      <c r="R728" s="86">
        <f t="shared" si="119"/>
        <v>100</v>
      </c>
      <c r="S728" s="83">
        <f t="shared" si="120"/>
        <v>695</v>
      </c>
      <c r="T728" s="83">
        <f>0</f>
        <v>0</v>
      </c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</row>
    <row r="729" spans="1:30" ht="15.75" x14ac:dyDescent="0.25">
      <c r="A729" s="32">
        <v>63128</v>
      </c>
      <c r="B729" s="95">
        <f t="shared" si="121"/>
        <v>31</v>
      </c>
      <c r="C729" s="83">
        <f>131.881</f>
        <v>131.881</v>
      </c>
      <c r="D729" s="83">
        <f>277.167</f>
        <v>277.16699999999997</v>
      </c>
      <c r="E729" s="92">
        <f>79.08</f>
        <v>79.08</v>
      </c>
      <c r="F729" s="83">
        <f>350.872-40-25-60-100</f>
        <v>125.87200000000001</v>
      </c>
      <c r="G729" s="86">
        <v>40</v>
      </c>
      <c r="H729" s="83">
        <f t="shared" si="116"/>
        <v>185</v>
      </c>
      <c r="I729" s="83">
        <f t="shared" si="113"/>
        <v>0</v>
      </c>
      <c r="J729" s="86">
        <v>100</v>
      </c>
      <c r="K729" s="86">
        <v>300</v>
      </c>
      <c r="L729" s="83">
        <f t="shared" si="117"/>
        <v>1239</v>
      </c>
      <c r="M729" s="94">
        <v>600</v>
      </c>
      <c r="N729" s="83">
        <f>75</f>
        <v>75</v>
      </c>
      <c r="O729" s="86">
        <v>240</v>
      </c>
      <c r="P729" s="86">
        <v>40</v>
      </c>
      <c r="Q729" s="86">
        <f t="shared" si="118"/>
        <v>315</v>
      </c>
      <c r="R729" s="86">
        <f t="shared" si="119"/>
        <v>100</v>
      </c>
      <c r="S729" s="83">
        <f t="shared" si="120"/>
        <v>695</v>
      </c>
      <c r="T729" s="83">
        <f>0</f>
        <v>0</v>
      </c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</row>
    <row r="730" spans="1:30" ht="15.75" x14ac:dyDescent="0.25">
      <c r="A730" s="32">
        <v>63158</v>
      </c>
      <c r="B730" s="95">
        <f t="shared" si="121"/>
        <v>30</v>
      </c>
      <c r="C730" s="83">
        <f>122.58</f>
        <v>122.58</v>
      </c>
      <c r="D730" s="83">
        <f>297.941</f>
        <v>297.94099999999997</v>
      </c>
      <c r="E730" s="92">
        <f>89.177</f>
        <v>89.177000000000007</v>
      </c>
      <c r="F730" s="83">
        <f>240.302-40-60-100</f>
        <v>40.301999999999992</v>
      </c>
      <c r="G730" s="86">
        <v>40</v>
      </c>
      <c r="H730" s="83">
        <f>60+100</f>
        <v>160</v>
      </c>
      <c r="I730" s="83">
        <f t="shared" si="113"/>
        <v>0</v>
      </c>
      <c r="J730" s="86">
        <v>100</v>
      </c>
      <c r="K730" s="86">
        <v>300</v>
      </c>
      <c r="L730" s="83">
        <f t="shared" si="117"/>
        <v>1150</v>
      </c>
      <c r="M730" s="94">
        <v>600</v>
      </c>
      <c r="N730" s="83">
        <f>100</f>
        <v>100</v>
      </c>
      <c r="O730" s="86">
        <v>240</v>
      </c>
      <c r="P730" s="86">
        <v>40</v>
      </c>
      <c r="Q730" s="86">
        <f t="shared" si="118"/>
        <v>315</v>
      </c>
      <c r="R730" s="86">
        <f t="shared" si="119"/>
        <v>100</v>
      </c>
      <c r="S730" s="83">
        <f t="shared" si="120"/>
        <v>695</v>
      </c>
      <c r="T730" s="83">
        <f>50</f>
        <v>50</v>
      </c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</row>
    <row r="731" spans="1:30" ht="15.75" x14ac:dyDescent="0.25">
      <c r="A731" s="32">
        <v>63189</v>
      </c>
      <c r="B731" s="95">
        <f t="shared" si="121"/>
        <v>31</v>
      </c>
      <c r="C731" s="83">
        <f>122.58</f>
        <v>122.58</v>
      </c>
      <c r="D731" s="83">
        <f>297.941</f>
        <v>297.94099999999997</v>
      </c>
      <c r="E731" s="92">
        <f>89.177</f>
        <v>89.177000000000007</v>
      </c>
      <c r="F731" s="83">
        <f>240.302-40-60-100</f>
        <v>40.301999999999992</v>
      </c>
      <c r="G731" s="86">
        <v>40</v>
      </c>
      <c r="H731" s="83">
        <f>60+100</f>
        <v>160</v>
      </c>
      <c r="I731" s="83">
        <f t="shared" si="113"/>
        <v>0</v>
      </c>
      <c r="J731" s="86">
        <v>100</v>
      </c>
      <c r="K731" s="86">
        <v>300</v>
      </c>
      <c r="L731" s="83">
        <f t="shared" si="117"/>
        <v>1150</v>
      </c>
      <c r="M731" s="94">
        <v>600</v>
      </c>
      <c r="N731" s="83">
        <f>100</f>
        <v>100</v>
      </c>
      <c r="O731" s="86">
        <v>240</v>
      </c>
      <c r="P731" s="86">
        <v>40</v>
      </c>
      <c r="Q731" s="86">
        <f t="shared" si="118"/>
        <v>315</v>
      </c>
      <c r="R731" s="86">
        <f t="shared" si="119"/>
        <v>100</v>
      </c>
      <c r="S731" s="83">
        <f t="shared" si="120"/>
        <v>695</v>
      </c>
      <c r="T731" s="83">
        <f>50</f>
        <v>50</v>
      </c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</row>
    <row r="732" spans="1:30" ht="15.75" x14ac:dyDescent="0.25">
      <c r="A732" s="32">
        <v>63220</v>
      </c>
      <c r="B732" s="95">
        <f t="shared" si="121"/>
        <v>31</v>
      </c>
      <c r="C732" s="83">
        <f>122.58</f>
        <v>122.58</v>
      </c>
      <c r="D732" s="83">
        <f>297.941</f>
        <v>297.94099999999997</v>
      </c>
      <c r="E732" s="92">
        <f>89.177</f>
        <v>89.177000000000007</v>
      </c>
      <c r="F732" s="83">
        <f>240.302-40-60-100</f>
        <v>40.301999999999992</v>
      </c>
      <c r="G732" s="86">
        <v>40</v>
      </c>
      <c r="H732" s="83">
        <f>60+100</f>
        <v>160</v>
      </c>
      <c r="I732" s="83">
        <f t="shared" si="113"/>
        <v>0</v>
      </c>
      <c r="J732" s="86">
        <v>100</v>
      </c>
      <c r="K732" s="86">
        <v>300</v>
      </c>
      <c r="L732" s="83">
        <f t="shared" si="117"/>
        <v>1150</v>
      </c>
      <c r="M732" s="94">
        <v>600</v>
      </c>
      <c r="N732" s="83">
        <f>100</f>
        <v>100</v>
      </c>
      <c r="O732" s="86">
        <v>240</v>
      </c>
      <c r="P732" s="86">
        <v>40</v>
      </c>
      <c r="Q732" s="86">
        <f t="shared" si="118"/>
        <v>315</v>
      </c>
      <c r="R732" s="86">
        <f t="shared" si="119"/>
        <v>100</v>
      </c>
      <c r="S732" s="83">
        <f t="shared" si="120"/>
        <v>695</v>
      </c>
      <c r="T732" s="83">
        <f>50</f>
        <v>50</v>
      </c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</row>
    <row r="733" spans="1:30" ht="15.75" x14ac:dyDescent="0.25">
      <c r="A733" s="32">
        <v>63248</v>
      </c>
      <c r="B733" s="95">
        <f t="shared" si="121"/>
        <v>28</v>
      </c>
      <c r="C733" s="83">
        <f>122.58</f>
        <v>122.58</v>
      </c>
      <c r="D733" s="83">
        <f>297.941</f>
        <v>297.94099999999997</v>
      </c>
      <c r="E733" s="92">
        <f>89.177</f>
        <v>89.177000000000007</v>
      </c>
      <c r="F733" s="83">
        <f>240.302-40-60-100</f>
        <v>40.301999999999992</v>
      </c>
      <c r="G733" s="86">
        <v>40</v>
      </c>
      <c r="H733" s="83">
        <f>60+100</f>
        <v>160</v>
      </c>
      <c r="I733" s="83">
        <f t="shared" si="113"/>
        <v>0</v>
      </c>
      <c r="J733" s="86">
        <v>100</v>
      </c>
      <c r="K733" s="86">
        <v>300</v>
      </c>
      <c r="L733" s="83">
        <f t="shared" si="117"/>
        <v>1150</v>
      </c>
      <c r="M733" s="94">
        <v>600</v>
      </c>
      <c r="N733" s="83">
        <f>100</f>
        <v>100</v>
      </c>
      <c r="O733" s="86">
        <v>240</v>
      </c>
      <c r="P733" s="86">
        <v>40</v>
      </c>
      <c r="Q733" s="86">
        <f t="shared" si="118"/>
        <v>315</v>
      </c>
      <c r="R733" s="86">
        <f t="shared" si="119"/>
        <v>100</v>
      </c>
      <c r="S733" s="83">
        <f t="shared" si="120"/>
        <v>695</v>
      </c>
      <c r="T733" s="83">
        <f>50</f>
        <v>50</v>
      </c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</row>
    <row r="734" spans="1:30" ht="15.75" x14ac:dyDescent="0.25">
      <c r="A734" s="32">
        <v>63279</v>
      </c>
      <c r="B734" s="95">
        <f t="shared" si="121"/>
        <v>31</v>
      </c>
      <c r="C734" s="83">
        <f>122.58</f>
        <v>122.58</v>
      </c>
      <c r="D734" s="83">
        <f>297.941</f>
        <v>297.94099999999997</v>
      </c>
      <c r="E734" s="92">
        <f>89.177</f>
        <v>89.177000000000007</v>
      </c>
      <c r="F734" s="83">
        <f>240.302-40-60-100</f>
        <v>40.301999999999992</v>
      </c>
      <c r="G734" s="86">
        <v>40</v>
      </c>
      <c r="H734" s="83">
        <f>60+100</f>
        <v>160</v>
      </c>
      <c r="I734" s="83">
        <f t="shared" si="113"/>
        <v>0</v>
      </c>
      <c r="J734" s="86">
        <v>100</v>
      </c>
      <c r="K734" s="86">
        <v>300</v>
      </c>
      <c r="L734" s="83">
        <f t="shared" si="117"/>
        <v>1150</v>
      </c>
      <c r="M734" s="94">
        <v>600</v>
      </c>
      <c r="N734" s="83">
        <f>100</f>
        <v>100</v>
      </c>
      <c r="O734" s="86">
        <v>240</v>
      </c>
      <c r="P734" s="86">
        <v>40</v>
      </c>
      <c r="Q734" s="86">
        <f t="shared" si="118"/>
        <v>315</v>
      </c>
      <c r="R734" s="86">
        <f t="shared" si="119"/>
        <v>100</v>
      </c>
      <c r="S734" s="83">
        <f t="shared" si="120"/>
        <v>695</v>
      </c>
      <c r="T734" s="83">
        <f>50</f>
        <v>50</v>
      </c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</row>
    <row r="735" spans="1:30" ht="15.75" x14ac:dyDescent="0.25">
      <c r="A735" s="32">
        <v>63309</v>
      </c>
      <c r="B735" s="95">
        <f t="shared" si="121"/>
        <v>30</v>
      </c>
      <c r="C735" s="83">
        <f>141.293</f>
        <v>141.29300000000001</v>
      </c>
      <c r="D735" s="83">
        <f>267.993</f>
        <v>267.99299999999999</v>
      </c>
      <c r="E735" s="92">
        <f>115.016</f>
        <v>115.01600000000001</v>
      </c>
      <c r="F735" s="83">
        <f>314.698-40-25-60-100</f>
        <v>89.697999999999979</v>
      </c>
      <c r="G735" s="86">
        <v>40</v>
      </c>
      <c r="H735" s="83">
        <f t="shared" ref="H735:H741" si="122">25+60+100</f>
        <v>185</v>
      </c>
      <c r="I735" s="83">
        <f t="shared" si="113"/>
        <v>0</v>
      </c>
      <c r="J735" s="86">
        <v>100</v>
      </c>
      <c r="K735" s="86">
        <v>300</v>
      </c>
      <c r="L735" s="83">
        <f t="shared" si="117"/>
        <v>1239</v>
      </c>
      <c r="M735" s="94">
        <v>600</v>
      </c>
      <c r="N735" s="83">
        <f>100</f>
        <v>100</v>
      </c>
      <c r="O735" s="86">
        <v>240</v>
      </c>
      <c r="P735" s="86">
        <v>40</v>
      </c>
      <c r="Q735" s="86">
        <f t="shared" si="118"/>
        <v>315</v>
      </c>
      <c r="R735" s="86">
        <f t="shared" si="119"/>
        <v>100</v>
      </c>
      <c r="S735" s="83">
        <f t="shared" si="120"/>
        <v>695</v>
      </c>
      <c r="T735" s="83">
        <f>50</f>
        <v>50</v>
      </c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</row>
    <row r="736" spans="1:30" ht="15.75" x14ac:dyDescent="0.25">
      <c r="A736" s="32">
        <v>63340</v>
      </c>
      <c r="B736" s="95">
        <f t="shared" si="121"/>
        <v>31</v>
      </c>
      <c r="C736" s="83">
        <f>194.205</f>
        <v>194.20500000000001</v>
      </c>
      <c r="D736" s="83">
        <f>267.466</f>
        <v>267.46600000000001</v>
      </c>
      <c r="E736" s="92">
        <f>133.845</f>
        <v>133.845</v>
      </c>
      <c r="F736" s="83">
        <f>278.484-40-25-60-100</f>
        <v>53.48399999999998</v>
      </c>
      <c r="G736" s="86">
        <v>40</v>
      </c>
      <c r="H736" s="83">
        <f t="shared" si="122"/>
        <v>185</v>
      </c>
      <c r="I736" s="83">
        <f t="shared" si="113"/>
        <v>0</v>
      </c>
      <c r="J736" s="86">
        <v>100</v>
      </c>
      <c r="K736" s="86">
        <v>300</v>
      </c>
      <c r="L736" s="83">
        <f t="shared" si="117"/>
        <v>1274</v>
      </c>
      <c r="M736" s="94">
        <v>600</v>
      </c>
      <c r="N736" s="83">
        <f>75</f>
        <v>75</v>
      </c>
      <c r="O736" s="86">
        <v>240</v>
      </c>
      <c r="P736" s="86">
        <v>40</v>
      </c>
      <c r="Q736" s="86">
        <f t="shared" si="118"/>
        <v>315</v>
      </c>
      <c r="R736" s="86">
        <f t="shared" si="119"/>
        <v>100</v>
      </c>
      <c r="S736" s="83">
        <f t="shared" si="120"/>
        <v>695</v>
      </c>
      <c r="T736" s="83">
        <f>50</f>
        <v>50</v>
      </c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</row>
    <row r="737" spans="1:30" ht="15.75" x14ac:dyDescent="0.25">
      <c r="A737" s="32">
        <v>63370</v>
      </c>
      <c r="B737" s="95">
        <f t="shared" si="121"/>
        <v>30</v>
      </c>
      <c r="C737" s="83">
        <f>194.205</f>
        <v>194.20500000000001</v>
      </c>
      <c r="D737" s="83">
        <f>267.466</f>
        <v>267.46600000000001</v>
      </c>
      <c r="E737" s="92">
        <f>133.845</f>
        <v>133.845</v>
      </c>
      <c r="F737" s="83">
        <f>278.484-40-25-60-100</f>
        <v>53.48399999999998</v>
      </c>
      <c r="G737" s="86">
        <v>40</v>
      </c>
      <c r="H737" s="83">
        <f t="shared" si="122"/>
        <v>185</v>
      </c>
      <c r="I737" s="83">
        <f t="shared" si="113"/>
        <v>0</v>
      </c>
      <c r="J737" s="86">
        <v>100</v>
      </c>
      <c r="K737" s="86">
        <v>300</v>
      </c>
      <c r="L737" s="83">
        <f t="shared" si="117"/>
        <v>1274</v>
      </c>
      <c r="M737" s="94">
        <v>600</v>
      </c>
      <c r="N737" s="83">
        <f>30</f>
        <v>30</v>
      </c>
      <c r="O737" s="86">
        <v>240</v>
      </c>
      <c r="P737" s="86">
        <v>40</v>
      </c>
      <c r="Q737" s="86">
        <f t="shared" si="118"/>
        <v>315</v>
      </c>
      <c r="R737" s="86">
        <f t="shared" si="119"/>
        <v>100</v>
      </c>
      <c r="S737" s="83">
        <f t="shared" si="120"/>
        <v>695</v>
      </c>
      <c r="T737" s="83">
        <f>50</f>
        <v>50</v>
      </c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</row>
    <row r="738" spans="1:30" ht="15.75" x14ac:dyDescent="0.25">
      <c r="A738" s="32">
        <v>63401</v>
      </c>
      <c r="B738" s="95">
        <f t="shared" si="121"/>
        <v>31</v>
      </c>
      <c r="C738" s="83">
        <f>194.205</f>
        <v>194.20500000000001</v>
      </c>
      <c r="D738" s="83">
        <f>267.466</f>
        <v>267.46600000000001</v>
      </c>
      <c r="E738" s="92">
        <f>133.845</f>
        <v>133.845</v>
      </c>
      <c r="F738" s="83">
        <f>278.484-40-25-60-100</f>
        <v>53.48399999999998</v>
      </c>
      <c r="G738" s="86">
        <v>40</v>
      </c>
      <c r="H738" s="83">
        <f t="shared" si="122"/>
        <v>185</v>
      </c>
      <c r="I738" s="83">
        <f t="shared" si="113"/>
        <v>0</v>
      </c>
      <c r="J738" s="86">
        <v>100</v>
      </c>
      <c r="K738" s="86">
        <v>300</v>
      </c>
      <c r="L738" s="83">
        <f t="shared" si="117"/>
        <v>1274</v>
      </c>
      <c r="M738" s="94">
        <v>600</v>
      </c>
      <c r="N738" s="83">
        <f>30</f>
        <v>30</v>
      </c>
      <c r="O738" s="86">
        <v>240</v>
      </c>
      <c r="P738" s="86">
        <v>40</v>
      </c>
      <c r="Q738" s="86">
        <f t="shared" si="118"/>
        <v>315</v>
      </c>
      <c r="R738" s="86">
        <f t="shared" si="119"/>
        <v>100</v>
      </c>
      <c r="S738" s="83">
        <f t="shared" si="120"/>
        <v>695</v>
      </c>
      <c r="T738" s="83">
        <f>0</f>
        <v>0</v>
      </c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</row>
    <row r="739" spans="1:30" ht="15.75" x14ac:dyDescent="0.25">
      <c r="A739" s="32">
        <v>63432</v>
      </c>
      <c r="B739" s="95">
        <f t="shared" si="121"/>
        <v>31</v>
      </c>
      <c r="C739" s="83">
        <f>194.205</f>
        <v>194.20500000000001</v>
      </c>
      <c r="D739" s="83">
        <f>267.466</f>
        <v>267.46600000000001</v>
      </c>
      <c r="E739" s="92">
        <f>133.845</f>
        <v>133.845</v>
      </c>
      <c r="F739" s="83">
        <f>278.484-40-25-60-100</f>
        <v>53.48399999999998</v>
      </c>
      <c r="G739" s="86">
        <v>40</v>
      </c>
      <c r="H739" s="83">
        <f t="shared" si="122"/>
        <v>185</v>
      </c>
      <c r="I739" s="83">
        <f t="shared" si="113"/>
        <v>0</v>
      </c>
      <c r="J739" s="86">
        <v>100</v>
      </c>
      <c r="K739" s="86">
        <v>300</v>
      </c>
      <c r="L739" s="83">
        <f t="shared" si="117"/>
        <v>1274</v>
      </c>
      <c r="M739" s="94">
        <v>600</v>
      </c>
      <c r="N739" s="83">
        <f>30</f>
        <v>30</v>
      </c>
      <c r="O739" s="86">
        <v>240</v>
      </c>
      <c r="P739" s="86">
        <v>40</v>
      </c>
      <c r="Q739" s="86">
        <f t="shared" si="118"/>
        <v>315</v>
      </c>
      <c r="R739" s="86">
        <f t="shared" si="119"/>
        <v>100</v>
      </c>
      <c r="S739" s="83">
        <f t="shared" si="120"/>
        <v>695</v>
      </c>
      <c r="T739" s="83">
        <f>0</f>
        <v>0</v>
      </c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</row>
    <row r="740" spans="1:30" ht="15.75" x14ac:dyDescent="0.25">
      <c r="A740" s="32">
        <v>63462</v>
      </c>
      <c r="B740" s="95">
        <f t="shared" si="121"/>
        <v>30</v>
      </c>
      <c r="C740" s="83">
        <f>194.205</f>
        <v>194.20500000000001</v>
      </c>
      <c r="D740" s="83">
        <f>267.466</f>
        <v>267.46600000000001</v>
      </c>
      <c r="E740" s="92">
        <f>133.845</f>
        <v>133.845</v>
      </c>
      <c r="F740" s="83">
        <f>278.484-40-25-60-100</f>
        <v>53.48399999999998</v>
      </c>
      <c r="G740" s="86">
        <v>40</v>
      </c>
      <c r="H740" s="83">
        <f t="shared" si="122"/>
        <v>185</v>
      </c>
      <c r="I740" s="83">
        <f t="shared" si="113"/>
        <v>0</v>
      </c>
      <c r="J740" s="86">
        <v>100</v>
      </c>
      <c r="K740" s="86">
        <v>300</v>
      </c>
      <c r="L740" s="83">
        <f t="shared" si="117"/>
        <v>1274</v>
      </c>
      <c r="M740" s="94">
        <v>600</v>
      </c>
      <c r="N740" s="83">
        <f>30</f>
        <v>30</v>
      </c>
      <c r="O740" s="86">
        <v>240</v>
      </c>
      <c r="P740" s="86">
        <v>40</v>
      </c>
      <c r="Q740" s="86">
        <f t="shared" si="118"/>
        <v>315</v>
      </c>
      <c r="R740" s="86">
        <f t="shared" si="119"/>
        <v>100</v>
      </c>
      <c r="S740" s="83">
        <f t="shared" si="120"/>
        <v>695</v>
      </c>
      <c r="T740" s="83">
        <f>0</f>
        <v>0</v>
      </c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</row>
    <row r="741" spans="1:30" ht="15.75" x14ac:dyDescent="0.25">
      <c r="A741" s="32">
        <v>63493</v>
      </c>
      <c r="B741" s="95">
        <f t="shared" si="121"/>
        <v>31</v>
      </c>
      <c r="C741" s="83">
        <f>131.881</f>
        <v>131.881</v>
      </c>
      <c r="D741" s="83">
        <f>277.167</f>
        <v>277.16699999999997</v>
      </c>
      <c r="E741" s="92">
        <f>79.08</f>
        <v>79.08</v>
      </c>
      <c r="F741" s="83">
        <f>350.872-40-25-60-100</f>
        <v>125.87200000000001</v>
      </c>
      <c r="G741" s="86">
        <v>40</v>
      </c>
      <c r="H741" s="83">
        <f t="shared" si="122"/>
        <v>185</v>
      </c>
      <c r="I741" s="83">
        <f t="shared" si="113"/>
        <v>0</v>
      </c>
      <c r="J741" s="86">
        <v>100</v>
      </c>
      <c r="K741" s="86">
        <v>300</v>
      </c>
      <c r="L741" s="83">
        <f t="shared" si="117"/>
        <v>1239</v>
      </c>
      <c r="M741" s="94">
        <v>600</v>
      </c>
      <c r="N741" s="83">
        <f>75</f>
        <v>75</v>
      </c>
      <c r="O741" s="86">
        <v>240</v>
      </c>
      <c r="P741" s="86">
        <v>40</v>
      </c>
      <c r="Q741" s="86">
        <f t="shared" si="118"/>
        <v>315</v>
      </c>
      <c r="R741" s="86">
        <f t="shared" si="119"/>
        <v>100</v>
      </c>
      <c r="S741" s="83">
        <f t="shared" si="120"/>
        <v>695</v>
      </c>
      <c r="T741" s="83">
        <f>0</f>
        <v>0</v>
      </c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</row>
    <row r="742" spans="1:30" ht="15.75" x14ac:dyDescent="0.25">
      <c r="A742" s="32">
        <v>63523</v>
      </c>
      <c r="B742" s="95">
        <f t="shared" si="121"/>
        <v>30</v>
      </c>
      <c r="C742" s="83">
        <f>122.58</f>
        <v>122.58</v>
      </c>
      <c r="D742" s="83">
        <f>297.941</f>
        <v>297.94099999999997</v>
      </c>
      <c r="E742" s="92">
        <f>89.177</f>
        <v>89.177000000000007</v>
      </c>
      <c r="F742" s="83">
        <f>240.302-40-60-100</f>
        <v>40.301999999999992</v>
      </c>
      <c r="G742" s="86">
        <v>40</v>
      </c>
      <c r="H742" s="83">
        <f>60+100</f>
        <v>160</v>
      </c>
      <c r="I742" s="83">
        <f t="shared" si="113"/>
        <v>0</v>
      </c>
      <c r="J742" s="86">
        <v>100</v>
      </c>
      <c r="K742" s="86">
        <v>300</v>
      </c>
      <c r="L742" s="83">
        <f t="shared" si="117"/>
        <v>1150</v>
      </c>
      <c r="M742" s="94">
        <v>600</v>
      </c>
      <c r="N742" s="83">
        <f>100</f>
        <v>100</v>
      </c>
      <c r="O742" s="86">
        <v>240</v>
      </c>
      <c r="P742" s="86">
        <v>40</v>
      </c>
      <c r="Q742" s="86">
        <f t="shared" si="118"/>
        <v>315</v>
      </c>
      <c r="R742" s="86">
        <f t="shared" si="119"/>
        <v>100</v>
      </c>
      <c r="S742" s="83">
        <f t="shared" si="120"/>
        <v>695</v>
      </c>
      <c r="T742" s="83">
        <f>50</f>
        <v>50</v>
      </c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</row>
    <row r="743" spans="1:30" ht="15.75" x14ac:dyDescent="0.25">
      <c r="A743" s="32">
        <v>63554</v>
      </c>
      <c r="B743" s="95">
        <f t="shared" si="121"/>
        <v>31</v>
      </c>
      <c r="C743" s="83">
        <f>122.58</f>
        <v>122.58</v>
      </c>
      <c r="D743" s="83">
        <f>297.941</f>
        <v>297.94099999999997</v>
      </c>
      <c r="E743" s="92">
        <f>89.177</f>
        <v>89.177000000000007</v>
      </c>
      <c r="F743" s="83">
        <f>240.302-40-60-100</f>
        <v>40.301999999999992</v>
      </c>
      <c r="G743" s="86">
        <v>40</v>
      </c>
      <c r="H743" s="83">
        <f>60+100</f>
        <v>160</v>
      </c>
      <c r="I743" s="83">
        <f t="shared" si="113"/>
        <v>0</v>
      </c>
      <c r="J743" s="86">
        <v>100</v>
      </c>
      <c r="K743" s="86">
        <v>300</v>
      </c>
      <c r="L743" s="83">
        <f t="shared" si="117"/>
        <v>1150</v>
      </c>
      <c r="M743" s="94">
        <v>600</v>
      </c>
      <c r="N743" s="83">
        <f>100</f>
        <v>100</v>
      </c>
      <c r="O743" s="86">
        <v>240</v>
      </c>
      <c r="P743" s="86">
        <v>40</v>
      </c>
      <c r="Q743" s="86">
        <f t="shared" si="118"/>
        <v>315</v>
      </c>
      <c r="R743" s="86">
        <f t="shared" si="119"/>
        <v>100</v>
      </c>
      <c r="S743" s="83">
        <f t="shared" si="120"/>
        <v>695</v>
      </c>
      <c r="T743" s="83">
        <f>50</f>
        <v>50</v>
      </c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</row>
    <row r="744" spans="1:30" ht="15.75" x14ac:dyDescent="0.25">
      <c r="A744" s="32">
        <v>63585</v>
      </c>
      <c r="B744" s="95">
        <f t="shared" si="121"/>
        <v>31</v>
      </c>
      <c r="C744" s="83">
        <f>122.58</f>
        <v>122.58</v>
      </c>
      <c r="D744" s="83">
        <f>297.941</f>
        <v>297.94099999999997</v>
      </c>
      <c r="E744" s="92">
        <f>89.177</f>
        <v>89.177000000000007</v>
      </c>
      <c r="F744" s="83">
        <f>240.302-40-60-100</f>
        <v>40.301999999999992</v>
      </c>
      <c r="G744" s="86">
        <v>40</v>
      </c>
      <c r="H744" s="83">
        <f>60+100</f>
        <v>160</v>
      </c>
      <c r="I744" s="83">
        <f t="shared" si="113"/>
        <v>0</v>
      </c>
      <c r="J744" s="86">
        <v>100</v>
      </c>
      <c r="K744" s="86">
        <v>300</v>
      </c>
      <c r="L744" s="83">
        <f t="shared" si="117"/>
        <v>1150</v>
      </c>
      <c r="M744" s="94">
        <v>600</v>
      </c>
      <c r="N744" s="83">
        <f>100</f>
        <v>100</v>
      </c>
      <c r="O744" s="86">
        <v>240</v>
      </c>
      <c r="P744" s="86">
        <v>40</v>
      </c>
      <c r="Q744" s="86">
        <f t="shared" si="118"/>
        <v>315</v>
      </c>
      <c r="R744" s="86">
        <f t="shared" si="119"/>
        <v>100</v>
      </c>
      <c r="S744" s="83">
        <f t="shared" si="120"/>
        <v>695</v>
      </c>
      <c r="T744" s="83">
        <f>50</f>
        <v>50</v>
      </c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</row>
    <row r="745" spans="1:30" ht="15.75" x14ac:dyDescent="0.25">
      <c r="A745" s="32">
        <v>63613</v>
      </c>
      <c r="B745" s="95">
        <f t="shared" si="121"/>
        <v>28</v>
      </c>
      <c r="C745" s="83">
        <f>122.58</f>
        <v>122.58</v>
      </c>
      <c r="D745" s="83">
        <f>297.941</f>
        <v>297.94099999999997</v>
      </c>
      <c r="E745" s="92">
        <f>89.177</f>
        <v>89.177000000000007</v>
      </c>
      <c r="F745" s="83">
        <f>240.302-40-60-100</f>
        <v>40.301999999999992</v>
      </c>
      <c r="G745" s="86">
        <v>40</v>
      </c>
      <c r="H745" s="83">
        <f>60+100</f>
        <v>160</v>
      </c>
      <c r="I745" s="83">
        <f t="shared" si="113"/>
        <v>0</v>
      </c>
      <c r="J745" s="86">
        <v>100</v>
      </c>
      <c r="K745" s="86">
        <v>300</v>
      </c>
      <c r="L745" s="83">
        <f t="shared" si="117"/>
        <v>1150</v>
      </c>
      <c r="M745" s="94">
        <v>600</v>
      </c>
      <c r="N745" s="83">
        <f>100</f>
        <v>100</v>
      </c>
      <c r="O745" s="86">
        <v>240</v>
      </c>
      <c r="P745" s="86">
        <v>40</v>
      </c>
      <c r="Q745" s="86">
        <f t="shared" si="118"/>
        <v>315</v>
      </c>
      <c r="R745" s="86">
        <f t="shared" si="119"/>
        <v>100</v>
      </c>
      <c r="S745" s="83">
        <f t="shared" si="120"/>
        <v>695</v>
      </c>
      <c r="T745" s="83">
        <f>50</f>
        <v>50</v>
      </c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</row>
    <row r="746" spans="1:30" ht="15.75" x14ac:dyDescent="0.25">
      <c r="A746" s="32">
        <v>63644</v>
      </c>
      <c r="B746" s="95">
        <f t="shared" si="121"/>
        <v>31</v>
      </c>
      <c r="C746" s="83">
        <f>122.58</f>
        <v>122.58</v>
      </c>
      <c r="D746" s="83">
        <f>297.941</f>
        <v>297.94099999999997</v>
      </c>
      <c r="E746" s="92">
        <f>89.177</f>
        <v>89.177000000000007</v>
      </c>
      <c r="F746" s="83">
        <f>240.302-40-60-100</f>
        <v>40.301999999999992</v>
      </c>
      <c r="G746" s="86">
        <v>40</v>
      </c>
      <c r="H746" s="83">
        <f>60+100</f>
        <v>160</v>
      </c>
      <c r="I746" s="83">
        <f t="shared" si="113"/>
        <v>0</v>
      </c>
      <c r="J746" s="86">
        <v>100</v>
      </c>
      <c r="K746" s="86">
        <v>300</v>
      </c>
      <c r="L746" s="83">
        <f t="shared" si="117"/>
        <v>1150</v>
      </c>
      <c r="M746" s="94">
        <v>600</v>
      </c>
      <c r="N746" s="83">
        <f>100</f>
        <v>100</v>
      </c>
      <c r="O746" s="86">
        <v>240</v>
      </c>
      <c r="P746" s="86">
        <v>40</v>
      </c>
      <c r="Q746" s="86">
        <f t="shared" si="118"/>
        <v>315</v>
      </c>
      <c r="R746" s="86">
        <f t="shared" si="119"/>
        <v>100</v>
      </c>
      <c r="S746" s="83">
        <f t="shared" si="120"/>
        <v>695</v>
      </c>
      <c r="T746" s="83">
        <f>50</f>
        <v>50</v>
      </c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</row>
    <row r="747" spans="1:30" ht="15.75" x14ac:dyDescent="0.25">
      <c r="A747" s="32">
        <v>63674</v>
      </c>
      <c r="B747" s="95">
        <f t="shared" si="121"/>
        <v>30</v>
      </c>
      <c r="C747" s="83">
        <f>141.293</f>
        <v>141.29300000000001</v>
      </c>
      <c r="D747" s="83">
        <f>267.993</f>
        <v>267.99299999999999</v>
      </c>
      <c r="E747" s="92">
        <f>115.016</f>
        <v>115.01600000000001</v>
      </c>
      <c r="F747" s="83">
        <f>314.698-40-25-60-100</f>
        <v>89.697999999999979</v>
      </c>
      <c r="G747" s="86">
        <v>40</v>
      </c>
      <c r="H747" s="83">
        <f t="shared" ref="H747:H753" si="123">25+60+100</f>
        <v>185</v>
      </c>
      <c r="I747" s="83">
        <f t="shared" si="113"/>
        <v>0</v>
      </c>
      <c r="J747" s="86">
        <v>100</v>
      </c>
      <c r="K747" s="86">
        <v>300</v>
      </c>
      <c r="L747" s="83">
        <f t="shared" si="117"/>
        <v>1239</v>
      </c>
      <c r="M747" s="94">
        <v>600</v>
      </c>
      <c r="N747" s="83">
        <f>100</f>
        <v>100</v>
      </c>
      <c r="O747" s="86">
        <v>240</v>
      </c>
      <c r="P747" s="86">
        <v>40</v>
      </c>
      <c r="Q747" s="86">
        <f t="shared" si="118"/>
        <v>315</v>
      </c>
      <c r="R747" s="86">
        <f t="shared" si="119"/>
        <v>100</v>
      </c>
      <c r="S747" s="83">
        <f t="shared" si="120"/>
        <v>695</v>
      </c>
      <c r="T747" s="83">
        <f>50</f>
        <v>50</v>
      </c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</row>
    <row r="748" spans="1:30" ht="15.75" x14ac:dyDescent="0.25">
      <c r="A748" s="32">
        <v>63705</v>
      </c>
      <c r="B748" s="95">
        <f t="shared" si="121"/>
        <v>31</v>
      </c>
      <c r="C748" s="83">
        <f>194.205</f>
        <v>194.20500000000001</v>
      </c>
      <c r="D748" s="83">
        <f>267.466</f>
        <v>267.46600000000001</v>
      </c>
      <c r="E748" s="92">
        <f>133.845</f>
        <v>133.845</v>
      </c>
      <c r="F748" s="83">
        <f>278.484-40-25-60-100</f>
        <v>53.48399999999998</v>
      </c>
      <c r="G748" s="86">
        <v>40</v>
      </c>
      <c r="H748" s="83">
        <f t="shared" si="123"/>
        <v>185</v>
      </c>
      <c r="I748" s="83">
        <f t="shared" si="113"/>
        <v>0</v>
      </c>
      <c r="J748" s="86">
        <v>100</v>
      </c>
      <c r="K748" s="86">
        <v>300</v>
      </c>
      <c r="L748" s="83">
        <f t="shared" si="117"/>
        <v>1274</v>
      </c>
      <c r="M748" s="94">
        <v>600</v>
      </c>
      <c r="N748" s="83">
        <f>75</f>
        <v>75</v>
      </c>
      <c r="O748" s="86">
        <v>240</v>
      </c>
      <c r="P748" s="86">
        <v>40</v>
      </c>
      <c r="Q748" s="86">
        <f t="shared" si="118"/>
        <v>315</v>
      </c>
      <c r="R748" s="86">
        <f t="shared" si="119"/>
        <v>100</v>
      </c>
      <c r="S748" s="83">
        <f t="shared" si="120"/>
        <v>695</v>
      </c>
      <c r="T748" s="83">
        <f>50</f>
        <v>50</v>
      </c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</row>
    <row r="749" spans="1:30" ht="15.75" x14ac:dyDescent="0.25">
      <c r="A749" s="32">
        <v>63735</v>
      </c>
      <c r="B749" s="95">
        <f t="shared" si="121"/>
        <v>30</v>
      </c>
      <c r="C749" s="83">
        <f>194.205</f>
        <v>194.20500000000001</v>
      </c>
      <c r="D749" s="83">
        <f>267.466</f>
        <v>267.46600000000001</v>
      </c>
      <c r="E749" s="92">
        <f>133.845</f>
        <v>133.845</v>
      </c>
      <c r="F749" s="83">
        <f>278.484-40-25-60-100</f>
        <v>53.48399999999998</v>
      </c>
      <c r="G749" s="86">
        <v>40</v>
      </c>
      <c r="H749" s="83">
        <f t="shared" si="123"/>
        <v>185</v>
      </c>
      <c r="I749" s="83">
        <f t="shared" si="113"/>
        <v>0</v>
      </c>
      <c r="J749" s="86">
        <v>100</v>
      </c>
      <c r="K749" s="86">
        <v>300</v>
      </c>
      <c r="L749" s="83">
        <f t="shared" si="117"/>
        <v>1274</v>
      </c>
      <c r="M749" s="94">
        <v>600</v>
      </c>
      <c r="N749" s="83">
        <f>30</f>
        <v>30</v>
      </c>
      <c r="O749" s="86">
        <v>240</v>
      </c>
      <c r="P749" s="86">
        <v>40</v>
      </c>
      <c r="Q749" s="86">
        <f t="shared" si="118"/>
        <v>315</v>
      </c>
      <c r="R749" s="86">
        <f t="shared" si="119"/>
        <v>100</v>
      </c>
      <c r="S749" s="83">
        <f t="shared" si="120"/>
        <v>695</v>
      </c>
      <c r="T749" s="83">
        <f>50</f>
        <v>50</v>
      </c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</row>
    <row r="750" spans="1:30" ht="15.75" x14ac:dyDescent="0.25">
      <c r="A750" s="32">
        <v>63766</v>
      </c>
      <c r="B750" s="95">
        <f t="shared" si="121"/>
        <v>31</v>
      </c>
      <c r="C750" s="83">
        <f>194.205</f>
        <v>194.20500000000001</v>
      </c>
      <c r="D750" s="83">
        <f>267.466</f>
        <v>267.46600000000001</v>
      </c>
      <c r="E750" s="92">
        <f>133.845</f>
        <v>133.845</v>
      </c>
      <c r="F750" s="83">
        <f>278.484-40-25-60-100</f>
        <v>53.48399999999998</v>
      </c>
      <c r="G750" s="86">
        <v>40</v>
      </c>
      <c r="H750" s="83">
        <f t="shared" si="123"/>
        <v>185</v>
      </c>
      <c r="I750" s="83">
        <f t="shared" si="113"/>
        <v>0</v>
      </c>
      <c r="J750" s="86">
        <v>100</v>
      </c>
      <c r="K750" s="86">
        <v>300</v>
      </c>
      <c r="L750" s="83">
        <f t="shared" si="117"/>
        <v>1274</v>
      </c>
      <c r="M750" s="94">
        <v>600</v>
      </c>
      <c r="N750" s="83">
        <f>30</f>
        <v>30</v>
      </c>
      <c r="O750" s="86">
        <v>240</v>
      </c>
      <c r="P750" s="86">
        <v>40</v>
      </c>
      <c r="Q750" s="86">
        <f t="shared" si="118"/>
        <v>315</v>
      </c>
      <c r="R750" s="86">
        <f t="shared" si="119"/>
        <v>100</v>
      </c>
      <c r="S750" s="83">
        <f t="shared" si="120"/>
        <v>695</v>
      </c>
      <c r="T750" s="83">
        <f>0</f>
        <v>0</v>
      </c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</row>
    <row r="751" spans="1:30" ht="15.75" x14ac:dyDescent="0.25">
      <c r="A751" s="32">
        <v>63797</v>
      </c>
      <c r="B751" s="95">
        <f t="shared" si="121"/>
        <v>31</v>
      </c>
      <c r="C751" s="83">
        <f>194.205</f>
        <v>194.20500000000001</v>
      </c>
      <c r="D751" s="83">
        <f>267.466</f>
        <v>267.46600000000001</v>
      </c>
      <c r="E751" s="92">
        <f>133.845</f>
        <v>133.845</v>
      </c>
      <c r="F751" s="83">
        <f>278.484-40-25-60-100</f>
        <v>53.48399999999998</v>
      </c>
      <c r="G751" s="86">
        <v>40</v>
      </c>
      <c r="H751" s="83">
        <f t="shared" si="123"/>
        <v>185</v>
      </c>
      <c r="I751" s="83">
        <f t="shared" si="113"/>
        <v>0</v>
      </c>
      <c r="J751" s="86">
        <v>100</v>
      </c>
      <c r="K751" s="86">
        <v>300</v>
      </c>
      <c r="L751" s="83">
        <f t="shared" si="117"/>
        <v>1274</v>
      </c>
      <c r="M751" s="94">
        <v>600</v>
      </c>
      <c r="N751" s="83">
        <f>30</f>
        <v>30</v>
      </c>
      <c r="O751" s="86">
        <v>240</v>
      </c>
      <c r="P751" s="86">
        <v>40</v>
      </c>
      <c r="Q751" s="86">
        <f t="shared" si="118"/>
        <v>315</v>
      </c>
      <c r="R751" s="86">
        <f t="shared" si="119"/>
        <v>100</v>
      </c>
      <c r="S751" s="83">
        <f t="shared" si="120"/>
        <v>695</v>
      </c>
      <c r="T751" s="83">
        <f>0</f>
        <v>0</v>
      </c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</row>
    <row r="752" spans="1:30" ht="15.75" x14ac:dyDescent="0.25">
      <c r="A752" s="32">
        <v>63827</v>
      </c>
      <c r="B752" s="95">
        <f t="shared" si="121"/>
        <v>30</v>
      </c>
      <c r="C752" s="83">
        <f>194.205</f>
        <v>194.20500000000001</v>
      </c>
      <c r="D752" s="83">
        <f>267.466</f>
        <v>267.46600000000001</v>
      </c>
      <c r="E752" s="92">
        <f>133.845</f>
        <v>133.845</v>
      </c>
      <c r="F752" s="83">
        <f>278.484-40-25-60-100</f>
        <v>53.48399999999998</v>
      </c>
      <c r="G752" s="86">
        <v>40</v>
      </c>
      <c r="H752" s="83">
        <f t="shared" si="123"/>
        <v>185</v>
      </c>
      <c r="I752" s="83">
        <f t="shared" si="113"/>
        <v>0</v>
      </c>
      <c r="J752" s="86">
        <v>100</v>
      </c>
      <c r="K752" s="86">
        <v>300</v>
      </c>
      <c r="L752" s="83">
        <f t="shared" si="117"/>
        <v>1274</v>
      </c>
      <c r="M752" s="94">
        <v>600</v>
      </c>
      <c r="N752" s="83">
        <f>30</f>
        <v>30</v>
      </c>
      <c r="O752" s="86">
        <v>240</v>
      </c>
      <c r="P752" s="86">
        <v>40</v>
      </c>
      <c r="Q752" s="86">
        <f t="shared" si="118"/>
        <v>315</v>
      </c>
      <c r="R752" s="86">
        <f t="shared" si="119"/>
        <v>100</v>
      </c>
      <c r="S752" s="83">
        <f t="shared" si="120"/>
        <v>695</v>
      </c>
      <c r="T752" s="83">
        <f>0</f>
        <v>0</v>
      </c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</row>
    <row r="753" spans="1:30" ht="15.75" x14ac:dyDescent="0.25">
      <c r="A753" s="32">
        <v>63858</v>
      </c>
      <c r="B753" s="95">
        <f t="shared" si="121"/>
        <v>31</v>
      </c>
      <c r="C753" s="83">
        <f>131.881</f>
        <v>131.881</v>
      </c>
      <c r="D753" s="83">
        <f>277.167</f>
        <v>277.16699999999997</v>
      </c>
      <c r="E753" s="92">
        <f>79.08</f>
        <v>79.08</v>
      </c>
      <c r="F753" s="83">
        <f>350.872-40-25-60-100</f>
        <v>125.87200000000001</v>
      </c>
      <c r="G753" s="86">
        <v>40</v>
      </c>
      <c r="H753" s="83">
        <f t="shared" si="123"/>
        <v>185</v>
      </c>
      <c r="I753" s="83">
        <f t="shared" si="113"/>
        <v>0</v>
      </c>
      <c r="J753" s="86">
        <v>100</v>
      </c>
      <c r="K753" s="86">
        <v>300</v>
      </c>
      <c r="L753" s="83">
        <f t="shared" si="117"/>
        <v>1239</v>
      </c>
      <c r="M753" s="94">
        <v>600</v>
      </c>
      <c r="N753" s="83">
        <f>75</f>
        <v>75</v>
      </c>
      <c r="O753" s="86">
        <v>240</v>
      </c>
      <c r="P753" s="86">
        <v>40</v>
      </c>
      <c r="Q753" s="86">
        <f t="shared" si="118"/>
        <v>315</v>
      </c>
      <c r="R753" s="86">
        <f t="shared" si="119"/>
        <v>100</v>
      </c>
      <c r="S753" s="83">
        <f t="shared" si="120"/>
        <v>695</v>
      </c>
      <c r="T753" s="83">
        <f>0</f>
        <v>0</v>
      </c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</row>
    <row r="754" spans="1:30" ht="15.75" x14ac:dyDescent="0.25">
      <c r="A754" s="32">
        <v>63888</v>
      </c>
      <c r="B754" s="95">
        <f t="shared" si="121"/>
        <v>30</v>
      </c>
      <c r="C754" s="83">
        <f>122.58</f>
        <v>122.58</v>
      </c>
      <c r="D754" s="83">
        <f>297.941</f>
        <v>297.94099999999997</v>
      </c>
      <c r="E754" s="92">
        <f>89.177</f>
        <v>89.177000000000007</v>
      </c>
      <c r="F754" s="83">
        <f>240.302-40-60-100</f>
        <v>40.301999999999992</v>
      </c>
      <c r="G754" s="86">
        <v>40</v>
      </c>
      <c r="H754" s="83">
        <f>60+100</f>
        <v>160</v>
      </c>
      <c r="I754" s="83">
        <f t="shared" si="113"/>
        <v>0</v>
      </c>
      <c r="J754" s="86">
        <v>100</v>
      </c>
      <c r="K754" s="86">
        <v>300</v>
      </c>
      <c r="L754" s="83">
        <f t="shared" si="117"/>
        <v>1150</v>
      </c>
      <c r="M754" s="94">
        <v>600</v>
      </c>
      <c r="N754" s="83">
        <f>100</f>
        <v>100</v>
      </c>
      <c r="O754" s="86">
        <v>240</v>
      </c>
      <c r="P754" s="86">
        <v>40</v>
      </c>
      <c r="Q754" s="86">
        <f t="shared" si="118"/>
        <v>315</v>
      </c>
      <c r="R754" s="86">
        <f t="shared" si="119"/>
        <v>100</v>
      </c>
      <c r="S754" s="83">
        <f t="shared" si="120"/>
        <v>695</v>
      </c>
      <c r="T754" s="83">
        <f>50</f>
        <v>50</v>
      </c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</row>
    <row r="755" spans="1:30" ht="15.75" x14ac:dyDescent="0.25">
      <c r="A755" s="32">
        <v>63919</v>
      </c>
      <c r="B755" s="95">
        <f t="shared" si="121"/>
        <v>31</v>
      </c>
      <c r="C755" s="83">
        <f>122.58</f>
        <v>122.58</v>
      </c>
      <c r="D755" s="83">
        <f>297.941</f>
        <v>297.94099999999997</v>
      </c>
      <c r="E755" s="92">
        <f>89.177</f>
        <v>89.177000000000007</v>
      </c>
      <c r="F755" s="83">
        <f>240.302-40-60-100</f>
        <v>40.301999999999992</v>
      </c>
      <c r="G755" s="86">
        <v>40</v>
      </c>
      <c r="H755" s="83">
        <f>60+100</f>
        <v>160</v>
      </c>
      <c r="I755" s="83">
        <f t="shared" si="113"/>
        <v>0</v>
      </c>
      <c r="J755" s="86">
        <v>100</v>
      </c>
      <c r="K755" s="86">
        <v>300</v>
      </c>
      <c r="L755" s="83">
        <f t="shared" si="117"/>
        <v>1150</v>
      </c>
      <c r="M755" s="94">
        <v>600</v>
      </c>
      <c r="N755" s="83">
        <f>100</f>
        <v>100</v>
      </c>
      <c r="O755" s="86">
        <v>240</v>
      </c>
      <c r="P755" s="86">
        <v>40</v>
      </c>
      <c r="Q755" s="86">
        <f t="shared" si="118"/>
        <v>315</v>
      </c>
      <c r="R755" s="86">
        <f t="shared" si="119"/>
        <v>100</v>
      </c>
      <c r="S755" s="83">
        <f t="shared" si="120"/>
        <v>695</v>
      </c>
      <c r="T755" s="83">
        <f>50</f>
        <v>50</v>
      </c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</row>
    <row r="756" spans="1:30" ht="15.75" x14ac:dyDescent="0.25">
      <c r="A756" s="32">
        <v>63950</v>
      </c>
      <c r="B756" s="95">
        <f t="shared" si="121"/>
        <v>31</v>
      </c>
      <c r="C756" s="83">
        <f>122.58</f>
        <v>122.58</v>
      </c>
      <c r="D756" s="83">
        <f>297.941</f>
        <v>297.94099999999997</v>
      </c>
      <c r="E756" s="92">
        <f>89.177</f>
        <v>89.177000000000007</v>
      </c>
      <c r="F756" s="83">
        <f>240.302-40-60-100</f>
        <v>40.301999999999992</v>
      </c>
      <c r="G756" s="86">
        <v>40</v>
      </c>
      <c r="H756" s="83">
        <f>60+100</f>
        <v>160</v>
      </c>
      <c r="I756" s="83">
        <f t="shared" ref="I756:I819" si="124">400-J756-K756</f>
        <v>0</v>
      </c>
      <c r="J756" s="86">
        <v>100</v>
      </c>
      <c r="K756" s="86">
        <v>300</v>
      </c>
      <c r="L756" s="83">
        <f t="shared" si="117"/>
        <v>1150</v>
      </c>
      <c r="M756" s="94">
        <v>600</v>
      </c>
      <c r="N756" s="83">
        <f>100</f>
        <v>100</v>
      </c>
      <c r="O756" s="86">
        <v>240</v>
      </c>
      <c r="P756" s="86">
        <v>40</v>
      </c>
      <c r="Q756" s="86">
        <f t="shared" si="118"/>
        <v>315</v>
      </c>
      <c r="R756" s="86">
        <f t="shared" si="119"/>
        <v>100</v>
      </c>
      <c r="S756" s="83">
        <f t="shared" si="120"/>
        <v>695</v>
      </c>
      <c r="T756" s="83">
        <f>50</f>
        <v>50</v>
      </c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</row>
    <row r="757" spans="1:30" ht="15.75" x14ac:dyDescent="0.25">
      <c r="A757" s="32">
        <v>63978</v>
      </c>
      <c r="B757" s="95">
        <f t="shared" si="121"/>
        <v>28</v>
      </c>
      <c r="C757" s="83">
        <f>122.58</f>
        <v>122.58</v>
      </c>
      <c r="D757" s="83">
        <f>297.941</f>
        <v>297.94099999999997</v>
      </c>
      <c r="E757" s="92">
        <f>89.177</f>
        <v>89.177000000000007</v>
      </c>
      <c r="F757" s="83">
        <f>240.302-40-60-100</f>
        <v>40.301999999999992</v>
      </c>
      <c r="G757" s="86">
        <v>40</v>
      </c>
      <c r="H757" s="83">
        <f>60+100</f>
        <v>160</v>
      </c>
      <c r="I757" s="83">
        <f t="shared" si="124"/>
        <v>0</v>
      </c>
      <c r="J757" s="86">
        <v>100</v>
      </c>
      <c r="K757" s="86">
        <v>300</v>
      </c>
      <c r="L757" s="83">
        <f t="shared" si="117"/>
        <v>1150</v>
      </c>
      <c r="M757" s="94">
        <v>600</v>
      </c>
      <c r="N757" s="83">
        <f>100</f>
        <v>100</v>
      </c>
      <c r="O757" s="86">
        <v>240</v>
      </c>
      <c r="P757" s="86">
        <v>40</v>
      </c>
      <c r="Q757" s="86">
        <f t="shared" si="118"/>
        <v>315</v>
      </c>
      <c r="R757" s="86">
        <f t="shared" si="119"/>
        <v>100</v>
      </c>
      <c r="S757" s="83">
        <f t="shared" si="120"/>
        <v>695</v>
      </c>
      <c r="T757" s="83">
        <f>50</f>
        <v>50</v>
      </c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</row>
    <row r="758" spans="1:30" ht="15.75" x14ac:dyDescent="0.25">
      <c r="A758" s="32">
        <v>64009</v>
      </c>
      <c r="B758" s="95">
        <f t="shared" si="121"/>
        <v>31</v>
      </c>
      <c r="C758" s="83">
        <f>122.58</f>
        <v>122.58</v>
      </c>
      <c r="D758" s="83">
        <f>297.941</f>
        <v>297.94099999999997</v>
      </c>
      <c r="E758" s="92">
        <f>89.177</f>
        <v>89.177000000000007</v>
      </c>
      <c r="F758" s="83">
        <f>240.302-40-60-100</f>
        <v>40.301999999999992</v>
      </c>
      <c r="G758" s="86">
        <v>40</v>
      </c>
      <c r="H758" s="83">
        <f>60+100</f>
        <v>160</v>
      </c>
      <c r="I758" s="83">
        <f t="shared" si="124"/>
        <v>0</v>
      </c>
      <c r="J758" s="86">
        <v>100</v>
      </c>
      <c r="K758" s="86">
        <v>300</v>
      </c>
      <c r="L758" s="83">
        <f t="shared" si="117"/>
        <v>1150</v>
      </c>
      <c r="M758" s="94">
        <v>600</v>
      </c>
      <c r="N758" s="83">
        <f>100</f>
        <v>100</v>
      </c>
      <c r="O758" s="86">
        <v>240</v>
      </c>
      <c r="P758" s="86">
        <v>40</v>
      </c>
      <c r="Q758" s="86">
        <f t="shared" si="118"/>
        <v>315</v>
      </c>
      <c r="R758" s="86">
        <f t="shared" si="119"/>
        <v>100</v>
      </c>
      <c r="S758" s="83">
        <f t="shared" si="120"/>
        <v>695</v>
      </c>
      <c r="T758" s="83">
        <f>50</f>
        <v>50</v>
      </c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</row>
    <row r="759" spans="1:30" ht="15.75" x14ac:dyDescent="0.25">
      <c r="A759" s="32">
        <v>64039</v>
      </c>
      <c r="B759" s="95">
        <f t="shared" si="121"/>
        <v>30</v>
      </c>
      <c r="C759" s="83">
        <f>141.293</f>
        <v>141.29300000000001</v>
      </c>
      <c r="D759" s="83">
        <f>267.993</f>
        <v>267.99299999999999</v>
      </c>
      <c r="E759" s="92">
        <f>115.016</f>
        <v>115.01600000000001</v>
      </c>
      <c r="F759" s="83">
        <f>314.698-40-25-60-100</f>
        <v>89.697999999999979</v>
      </c>
      <c r="G759" s="86">
        <v>40</v>
      </c>
      <c r="H759" s="83">
        <f t="shared" ref="H759:H765" si="125">25+60+100</f>
        <v>185</v>
      </c>
      <c r="I759" s="83">
        <f t="shared" si="124"/>
        <v>0</v>
      </c>
      <c r="J759" s="86">
        <v>100</v>
      </c>
      <c r="K759" s="86">
        <v>300</v>
      </c>
      <c r="L759" s="83">
        <f t="shared" si="117"/>
        <v>1239</v>
      </c>
      <c r="M759" s="94">
        <v>600</v>
      </c>
      <c r="N759" s="83">
        <f>100</f>
        <v>100</v>
      </c>
      <c r="O759" s="86">
        <v>240</v>
      </c>
      <c r="P759" s="86">
        <v>40</v>
      </c>
      <c r="Q759" s="86">
        <f t="shared" si="118"/>
        <v>315</v>
      </c>
      <c r="R759" s="86">
        <f t="shared" si="119"/>
        <v>100</v>
      </c>
      <c r="S759" s="83">
        <f t="shared" si="120"/>
        <v>695</v>
      </c>
      <c r="T759" s="83">
        <f>50</f>
        <v>50</v>
      </c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</row>
    <row r="760" spans="1:30" ht="15.75" x14ac:dyDescent="0.25">
      <c r="A760" s="32">
        <v>64070</v>
      </c>
      <c r="B760" s="95">
        <f t="shared" si="121"/>
        <v>31</v>
      </c>
      <c r="C760" s="83">
        <f>194.205</f>
        <v>194.20500000000001</v>
      </c>
      <c r="D760" s="83">
        <f>267.466</f>
        <v>267.46600000000001</v>
      </c>
      <c r="E760" s="92">
        <f>133.845</f>
        <v>133.845</v>
      </c>
      <c r="F760" s="83">
        <f>278.484-40-25-60-100</f>
        <v>53.48399999999998</v>
      </c>
      <c r="G760" s="86">
        <v>40</v>
      </c>
      <c r="H760" s="83">
        <f t="shared" si="125"/>
        <v>185</v>
      </c>
      <c r="I760" s="83">
        <f t="shared" si="124"/>
        <v>0</v>
      </c>
      <c r="J760" s="86">
        <v>100</v>
      </c>
      <c r="K760" s="86">
        <v>300</v>
      </c>
      <c r="L760" s="83">
        <f t="shared" si="117"/>
        <v>1274</v>
      </c>
      <c r="M760" s="94">
        <v>600</v>
      </c>
      <c r="N760" s="83">
        <f>75</f>
        <v>75</v>
      </c>
      <c r="O760" s="86">
        <v>240</v>
      </c>
      <c r="P760" s="86">
        <v>40</v>
      </c>
      <c r="Q760" s="86">
        <f t="shared" si="118"/>
        <v>315</v>
      </c>
      <c r="R760" s="86">
        <f t="shared" si="119"/>
        <v>100</v>
      </c>
      <c r="S760" s="83">
        <f t="shared" si="120"/>
        <v>695</v>
      </c>
      <c r="T760" s="83">
        <f>50</f>
        <v>50</v>
      </c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</row>
    <row r="761" spans="1:30" ht="15.75" x14ac:dyDescent="0.25">
      <c r="A761" s="32">
        <v>64100</v>
      </c>
      <c r="B761" s="95">
        <f t="shared" si="121"/>
        <v>30</v>
      </c>
      <c r="C761" s="83">
        <f>194.205</f>
        <v>194.20500000000001</v>
      </c>
      <c r="D761" s="83">
        <f>267.466</f>
        <v>267.46600000000001</v>
      </c>
      <c r="E761" s="92">
        <f>133.845</f>
        <v>133.845</v>
      </c>
      <c r="F761" s="83">
        <f>278.484-40-25-60-100</f>
        <v>53.48399999999998</v>
      </c>
      <c r="G761" s="86">
        <v>40</v>
      </c>
      <c r="H761" s="83">
        <f t="shared" si="125"/>
        <v>185</v>
      </c>
      <c r="I761" s="83">
        <f t="shared" si="124"/>
        <v>0</v>
      </c>
      <c r="J761" s="86">
        <v>100</v>
      </c>
      <c r="K761" s="86">
        <v>300</v>
      </c>
      <c r="L761" s="83">
        <f t="shared" si="117"/>
        <v>1274</v>
      </c>
      <c r="M761" s="94">
        <v>600</v>
      </c>
      <c r="N761" s="83">
        <f>30</f>
        <v>30</v>
      </c>
      <c r="O761" s="86">
        <v>240</v>
      </c>
      <c r="P761" s="86">
        <v>40</v>
      </c>
      <c r="Q761" s="86">
        <f t="shared" si="118"/>
        <v>315</v>
      </c>
      <c r="R761" s="86">
        <f t="shared" si="119"/>
        <v>100</v>
      </c>
      <c r="S761" s="83">
        <f t="shared" si="120"/>
        <v>695</v>
      </c>
      <c r="T761" s="83">
        <f>50</f>
        <v>50</v>
      </c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</row>
    <row r="762" spans="1:30" ht="15.75" x14ac:dyDescent="0.25">
      <c r="A762" s="32">
        <v>64131</v>
      </c>
      <c r="B762" s="95">
        <f t="shared" si="121"/>
        <v>31</v>
      </c>
      <c r="C762" s="83">
        <f>194.205</f>
        <v>194.20500000000001</v>
      </c>
      <c r="D762" s="83">
        <f>267.466</f>
        <v>267.46600000000001</v>
      </c>
      <c r="E762" s="92">
        <f>133.845</f>
        <v>133.845</v>
      </c>
      <c r="F762" s="83">
        <f>278.484-40-25-60-100</f>
        <v>53.48399999999998</v>
      </c>
      <c r="G762" s="86">
        <v>40</v>
      </c>
      <c r="H762" s="83">
        <f t="shared" si="125"/>
        <v>185</v>
      </c>
      <c r="I762" s="83">
        <f t="shared" si="124"/>
        <v>0</v>
      </c>
      <c r="J762" s="86">
        <v>100</v>
      </c>
      <c r="K762" s="86">
        <v>300</v>
      </c>
      <c r="L762" s="83">
        <f t="shared" si="117"/>
        <v>1274</v>
      </c>
      <c r="M762" s="94">
        <v>600</v>
      </c>
      <c r="N762" s="83">
        <f>30</f>
        <v>30</v>
      </c>
      <c r="O762" s="86">
        <v>240</v>
      </c>
      <c r="P762" s="86">
        <v>40</v>
      </c>
      <c r="Q762" s="86">
        <f t="shared" si="118"/>
        <v>315</v>
      </c>
      <c r="R762" s="86">
        <f t="shared" si="119"/>
        <v>100</v>
      </c>
      <c r="S762" s="83">
        <f t="shared" si="120"/>
        <v>695</v>
      </c>
      <c r="T762" s="83">
        <f>0</f>
        <v>0</v>
      </c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</row>
    <row r="763" spans="1:30" ht="15.75" x14ac:dyDescent="0.25">
      <c r="A763" s="32">
        <v>64162</v>
      </c>
      <c r="B763" s="95">
        <f t="shared" si="121"/>
        <v>31</v>
      </c>
      <c r="C763" s="83">
        <f>194.205</f>
        <v>194.20500000000001</v>
      </c>
      <c r="D763" s="83">
        <f>267.466</f>
        <v>267.46600000000001</v>
      </c>
      <c r="E763" s="92">
        <f>133.845</f>
        <v>133.845</v>
      </c>
      <c r="F763" s="83">
        <f>278.484-40-25-60-100</f>
        <v>53.48399999999998</v>
      </c>
      <c r="G763" s="86">
        <v>40</v>
      </c>
      <c r="H763" s="83">
        <f t="shared" si="125"/>
        <v>185</v>
      </c>
      <c r="I763" s="83">
        <f t="shared" si="124"/>
        <v>0</v>
      </c>
      <c r="J763" s="86">
        <v>100</v>
      </c>
      <c r="K763" s="86">
        <v>300</v>
      </c>
      <c r="L763" s="83">
        <f t="shared" si="117"/>
        <v>1274</v>
      </c>
      <c r="M763" s="94">
        <v>600</v>
      </c>
      <c r="N763" s="83">
        <f>30</f>
        <v>30</v>
      </c>
      <c r="O763" s="86">
        <v>240</v>
      </c>
      <c r="P763" s="86">
        <v>40</v>
      </c>
      <c r="Q763" s="86">
        <f t="shared" si="118"/>
        <v>315</v>
      </c>
      <c r="R763" s="86">
        <f t="shared" si="119"/>
        <v>100</v>
      </c>
      <c r="S763" s="83">
        <f t="shared" si="120"/>
        <v>695</v>
      </c>
      <c r="T763" s="83">
        <f>0</f>
        <v>0</v>
      </c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</row>
    <row r="764" spans="1:30" ht="15.75" x14ac:dyDescent="0.25">
      <c r="A764" s="32">
        <v>64192</v>
      </c>
      <c r="B764" s="95">
        <f t="shared" si="121"/>
        <v>30</v>
      </c>
      <c r="C764" s="83">
        <f>194.205</f>
        <v>194.20500000000001</v>
      </c>
      <c r="D764" s="83">
        <f>267.466</f>
        <v>267.46600000000001</v>
      </c>
      <c r="E764" s="92">
        <f>133.845</f>
        <v>133.845</v>
      </c>
      <c r="F764" s="83">
        <f>278.484-40-25-60-100</f>
        <v>53.48399999999998</v>
      </c>
      <c r="G764" s="86">
        <v>40</v>
      </c>
      <c r="H764" s="83">
        <f t="shared" si="125"/>
        <v>185</v>
      </c>
      <c r="I764" s="83">
        <f t="shared" si="124"/>
        <v>0</v>
      </c>
      <c r="J764" s="86">
        <v>100</v>
      </c>
      <c r="K764" s="86">
        <v>300</v>
      </c>
      <c r="L764" s="83">
        <f t="shared" si="117"/>
        <v>1274</v>
      </c>
      <c r="M764" s="94">
        <v>600</v>
      </c>
      <c r="N764" s="83">
        <f>30</f>
        <v>30</v>
      </c>
      <c r="O764" s="86">
        <v>240</v>
      </c>
      <c r="P764" s="86">
        <v>40</v>
      </c>
      <c r="Q764" s="86">
        <f t="shared" si="118"/>
        <v>315</v>
      </c>
      <c r="R764" s="86">
        <f t="shared" si="119"/>
        <v>100</v>
      </c>
      <c r="S764" s="83">
        <f t="shared" si="120"/>
        <v>695</v>
      </c>
      <c r="T764" s="83">
        <f>0</f>
        <v>0</v>
      </c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</row>
    <row r="765" spans="1:30" ht="15.75" x14ac:dyDescent="0.25">
      <c r="A765" s="32">
        <v>64223</v>
      </c>
      <c r="B765" s="95">
        <f t="shared" si="121"/>
        <v>31</v>
      </c>
      <c r="C765" s="83">
        <f>131.881</f>
        <v>131.881</v>
      </c>
      <c r="D765" s="83">
        <f>277.167</f>
        <v>277.16699999999997</v>
      </c>
      <c r="E765" s="92">
        <f>79.08</f>
        <v>79.08</v>
      </c>
      <c r="F765" s="83">
        <f>350.872-40-25-60-100</f>
        <v>125.87200000000001</v>
      </c>
      <c r="G765" s="86">
        <v>40</v>
      </c>
      <c r="H765" s="83">
        <f t="shared" si="125"/>
        <v>185</v>
      </c>
      <c r="I765" s="83">
        <f t="shared" si="124"/>
        <v>0</v>
      </c>
      <c r="J765" s="86">
        <v>100</v>
      </c>
      <c r="K765" s="86">
        <v>300</v>
      </c>
      <c r="L765" s="83">
        <f t="shared" si="117"/>
        <v>1239</v>
      </c>
      <c r="M765" s="94">
        <v>600</v>
      </c>
      <c r="N765" s="83">
        <f>75</f>
        <v>75</v>
      </c>
      <c r="O765" s="86">
        <v>240</v>
      </c>
      <c r="P765" s="86">
        <v>40</v>
      </c>
      <c r="Q765" s="86">
        <f t="shared" si="118"/>
        <v>315</v>
      </c>
      <c r="R765" s="86">
        <f t="shared" si="119"/>
        <v>100</v>
      </c>
      <c r="S765" s="83">
        <f t="shared" si="120"/>
        <v>695</v>
      </c>
      <c r="T765" s="83">
        <f>0</f>
        <v>0</v>
      </c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</row>
    <row r="766" spans="1:30" ht="15.75" x14ac:dyDescent="0.25">
      <c r="A766" s="32">
        <v>64253</v>
      </c>
      <c r="B766" s="95">
        <f t="shared" si="121"/>
        <v>30</v>
      </c>
      <c r="C766" s="83">
        <f>122.58</f>
        <v>122.58</v>
      </c>
      <c r="D766" s="83">
        <f>297.941</f>
        <v>297.94099999999997</v>
      </c>
      <c r="E766" s="92">
        <f>89.177</f>
        <v>89.177000000000007</v>
      </c>
      <c r="F766" s="83">
        <f>240.302-40-60-100</f>
        <v>40.301999999999992</v>
      </c>
      <c r="G766" s="86">
        <v>40</v>
      </c>
      <c r="H766" s="83">
        <f>60+100</f>
        <v>160</v>
      </c>
      <c r="I766" s="83">
        <f t="shared" si="124"/>
        <v>0</v>
      </c>
      <c r="J766" s="86">
        <v>100</v>
      </c>
      <c r="K766" s="86">
        <v>300</v>
      </c>
      <c r="L766" s="83">
        <f t="shared" si="117"/>
        <v>1150</v>
      </c>
      <c r="M766" s="94">
        <v>600</v>
      </c>
      <c r="N766" s="83">
        <f>100</f>
        <v>100</v>
      </c>
      <c r="O766" s="86">
        <v>240</v>
      </c>
      <c r="P766" s="86">
        <v>40</v>
      </c>
      <c r="Q766" s="86">
        <f t="shared" si="118"/>
        <v>315</v>
      </c>
      <c r="R766" s="86">
        <f t="shared" si="119"/>
        <v>100</v>
      </c>
      <c r="S766" s="83">
        <f t="shared" si="120"/>
        <v>695</v>
      </c>
      <c r="T766" s="83">
        <f>50</f>
        <v>50</v>
      </c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</row>
    <row r="767" spans="1:30" ht="15.75" x14ac:dyDescent="0.25">
      <c r="A767" s="32">
        <v>64284</v>
      </c>
      <c r="B767" s="95">
        <f t="shared" si="121"/>
        <v>31</v>
      </c>
      <c r="C767" s="83">
        <f>122.58</f>
        <v>122.58</v>
      </c>
      <c r="D767" s="83">
        <f>297.941</f>
        <v>297.94099999999997</v>
      </c>
      <c r="E767" s="92">
        <f>89.177</f>
        <v>89.177000000000007</v>
      </c>
      <c r="F767" s="83">
        <f>240.302-40-60-100</f>
        <v>40.301999999999992</v>
      </c>
      <c r="G767" s="86">
        <v>40</v>
      </c>
      <c r="H767" s="83">
        <f>60+100</f>
        <v>160</v>
      </c>
      <c r="I767" s="83">
        <f t="shared" si="124"/>
        <v>0</v>
      </c>
      <c r="J767" s="86">
        <v>100</v>
      </c>
      <c r="K767" s="86">
        <v>300</v>
      </c>
      <c r="L767" s="83">
        <f t="shared" si="117"/>
        <v>1150</v>
      </c>
      <c r="M767" s="94">
        <v>600</v>
      </c>
      <c r="N767" s="83">
        <f>100</f>
        <v>100</v>
      </c>
      <c r="O767" s="86">
        <v>240</v>
      </c>
      <c r="P767" s="86">
        <v>40</v>
      </c>
      <c r="Q767" s="86">
        <f t="shared" si="118"/>
        <v>315</v>
      </c>
      <c r="R767" s="86">
        <f t="shared" si="119"/>
        <v>100</v>
      </c>
      <c r="S767" s="83">
        <f t="shared" si="120"/>
        <v>695</v>
      </c>
      <c r="T767" s="83">
        <f>50</f>
        <v>50</v>
      </c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</row>
    <row r="768" spans="1:30" ht="15.75" x14ac:dyDescent="0.25">
      <c r="A768" s="32">
        <v>64315</v>
      </c>
      <c r="B768" s="95">
        <f t="shared" si="121"/>
        <v>31</v>
      </c>
      <c r="C768" s="83">
        <f>122.58</f>
        <v>122.58</v>
      </c>
      <c r="D768" s="83">
        <f>297.941</f>
        <v>297.94099999999997</v>
      </c>
      <c r="E768" s="92">
        <f>89.177</f>
        <v>89.177000000000007</v>
      </c>
      <c r="F768" s="83">
        <f>240.302-40-60-100</f>
        <v>40.301999999999992</v>
      </c>
      <c r="G768" s="86">
        <v>40</v>
      </c>
      <c r="H768" s="83">
        <f>60+100</f>
        <v>160</v>
      </c>
      <c r="I768" s="83">
        <f t="shared" si="124"/>
        <v>0</v>
      </c>
      <c r="J768" s="86">
        <v>100</v>
      </c>
      <c r="K768" s="86">
        <v>300</v>
      </c>
      <c r="L768" s="83">
        <f t="shared" si="117"/>
        <v>1150</v>
      </c>
      <c r="M768" s="94">
        <v>600</v>
      </c>
      <c r="N768" s="83">
        <f>100</f>
        <v>100</v>
      </c>
      <c r="O768" s="86">
        <v>240</v>
      </c>
      <c r="P768" s="86">
        <v>40</v>
      </c>
      <c r="Q768" s="86">
        <f t="shared" si="118"/>
        <v>315</v>
      </c>
      <c r="R768" s="86">
        <f t="shared" si="119"/>
        <v>100</v>
      </c>
      <c r="S768" s="83">
        <f t="shared" si="120"/>
        <v>695</v>
      </c>
      <c r="T768" s="83">
        <f>50</f>
        <v>50</v>
      </c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</row>
    <row r="769" spans="1:30" ht="15.75" x14ac:dyDescent="0.25">
      <c r="A769" s="32">
        <v>64344</v>
      </c>
      <c r="B769" s="95">
        <f t="shared" si="121"/>
        <v>29</v>
      </c>
      <c r="C769" s="83">
        <f>122.58</f>
        <v>122.58</v>
      </c>
      <c r="D769" s="83">
        <f>297.941</f>
        <v>297.94099999999997</v>
      </c>
      <c r="E769" s="92">
        <f>89.177</f>
        <v>89.177000000000007</v>
      </c>
      <c r="F769" s="83">
        <f>240.302-40-60-100</f>
        <v>40.301999999999992</v>
      </c>
      <c r="G769" s="86">
        <v>40</v>
      </c>
      <c r="H769" s="83">
        <f>60+100</f>
        <v>160</v>
      </c>
      <c r="I769" s="83">
        <f t="shared" si="124"/>
        <v>0</v>
      </c>
      <c r="J769" s="86">
        <v>100</v>
      </c>
      <c r="K769" s="86">
        <v>300</v>
      </c>
      <c r="L769" s="83">
        <f t="shared" si="117"/>
        <v>1150</v>
      </c>
      <c r="M769" s="94">
        <v>600</v>
      </c>
      <c r="N769" s="83">
        <f>100</f>
        <v>100</v>
      </c>
      <c r="O769" s="86">
        <v>240</v>
      </c>
      <c r="P769" s="86">
        <v>40</v>
      </c>
      <c r="Q769" s="86">
        <f t="shared" si="118"/>
        <v>315</v>
      </c>
      <c r="R769" s="86">
        <f t="shared" si="119"/>
        <v>100</v>
      </c>
      <c r="S769" s="83">
        <f t="shared" si="120"/>
        <v>695</v>
      </c>
      <c r="T769" s="83">
        <f>50</f>
        <v>50</v>
      </c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</row>
    <row r="770" spans="1:30" ht="15.75" x14ac:dyDescent="0.25">
      <c r="A770" s="32">
        <v>64375</v>
      </c>
      <c r="B770" s="95">
        <f t="shared" si="121"/>
        <v>31</v>
      </c>
      <c r="C770" s="83">
        <f>122.58</f>
        <v>122.58</v>
      </c>
      <c r="D770" s="83">
        <f>297.941</f>
        <v>297.94099999999997</v>
      </c>
      <c r="E770" s="92">
        <f>89.177</f>
        <v>89.177000000000007</v>
      </c>
      <c r="F770" s="83">
        <f>240.302-40-60-100</f>
        <v>40.301999999999992</v>
      </c>
      <c r="G770" s="86">
        <v>40</v>
      </c>
      <c r="H770" s="83">
        <f>60+100</f>
        <v>160</v>
      </c>
      <c r="I770" s="83">
        <f t="shared" si="124"/>
        <v>0</v>
      </c>
      <c r="J770" s="86">
        <v>100</v>
      </c>
      <c r="K770" s="86">
        <v>300</v>
      </c>
      <c r="L770" s="83">
        <f t="shared" si="117"/>
        <v>1150</v>
      </c>
      <c r="M770" s="94">
        <v>600</v>
      </c>
      <c r="N770" s="83">
        <f>100</f>
        <v>100</v>
      </c>
      <c r="O770" s="86">
        <v>240</v>
      </c>
      <c r="P770" s="86">
        <v>40</v>
      </c>
      <c r="Q770" s="86">
        <f t="shared" si="118"/>
        <v>315</v>
      </c>
      <c r="R770" s="86">
        <f t="shared" si="119"/>
        <v>100</v>
      </c>
      <c r="S770" s="83">
        <f t="shared" si="120"/>
        <v>695</v>
      </c>
      <c r="T770" s="83">
        <f>50</f>
        <v>50</v>
      </c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</row>
    <row r="771" spans="1:30" ht="15.75" x14ac:dyDescent="0.25">
      <c r="A771" s="32">
        <v>64405</v>
      </c>
      <c r="B771" s="95">
        <f t="shared" si="121"/>
        <v>30</v>
      </c>
      <c r="C771" s="83">
        <f>141.293</f>
        <v>141.29300000000001</v>
      </c>
      <c r="D771" s="83">
        <f>267.993</f>
        <v>267.99299999999999</v>
      </c>
      <c r="E771" s="92">
        <f>115.016</f>
        <v>115.01600000000001</v>
      </c>
      <c r="F771" s="83">
        <f>314.698-40-25-60-100</f>
        <v>89.697999999999979</v>
      </c>
      <c r="G771" s="86">
        <v>40</v>
      </c>
      <c r="H771" s="83">
        <f t="shared" ref="H771:H777" si="126">25+60+100</f>
        <v>185</v>
      </c>
      <c r="I771" s="83">
        <f t="shared" si="124"/>
        <v>0</v>
      </c>
      <c r="J771" s="86">
        <v>100</v>
      </c>
      <c r="K771" s="86">
        <v>300</v>
      </c>
      <c r="L771" s="83">
        <f t="shared" si="117"/>
        <v>1239</v>
      </c>
      <c r="M771" s="94">
        <v>600</v>
      </c>
      <c r="N771" s="83">
        <f>100</f>
        <v>100</v>
      </c>
      <c r="O771" s="86">
        <v>240</v>
      </c>
      <c r="P771" s="86">
        <v>40</v>
      </c>
      <c r="Q771" s="86">
        <f t="shared" si="118"/>
        <v>315</v>
      </c>
      <c r="R771" s="86">
        <f t="shared" si="119"/>
        <v>100</v>
      </c>
      <c r="S771" s="83">
        <f t="shared" si="120"/>
        <v>695</v>
      </c>
      <c r="T771" s="83">
        <f>50</f>
        <v>50</v>
      </c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</row>
    <row r="772" spans="1:30" ht="15.75" x14ac:dyDescent="0.25">
      <c r="A772" s="32">
        <v>64436</v>
      </c>
      <c r="B772" s="95">
        <f t="shared" si="121"/>
        <v>31</v>
      </c>
      <c r="C772" s="83">
        <f>194.205</f>
        <v>194.20500000000001</v>
      </c>
      <c r="D772" s="83">
        <f>267.466</f>
        <v>267.46600000000001</v>
      </c>
      <c r="E772" s="92">
        <f>133.845</f>
        <v>133.845</v>
      </c>
      <c r="F772" s="83">
        <f>278.484-40-25-60-100</f>
        <v>53.48399999999998</v>
      </c>
      <c r="G772" s="86">
        <v>40</v>
      </c>
      <c r="H772" s="83">
        <f t="shared" si="126"/>
        <v>185</v>
      </c>
      <c r="I772" s="83">
        <f t="shared" si="124"/>
        <v>0</v>
      </c>
      <c r="J772" s="86">
        <v>100</v>
      </c>
      <c r="K772" s="86">
        <v>300</v>
      </c>
      <c r="L772" s="83">
        <f t="shared" si="117"/>
        <v>1274</v>
      </c>
      <c r="M772" s="94">
        <v>600</v>
      </c>
      <c r="N772" s="83">
        <f>75</f>
        <v>75</v>
      </c>
      <c r="O772" s="86">
        <v>240</v>
      </c>
      <c r="P772" s="86">
        <v>40</v>
      </c>
      <c r="Q772" s="86">
        <f t="shared" si="118"/>
        <v>315</v>
      </c>
      <c r="R772" s="86">
        <f t="shared" si="119"/>
        <v>100</v>
      </c>
      <c r="S772" s="83">
        <f t="shared" si="120"/>
        <v>695</v>
      </c>
      <c r="T772" s="83">
        <f>50</f>
        <v>50</v>
      </c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</row>
    <row r="773" spans="1:30" ht="15.75" x14ac:dyDescent="0.25">
      <c r="A773" s="32">
        <v>64466</v>
      </c>
      <c r="B773" s="95">
        <f t="shared" si="121"/>
        <v>30</v>
      </c>
      <c r="C773" s="83">
        <f>194.205</f>
        <v>194.20500000000001</v>
      </c>
      <c r="D773" s="83">
        <f>267.466</f>
        <v>267.46600000000001</v>
      </c>
      <c r="E773" s="92">
        <f>133.845</f>
        <v>133.845</v>
      </c>
      <c r="F773" s="83">
        <f>278.484-40-25-60-100</f>
        <v>53.48399999999998</v>
      </c>
      <c r="G773" s="86">
        <v>40</v>
      </c>
      <c r="H773" s="83">
        <f t="shared" si="126"/>
        <v>185</v>
      </c>
      <c r="I773" s="83">
        <f t="shared" si="124"/>
        <v>0</v>
      </c>
      <c r="J773" s="86">
        <v>100</v>
      </c>
      <c r="K773" s="86">
        <v>300</v>
      </c>
      <c r="L773" s="83">
        <f t="shared" si="117"/>
        <v>1274</v>
      </c>
      <c r="M773" s="94">
        <v>600</v>
      </c>
      <c r="N773" s="83">
        <f>30</f>
        <v>30</v>
      </c>
      <c r="O773" s="86">
        <v>240</v>
      </c>
      <c r="P773" s="86">
        <v>40</v>
      </c>
      <c r="Q773" s="86">
        <f t="shared" si="118"/>
        <v>315</v>
      </c>
      <c r="R773" s="86">
        <f t="shared" si="119"/>
        <v>100</v>
      </c>
      <c r="S773" s="83">
        <f t="shared" si="120"/>
        <v>695</v>
      </c>
      <c r="T773" s="83">
        <f>50</f>
        <v>50</v>
      </c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</row>
    <row r="774" spans="1:30" ht="15.75" x14ac:dyDescent="0.25">
      <c r="A774" s="32">
        <v>64497</v>
      </c>
      <c r="B774" s="95">
        <f t="shared" si="121"/>
        <v>31</v>
      </c>
      <c r="C774" s="83">
        <f>194.205</f>
        <v>194.20500000000001</v>
      </c>
      <c r="D774" s="83">
        <f>267.466</f>
        <v>267.46600000000001</v>
      </c>
      <c r="E774" s="92">
        <f>133.845</f>
        <v>133.845</v>
      </c>
      <c r="F774" s="83">
        <f>278.484-40-25-60-100</f>
        <v>53.48399999999998</v>
      </c>
      <c r="G774" s="86">
        <v>40</v>
      </c>
      <c r="H774" s="83">
        <f t="shared" si="126"/>
        <v>185</v>
      </c>
      <c r="I774" s="83">
        <f t="shared" si="124"/>
        <v>0</v>
      </c>
      <c r="J774" s="86">
        <v>100</v>
      </c>
      <c r="K774" s="86">
        <v>300</v>
      </c>
      <c r="L774" s="83">
        <f t="shared" si="117"/>
        <v>1274</v>
      </c>
      <c r="M774" s="94">
        <v>600</v>
      </c>
      <c r="N774" s="83">
        <f>30</f>
        <v>30</v>
      </c>
      <c r="O774" s="86">
        <v>240</v>
      </c>
      <c r="P774" s="86">
        <v>40</v>
      </c>
      <c r="Q774" s="86">
        <f t="shared" si="118"/>
        <v>315</v>
      </c>
      <c r="R774" s="86">
        <f t="shared" si="119"/>
        <v>100</v>
      </c>
      <c r="S774" s="83">
        <f t="shared" si="120"/>
        <v>695</v>
      </c>
      <c r="T774" s="83">
        <f>0</f>
        <v>0</v>
      </c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</row>
    <row r="775" spans="1:30" ht="15.75" x14ac:dyDescent="0.25">
      <c r="A775" s="32">
        <v>64528</v>
      </c>
      <c r="B775" s="95">
        <f t="shared" si="121"/>
        <v>31</v>
      </c>
      <c r="C775" s="83">
        <f>194.205</f>
        <v>194.20500000000001</v>
      </c>
      <c r="D775" s="83">
        <f>267.466</f>
        <v>267.46600000000001</v>
      </c>
      <c r="E775" s="92">
        <f>133.845</f>
        <v>133.845</v>
      </c>
      <c r="F775" s="83">
        <f>278.484-40-25-60-100</f>
        <v>53.48399999999998</v>
      </c>
      <c r="G775" s="86">
        <v>40</v>
      </c>
      <c r="H775" s="83">
        <f t="shared" si="126"/>
        <v>185</v>
      </c>
      <c r="I775" s="83">
        <f t="shared" si="124"/>
        <v>0</v>
      </c>
      <c r="J775" s="86">
        <v>100</v>
      </c>
      <c r="K775" s="86">
        <v>300</v>
      </c>
      <c r="L775" s="83">
        <f t="shared" si="117"/>
        <v>1274</v>
      </c>
      <c r="M775" s="94">
        <v>600</v>
      </c>
      <c r="N775" s="83">
        <f>30</f>
        <v>30</v>
      </c>
      <c r="O775" s="86">
        <v>240</v>
      </c>
      <c r="P775" s="86">
        <v>40</v>
      </c>
      <c r="Q775" s="86">
        <f t="shared" si="118"/>
        <v>315</v>
      </c>
      <c r="R775" s="86">
        <f t="shared" si="119"/>
        <v>100</v>
      </c>
      <c r="S775" s="83">
        <f t="shared" si="120"/>
        <v>695</v>
      </c>
      <c r="T775" s="83">
        <f>0</f>
        <v>0</v>
      </c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</row>
    <row r="776" spans="1:30" ht="15.75" x14ac:dyDescent="0.25">
      <c r="A776" s="32">
        <v>64558</v>
      </c>
      <c r="B776" s="95">
        <f t="shared" si="121"/>
        <v>30</v>
      </c>
      <c r="C776" s="83">
        <f>194.205</f>
        <v>194.20500000000001</v>
      </c>
      <c r="D776" s="83">
        <f>267.466</f>
        <v>267.46600000000001</v>
      </c>
      <c r="E776" s="92">
        <f>133.845</f>
        <v>133.845</v>
      </c>
      <c r="F776" s="83">
        <f>278.484-40-25-60-100</f>
        <v>53.48399999999998</v>
      </c>
      <c r="G776" s="86">
        <v>40</v>
      </c>
      <c r="H776" s="83">
        <f t="shared" si="126"/>
        <v>185</v>
      </c>
      <c r="I776" s="83">
        <f t="shared" si="124"/>
        <v>0</v>
      </c>
      <c r="J776" s="86">
        <v>100</v>
      </c>
      <c r="K776" s="86">
        <v>300</v>
      </c>
      <c r="L776" s="83">
        <f t="shared" si="117"/>
        <v>1274</v>
      </c>
      <c r="M776" s="94">
        <v>600</v>
      </c>
      <c r="N776" s="83">
        <f>30</f>
        <v>30</v>
      </c>
      <c r="O776" s="86">
        <v>240</v>
      </c>
      <c r="P776" s="86">
        <v>40</v>
      </c>
      <c r="Q776" s="86">
        <f t="shared" si="118"/>
        <v>315</v>
      </c>
      <c r="R776" s="86">
        <f t="shared" si="119"/>
        <v>100</v>
      </c>
      <c r="S776" s="83">
        <f t="shared" si="120"/>
        <v>695</v>
      </c>
      <c r="T776" s="83">
        <f>0</f>
        <v>0</v>
      </c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</row>
    <row r="777" spans="1:30" ht="15.75" x14ac:dyDescent="0.25">
      <c r="A777" s="32">
        <v>64589</v>
      </c>
      <c r="B777" s="95">
        <f t="shared" si="121"/>
        <v>31</v>
      </c>
      <c r="C777" s="83">
        <f>131.881</f>
        <v>131.881</v>
      </c>
      <c r="D777" s="83">
        <f>277.167</f>
        <v>277.16699999999997</v>
      </c>
      <c r="E777" s="92">
        <f>79.08</f>
        <v>79.08</v>
      </c>
      <c r="F777" s="83">
        <f>350.872-40-25-60-100</f>
        <v>125.87200000000001</v>
      </c>
      <c r="G777" s="86">
        <v>40</v>
      </c>
      <c r="H777" s="83">
        <f t="shared" si="126"/>
        <v>185</v>
      </c>
      <c r="I777" s="83">
        <f t="shared" si="124"/>
        <v>0</v>
      </c>
      <c r="J777" s="86">
        <v>100</v>
      </c>
      <c r="K777" s="86">
        <v>300</v>
      </c>
      <c r="L777" s="83">
        <f t="shared" si="117"/>
        <v>1239</v>
      </c>
      <c r="M777" s="94">
        <v>600</v>
      </c>
      <c r="N777" s="83">
        <f>75</f>
        <v>75</v>
      </c>
      <c r="O777" s="86">
        <v>240</v>
      </c>
      <c r="P777" s="86">
        <v>40</v>
      </c>
      <c r="Q777" s="86">
        <f t="shared" si="118"/>
        <v>315</v>
      </c>
      <c r="R777" s="86">
        <f t="shared" si="119"/>
        <v>100</v>
      </c>
      <c r="S777" s="83">
        <f t="shared" si="120"/>
        <v>695</v>
      </c>
      <c r="T777" s="83">
        <f>0</f>
        <v>0</v>
      </c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</row>
    <row r="778" spans="1:30" ht="15.75" x14ac:dyDescent="0.25">
      <c r="A778" s="32">
        <v>64619</v>
      </c>
      <c r="B778" s="95">
        <f t="shared" si="121"/>
        <v>30</v>
      </c>
      <c r="C778" s="83">
        <f>122.58</f>
        <v>122.58</v>
      </c>
      <c r="D778" s="83">
        <f>297.941</f>
        <v>297.94099999999997</v>
      </c>
      <c r="E778" s="92">
        <f>89.177</f>
        <v>89.177000000000007</v>
      </c>
      <c r="F778" s="83">
        <f>240.302-40-60-100</f>
        <v>40.301999999999992</v>
      </c>
      <c r="G778" s="86">
        <v>40</v>
      </c>
      <c r="H778" s="83">
        <f>60+100</f>
        <v>160</v>
      </c>
      <c r="I778" s="83">
        <f t="shared" si="124"/>
        <v>0</v>
      </c>
      <c r="J778" s="86">
        <v>100</v>
      </c>
      <c r="K778" s="86">
        <v>300</v>
      </c>
      <c r="L778" s="83">
        <f t="shared" si="117"/>
        <v>1150</v>
      </c>
      <c r="M778" s="94">
        <v>600</v>
      </c>
      <c r="N778" s="83">
        <f>100</f>
        <v>100</v>
      </c>
      <c r="O778" s="86">
        <v>240</v>
      </c>
      <c r="P778" s="86">
        <v>40</v>
      </c>
      <c r="Q778" s="86">
        <f t="shared" si="118"/>
        <v>315</v>
      </c>
      <c r="R778" s="86">
        <f t="shared" si="119"/>
        <v>100</v>
      </c>
      <c r="S778" s="83">
        <f t="shared" si="120"/>
        <v>695</v>
      </c>
      <c r="T778" s="83">
        <f>50</f>
        <v>50</v>
      </c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</row>
    <row r="779" spans="1:30" ht="15.75" x14ac:dyDescent="0.25">
      <c r="A779" s="32">
        <v>64650</v>
      </c>
      <c r="B779" s="95">
        <f t="shared" si="121"/>
        <v>31</v>
      </c>
      <c r="C779" s="83">
        <f>122.58</f>
        <v>122.58</v>
      </c>
      <c r="D779" s="83">
        <f>297.941</f>
        <v>297.94099999999997</v>
      </c>
      <c r="E779" s="92">
        <f>89.177</f>
        <v>89.177000000000007</v>
      </c>
      <c r="F779" s="83">
        <f>240.302-40-60-100</f>
        <v>40.301999999999992</v>
      </c>
      <c r="G779" s="86">
        <v>40</v>
      </c>
      <c r="H779" s="83">
        <f>60+100</f>
        <v>160</v>
      </c>
      <c r="I779" s="83">
        <f t="shared" si="124"/>
        <v>0</v>
      </c>
      <c r="J779" s="86">
        <v>100</v>
      </c>
      <c r="K779" s="86">
        <v>300</v>
      </c>
      <c r="L779" s="83">
        <f t="shared" si="117"/>
        <v>1150</v>
      </c>
      <c r="M779" s="94">
        <v>600</v>
      </c>
      <c r="N779" s="83">
        <f>100</f>
        <v>100</v>
      </c>
      <c r="O779" s="86">
        <v>240</v>
      </c>
      <c r="P779" s="86">
        <v>40</v>
      </c>
      <c r="Q779" s="86">
        <f t="shared" si="118"/>
        <v>315</v>
      </c>
      <c r="R779" s="86">
        <f t="shared" si="119"/>
        <v>100</v>
      </c>
      <c r="S779" s="83">
        <f t="shared" si="120"/>
        <v>695</v>
      </c>
      <c r="T779" s="83">
        <f>50</f>
        <v>50</v>
      </c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</row>
    <row r="780" spans="1:30" ht="15.75" x14ac:dyDescent="0.25">
      <c r="A780" s="32">
        <v>64681</v>
      </c>
      <c r="B780" s="95">
        <f t="shared" si="121"/>
        <v>31</v>
      </c>
      <c r="C780" s="83">
        <f>122.58</f>
        <v>122.58</v>
      </c>
      <c r="D780" s="83">
        <f>297.941</f>
        <v>297.94099999999997</v>
      </c>
      <c r="E780" s="92">
        <f>89.177</f>
        <v>89.177000000000007</v>
      </c>
      <c r="F780" s="83">
        <f>240.302-40-60-100</f>
        <v>40.301999999999992</v>
      </c>
      <c r="G780" s="86">
        <v>40</v>
      </c>
      <c r="H780" s="83">
        <f>60+100</f>
        <v>160</v>
      </c>
      <c r="I780" s="83">
        <f t="shared" si="124"/>
        <v>0</v>
      </c>
      <c r="J780" s="86">
        <v>100</v>
      </c>
      <c r="K780" s="86">
        <v>300</v>
      </c>
      <c r="L780" s="83">
        <f t="shared" si="117"/>
        <v>1150</v>
      </c>
      <c r="M780" s="94">
        <v>600</v>
      </c>
      <c r="N780" s="83">
        <f>100</f>
        <v>100</v>
      </c>
      <c r="O780" s="86">
        <v>240</v>
      </c>
      <c r="P780" s="86">
        <v>40</v>
      </c>
      <c r="Q780" s="86">
        <f t="shared" si="118"/>
        <v>315</v>
      </c>
      <c r="R780" s="86">
        <f t="shared" si="119"/>
        <v>100</v>
      </c>
      <c r="S780" s="83">
        <f t="shared" si="120"/>
        <v>695</v>
      </c>
      <c r="T780" s="83">
        <f>50</f>
        <v>50</v>
      </c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</row>
    <row r="781" spans="1:30" ht="15.75" x14ac:dyDescent="0.25">
      <c r="A781" s="32">
        <v>64709</v>
      </c>
      <c r="B781" s="95">
        <f t="shared" si="121"/>
        <v>28</v>
      </c>
      <c r="C781" s="83">
        <f>122.58</f>
        <v>122.58</v>
      </c>
      <c r="D781" s="83">
        <f>297.941</f>
        <v>297.94099999999997</v>
      </c>
      <c r="E781" s="92">
        <f>89.177</f>
        <v>89.177000000000007</v>
      </c>
      <c r="F781" s="83">
        <f>240.302-40-60-100</f>
        <v>40.301999999999992</v>
      </c>
      <c r="G781" s="86">
        <v>40</v>
      </c>
      <c r="H781" s="83">
        <f>60+100</f>
        <v>160</v>
      </c>
      <c r="I781" s="83">
        <f t="shared" si="124"/>
        <v>0</v>
      </c>
      <c r="J781" s="86">
        <v>100</v>
      </c>
      <c r="K781" s="86">
        <v>300</v>
      </c>
      <c r="L781" s="83">
        <f t="shared" si="117"/>
        <v>1150</v>
      </c>
      <c r="M781" s="94">
        <v>600</v>
      </c>
      <c r="N781" s="83">
        <f>100</f>
        <v>100</v>
      </c>
      <c r="O781" s="86">
        <v>240</v>
      </c>
      <c r="P781" s="86">
        <v>40</v>
      </c>
      <c r="Q781" s="86">
        <f t="shared" si="118"/>
        <v>315</v>
      </c>
      <c r="R781" s="86">
        <f t="shared" si="119"/>
        <v>100</v>
      </c>
      <c r="S781" s="83">
        <f t="shared" si="120"/>
        <v>695</v>
      </c>
      <c r="T781" s="83">
        <f>50</f>
        <v>50</v>
      </c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</row>
    <row r="782" spans="1:30" ht="15.75" x14ac:dyDescent="0.25">
      <c r="A782" s="32">
        <v>64740</v>
      </c>
      <c r="B782" s="95">
        <f t="shared" si="121"/>
        <v>31</v>
      </c>
      <c r="C782" s="83">
        <f>122.58</f>
        <v>122.58</v>
      </c>
      <c r="D782" s="83">
        <f>297.941</f>
        <v>297.94099999999997</v>
      </c>
      <c r="E782" s="92">
        <f>89.177</f>
        <v>89.177000000000007</v>
      </c>
      <c r="F782" s="83">
        <f>240.302-40-60-100</f>
        <v>40.301999999999992</v>
      </c>
      <c r="G782" s="86">
        <v>40</v>
      </c>
      <c r="H782" s="83">
        <f>60+100</f>
        <v>160</v>
      </c>
      <c r="I782" s="83">
        <f t="shared" si="124"/>
        <v>0</v>
      </c>
      <c r="J782" s="86">
        <v>100</v>
      </c>
      <c r="K782" s="86">
        <v>300</v>
      </c>
      <c r="L782" s="83">
        <f t="shared" si="117"/>
        <v>1150</v>
      </c>
      <c r="M782" s="94">
        <v>600</v>
      </c>
      <c r="N782" s="83">
        <f>100</f>
        <v>100</v>
      </c>
      <c r="O782" s="86">
        <v>240</v>
      </c>
      <c r="P782" s="86">
        <v>40</v>
      </c>
      <c r="Q782" s="86">
        <f t="shared" si="118"/>
        <v>315</v>
      </c>
      <c r="R782" s="86">
        <f t="shared" si="119"/>
        <v>100</v>
      </c>
      <c r="S782" s="83">
        <f t="shared" si="120"/>
        <v>695</v>
      </c>
      <c r="T782" s="83">
        <f>50</f>
        <v>50</v>
      </c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</row>
    <row r="783" spans="1:30" ht="15.75" x14ac:dyDescent="0.25">
      <c r="A783" s="32">
        <v>64770</v>
      </c>
      <c r="B783" s="95">
        <f t="shared" si="121"/>
        <v>30</v>
      </c>
      <c r="C783" s="83">
        <f>141.293</f>
        <v>141.29300000000001</v>
      </c>
      <c r="D783" s="83">
        <f>267.993</f>
        <v>267.99299999999999</v>
      </c>
      <c r="E783" s="92">
        <f>115.016</f>
        <v>115.01600000000001</v>
      </c>
      <c r="F783" s="83">
        <f>314.698-40-25-60-100</f>
        <v>89.697999999999979</v>
      </c>
      <c r="G783" s="86">
        <v>40</v>
      </c>
      <c r="H783" s="83">
        <f t="shared" ref="H783:H789" si="127">25+60+100</f>
        <v>185</v>
      </c>
      <c r="I783" s="83">
        <f t="shared" si="124"/>
        <v>0</v>
      </c>
      <c r="J783" s="86">
        <v>100</v>
      </c>
      <c r="K783" s="86">
        <v>300</v>
      </c>
      <c r="L783" s="83">
        <f t="shared" si="117"/>
        <v>1239</v>
      </c>
      <c r="M783" s="94">
        <v>600</v>
      </c>
      <c r="N783" s="83">
        <f>100</f>
        <v>100</v>
      </c>
      <c r="O783" s="86">
        <v>240</v>
      </c>
      <c r="P783" s="86">
        <v>40</v>
      </c>
      <c r="Q783" s="86">
        <f t="shared" si="118"/>
        <v>315</v>
      </c>
      <c r="R783" s="86">
        <f t="shared" si="119"/>
        <v>100</v>
      </c>
      <c r="S783" s="83">
        <f t="shared" si="120"/>
        <v>695</v>
      </c>
      <c r="T783" s="83">
        <f>50</f>
        <v>50</v>
      </c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</row>
    <row r="784" spans="1:30" ht="15.75" x14ac:dyDescent="0.25">
      <c r="A784" s="32">
        <v>64801</v>
      </c>
      <c r="B784" s="95">
        <f t="shared" si="121"/>
        <v>31</v>
      </c>
      <c r="C784" s="83">
        <f>194.205</f>
        <v>194.20500000000001</v>
      </c>
      <c r="D784" s="83">
        <f>267.466</f>
        <v>267.46600000000001</v>
      </c>
      <c r="E784" s="92">
        <f>133.845</f>
        <v>133.845</v>
      </c>
      <c r="F784" s="83">
        <f>278.484-40-25-60-100</f>
        <v>53.48399999999998</v>
      </c>
      <c r="G784" s="86">
        <v>40</v>
      </c>
      <c r="H784" s="83">
        <f t="shared" si="127"/>
        <v>185</v>
      </c>
      <c r="I784" s="83">
        <f t="shared" si="124"/>
        <v>0</v>
      </c>
      <c r="J784" s="86">
        <v>100</v>
      </c>
      <c r="K784" s="86">
        <v>300</v>
      </c>
      <c r="L784" s="83">
        <f t="shared" si="117"/>
        <v>1274</v>
      </c>
      <c r="M784" s="94">
        <v>600</v>
      </c>
      <c r="N784" s="83">
        <f>75</f>
        <v>75</v>
      </c>
      <c r="O784" s="86">
        <v>240</v>
      </c>
      <c r="P784" s="86">
        <v>40</v>
      </c>
      <c r="Q784" s="86">
        <f t="shared" si="118"/>
        <v>315</v>
      </c>
      <c r="R784" s="86">
        <f t="shared" si="119"/>
        <v>100</v>
      </c>
      <c r="S784" s="83">
        <f t="shared" si="120"/>
        <v>695</v>
      </c>
      <c r="T784" s="83">
        <f>50</f>
        <v>50</v>
      </c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</row>
    <row r="785" spans="1:30" ht="15.75" x14ac:dyDescent="0.25">
      <c r="A785" s="32">
        <v>64831</v>
      </c>
      <c r="B785" s="95">
        <f t="shared" si="121"/>
        <v>30</v>
      </c>
      <c r="C785" s="83">
        <f>194.205</f>
        <v>194.20500000000001</v>
      </c>
      <c r="D785" s="83">
        <f>267.466</f>
        <v>267.46600000000001</v>
      </c>
      <c r="E785" s="92">
        <f>133.845</f>
        <v>133.845</v>
      </c>
      <c r="F785" s="83">
        <f>278.484-40-25-60-100</f>
        <v>53.48399999999998</v>
      </c>
      <c r="G785" s="86">
        <v>40</v>
      </c>
      <c r="H785" s="83">
        <f t="shared" si="127"/>
        <v>185</v>
      </c>
      <c r="I785" s="83">
        <f t="shared" si="124"/>
        <v>0</v>
      </c>
      <c r="J785" s="86">
        <v>100</v>
      </c>
      <c r="K785" s="86">
        <v>300</v>
      </c>
      <c r="L785" s="83">
        <f t="shared" si="117"/>
        <v>1274</v>
      </c>
      <c r="M785" s="94">
        <v>600</v>
      </c>
      <c r="N785" s="83">
        <f>30</f>
        <v>30</v>
      </c>
      <c r="O785" s="86">
        <v>240</v>
      </c>
      <c r="P785" s="86">
        <v>40</v>
      </c>
      <c r="Q785" s="86">
        <f t="shared" si="118"/>
        <v>315</v>
      </c>
      <c r="R785" s="86">
        <f t="shared" si="119"/>
        <v>100</v>
      </c>
      <c r="S785" s="83">
        <f t="shared" si="120"/>
        <v>695</v>
      </c>
      <c r="T785" s="83">
        <f>50</f>
        <v>50</v>
      </c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</row>
    <row r="786" spans="1:30" ht="15.75" x14ac:dyDescent="0.25">
      <c r="A786" s="32">
        <v>64862</v>
      </c>
      <c r="B786" s="95">
        <f t="shared" si="121"/>
        <v>31</v>
      </c>
      <c r="C786" s="83">
        <f>194.205</f>
        <v>194.20500000000001</v>
      </c>
      <c r="D786" s="83">
        <f>267.466</f>
        <v>267.46600000000001</v>
      </c>
      <c r="E786" s="92">
        <f>133.845</f>
        <v>133.845</v>
      </c>
      <c r="F786" s="83">
        <f>278.484-40-25-60-100</f>
        <v>53.48399999999998</v>
      </c>
      <c r="G786" s="86">
        <v>40</v>
      </c>
      <c r="H786" s="83">
        <f t="shared" si="127"/>
        <v>185</v>
      </c>
      <c r="I786" s="83">
        <f t="shared" si="124"/>
        <v>0</v>
      </c>
      <c r="J786" s="86">
        <v>100</v>
      </c>
      <c r="K786" s="86">
        <v>300</v>
      </c>
      <c r="L786" s="83">
        <f t="shared" si="117"/>
        <v>1274</v>
      </c>
      <c r="M786" s="94">
        <v>600</v>
      </c>
      <c r="N786" s="83">
        <f>30</f>
        <v>30</v>
      </c>
      <c r="O786" s="86">
        <v>240</v>
      </c>
      <c r="P786" s="86">
        <v>40</v>
      </c>
      <c r="Q786" s="86">
        <f t="shared" si="118"/>
        <v>315</v>
      </c>
      <c r="R786" s="86">
        <f t="shared" si="119"/>
        <v>100</v>
      </c>
      <c r="S786" s="83">
        <f t="shared" si="120"/>
        <v>695</v>
      </c>
      <c r="T786" s="83">
        <f>0</f>
        <v>0</v>
      </c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</row>
    <row r="787" spans="1:30" ht="15.75" x14ac:dyDescent="0.25">
      <c r="A787" s="32">
        <v>64893</v>
      </c>
      <c r="B787" s="95">
        <f t="shared" si="121"/>
        <v>31</v>
      </c>
      <c r="C787" s="83">
        <f>194.205</f>
        <v>194.20500000000001</v>
      </c>
      <c r="D787" s="83">
        <f>267.466</f>
        <v>267.46600000000001</v>
      </c>
      <c r="E787" s="92">
        <f>133.845</f>
        <v>133.845</v>
      </c>
      <c r="F787" s="83">
        <f>278.484-40-25-60-100</f>
        <v>53.48399999999998</v>
      </c>
      <c r="G787" s="86">
        <v>40</v>
      </c>
      <c r="H787" s="83">
        <f t="shared" si="127"/>
        <v>185</v>
      </c>
      <c r="I787" s="83">
        <f t="shared" si="124"/>
        <v>0</v>
      </c>
      <c r="J787" s="86">
        <v>100</v>
      </c>
      <c r="K787" s="86">
        <v>300</v>
      </c>
      <c r="L787" s="83">
        <f t="shared" si="117"/>
        <v>1274</v>
      </c>
      <c r="M787" s="94">
        <v>600</v>
      </c>
      <c r="N787" s="83">
        <f>30</f>
        <v>30</v>
      </c>
      <c r="O787" s="86">
        <v>240</v>
      </c>
      <c r="P787" s="86">
        <v>40</v>
      </c>
      <c r="Q787" s="86">
        <f t="shared" si="118"/>
        <v>315</v>
      </c>
      <c r="R787" s="86">
        <f t="shared" si="119"/>
        <v>100</v>
      </c>
      <c r="S787" s="83">
        <f t="shared" si="120"/>
        <v>695</v>
      </c>
      <c r="T787" s="83">
        <f>0</f>
        <v>0</v>
      </c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</row>
    <row r="788" spans="1:30" ht="15.75" x14ac:dyDescent="0.25">
      <c r="A788" s="32">
        <v>64923</v>
      </c>
      <c r="B788" s="95">
        <f t="shared" si="121"/>
        <v>30</v>
      </c>
      <c r="C788" s="83">
        <f>194.205</f>
        <v>194.20500000000001</v>
      </c>
      <c r="D788" s="83">
        <f>267.466</f>
        <v>267.46600000000001</v>
      </c>
      <c r="E788" s="92">
        <f>133.845</f>
        <v>133.845</v>
      </c>
      <c r="F788" s="83">
        <f>278.484-40-25-60-100</f>
        <v>53.48399999999998</v>
      </c>
      <c r="G788" s="86">
        <v>40</v>
      </c>
      <c r="H788" s="83">
        <f t="shared" si="127"/>
        <v>185</v>
      </c>
      <c r="I788" s="83">
        <f t="shared" si="124"/>
        <v>0</v>
      </c>
      <c r="J788" s="86">
        <v>100</v>
      </c>
      <c r="K788" s="86">
        <v>300</v>
      </c>
      <c r="L788" s="83">
        <f t="shared" si="117"/>
        <v>1274</v>
      </c>
      <c r="M788" s="94">
        <v>600</v>
      </c>
      <c r="N788" s="83">
        <f>30</f>
        <v>30</v>
      </c>
      <c r="O788" s="86">
        <v>240</v>
      </c>
      <c r="P788" s="86">
        <v>40</v>
      </c>
      <c r="Q788" s="86">
        <f t="shared" si="118"/>
        <v>315</v>
      </c>
      <c r="R788" s="86">
        <f t="shared" si="119"/>
        <v>100</v>
      </c>
      <c r="S788" s="83">
        <f t="shared" si="120"/>
        <v>695</v>
      </c>
      <c r="T788" s="83">
        <f>0</f>
        <v>0</v>
      </c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</row>
    <row r="789" spans="1:30" ht="15.75" x14ac:dyDescent="0.25">
      <c r="A789" s="32">
        <v>64954</v>
      </c>
      <c r="B789" s="95">
        <f t="shared" si="121"/>
        <v>31</v>
      </c>
      <c r="C789" s="83">
        <f>131.881</f>
        <v>131.881</v>
      </c>
      <c r="D789" s="83">
        <f>277.167</f>
        <v>277.16699999999997</v>
      </c>
      <c r="E789" s="92">
        <f>79.08</f>
        <v>79.08</v>
      </c>
      <c r="F789" s="83">
        <f>350.872-40-25-60-100</f>
        <v>125.87200000000001</v>
      </c>
      <c r="G789" s="86">
        <v>40</v>
      </c>
      <c r="H789" s="83">
        <f t="shared" si="127"/>
        <v>185</v>
      </c>
      <c r="I789" s="83">
        <f t="shared" si="124"/>
        <v>0</v>
      </c>
      <c r="J789" s="86">
        <v>100</v>
      </c>
      <c r="K789" s="86">
        <v>300</v>
      </c>
      <c r="L789" s="83">
        <f t="shared" ref="L789:L852" si="128">SUM(C789:K789)</f>
        <v>1239</v>
      </c>
      <c r="M789" s="94">
        <v>600</v>
      </c>
      <c r="N789" s="83">
        <f>75</f>
        <v>75</v>
      </c>
      <c r="O789" s="86">
        <v>240</v>
      </c>
      <c r="P789" s="86">
        <v>40</v>
      </c>
      <c r="Q789" s="86">
        <f t="shared" ref="Q789:Q852" si="129">695-R789-O789-P789</f>
        <v>315</v>
      </c>
      <c r="R789" s="86">
        <f t="shared" ref="R789:R852" si="130">200-J789</f>
        <v>100</v>
      </c>
      <c r="S789" s="83">
        <f t="shared" ref="S789:S852" si="131">SUM(O789:R789)</f>
        <v>695</v>
      </c>
      <c r="T789" s="83">
        <f>0</f>
        <v>0</v>
      </c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</row>
    <row r="790" spans="1:30" ht="15.75" x14ac:dyDescent="0.25">
      <c r="A790" s="32">
        <v>64984</v>
      </c>
      <c r="B790" s="95">
        <f t="shared" si="121"/>
        <v>30</v>
      </c>
      <c r="C790" s="83">
        <f>122.58</f>
        <v>122.58</v>
      </c>
      <c r="D790" s="83">
        <f>297.941</f>
        <v>297.94099999999997</v>
      </c>
      <c r="E790" s="92">
        <f>89.177</f>
        <v>89.177000000000007</v>
      </c>
      <c r="F790" s="83">
        <f>240.302-40-60-100</f>
        <v>40.301999999999992</v>
      </c>
      <c r="G790" s="86">
        <v>40</v>
      </c>
      <c r="H790" s="83">
        <f>60+100</f>
        <v>160</v>
      </c>
      <c r="I790" s="83">
        <f t="shared" si="124"/>
        <v>0</v>
      </c>
      <c r="J790" s="86">
        <v>100</v>
      </c>
      <c r="K790" s="86">
        <v>300</v>
      </c>
      <c r="L790" s="83">
        <f t="shared" si="128"/>
        <v>1150</v>
      </c>
      <c r="M790" s="94">
        <v>600</v>
      </c>
      <c r="N790" s="83">
        <f>100</f>
        <v>100</v>
      </c>
      <c r="O790" s="86">
        <v>240</v>
      </c>
      <c r="P790" s="86">
        <v>40</v>
      </c>
      <c r="Q790" s="86">
        <f t="shared" si="129"/>
        <v>315</v>
      </c>
      <c r="R790" s="86">
        <f t="shared" si="130"/>
        <v>100</v>
      </c>
      <c r="S790" s="83">
        <f t="shared" si="131"/>
        <v>695</v>
      </c>
      <c r="T790" s="83">
        <f>50</f>
        <v>50</v>
      </c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</row>
    <row r="791" spans="1:30" ht="15.75" x14ac:dyDescent="0.25">
      <c r="A791" s="32">
        <v>65015</v>
      </c>
      <c r="B791" s="95">
        <f t="shared" si="121"/>
        <v>31</v>
      </c>
      <c r="C791" s="83">
        <f>122.58</f>
        <v>122.58</v>
      </c>
      <c r="D791" s="83">
        <f>297.941</f>
        <v>297.94099999999997</v>
      </c>
      <c r="E791" s="92">
        <f>89.177</f>
        <v>89.177000000000007</v>
      </c>
      <c r="F791" s="83">
        <f>240.302-40-60-100</f>
        <v>40.301999999999992</v>
      </c>
      <c r="G791" s="86">
        <v>40</v>
      </c>
      <c r="H791" s="83">
        <f>60+100</f>
        <v>160</v>
      </c>
      <c r="I791" s="83">
        <f t="shared" si="124"/>
        <v>0</v>
      </c>
      <c r="J791" s="86">
        <v>100</v>
      </c>
      <c r="K791" s="86">
        <v>300</v>
      </c>
      <c r="L791" s="83">
        <f t="shared" si="128"/>
        <v>1150</v>
      </c>
      <c r="M791" s="94">
        <v>600</v>
      </c>
      <c r="N791" s="83">
        <f>100</f>
        <v>100</v>
      </c>
      <c r="O791" s="86">
        <v>240</v>
      </c>
      <c r="P791" s="86">
        <v>40</v>
      </c>
      <c r="Q791" s="86">
        <f t="shared" si="129"/>
        <v>315</v>
      </c>
      <c r="R791" s="86">
        <f t="shared" si="130"/>
        <v>100</v>
      </c>
      <c r="S791" s="83">
        <f t="shared" si="131"/>
        <v>695</v>
      </c>
      <c r="T791" s="83">
        <f>50</f>
        <v>50</v>
      </c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</row>
    <row r="792" spans="1:30" ht="15.75" x14ac:dyDescent="0.25">
      <c r="A792" s="32">
        <v>65046</v>
      </c>
      <c r="B792" s="95">
        <f t="shared" ref="B792:B855" si="132">EOMONTH(A792,0)-EOMONTH(A792,-1)</f>
        <v>31</v>
      </c>
      <c r="C792" s="83">
        <f>122.58</f>
        <v>122.58</v>
      </c>
      <c r="D792" s="83">
        <f>297.941</f>
        <v>297.94099999999997</v>
      </c>
      <c r="E792" s="92">
        <f>89.177</f>
        <v>89.177000000000007</v>
      </c>
      <c r="F792" s="83">
        <f>240.302-40-60-100</f>
        <v>40.301999999999992</v>
      </c>
      <c r="G792" s="86">
        <v>40</v>
      </c>
      <c r="H792" s="83">
        <f>60+100</f>
        <v>160</v>
      </c>
      <c r="I792" s="83">
        <f t="shared" si="124"/>
        <v>0</v>
      </c>
      <c r="J792" s="86">
        <v>100</v>
      </c>
      <c r="K792" s="86">
        <v>300</v>
      </c>
      <c r="L792" s="83">
        <f t="shared" si="128"/>
        <v>1150</v>
      </c>
      <c r="M792" s="94">
        <v>600</v>
      </c>
      <c r="N792" s="83">
        <f>100</f>
        <v>100</v>
      </c>
      <c r="O792" s="86">
        <v>240</v>
      </c>
      <c r="P792" s="86">
        <v>40</v>
      </c>
      <c r="Q792" s="86">
        <f t="shared" si="129"/>
        <v>315</v>
      </c>
      <c r="R792" s="86">
        <f t="shared" si="130"/>
        <v>100</v>
      </c>
      <c r="S792" s="83">
        <f t="shared" si="131"/>
        <v>695</v>
      </c>
      <c r="T792" s="83">
        <f>50</f>
        <v>50</v>
      </c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</row>
    <row r="793" spans="1:30" ht="15.75" x14ac:dyDescent="0.25">
      <c r="A793" s="32">
        <v>65074</v>
      </c>
      <c r="B793" s="95">
        <f t="shared" si="132"/>
        <v>28</v>
      </c>
      <c r="C793" s="83">
        <f>122.58</f>
        <v>122.58</v>
      </c>
      <c r="D793" s="83">
        <f>297.941</f>
        <v>297.94099999999997</v>
      </c>
      <c r="E793" s="92">
        <f>89.177</f>
        <v>89.177000000000007</v>
      </c>
      <c r="F793" s="83">
        <f>240.302-40-60-100</f>
        <v>40.301999999999992</v>
      </c>
      <c r="G793" s="86">
        <v>40</v>
      </c>
      <c r="H793" s="83">
        <f>60+100</f>
        <v>160</v>
      </c>
      <c r="I793" s="83">
        <f t="shared" si="124"/>
        <v>0</v>
      </c>
      <c r="J793" s="86">
        <v>100</v>
      </c>
      <c r="K793" s="86">
        <v>300</v>
      </c>
      <c r="L793" s="83">
        <f t="shared" si="128"/>
        <v>1150</v>
      </c>
      <c r="M793" s="94">
        <v>600</v>
      </c>
      <c r="N793" s="83">
        <f>100</f>
        <v>100</v>
      </c>
      <c r="O793" s="86">
        <v>240</v>
      </c>
      <c r="P793" s="86">
        <v>40</v>
      </c>
      <c r="Q793" s="86">
        <f t="shared" si="129"/>
        <v>315</v>
      </c>
      <c r="R793" s="86">
        <f t="shared" si="130"/>
        <v>100</v>
      </c>
      <c r="S793" s="83">
        <f t="shared" si="131"/>
        <v>695</v>
      </c>
      <c r="T793" s="83">
        <f>50</f>
        <v>50</v>
      </c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</row>
    <row r="794" spans="1:30" ht="15.75" x14ac:dyDescent="0.25">
      <c r="A794" s="32">
        <v>65105</v>
      </c>
      <c r="B794" s="95">
        <f t="shared" si="132"/>
        <v>31</v>
      </c>
      <c r="C794" s="83">
        <f>122.58</f>
        <v>122.58</v>
      </c>
      <c r="D794" s="83">
        <f>297.941</f>
        <v>297.94099999999997</v>
      </c>
      <c r="E794" s="92">
        <f>89.177</f>
        <v>89.177000000000007</v>
      </c>
      <c r="F794" s="83">
        <f>240.302-40-60-100</f>
        <v>40.301999999999992</v>
      </c>
      <c r="G794" s="86">
        <v>40</v>
      </c>
      <c r="H794" s="83">
        <f>60+100</f>
        <v>160</v>
      </c>
      <c r="I794" s="83">
        <f t="shared" si="124"/>
        <v>0</v>
      </c>
      <c r="J794" s="86">
        <v>100</v>
      </c>
      <c r="K794" s="86">
        <v>300</v>
      </c>
      <c r="L794" s="83">
        <f t="shared" si="128"/>
        <v>1150</v>
      </c>
      <c r="M794" s="94">
        <v>600</v>
      </c>
      <c r="N794" s="83">
        <f>100</f>
        <v>100</v>
      </c>
      <c r="O794" s="86">
        <v>240</v>
      </c>
      <c r="P794" s="86">
        <v>40</v>
      </c>
      <c r="Q794" s="86">
        <f t="shared" si="129"/>
        <v>315</v>
      </c>
      <c r="R794" s="86">
        <f t="shared" si="130"/>
        <v>100</v>
      </c>
      <c r="S794" s="83">
        <f t="shared" si="131"/>
        <v>695</v>
      </c>
      <c r="T794" s="83">
        <f>50</f>
        <v>50</v>
      </c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</row>
    <row r="795" spans="1:30" ht="15.75" x14ac:dyDescent="0.25">
      <c r="A795" s="32">
        <v>65135</v>
      </c>
      <c r="B795" s="95">
        <f t="shared" si="132"/>
        <v>30</v>
      </c>
      <c r="C795" s="83">
        <f>141.293</f>
        <v>141.29300000000001</v>
      </c>
      <c r="D795" s="83">
        <f>267.993</f>
        <v>267.99299999999999</v>
      </c>
      <c r="E795" s="92">
        <f>115.016</f>
        <v>115.01600000000001</v>
      </c>
      <c r="F795" s="83">
        <f>314.698-40-25-60-100</f>
        <v>89.697999999999979</v>
      </c>
      <c r="G795" s="86">
        <v>40</v>
      </c>
      <c r="H795" s="83">
        <f t="shared" ref="H795:H801" si="133">25+60+100</f>
        <v>185</v>
      </c>
      <c r="I795" s="83">
        <f t="shared" si="124"/>
        <v>0</v>
      </c>
      <c r="J795" s="86">
        <v>100</v>
      </c>
      <c r="K795" s="86">
        <v>300</v>
      </c>
      <c r="L795" s="83">
        <f t="shared" si="128"/>
        <v>1239</v>
      </c>
      <c r="M795" s="94">
        <v>600</v>
      </c>
      <c r="N795" s="83">
        <f>100</f>
        <v>100</v>
      </c>
      <c r="O795" s="86">
        <v>240</v>
      </c>
      <c r="P795" s="86">
        <v>40</v>
      </c>
      <c r="Q795" s="86">
        <f t="shared" si="129"/>
        <v>315</v>
      </c>
      <c r="R795" s="86">
        <f t="shared" si="130"/>
        <v>100</v>
      </c>
      <c r="S795" s="83">
        <f t="shared" si="131"/>
        <v>695</v>
      </c>
      <c r="T795" s="83">
        <f>50</f>
        <v>50</v>
      </c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</row>
    <row r="796" spans="1:30" ht="15.75" x14ac:dyDescent="0.25">
      <c r="A796" s="32">
        <v>65166</v>
      </c>
      <c r="B796" s="95">
        <f t="shared" si="132"/>
        <v>31</v>
      </c>
      <c r="C796" s="83">
        <f>194.205</f>
        <v>194.20500000000001</v>
      </c>
      <c r="D796" s="83">
        <f>267.466</f>
        <v>267.46600000000001</v>
      </c>
      <c r="E796" s="92">
        <f>133.845</f>
        <v>133.845</v>
      </c>
      <c r="F796" s="83">
        <f>278.484-40-25-60-100</f>
        <v>53.48399999999998</v>
      </c>
      <c r="G796" s="86">
        <v>40</v>
      </c>
      <c r="H796" s="83">
        <f t="shared" si="133"/>
        <v>185</v>
      </c>
      <c r="I796" s="83">
        <f t="shared" si="124"/>
        <v>0</v>
      </c>
      <c r="J796" s="86">
        <v>100</v>
      </c>
      <c r="K796" s="86">
        <v>300</v>
      </c>
      <c r="L796" s="83">
        <f t="shared" si="128"/>
        <v>1274</v>
      </c>
      <c r="M796" s="94">
        <v>600</v>
      </c>
      <c r="N796" s="83">
        <f>75</f>
        <v>75</v>
      </c>
      <c r="O796" s="86">
        <v>240</v>
      </c>
      <c r="P796" s="86">
        <v>40</v>
      </c>
      <c r="Q796" s="86">
        <f t="shared" si="129"/>
        <v>315</v>
      </c>
      <c r="R796" s="86">
        <f t="shared" si="130"/>
        <v>100</v>
      </c>
      <c r="S796" s="83">
        <f t="shared" si="131"/>
        <v>695</v>
      </c>
      <c r="T796" s="83">
        <f>50</f>
        <v>50</v>
      </c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</row>
    <row r="797" spans="1:30" ht="15.75" x14ac:dyDescent="0.25">
      <c r="A797" s="32">
        <v>65196</v>
      </c>
      <c r="B797" s="95">
        <f t="shared" si="132"/>
        <v>30</v>
      </c>
      <c r="C797" s="83">
        <f>194.205</f>
        <v>194.20500000000001</v>
      </c>
      <c r="D797" s="83">
        <f>267.466</f>
        <v>267.46600000000001</v>
      </c>
      <c r="E797" s="92">
        <f>133.845</f>
        <v>133.845</v>
      </c>
      <c r="F797" s="83">
        <f>278.484-40-25-60-100</f>
        <v>53.48399999999998</v>
      </c>
      <c r="G797" s="86">
        <v>40</v>
      </c>
      <c r="H797" s="83">
        <f t="shared" si="133"/>
        <v>185</v>
      </c>
      <c r="I797" s="83">
        <f t="shared" si="124"/>
        <v>0</v>
      </c>
      <c r="J797" s="86">
        <v>100</v>
      </c>
      <c r="K797" s="86">
        <v>300</v>
      </c>
      <c r="L797" s="83">
        <f t="shared" si="128"/>
        <v>1274</v>
      </c>
      <c r="M797" s="94">
        <v>600</v>
      </c>
      <c r="N797" s="83">
        <f>30</f>
        <v>30</v>
      </c>
      <c r="O797" s="86">
        <v>240</v>
      </c>
      <c r="P797" s="86">
        <v>40</v>
      </c>
      <c r="Q797" s="86">
        <f t="shared" si="129"/>
        <v>315</v>
      </c>
      <c r="R797" s="86">
        <f t="shared" si="130"/>
        <v>100</v>
      </c>
      <c r="S797" s="83">
        <f t="shared" si="131"/>
        <v>695</v>
      </c>
      <c r="T797" s="83">
        <f>50</f>
        <v>50</v>
      </c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</row>
    <row r="798" spans="1:30" ht="15.75" x14ac:dyDescent="0.25">
      <c r="A798" s="32">
        <v>65227</v>
      </c>
      <c r="B798" s="95">
        <f t="shared" si="132"/>
        <v>31</v>
      </c>
      <c r="C798" s="83">
        <f>194.205</f>
        <v>194.20500000000001</v>
      </c>
      <c r="D798" s="83">
        <f>267.466</f>
        <v>267.46600000000001</v>
      </c>
      <c r="E798" s="92">
        <f>133.845</f>
        <v>133.845</v>
      </c>
      <c r="F798" s="83">
        <f>278.484-40-25-60-100</f>
        <v>53.48399999999998</v>
      </c>
      <c r="G798" s="86">
        <v>40</v>
      </c>
      <c r="H798" s="83">
        <f t="shared" si="133"/>
        <v>185</v>
      </c>
      <c r="I798" s="83">
        <f t="shared" si="124"/>
        <v>0</v>
      </c>
      <c r="J798" s="86">
        <v>100</v>
      </c>
      <c r="K798" s="86">
        <v>300</v>
      </c>
      <c r="L798" s="83">
        <f t="shared" si="128"/>
        <v>1274</v>
      </c>
      <c r="M798" s="94">
        <v>600</v>
      </c>
      <c r="N798" s="83">
        <f>30</f>
        <v>30</v>
      </c>
      <c r="O798" s="86">
        <v>240</v>
      </c>
      <c r="P798" s="86">
        <v>40</v>
      </c>
      <c r="Q798" s="86">
        <f t="shared" si="129"/>
        <v>315</v>
      </c>
      <c r="R798" s="86">
        <f t="shared" si="130"/>
        <v>100</v>
      </c>
      <c r="S798" s="83">
        <f t="shared" si="131"/>
        <v>695</v>
      </c>
      <c r="T798" s="83">
        <f>0</f>
        <v>0</v>
      </c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</row>
    <row r="799" spans="1:30" ht="15.75" x14ac:dyDescent="0.25">
      <c r="A799" s="32">
        <v>65258</v>
      </c>
      <c r="B799" s="95">
        <f t="shared" si="132"/>
        <v>31</v>
      </c>
      <c r="C799" s="83">
        <f>194.205</f>
        <v>194.20500000000001</v>
      </c>
      <c r="D799" s="83">
        <f>267.466</f>
        <v>267.46600000000001</v>
      </c>
      <c r="E799" s="92">
        <f>133.845</f>
        <v>133.845</v>
      </c>
      <c r="F799" s="83">
        <f>278.484-40-25-60-100</f>
        <v>53.48399999999998</v>
      </c>
      <c r="G799" s="86">
        <v>40</v>
      </c>
      <c r="H799" s="83">
        <f t="shared" si="133"/>
        <v>185</v>
      </c>
      <c r="I799" s="83">
        <f t="shared" si="124"/>
        <v>0</v>
      </c>
      <c r="J799" s="86">
        <v>100</v>
      </c>
      <c r="K799" s="86">
        <v>300</v>
      </c>
      <c r="L799" s="83">
        <f t="shared" si="128"/>
        <v>1274</v>
      </c>
      <c r="M799" s="94">
        <v>600</v>
      </c>
      <c r="N799" s="83">
        <f>30</f>
        <v>30</v>
      </c>
      <c r="O799" s="86">
        <v>240</v>
      </c>
      <c r="P799" s="86">
        <v>40</v>
      </c>
      <c r="Q799" s="86">
        <f t="shared" si="129"/>
        <v>315</v>
      </c>
      <c r="R799" s="86">
        <f t="shared" si="130"/>
        <v>100</v>
      </c>
      <c r="S799" s="83">
        <f t="shared" si="131"/>
        <v>695</v>
      </c>
      <c r="T799" s="83">
        <f>0</f>
        <v>0</v>
      </c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</row>
    <row r="800" spans="1:30" ht="15.75" x14ac:dyDescent="0.25">
      <c r="A800" s="32">
        <v>65288</v>
      </c>
      <c r="B800" s="95">
        <f t="shared" si="132"/>
        <v>30</v>
      </c>
      <c r="C800" s="83">
        <f>194.205</f>
        <v>194.20500000000001</v>
      </c>
      <c r="D800" s="83">
        <f>267.466</f>
        <v>267.46600000000001</v>
      </c>
      <c r="E800" s="92">
        <f>133.845</f>
        <v>133.845</v>
      </c>
      <c r="F800" s="83">
        <f>278.484-40-25-60-100</f>
        <v>53.48399999999998</v>
      </c>
      <c r="G800" s="86">
        <v>40</v>
      </c>
      <c r="H800" s="83">
        <f t="shared" si="133"/>
        <v>185</v>
      </c>
      <c r="I800" s="83">
        <f t="shared" si="124"/>
        <v>0</v>
      </c>
      <c r="J800" s="86">
        <v>100</v>
      </c>
      <c r="K800" s="86">
        <v>300</v>
      </c>
      <c r="L800" s="83">
        <f t="shared" si="128"/>
        <v>1274</v>
      </c>
      <c r="M800" s="94">
        <v>600</v>
      </c>
      <c r="N800" s="83">
        <f>30</f>
        <v>30</v>
      </c>
      <c r="O800" s="86">
        <v>240</v>
      </c>
      <c r="P800" s="86">
        <v>40</v>
      </c>
      <c r="Q800" s="86">
        <f t="shared" si="129"/>
        <v>315</v>
      </c>
      <c r="R800" s="86">
        <f t="shared" si="130"/>
        <v>100</v>
      </c>
      <c r="S800" s="83">
        <f t="shared" si="131"/>
        <v>695</v>
      </c>
      <c r="T800" s="83">
        <f>0</f>
        <v>0</v>
      </c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</row>
    <row r="801" spans="1:30" ht="15.75" x14ac:dyDescent="0.25">
      <c r="A801" s="32">
        <v>65319</v>
      </c>
      <c r="B801" s="95">
        <f t="shared" si="132"/>
        <v>31</v>
      </c>
      <c r="C801" s="83">
        <f>131.881</f>
        <v>131.881</v>
      </c>
      <c r="D801" s="83">
        <f>277.167</f>
        <v>277.16699999999997</v>
      </c>
      <c r="E801" s="92">
        <f>79.08</f>
        <v>79.08</v>
      </c>
      <c r="F801" s="83">
        <f>350.872-40-25-60-100</f>
        <v>125.87200000000001</v>
      </c>
      <c r="G801" s="86">
        <v>40</v>
      </c>
      <c r="H801" s="83">
        <f t="shared" si="133"/>
        <v>185</v>
      </c>
      <c r="I801" s="83">
        <f t="shared" si="124"/>
        <v>0</v>
      </c>
      <c r="J801" s="86">
        <v>100</v>
      </c>
      <c r="K801" s="86">
        <v>300</v>
      </c>
      <c r="L801" s="83">
        <f t="shared" si="128"/>
        <v>1239</v>
      </c>
      <c r="M801" s="94">
        <v>600</v>
      </c>
      <c r="N801" s="83">
        <f>75</f>
        <v>75</v>
      </c>
      <c r="O801" s="86">
        <v>240</v>
      </c>
      <c r="P801" s="86">
        <v>40</v>
      </c>
      <c r="Q801" s="86">
        <f t="shared" si="129"/>
        <v>315</v>
      </c>
      <c r="R801" s="86">
        <f t="shared" si="130"/>
        <v>100</v>
      </c>
      <c r="S801" s="83">
        <f t="shared" si="131"/>
        <v>695</v>
      </c>
      <c r="T801" s="83">
        <f>0</f>
        <v>0</v>
      </c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</row>
    <row r="802" spans="1:30" ht="15.75" x14ac:dyDescent="0.25">
      <c r="A802" s="32">
        <v>65349</v>
      </c>
      <c r="B802" s="95">
        <f t="shared" si="132"/>
        <v>30</v>
      </c>
      <c r="C802" s="83">
        <f>122.58</f>
        <v>122.58</v>
      </c>
      <c r="D802" s="83">
        <f>297.941</f>
        <v>297.94099999999997</v>
      </c>
      <c r="E802" s="92">
        <f>89.177</f>
        <v>89.177000000000007</v>
      </c>
      <c r="F802" s="83">
        <f>240.302-40-60-100</f>
        <v>40.301999999999992</v>
      </c>
      <c r="G802" s="86">
        <v>40</v>
      </c>
      <c r="H802" s="83">
        <f>60+100</f>
        <v>160</v>
      </c>
      <c r="I802" s="83">
        <f t="shared" si="124"/>
        <v>0</v>
      </c>
      <c r="J802" s="86">
        <v>100</v>
      </c>
      <c r="K802" s="86">
        <v>300</v>
      </c>
      <c r="L802" s="83">
        <f t="shared" si="128"/>
        <v>1150</v>
      </c>
      <c r="M802" s="94">
        <v>600</v>
      </c>
      <c r="N802" s="83">
        <f>100</f>
        <v>100</v>
      </c>
      <c r="O802" s="86">
        <v>240</v>
      </c>
      <c r="P802" s="86">
        <v>40</v>
      </c>
      <c r="Q802" s="86">
        <f t="shared" si="129"/>
        <v>315</v>
      </c>
      <c r="R802" s="86">
        <f t="shared" si="130"/>
        <v>100</v>
      </c>
      <c r="S802" s="83">
        <f t="shared" si="131"/>
        <v>695</v>
      </c>
      <c r="T802" s="83">
        <f>50</f>
        <v>50</v>
      </c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</row>
    <row r="803" spans="1:30" ht="15.75" x14ac:dyDescent="0.25">
      <c r="A803" s="32">
        <v>65380</v>
      </c>
      <c r="B803" s="95">
        <f t="shared" si="132"/>
        <v>31</v>
      </c>
      <c r="C803" s="83">
        <f>122.58</f>
        <v>122.58</v>
      </c>
      <c r="D803" s="83">
        <f>297.941</f>
        <v>297.94099999999997</v>
      </c>
      <c r="E803" s="92">
        <f>89.177</f>
        <v>89.177000000000007</v>
      </c>
      <c r="F803" s="83">
        <f>240.302-40-60-100</f>
        <v>40.301999999999992</v>
      </c>
      <c r="G803" s="86">
        <v>40</v>
      </c>
      <c r="H803" s="83">
        <f>60+100</f>
        <v>160</v>
      </c>
      <c r="I803" s="83">
        <f t="shared" si="124"/>
        <v>0</v>
      </c>
      <c r="J803" s="86">
        <v>100</v>
      </c>
      <c r="K803" s="86">
        <v>300</v>
      </c>
      <c r="L803" s="83">
        <f t="shared" si="128"/>
        <v>1150</v>
      </c>
      <c r="M803" s="94">
        <v>600</v>
      </c>
      <c r="N803" s="83">
        <f>100</f>
        <v>100</v>
      </c>
      <c r="O803" s="86">
        <v>240</v>
      </c>
      <c r="P803" s="86">
        <v>40</v>
      </c>
      <c r="Q803" s="86">
        <f t="shared" si="129"/>
        <v>315</v>
      </c>
      <c r="R803" s="86">
        <f t="shared" si="130"/>
        <v>100</v>
      </c>
      <c r="S803" s="83">
        <f t="shared" si="131"/>
        <v>695</v>
      </c>
      <c r="T803" s="83">
        <f>50</f>
        <v>50</v>
      </c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</row>
    <row r="804" spans="1:30" ht="15.75" x14ac:dyDescent="0.25">
      <c r="A804" s="32">
        <v>65411</v>
      </c>
      <c r="B804" s="95">
        <f t="shared" si="132"/>
        <v>31</v>
      </c>
      <c r="C804" s="83">
        <f>122.58</f>
        <v>122.58</v>
      </c>
      <c r="D804" s="83">
        <f>297.941</f>
        <v>297.94099999999997</v>
      </c>
      <c r="E804" s="92">
        <f>89.177</f>
        <v>89.177000000000007</v>
      </c>
      <c r="F804" s="83">
        <f>240.302-40-60-100</f>
        <v>40.301999999999992</v>
      </c>
      <c r="G804" s="86">
        <v>40</v>
      </c>
      <c r="H804" s="83">
        <f>60+100</f>
        <v>160</v>
      </c>
      <c r="I804" s="83">
        <f t="shared" si="124"/>
        <v>0</v>
      </c>
      <c r="J804" s="86">
        <v>100</v>
      </c>
      <c r="K804" s="86">
        <v>300</v>
      </c>
      <c r="L804" s="83">
        <f t="shared" si="128"/>
        <v>1150</v>
      </c>
      <c r="M804" s="94">
        <v>600</v>
      </c>
      <c r="N804" s="83">
        <f>100</f>
        <v>100</v>
      </c>
      <c r="O804" s="86">
        <v>240</v>
      </c>
      <c r="P804" s="86">
        <v>40</v>
      </c>
      <c r="Q804" s="86">
        <f t="shared" si="129"/>
        <v>315</v>
      </c>
      <c r="R804" s="86">
        <f t="shared" si="130"/>
        <v>100</v>
      </c>
      <c r="S804" s="83">
        <f t="shared" si="131"/>
        <v>695</v>
      </c>
      <c r="T804" s="83">
        <f>50</f>
        <v>50</v>
      </c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</row>
    <row r="805" spans="1:30" ht="15.75" x14ac:dyDescent="0.25">
      <c r="A805" s="32">
        <v>65439</v>
      </c>
      <c r="B805" s="95">
        <f t="shared" si="132"/>
        <v>28</v>
      </c>
      <c r="C805" s="83">
        <f>122.58</f>
        <v>122.58</v>
      </c>
      <c r="D805" s="83">
        <f>297.941</f>
        <v>297.94099999999997</v>
      </c>
      <c r="E805" s="92">
        <f>89.177</f>
        <v>89.177000000000007</v>
      </c>
      <c r="F805" s="83">
        <f>240.302-40-60-100</f>
        <v>40.301999999999992</v>
      </c>
      <c r="G805" s="86">
        <v>40</v>
      </c>
      <c r="H805" s="83">
        <f>60+100</f>
        <v>160</v>
      </c>
      <c r="I805" s="83">
        <f t="shared" si="124"/>
        <v>0</v>
      </c>
      <c r="J805" s="86">
        <v>100</v>
      </c>
      <c r="K805" s="86">
        <v>300</v>
      </c>
      <c r="L805" s="83">
        <f t="shared" si="128"/>
        <v>1150</v>
      </c>
      <c r="M805" s="94">
        <v>600</v>
      </c>
      <c r="N805" s="83">
        <f>100</f>
        <v>100</v>
      </c>
      <c r="O805" s="86">
        <v>240</v>
      </c>
      <c r="P805" s="86">
        <v>40</v>
      </c>
      <c r="Q805" s="86">
        <f t="shared" si="129"/>
        <v>315</v>
      </c>
      <c r="R805" s="86">
        <f t="shared" si="130"/>
        <v>100</v>
      </c>
      <c r="S805" s="83">
        <f t="shared" si="131"/>
        <v>695</v>
      </c>
      <c r="T805" s="83">
        <f>50</f>
        <v>50</v>
      </c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</row>
    <row r="806" spans="1:30" ht="15.75" x14ac:dyDescent="0.25">
      <c r="A806" s="32">
        <v>65470</v>
      </c>
      <c r="B806" s="95">
        <f t="shared" si="132"/>
        <v>31</v>
      </c>
      <c r="C806" s="83">
        <f>122.58</f>
        <v>122.58</v>
      </c>
      <c r="D806" s="83">
        <f>297.941</f>
        <v>297.94099999999997</v>
      </c>
      <c r="E806" s="92">
        <f>89.177</f>
        <v>89.177000000000007</v>
      </c>
      <c r="F806" s="83">
        <f>240.302-40-60-100</f>
        <v>40.301999999999992</v>
      </c>
      <c r="G806" s="86">
        <v>40</v>
      </c>
      <c r="H806" s="83">
        <f>60+100</f>
        <v>160</v>
      </c>
      <c r="I806" s="83">
        <f t="shared" si="124"/>
        <v>0</v>
      </c>
      <c r="J806" s="86">
        <v>100</v>
      </c>
      <c r="K806" s="86">
        <v>300</v>
      </c>
      <c r="L806" s="83">
        <f t="shared" si="128"/>
        <v>1150</v>
      </c>
      <c r="M806" s="94">
        <v>600</v>
      </c>
      <c r="N806" s="83">
        <f>100</f>
        <v>100</v>
      </c>
      <c r="O806" s="86">
        <v>240</v>
      </c>
      <c r="P806" s="86">
        <v>40</v>
      </c>
      <c r="Q806" s="86">
        <f t="shared" si="129"/>
        <v>315</v>
      </c>
      <c r="R806" s="86">
        <f t="shared" si="130"/>
        <v>100</v>
      </c>
      <c r="S806" s="83">
        <f t="shared" si="131"/>
        <v>695</v>
      </c>
      <c r="T806" s="83">
        <f>50</f>
        <v>50</v>
      </c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</row>
    <row r="807" spans="1:30" ht="15.75" x14ac:dyDescent="0.25">
      <c r="A807" s="32">
        <v>65500</v>
      </c>
      <c r="B807" s="95">
        <f t="shared" si="132"/>
        <v>30</v>
      </c>
      <c r="C807" s="83">
        <f>141.293</f>
        <v>141.29300000000001</v>
      </c>
      <c r="D807" s="83">
        <f>267.993</f>
        <v>267.99299999999999</v>
      </c>
      <c r="E807" s="92">
        <f>115.016</f>
        <v>115.01600000000001</v>
      </c>
      <c r="F807" s="83">
        <f>314.698-40-25-60-100</f>
        <v>89.697999999999979</v>
      </c>
      <c r="G807" s="86">
        <v>40</v>
      </c>
      <c r="H807" s="83">
        <f t="shared" ref="H807:H813" si="134">25+60+100</f>
        <v>185</v>
      </c>
      <c r="I807" s="83">
        <f t="shared" si="124"/>
        <v>0</v>
      </c>
      <c r="J807" s="86">
        <v>100</v>
      </c>
      <c r="K807" s="86">
        <v>300</v>
      </c>
      <c r="L807" s="83">
        <f t="shared" si="128"/>
        <v>1239</v>
      </c>
      <c r="M807" s="94">
        <v>600</v>
      </c>
      <c r="N807" s="83">
        <f>100</f>
        <v>100</v>
      </c>
      <c r="O807" s="86">
        <v>240</v>
      </c>
      <c r="P807" s="86">
        <v>40</v>
      </c>
      <c r="Q807" s="86">
        <f t="shared" si="129"/>
        <v>315</v>
      </c>
      <c r="R807" s="86">
        <f t="shared" si="130"/>
        <v>100</v>
      </c>
      <c r="S807" s="83">
        <f t="shared" si="131"/>
        <v>695</v>
      </c>
      <c r="T807" s="83">
        <f>50</f>
        <v>50</v>
      </c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</row>
    <row r="808" spans="1:30" ht="15.75" x14ac:dyDescent="0.25">
      <c r="A808" s="32">
        <v>65531</v>
      </c>
      <c r="B808" s="95">
        <f t="shared" si="132"/>
        <v>31</v>
      </c>
      <c r="C808" s="83">
        <f>194.205</f>
        <v>194.20500000000001</v>
      </c>
      <c r="D808" s="83">
        <f>267.466</f>
        <v>267.46600000000001</v>
      </c>
      <c r="E808" s="92">
        <f>133.845</f>
        <v>133.845</v>
      </c>
      <c r="F808" s="83">
        <f>278.484-40-25-60-100</f>
        <v>53.48399999999998</v>
      </c>
      <c r="G808" s="86">
        <v>40</v>
      </c>
      <c r="H808" s="83">
        <f t="shared" si="134"/>
        <v>185</v>
      </c>
      <c r="I808" s="83">
        <f t="shared" si="124"/>
        <v>0</v>
      </c>
      <c r="J808" s="86">
        <v>100</v>
      </c>
      <c r="K808" s="86">
        <v>300</v>
      </c>
      <c r="L808" s="83">
        <f t="shared" si="128"/>
        <v>1274</v>
      </c>
      <c r="M808" s="94">
        <v>600</v>
      </c>
      <c r="N808" s="83">
        <f>75</f>
        <v>75</v>
      </c>
      <c r="O808" s="86">
        <v>240</v>
      </c>
      <c r="P808" s="86">
        <v>40</v>
      </c>
      <c r="Q808" s="86">
        <f t="shared" si="129"/>
        <v>315</v>
      </c>
      <c r="R808" s="86">
        <f t="shared" si="130"/>
        <v>100</v>
      </c>
      <c r="S808" s="83">
        <f t="shared" si="131"/>
        <v>695</v>
      </c>
      <c r="T808" s="83">
        <f>50</f>
        <v>50</v>
      </c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</row>
    <row r="809" spans="1:30" ht="15.75" x14ac:dyDescent="0.25">
      <c r="A809" s="32">
        <v>65561</v>
      </c>
      <c r="B809" s="95">
        <f t="shared" si="132"/>
        <v>30</v>
      </c>
      <c r="C809" s="83">
        <f>194.205</f>
        <v>194.20500000000001</v>
      </c>
      <c r="D809" s="83">
        <f>267.466</f>
        <v>267.46600000000001</v>
      </c>
      <c r="E809" s="92">
        <f>133.845</f>
        <v>133.845</v>
      </c>
      <c r="F809" s="83">
        <f>278.484-40-25-60-100</f>
        <v>53.48399999999998</v>
      </c>
      <c r="G809" s="86">
        <v>40</v>
      </c>
      <c r="H809" s="83">
        <f t="shared" si="134"/>
        <v>185</v>
      </c>
      <c r="I809" s="83">
        <f t="shared" si="124"/>
        <v>0</v>
      </c>
      <c r="J809" s="86">
        <v>100</v>
      </c>
      <c r="K809" s="86">
        <v>300</v>
      </c>
      <c r="L809" s="83">
        <f t="shared" si="128"/>
        <v>1274</v>
      </c>
      <c r="M809" s="94">
        <v>600</v>
      </c>
      <c r="N809" s="83">
        <f>30</f>
        <v>30</v>
      </c>
      <c r="O809" s="86">
        <v>240</v>
      </c>
      <c r="P809" s="86">
        <v>40</v>
      </c>
      <c r="Q809" s="86">
        <f t="shared" si="129"/>
        <v>315</v>
      </c>
      <c r="R809" s="86">
        <f t="shared" si="130"/>
        <v>100</v>
      </c>
      <c r="S809" s="83">
        <f t="shared" si="131"/>
        <v>695</v>
      </c>
      <c r="T809" s="83">
        <f>50</f>
        <v>50</v>
      </c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</row>
    <row r="810" spans="1:30" ht="15.75" x14ac:dyDescent="0.25">
      <c r="A810" s="32">
        <v>65592</v>
      </c>
      <c r="B810" s="95">
        <f t="shared" si="132"/>
        <v>31</v>
      </c>
      <c r="C810" s="83">
        <f>194.205</f>
        <v>194.20500000000001</v>
      </c>
      <c r="D810" s="83">
        <f>267.466</f>
        <v>267.46600000000001</v>
      </c>
      <c r="E810" s="92">
        <f>133.845</f>
        <v>133.845</v>
      </c>
      <c r="F810" s="83">
        <f>278.484-40-25-60-100</f>
        <v>53.48399999999998</v>
      </c>
      <c r="G810" s="86">
        <v>40</v>
      </c>
      <c r="H810" s="83">
        <f t="shared" si="134"/>
        <v>185</v>
      </c>
      <c r="I810" s="83">
        <f t="shared" si="124"/>
        <v>0</v>
      </c>
      <c r="J810" s="86">
        <v>100</v>
      </c>
      <c r="K810" s="86">
        <v>300</v>
      </c>
      <c r="L810" s="83">
        <f t="shared" si="128"/>
        <v>1274</v>
      </c>
      <c r="M810" s="94">
        <v>600</v>
      </c>
      <c r="N810" s="83">
        <f>30</f>
        <v>30</v>
      </c>
      <c r="O810" s="86">
        <v>240</v>
      </c>
      <c r="P810" s="86">
        <v>40</v>
      </c>
      <c r="Q810" s="86">
        <f t="shared" si="129"/>
        <v>315</v>
      </c>
      <c r="R810" s="86">
        <f t="shared" si="130"/>
        <v>100</v>
      </c>
      <c r="S810" s="83">
        <f t="shared" si="131"/>
        <v>695</v>
      </c>
      <c r="T810" s="83">
        <f>0</f>
        <v>0</v>
      </c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</row>
    <row r="811" spans="1:30" ht="15.75" x14ac:dyDescent="0.25">
      <c r="A811" s="32">
        <v>65623</v>
      </c>
      <c r="B811" s="95">
        <f t="shared" si="132"/>
        <v>31</v>
      </c>
      <c r="C811" s="83">
        <f>194.205</f>
        <v>194.20500000000001</v>
      </c>
      <c r="D811" s="83">
        <f>267.466</f>
        <v>267.46600000000001</v>
      </c>
      <c r="E811" s="92">
        <f>133.845</f>
        <v>133.845</v>
      </c>
      <c r="F811" s="83">
        <f>278.484-40-25-60-100</f>
        <v>53.48399999999998</v>
      </c>
      <c r="G811" s="86">
        <v>40</v>
      </c>
      <c r="H811" s="83">
        <f t="shared" si="134"/>
        <v>185</v>
      </c>
      <c r="I811" s="83">
        <f t="shared" si="124"/>
        <v>0</v>
      </c>
      <c r="J811" s="86">
        <v>100</v>
      </c>
      <c r="K811" s="86">
        <v>300</v>
      </c>
      <c r="L811" s="83">
        <f t="shared" si="128"/>
        <v>1274</v>
      </c>
      <c r="M811" s="94">
        <v>600</v>
      </c>
      <c r="N811" s="83">
        <f>30</f>
        <v>30</v>
      </c>
      <c r="O811" s="86">
        <v>240</v>
      </c>
      <c r="P811" s="86">
        <v>40</v>
      </c>
      <c r="Q811" s="86">
        <f t="shared" si="129"/>
        <v>315</v>
      </c>
      <c r="R811" s="86">
        <f t="shared" si="130"/>
        <v>100</v>
      </c>
      <c r="S811" s="83">
        <f t="shared" si="131"/>
        <v>695</v>
      </c>
      <c r="T811" s="83">
        <f>0</f>
        <v>0</v>
      </c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</row>
    <row r="812" spans="1:30" ht="15.75" x14ac:dyDescent="0.25">
      <c r="A812" s="32">
        <v>65653</v>
      </c>
      <c r="B812" s="95">
        <f t="shared" si="132"/>
        <v>30</v>
      </c>
      <c r="C812" s="83">
        <f>194.205</f>
        <v>194.20500000000001</v>
      </c>
      <c r="D812" s="83">
        <f>267.466</f>
        <v>267.46600000000001</v>
      </c>
      <c r="E812" s="92">
        <f>133.845</f>
        <v>133.845</v>
      </c>
      <c r="F812" s="83">
        <f>278.484-40-25-60-100</f>
        <v>53.48399999999998</v>
      </c>
      <c r="G812" s="86">
        <v>40</v>
      </c>
      <c r="H812" s="83">
        <f t="shared" si="134"/>
        <v>185</v>
      </c>
      <c r="I812" s="83">
        <f t="shared" si="124"/>
        <v>0</v>
      </c>
      <c r="J812" s="86">
        <v>100</v>
      </c>
      <c r="K812" s="86">
        <v>300</v>
      </c>
      <c r="L812" s="83">
        <f t="shared" si="128"/>
        <v>1274</v>
      </c>
      <c r="M812" s="94">
        <v>600</v>
      </c>
      <c r="N812" s="83">
        <f>30</f>
        <v>30</v>
      </c>
      <c r="O812" s="86">
        <v>240</v>
      </c>
      <c r="P812" s="86">
        <v>40</v>
      </c>
      <c r="Q812" s="86">
        <f t="shared" si="129"/>
        <v>315</v>
      </c>
      <c r="R812" s="86">
        <f t="shared" si="130"/>
        <v>100</v>
      </c>
      <c r="S812" s="83">
        <f t="shared" si="131"/>
        <v>695</v>
      </c>
      <c r="T812" s="83">
        <f>0</f>
        <v>0</v>
      </c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</row>
    <row r="813" spans="1:30" ht="15.75" x14ac:dyDescent="0.25">
      <c r="A813" s="32">
        <v>65684</v>
      </c>
      <c r="B813" s="95">
        <f t="shared" si="132"/>
        <v>31</v>
      </c>
      <c r="C813" s="83">
        <f>131.881</f>
        <v>131.881</v>
      </c>
      <c r="D813" s="83">
        <f>277.167</f>
        <v>277.16699999999997</v>
      </c>
      <c r="E813" s="92">
        <f>79.08</f>
        <v>79.08</v>
      </c>
      <c r="F813" s="83">
        <f>350.872-40-25-60-100</f>
        <v>125.87200000000001</v>
      </c>
      <c r="G813" s="86">
        <v>40</v>
      </c>
      <c r="H813" s="83">
        <f t="shared" si="134"/>
        <v>185</v>
      </c>
      <c r="I813" s="83">
        <f t="shared" si="124"/>
        <v>0</v>
      </c>
      <c r="J813" s="86">
        <v>100</v>
      </c>
      <c r="K813" s="86">
        <v>300</v>
      </c>
      <c r="L813" s="83">
        <f t="shared" si="128"/>
        <v>1239</v>
      </c>
      <c r="M813" s="94">
        <v>600</v>
      </c>
      <c r="N813" s="83">
        <f>75</f>
        <v>75</v>
      </c>
      <c r="O813" s="86">
        <v>240</v>
      </c>
      <c r="P813" s="86">
        <v>40</v>
      </c>
      <c r="Q813" s="86">
        <f t="shared" si="129"/>
        <v>315</v>
      </c>
      <c r="R813" s="86">
        <f t="shared" si="130"/>
        <v>100</v>
      </c>
      <c r="S813" s="83">
        <f t="shared" si="131"/>
        <v>695</v>
      </c>
      <c r="T813" s="83">
        <f>0</f>
        <v>0</v>
      </c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</row>
    <row r="814" spans="1:30" ht="15.75" x14ac:dyDescent="0.25">
      <c r="A814" s="32">
        <v>65714</v>
      </c>
      <c r="B814" s="95">
        <f t="shared" si="132"/>
        <v>30</v>
      </c>
      <c r="C814" s="83">
        <f>122.58</f>
        <v>122.58</v>
      </c>
      <c r="D814" s="83">
        <f>297.941</f>
        <v>297.94099999999997</v>
      </c>
      <c r="E814" s="92">
        <f>89.177</f>
        <v>89.177000000000007</v>
      </c>
      <c r="F814" s="83">
        <f>240.302-40-60-100</f>
        <v>40.301999999999992</v>
      </c>
      <c r="G814" s="86">
        <v>40</v>
      </c>
      <c r="H814" s="83">
        <f>60+100</f>
        <v>160</v>
      </c>
      <c r="I814" s="83">
        <f t="shared" si="124"/>
        <v>0</v>
      </c>
      <c r="J814" s="86">
        <v>100</v>
      </c>
      <c r="K814" s="86">
        <v>300</v>
      </c>
      <c r="L814" s="83">
        <f t="shared" si="128"/>
        <v>1150</v>
      </c>
      <c r="M814" s="94">
        <v>600</v>
      </c>
      <c r="N814" s="83">
        <f>100</f>
        <v>100</v>
      </c>
      <c r="O814" s="86">
        <v>240</v>
      </c>
      <c r="P814" s="86">
        <v>40</v>
      </c>
      <c r="Q814" s="86">
        <f t="shared" si="129"/>
        <v>315</v>
      </c>
      <c r="R814" s="86">
        <f t="shared" si="130"/>
        <v>100</v>
      </c>
      <c r="S814" s="83">
        <f t="shared" si="131"/>
        <v>695</v>
      </c>
      <c r="T814" s="83">
        <f>50</f>
        <v>50</v>
      </c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</row>
    <row r="815" spans="1:30" ht="15.75" x14ac:dyDescent="0.25">
      <c r="A815" s="32">
        <v>65745</v>
      </c>
      <c r="B815" s="95">
        <f t="shared" si="132"/>
        <v>31</v>
      </c>
      <c r="C815" s="83">
        <f>122.58</f>
        <v>122.58</v>
      </c>
      <c r="D815" s="83">
        <f>297.941</f>
        <v>297.94099999999997</v>
      </c>
      <c r="E815" s="92">
        <f>89.177</f>
        <v>89.177000000000007</v>
      </c>
      <c r="F815" s="83">
        <f>240.302-40-60-100</f>
        <v>40.301999999999992</v>
      </c>
      <c r="G815" s="86">
        <v>40</v>
      </c>
      <c r="H815" s="83">
        <f>60+100</f>
        <v>160</v>
      </c>
      <c r="I815" s="83">
        <f t="shared" si="124"/>
        <v>0</v>
      </c>
      <c r="J815" s="86">
        <v>100</v>
      </c>
      <c r="K815" s="86">
        <v>300</v>
      </c>
      <c r="L815" s="83">
        <f t="shared" si="128"/>
        <v>1150</v>
      </c>
      <c r="M815" s="94">
        <v>600</v>
      </c>
      <c r="N815" s="83">
        <f>100</f>
        <v>100</v>
      </c>
      <c r="O815" s="86">
        <v>240</v>
      </c>
      <c r="P815" s="86">
        <v>40</v>
      </c>
      <c r="Q815" s="86">
        <f t="shared" si="129"/>
        <v>315</v>
      </c>
      <c r="R815" s="86">
        <f t="shared" si="130"/>
        <v>100</v>
      </c>
      <c r="S815" s="83">
        <f t="shared" si="131"/>
        <v>695</v>
      </c>
      <c r="T815" s="83">
        <f>50</f>
        <v>50</v>
      </c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</row>
    <row r="816" spans="1:30" ht="15.75" x14ac:dyDescent="0.25">
      <c r="A816" s="32">
        <v>65776</v>
      </c>
      <c r="B816" s="95">
        <f t="shared" si="132"/>
        <v>31</v>
      </c>
      <c r="C816" s="83">
        <f>122.58</f>
        <v>122.58</v>
      </c>
      <c r="D816" s="83">
        <f>297.941</f>
        <v>297.94099999999997</v>
      </c>
      <c r="E816" s="92">
        <f>89.177</f>
        <v>89.177000000000007</v>
      </c>
      <c r="F816" s="83">
        <f>240.302-40-60-100</f>
        <v>40.301999999999992</v>
      </c>
      <c r="G816" s="86">
        <v>40</v>
      </c>
      <c r="H816" s="83">
        <f>60+100</f>
        <v>160</v>
      </c>
      <c r="I816" s="83">
        <f t="shared" si="124"/>
        <v>0</v>
      </c>
      <c r="J816" s="86">
        <v>100</v>
      </c>
      <c r="K816" s="86">
        <v>300</v>
      </c>
      <c r="L816" s="83">
        <f t="shared" si="128"/>
        <v>1150</v>
      </c>
      <c r="M816" s="94">
        <v>600</v>
      </c>
      <c r="N816" s="83">
        <f>100</f>
        <v>100</v>
      </c>
      <c r="O816" s="86">
        <v>240</v>
      </c>
      <c r="P816" s="86">
        <v>40</v>
      </c>
      <c r="Q816" s="86">
        <f t="shared" si="129"/>
        <v>315</v>
      </c>
      <c r="R816" s="86">
        <f t="shared" si="130"/>
        <v>100</v>
      </c>
      <c r="S816" s="83">
        <f t="shared" si="131"/>
        <v>695</v>
      </c>
      <c r="T816" s="83">
        <f>50</f>
        <v>50</v>
      </c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</row>
    <row r="817" spans="1:30" ht="15.75" x14ac:dyDescent="0.25">
      <c r="A817" s="32">
        <v>65805</v>
      </c>
      <c r="B817" s="95">
        <f t="shared" si="132"/>
        <v>29</v>
      </c>
      <c r="C817" s="83">
        <f>122.58</f>
        <v>122.58</v>
      </c>
      <c r="D817" s="83">
        <f>297.941</f>
        <v>297.94099999999997</v>
      </c>
      <c r="E817" s="92">
        <f>89.177</f>
        <v>89.177000000000007</v>
      </c>
      <c r="F817" s="83">
        <f>240.302-40-60-100</f>
        <v>40.301999999999992</v>
      </c>
      <c r="G817" s="86">
        <v>40</v>
      </c>
      <c r="H817" s="83">
        <f>60+100</f>
        <v>160</v>
      </c>
      <c r="I817" s="83">
        <f t="shared" si="124"/>
        <v>0</v>
      </c>
      <c r="J817" s="86">
        <v>100</v>
      </c>
      <c r="K817" s="86">
        <v>300</v>
      </c>
      <c r="L817" s="83">
        <f t="shared" si="128"/>
        <v>1150</v>
      </c>
      <c r="M817" s="94">
        <v>600</v>
      </c>
      <c r="N817" s="83">
        <f>100</f>
        <v>100</v>
      </c>
      <c r="O817" s="86">
        <v>240</v>
      </c>
      <c r="P817" s="86">
        <v>40</v>
      </c>
      <c r="Q817" s="86">
        <f t="shared" si="129"/>
        <v>315</v>
      </c>
      <c r="R817" s="86">
        <f t="shared" si="130"/>
        <v>100</v>
      </c>
      <c r="S817" s="83">
        <f t="shared" si="131"/>
        <v>695</v>
      </c>
      <c r="T817" s="83">
        <f>50</f>
        <v>50</v>
      </c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</row>
    <row r="818" spans="1:30" ht="15.75" x14ac:dyDescent="0.25">
      <c r="A818" s="32">
        <v>65836</v>
      </c>
      <c r="B818" s="95">
        <f t="shared" si="132"/>
        <v>31</v>
      </c>
      <c r="C818" s="83">
        <f>122.58</f>
        <v>122.58</v>
      </c>
      <c r="D818" s="83">
        <f>297.941</f>
        <v>297.94099999999997</v>
      </c>
      <c r="E818" s="92">
        <f>89.177</f>
        <v>89.177000000000007</v>
      </c>
      <c r="F818" s="83">
        <f>240.302-40-60-100</f>
        <v>40.301999999999992</v>
      </c>
      <c r="G818" s="86">
        <v>40</v>
      </c>
      <c r="H818" s="83">
        <f>60+100</f>
        <v>160</v>
      </c>
      <c r="I818" s="83">
        <f t="shared" si="124"/>
        <v>0</v>
      </c>
      <c r="J818" s="86">
        <v>100</v>
      </c>
      <c r="K818" s="86">
        <v>300</v>
      </c>
      <c r="L818" s="83">
        <f t="shared" si="128"/>
        <v>1150</v>
      </c>
      <c r="M818" s="94">
        <v>600</v>
      </c>
      <c r="N818" s="83">
        <f>100</f>
        <v>100</v>
      </c>
      <c r="O818" s="86">
        <v>240</v>
      </c>
      <c r="P818" s="86">
        <v>40</v>
      </c>
      <c r="Q818" s="86">
        <f t="shared" si="129"/>
        <v>315</v>
      </c>
      <c r="R818" s="86">
        <f t="shared" si="130"/>
        <v>100</v>
      </c>
      <c r="S818" s="83">
        <f t="shared" si="131"/>
        <v>695</v>
      </c>
      <c r="T818" s="83">
        <f>50</f>
        <v>50</v>
      </c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</row>
    <row r="819" spans="1:30" ht="15.75" x14ac:dyDescent="0.25">
      <c r="A819" s="32">
        <v>65866</v>
      </c>
      <c r="B819" s="95">
        <f t="shared" si="132"/>
        <v>30</v>
      </c>
      <c r="C819" s="83">
        <f>141.293</f>
        <v>141.29300000000001</v>
      </c>
      <c r="D819" s="83">
        <f>267.993</f>
        <v>267.99299999999999</v>
      </c>
      <c r="E819" s="92">
        <f>115.016</f>
        <v>115.01600000000001</v>
      </c>
      <c r="F819" s="83">
        <f>314.698-40-25-60-100</f>
        <v>89.697999999999979</v>
      </c>
      <c r="G819" s="86">
        <v>40</v>
      </c>
      <c r="H819" s="83">
        <f t="shared" ref="H819:H825" si="135">25+60+100</f>
        <v>185</v>
      </c>
      <c r="I819" s="83">
        <f t="shared" si="124"/>
        <v>0</v>
      </c>
      <c r="J819" s="86">
        <v>100</v>
      </c>
      <c r="K819" s="86">
        <v>300</v>
      </c>
      <c r="L819" s="83">
        <f t="shared" si="128"/>
        <v>1239</v>
      </c>
      <c r="M819" s="94">
        <v>600</v>
      </c>
      <c r="N819" s="83">
        <f>100</f>
        <v>100</v>
      </c>
      <c r="O819" s="86">
        <v>240</v>
      </c>
      <c r="P819" s="86">
        <v>40</v>
      </c>
      <c r="Q819" s="86">
        <f t="shared" si="129"/>
        <v>315</v>
      </c>
      <c r="R819" s="86">
        <f t="shared" si="130"/>
        <v>100</v>
      </c>
      <c r="S819" s="83">
        <f t="shared" si="131"/>
        <v>695</v>
      </c>
      <c r="T819" s="83">
        <f>50</f>
        <v>50</v>
      </c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</row>
    <row r="820" spans="1:30" ht="15.75" x14ac:dyDescent="0.25">
      <c r="A820" s="32">
        <v>65897</v>
      </c>
      <c r="B820" s="95">
        <f t="shared" si="132"/>
        <v>31</v>
      </c>
      <c r="C820" s="83">
        <f>194.205</f>
        <v>194.20500000000001</v>
      </c>
      <c r="D820" s="83">
        <f>267.466</f>
        <v>267.46600000000001</v>
      </c>
      <c r="E820" s="92">
        <f>133.845</f>
        <v>133.845</v>
      </c>
      <c r="F820" s="83">
        <f>278.484-40-25-60-100</f>
        <v>53.48399999999998</v>
      </c>
      <c r="G820" s="86">
        <v>40</v>
      </c>
      <c r="H820" s="83">
        <f t="shared" si="135"/>
        <v>185</v>
      </c>
      <c r="I820" s="83">
        <f t="shared" ref="I820:I883" si="136">400-J820-K820</f>
        <v>0</v>
      </c>
      <c r="J820" s="86">
        <v>100</v>
      </c>
      <c r="K820" s="86">
        <v>300</v>
      </c>
      <c r="L820" s="83">
        <f t="shared" si="128"/>
        <v>1274</v>
      </c>
      <c r="M820" s="94">
        <v>600</v>
      </c>
      <c r="N820" s="83">
        <f>75</f>
        <v>75</v>
      </c>
      <c r="O820" s="86">
        <v>240</v>
      </c>
      <c r="P820" s="86">
        <v>40</v>
      </c>
      <c r="Q820" s="86">
        <f t="shared" si="129"/>
        <v>315</v>
      </c>
      <c r="R820" s="86">
        <f t="shared" si="130"/>
        <v>100</v>
      </c>
      <c r="S820" s="83">
        <f t="shared" si="131"/>
        <v>695</v>
      </c>
      <c r="T820" s="83">
        <f>50</f>
        <v>50</v>
      </c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</row>
    <row r="821" spans="1:30" ht="15.75" x14ac:dyDescent="0.25">
      <c r="A821" s="32">
        <v>65927</v>
      </c>
      <c r="B821" s="95">
        <f t="shared" si="132"/>
        <v>30</v>
      </c>
      <c r="C821" s="83">
        <f>194.205</f>
        <v>194.20500000000001</v>
      </c>
      <c r="D821" s="83">
        <f>267.466</f>
        <v>267.46600000000001</v>
      </c>
      <c r="E821" s="92">
        <f>133.845</f>
        <v>133.845</v>
      </c>
      <c r="F821" s="83">
        <f>278.484-40-25-60-100</f>
        <v>53.48399999999998</v>
      </c>
      <c r="G821" s="86">
        <v>40</v>
      </c>
      <c r="H821" s="83">
        <f t="shared" si="135"/>
        <v>185</v>
      </c>
      <c r="I821" s="83">
        <f t="shared" si="136"/>
        <v>0</v>
      </c>
      <c r="J821" s="86">
        <v>100</v>
      </c>
      <c r="K821" s="86">
        <v>300</v>
      </c>
      <c r="L821" s="83">
        <f t="shared" si="128"/>
        <v>1274</v>
      </c>
      <c r="M821" s="94">
        <v>600</v>
      </c>
      <c r="N821" s="83">
        <f>30</f>
        <v>30</v>
      </c>
      <c r="O821" s="86">
        <v>240</v>
      </c>
      <c r="P821" s="86">
        <v>40</v>
      </c>
      <c r="Q821" s="86">
        <f t="shared" si="129"/>
        <v>315</v>
      </c>
      <c r="R821" s="86">
        <f t="shared" si="130"/>
        <v>100</v>
      </c>
      <c r="S821" s="83">
        <f t="shared" si="131"/>
        <v>695</v>
      </c>
      <c r="T821" s="83">
        <f>50</f>
        <v>50</v>
      </c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</row>
    <row r="822" spans="1:30" ht="15.75" x14ac:dyDescent="0.25">
      <c r="A822" s="32">
        <v>65958</v>
      </c>
      <c r="B822" s="95">
        <f t="shared" si="132"/>
        <v>31</v>
      </c>
      <c r="C822" s="83">
        <f>194.205</f>
        <v>194.20500000000001</v>
      </c>
      <c r="D822" s="83">
        <f>267.466</f>
        <v>267.46600000000001</v>
      </c>
      <c r="E822" s="92">
        <f>133.845</f>
        <v>133.845</v>
      </c>
      <c r="F822" s="83">
        <f>278.484-40-25-60-100</f>
        <v>53.48399999999998</v>
      </c>
      <c r="G822" s="86">
        <v>40</v>
      </c>
      <c r="H822" s="83">
        <f t="shared" si="135"/>
        <v>185</v>
      </c>
      <c r="I822" s="83">
        <f t="shared" si="136"/>
        <v>0</v>
      </c>
      <c r="J822" s="86">
        <v>100</v>
      </c>
      <c r="K822" s="86">
        <v>300</v>
      </c>
      <c r="L822" s="83">
        <f t="shared" si="128"/>
        <v>1274</v>
      </c>
      <c r="M822" s="94">
        <v>600</v>
      </c>
      <c r="N822" s="83">
        <f>30</f>
        <v>30</v>
      </c>
      <c r="O822" s="86">
        <v>240</v>
      </c>
      <c r="P822" s="86">
        <v>40</v>
      </c>
      <c r="Q822" s="86">
        <f t="shared" si="129"/>
        <v>315</v>
      </c>
      <c r="R822" s="86">
        <f t="shared" si="130"/>
        <v>100</v>
      </c>
      <c r="S822" s="83">
        <f t="shared" si="131"/>
        <v>695</v>
      </c>
      <c r="T822" s="83">
        <f>0</f>
        <v>0</v>
      </c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</row>
    <row r="823" spans="1:30" ht="15.75" x14ac:dyDescent="0.25">
      <c r="A823" s="32">
        <v>65989</v>
      </c>
      <c r="B823" s="95">
        <f t="shared" si="132"/>
        <v>31</v>
      </c>
      <c r="C823" s="83">
        <f>194.205</f>
        <v>194.20500000000001</v>
      </c>
      <c r="D823" s="83">
        <f>267.466</f>
        <v>267.46600000000001</v>
      </c>
      <c r="E823" s="92">
        <f>133.845</f>
        <v>133.845</v>
      </c>
      <c r="F823" s="83">
        <f>278.484-40-25-60-100</f>
        <v>53.48399999999998</v>
      </c>
      <c r="G823" s="86">
        <v>40</v>
      </c>
      <c r="H823" s="83">
        <f t="shared" si="135"/>
        <v>185</v>
      </c>
      <c r="I823" s="83">
        <f t="shared" si="136"/>
        <v>0</v>
      </c>
      <c r="J823" s="86">
        <v>100</v>
      </c>
      <c r="K823" s="86">
        <v>300</v>
      </c>
      <c r="L823" s="83">
        <f t="shared" si="128"/>
        <v>1274</v>
      </c>
      <c r="M823" s="94">
        <v>600</v>
      </c>
      <c r="N823" s="83">
        <f>30</f>
        <v>30</v>
      </c>
      <c r="O823" s="86">
        <v>240</v>
      </c>
      <c r="P823" s="86">
        <v>40</v>
      </c>
      <c r="Q823" s="86">
        <f t="shared" si="129"/>
        <v>315</v>
      </c>
      <c r="R823" s="86">
        <f t="shared" si="130"/>
        <v>100</v>
      </c>
      <c r="S823" s="83">
        <f t="shared" si="131"/>
        <v>695</v>
      </c>
      <c r="T823" s="83">
        <f>0</f>
        <v>0</v>
      </c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</row>
    <row r="824" spans="1:30" ht="15.75" x14ac:dyDescent="0.25">
      <c r="A824" s="32">
        <v>66019</v>
      </c>
      <c r="B824" s="95">
        <f t="shared" si="132"/>
        <v>30</v>
      </c>
      <c r="C824" s="83">
        <f>194.205</f>
        <v>194.20500000000001</v>
      </c>
      <c r="D824" s="83">
        <f>267.466</f>
        <v>267.46600000000001</v>
      </c>
      <c r="E824" s="92">
        <f>133.845</f>
        <v>133.845</v>
      </c>
      <c r="F824" s="83">
        <f>278.484-40-25-60-100</f>
        <v>53.48399999999998</v>
      </c>
      <c r="G824" s="86">
        <v>40</v>
      </c>
      <c r="H824" s="83">
        <f t="shared" si="135"/>
        <v>185</v>
      </c>
      <c r="I824" s="83">
        <f t="shared" si="136"/>
        <v>0</v>
      </c>
      <c r="J824" s="86">
        <v>100</v>
      </c>
      <c r="K824" s="86">
        <v>300</v>
      </c>
      <c r="L824" s="83">
        <f t="shared" si="128"/>
        <v>1274</v>
      </c>
      <c r="M824" s="94">
        <v>600</v>
      </c>
      <c r="N824" s="83">
        <f>30</f>
        <v>30</v>
      </c>
      <c r="O824" s="86">
        <v>240</v>
      </c>
      <c r="P824" s="86">
        <v>40</v>
      </c>
      <c r="Q824" s="86">
        <f t="shared" si="129"/>
        <v>315</v>
      </c>
      <c r="R824" s="86">
        <f t="shared" si="130"/>
        <v>100</v>
      </c>
      <c r="S824" s="83">
        <f t="shared" si="131"/>
        <v>695</v>
      </c>
      <c r="T824" s="83">
        <f>0</f>
        <v>0</v>
      </c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</row>
    <row r="825" spans="1:30" ht="15.75" x14ac:dyDescent="0.25">
      <c r="A825" s="32">
        <v>66050</v>
      </c>
      <c r="B825" s="95">
        <f t="shared" si="132"/>
        <v>31</v>
      </c>
      <c r="C825" s="83">
        <f>131.881</f>
        <v>131.881</v>
      </c>
      <c r="D825" s="83">
        <f>277.167</f>
        <v>277.16699999999997</v>
      </c>
      <c r="E825" s="92">
        <f>79.08</f>
        <v>79.08</v>
      </c>
      <c r="F825" s="83">
        <f>350.872-40-25-60-100</f>
        <v>125.87200000000001</v>
      </c>
      <c r="G825" s="86">
        <v>40</v>
      </c>
      <c r="H825" s="83">
        <f t="shared" si="135"/>
        <v>185</v>
      </c>
      <c r="I825" s="83">
        <f t="shared" si="136"/>
        <v>0</v>
      </c>
      <c r="J825" s="86">
        <v>100</v>
      </c>
      <c r="K825" s="86">
        <v>300</v>
      </c>
      <c r="L825" s="83">
        <f t="shared" si="128"/>
        <v>1239</v>
      </c>
      <c r="M825" s="94">
        <v>600</v>
      </c>
      <c r="N825" s="83">
        <f>75</f>
        <v>75</v>
      </c>
      <c r="O825" s="86">
        <v>240</v>
      </c>
      <c r="P825" s="86">
        <v>40</v>
      </c>
      <c r="Q825" s="86">
        <f t="shared" si="129"/>
        <v>315</v>
      </c>
      <c r="R825" s="86">
        <f t="shared" si="130"/>
        <v>100</v>
      </c>
      <c r="S825" s="83">
        <f t="shared" si="131"/>
        <v>695</v>
      </c>
      <c r="T825" s="83">
        <f>0</f>
        <v>0</v>
      </c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</row>
    <row r="826" spans="1:30" ht="15.75" x14ac:dyDescent="0.25">
      <c r="A826" s="32">
        <v>66080</v>
      </c>
      <c r="B826" s="95">
        <f t="shared" si="132"/>
        <v>30</v>
      </c>
      <c r="C826" s="83">
        <f>122.58</f>
        <v>122.58</v>
      </c>
      <c r="D826" s="83">
        <f>297.941</f>
        <v>297.94099999999997</v>
      </c>
      <c r="E826" s="92">
        <f>89.177</f>
        <v>89.177000000000007</v>
      </c>
      <c r="F826" s="83">
        <f>240.302-40-60-100</f>
        <v>40.301999999999992</v>
      </c>
      <c r="G826" s="86">
        <v>40</v>
      </c>
      <c r="H826" s="83">
        <f>60+100</f>
        <v>160</v>
      </c>
      <c r="I826" s="83">
        <f t="shared" si="136"/>
        <v>0</v>
      </c>
      <c r="J826" s="86">
        <v>100</v>
      </c>
      <c r="K826" s="86">
        <v>300</v>
      </c>
      <c r="L826" s="83">
        <f t="shared" si="128"/>
        <v>1150</v>
      </c>
      <c r="M826" s="94">
        <v>600</v>
      </c>
      <c r="N826" s="83">
        <f>100</f>
        <v>100</v>
      </c>
      <c r="O826" s="86">
        <v>240</v>
      </c>
      <c r="P826" s="86">
        <v>40</v>
      </c>
      <c r="Q826" s="86">
        <f t="shared" si="129"/>
        <v>315</v>
      </c>
      <c r="R826" s="86">
        <f t="shared" si="130"/>
        <v>100</v>
      </c>
      <c r="S826" s="83">
        <f t="shared" si="131"/>
        <v>695</v>
      </c>
      <c r="T826" s="83">
        <f>50</f>
        <v>50</v>
      </c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</row>
    <row r="827" spans="1:30" ht="15.75" x14ac:dyDescent="0.25">
      <c r="A827" s="32">
        <v>66111</v>
      </c>
      <c r="B827" s="95">
        <f t="shared" si="132"/>
        <v>31</v>
      </c>
      <c r="C827" s="83">
        <f>122.58</f>
        <v>122.58</v>
      </c>
      <c r="D827" s="83">
        <f>297.941</f>
        <v>297.94099999999997</v>
      </c>
      <c r="E827" s="92">
        <f>89.177</f>
        <v>89.177000000000007</v>
      </c>
      <c r="F827" s="83">
        <f>240.302-40-60-100</f>
        <v>40.301999999999992</v>
      </c>
      <c r="G827" s="86">
        <v>40</v>
      </c>
      <c r="H827" s="83">
        <f>60+100</f>
        <v>160</v>
      </c>
      <c r="I827" s="83">
        <f t="shared" si="136"/>
        <v>0</v>
      </c>
      <c r="J827" s="86">
        <v>100</v>
      </c>
      <c r="K827" s="86">
        <v>300</v>
      </c>
      <c r="L827" s="83">
        <f t="shared" si="128"/>
        <v>1150</v>
      </c>
      <c r="M827" s="94">
        <v>600</v>
      </c>
      <c r="N827" s="83">
        <f>100</f>
        <v>100</v>
      </c>
      <c r="O827" s="86">
        <v>240</v>
      </c>
      <c r="P827" s="86">
        <v>40</v>
      </c>
      <c r="Q827" s="86">
        <f t="shared" si="129"/>
        <v>315</v>
      </c>
      <c r="R827" s="86">
        <f t="shared" si="130"/>
        <v>100</v>
      </c>
      <c r="S827" s="83">
        <f t="shared" si="131"/>
        <v>695</v>
      </c>
      <c r="T827" s="83">
        <f>50</f>
        <v>50</v>
      </c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</row>
    <row r="828" spans="1:30" ht="15.75" x14ac:dyDescent="0.25">
      <c r="A828" s="32">
        <v>66142</v>
      </c>
      <c r="B828" s="95">
        <f t="shared" si="132"/>
        <v>31</v>
      </c>
      <c r="C828" s="83">
        <f>122.58</f>
        <v>122.58</v>
      </c>
      <c r="D828" s="83">
        <f>297.941</f>
        <v>297.94099999999997</v>
      </c>
      <c r="E828" s="92">
        <f>89.177</f>
        <v>89.177000000000007</v>
      </c>
      <c r="F828" s="83">
        <f>240.302-40-60-100</f>
        <v>40.301999999999992</v>
      </c>
      <c r="G828" s="86">
        <v>40</v>
      </c>
      <c r="H828" s="83">
        <f>60+100</f>
        <v>160</v>
      </c>
      <c r="I828" s="83">
        <f t="shared" si="136"/>
        <v>0</v>
      </c>
      <c r="J828" s="86">
        <v>100</v>
      </c>
      <c r="K828" s="86">
        <v>300</v>
      </c>
      <c r="L828" s="83">
        <f t="shared" si="128"/>
        <v>1150</v>
      </c>
      <c r="M828" s="94">
        <v>600</v>
      </c>
      <c r="N828" s="83">
        <f>100</f>
        <v>100</v>
      </c>
      <c r="O828" s="86">
        <v>240</v>
      </c>
      <c r="P828" s="86">
        <v>40</v>
      </c>
      <c r="Q828" s="86">
        <f t="shared" si="129"/>
        <v>315</v>
      </c>
      <c r="R828" s="86">
        <f t="shared" si="130"/>
        <v>100</v>
      </c>
      <c r="S828" s="83">
        <f t="shared" si="131"/>
        <v>695</v>
      </c>
      <c r="T828" s="83">
        <f>50</f>
        <v>50</v>
      </c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</row>
    <row r="829" spans="1:30" ht="15.75" x14ac:dyDescent="0.25">
      <c r="A829" s="32">
        <v>66170</v>
      </c>
      <c r="B829" s="95">
        <f t="shared" si="132"/>
        <v>28</v>
      </c>
      <c r="C829" s="83">
        <f>122.58</f>
        <v>122.58</v>
      </c>
      <c r="D829" s="83">
        <f>297.941</f>
        <v>297.94099999999997</v>
      </c>
      <c r="E829" s="92">
        <f>89.177</f>
        <v>89.177000000000007</v>
      </c>
      <c r="F829" s="83">
        <f>240.302-40-60-100</f>
        <v>40.301999999999992</v>
      </c>
      <c r="G829" s="86">
        <v>40</v>
      </c>
      <c r="H829" s="83">
        <f>60+100</f>
        <v>160</v>
      </c>
      <c r="I829" s="83">
        <f t="shared" si="136"/>
        <v>0</v>
      </c>
      <c r="J829" s="86">
        <v>100</v>
      </c>
      <c r="K829" s="86">
        <v>300</v>
      </c>
      <c r="L829" s="83">
        <f t="shared" si="128"/>
        <v>1150</v>
      </c>
      <c r="M829" s="94">
        <v>600</v>
      </c>
      <c r="N829" s="83">
        <f>100</f>
        <v>100</v>
      </c>
      <c r="O829" s="86">
        <v>240</v>
      </c>
      <c r="P829" s="86">
        <v>40</v>
      </c>
      <c r="Q829" s="86">
        <f t="shared" si="129"/>
        <v>315</v>
      </c>
      <c r="R829" s="86">
        <f t="shared" si="130"/>
        <v>100</v>
      </c>
      <c r="S829" s="83">
        <f t="shared" si="131"/>
        <v>695</v>
      </c>
      <c r="T829" s="83">
        <f>50</f>
        <v>50</v>
      </c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</row>
    <row r="830" spans="1:30" ht="15.75" x14ac:dyDescent="0.25">
      <c r="A830" s="32">
        <v>66201</v>
      </c>
      <c r="B830" s="95">
        <f t="shared" si="132"/>
        <v>31</v>
      </c>
      <c r="C830" s="83">
        <f>122.58</f>
        <v>122.58</v>
      </c>
      <c r="D830" s="83">
        <f>297.941</f>
        <v>297.94099999999997</v>
      </c>
      <c r="E830" s="92">
        <f>89.177</f>
        <v>89.177000000000007</v>
      </c>
      <c r="F830" s="83">
        <f>240.302-40-60-100</f>
        <v>40.301999999999992</v>
      </c>
      <c r="G830" s="86">
        <v>40</v>
      </c>
      <c r="H830" s="83">
        <f>60+100</f>
        <v>160</v>
      </c>
      <c r="I830" s="83">
        <f t="shared" si="136"/>
        <v>0</v>
      </c>
      <c r="J830" s="86">
        <v>100</v>
      </c>
      <c r="K830" s="86">
        <v>300</v>
      </c>
      <c r="L830" s="83">
        <f t="shared" si="128"/>
        <v>1150</v>
      </c>
      <c r="M830" s="94">
        <v>600</v>
      </c>
      <c r="N830" s="83">
        <f>100</f>
        <v>100</v>
      </c>
      <c r="O830" s="86">
        <v>240</v>
      </c>
      <c r="P830" s="86">
        <v>40</v>
      </c>
      <c r="Q830" s="86">
        <f t="shared" si="129"/>
        <v>315</v>
      </c>
      <c r="R830" s="86">
        <f t="shared" si="130"/>
        <v>100</v>
      </c>
      <c r="S830" s="83">
        <f t="shared" si="131"/>
        <v>695</v>
      </c>
      <c r="T830" s="83">
        <f>50</f>
        <v>50</v>
      </c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</row>
    <row r="831" spans="1:30" ht="15.75" x14ac:dyDescent="0.25">
      <c r="A831" s="32">
        <v>66231</v>
      </c>
      <c r="B831" s="95">
        <f t="shared" si="132"/>
        <v>30</v>
      </c>
      <c r="C831" s="83">
        <f>141.293</f>
        <v>141.29300000000001</v>
      </c>
      <c r="D831" s="83">
        <f>267.993</f>
        <v>267.99299999999999</v>
      </c>
      <c r="E831" s="92">
        <f>115.016</f>
        <v>115.01600000000001</v>
      </c>
      <c r="F831" s="83">
        <f>314.698-40-25-60-100</f>
        <v>89.697999999999979</v>
      </c>
      <c r="G831" s="86">
        <v>40</v>
      </c>
      <c r="H831" s="83">
        <f t="shared" ref="H831:H837" si="137">25+60+100</f>
        <v>185</v>
      </c>
      <c r="I831" s="83">
        <f t="shared" si="136"/>
        <v>0</v>
      </c>
      <c r="J831" s="86">
        <v>100</v>
      </c>
      <c r="K831" s="86">
        <v>300</v>
      </c>
      <c r="L831" s="83">
        <f t="shared" si="128"/>
        <v>1239</v>
      </c>
      <c r="M831" s="94">
        <v>600</v>
      </c>
      <c r="N831" s="83">
        <f>100</f>
        <v>100</v>
      </c>
      <c r="O831" s="86">
        <v>240</v>
      </c>
      <c r="P831" s="86">
        <v>40</v>
      </c>
      <c r="Q831" s="86">
        <f t="shared" si="129"/>
        <v>315</v>
      </c>
      <c r="R831" s="86">
        <f t="shared" si="130"/>
        <v>100</v>
      </c>
      <c r="S831" s="83">
        <f t="shared" si="131"/>
        <v>695</v>
      </c>
      <c r="T831" s="83">
        <f>50</f>
        <v>50</v>
      </c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</row>
    <row r="832" spans="1:30" ht="15.75" x14ac:dyDescent="0.25">
      <c r="A832" s="32">
        <v>66262</v>
      </c>
      <c r="B832" s="95">
        <f t="shared" si="132"/>
        <v>31</v>
      </c>
      <c r="C832" s="83">
        <f>194.205</f>
        <v>194.20500000000001</v>
      </c>
      <c r="D832" s="83">
        <f>267.466</f>
        <v>267.46600000000001</v>
      </c>
      <c r="E832" s="92">
        <f>133.845</f>
        <v>133.845</v>
      </c>
      <c r="F832" s="83">
        <f>278.484-40-25-60-100</f>
        <v>53.48399999999998</v>
      </c>
      <c r="G832" s="86">
        <v>40</v>
      </c>
      <c r="H832" s="83">
        <f t="shared" si="137"/>
        <v>185</v>
      </c>
      <c r="I832" s="83">
        <f t="shared" si="136"/>
        <v>0</v>
      </c>
      <c r="J832" s="86">
        <v>100</v>
      </c>
      <c r="K832" s="86">
        <v>300</v>
      </c>
      <c r="L832" s="83">
        <f t="shared" si="128"/>
        <v>1274</v>
      </c>
      <c r="M832" s="94">
        <v>600</v>
      </c>
      <c r="N832" s="83">
        <f>75</f>
        <v>75</v>
      </c>
      <c r="O832" s="86">
        <v>240</v>
      </c>
      <c r="P832" s="86">
        <v>40</v>
      </c>
      <c r="Q832" s="86">
        <f t="shared" si="129"/>
        <v>315</v>
      </c>
      <c r="R832" s="86">
        <f t="shared" si="130"/>
        <v>100</v>
      </c>
      <c r="S832" s="83">
        <f t="shared" si="131"/>
        <v>695</v>
      </c>
      <c r="T832" s="83">
        <f>50</f>
        <v>50</v>
      </c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</row>
    <row r="833" spans="1:30" ht="15.75" x14ac:dyDescent="0.25">
      <c r="A833" s="32">
        <v>66292</v>
      </c>
      <c r="B833" s="95">
        <f t="shared" si="132"/>
        <v>30</v>
      </c>
      <c r="C833" s="83">
        <f>194.205</f>
        <v>194.20500000000001</v>
      </c>
      <c r="D833" s="83">
        <f>267.466</f>
        <v>267.46600000000001</v>
      </c>
      <c r="E833" s="92">
        <f>133.845</f>
        <v>133.845</v>
      </c>
      <c r="F833" s="83">
        <f>278.484-40-25-60-100</f>
        <v>53.48399999999998</v>
      </c>
      <c r="G833" s="86">
        <v>40</v>
      </c>
      <c r="H833" s="83">
        <f t="shared" si="137"/>
        <v>185</v>
      </c>
      <c r="I833" s="83">
        <f t="shared" si="136"/>
        <v>0</v>
      </c>
      <c r="J833" s="86">
        <v>100</v>
      </c>
      <c r="K833" s="86">
        <v>300</v>
      </c>
      <c r="L833" s="83">
        <f t="shared" si="128"/>
        <v>1274</v>
      </c>
      <c r="M833" s="94">
        <v>600</v>
      </c>
      <c r="N833" s="83">
        <f>30</f>
        <v>30</v>
      </c>
      <c r="O833" s="86">
        <v>240</v>
      </c>
      <c r="P833" s="86">
        <v>40</v>
      </c>
      <c r="Q833" s="86">
        <f t="shared" si="129"/>
        <v>315</v>
      </c>
      <c r="R833" s="86">
        <f t="shared" si="130"/>
        <v>100</v>
      </c>
      <c r="S833" s="83">
        <f t="shared" si="131"/>
        <v>695</v>
      </c>
      <c r="T833" s="83">
        <f>50</f>
        <v>50</v>
      </c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</row>
    <row r="834" spans="1:30" ht="15.75" x14ac:dyDescent="0.25">
      <c r="A834" s="32">
        <v>66323</v>
      </c>
      <c r="B834" s="95">
        <f t="shared" si="132"/>
        <v>31</v>
      </c>
      <c r="C834" s="83">
        <f>194.205</f>
        <v>194.20500000000001</v>
      </c>
      <c r="D834" s="83">
        <f>267.466</f>
        <v>267.46600000000001</v>
      </c>
      <c r="E834" s="92">
        <f>133.845</f>
        <v>133.845</v>
      </c>
      <c r="F834" s="83">
        <f>278.484-40-25-60-100</f>
        <v>53.48399999999998</v>
      </c>
      <c r="G834" s="86">
        <v>40</v>
      </c>
      <c r="H834" s="83">
        <f t="shared" si="137"/>
        <v>185</v>
      </c>
      <c r="I834" s="83">
        <f t="shared" si="136"/>
        <v>0</v>
      </c>
      <c r="J834" s="86">
        <v>100</v>
      </c>
      <c r="K834" s="86">
        <v>300</v>
      </c>
      <c r="L834" s="83">
        <f t="shared" si="128"/>
        <v>1274</v>
      </c>
      <c r="M834" s="94">
        <v>600</v>
      </c>
      <c r="N834" s="83">
        <f>30</f>
        <v>30</v>
      </c>
      <c r="O834" s="86">
        <v>240</v>
      </c>
      <c r="P834" s="86">
        <v>40</v>
      </c>
      <c r="Q834" s="86">
        <f t="shared" si="129"/>
        <v>315</v>
      </c>
      <c r="R834" s="86">
        <f t="shared" si="130"/>
        <v>100</v>
      </c>
      <c r="S834" s="83">
        <f t="shared" si="131"/>
        <v>695</v>
      </c>
      <c r="T834" s="83">
        <f>0</f>
        <v>0</v>
      </c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</row>
    <row r="835" spans="1:30" ht="15.75" x14ac:dyDescent="0.25">
      <c r="A835" s="32">
        <v>66354</v>
      </c>
      <c r="B835" s="95">
        <f t="shared" si="132"/>
        <v>31</v>
      </c>
      <c r="C835" s="83">
        <f>194.205</f>
        <v>194.20500000000001</v>
      </c>
      <c r="D835" s="83">
        <f>267.466</f>
        <v>267.46600000000001</v>
      </c>
      <c r="E835" s="92">
        <f>133.845</f>
        <v>133.845</v>
      </c>
      <c r="F835" s="83">
        <f>278.484-40-25-60-100</f>
        <v>53.48399999999998</v>
      </c>
      <c r="G835" s="86">
        <v>40</v>
      </c>
      <c r="H835" s="83">
        <f t="shared" si="137"/>
        <v>185</v>
      </c>
      <c r="I835" s="83">
        <f t="shared" si="136"/>
        <v>0</v>
      </c>
      <c r="J835" s="86">
        <v>100</v>
      </c>
      <c r="K835" s="86">
        <v>300</v>
      </c>
      <c r="L835" s="83">
        <f t="shared" si="128"/>
        <v>1274</v>
      </c>
      <c r="M835" s="94">
        <v>600</v>
      </c>
      <c r="N835" s="83">
        <f>30</f>
        <v>30</v>
      </c>
      <c r="O835" s="86">
        <v>240</v>
      </c>
      <c r="P835" s="86">
        <v>40</v>
      </c>
      <c r="Q835" s="86">
        <f t="shared" si="129"/>
        <v>315</v>
      </c>
      <c r="R835" s="86">
        <f t="shared" si="130"/>
        <v>100</v>
      </c>
      <c r="S835" s="83">
        <f t="shared" si="131"/>
        <v>695</v>
      </c>
      <c r="T835" s="83">
        <f>0</f>
        <v>0</v>
      </c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</row>
    <row r="836" spans="1:30" ht="15.75" x14ac:dyDescent="0.25">
      <c r="A836" s="32">
        <v>66384</v>
      </c>
      <c r="B836" s="95">
        <f t="shared" si="132"/>
        <v>30</v>
      </c>
      <c r="C836" s="83">
        <f>194.205</f>
        <v>194.20500000000001</v>
      </c>
      <c r="D836" s="83">
        <f>267.466</f>
        <v>267.46600000000001</v>
      </c>
      <c r="E836" s="92">
        <f>133.845</f>
        <v>133.845</v>
      </c>
      <c r="F836" s="83">
        <f>278.484-40-25-60-100</f>
        <v>53.48399999999998</v>
      </c>
      <c r="G836" s="86">
        <v>40</v>
      </c>
      <c r="H836" s="83">
        <f t="shared" si="137"/>
        <v>185</v>
      </c>
      <c r="I836" s="83">
        <f t="shared" si="136"/>
        <v>0</v>
      </c>
      <c r="J836" s="86">
        <v>100</v>
      </c>
      <c r="K836" s="86">
        <v>300</v>
      </c>
      <c r="L836" s="83">
        <f t="shared" si="128"/>
        <v>1274</v>
      </c>
      <c r="M836" s="94">
        <v>600</v>
      </c>
      <c r="N836" s="83">
        <f>30</f>
        <v>30</v>
      </c>
      <c r="O836" s="86">
        <v>240</v>
      </c>
      <c r="P836" s="86">
        <v>40</v>
      </c>
      <c r="Q836" s="86">
        <f t="shared" si="129"/>
        <v>315</v>
      </c>
      <c r="R836" s="86">
        <f t="shared" si="130"/>
        <v>100</v>
      </c>
      <c r="S836" s="83">
        <f t="shared" si="131"/>
        <v>695</v>
      </c>
      <c r="T836" s="83">
        <f>0</f>
        <v>0</v>
      </c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</row>
    <row r="837" spans="1:30" ht="15.75" x14ac:dyDescent="0.25">
      <c r="A837" s="32">
        <v>66415</v>
      </c>
      <c r="B837" s="95">
        <f t="shared" si="132"/>
        <v>31</v>
      </c>
      <c r="C837" s="83">
        <f>131.881</f>
        <v>131.881</v>
      </c>
      <c r="D837" s="83">
        <f>277.167</f>
        <v>277.16699999999997</v>
      </c>
      <c r="E837" s="92">
        <f>79.08</f>
        <v>79.08</v>
      </c>
      <c r="F837" s="83">
        <f>350.872-40-25-60-100</f>
        <v>125.87200000000001</v>
      </c>
      <c r="G837" s="86">
        <v>40</v>
      </c>
      <c r="H837" s="83">
        <f t="shared" si="137"/>
        <v>185</v>
      </c>
      <c r="I837" s="83">
        <f t="shared" si="136"/>
        <v>0</v>
      </c>
      <c r="J837" s="86">
        <v>100</v>
      </c>
      <c r="K837" s="86">
        <v>300</v>
      </c>
      <c r="L837" s="83">
        <f t="shared" si="128"/>
        <v>1239</v>
      </c>
      <c r="M837" s="94">
        <v>600</v>
      </c>
      <c r="N837" s="83">
        <f>75</f>
        <v>75</v>
      </c>
      <c r="O837" s="86">
        <v>240</v>
      </c>
      <c r="P837" s="86">
        <v>40</v>
      </c>
      <c r="Q837" s="86">
        <f t="shared" si="129"/>
        <v>315</v>
      </c>
      <c r="R837" s="86">
        <f t="shared" si="130"/>
        <v>100</v>
      </c>
      <c r="S837" s="83">
        <f t="shared" si="131"/>
        <v>695</v>
      </c>
      <c r="T837" s="83">
        <f>0</f>
        <v>0</v>
      </c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</row>
    <row r="838" spans="1:30" ht="15.75" x14ac:dyDescent="0.25">
      <c r="A838" s="32">
        <v>66445</v>
      </c>
      <c r="B838" s="95">
        <f t="shared" si="132"/>
        <v>30</v>
      </c>
      <c r="C838" s="83">
        <f>122.58</f>
        <v>122.58</v>
      </c>
      <c r="D838" s="83">
        <f>297.941</f>
        <v>297.94099999999997</v>
      </c>
      <c r="E838" s="92">
        <f>89.177</f>
        <v>89.177000000000007</v>
      </c>
      <c r="F838" s="83">
        <f>240.302-40-60-100</f>
        <v>40.301999999999992</v>
      </c>
      <c r="G838" s="86">
        <v>40</v>
      </c>
      <c r="H838" s="83">
        <f>60+100</f>
        <v>160</v>
      </c>
      <c r="I838" s="83">
        <f t="shared" si="136"/>
        <v>0</v>
      </c>
      <c r="J838" s="86">
        <v>100</v>
      </c>
      <c r="K838" s="86">
        <v>300</v>
      </c>
      <c r="L838" s="83">
        <f t="shared" si="128"/>
        <v>1150</v>
      </c>
      <c r="M838" s="94">
        <v>600</v>
      </c>
      <c r="N838" s="83">
        <f>100</f>
        <v>100</v>
      </c>
      <c r="O838" s="86">
        <v>240</v>
      </c>
      <c r="P838" s="86">
        <v>40</v>
      </c>
      <c r="Q838" s="86">
        <f t="shared" si="129"/>
        <v>315</v>
      </c>
      <c r="R838" s="86">
        <f t="shared" si="130"/>
        <v>100</v>
      </c>
      <c r="S838" s="83">
        <f t="shared" si="131"/>
        <v>695</v>
      </c>
      <c r="T838" s="83">
        <f>50</f>
        <v>50</v>
      </c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</row>
    <row r="839" spans="1:30" ht="15.75" x14ac:dyDescent="0.25">
      <c r="A839" s="32">
        <v>66476</v>
      </c>
      <c r="B839" s="95">
        <f t="shared" si="132"/>
        <v>31</v>
      </c>
      <c r="C839" s="83">
        <f>122.58</f>
        <v>122.58</v>
      </c>
      <c r="D839" s="83">
        <f>297.941</f>
        <v>297.94099999999997</v>
      </c>
      <c r="E839" s="92">
        <f>89.177</f>
        <v>89.177000000000007</v>
      </c>
      <c r="F839" s="83">
        <f>240.302-40-60-100</f>
        <v>40.301999999999992</v>
      </c>
      <c r="G839" s="86">
        <v>40</v>
      </c>
      <c r="H839" s="83">
        <f>60+100</f>
        <v>160</v>
      </c>
      <c r="I839" s="83">
        <f t="shared" si="136"/>
        <v>0</v>
      </c>
      <c r="J839" s="86">
        <v>100</v>
      </c>
      <c r="K839" s="86">
        <v>300</v>
      </c>
      <c r="L839" s="83">
        <f t="shared" si="128"/>
        <v>1150</v>
      </c>
      <c r="M839" s="94">
        <v>600</v>
      </c>
      <c r="N839" s="83">
        <f>100</f>
        <v>100</v>
      </c>
      <c r="O839" s="86">
        <v>240</v>
      </c>
      <c r="P839" s="86">
        <v>40</v>
      </c>
      <c r="Q839" s="86">
        <f t="shared" si="129"/>
        <v>315</v>
      </c>
      <c r="R839" s="86">
        <f t="shared" si="130"/>
        <v>100</v>
      </c>
      <c r="S839" s="83">
        <f t="shared" si="131"/>
        <v>695</v>
      </c>
      <c r="T839" s="83">
        <f>50</f>
        <v>50</v>
      </c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</row>
    <row r="840" spans="1:30" ht="15.75" x14ac:dyDescent="0.25">
      <c r="A840" s="32">
        <v>66507</v>
      </c>
      <c r="B840" s="95">
        <f t="shared" si="132"/>
        <v>31</v>
      </c>
      <c r="C840" s="83">
        <f>122.58</f>
        <v>122.58</v>
      </c>
      <c r="D840" s="83">
        <f>297.941</f>
        <v>297.94099999999997</v>
      </c>
      <c r="E840" s="92">
        <f>89.177</f>
        <v>89.177000000000007</v>
      </c>
      <c r="F840" s="83">
        <f>240.302-40-60-100</f>
        <v>40.301999999999992</v>
      </c>
      <c r="G840" s="86">
        <v>40</v>
      </c>
      <c r="H840" s="83">
        <f>60+100</f>
        <v>160</v>
      </c>
      <c r="I840" s="83">
        <f t="shared" si="136"/>
        <v>0</v>
      </c>
      <c r="J840" s="86">
        <v>100</v>
      </c>
      <c r="K840" s="86">
        <v>300</v>
      </c>
      <c r="L840" s="83">
        <f t="shared" si="128"/>
        <v>1150</v>
      </c>
      <c r="M840" s="94">
        <v>600</v>
      </c>
      <c r="N840" s="83">
        <f>100</f>
        <v>100</v>
      </c>
      <c r="O840" s="86">
        <v>240</v>
      </c>
      <c r="P840" s="86">
        <v>40</v>
      </c>
      <c r="Q840" s="86">
        <f t="shared" si="129"/>
        <v>315</v>
      </c>
      <c r="R840" s="86">
        <f t="shared" si="130"/>
        <v>100</v>
      </c>
      <c r="S840" s="83">
        <f t="shared" si="131"/>
        <v>695</v>
      </c>
      <c r="T840" s="83">
        <f>50</f>
        <v>50</v>
      </c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</row>
    <row r="841" spans="1:30" ht="15.75" x14ac:dyDescent="0.25">
      <c r="A841" s="32">
        <v>66535</v>
      </c>
      <c r="B841" s="95">
        <f t="shared" si="132"/>
        <v>28</v>
      </c>
      <c r="C841" s="83">
        <f>122.58</f>
        <v>122.58</v>
      </c>
      <c r="D841" s="83">
        <f>297.941</f>
        <v>297.94099999999997</v>
      </c>
      <c r="E841" s="92">
        <f>89.177</f>
        <v>89.177000000000007</v>
      </c>
      <c r="F841" s="83">
        <f>240.302-40-60-100</f>
        <v>40.301999999999992</v>
      </c>
      <c r="G841" s="86">
        <v>40</v>
      </c>
      <c r="H841" s="83">
        <f>60+100</f>
        <v>160</v>
      </c>
      <c r="I841" s="83">
        <f t="shared" si="136"/>
        <v>0</v>
      </c>
      <c r="J841" s="86">
        <v>100</v>
      </c>
      <c r="K841" s="86">
        <v>300</v>
      </c>
      <c r="L841" s="83">
        <f t="shared" si="128"/>
        <v>1150</v>
      </c>
      <c r="M841" s="94">
        <v>600</v>
      </c>
      <c r="N841" s="83">
        <f>100</f>
        <v>100</v>
      </c>
      <c r="O841" s="86">
        <v>240</v>
      </c>
      <c r="P841" s="86">
        <v>40</v>
      </c>
      <c r="Q841" s="86">
        <f t="shared" si="129"/>
        <v>315</v>
      </c>
      <c r="R841" s="86">
        <f t="shared" si="130"/>
        <v>100</v>
      </c>
      <c r="S841" s="83">
        <f t="shared" si="131"/>
        <v>695</v>
      </c>
      <c r="T841" s="83">
        <f>50</f>
        <v>50</v>
      </c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</row>
    <row r="842" spans="1:30" ht="15.75" x14ac:dyDescent="0.25">
      <c r="A842" s="32">
        <v>66566</v>
      </c>
      <c r="B842" s="95">
        <f t="shared" si="132"/>
        <v>31</v>
      </c>
      <c r="C842" s="83">
        <f>122.58</f>
        <v>122.58</v>
      </c>
      <c r="D842" s="83">
        <f>297.941</f>
        <v>297.94099999999997</v>
      </c>
      <c r="E842" s="92">
        <f>89.177</f>
        <v>89.177000000000007</v>
      </c>
      <c r="F842" s="83">
        <f>240.302-40-60-100</f>
        <v>40.301999999999992</v>
      </c>
      <c r="G842" s="86">
        <v>40</v>
      </c>
      <c r="H842" s="83">
        <f>60+100</f>
        <v>160</v>
      </c>
      <c r="I842" s="83">
        <f t="shared" si="136"/>
        <v>0</v>
      </c>
      <c r="J842" s="86">
        <v>100</v>
      </c>
      <c r="K842" s="86">
        <v>300</v>
      </c>
      <c r="L842" s="83">
        <f t="shared" si="128"/>
        <v>1150</v>
      </c>
      <c r="M842" s="94">
        <v>600</v>
      </c>
      <c r="N842" s="83">
        <f>100</f>
        <v>100</v>
      </c>
      <c r="O842" s="86">
        <v>240</v>
      </c>
      <c r="P842" s="86">
        <v>40</v>
      </c>
      <c r="Q842" s="86">
        <f t="shared" si="129"/>
        <v>315</v>
      </c>
      <c r="R842" s="86">
        <f t="shared" si="130"/>
        <v>100</v>
      </c>
      <c r="S842" s="83">
        <f t="shared" si="131"/>
        <v>695</v>
      </c>
      <c r="T842" s="83">
        <f>50</f>
        <v>50</v>
      </c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</row>
    <row r="843" spans="1:30" ht="15.75" x14ac:dyDescent="0.25">
      <c r="A843" s="32">
        <v>66596</v>
      </c>
      <c r="B843" s="95">
        <f t="shared" si="132"/>
        <v>30</v>
      </c>
      <c r="C843" s="83">
        <f>141.293</f>
        <v>141.29300000000001</v>
      </c>
      <c r="D843" s="83">
        <f>267.993</f>
        <v>267.99299999999999</v>
      </c>
      <c r="E843" s="92">
        <f>115.016</f>
        <v>115.01600000000001</v>
      </c>
      <c r="F843" s="83">
        <f>314.698-40-25-60-100</f>
        <v>89.697999999999979</v>
      </c>
      <c r="G843" s="86">
        <v>40</v>
      </c>
      <c r="H843" s="83">
        <f t="shared" ref="H843:H849" si="138">25+60+100</f>
        <v>185</v>
      </c>
      <c r="I843" s="83">
        <f t="shared" si="136"/>
        <v>0</v>
      </c>
      <c r="J843" s="86">
        <v>100</v>
      </c>
      <c r="K843" s="86">
        <v>300</v>
      </c>
      <c r="L843" s="83">
        <f t="shared" si="128"/>
        <v>1239</v>
      </c>
      <c r="M843" s="94">
        <v>600</v>
      </c>
      <c r="N843" s="83">
        <f>100</f>
        <v>100</v>
      </c>
      <c r="O843" s="86">
        <v>240</v>
      </c>
      <c r="P843" s="86">
        <v>40</v>
      </c>
      <c r="Q843" s="86">
        <f t="shared" si="129"/>
        <v>315</v>
      </c>
      <c r="R843" s="86">
        <f t="shared" si="130"/>
        <v>100</v>
      </c>
      <c r="S843" s="83">
        <f t="shared" si="131"/>
        <v>695</v>
      </c>
      <c r="T843" s="83">
        <f>50</f>
        <v>50</v>
      </c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</row>
    <row r="844" spans="1:30" ht="15.75" x14ac:dyDescent="0.25">
      <c r="A844" s="32">
        <v>66627</v>
      </c>
      <c r="B844" s="95">
        <f t="shared" si="132"/>
        <v>31</v>
      </c>
      <c r="C844" s="83">
        <f>194.205</f>
        <v>194.20500000000001</v>
      </c>
      <c r="D844" s="83">
        <f>267.466</f>
        <v>267.46600000000001</v>
      </c>
      <c r="E844" s="92">
        <f>133.845</f>
        <v>133.845</v>
      </c>
      <c r="F844" s="83">
        <f>278.484-40-25-60-100</f>
        <v>53.48399999999998</v>
      </c>
      <c r="G844" s="86">
        <v>40</v>
      </c>
      <c r="H844" s="83">
        <f t="shared" si="138"/>
        <v>185</v>
      </c>
      <c r="I844" s="83">
        <f t="shared" si="136"/>
        <v>0</v>
      </c>
      <c r="J844" s="86">
        <v>100</v>
      </c>
      <c r="K844" s="86">
        <v>300</v>
      </c>
      <c r="L844" s="83">
        <f t="shared" si="128"/>
        <v>1274</v>
      </c>
      <c r="M844" s="94">
        <v>600</v>
      </c>
      <c r="N844" s="83">
        <f>75</f>
        <v>75</v>
      </c>
      <c r="O844" s="86">
        <v>240</v>
      </c>
      <c r="P844" s="86">
        <v>40</v>
      </c>
      <c r="Q844" s="86">
        <f t="shared" si="129"/>
        <v>315</v>
      </c>
      <c r="R844" s="86">
        <f t="shared" si="130"/>
        <v>100</v>
      </c>
      <c r="S844" s="83">
        <f t="shared" si="131"/>
        <v>695</v>
      </c>
      <c r="T844" s="83">
        <f>50</f>
        <v>50</v>
      </c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</row>
    <row r="845" spans="1:30" ht="15.75" x14ac:dyDescent="0.25">
      <c r="A845" s="32">
        <v>66657</v>
      </c>
      <c r="B845" s="95">
        <f t="shared" si="132"/>
        <v>30</v>
      </c>
      <c r="C845" s="83">
        <f>194.205</f>
        <v>194.20500000000001</v>
      </c>
      <c r="D845" s="83">
        <f>267.466</f>
        <v>267.46600000000001</v>
      </c>
      <c r="E845" s="92">
        <f>133.845</f>
        <v>133.845</v>
      </c>
      <c r="F845" s="83">
        <f>278.484-40-25-60-100</f>
        <v>53.48399999999998</v>
      </c>
      <c r="G845" s="86">
        <v>40</v>
      </c>
      <c r="H845" s="83">
        <f t="shared" si="138"/>
        <v>185</v>
      </c>
      <c r="I845" s="83">
        <f t="shared" si="136"/>
        <v>0</v>
      </c>
      <c r="J845" s="86">
        <v>100</v>
      </c>
      <c r="K845" s="86">
        <v>300</v>
      </c>
      <c r="L845" s="83">
        <f t="shared" si="128"/>
        <v>1274</v>
      </c>
      <c r="M845" s="94">
        <v>600</v>
      </c>
      <c r="N845" s="83">
        <f>30</f>
        <v>30</v>
      </c>
      <c r="O845" s="86">
        <v>240</v>
      </c>
      <c r="P845" s="86">
        <v>40</v>
      </c>
      <c r="Q845" s="86">
        <f t="shared" si="129"/>
        <v>315</v>
      </c>
      <c r="R845" s="86">
        <f t="shared" si="130"/>
        <v>100</v>
      </c>
      <c r="S845" s="83">
        <f t="shared" si="131"/>
        <v>695</v>
      </c>
      <c r="T845" s="83">
        <f>50</f>
        <v>50</v>
      </c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</row>
    <row r="846" spans="1:30" ht="15.75" x14ac:dyDescent="0.25">
      <c r="A846" s="32">
        <v>66688</v>
      </c>
      <c r="B846" s="95">
        <f t="shared" si="132"/>
        <v>31</v>
      </c>
      <c r="C846" s="83">
        <f>194.205</f>
        <v>194.20500000000001</v>
      </c>
      <c r="D846" s="83">
        <f>267.466</f>
        <v>267.46600000000001</v>
      </c>
      <c r="E846" s="92">
        <f>133.845</f>
        <v>133.845</v>
      </c>
      <c r="F846" s="83">
        <f>278.484-40-25-60-100</f>
        <v>53.48399999999998</v>
      </c>
      <c r="G846" s="86">
        <v>40</v>
      </c>
      <c r="H846" s="83">
        <f t="shared" si="138"/>
        <v>185</v>
      </c>
      <c r="I846" s="83">
        <f t="shared" si="136"/>
        <v>0</v>
      </c>
      <c r="J846" s="86">
        <v>100</v>
      </c>
      <c r="K846" s="86">
        <v>300</v>
      </c>
      <c r="L846" s="83">
        <f t="shared" si="128"/>
        <v>1274</v>
      </c>
      <c r="M846" s="94">
        <v>600</v>
      </c>
      <c r="N846" s="83">
        <f>30</f>
        <v>30</v>
      </c>
      <c r="O846" s="86">
        <v>240</v>
      </c>
      <c r="P846" s="86">
        <v>40</v>
      </c>
      <c r="Q846" s="86">
        <f t="shared" si="129"/>
        <v>315</v>
      </c>
      <c r="R846" s="86">
        <f t="shared" si="130"/>
        <v>100</v>
      </c>
      <c r="S846" s="83">
        <f t="shared" si="131"/>
        <v>695</v>
      </c>
      <c r="T846" s="83">
        <f>0</f>
        <v>0</v>
      </c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</row>
    <row r="847" spans="1:30" ht="15.75" x14ac:dyDescent="0.25">
      <c r="A847" s="32">
        <v>66719</v>
      </c>
      <c r="B847" s="95">
        <f t="shared" si="132"/>
        <v>31</v>
      </c>
      <c r="C847" s="83">
        <f>194.205</f>
        <v>194.20500000000001</v>
      </c>
      <c r="D847" s="83">
        <f>267.466</f>
        <v>267.46600000000001</v>
      </c>
      <c r="E847" s="92">
        <f>133.845</f>
        <v>133.845</v>
      </c>
      <c r="F847" s="83">
        <f>278.484-40-25-60-100</f>
        <v>53.48399999999998</v>
      </c>
      <c r="G847" s="86">
        <v>40</v>
      </c>
      <c r="H847" s="83">
        <f t="shared" si="138"/>
        <v>185</v>
      </c>
      <c r="I847" s="83">
        <f t="shared" si="136"/>
        <v>0</v>
      </c>
      <c r="J847" s="86">
        <v>100</v>
      </c>
      <c r="K847" s="86">
        <v>300</v>
      </c>
      <c r="L847" s="83">
        <f t="shared" si="128"/>
        <v>1274</v>
      </c>
      <c r="M847" s="94">
        <v>600</v>
      </c>
      <c r="N847" s="83">
        <f>30</f>
        <v>30</v>
      </c>
      <c r="O847" s="86">
        <v>240</v>
      </c>
      <c r="P847" s="86">
        <v>40</v>
      </c>
      <c r="Q847" s="86">
        <f t="shared" si="129"/>
        <v>315</v>
      </c>
      <c r="R847" s="86">
        <f t="shared" si="130"/>
        <v>100</v>
      </c>
      <c r="S847" s="83">
        <f t="shared" si="131"/>
        <v>695</v>
      </c>
      <c r="T847" s="83">
        <f>0</f>
        <v>0</v>
      </c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</row>
    <row r="848" spans="1:30" ht="15.75" x14ac:dyDescent="0.25">
      <c r="A848" s="32">
        <v>66749</v>
      </c>
      <c r="B848" s="95">
        <f t="shared" si="132"/>
        <v>30</v>
      </c>
      <c r="C848" s="83">
        <f>194.205</f>
        <v>194.20500000000001</v>
      </c>
      <c r="D848" s="83">
        <f>267.466</f>
        <v>267.46600000000001</v>
      </c>
      <c r="E848" s="92">
        <f>133.845</f>
        <v>133.845</v>
      </c>
      <c r="F848" s="83">
        <f>278.484-40-25-60-100</f>
        <v>53.48399999999998</v>
      </c>
      <c r="G848" s="86">
        <v>40</v>
      </c>
      <c r="H848" s="83">
        <f t="shared" si="138"/>
        <v>185</v>
      </c>
      <c r="I848" s="83">
        <f t="shared" si="136"/>
        <v>0</v>
      </c>
      <c r="J848" s="86">
        <v>100</v>
      </c>
      <c r="K848" s="86">
        <v>300</v>
      </c>
      <c r="L848" s="83">
        <f t="shared" si="128"/>
        <v>1274</v>
      </c>
      <c r="M848" s="94">
        <v>600</v>
      </c>
      <c r="N848" s="83">
        <f>30</f>
        <v>30</v>
      </c>
      <c r="O848" s="86">
        <v>240</v>
      </c>
      <c r="P848" s="86">
        <v>40</v>
      </c>
      <c r="Q848" s="86">
        <f t="shared" si="129"/>
        <v>315</v>
      </c>
      <c r="R848" s="86">
        <f t="shared" si="130"/>
        <v>100</v>
      </c>
      <c r="S848" s="83">
        <f t="shared" si="131"/>
        <v>695</v>
      </c>
      <c r="T848" s="83">
        <f>0</f>
        <v>0</v>
      </c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</row>
    <row r="849" spans="1:30" ht="15.75" x14ac:dyDescent="0.25">
      <c r="A849" s="32">
        <v>66780</v>
      </c>
      <c r="B849" s="95">
        <f t="shared" si="132"/>
        <v>31</v>
      </c>
      <c r="C849" s="83">
        <f>131.881</f>
        <v>131.881</v>
      </c>
      <c r="D849" s="83">
        <f>277.167</f>
        <v>277.16699999999997</v>
      </c>
      <c r="E849" s="92">
        <f>79.08</f>
        <v>79.08</v>
      </c>
      <c r="F849" s="83">
        <f>350.872-40-25-60-100</f>
        <v>125.87200000000001</v>
      </c>
      <c r="G849" s="86">
        <v>40</v>
      </c>
      <c r="H849" s="83">
        <f t="shared" si="138"/>
        <v>185</v>
      </c>
      <c r="I849" s="83">
        <f t="shared" si="136"/>
        <v>0</v>
      </c>
      <c r="J849" s="86">
        <v>100</v>
      </c>
      <c r="K849" s="86">
        <v>300</v>
      </c>
      <c r="L849" s="83">
        <f t="shared" si="128"/>
        <v>1239</v>
      </c>
      <c r="M849" s="94">
        <v>600</v>
      </c>
      <c r="N849" s="83">
        <f>75</f>
        <v>75</v>
      </c>
      <c r="O849" s="86">
        <v>240</v>
      </c>
      <c r="P849" s="86">
        <v>40</v>
      </c>
      <c r="Q849" s="86">
        <f t="shared" si="129"/>
        <v>315</v>
      </c>
      <c r="R849" s="86">
        <f t="shared" si="130"/>
        <v>100</v>
      </c>
      <c r="S849" s="83">
        <f t="shared" si="131"/>
        <v>695</v>
      </c>
      <c r="T849" s="83">
        <f>0</f>
        <v>0</v>
      </c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</row>
    <row r="850" spans="1:30" ht="15.75" x14ac:dyDescent="0.25">
      <c r="A850" s="32">
        <v>66810</v>
      </c>
      <c r="B850" s="95">
        <f t="shared" si="132"/>
        <v>30</v>
      </c>
      <c r="C850" s="83">
        <f>122.58</f>
        <v>122.58</v>
      </c>
      <c r="D850" s="83">
        <f>297.941</f>
        <v>297.94099999999997</v>
      </c>
      <c r="E850" s="92">
        <f>89.177</f>
        <v>89.177000000000007</v>
      </c>
      <c r="F850" s="83">
        <f>240.302-40-60-100</f>
        <v>40.301999999999992</v>
      </c>
      <c r="G850" s="86">
        <v>40</v>
      </c>
      <c r="H850" s="83">
        <f>60+100</f>
        <v>160</v>
      </c>
      <c r="I850" s="83">
        <f t="shared" si="136"/>
        <v>0</v>
      </c>
      <c r="J850" s="86">
        <v>100</v>
      </c>
      <c r="K850" s="86">
        <v>300</v>
      </c>
      <c r="L850" s="83">
        <f t="shared" si="128"/>
        <v>1150</v>
      </c>
      <c r="M850" s="94">
        <v>600</v>
      </c>
      <c r="N850" s="83">
        <f>100</f>
        <v>100</v>
      </c>
      <c r="O850" s="86">
        <v>240</v>
      </c>
      <c r="P850" s="86">
        <v>40</v>
      </c>
      <c r="Q850" s="86">
        <f t="shared" si="129"/>
        <v>315</v>
      </c>
      <c r="R850" s="86">
        <f t="shared" si="130"/>
        <v>100</v>
      </c>
      <c r="S850" s="83">
        <f t="shared" si="131"/>
        <v>695</v>
      </c>
      <c r="T850" s="83">
        <f>50</f>
        <v>50</v>
      </c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</row>
    <row r="851" spans="1:30" ht="15.75" x14ac:dyDescent="0.25">
      <c r="A851" s="32">
        <v>66841</v>
      </c>
      <c r="B851" s="95">
        <f t="shared" si="132"/>
        <v>31</v>
      </c>
      <c r="C851" s="83">
        <f>122.58</f>
        <v>122.58</v>
      </c>
      <c r="D851" s="83">
        <f>297.941</f>
        <v>297.94099999999997</v>
      </c>
      <c r="E851" s="92">
        <f>89.177</f>
        <v>89.177000000000007</v>
      </c>
      <c r="F851" s="83">
        <f>240.302-40-60-100</f>
        <v>40.301999999999992</v>
      </c>
      <c r="G851" s="86">
        <v>40</v>
      </c>
      <c r="H851" s="83">
        <f>60+100</f>
        <v>160</v>
      </c>
      <c r="I851" s="83">
        <f t="shared" si="136"/>
        <v>0</v>
      </c>
      <c r="J851" s="86">
        <v>100</v>
      </c>
      <c r="K851" s="86">
        <v>300</v>
      </c>
      <c r="L851" s="83">
        <f t="shared" si="128"/>
        <v>1150</v>
      </c>
      <c r="M851" s="94">
        <v>600</v>
      </c>
      <c r="N851" s="83">
        <f>100</f>
        <v>100</v>
      </c>
      <c r="O851" s="86">
        <v>240</v>
      </c>
      <c r="P851" s="86">
        <v>40</v>
      </c>
      <c r="Q851" s="86">
        <f t="shared" si="129"/>
        <v>315</v>
      </c>
      <c r="R851" s="86">
        <f t="shared" si="130"/>
        <v>100</v>
      </c>
      <c r="S851" s="83">
        <f t="shared" si="131"/>
        <v>695</v>
      </c>
      <c r="T851" s="83">
        <f>50</f>
        <v>50</v>
      </c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</row>
    <row r="852" spans="1:30" ht="15.75" x14ac:dyDescent="0.25">
      <c r="A852" s="32">
        <v>66872</v>
      </c>
      <c r="B852" s="95">
        <f t="shared" si="132"/>
        <v>31</v>
      </c>
      <c r="C852" s="83">
        <f>122.58</f>
        <v>122.58</v>
      </c>
      <c r="D852" s="83">
        <f>297.941</f>
        <v>297.94099999999997</v>
      </c>
      <c r="E852" s="92">
        <f>89.177</f>
        <v>89.177000000000007</v>
      </c>
      <c r="F852" s="83">
        <f>240.302-40-60-100</f>
        <v>40.301999999999992</v>
      </c>
      <c r="G852" s="86">
        <v>40</v>
      </c>
      <c r="H852" s="83">
        <f>60+100</f>
        <v>160</v>
      </c>
      <c r="I852" s="83">
        <f t="shared" si="136"/>
        <v>0</v>
      </c>
      <c r="J852" s="86">
        <v>100</v>
      </c>
      <c r="K852" s="86">
        <v>300</v>
      </c>
      <c r="L852" s="83">
        <f t="shared" si="128"/>
        <v>1150</v>
      </c>
      <c r="M852" s="94">
        <v>600</v>
      </c>
      <c r="N852" s="83">
        <f>100</f>
        <v>100</v>
      </c>
      <c r="O852" s="86">
        <v>240</v>
      </c>
      <c r="P852" s="86">
        <v>40</v>
      </c>
      <c r="Q852" s="86">
        <f t="shared" si="129"/>
        <v>315</v>
      </c>
      <c r="R852" s="86">
        <f t="shared" si="130"/>
        <v>100</v>
      </c>
      <c r="S852" s="83">
        <f t="shared" si="131"/>
        <v>695</v>
      </c>
      <c r="T852" s="83">
        <f>50</f>
        <v>50</v>
      </c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</row>
    <row r="853" spans="1:30" ht="15.75" x14ac:dyDescent="0.25">
      <c r="A853" s="32">
        <v>66900</v>
      </c>
      <c r="B853" s="95">
        <f t="shared" si="132"/>
        <v>28</v>
      </c>
      <c r="C853" s="83">
        <f>122.58</f>
        <v>122.58</v>
      </c>
      <c r="D853" s="83">
        <f>297.941</f>
        <v>297.94099999999997</v>
      </c>
      <c r="E853" s="92">
        <f>89.177</f>
        <v>89.177000000000007</v>
      </c>
      <c r="F853" s="83">
        <f>240.302-40-60-100</f>
        <v>40.301999999999992</v>
      </c>
      <c r="G853" s="86">
        <v>40</v>
      </c>
      <c r="H853" s="83">
        <f>60+100</f>
        <v>160</v>
      </c>
      <c r="I853" s="83">
        <f t="shared" si="136"/>
        <v>0</v>
      </c>
      <c r="J853" s="86">
        <v>100</v>
      </c>
      <c r="K853" s="86">
        <v>300</v>
      </c>
      <c r="L853" s="83">
        <f t="shared" ref="L853:L916" si="139">SUM(C853:K853)</f>
        <v>1150</v>
      </c>
      <c r="M853" s="94">
        <v>600</v>
      </c>
      <c r="N853" s="83">
        <f>100</f>
        <v>100</v>
      </c>
      <c r="O853" s="86">
        <v>240</v>
      </c>
      <c r="P853" s="86">
        <v>40</v>
      </c>
      <c r="Q853" s="86">
        <f t="shared" ref="Q853:Q916" si="140">695-R853-O853-P853</f>
        <v>315</v>
      </c>
      <c r="R853" s="86">
        <f t="shared" ref="R853:R916" si="141">200-J853</f>
        <v>100</v>
      </c>
      <c r="S853" s="83">
        <f t="shared" ref="S853:S916" si="142">SUM(O853:R853)</f>
        <v>695</v>
      </c>
      <c r="T853" s="83">
        <f>50</f>
        <v>50</v>
      </c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</row>
    <row r="854" spans="1:30" ht="15.75" x14ac:dyDescent="0.25">
      <c r="A854" s="32">
        <v>66931</v>
      </c>
      <c r="B854" s="95">
        <f t="shared" si="132"/>
        <v>31</v>
      </c>
      <c r="C854" s="83">
        <f>122.58</f>
        <v>122.58</v>
      </c>
      <c r="D854" s="83">
        <f>297.941</f>
        <v>297.94099999999997</v>
      </c>
      <c r="E854" s="92">
        <f>89.177</f>
        <v>89.177000000000007</v>
      </c>
      <c r="F854" s="83">
        <f>240.302-40-60-100</f>
        <v>40.301999999999992</v>
      </c>
      <c r="G854" s="86">
        <v>40</v>
      </c>
      <c r="H854" s="83">
        <f>60+100</f>
        <v>160</v>
      </c>
      <c r="I854" s="83">
        <f t="shared" si="136"/>
        <v>0</v>
      </c>
      <c r="J854" s="86">
        <v>100</v>
      </c>
      <c r="K854" s="86">
        <v>300</v>
      </c>
      <c r="L854" s="83">
        <f t="shared" si="139"/>
        <v>1150</v>
      </c>
      <c r="M854" s="94">
        <v>600</v>
      </c>
      <c r="N854" s="83">
        <f>100</f>
        <v>100</v>
      </c>
      <c r="O854" s="86">
        <v>240</v>
      </c>
      <c r="P854" s="86">
        <v>40</v>
      </c>
      <c r="Q854" s="86">
        <f t="shared" si="140"/>
        <v>315</v>
      </c>
      <c r="R854" s="86">
        <f t="shared" si="141"/>
        <v>100</v>
      </c>
      <c r="S854" s="83">
        <f t="shared" si="142"/>
        <v>695</v>
      </c>
      <c r="T854" s="83">
        <f>50</f>
        <v>50</v>
      </c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</row>
    <row r="855" spans="1:30" ht="15.75" x14ac:dyDescent="0.25">
      <c r="A855" s="32">
        <v>66961</v>
      </c>
      <c r="B855" s="95">
        <f t="shared" si="132"/>
        <v>30</v>
      </c>
      <c r="C855" s="83">
        <f>141.293</f>
        <v>141.29300000000001</v>
      </c>
      <c r="D855" s="83">
        <f>267.993</f>
        <v>267.99299999999999</v>
      </c>
      <c r="E855" s="92">
        <f>115.016</f>
        <v>115.01600000000001</v>
      </c>
      <c r="F855" s="83">
        <f>314.698-40-25-60-100</f>
        <v>89.697999999999979</v>
      </c>
      <c r="G855" s="86">
        <v>40</v>
      </c>
      <c r="H855" s="83">
        <f t="shared" ref="H855:H861" si="143">25+60+100</f>
        <v>185</v>
      </c>
      <c r="I855" s="83">
        <f t="shared" si="136"/>
        <v>0</v>
      </c>
      <c r="J855" s="86">
        <v>100</v>
      </c>
      <c r="K855" s="86">
        <v>300</v>
      </c>
      <c r="L855" s="83">
        <f t="shared" si="139"/>
        <v>1239</v>
      </c>
      <c r="M855" s="94">
        <v>600</v>
      </c>
      <c r="N855" s="83">
        <f>100</f>
        <v>100</v>
      </c>
      <c r="O855" s="86">
        <v>240</v>
      </c>
      <c r="P855" s="86">
        <v>40</v>
      </c>
      <c r="Q855" s="86">
        <f t="shared" si="140"/>
        <v>315</v>
      </c>
      <c r="R855" s="86">
        <f t="shared" si="141"/>
        <v>100</v>
      </c>
      <c r="S855" s="83">
        <f t="shared" si="142"/>
        <v>695</v>
      </c>
      <c r="T855" s="83">
        <f>50</f>
        <v>50</v>
      </c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</row>
    <row r="856" spans="1:30" ht="15.75" x14ac:dyDescent="0.25">
      <c r="A856" s="32">
        <v>66992</v>
      </c>
      <c r="B856" s="95">
        <f t="shared" ref="B856:B919" si="144">EOMONTH(A856,0)-EOMONTH(A856,-1)</f>
        <v>31</v>
      </c>
      <c r="C856" s="83">
        <f>194.205</f>
        <v>194.20500000000001</v>
      </c>
      <c r="D856" s="83">
        <f>267.466</f>
        <v>267.46600000000001</v>
      </c>
      <c r="E856" s="92">
        <f>133.845</f>
        <v>133.845</v>
      </c>
      <c r="F856" s="83">
        <f>278.484-40-25-60-100</f>
        <v>53.48399999999998</v>
      </c>
      <c r="G856" s="86">
        <v>40</v>
      </c>
      <c r="H856" s="83">
        <f t="shared" si="143"/>
        <v>185</v>
      </c>
      <c r="I856" s="83">
        <f t="shared" si="136"/>
        <v>0</v>
      </c>
      <c r="J856" s="86">
        <v>100</v>
      </c>
      <c r="K856" s="86">
        <v>300</v>
      </c>
      <c r="L856" s="83">
        <f t="shared" si="139"/>
        <v>1274</v>
      </c>
      <c r="M856" s="94">
        <v>600</v>
      </c>
      <c r="N856" s="83">
        <f>75</f>
        <v>75</v>
      </c>
      <c r="O856" s="86">
        <v>240</v>
      </c>
      <c r="P856" s="86">
        <v>40</v>
      </c>
      <c r="Q856" s="86">
        <f t="shared" si="140"/>
        <v>315</v>
      </c>
      <c r="R856" s="86">
        <f t="shared" si="141"/>
        <v>100</v>
      </c>
      <c r="S856" s="83">
        <f t="shared" si="142"/>
        <v>695</v>
      </c>
      <c r="T856" s="83">
        <f>50</f>
        <v>50</v>
      </c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</row>
    <row r="857" spans="1:30" ht="15.75" x14ac:dyDescent="0.25">
      <c r="A857" s="32">
        <v>67022</v>
      </c>
      <c r="B857" s="95">
        <f t="shared" si="144"/>
        <v>30</v>
      </c>
      <c r="C857" s="83">
        <f>194.205</f>
        <v>194.20500000000001</v>
      </c>
      <c r="D857" s="83">
        <f>267.466</f>
        <v>267.46600000000001</v>
      </c>
      <c r="E857" s="92">
        <f>133.845</f>
        <v>133.845</v>
      </c>
      <c r="F857" s="83">
        <f>278.484-40-25-60-100</f>
        <v>53.48399999999998</v>
      </c>
      <c r="G857" s="86">
        <v>40</v>
      </c>
      <c r="H857" s="83">
        <f t="shared" si="143"/>
        <v>185</v>
      </c>
      <c r="I857" s="83">
        <f t="shared" si="136"/>
        <v>0</v>
      </c>
      <c r="J857" s="86">
        <v>100</v>
      </c>
      <c r="K857" s="86">
        <v>300</v>
      </c>
      <c r="L857" s="83">
        <f t="shared" si="139"/>
        <v>1274</v>
      </c>
      <c r="M857" s="94">
        <v>600</v>
      </c>
      <c r="N857" s="83">
        <f>30</f>
        <v>30</v>
      </c>
      <c r="O857" s="86">
        <v>240</v>
      </c>
      <c r="P857" s="86">
        <v>40</v>
      </c>
      <c r="Q857" s="86">
        <f t="shared" si="140"/>
        <v>315</v>
      </c>
      <c r="R857" s="86">
        <f t="shared" si="141"/>
        <v>100</v>
      </c>
      <c r="S857" s="83">
        <f t="shared" si="142"/>
        <v>695</v>
      </c>
      <c r="T857" s="83">
        <f>50</f>
        <v>50</v>
      </c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</row>
    <row r="858" spans="1:30" ht="15.75" x14ac:dyDescent="0.25">
      <c r="A858" s="32">
        <v>67053</v>
      </c>
      <c r="B858" s="95">
        <f t="shared" si="144"/>
        <v>31</v>
      </c>
      <c r="C858" s="83">
        <f>194.205</f>
        <v>194.20500000000001</v>
      </c>
      <c r="D858" s="83">
        <f>267.466</f>
        <v>267.46600000000001</v>
      </c>
      <c r="E858" s="92">
        <f>133.845</f>
        <v>133.845</v>
      </c>
      <c r="F858" s="83">
        <f>278.484-40-25-60-100</f>
        <v>53.48399999999998</v>
      </c>
      <c r="G858" s="86">
        <v>40</v>
      </c>
      <c r="H858" s="83">
        <f t="shared" si="143"/>
        <v>185</v>
      </c>
      <c r="I858" s="83">
        <f t="shared" si="136"/>
        <v>0</v>
      </c>
      <c r="J858" s="86">
        <v>100</v>
      </c>
      <c r="K858" s="86">
        <v>300</v>
      </c>
      <c r="L858" s="83">
        <f t="shared" si="139"/>
        <v>1274</v>
      </c>
      <c r="M858" s="94">
        <v>600</v>
      </c>
      <c r="N858" s="83">
        <f>30</f>
        <v>30</v>
      </c>
      <c r="O858" s="86">
        <v>240</v>
      </c>
      <c r="P858" s="86">
        <v>40</v>
      </c>
      <c r="Q858" s="86">
        <f t="shared" si="140"/>
        <v>315</v>
      </c>
      <c r="R858" s="86">
        <f t="shared" si="141"/>
        <v>100</v>
      </c>
      <c r="S858" s="83">
        <f t="shared" si="142"/>
        <v>695</v>
      </c>
      <c r="T858" s="83">
        <f>0</f>
        <v>0</v>
      </c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</row>
    <row r="859" spans="1:30" ht="15.75" x14ac:dyDescent="0.25">
      <c r="A859" s="32">
        <v>67084</v>
      </c>
      <c r="B859" s="95">
        <f t="shared" si="144"/>
        <v>31</v>
      </c>
      <c r="C859" s="83">
        <f>194.205</f>
        <v>194.20500000000001</v>
      </c>
      <c r="D859" s="83">
        <f>267.466</f>
        <v>267.46600000000001</v>
      </c>
      <c r="E859" s="92">
        <f>133.845</f>
        <v>133.845</v>
      </c>
      <c r="F859" s="83">
        <f>278.484-40-25-60-100</f>
        <v>53.48399999999998</v>
      </c>
      <c r="G859" s="86">
        <v>40</v>
      </c>
      <c r="H859" s="83">
        <f t="shared" si="143"/>
        <v>185</v>
      </c>
      <c r="I859" s="83">
        <f t="shared" si="136"/>
        <v>0</v>
      </c>
      <c r="J859" s="86">
        <v>100</v>
      </c>
      <c r="K859" s="86">
        <v>300</v>
      </c>
      <c r="L859" s="83">
        <f t="shared" si="139"/>
        <v>1274</v>
      </c>
      <c r="M859" s="94">
        <v>600</v>
      </c>
      <c r="N859" s="83">
        <f>30</f>
        <v>30</v>
      </c>
      <c r="O859" s="86">
        <v>240</v>
      </c>
      <c r="P859" s="86">
        <v>40</v>
      </c>
      <c r="Q859" s="86">
        <f t="shared" si="140"/>
        <v>315</v>
      </c>
      <c r="R859" s="86">
        <f t="shared" si="141"/>
        <v>100</v>
      </c>
      <c r="S859" s="83">
        <f t="shared" si="142"/>
        <v>695</v>
      </c>
      <c r="T859" s="83">
        <f>0</f>
        <v>0</v>
      </c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</row>
    <row r="860" spans="1:30" ht="15.75" x14ac:dyDescent="0.25">
      <c r="A860" s="32">
        <v>67114</v>
      </c>
      <c r="B860" s="95">
        <f t="shared" si="144"/>
        <v>30</v>
      </c>
      <c r="C860" s="83">
        <f>194.205</f>
        <v>194.20500000000001</v>
      </c>
      <c r="D860" s="83">
        <f>267.466</f>
        <v>267.46600000000001</v>
      </c>
      <c r="E860" s="92">
        <f>133.845</f>
        <v>133.845</v>
      </c>
      <c r="F860" s="83">
        <f>278.484-40-25-60-100</f>
        <v>53.48399999999998</v>
      </c>
      <c r="G860" s="86">
        <v>40</v>
      </c>
      <c r="H860" s="83">
        <f t="shared" si="143"/>
        <v>185</v>
      </c>
      <c r="I860" s="83">
        <f t="shared" si="136"/>
        <v>0</v>
      </c>
      <c r="J860" s="86">
        <v>100</v>
      </c>
      <c r="K860" s="86">
        <v>300</v>
      </c>
      <c r="L860" s="83">
        <f t="shared" si="139"/>
        <v>1274</v>
      </c>
      <c r="M860" s="94">
        <v>600</v>
      </c>
      <c r="N860" s="83">
        <f>30</f>
        <v>30</v>
      </c>
      <c r="O860" s="86">
        <v>240</v>
      </c>
      <c r="P860" s="86">
        <v>40</v>
      </c>
      <c r="Q860" s="86">
        <f t="shared" si="140"/>
        <v>315</v>
      </c>
      <c r="R860" s="86">
        <f t="shared" si="141"/>
        <v>100</v>
      </c>
      <c r="S860" s="83">
        <f t="shared" si="142"/>
        <v>695</v>
      </c>
      <c r="T860" s="83">
        <f>0</f>
        <v>0</v>
      </c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</row>
    <row r="861" spans="1:30" ht="15.75" x14ac:dyDescent="0.25">
      <c r="A861" s="32">
        <v>67145</v>
      </c>
      <c r="B861" s="95">
        <f t="shared" si="144"/>
        <v>31</v>
      </c>
      <c r="C861" s="83">
        <f>131.881</f>
        <v>131.881</v>
      </c>
      <c r="D861" s="83">
        <f>277.167</f>
        <v>277.16699999999997</v>
      </c>
      <c r="E861" s="92">
        <f>79.08</f>
        <v>79.08</v>
      </c>
      <c r="F861" s="83">
        <f>350.872-40-25-60-100</f>
        <v>125.87200000000001</v>
      </c>
      <c r="G861" s="86">
        <v>40</v>
      </c>
      <c r="H861" s="83">
        <f t="shared" si="143"/>
        <v>185</v>
      </c>
      <c r="I861" s="83">
        <f t="shared" si="136"/>
        <v>0</v>
      </c>
      <c r="J861" s="86">
        <v>100</v>
      </c>
      <c r="K861" s="86">
        <v>300</v>
      </c>
      <c r="L861" s="83">
        <f t="shared" si="139"/>
        <v>1239</v>
      </c>
      <c r="M861" s="94">
        <v>600</v>
      </c>
      <c r="N861" s="83">
        <f>75</f>
        <v>75</v>
      </c>
      <c r="O861" s="86">
        <v>240</v>
      </c>
      <c r="P861" s="86">
        <v>40</v>
      </c>
      <c r="Q861" s="86">
        <f t="shared" si="140"/>
        <v>315</v>
      </c>
      <c r="R861" s="86">
        <f t="shared" si="141"/>
        <v>100</v>
      </c>
      <c r="S861" s="83">
        <f t="shared" si="142"/>
        <v>695</v>
      </c>
      <c r="T861" s="83">
        <f>0</f>
        <v>0</v>
      </c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</row>
    <row r="862" spans="1:30" ht="15.75" x14ac:dyDescent="0.25">
      <c r="A862" s="32">
        <v>67175</v>
      </c>
      <c r="B862" s="95">
        <f t="shared" si="144"/>
        <v>30</v>
      </c>
      <c r="C862" s="83">
        <f>122.58</f>
        <v>122.58</v>
      </c>
      <c r="D862" s="83">
        <f>297.941</f>
        <v>297.94099999999997</v>
      </c>
      <c r="E862" s="92">
        <f>89.177</f>
        <v>89.177000000000007</v>
      </c>
      <c r="F862" s="83">
        <f>240.302-40-60-100</f>
        <v>40.301999999999992</v>
      </c>
      <c r="G862" s="86">
        <v>40</v>
      </c>
      <c r="H862" s="83">
        <f>60+100</f>
        <v>160</v>
      </c>
      <c r="I862" s="83">
        <f t="shared" si="136"/>
        <v>0</v>
      </c>
      <c r="J862" s="86">
        <v>100</v>
      </c>
      <c r="K862" s="86">
        <v>300</v>
      </c>
      <c r="L862" s="83">
        <f t="shared" si="139"/>
        <v>1150</v>
      </c>
      <c r="M862" s="94">
        <v>600</v>
      </c>
      <c r="N862" s="83">
        <f>100</f>
        <v>100</v>
      </c>
      <c r="O862" s="86">
        <v>240</v>
      </c>
      <c r="P862" s="86">
        <v>40</v>
      </c>
      <c r="Q862" s="86">
        <f t="shared" si="140"/>
        <v>315</v>
      </c>
      <c r="R862" s="86">
        <f t="shared" si="141"/>
        <v>100</v>
      </c>
      <c r="S862" s="83">
        <f t="shared" si="142"/>
        <v>695</v>
      </c>
      <c r="T862" s="83">
        <f>50</f>
        <v>50</v>
      </c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</row>
    <row r="863" spans="1:30" ht="15.75" x14ac:dyDescent="0.25">
      <c r="A863" s="32">
        <v>67206</v>
      </c>
      <c r="B863" s="95">
        <f t="shared" si="144"/>
        <v>31</v>
      </c>
      <c r="C863" s="83">
        <f>122.58</f>
        <v>122.58</v>
      </c>
      <c r="D863" s="83">
        <f>297.941</f>
        <v>297.94099999999997</v>
      </c>
      <c r="E863" s="92">
        <f>89.177</f>
        <v>89.177000000000007</v>
      </c>
      <c r="F863" s="83">
        <f>240.302-40-60-100</f>
        <v>40.301999999999992</v>
      </c>
      <c r="G863" s="86">
        <v>40</v>
      </c>
      <c r="H863" s="83">
        <f>60+100</f>
        <v>160</v>
      </c>
      <c r="I863" s="83">
        <f t="shared" si="136"/>
        <v>0</v>
      </c>
      <c r="J863" s="86">
        <v>100</v>
      </c>
      <c r="K863" s="86">
        <v>300</v>
      </c>
      <c r="L863" s="83">
        <f t="shared" si="139"/>
        <v>1150</v>
      </c>
      <c r="M863" s="94">
        <v>600</v>
      </c>
      <c r="N863" s="83">
        <f>100</f>
        <v>100</v>
      </c>
      <c r="O863" s="86">
        <v>240</v>
      </c>
      <c r="P863" s="86">
        <v>40</v>
      </c>
      <c r="Q863" s="86">
        <f t="shared" si="140"/>
        <v>315</v>
      </c>
      <c r="R863" s="86">
        <f t="shared" si="141"/>
        <v>100</v>
      </c>
      <c r="S863" s="83">
        <f t="shared" si="142"/>
        <v>695</v>
      </c>
      <c r="T863" s="83">
        <f>50</f>
        <v>50</v>
      </c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</row>
    <row r="864" spans="1:30" ht="15.75" x14ac:dyDescent="0.25">
      <c r="A864" s="32">
        <v>67237</v>
      </c>
      <c r="B864" s="95">
        <f t="shared" si="144"/>
        <v>31</v>
      </c>
      <c r="C864" s="83">
        <f>122.58</f>
        <v>122.58</v>
      </c>
      <c r="D864" s="83">
        <f>297.941</f>
        <v>297.94099999999997</v>
      </c>
      <c r="E864" s="92">
        <f>89.177</f>
        <v>89.177000000000007</v>
      </c>
      <c r="F864" s="83">
        <f>240.302-40-60-100</f>
        <v>40.301999999999992</v>
      </c>
      <c r="G864" s="86">
        <v>40</v>
      </c>
      <c r="H864" s="83">
        <f>60+100</f>
        <v>160</v>
      </c>
      <c r="I864" s="83">
        <f t="shared" si="136"/>
        <v>0</v>
      </c>
      <c r="J864" s="86">
        <v>100</v>
      </c>
      <c r="K864" s="86">
        <v>300</v>
      </c>
      <c r="L864" s="83">
        <f t="shared" si="139"/>
        <v>1150</v>
      </c>
      <c r="M864" s="94">
        <v>600</v>
      </c>
      <c r="N864" s="83">
        <f>100</f>
        <v>100</v>
      </c>
      <c r="O864" s="86">
        <v>240</v>
      </c>
      <c r="P864" s="86">
        <v>40</v>
      </c>
      <c r="Q864" s="86">
        <f t="shared" si="140"/>
        <v>315</v>
      </c>
      <c r="R864" s="86">
        <f t="shared" si="141"/>
        <v>100</v>
      </c>
      <c r="S864" s="83">
        <f t="shared" si="142"/>
        <v>695</v>
      </c>
      <c r="T864" s="83">
        <f>50</f>
        <v>50</v>
      </c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</row>
    <row r="865" spans="1:30" ht="15.75" x14ac:dyDescent="0.25">
      <c r="A865" s="32">
        <v>67266</v>
      </c>
      <c r="B865" s="95">
        <f t="shared" si="144"/>
        <v>29</v>
      </c>
      <c r="C865" s="83">
        <f>122.58</f>
        <v>122.58</v>
      </c>
      <c r="D865" s="83">
        <f>297.941</f>
        <v>297.94099999999997</v>
      </c>
      <c r="E865" s="92">
        <f>89.177</f>
        <v>89.177000000000007</v>
      </c>
      <c r="F865" s="83">
        <f>240.302-40-60-100</f>
        <v>40.301999999999992</v>
      </c>
      <c r="G865" s="86">
        <v>40</v>
      </c>
      <c r="H865" s="83">
        <f>60+100</f>
        <v>160</v>
      </c>
      <c r="I865" s="83">
        <f t="shared" si="136"/>
        <v>0</v>
      </c>
      <c r="J865" s="86">
        <v>100</v>
      </c>
      <c r="K865" s="86">
        <v>300</v>
      </c>
      <c r="L865" s="83">
        <f t="shared" si="139"/>
        <v>1150</v>
      </c>
      <c r="M865" s="94">
        <v>600</v>
      </c>
      <c r="N865" s="83">
        <f>100</f>
        <v>100</v>
      </c>
      <c r="O865" s="86">
        <v>240</v>
      </c>
      <c r="P865" s="86">
        <v>40</v>
      </c>
      <c r="Q865" s="86">
        <f t="shared" si="140"/>
        <v>315</v>
      </c>
      <c r="R865" s="86">
        <f t="shared" si="141"/>
        <v>100</v>
      </c>
      <c r="S865" s="83">
        <f t="shared" si="142"/>
        <v>695</v>
      </c>
      <c r="T865" s="83">
        <f>50</f>
        <v>50</v>
      </c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</row>
    <row r="866" spans="1:30" ht="15.75" x14ac:dyDescent="0.25">
      <c r="A866" s="32">
        <v>67297</v>
      </c>
      <c r="B866" s="95">
        <f t="shared" si="144"/>
        <v>31</v>
      </c>
      <c r="C866" s="83">
        <f>122.58</f>
        <v>122.58</v>
      </c>
      <c r="D866" s="83">
        <f>297.941</f>
        <v>297.94099999999997</v>
      </c>
      <c r="E866" s="92">
        <f>89.177</f>
        <v>89.177000000000007</v>
      </c>
      <c r="F866" s="83">
        <f>240.302-40-60-100</f>
        <v>40.301999999999992</v>
      </c>
      <c r="G866" s="86">
        <v>40</v>
      </c>
      <c r="H866" s="83">
        <f>60+100</f>
        <v>160</v>
      </c>
      <c r="I866" s="83">
        <f t="shared" si="136"/>
        <v>0</v>
      </c>
      <c r="J866" s="86">
        <v>100</v>
      </c>
      <c r="K866" s="86">
        <v>300</v>
      </c>
      <c r="L866" s="83">
        <f t="shared" si="139"/>
        <v>1150</v>
      </c>
      <c r="M866" s="94">
        <v>600</v>
      </c>
      <c r="N866" s="83">
        <f>100</f>
        <v>100</v>
      </c>
      <c r="O866" s="86">
        <v>240</v>
      </c>
      <c r="P866" s="86">
        <v>40</v>
      </c>
      <c r="Q866" s="86">
        <f t="shared" si="140"/>
        <v>315</v>
      </c>
      <c r="R866" s="86">
        <f t="shared" si="141"/>
        <v>100</v>
      </c>
      <c r="S866" s="83">
        <f t="shared" si="142"/>
        <v>695</v>
      </c>
      <c r="T866" s="83">
        <f>50</f>
        <v>50</v>
      </c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</row>
    <row r="867" spans="1:30" ht="15.75" x14ac:dyDescent="0.25">
      <c r="A867" s="32">
        <v>67327</v>
      </c>
      <c r="B867" s="95">
        <f t="shared" si="144"/>
        <v>30</v>
      </c>
      <c r="C867" s="83">
        <f>141.293</f>
        <v>141.29300000000001</v>
      </c>
      <c r="D867" s="83">
        <f>267.993</f>
        <v>267.99299999999999</v>
      </c>
      <c r="E867" s="92">
        <f>115.016</f>
        <v>115.01600000000001</v>
      </c>
      <c r="F867" s="83">
        <f>314.698-40-25-60-100</f>
        <v>89.697999999999979</v>
      </c>
      <c r="G867" s="86">
        <v>40</v>
      </c>
      <c r="H867" s="83">
        <f t="shared" ref="H867:H873" si="145">25+60+100</f>
        <v>185</v>
      </c>
      <c r="I867" s="83">
        <f t="shared" si="136"/>
        <v>0</v>
      </c>
      <c r="J867" s="86">
        <v>100</v>
      </c>
      <c r="K867" s="86">
        <v>300</v>
      </c>
      <c r="L867" s="83">
        <f t="shared" si="139"/>
        <v>1239</v>
      </c>
      <c r="M867" s="94">
        <v>600</v>
      </c>
      <c r="N867" s="83">
        <f>100</f>
        <v>100</v>
      </c>
      <c r="O867" s="86">
        <v>240</v>
      </c>
      <c r="P867" s="86">
        <v>40</v>
      </c>
      <c r="Q867" s="86">
        <f t="shared" si="140"/>
        <v>315</v>
      </c>
      <c r="R867" s="86">
        <f t="shared" si="141"/>
        <v>100</v>
      </c>
      <c r="S867" s="83">
        <f t="shared" si="142"/>
        <v>695</v>
      </c>
      <c r="T867" s="83">
        <f>50</f>
        <v>50</v>
      </c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</row>
    <row r="868" spans="1:30" ht="15.75" x14ac:dyDescent="0.25">
      <c r="A868" s="32">
        <v>67358</v>
      </c>
      <c r="B868" s="95">
        <f t="shared" si="144"/>
        <v>31</v>
      </c>
      <c r="C868" s="83">
        <f>194.205</f>
        <v>194.20500000000001</v>
      </c>
      <c r="D868" s="83">
        <f>267.466</f>
        <v>267.46600000000001</v>
      </c>
      <c r="E868" s="92">
        <f>133.845</f>
        <v>133.845</v>
      </c>
      <c r="F868" s="83">
        <f>278.484-40-25-60-100</f>
        <v>53.48399999999998</v>
      </c>
      <c r="G868" s="86">
        <v>40</v>
      </c>
      <c r="H868" s="83">
        <f t="shared" si="145"/>
        <v>185</v>
      </c>
      <c r="I868" s="83">
        <f t="shared" si="136"/>
        <v>0</v>
      </c>
      <c r="J868" s="86">
        <v>100</v>
      </c>
      <c r="K868" s="86">
        <v>300</v>
      </c>
      <c r="L868" s="83">
        <f t="shared" si="139"/>
        <v>1274</v>
      </c>
      <c r="M868" s="94">
        <v>600</v>
      </c>
      <c r="N868" s="83">
        <f>75</f>
        <v>75</v>
      </c>
      <c r="O868" s="86">
        <v>240</v>
      </c>
      <c r="P868" s="86">
        <v>40</v>
      </c>
      <c r="Q868" s="86">
        <f t="shared" si="140"/>
        <v>315</v>
      </c>
      <c r="R868" s="86">
        <f t="shared" si="141"/>
        <v>100</v>
      </c>
      <c r="S868" s="83">
        <f t="shared" si="142"/>
        <v>695</v>
      </c>
      <c r="T868" s="83">
        <f>50</f>
        <v>50</v>
      </c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</row>
    <row r="869" spans="1:30" ht="15.75" x14ac:dyDescent="0.25">
      <c r="A869" s="32">
        <v>67388</v>
      </c>
      <c r="B869" s="95">
        <f t="shared" si="144"/>
        <v>30</v>
      </c>
      <c r="C869" s="83">
        <f>194.205</f>
        <v>194.20500000000001</v>
      </c>
      <c r="D869" s="83">
        <f>267.466</f>
        <v>267.46600000000001</v>
      </c>
      <c r="E869" s="92">
        <f>133.845</f>
        <v>133.845</v>
      </c>
      <c r="F869" s="83">
        <f>278.484-40-25-60-100</f>
        <v>53.48399999999998</v>
      </c>
      <c r="G869" s="86">
        <v>40</v>
      </c>
      <c r="H869" s="83">
        <f t="shared" si="145"/>
        <v>185</v>
      </c>
      <c r="I869" s="83">
        <f t="shared" si="136"/>
        <v>0</v>
      </c>
      <c r="J869" s="86">
        <v>100</v>
      </c>
      <c r="K869" s="86">
        <v>300</v>
      </c>
      <c r="L869" s="83">
        <f t="shared" si="139"/>
        <v>1274</v>
      </c>
      <c r="M869" s="94">
        <v>600</v>
      </c>
      <c r="N869" s="83">
        <f>30</f>
        <v>30</v>
      </c>
      <c r="O869" s="86">
        <v>240</v>
      </c>
      <c r="P869" s="86">
        <v>40</v>
      </c>
      <c r="Q869" s="86">
        <f t="shared" si="140"/>
        <v>315</v>
      </c>
      <c r="R869" s="86">
        <f t="shared" si="141"/>
        <v>100</v>
      </c>
      <c r="S869" s="83">
        <f t="shared" si="142"/>
        <v>695</v>
      </c>
      <c r="T869" s="83">
        <f>50</f>
        <v>50</v>
      </c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</row>
    <row r="870" spans="1:30" ht="15.75" x14ac:dyDescent="0.25">
      <c r="A870" s="32">
        <v>67419</v>
      </c>
      <c r="B870" s="95">
        <f t="shared" si="144"/>
        <v>31</v>
      </c>
      <c r="C870" s="83">
        <f>194.205</f>
        <v>194.20500000000001</v>
      </c>
      <c r="D870" s="83">
        <f>267.466</f>
        <v>267.46600000000001</v>
      </c>
      <c r="E870" s="92">
        <f>133.845</f>
        <v>133.845</v>
      </c>
      <c r="F870" s="83">
        <f>278.484-40-25-60-100</f>
        <v>53.48399999999998</v>
      </c>
      <c r="G870" s="86">
        <v>40</v>
      </c>
      <c r="H870" s="83">
        <f t="shared" si="145"/>
        <v>185</v>
      </c>
      <c r="I870" s="83">
        <f t="shared" si="136"/>
        <v>0</v>
      </c>
      <c r="J870" s="86">
        <v>100</v>
      </c>
      <c r="K870" s="86">
        <v>300</v>
      </c>
      <c r="L870" s="83">
        <f t="shared" si="139"/>
        <v>1274</v>
      </c>
      <c r="M870" s="94">
        <v>600</v>
      </c>
      <c r="N870" s="83">
        <f>30</f>
        <v>30</v>
      </c>
      <c r="O870" s="86">
        <v>240</v>
      </c>
      <c r="P870" s="86">
        <v>40</v>
      </c>
      <c r="Q870" s="86">
        <f t="shared" si="140"/>
        <v>315</v>
      </c>
      <c r="R870" s="86">
        <f t="shared" si="141"/>
        <v>100</v>
      </c>
      <c r="S870" s="83">
        <f t="shared" si="142"/>
        <v>695</v>
      </c>
      <c r="T870" s="83">
        <f>0</f>
        <v>0</v>
      </c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</row>
    <row r="871" spans="1:30" ht="15.75" x14ac:dyDescent="0.25">
      <c r="A871" s="32">
        <v>67450</v>
      </c>
      <c r="B871" s="95">
        <f t="shared" si="144"/>
        <v>31</v>
      </c>
      <c r="C871" s="83">
        <f>194.205</f>
        <v>194.20500000000001</v>
      </c>
      <c r="D871" s="83">
        <f>267.466</f>
        <v>267.46600000000001</v>
      </c>
      <c r="E871" s="92">
        <f>133.845</f>
        <v>133.845</v>
      </c>
      <c r="F871" s="83">
        <f>278.484-40-25-60-100</f>
        <v>53.48399999999998</v>
      </c>
      <c r="G871" s="86">
        <v>40</v>
      </c>
      <c r="H871" s="83">
        <f t="shared" si="145"/>
        <v>185</v>
      </c>
      <c r="I871" s="83">
        <f t="shared" si="136"/>
        <v>0</v>
      </c>
      <c r="J871" s="86">
        <v>100</v>
      </c>
      <c r="K871" s="86">
        <v>300</v>
      </c>
      <c r="L871" s="83">
        <f t="shared" si="139"/>
        <v>1274</v>
      </c>
      <c r="M871" s="94">
        <v>600</v>
      </c>
      <c r="N871" s="83">
        <f>30</f>
        <v>30</v>
      </c>
      <c r="O871" s="86">
        <v>240</v>
      </c>
      <c r="P871" s="86">
        <v>40</v>
      </c>
      <c r="Q871" s="86">
        <f t="shared" si="140"/>
        <v>315</v>
      </c>
      <c r="R871" s="86">
        <f t="shared" si="141"/>
        <v>100</v>
      </c>
      <c r="S871" s="83">
        <f t="shared" si="142"/>
        <v>695</v>
      </c>
      <c r="T871" s="83">
        <f>0</f>
        <v>0</v>
      </c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</row>
    <row r="872" spans="1:30" ht="15.75" x14ac:dyDescent="0.25">
      <c r="A872" s="32">
        <v>67480</v>
      </c>
      <c r="B872" s="95">
        <f t="shared" si="144"/>
        <v>30</v>
      </c>
      <c r="C872" s="83">
        <f>194.205</f>
        <v>194.20500000000001</v>
      </c>
      <c r="D872" s="83">
        <f>267.466</f>
        <v>267.46600000000001</v>
      </c>
      <c r="E872" s="92">
        <f>133.845</f>
        <v>133.845</v>
      </c>
      <c r="F872" s="83">
        <f>278.484-40-25-60-100</f>
        <v>53.48399999999998</v>
      </c>
      <c r="G872" s="86">
        <v>40</v>
      </c>
      <c r="H872" s="83">
        <f t="shared" si="145"/>
        <v>185</v>
      </c>
      <c r="I872" s="83">
        <f t="shared" si="136"/>
        <v>0</v>
      </c>
      <c r="J872" s="86">
        <v>100</v>
      </c>
      <c r="K872" s="86">
        <v>300</v>
      </c>
      <c r="L872" s="83">
        <f t="shared" si="139"/>
        <v>1274</v>
      </c>
      <c r="M872" s="94">
        <v>600</v>
      </c>
      <c r="N872" s="83">
        <f>30</f>
        <v>30</v>
      </c>
      <c r="O872" s="86">
        <v>240</v>
      </c>
      <c r="P872" s="86">
        <v>40</v>
      </c>
      <c r="Q872" s="86">
        <f t="shared" si="140"/>
        <v>315</v>
      </c>
      <c r="R872" s="86">
        <f t="shared" si="141"/>
        <v>100</v>
      </c>
      <c r="S872" s="83">
        <f t="shared" si="142"/>
        <v>695</v>
      </c>
      <c r="T872" s="83">
        <f>0</f>
        <v>0</v>
      </c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</row>
    <row r="873" spans="1:30" ht="15.75" x14ac:dyDescent="0.25">
      <c r="A873" s="32">
        <v>67511</v>
      </c>
      <c r="B873" s="95">
        <f t="shared" si="144"/>
        <v>31</v>
      </c>
      <c r="C873" s="83">
        <f>131.881</f>
        <v>131.881</v>
      </c>
      <c r="D873" s="83">
        <f>277.167</f>
        <v>277.16699999999997</v>
      </c>
      <c r="E873" s="92">
        <f>79.08</f>
        <v>79.08</v>
      </c>
      <c r="F873" s="83">
        <f>350.872-40-25-60-100</f>
        <v>125.87200000000001</v>
      </c>
      <c r="G873" s="86">
        <v>40</v>
      </c>
      <c r="H873" s="83">
        <f t="shared" si="145"/>
        <v>185</v>
      </c>
      <c r="I873" s="83">
        <f t="shared" si="136"/>
        <v>0</v>
      </c>
      <c r="J873" s="86">
        <v>100</v>
      </c>
      <c r="K873" s="86">
        <v>300</v>
      </c>
      <c r="L873" s="83">
        <f t="shared" si="139"/>
        <v>1239</v>
      </c>
      <c r="M873" s="94">
        <v>600</v>
      </c>
      <c r="N873" s="83">
        <f>75</f>
        <v>75</v>
      </c>
      <c r="O873" s="86">
        <v>240</v>
      </c>
      <c r="P873" s="86">
        <v>40</v>
      </c>
      <c r="Q873" s="86">
        <f t="shared" si="140"/>
        <v>315</v>
      </c>
      <c r="R873" s="86">
        <f t="shared" si="141"/>
        <v>100</v>
      </c>
      <c r="S873" s="83">
        <f t="shared" si="142"/>
        <v>695</v>
      </c>
      <c r="T873" s="83">
        <f>0</f>
        <v>0</v>
      </c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</row>
    <row r="874" spans="1:30" ht="15.75" x14ac:dyDescent="0.25">
      <c r="A874" s="32">
        <v>67541</v>
      </c>
      <c r="B874" s="95">
        <f t="shared" si="144"/>
        <v>30</v>
      </c>
      <c r="C874" s="83">
        <f>122.58</f>
        <v>122.58</v>
      </c>
      <c r="D874" s="83">
        <f>297.941</f>
        <v>297.94099999999997</v>
      </c>
      <c r="E874" s="92">
        <f>89.177</f>
        <v>89.177000000000007</v>
      </c>
      <c r="F874" s="83">
        <f>240.302-40-60-100</f>
        <v>40.301999999999992</v>
      </c>
      <c r="G874" s="86">
        <v>40</v>
      </c>
      <c r="H874" s="83">
        <f>60+100</f>
        <v>160</v>
      </c>
      <c r="I874" s="83">
        <f t="shared" si="136"/>
        <v>0</v>
      </c>
      <c r="J874" s="86">
        <v>100</v>
      </c>
      <c r="K874" s="86">
        <v>300</v>
      </c>
      <c r="L874" s="83">
        <f t="shared" si="139"/>
        <v>1150</v>
      </c>
      <c r="M874" s="94">
        <v>600</v>
      </c>
      <c r="N874" s="83">
        <f>100</f>
        <v>100</v>
      </c>
      <c r="O874" s="86">
        <v>240</v>
      </c>
      <c r="P874" s="86">
        <v>40</v>
      </c>
      <c r="Q874" s="86">
        <f t="shared" si="140"/>
        <v>315</v>
      </c>
      <c r="R874" s="86">
        <f t="shared" si="141"/>
        <v>100</v>
      </c>
      <c r="S874" s="83">
        <f t="shared" si="142"/>
        <v>695</v>
      </c>
      <c r="T874" s="83">
        <f>50</f>
        <v>50</v>
      </c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</row>
    <row r="875" spans="1:30" ht="15.75" x14ac:dyDescent="0.25">
      <c r="A875" s="32">
        <v>67572</v>
      </c>
      <c r="B875" s="95">
        <f t="shared" si="144"/>
        <v>31</v>
      </c>
      <c r="C875" s="83">
        <f>122.58</f>
        <v>122.58</v>
      </c>
      <c r="D875" s="83">
        <f>297.941</f>
        <v>297.94099999999997</v>
      </c>
      <c r="E875" s="92">
        <f>89.177</f>
        <v>89.177000000000007</v>
      </c>
      <c r="F875" s="83">
        <f>240.302-40-60-100</f>
        <v>40.301999999999992</v>
      </c>
      <c r="G875" s="86">
        <v>40</v>
      </c>
      <c r="H875" s="83">
        <f>60+100</f>
        <v>160</v>
      </c>
      <c r="I875" s="83">
        <f t="shared" si="136"/>
        <v>0</v>
      </c>
      <c r="J875" s="86">
        <v>100</v>
      </c>
      <c r="K875" s="86">
        <v>300</v>
      </c>
      <c r="L875" s="83">
        <f t="shared" si="139"/>
        <v>1150</v>
      </c>
      <c r="M875" s="94">
        <v>600</v>
      </c>
      <c r="N875" s="83">
        <f>100</f>
        <v>100</v>
      </c>
      <c r="O875" s="86">
        <v>240</v>
      </c>
      <c r="P875" s="86">
        <v>40</v>
      </c>
      <c r="Q875" s="86">
        <f t="shared" si="140"/>
        <v>315</v>
      </c>
      <c r="R875" s="86">
        <f t="shared" si="141"/>
        <v>100</v>
      </c>
      <c r="S875" s="83">
        <f t="shared" si="142"/>
        <v>695</v>
      </c>
      <c r="T875" s="83">
        <f>50</f>
        <v>50</v>
      </c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</row>
    <row r="876" spans="1:30" ht="15.75" x14ac:dyDescent="0.25">
      <c r="A876" s="32">
        <v>67603</v>
      </c>
      <c r="B876" s="95">
        <f t="shared" si="144"/>
        <v>31</v>
      </c>
      <c r="C876" s="83">
        <f>122.58</f>
        <v>122.58</v>
      </c>
      <c r="D876" s="83">
        <f>297.941</f>
        <v>297.94099999999997</v>
      </c>
      <c r="E876" s="92">
        <f>89.177</f>
        <v>89.177000000000007</v>
      </c>
      <c r="F876" s="83">
        <f>240.302-40-60-100</f>
        <v>40.301999999999992</v>
      </c>
      <c r="G876" s="86">
        <v>40</v>
      </c>
      <c r="H876" s="83">
        <f>60+100</f>
        <v>160</v>
      </c>
      <c r="I876" s="83">
        <f t="shared" si="136"/>
        <v>0</v>
      </c>
      <c r="J876" s="86">
        <v>100</v>
      </c>
      <c r="K876" s="86">
        <v>300</v>
      </c>
      <c r="L876" s="83">
        <f t="shared" si="139"/>
        <v>1150</v>
      </c>
      <c r="M876" s="94">
        <v>600</v>
      </c>
      <c r="N876" s="83">
        <f>100</f>
        <v>100</v>
      </c>
      <c r="O876" s="86">
        <v>240</v>
      </c>
      <c r="P876" s="86">
        <v>40</v>
      </c>
      <c r="Q876" s="86">
        <f t="shared" si="140"/>
        <v>315</v>
      </c>
      <c r="R876" s="86">
        <f t="shared" si="141"/>
        <v>100</v>
      </c>
      <c r="S876" s="83">
        <f t="shared" si="142"/>
        <v>695</v>
      </c>
      <c r="T876" s="83">
        <f>50</f>
        <v>50</v>
      </c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</row>
    <row r="877" spans="1:30" ht="15.75" x14ac:dyDescent="0.25">
      <c r="A877" s="32">
        <v>67631</v>
      </c>
      <c r="B877" s="95">
        <f t="shared" si="144"/>
        <v>28</v>
      </c>
      <c r="C877" s="83">
        <f>122.58</f>
        <v>122.58</v>
      </c>
      <c r="D877" s="83">
        <f>297.941</f>
        <v>297.94099999999997</v>
      </c>
      <c r="E877" s="92">
        <f>89.177</f>
        <v>89.177000000000007</v>
      </c>
      <c r="F877" s="83">
        <f>240.302-40-60-100</f>
        <v>40.301999999999992</v>
      </c>
      <c r="G877" s="86">
        <v>40</v>
      </c>
      <c r="H877" s="83">
        <f>60+100</f>
        <v>160</v>
      </c>
      <c r="I877" s="83">
        <f t="shared" si="136"/>
        <v>0</v>
      </c>
      <c r="J877" s="86">
        <v>100</v>
      </c>
      <c r="K877" s="86">
        <v>300</v>
      </c>
      <c r="L877" s="83">
        <f t="shared" si="139"/>
        <v>1150</v>
      </c>
      <c r="M877" s="94">
        <v>600</v>
      </c>
      <c r="N877" s="83">
        <f>100</f>
        <v>100</v>
      </c>
      <c r="O877" s="86">
        <v>240</v>
      </c>
      <c r="P877" s="86">
        <v>40</v>
      </c>
      <c r="Q877" s="86">
        <f t="shared" si="140"/>
        <v>315</v>
      </c>
      <c r="R877" s="86">
        <f t="shared" si="141"/>
        <v>100</v>
      </c>
      <c r="S877" s="83">
        <f t="shared" si="142"/>
        <v>695</v>
      </c>
      <c r="T877" s="83">
        <f>50</f>
        <v>50</v>
      </c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</row>
    <row r="878" spans="1:30" ht="15.75" x14ac:dyDescent="0.25">
      <c r="A878" s="32">
        <v>67662</v>
      </c>
      <c r="B878" s="95">
        <f t="shared" si="144"/>
        <v>31</v>
      </c>
      <c r="C878" s="83">
        <f>122.58</f>
        <v>122.58</v>
      </c>
      <c r="D878" s="83">
        <f>297.941</f>
        <v>297.94099999999997</v>
      </c>
      <c r="E878" s="92">
        <f>89.177</f>
        <v>89.177000000000007</v>
      </c>
      <c r="F878" s="83">
        <f>240.302-40-60-100</f>
        <v>40.301999999999992</v>
      </c>
      <c r="G878" s="86">
        <v>40</v>
      </c>
      <c r="H878" s="83">
        <f>60+100</f>
        <v>160</v>
      </c>
      <c r="I878" s="83">
        <f t="shared" si="136"/>
        <v>0</v>
      </c>
      <c r="J878" s="86">
        <v>100</v>
      </c>
      <c r="K878" s="86">
        <v>300</v>
      </c>
      <c r="L878" s="83">
        <f t="shared" si="139"/>
        <v>1150</v>
      </c>
      <c r="M878" s="94">
        <v>600</v>
      </c>
      <c r="N878" s="83">
        <f>100</f>
        <v>100</v>
      </c>
      <c r="O878" s="86">
        <v>240</v>
      </c>
      <c r="P878" s="86">
        <v>40</v>
      </c>
      <c r="Q878" s="86">
        <f t="shared" si="140"/>
        <v>315</v>
      </c>
      <c r="R878" s="86">
        <f t="shared" si="141"/>
        <v>100</v>
      </c>
      <c r="S878" s="83">
        <f t="shared" si="142"/>
        <v>695</v>
      </c>
      <c r="T878" s="83">
        <f>50</f>
        <v>50</v>
      </c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</row>
    <row r="879" spans="1:30" ht="15.75" x14ac:dyDescent="0.25">
      <c r="A879" s="32">
        <v>67692</v>
      </c>
      <c r="B879" s="95">
        <f t="shared" si="144"/>
        <v>30</v>
      </c>
      <c r="C879" s="83">
        <f>141.293</f>
        <v>141.29300000000001</v>
      </c>
      <c r="D879" s="83">
        <f>267.993</f>
        <v>267.99299999999999</v>
      </c>
      <c r="E879" s="92">
        <f>115.016</f>
        <v>115.01600000000001</v>
      </c>
      <c r="F879" s="83">
        <f>314.698-40-25-60-100</f>
        <v>89.697999999999979</v>
      </c>
      <c r="G879" s="86">
        <v>40</v>
      </c>
      <c r="H879" s="83">
        <f t="shared" ref="H879:H885" si="146">25+60+100</f>
        <v>185</v>
      </c>
      <c r="I879" s="83">
        <f t="shared" si="136"/>
        <v>0</v>
      </c>
      <c r="J879" s="86">
        <v>100</v>
      </c>
      <c r="K879" s="86">
        <v>300</v>
      </c>
      <c r="L879" s="83">
        <f t="shared" si="139"/>
        <v>1239</v>
      </c>
      <c r="M879" s="94">
        <v>600</v>
      </c>
      <c r="N879" s="83">
        <f>100</f>
        <v>100</v>
      </c>
      <c r="O879" s="86">
        <v>240</v>
      </c>
      <c r="P879" s="86">
        <v>40</v>
      </c>
      <c r="Q879" s="86">
        <f t="shared" si="140"/>
        <v>315</v>
      </c>
      <c r="R879" s="86">
        <f t="shared" si="141"/>
        <v>100</v>
      </c>
      <c r="S879" s="83">
        <f t="shared" si="142"/>
        <v>695</v>
      </c>
      <c r="T879" s="83">
        <f>50</f>
        <v>50</v>
      </c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</row>
    <row r="880" spans="1:30" ht="15.75" x14ac:dyDescent="0.25">
      <c r="A880" s="32">
        <v>67723</v>
      </c>
      <c r="B880" s="95">
        <f t="shared" si="144"/>
        <v>31</v>
      </c>
      <c r="C880" s="83">
        <f>194.205</f>
        <v>194.20500000000001</v>
      </c>
      <c r="D880" s="83">
        <f>267.466</f>
        <v>267.46600000000001</v>
      </c>
      <c r="E880" s="92">
        <f>133.845</f>
        <v>133.845</v>
      </c>
      <c r="F880" s="83">
        <f>278.484-40-25-60-100</f>
        <v>53.48399999999998</v>
      </c>
      <c r="G880" s="86">
        <v>40</v>
      </c>
      <c r="H880" s="83">
        <f t="shared" si="146"/>
        <v>185</v>
      </c>
      <c r="I880" s="83">
        <f t="shared" si="136"/>
        <v>0</v>
      </c>
      <c r="J880" s="86">
        <v>100</v>
      </c>
      <c r="K880" s="86">
        <v>300</v>
      </c>
      <c r="L880" s="83">
        <f t="shared" si="139"/>
        <v>1274</v>
      </c>
      <c r="M880" s="94">
        <v>600</v>
      </c>
      <c r="N880" s="83">
        <f>75</f>
        <v>75</v>
      </c>
      <c r="O880" s="86">
        <v>240</v>
      </c>
      <c r="P880" s="86">
        <v>40</v>
      </c>
      <c r="Q880" s="86">
        <f t="shared" si="140"/>
        <v>315</v>
      </c>
      <c r="R880" s="86">
        <f t="shared" si="141"/>
        <v>100</v>
      </c>
      <c r="S880" s="83">
        <f t="shared" si="142"/>
        <v>695</v>
      </c>
      <c r="T880" s="83">
        <f>50</f>
        <v>50</v>
      </c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</row>
    <row r="881" spans="1:30" ht="15.75" x14ac:dyDescent="0.25">
      <c r="A881" s="32">
        <v>67753</v>
      </c>
      <c r="B881" s="95">
        <f t="shared" si="144"/>
        <v>30</v>
      </c>
      <c r="C881" s="83">
        <f>194.205</f>
        <v>194.20500000000001</v>
      </c>
      <c r="D881" s="83">
        <f>267.466</f>
        <v>267.46600000000001</v>
      </c>
      <c r="E881" s="92">
        <f>133.845</f>
        <v>133.845</v>
      </c>
      <c r="F881" s="83">
        <f>278.484-40-25-60-100</f>
        <v>53.48399999999998</v>
      </c>
      <c r="G881" s="86">
        <v>40</v>
      </c>
      <c r="H881" s="83">
        <f t="shared" si="146"/>
        <v>185</v>
      </c>
      <c r="I881" s="83">
        <f t="shared" si="136"/>
        <v>0</v>
      </c>
      <c r="J881" s="86">
        <v>100</v>
      </c>
      <c r="K881" s="86">
        <v>300</v>
      </c>
      <c r="L881" s="83">
        <f t="shared" si="139"/>
        <v>1274</v>
      </c>
      <c r="M881" s="94">
        <v>600</v>
      </c>
      <c r="N881" s="83">
        <f>30</f>
        <v>30</v>
      </c>
      <c r="O881" s="86">
        <v>240</v>
      </c>
      <c r="P881" s="86">
        <v>40</v>
      </c>
      <c r="Q881" s="86">
        <f t="shared" si="140"/>
        <v>315</v>
      </c>
      <c r="R881" s="86">
        <f t="shared" si="141"/>
        <v>100</v>
      </c>
      <c r="S881" s="83">
        <f t="shared" si="142"/>
        <v>695</v>
      </c>
      <c r="T881" s="83">
        <f>50</f>
        <v>50</v>
      </c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</row>
    <row r="882" spans="1:30" ht="15.75" x14ac:dyDescent="0.25">
      <c r="A882" s="32">
        <v>67784</v>
      </c>
      <c r="B882" s="95">
        <f t="shared" si="144"/>
        <v>31</v>
      </c>
      <c r="C882" s="83">
        <f>194.205</f>
        <v>194.20500000000001</v>
      </c>
      <c r="D882" s="83">
        <f>267.466</f>
        <v>267.46600000000001</v>
      </c>
      <c r="E882" s="92">
        <f>133.845</f>
        <v>133.845</v>
      </c>
      <c r="F882" s="83">
        <f>278.484-40-25-60-100</f>
        <v>53.48399999999998</v>
      </c>
      <c r="G882" s="86">
        <v>40</v>
      </c>
      <c r="H882" s="83">
        <f t="shared" si="146"/>
        <v>185</v>
      </c>
      <c r="I882" s="83">
        <f t="shared" si="136"/>
        <v>0</v>
      </c>
      <c r="J882" s="86">
        <v>100</v>
      </c>
      <c r="K882" s="86">
        <v>300</v>
      </c>
      <c r="L882" s="83">
        <f t="shared" si="139"/>
        <v>1274</v>
      </c>
      <c r="M882" s="94">
        <v>600</v>
      </c>
      <c r="N882" s="83">
        <f>30</f>
        <v>30</v>
      </c>
      <c r="O882" s="86">
        <v>240</v>
      </c>
      <c r="P882" s="86">
        <v>40</v>
      </c>
      <c r="Q882" s="86">
        <f t="shared" si="140"/>
        <v>315</v>
      </c>
      <c r="R882" s="86">
        <f t="shared" si="141"/>
        <v>100</v>
      </c>
      <c r="S882" s="83">
        <f t="shared" si="142"/>
        <v>695</v>
      </c>
      <c r="T882" s="83">
        <f>0</f>
        <v>0</v>
      </c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</row>
    <row r="883" spans="1:30" ht="15.75" x14ac:dyDescent="0.25">
      <c r="A883" s="32">
        <v>67815</v>
      </c>
      <c r="B883" s="95">
        <f t="shared" si="144"/>
        <v>31</v>
      </c>
      <c r="C883" s="83">
        <f>194.205</f>
        <v>194.20500000000001</v>
      </c>
      <c r="D883" s="83">
        <f>267.466</f>
        <v>267.46600000000001</v>
      </c>
      <c r="E883" s="92">
        <f>133.845</f>
        <v>133.845</v>
      </c>
      <c r="F883" s="83">
        <f>278.484-40-25-60-100</f>
        <v>53.48399999999998</v>
      </c>
      <c r="G883" s="86">
        <v>40</v>
      </c>
      <c r="H883" s="83">
        <f t="shared" si="146"/>
        <v>185</v>
      </c>
      <c r="I883" s="83">
        <f t="shared" si="136"/>
        <v>0</v>
      </c>
      <c r="J883" s="86">
        <v>100</v>
      </c>
      <c r="K883" s="86">
        <v>300</v>
      </c>
      <c r="L883" s="83">
        <f t="shared" si="139"/>
        <v>1274</v>
      </c>
      <c r="M883" s="94">
        <v>600</v>
      </c>
      <c r="N883" s="83">
        <f>30</f>
        <v>30</v>
      </c>
      <c r="O883" s="86">
        <v>240</v>
      </c>
      <c r="P883" s="86">
        <v>40</v>
      </c>
      <c r="Q883" s="86">
        <f t="shared" si="140"/>
        <v>315</v>
      </c>
      <c r="R883" s="86">
        <f t="shared" si="141"/>
        <v>100</v>
      </c>
      <c r="S883" s="83">
        <f t="shared" si="142"/>
        <v>695</v>
      </c>
      <c r="T883" s="83">
        <f>0</f>
        <v>0</v>
      </c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</row>
    <row r="884" spans="1:30" ht="15.75" x14ac:dyDescent="0.25">
      <c r="A884" s="32">
        <v>67845</v>
      </c>
      <c r="B884" s="95">
        <f t="shared" si="144"/>
        <v>30</v>
      </c>
      <c r="C884" s="83">
        <f>194.205</f>
        <v>194.20500000000001</v>
      </c>
      <c r="D884" s="83">
        <f>267.466</f>
        <v>267.46600000000001</v>
      </c>
      <c r="E884" s="92">
        <f>133.845</f>
        <v>133.845</v>
      </c>
      <c r="F884" s="83">
        <f>278.484-40-25-60-100</f>
        <v>53.48399999999998</v>
      </c>
      <c r="G884" s="86">
        <v>40</v>
      </c>
      <c r="H884" s="83">
        <f t="shared" si="146"/>
        <v>185</v>
      </c>
      <c r="I884" s="83">
        <f t="shared" ref="I884:I947" si="147">400-J884-K884</f>
        <v>0</v>
      </c>
      <c r="J884" s="86">
        <v>100</v>
      </c>
      <c r="K884" s="86">
        <v>300</v>
      </c>
      <c r="L884" s="83">
        <f t="shared" si="139"/>
        <v>1274</v>
      </c>
      <c r="M884" s="94">
        <v>600</v>
      </c>
      <c r="N884" s="83">
        <f>30</f>
        <v>30</v>
      </c>
      <c r="O884" s="86">
        <v>240</v>
      </c>
      <c r="P884" s="86">
        <v>40</v>
      </c>
      <c r="Q884" s="86">
        <f t="shared" si="140"/>
        <v>315</v>
      </c>
      <c r="R884" s="86">
        <f t="shared" si="141"/>
        <v>100</v>
      </c>
      <c r="S884" s="83">
        <f t="shared" si="142"/>
        <v>695</v>
      </c>
      <c r="T884" s="83">
        <f>0</f>
        <v>0</v>
      </c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</row>
    <row r="885" spans="1:30" ht="15.75" x14ac:dyDescent="0.25">
      <c r="A885" s="32">
        <v>67876</v>
      </c>
      <c r="B885" s="95">
        <f t="shared" si="144"/>
        <v>31</v>
      </c>
      <c r="C885" s="83">
        <f>131.881</f>
        <v>131.881</v>
      </c>
      <c r="D885" s="83">
        <f>277.167</f>
        <v>277.16699999999997</v>
      </c>
      <c r="E885" s="92">
        <f>79.08</f>
        <v>79.08</v>
      </c>
      <c r="F885" s="83">
        <f>350.872-40-25-60-100</f>
        <v>125.87200000000001</v>
      </c>
      <c r="G885" s="86">
        <v>40</v>
      </c>
      <c r="H885" s="83">
        <f t="shared" si="146"/>
        <v>185</v>
      </c>
      <c r="I885" s="83">
        <f t="shared" si="147"/>
        <v>0</v>
      </c>
      <c r="J885" s="86">
        <v>100</v>
      </c>
      <c r="K885" s="86">
        <v>300</v>
      </c>
      <c r="L885" s="83">
        <f t="shared" si="139"/>
        <v>1239</v>
      </c>
      <c r="M885" s="94">
        <v>600</v>
      </c>
      <c r="N885" s="83">
        <f>75</f>
        <v>75</v>
      </c>
      <c r="O885" s="86">
        <v>240</v>
      </c>
      <c r="P885" s="86">
        <v>40</v>
      </c>
      <c r="Q885" s="86">
        <f t="shared" si="140"/>
        <v>315</v>
      </c>
      <c r="R885" s="86">
        <f t="shared" si="141"/>
        <v>100</v>
      </c>
      <c r="S885" s="83">
        <f t="shared" si="142"/>
        <v>695</v>
      </c>
      <c r="T885" s="83">
        <f>0</f>
        <v>0</v>
      </c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</row>
    <row r="886" spans="1:30" ht="15.75" x14ac:dyDescent="0.25">
      <c r="A886" s="32">
        <v>67906</v>
      </c>
      <c r="B886" s="95">
        <f t="shared" si="144"/>
        <v>30</v>
      </c>
      <c r="C886" s="83">
        <f>122.58</f>
        <v>122.58</v>
      </c>
      <c r="D886" s="83">
        <f>297.941</f>
        <v>297.94099999999997</v>
      </c>
      <c r="E886" s="92">
        <f>89.177</f>
        <v>89.177000000000007</v>
      </c>
      <c r="F886" s="83">
        <f>240.302-40-60-100</f>
        <v>40.301999999999992</v>
      </c>
      <c r="G886" s="86">
        <v>40</v>
      </c>
      <c r="H886" s="83">
        <f>60+100</f>
        <v>160</v>
      </c>
      <c r="I886" s="83">
        <f t="shared" si="147"/>
        <v>0</v>
      </c>
      <c r="J886" s="86">
        <v>100</v>
      </c>
      <c r="K886" s="86">
        <v>300</v>
      </c>
      <c r="L886" s="83">
        <f t="shared" si="139"/>
        <v>1150</v>
      </c>
      <c r="M886" s="94">
        <v>600</v>
      </c>
      <c r="N886" s="83">
        <f>100</f>
        <v>100</v>
      </c>
      <c r="O886" s="86">
        <v>240</v>
      </c>
      <c r="P886" s="86">
        <v>40</v>
      </c>
      <c r="Q886" s="86">
        <f t="shared" si="140"/>
        <v>315</v>
      </c>
      <c r="R886" s="86">
        <f t="shared" si="141"/>
        <v>100</v>
      </c>
      <c r="S886" s="83">
        <f t="shared" si="142"/>
        <v>695</v>
      </c>
      <c r="T886" s="83">
        <f>50</f>
        <v>50</v>
      </c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</row>
    <row r="887" spans="1:30" ht="15.75" x14ac:dyDescent="0.25">
      <c r="A887" s="32">
        <v>67937</v>
      </c>
      <c r="B887" s="95">
        <f t="shared" si="144"/>
        <v>31</v>
      </c>
      <c r="C887" s="83">
        <f>122.58</f>
        <v>122.58</v>
      </c>
      <c r="D887" s="83">
        <f>297.941</f>
        <v>297.94099999999997</v>
      </c>
      <c r="E887" s="92">
        <f>89.177</f>
        <v>89.177000000000007</v>
      </c>
      <c r="F887" s="83">
        <f>240.302-40-60-100</f>
        <v>40.301999999999992</v>
      </c>
      <c r="G887" s="86">
        <v>40</v>
      </c>
      <c r="H887" s="83">
        <f>60+100</f>
        <v>160</v>
      </c>
      <c r="I887" s="83">
        <f t="shared" si="147"/>
        <v>0</v>
      </c>
      <c r="J887" s="86">
        <v>100</v>
      </c>
      <c r="K887" s="86">
        <v>300</v>
      </c>
      <c r="L887" s="83">
        <f t="shared" si="139"/>
        <v>1150</v>
      </c>
      <c r="M887" s="94">
        <v>600</v>
      </c>
      <c r="N887" s="83">
        <f>100</f>
        <v>100</v>
      </c>
      <c r="O887" s="86">
        <v>240</v>
      </c>
      <c r="P887" s="86">
        <v>40</v>
      </c>
      <c r="Q887" s="86">
        <f t="shared" si="140"/>
        <v>315</v>
      </c>
      <c r="R887" s="86">
        <f t="shared" si="141"/>
        <v>100</v>
      </c>
      <c r="S887" s="83">
        <f t="shared" si="142"/>
        <v>695</v>
      </c>
      <c r="T887" s="83">
        <f>50</f>
        <v>50</v>
      </c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</row>
    <row r="888" spans="1:30" ht="15.75" x14ac:dyDescent="0.25">
      <c r="A888" s="32">
        <v>67968</v>
      </c>
      <c r="B888" s="95">
        <f t="shared" si="144"/>
        <v>31</v>
      </c>
      <c r="C888" s="83">
        <f>122.58</f>
        <v>122.58</v>
      </c>
      <c r="D888" s="83">
        <f>297.941</f>
        <v>297.94099999999997</v>
      </c>
      <c r="E888" s="92">
        <f>89.177</f>
        <v>89.177000000000007</v>
      </c>
      <c r="F888" s="83">
        <f>240.302-40-60-100</f>
        <v>40.301999999999992</v>
      </c>
      <c r="G888" s="86">
        <v>40</v>
      </c>
      <c r="H888" s="83">
        <f>60+100</f>
        <v>160</v>
      </c>
      <c r="I888" s="83">
        <f t="shared" si="147"/>
        <v>0</v>
      </c>
      <c r="J888" s="86">
        <v>100</v>
      </c>
      <c r="K888" s="86">
        <v>300</v>
      </c>
      <c r="L888" s="83">
        <f t="shared" si="139"/>
        <v>1150</v>
      </c>
      <c r="M888" s="94">
        <v>600</v>
      </c>
      <c r="N888" s="83">
        <f>100</f>
        <v>100</v>
      </c>
      <c r="O888" s="86">
        <v>240</v>
      </c>
      <c r="P888" s="86">
        <v>40</v>
      </c>
      <c r="Q888" s="86">
        <f t="shared" si="140"/>
        <v>315</v>
      </c>
      <c r="R888" s="86">
        <f t="shared" si="141"/>
        <v>100</v>
      </c>
      <c r="S888" s="83">
        <f t="shared" si="142"/>
        <v>695</v>
      </c>
      <c r="T888" s="83">
        <f>50</f>
        <v>50</v>
      </c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</row>
    <row r="889" spans="1:30" ht="15.75" x14ac:dyDescent="0.25">
      <c r="A889" s="32">
        <v>67996</v>
      </c>
      <c r="B889" s="95">
        <f t="shared" si="144"/>
        <v>28</v>
      </c>
      <c r="C889" s="83">
        <f>122.58</f>
        <v>122.58</v>
      </c>
      <c r="D889" s="83">
        <f>297.941</f>
        <v>297.94099999999997</v>
      </c>
      <c r="E889" s="92">
        <f>89.177</f>
        <v>89.177000000000007</v>
      </c>
      <c r="F889" s="83">
        <f>240.302-40-60-100</f>
        <v>40.301999999999992</v>
      </c>
      <c r="G889" s="86">
        <v>40</v>
      </c>
      <c r="H889" s="83">
        <f>60+100</f>
        <v>160</v>
      </c>
      <c r="I889" s="83">
        <f t="shared" si="147"/>
        <v>0</v>
      </c>
      <c r="J889" s="86">
        <v>100</v>
      </c>
      <c r="K889" s="86">
        <v>300</v>
      </c>
      <c r="L889" s="83">
        <f t="shared" si="139"/>
        <v>1150</v>
      </c>
      <c r="M889" s="94">
        <v>600</v>
      </c>
      <c r="N889" s="83">
        <f>100</f>
        <v>100</v>
      </c>
      <c r="O889" s="86">
        <v>240</v>
      </c>
      <c r="P889" s="86">
        <v>40</v>
      </c>
      <c r="Q889" s="86">
        <f t="shared" si="140"/>
        <v>315</v>
      </c>
      <c r="R889" s="86">
        <f t="shared" si="141"/>
        <v>100</v>
      </c>
      <c r="S889" s="83">
        <f t="shared" si="142"/>
        <v>695</v>
      </c>
      <c r="T889" s="83">
        <f>50</f>
        <v>50</v>
      </c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</row>
    <row r="890" spans="1:30" ht="15.75" x14ac:dyDescent="0.25">
      <c r="A890" s="32">
        <v>68027</v>
      </c>
      <c r="B890" s="95">
        <f t="shared" si="144"/>
        <v>31</v>
      </c>
      <c r="C890" s="83">
        <f>122.58</f>
        <v>122.58</v>
      </c>
      <c r="D890" s="83">
        <f>297.941</f>
        <v>297.94099999999997</v>
      </c>
      <c r="E890" s="92">
        <f>89.177</f>
        <v>89.177000000000007</v>
      </c>
      <c r="F890" s="83">
        <f>240.302-40-60-100</f>
        <v>40.301999999999992</v>
      </c>
      <c r="G890" s="86">
        <v>40</v>
      </c>
      <c r="H890" s="83">
        <f>60+100</f>
        <v>160</v>
      </c>
      <c r="I890" s="83">
        <f t="shared" si="147"/>
        <v>0</v>
      </c>
      <c r="J890" s="86">
        <v>100</v>
      </c>
      <c r="K890" s="86">
        <v>300</v>
      </c>
      <c r="L890" s="83">
        <f t="shared" si="139"/>
        <v>1150</v>
      </c>
      <c r="M890" s="94">
        <v>600</v>
      </c>
      <c r="N890" s="83">
        <f>100</f>
        <v>100</v>
      </c>
      <c r="O890" s="86">
        <v>240</v>
      </c>
      <c r="P890" s="86">
        <v>40</v>
      </c>
      <c r="Q890" s="86">
        <f t="shared" si="140"/>
        <v>315</v>
      </c>
      <c r="R890" s="86">
        <f t="shared" si="141"/>
        <v>100</v>
      </c>
      <c r="S890" s="83">
        <f t="shared" si="142"/>
        <v>695</v>
      </c>
      <c r="T890" s="83">
        <f>50</f>
        <v>50</v>
      </c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</row>
    <row r="891" spans="1:30" ht="15.75" x14ac:dyDescent="0.25">
      <c r="A891" s="32">
        <v>68057</v>
      </c>
      <c r="B891" s="95">
        <f t="shared" si="144"/>
        <v>30</v>
      </c>
      <c r="C891" s="83">
        <f>141.293</f>
        <v>141.29300000000001</v>
      </c>
      <c r="D891" s="83">
        <f>267.993</f>
        <v>267.99299999999999</v>
      </c>
      <c r="E891" s="92">
        <f>115.016</f>
        <v>115.01600000000001</v>
      </c>
      <c r="F891" s="83">
        <f>314.698-40-25-60-100</f>
        <v>89.697999999999979</v>
      </c>
      <c r="G891" s="86">
        <v>40</v>
      </c>
      <c r="H891" s="83">
        <f t="shared" ref="H891:H897" si="148">25+60+100</f>
        <v>185</v>
      </c>
      <c r="I891" s="83">
        <f t="shared" si="147"/>
        <v>0</v>
      </c>
      <c r="J891" s="86">
        <v>100</v>
      </c>
      <c r="K891" s="86">
        <v>300</v>
      </c>
      <c r="L891" s="83">
        <f t="shared" si="139"/>
        <v>1239</v>
      </c>
      <c r="M891" s="94">
        <v>600</v>
      </c>
      <c r="N891" s="83">
        <f>100</f>
        <v>100</v>
      </c>
      <c r="O891" s="86">
        <v>240</v>
      </c>
      <c r="P891" s="86">
        <v>40</v>
      </c>
      <c r="Q891" s="86">
        <f t="shared" si="140"/>
        <v>315</v>
      </c>
      <c r="R891" s="86">
        <f t="shared" si="141"/>
        <v>100</v>
      </c>
      <c r="S891" s="83">
        <f t="shared" si="142"/>
        <v>695</v>
      </c>
      <c r="T891" s="83">
        <f>50</f>
        <v>50</v>
      </c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</row>
    <row r="892" spans="1:30" ht="15.75" x14ac:dyDescent="0.25">
      <c r="A892" s="32">
        <v>68088</v>
      </c>
      <c r="B892" s="95">
        <f t="shared" si="144"/>
        <v>31</v>
      </c>
      <c r="C892" s="83">
        <f>194.205</f>
        <v>194.20500000000001</v>
      </c>
      <c r="D892" s="83">
        <f>267.466</f>
        <v>267.46600000000001</v>
      </c>
      <c r="E892" s="92">
        <f>133.845</f>
        <v>133.845</v>
      </c>
      <c r="F892" s="83">
        <f>278.484-40-25-60-100</f>
        <v>53.48399999999998</v>
      </c>
      <c r="G892" s="86">
        <v>40</v>
      </c>
      <c r="H892" s="83">
        <f t="shared" si="148"/>
        <v>185</v>
      </c>
      <c r="I892" s="83">
        <f t="shared" si="147"/>
        <v>0</v>
      </c>
      <c r="J892" s="86">
        <v>100</v>
      </c>
      <c r="K892" s="86">
        <v>300</v>
      </c>
      <c r="L892" s="83">
        <f t="shared" si="139"/>
        <v>1274</v>
      </c>
      <c r="M892" s="94">
        <v>600</v>
      </c>
      <c r="N892" s="83">
        <f>75</f>
        <v>75</v>
      </c>
      <c r="O892" s="86">
        <v>240</v>
      </c>
      <c r="P892" s="86">
        <v>40</v>
      </c>
      <c r="Q892" s="86">
        <f t="shared" si="140"/>
        <v>315</v>
      </c>
      <c r="R892" s="86">
        <f t="shared" si="141"/>
        <v>100</v>
      </c>
      <c r="S892" s="83">
        <f t="shared" si="142"/>
        <v>695</v>
      </c>
      <c r="T892" s="83">
        <f>50</f>
        <v>50</v>
      </c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</row>
    <row r="893" spans="1:30" ht="15.75" x14ac:dyDescent="0.25">
      <c r="A893" s="32">
        <v>68118</v>
      </c>
      <c r="B893" s="95">
        <f t="shared" si="144"/>
        <v>30</v>
      </c>
      <c r="C893" s="83">
        <f>194.205</f>
        <v>194.20500000000001</v>
      </c>
      <c r="D893" s="83">
        <f>267.466</f>
        <v>267.46600000000001</v>
      </c>
      <c r="E893" s="92">
        <f>133.845</f>
        <v>133.845</v>
      </c>
      <c r="F893" s="83">
        <f>278.484-40-25-60-100</f>
        <v>53.48399999999998</v>
      </c>
      <c r="G893" s="86">
        <v>40</v>
      </c>
      <c r="H893" s="83">
        <f t="shared" si="148"/>
        <v>185</v>
      </c>
      <c r="I893" s="83">
        <f t="shared" si="147"/>
        <v>0</v>
      </c>
      <c r="J893" s="86">
        <v>100</v>
      </c>
      <c r="K893" s="86">
        <v>300</v>
      </c>
      <c r="L893" s="83">
        <f t="shared" si="139"/>
        <v>1274</v>
      </c>
      <c r="M893" s="94">
        <v>600</v>
      </c>
      <c r="N893" s="83">
        <f>30</f>
        <v>30</v>
      </c>
      <c r="O893" s="86">
        <v>240</v>
      </c>
      <c r="P893" s="86">
        <v>40</v>
      </c>
      <c r="Q893" s="86">
        <f t="shared" si="140"/>
        <v>315</v>
      </c>
      <c r="R893" s="86">
        <f t="shared" si="141"/>
        <v>100</v>
      </c>
      <c r="S893" s="83">
        <f t="shared" si="142"/>
        <v>695</v>
      </c>
      <c r="T893" s="83">
        <f>50</f>
        <v>50</v>
      </c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</row>
    <row r="894" spans="1:30" ht="15.75" x14ac:dyDescent="0.25">
      <c r="A894" s="32">
        <v>68149</v>
      </c>
      <c r="B894" s="95">
        <f t="shared" si="144"/>
        <v>31</v>
      </c>
      <c r="C894" s="83">
        <f>194.205</f>
        <v>194.20500000000001</v>
      </c>
      <c r="D894" s="83">
        <f>267.466</f>
        <v>267.46600000000001</v>
      </c>
      <c r="E894" s="92">
        <f>133.845</f>
        <v>133.845</v>
      </c>
      <c r="F894" s="83">
        <f>278.484-40-25-60-100</f>
        <v>53.48399999999998</v>
      </c>
      <c r="G894" s="86">
        <v>40</v>
      </c>
      <c r="H894" s="83">
        <f t="shared" si="148"/>
        <v>185</v>
      </c>
      <c r="I894" s="83">
        <f t="shared" si="147"/>
        <v>0</v>
      </c>
      <c r="J894" s="86">
        <v>100</v>
      </c>
      <c r="K894" s="86">
        <v>300</v>
      </c>
      <c r="L894" s="83">
        <f t="shared" si="139"/>
        <v>1274</v>
      </c>
      <c r="M894" s="94">
        <v>600</v>
      </c>
      <c r="N894" s="83">
        <f>30</f>
        <v>30</v>
      </c>
      <c r="O894" s="86">
        <v>240</v>
      </c>
      <c r="P894" s="86">
        <v>40</v>
      </c>
      <c r="Q894" s="86">
        <f t="shared" si="140"/>
        <v>315</v>
      </c>
      <c r="R894" s="86">
        <f t="shared" si="141"/>
        <v>100</v>
      </c>
      <c r="S894" s="83">
        <f t="shared" si="142"/>
        <v>695</v>
      </c>
      <c r="T894" s="83">
        <f>0</f>
        <v>0</v>
      </c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</row>
    <row r="895" spans="1:30" ht="15.75" x14ac:dyDescent="0.25">
      <c r="A895" s="32">
        <v>68180</v>
      </c>
      <c r="B895" s="95">
        <f t="shared" si="144"/>
        <v>31</v>
      </c>
      <c r="C895" s="83">
        <f>194.205</f>
        <v>194.20500000000001</v>
      </c>
      <c r="D895" s="83">
        <f>267.466</f>
        <v>267.46600000000001</v>
      </c>
      <c r="E895" s="92">
        <f>133.845</f>
        <v>133.845</v>
      </c>
      <c r="F895" s="83">
        <f>278.484-40-25-60-100</f>
        <v>53.48399999999998</v>
      </c>
      <c r="G895" s="86">
        <v>40</v>
      </c>
      <c r="H895" s="83">
        <f t="shared" si="148"/>
        <v>185</v>
      </c>
      <c r="I895" s="83">
        <f t="shared" si="147"/>
        <v>0</v>
      </c>
      <c r="J895" s="86">
        <v>100</v>
      </c>
      <c r="K895" s="86">
        <v>300</v>
      </c>
      <c r="L895" s="83">
        <f t="shared" si="139"/>
        <v>1274</v>
      </c>
      <c r="M895" s="94">
        <v>600</v>
      </c>
      <c r="N895" s="83">
        <f>30</f>
        <v>30</v>
      </c>
      <c r="O895" s="86">
        <v>240</v>
      </c>
      <c r="P895" s="86">
        <v>40</v>
      </c>
      <c r="Q895" s="86">
        <f t="shared" si="140"/>
        <v>315</v>
      </c>
      <c r="R895" s="86">
        <f t="shared" si="141"/>
        <v>100</v>
      </c>
      <c r="S895" s="83">
        <f t="shared" si="142"/>
        <v>695</v>
      </c>
      <c r="T895" s="83">
        <f>0</f>
        <v>0</v>
      </c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</row>
    <row r="896" spans="1:30" ht="15.75" x14ac:dyDescent="0.25">
      <c r="A896" s="32">
        <v>68210</v>
      </c>
      <c r="B896" s="95">
        <f t="shared" si="144"/>
        <v>30</v>
      </c>
      <c r="C896" s="83">
        <f>194.205</f>
        <v>194.20500000000001</v>
      </c>
      <c r="D896" s="83">
        <f>267.466</f>
        <v>267.46600000000001</v>
      </c>
      <c r="E896" s="92">
        <f>133.845</f>
        <v>133.845</v>
      </c>
      <c r="F896" s="83">
        <f>278.484-40-25-60-100</f>
        <v>53.48399999999998</v>
      </c>
      <c r="G896" s="86">
        <v>40</v>
      </c>
      <c r="H896" s="83">
        <f t="shared" si="148"/>
        <v>185</v>
      </c>
      <c r="I896" s="83">
        <f t="shared" si="147"/>
        <v>0</v>
      </c>
      <c r="J896" s="86">
        <v>100</v>
      </c>
      <c r="K896" s="86">
        <v>300</v>
      </c>
      <c r="L896" s="83">
        <f t="shared" si="139"/>
        <v>1274</v>
      </c>
      <c r="M896" s="94">
        <v>600</v>
      </c>
      <c r="N896" s="83">
        <f>30</f>
        <v>30</v>
      </c>
      <c r="O896" s="86">
        <v>240</v>
      </c>
      <c r="P896" s="86">
        <v>40</v>
      </c>
      <c r="Q896" s="86">
        <f t="shared" si="140"/>
        <v>315</v>
      </c>
      <c r="R896" s="86">
        <f t="shared" si="141"/>
        <v>100</v>
      </c>
      <c r="S896" s="83">
        <f t="shared" si="142"/>
        <v>695</v>
      </c>
      <c r="T896" s="83">
        <f>0</f>
        <v>0</v>
      </c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</row>
    <row r="897" spans="1:30" ht="15.75" x14ac:dyDescent="0.25">
      <c r="A897" s="32">
        <v>68241</v>
      </c>
      <c r="B897" s="95">
        <f t="shared" si="144"/>
        <v>31</v>
      </c>
      <c r="C897" s="83">
        <f>131.881</f>
        <v>131.881</v>
      </c>
      <c r="D897" s="83">
        <f>277.167</f>
        <v>277.16699999999997</v>
      </c>
      <c r="E897" s="92">
        <f>79.08</f>
        <v>79.08</v>
      </c>
      <c r="F897" s="83">
        <f>350.872-40-25-60-100</f>
        <v>125.87200000000001</v>
      </c>
      <c r="G897" s="86">
        <v>40</v>
      </c>
      <c r="H897" s="83">
        <f t="shared" si="148"/>
        <v>185</v>
      </c>
      <c r="I897" s="83">
        <f t="shared" si="147"/>
        <v>0</v>
      </c>
      <c r="J897" s="86">
        <v>100</v>
      </c>
      <c r="K897" s="86">
        <v>300</v>
      </c>
      <c r="L897" s="83">
        <f t="shared" si="139"/>
        <v>1239</v>
      </c>
      <c r="M897" s="94">
        <v>600</v>
      </c>
      <c r="N897" s="83">
        <f>75</f>
        <v>75</v>
      </c>
      <c r="O897" s="86">
        <v>240</v>
      </c>
      <c r="P897" s="86">
        <v>40</v>
      </c>
      <c r="Q897" s="86">
        <f t="shared" si="140"/>
        <v>315</v>
      </c>
      <c r="R897" s="86">
        <f t="shared" si="141"/>
        <v>100</v>
      </c>
      <c r="S897" s="83">
        <f t="shared" si="142"/>
        <v>695</v>
      </c>
      <c r="T897" s="83">
        <f>0</f>
        <v>0</v>
      </c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</row>
    <row r="898" spans="1:30" ht="15.75" x14ac:dyDescent="0.25">
      <c r="A898" s="32">
        <v>68271</v>
      </c>
      <c r="B898" s="95">
        <f t="shared" si="144"/>
        <v>30</v>
      </c>
      <c r="C898" s="83">
        <f>122.58</f>
        <v>122.58</v>
      </c>
      <c r="D898" s="83">
        <f>297.941</f>
        <v>297.94099999999997</v>
      </c>
      <c r="E898" s="92">
        <f>89.177</f>
        <v>89.177000000000007</v>
      </c>
      <c r="F898" s="83">
        <f>240.302-40-60-100</f>
        <v>40.301999999999992</v>
      </c>
      <c r="G898" s="86">
        <v>40</v>
      </c>
      <c r="H898" s="83">
        <f>60+100</f>
        <v>160</v>
      </c>
      <c r="I898" s="83">
        <f t="shared" si="147"/>
        <v>0</v>
      </c>
      <c r="J898" s="86">
        <v>100</v>
      </c>
      <c r="K898" s="86">
        <v>300</v>
      </c>
      <c r="L898" s="83">
        <f t="shared" si="139"/>
        <v>1150</v>
      </c>
      <c r="M898" s="94">
        <v>600</v>
      </c>
      <c r="N898" s="83">
        <f>100</f>
        <v>100</v>
      </c>
      <c r="O898" s="86">
        <v>240</v>
      </c>
      <c r="P898" s="86">
        <v>40</v>
      </c>
      <c r="Q898" s="86">
        <f t="shared" si="140"/>
        <v>315</v>
      </c>
      <c r="R898" s="86">
        <f t="shared" si="141"/>
        <v>100</v>
      </c>
      <c r="S898" s="83">
        <f t="shared" si="142"/>
        <v>695</v>
      </c>
      <c r="T898" s="83">
        <f>50</f>
        <v>50</v>
      </c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</row>
    <row r="899" spans="1:30" ht="15.75" x14ac:dyDescent="0.25">
      <c r="A899" s="32">
        <v>68302</v>
      </c>
      <c r="B899" s="95">
        <f t="shared" si="144"/>
        <v>31</v>
      </c>
      <c r="C899" s="83">
        <f>122.58</f>
        <v>122.58</v>
      </c>
      <c r="D899" s="83">
        <f>297.941</f>
        <v>297.94099999999997</v>
      </c>
      <c r="E899" s="92">
        <f>89.177</f>
        <v>89.177000000000007</v>
      </c>
      <c r="F899" s="83">
        <f>240.302-40-60-100</f>
        <v>40.301999999999992</v>
      </c>
      <c r="G899" s="86">
        <v>40</v>
      </c>
      <c r="H899" s="83">
        <f>60+100</f>
        <v>160</v>
      </c>
      <c r="I899" s="83">
        <f t="shared" si="147"/>
        <v>0</v>
      </c>
      <c r="J899" s="86">
        <v>100</v>
      </c>
      <c r="K899" s="86">
        <v>300</v>
      </c>
      <c r="L899" s="83">
        <f t="shared" si="139"/>
        <v>1150</v>
      </c>
      <c r="M899" s="94">
        <v>600</v>
      </c>
      <c r="N899" s="83">
        <f>100</f>
        <v>100</v>
      </c>
      <c r="O899" s="86">
        <v>240</v>
      </c>
      <c r="P899" s="86">
        <v>40</v>
      </c>
      <c r="Q899" s="86">
        <f t="shared" si="140"/>
        <v>315</v>
      </c>
      <c r="R899" s="86">
        <f t="shared" si="141"/>
        <v>100</v>
      </c>
      <c r="S899" s="83">
        <f t="shared" si="142"/>
        <v>695</v>
      </c>
      <c r="T899" s="83">
        <f>50</f>
        <v>50</v>
      </c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</row>
    <row r="900" spans="1:30" ht="15.75" x14ac:dyDescent="0.25">
      <c r="A900" s="32">
        <v>68333</v>
      </c>
      <c r="B900" s="95">
        <f t="shared" si="144"/>
        <v>31</v>
      </c>
      <c r="C900" s="83">
        <f>122.58</f>
        <v>122.58</v>
      </c>
      <c r="D900" s="83">
        <f>297.941</f>
        <v>297.94099999999997</v>
      </c>
      <c r="E900" s="92">
        <f>89.177</f>
        <v>89.177000000000007</v>
      </c>
      <c r="F900" s="83">
        <f>240.302-40-60-100</f>
        <v>40.301999999999992</v>
      </c>
      <c r="G900" s="86">
        <v>40</v>
      </c>
      <c r="H900" s="83">
        <f>60+100</f>
        <v>160</v>
      </c>
      <c r="I900" s="83">
        <f t="shared" si="147"/>
        <v>0</v>
      </c>
      <c r="J900" s="86">
        <v>100</v>
      </c>
      <c r="K900" s="86">
        <v>300</v>
      </c>
      <c r="L900" s="83">
        <f t="shared" si="139"/>
        <v>1150</v>
      </c>
      <c r="M900" s="94">
        <v>600</v>
      </c>
      <c r="N900" s="83">
        <f>100</f>
        <v>100</v>
      </c>
      <c r="O900" s="86">
        <v>240</v>
      </c>
      <c r="P900" s="86">
        <v>40</v>
      </c>
      <c r="Q900" s="86">
        <f t="shared" si="140"/>
        <v>315</v>
      </c>
      <c r="R900" s="86">
        <f t="shared" si="141"/>
        <v>100</v>
      </c>
      <c r="S900" s="83">
        <f t="shared" si="142"/>
        <v>695</v>
      </c>
      <c r="T900" s="83">
        <f>50</f>
        <v>50</v>
      </c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</row>
    <row r="901" spans="1:30" ht="15.75" x14ac:dyDescent="0.25">
      <c r="A901" s="32">
        <v>68361</v>
      </c>
      <c r="B901" s="95">
        <f t="shared" si="144"/>
        <v>28</v>
      </c>
      <c r="C901" s="83">
        <f>122.58</f>
        <v>122.58</v>
      </c>
      <c r="D901" s="83">
        <f>297.941</f>
        <v>297.94099999999997</v>
      </c>
      <c r="E901" s="92">
        <f>89.177</f>
        <v>89.177000000000007</v>
      </c>
      <c r="F901" s="83">
        <f>240.302-40-60-100</f>
        <v>40.301999999999992</v>
      </c>
      <c r="G901" s="86">
        <v>40</v>
      </c>
      <c r="H901" s="83">
        <f>60+100</f>
        <v>160</v>
      </c>
      <c r="I901" s="83">
        <f t="shared" si="147"/>
        <v>0</v>
      </c>
      <c r="J901" s="86">
        <v>100</v>
      </c>
      <c r="K901" s="86">
        <v>300</v>
      </c>
      <c r="L901" s="83">
        <f t="shared" si="139"/>
        <v>1150</v>
      </c>
      <c r="M901" s="94">
        <v>600</v>
      </c>
      <c r="N901" s="83">
        <f>100</f>
        <v>100</v>
      </c>
      <c r="O901" s="86">
        <v>240</v>
      </c>
      <c r="P901" s="86">
        <v>40</v>
      </c>
      <c r="Q901" s="86">
        <f t="shared" si="140"/>
        <v>315</v>
      </c>
      <c r="R901" s="86">
        <f t="shared" si="141"/>
        <v>100</v>
      </c>
      <c r="S901" s="83">
        <f t="shared" si="142"/>
        <v>695</v>
      </c>
      <c r="T901" s="83">
        <f>50</f>
        <v>50</v>
      </c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</row>
    <row r="902" spans="1:30" ht="15.75" x14ac:dyDescent="0.25">
      <c r="A902" s="32">
        <v>68392</v>
      </c>
      <c r="B902" s="95">
        <f t="shared" si="144"/>
        <v>31</v>
      </c>
      <c r="C902" s="83">
        <f>122.58</f>
        <v>122.58</v>
      </c>
      <c r="D902" s="83">
        <f>297.941</f>
        <v>297.94099999999997</v>
      </c>
      <c r="E902" s="92">
        <f>89.177</f>
        <v>89.177000000000007</v>
      </c>
      <c r="F902" s="83">
        <f>240.302-40-60-100</f>
        <v>40.301999999999992</v>
      </c>
      <c r="G902" s="86">
        <v>40</v>
      </c>
      <c r="H902" s="83">
        <f>60+100</f>
        <v>160</v>
      </c>
      <c r="I902" s="83">
        <f t="shared" si="147"/>
        <v>0</v>
      </c>
      <c r="J902" s="86">
        <v>100</v>
      </c>
      <c r="K902" s="86">
        <v>300</v>
      </c>
      <c r="L902" s="83">
        <f t="shared" si="139"/>
        <v>1150</v>
      </c>
      <c r="M902" s="94">
        <v>600</v>
      </c>
      <c r="N902" s="83">
        <f>100</f>
        <v>100</v>
      </c>
      <c r="O902" s="86">
        <v>240</v>
      </c>
      <c r="P902" s="86">
        <v>40</v>
      </c>
      <c r="Q902" s="86">
        <f t="shared" si="140"/>
        <v>315</v>
      </c>
      <c r="R902" s="86">
        <f t="shared" si="141"/>
        <v>100</v>
      </c>
      <c r="S902" s="83">
        <f t="shared" si="142"/>
        <v>695</v>
      </c>
      <c r="T902" s="83">
        <f>50</f>
        <v>50</v>
      </c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</row>
    <row r="903" spans="1:30" ht="15.75" x14ac:dyDescent="0.25">
      <c r="A903" s="32">
        <v>68422</v>
      </c>
      <c r="B903" s="95">
        <f t="shared" si="144"/>
        <v>30</v>
      </c>
      <c r="C903" s="83">
        <f>141.293</f>
        <v>141.29300000000001</v>
      </c>
      <c r="D903" s="83">
        <f>267.993</f>
        <v>267.99299999999999</v>
      </c>
      <c r="E903" s="92">
        <f>115.016</f>
        <v>115.01600000000001</v>
      </c>
      <c r="F903" s="83">
        <f>314.698-40-25-60-100</f>
        <v>89.697999999999979</v>
      </c>
      <c r="G903" s="86">
        <v>40</v>
      </c>
      <c r="H903" s="83">
        <f t="shared" ref="H903:H909" si="149">25+60+100</f>
        <v>185</v>
      </c>
      <c r="I903" s="83">
        <f t="shared" si="147"/>
        <v>0</v>
      </c>
      <c r="J903" s="86">
        <v>100</v>
      </c>
      <c r="K903" s="86">
        <v>300</v>
      </c>
      <c r="L903" s="83">
        <f t="shared" si="139"/>
        <v>1239</v>
      </c>
      <c r="M903" s="94">
        <v>600</v>
      </c>
      <c r="N903" s="83">
        <f>100</f>
        <v>100</v>
      </c>
      <c r="O903" s="86">
        <v>240</v>
      </c>
      <c r="P903" s="86">
        <v>40</v>
      </c>
      <c r="Q903" s="86">
        <f t="shared" si="140"/>
        <v>315</v>
      </c>
      <c r="R903" s="86">
        <f t="shared" si="141"/>
        <v>100</v>
      </c>
      <c r="S903" s="83">
        <f t="shared" si="142"/>
        <v>695</v>
      </c>
      <c r="T903" s="83">
        <f>50</f>
        <v>50</v>
      </c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</row>
    <row r="904" spans="1:30" ht="15.75" x14ac:dyDescent="0.25">
      <c r="A904" s="32">
        <v>68453</v>
      </c>
      <c r="B904" s="95">
        <f t="shared" si="144"/>
        <v>31</v>
      </c>
      <c r="C904" s="83">
        <f>194.205</f>
        <v>194.20500000000001</v>
      </c>
      <c r="D904" s="83">
        <f>267.466</f>
        <v>267.46600000000001</v>
      </c>
      <c r="E904" s="92">
        <f>133.845</f>
        <v>133.845</v>
      </c>
      <c r="F904" s="83">
        <f>278.484-40-25-60-100</f>
        <v>53.48399999999998</v>
      </c>
      <c r="G904" s="86">
        <v>40</v>
      </c>
      <c r="H904" s="83">
        <f t="shared" si="149"/>
        <v>185</v>
      </c>
      <c r="I904" s="83">
        <f t="shared" si="147"/>
        <v>0</v>
      </c>
      <c r="J904" s="86">
        <v>100</v>
      </c>
      <c r="K904" s="86">
        <v>300</v>
      </c>
      <c r="L904" s="83">
        <f t="shared" si="139"/>
        <v>1274</v>
      </c>
      <c r="M904" s="94">
        <v>600</v>
      </c>
      <c r="N904" s="83">
        <f>75</f>
        <v>75</v>
      </c>
      <c r="O904" s="86">
        <v>240</v>
      </c>
      <c r="P904" s="86">
        <v>40</v>
      </c>
      <c r="Q904" s="86">
        <f t="shared" si="140"/>
        <v>315</v>
      </c>
      <c r="R904" s="86">
        <f t="shared" si="141"/>
        <v>100</v>
      </c>
      <c r="S904" s="83">
        <f t="shared" si="142"/>
        <v>695</v>
      </c>
      <c r="T904" s="83">
        <f>50</f>
        <v>50</v>
      </c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</row>
    <row r="905" spans="1:30" ht="15.75" x14ac:dyDescent="0.25">
      <c r="A905" s="32">
        <v>68483</v>
      </c>
      <c r="B905" s="95">
        <f t="shared" si="144"/>
        <v>30</v>
      </c>
      <c r="C905" s="83">
        <f>194.205</f>
        <v>194.20500000000001</v>
      </c>
      <c r="D905" s="83">
        <f>267.466</f>
        <v>267.46600000000001</v>
      </c>
      <c r="E905" s="92">
        <f>133.845</f>
        <v>133.845</v>
      </c>
      <c r="F905" s="83">
        <f>278.484-40-25-60-100</f>
        <v>53.48399999999998</v>
      </c>
      <c r="G905" s="86">
        <v>40</v>
      </c>
      <c r="H905" s="83">
        <f t="shared" si="149"/>
        <v>185</v>
      </c>
      <c r="I905" s="83">
        <f t="shared" si="147"/>
        <v>0</v>
      </c>
      <c r="J905" s="86">
        <v>100</v>
      </c>
      <c r="K905" s="86">
        <v>300</v>
      </c>
      <c r="L905" s="83">
        <f t="shared" si="139"/>
        <v>1274</v>
      </c>
      <c r="M905" s="94">
        <v>600</v>
      </c>
      <c r="N905" s="83">
        <f>30</f>
        <v>30</v>
      </c>
      <c r="O905" s="86">
        <v>240</v>
      </c>
      <c r="P905" s="86">
        <v>40</v>
      </c>
      <c r="Q905" s="86">
        <f t="shared" si="140"/>
        <v>315</v>
      </c>
      <c r="R905" s="86">
        <f t="shared" si="141"/>
        <v>100</v>
      </c>
      <c r="S905" s="83">
        <f t="shared" si="142"/>
        <v>695</v>
      </c>
      <c r="T905" s="83">
        <f>50</f>
        <v>50</v>
      </c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</row>
    <row r="906" spans="1:30" ht="15.75" x14ac:dyDescent="0.25">
      <c r="A906" s="32">
        <v>68514</v>
      </c>
      <c r="B906" s="95">
        <f t="shared" si="144"/>
        <v>31</v>
      </c>
      <c r="C906" s="83">
        <f>194.205</f>
        <v>194.20500000000001</v>
      </c>
      <c r="D906" s="83">
        <f>267.466</f>
        <v>267.46600000000001</v>
      </c>
      <c r="E906" s="92">
        <f>133.845</f>
        <v>133.845</v>
      </c>
      <c r="F906" s="83">
        <f>278.484-40-25-60-100</f>
        <v>53.48399999999998</v>
      </c>
      <c r="G906" s="86">
        <v>40</v>
      </c>
      <c r="H906" s="83">
        <f t="shared" si="149"/>
        <v>185</v>
      </c>
      <c r="I906" s="83">
        <f t="shared" si="147"/>
        <v>0</v>
      </c>
      <c r="J906" s="86">
        <v>100</v>
      </c>
      <c r="K906" s="86">
        <v>300</v>
      </c>
      <c r="L906" s="83">
        <f t="shared" si="139"/>
        <v>1274</v>
      </c>
      <c r="M906" s="94">
        <v>600</v>
      </c>
      <c r="N906" s="83">
        <f>30</f>
        <v>30</v>
      </c>
      <c r="O906" s="86">
        <v>240</v>
      </c>
      <c r="P906" s="86">
        <v>40</v>
      </c>
      <c r="Q906" s="86">
        <f t="shared" si="140"/>
        <v>315</v>
      </c>
      <c r="R906" s="86">
        <f t="shared" si="141"/>
        <v>100</v>
      </c>
      <c r="S906" s="83">
        <f t="shared" si="142"/>
        <v>695</v>
      </c>
      <c r="T906" s="83">
        <f>0</f>
        <v>0</v>
      </c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</row>
    <row r="907" spans="1:30" ht="15.75" x14ac:dyDescent="0.25">
      <c r="A907" s="32">
        <v>68545</v>
      </c>
      <c r="B907" s="95">
        <f t="shared" si="144"/>
        <v>31</v>
      </c>
      <c r="C907" s="83">
        <f>194.205</f>
        <v>194.20500000000001</v>
      </c>
      <c r="D907" s="83">
        <f>267.466</f>
        <v>267.46600000000001</v>
      </c>
      <c r="E907" s="92">
        <f>133.845</f>
        <v>133.845</v>
      </c>
      <c r="F907" s="83">
        <f>278.484-40-25-60-100</f>
        <v>53.48399999999998</v>
      </c>
      <c r="G907" s="86">
        <v>40</v>
      </c>
      <c r="H907" s="83">
        <f t="shared" si="149"/>
        <v>185</v>
      </c>
      <c r="I907" s="83">
        <f t="shared" si="147"/>
        <v>0</v>
      </c>
      <c r="J907" s="86">
        <v>100</v>
      </c>
      <c r="K907" s="86">
        <v>300</v>
      </c>
      <c r="L907" s="83">
        <f t="shared" si="139"/>
        <v>1274</v>
      </c>
      <c r="M907" s="94">
        <v>600</v>
      </c>
      <c r="N907" s="83">
        <f>30</f>
        <v>30</v>
      </c>
      <c r="O907" s="86">
        <v>240</v>
      </c>
      <c r="P907" s="86">
        <v>40</v>
      </c>
      <c r="Q907" s="86">
        <f t="shared" si="140"/>
        <v>315</v>
      </c>
      <c r="R907" s="86">
        <f t="shared" si="141"/>
        <v>100</v>
      </c>
      <c r="S907" s="83">
        <f t="shared" si="142"/>
        <v>695</v>
      </c>
      <c r="T907" s="83">
        <f>0</f>
        <v>0</v>
      </c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</row>
    <row r="908" spans="1:30" ht="15.75" x14ac:dyDescent="0.25">
      <c r="A908" s="32">
        <v>68575</v>
      </c>
      <c r="B908" s="95">
        <f t="shared" si="144"/>
        <v>30</v>
      </c>
      <c r="C908" s="83">
        <f>194.205</f>
        <v>194.20500000000001</v>
      </c>
      <c r="D908" s="83">
        <f>267.466</f>
        <v>267.46600000000001</v>
      </c>
      <c r="E908" s="92">
        <f>133.845</f>
        <v>133.845</v>
      </c>
      <c r="F908" s="83">
        <f>278.484-40-25-60-100</f>
        <v>53.48399999999998</v>
      </c>
      <c r="G908" s="86">
        <v>40</v>
      </c>
      <c r="H908" s="83">
        <f t="shared" si="149"/>
        <v>185</v>
      </c>
      <c r="I908" s="83">
        <f t="shared" si="147"/>
        <v>0</v>
      </c>
      <c r="J908" s="86">
        <v>100</v>
      </c>
      <c r="K908" s="86">
        <v>300</v>
      </c>
      <c r="L908" s="83">
        <f t="shared" si="139"/>
        <v>1274</v>
      </c>
      <c r="M908" s="94">
        <v>600</v>
      </c>
      <c r="N908" s="83">
        <f>30</f>
        <v>30</v>
      </c>
      <c r="O908" s="86">
        <v>240</v>
      </c>
      <c r="P908" s="86">
        <v>40</v>
      </c>
      <c r="Q908" s="86">
        <f t="shared" si="140"/>
        <v>315</v>
      </c>
      <c r="R908" s="86">
        <f t="shared" si="141"/>
        <v>100</v>
      </c>
      <c r="S908" s="83">
        <f t="shared" si="142"/>
        <v>695</v>
      </c>
      <c r="T908" s="83">
        <f>0</f>
        <v>0</v>
      </c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</row>
    <row r="909" spans="1:30" ht="15.75" x14ac:dyDescent="0.25">
      <c r="A909" s="32">
        <v>68606</v>
      </c>
      <c r="B909" s="95">
        <f t="shared" si="144"/>
        <v>31</v>
      </c>
      <c r="C909" s="83">
        <f>131.881</f>
        <v>131.881</v>
      </c>
      <c r="D909" s="83">
        <f>277.167</f>
        <v>277.16699999999997</v>
      </c>
      <c r="E909" s="92">
        <f>79.08</f>
        <v>79.08</v>
      </c>
      <c r="F909" s="83">
        <f>350.872-40-25-60-100</f>
        <v>125.87200000000001</v>
      </c>
      <c r="G909" s="86">
        <v>40</v>
      </c>
      <c r="H909" s="83">
        <f t="shared" si="149"/>
        <v>185</v>
      </c>
      <c r="I909" s="83">
        <f t="shared" si="147"/>
        <v>0</v>
      </c>
      <c r="J909" s="86">
        <v>100</v>
      </c>
      <c r="K909" s="86">
        <v>300</v>
      </c>
      <c r="L909" s="83">
        <f t="shared" si="139"/>
        <v>1239</v>
      </c>
      <c r="M909" s="94">
        <v>600</v>
      </c>
      <c r="N909" s="83">
        <f>75</f>
        <v>75</v>
      </c>
      <c r="O909" s="86">
        <v>240</v>
      </c>
      <c r="P909" s="86">
        <v>40</v>
      </c>
      <c r="Q909" s="86">
        <f t="shared" si="140"/>
        <v>315</v>
      </c>
      <c r="R909" s="86">
        <f t="shared" si="141"/>
        <v>100</v>
      </c>
      <c r="S909" s="83">
        <f t="shared" si="142"/>
        <v>695</v>
      </c>
      <c r="T909" s="83">
        <f>0</f>
        <v>0</v>
      </c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</row>
    <row r="910" spans="1:30" ht="15.75" x14ac:dyDescent="0.25">
      <c r="A910" s="32">
        <v>68636</v>
      </c>
      <c r="B910" s="95">
        <f t="shared" si="144"/>
        <v>30</v>
      </c>
      <c r="C910" s="83">
        <f>122.58</f>
        <v>122.58</v>
      </c>
      <c r="D910" s="83">
        <f>297.941</f>
        <v>297.94099999999997</v>
      </c>
      <c r="E910" s="92">
        <f>89.177</f>
        <v>89.177000000000007</v>
      </c>
      <c r="F910" s="83">
        <f>240.302-40-60-100</f>
        <v>40.301999999999992</v>
      </c>
      <c r="G910" s="86">
        <v>40</v>
      </c>
      <c r="H910" s="83">
        <f>60+100</f>
        <v>160</v>
      </c>
      <c r="I910" s="83">
        <f t="shared" si="147"/>
        <v>0</v>
      </c>
      <c r="J910" s="86">
        <v>100</v>
      </c>
      <c r="K910" s="86">
        <v>300</v>
      </c>
      <c r="L910" s="83">
        <f t="shared" si="139"/>
        <v>1150</v>
      </c>
      <c r="M910" s="94">
        <v>600</v>
      </c>
      <c r="N910" s="83">
        <f>100</f>
        <v>100</v>
      </c>
      <c r="O910" s="86">
        <v>240</v>
      </c>
      <c r="P910" s="86">
        <v>40</v>
      </c>
      <c r="Q910" s="86">
        <f t="shared" si="140"/>
        <v>315</v>
      </c>
      <c r="R910" s="86">
        <f t="shared" si="141"/>
        <v>100</v>
      </c>
      <c r="S910" s="83">
        <f t="shared" si="142"/>
        <v>695</v>
      </c>
      <c r="T910" s="83">
        <f>50</f>
        <v>50</v>
      </c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</row>
    <row r="911" spans="1:30" ht="15.75" x14ac:dyDescent="0.25">
      <c r="A911" s="32">
        <v>68667</v>
      </c>
      <c r="B911" s="95">
        <f t="shared" si="144"/>
        <v>31</v>
      </c>
      <c r="C911" s="83">
        <f>122.58</f>
        <v>122.58</v>
      </c>
      <c r="D911" s="83">
        <f>297.941</f>
        <v>297.94099999999997</v>
      </c>
      <c r="E911" s="92">
        <f>89.177</f>
        <v>89.177000000000007</v>
      </c>
      <c r="F911" s="83">
        <f>240.302-40-60-100</f>
        <v>40.301999999999992</v>
      </c>
      <c r="G911" s="86">
        <v>40</v>
      </c>
      <c r="H911" s="83">
        <f>60+100</f>
        <v>160</v>
      </c>
      <c r="I911" s="83">
        <f t="shared" si="147"/>
        <v>0</v>
      </c>
      <c r="J911" s="86">
        <v>100</v>
      </c>
      <c r="K911" s="86">
        <v>300</v>
      </c>
      <c r="L911" s="83">
        <f t="shared" si="139"/>
        <v>1150</v>
      </c>
      <c r="M911" s="94">
        <v>600</v>
      </c>
      <c r="N911" s="83">
        <f>100</f>
        <v>100</v>
      </c>
      <c r="O911" s="86">
        <v>240</v>
      </c>
      <c r="P911" s="86">
        <v>40</v>
      </c>
      <c r="Q911" s="86">
        <f t="shared" si="140"/>
        <v>315</v>
      </c>
      <c r="R911" s="86">
        <f t="shared" si="141"/>
        <v>100</v>
      </c>
      <c r="S911" s="83">
        <f t="shared" si="142"/>
        <v>695</v>
      </c>
      <c r="T911" s="83">
        <f>50</f>
        <v>50</v>
      </c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</row>
    <row r="912" spans="1:30" ht="15.75" x14ac:dyDescent="0.25">
      <c r="A912" s="32">
        <v>68698</v>
      </c>
      <c r="B912" s="95">
        <f t="shared" si="144"/>
        <v>31</v>
      </c>
      <c r="C912" s="83">
        <f>122.58</f>
        <v>122.58</v>
      </c>
      <c r="D912" s="83">
        <f>297.941</f>
        <v>297.94099999999997</v>
      </c>
      <c r="E912" s="92">
        <f>89.177</f>
        <v>89.177000000000007</v>
      </c>
      <c r="F912" s="83">
        <f>240.302-40-60-100</f>
        <v>40.301999999999992</v>
      </c>
      <c r="G912" s="86">
        <v>40</v>
      </c>
      <c r="H912" s="83">
        <f>60+100</f>
        <v>160</v>
      </c>
      <c r="I912" s="83">
        <f t="shared" si="147"/>
        <v>0</v>
      </c>
      <c r="J912" s="86">
        <v>100</v>
      </c>
      <c r="K912" s="86">
        <v>300</v>
      </c>
      <c r="L912" s="83">
        <f t="shared" si="139"/>
        <v>1150</v>
      </c>
      <c r="M912" s="94">
        <v>600</v>
      </c>
      <c r="N912" s="83">
        <f>100</f>
        <v>100</v>
      </c>
      <c r="O912" s="86">
        <v>240</v>
      </c>
      <c r="P912" s="86">
        <v>40</v>
      </c>
      <c r="Q912" s="86">
        <f t="shared" si="140"/>
        <v>315</v>
      </c>
      <c r="R912" s="86">
        <f t="shared" si="141"/>
        <v>100</v>
      </c>
      <c r="S912" s="83">
        <f t="shared" si="142"/>
        <v>695</v>
      </c>
      <c r="T912" s="83">
        <f>50</f>
        <v>50</v>
      </c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</row>
    <row r="913" spans="1:30" ht="15.75" x14ac:dyDescent="0.25">
      <c r="A913" s="32">
        <v>68727</v>
      </c>
      <c r="B913" s="95">
        <f t="shared" si="144"/>
        <v>29</v>
      </c>
      <c r="C913" s="83">
        <f>122.58</f>
        <v>122.58</v>
      </c>
      <c r="D913" s="83">
        <f>297.941</f>
        <v>297.94099999999997</v>
      </c>
      <c r="E913" s="92">
        <f>89.177</f>
        <v>89.177000000000007</v>
      </c>
      <c r="F913" s="83">
        <f>240.302-40-60-100</f>
        <v>40.301999999999992</v>
      </c>
      <c r="G913" s="86">
        <v>40</v>
      </c>
      <c r="H913" s="83">
        <f>60+100</f>
        <v>160</v>
      </c>
      <c r="I913" s="83">
        <f t="shared" si="147"/>
        <v>0</v>
      </c>
      <c r="J913" s="86">
        <v>100</v>
      </c>
      <c r="K913" s="86">
        <v>300</v>
      </c>
      <c r="L913" s="83">
        <f t="shared" si="139"/>
        <v>1150</v>
      </c>
      <c r="M913" s="94">
        <v>600</v>
      </c>
      <c r="N913" s="83">
        <f>100</f>
        <v>100</v>
      </c>
      <c r="O913" s="86">
        <v>240</v>
      </c>
      <c r="P913" s="86">
        <v>40</v>
      </c>
      <c r="Q913" s="86">
        <f t="shared" si="140"/>
        <v>315</v>
      </c>
      <c r="R913" s="86">
        <f t="shared" si="141"/>
        <v>100</v>
      </c>
      <c r="S913" s="83">
        <f t="shared" si="142"/>
        <v>695</v>
      </c>
      <c r="T913" s="83">
        <f>50</f>
        <v>50</v>
      </c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</row>
    <row r="914" spans="1:30" ht="15.75" x14ac:dyDescent="0.25">
      <c r="A914" s="32">
        <v>68758</v>
      </c>
      <c r="B914" s="95">
        <f t="shared" si="144"/>
        <v>31</v>
      </c>
      <c r="C914" s="83">
        <f>122.58</f>
        <v>122.58</v>
      </c>
      <c r="D914" s="83">
        <f>297.941</f>
        <v>297.94099999999997</v>
      </c>
      <c r="E914" s="92">
        <f>89.177</f>
        <v>89.177000000000007</v>
      </c>
      <c r="F914" s="83">
        <f>240.302-40-60-100</f>
        <v>40.301999999999992</v>
      </c>
      <c r="G914" s="86">
        <v>40</v>
      </c>
      <c r="H914" s="83">
        <f>60+100</f>
        <v>160</v>
      </c>
      <c r="I914" s="83">
        <f t="shared" si="147"/>
        <v>0</v>
      </c>
      <c r="J914" s="86">
        <v>100</v>
      </c>
      <c r="K914" s="86">
        <v>300</v>
      </c>
      <c r="L914" s="83">
        <f t="shared" si="139"/>
        <v>1150</v>
      </c>
      <c r="M914" s="94">
        <v>600</v>
      </c>
      <c r="N914" s="83">
        <f>100</f>
        <v>100</v>
      </c>
      <c r="O914" s="86">
        <v>240</v>
      </c>
      <c r="P914" s="86">
        <v>40</v>
      </c>
      <c r="Q914" s="86">
        <f t="shared" si="140"/>
        <v>315</v>
      </c>
      <c r="R914" s="86">
        <f t="shared" si="141"/>
        <v>100</v>
      </c>
      <c r="S914" s="83">
        <f t="shared" si="142"/>
        <v>695</v>
      </c>
      <c r="T914" s="83">
        <f>50</f>
        <v>50</v>
      </c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</row>
    <row r="915" spans="1:30" ht="15.75" x14ac:dyDescent="0.25">
      <c r="A915" s="32">
        <v>68788</v>
      </c>
      <c r="B915" s="95">
        <f t="shared" si="144"/>
        <v>30</v>
      </c>
      <c r="C915" s="83">
        <f>141.293</f>
        <v>141.29300000000001</v>
      </c>
      <c r="D915" s="83">
        <f>267.993</f>
        <v>267.99299999999999</v>
      </c>
      <c r="E915" s="92">
        <f>115.016</f>
        <v>115.01600000000001</v>
      </c>
      <c r="F915" s="83">
        <f>314.698-40-25-60-100</f>
        <v>89.697999999999979</v>
      </c>
      <c r="G915" s="86">
        <v>40</v>
      </c>
      <c r="H915" s="83">
        <f t="shared" ref="H915:H921" si="150">25+60+100</f>
        <v>185</v>
      </c>
      <c r="I915" s="83">
        <f t="shared" si="147"/>
        <v>0</v>
      </c>
      <c r="J915" s="86">
        <v>100</v>
      </c>
      <c r="K915" s="86">
        <v>300</v>
      </c>
      <c r="L915" s="83">
        <f t="shared" si="139"/>
        <v>1239</v>
      </c>
      <c r="M915" s="94">
        <v>600</v>
      </c>
      <c r="N915" s="83">
        <f>100</f>
        <v>100</v>
      </c>
      <c r="O915" s="86">
        <v>240</v>
      </c>
      <c r="P915" s="86">
        <v>40</v>
      </c>
      <c r="Q915" s="86">
        <f t="shared" si="140"/>
        <v>315</v>
      </c>
      <c r="R915" s="86">
        <f t="shared" si="141"/>
        <v>100</v>
      </c>
      <c r="S915" s="83">
        <f t="shared" si="142"/>
        <v>695</v>
      </c>
      <c r="T915" s="83">
        <f>50</f>
        <v>50</v>
      </c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</row>
    <row r="916" spans="1:30" ht="15.75" x14ac:dyDescent="0.25">
      <c r="A916" s="32">
        <v>68819</v>
      </c>
      <c r="B916" s="95">
        <f t="shared" si="144"/>
        <v>31</v>
      </c>
      <c r="C916" s="83">
        <f>194.205</f>
        <v>194.20500000000001</v>
      </c>
      <c r="D916" s="83">
        <f>267.466</f>
        <v>267.46600000000001</v>
      </c>
      <c r="E916" s="92">
        <f>133.845</f>
        <v>133.845</v>
      </c>
      <c r="F916" s="83">
        <f>278.484-40-25-60-100</f>
        <v>53.48399999999998</v>
      </c>
      <c r="G916" s="86">
        <v>40</v>
      </c>
      <c r="H916" s="83">
        <f t="shared" si="150"/>
        <v>185</v>
      </c>
      <c r="I916" s="83">
        <f t="shared" si="147"/>
        <v>0</v>
      </c>
      <c r="J916" s="86">
        <v>100</v>
      </c>
      <c r="K916" s="86">
        <v>300</v>
      </c>
      <c r="L916" s="83">
        <f t="shared" si="139"/>
        <v>1274</v>
      </c>
      <c r="M916" s="94">
        <v>600</v>
      </c>
      <c r="N916" s="83">
        <f>75</f>
        <v>75</v>
      </c>
      <c r="O916" s="86">
        <v>240</v>
      </c>
      <c r="P916" s="86">
        <v>40</v>
      </c>
      <c r="Q916" s="86">
        <f t="shared" si="140"/>
        <v>315</v>
      </c>
      <c r="R916" s="86">
        <f t="shared" si="141"/>
        <v>100</v>
      </c>
      <c r="S916" s="83">
        <f t="shared" si="142"/>
        <v>695</v>
      </c>
      <c r="T916" s="83">
        <f>50</f>
        <v>50</v>
      </c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</row>
    <row r="917" spans="1:30" ht="15.75" x14ac:dyDescent="0.25">
      <c r="A917" s="32">
        <v>68849</v>
      </c>
      <c r="B917" s="95">
        <f t="shared" si="144"/>
        <v>30</v>
      </c>
      <c r="C917" s="83">
        <f>194.205</f>
        <v>194.20500000000001</v>
      </c>
      <c r="D917" s="83">
        <f>267.466</f>
        <v>267.46600000000001</v>
      </c>
      <c r="E917" s="92">
        <f>133.845</f>
        <v>133.845</v>
      </c>
      <c r="F917" s="83">
        <f>278.484-40-25-60-100</f>
        <v>53.48399999999998</v>
      </c>
      <c r="G917" s="86">
        <v>40</v>
      </c>
      <c r="H917" s="83">
        <f t="shared" si="150"/>
        <v>185</v>
      </c>
      <c r="I917" s="83">
        <f t="shared" si="147"/>
        <v>0</v>
      </c>
      <c r="J917" s="86">
        <v>100</v>
      </c>
      <c r="K917" s="86">
        <v>300</v>
      </c>
      <c r="L917" s="83">
        <f t="shared" ref="L917:L980" si="151">SUM(C917:K917)</f>
        <v>1274</v>
      </c>
      <c r="M917" s="94">
        <v>600</v>
      </c>
      <c r="N917" s="83">
        <f>30</f>
        <v>30</v>
      </c>
      <c r="O917" s="86">
        <v>240</v>
      </c>
      <c r="P917" s="86">
        <v>40</v>
      </c>
      <c r="Q917" s="86">
        <f t="shared" ref="Q917:Q980" si="152">695-R917-O917-P917</f>
        <v>315</v>
      </c>
      <c r="R917" s="86">
        <f t="shared" ref="R917:R980" si="153">200-J917</f>
        <v>100</v>
      </c>
      <c r="S917" s="83">
        <f t="shared" ref="S917:S980" si="154">SUM(O917:R917)</f>
        <v>695</v>
      </c>
      <c r="T917" s="83">
        <f>50</f>
        <v>50</v>
      </c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</row>
    <row r="918" spans="1:30" ht="15.75" x14ac:dyDescent="0.25">
      <c r="A918" s="32">
        <v>68880</v>
      </c>
      <c r="B918" s="95">
        <f t="shared" si="144"/>
        <v>31</v>
      </c>
      <c r="C918" s="83">
        <f>194.205</f>
        <v>194.20500000000001</v>
      </c>
      <c r="D918" s="83">
        <f>267.466</f>
        <v>267.46600000000001</v>
      </c>
      <c r="E918" s="92">
        <f>133.845</f>
        <v>133.845</v>
      </c>
      <c r="F918" s="83">
        <f>278.484-40-25-60-100</f>
        <v>53.48399999999998</v>
      </c>
      <c r="G918" s="86">
        <v>40</v>
      </c>
      <c r="H918" s="83">
        <f t="shared" si="150"/>
        <v>185</v>
      </c>
      <c r="I918" s="83">
        <f t="shared" si="147"/>
        <v>0</v>
      </c>
      <c r="J918" s="86">
        <v>100</v>
      </c>
      <c r="K918" s="86">
        <v>300</v>
      </c>
      <c r="L918" s="83">
        <f t="shared" si="151"/>
        <v>1274</v>
      </c>
      <c r="M918" s="94">
        <v>600</v>
      </c>
      <c r="N918" s="83">
        <f>30</f>
        <v>30</v>
      </c>
      <c r="O918" s="86">
        <v>240</v>
      </c>
      <c r="P918" s="86">
        <v>40</v>
      </c>
      <c r="Q918" s="86">
        <f t="shared" si="152"/>
        <v>315</v>
      </c>
      <c r="R918" s="86">
        <f t="shared" si="153"/>
        <v>100</v>
      </c>
      <c r="S918" s="83">
        <f t="shared" si="154"/>
        <v>695</v>
      </c>
      <c r="T918" s="83">
        <f>0</f>
        <v>0</v>
      </c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</row>
    <row r="919" spans="1:30" ht="15.75" x14ac:dyDescent="0.25">
      <c r="A919" s="32">
        <v>68911</v>
      </c>
      <c r="B919" s="95">
        <f t="shared" si="144"/>
        <v>31</v>
      </c>
      <c r="C919" s="83">
        <f>194.205</f>
        <v>194.20500000000001</v>
      </c>
      <c r="D919" s="83">
        <f>267.466</f>
        <v>267.46600000000001</v>
      </c>
      <c r="E919" s="92">
        <f>133.845</f>
        <v>133.845</v>
      </c>
      <c r="F919" s="83">
        <f>278.484-40-25-60-100</f>
        <v>53.48399999999998</v>
      </c>
      <c r="G919" s="86">
        <v>40</v>
      </c>
      <c r="H919" s="83">
        <f t="shared" si="150"/>
        <v>185</v>
      </c>
      <c r="I919" s="83">
        <f t="shared" si="147"/>
        <v>0</v>
      </c>
      <c r="J919" s="86">
        <v>100</v>
      </c>
      <c r="K919" s="86">
        <v>300</v>
      </c>
      <c r="L919" s="83">
        <f t="shared" si="151"/>
        <v>1274</v>
      </c>
      <c r="M919" s="94">
        <v>600</v>
      </c>
      <c r="N919" s="83">
        <f>30</f>
        <v>30</v>
      </c>
      <c r="O919" s="86">
        <v>240</v>
      </c>
      <c r="P919" s="86">
        <v>40</v>
      </c>
      <c r="Q919" s="86">
        <f t="shared" si="152"/>
        <v>315</v>
      </c>
      <c r="R919" s="86">
        <f t="shared" si="153"/>
        <v>100</v>
      </c>
      <c r="S919" s="83">
        <f t="shared" si="154"/>
        <v>695</v>
      </c>
      <c r="T919" s="83">
        <f>0</f>
        <v>0</v>
      </c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</row>
    <row r="920" spans="1:30" ht="15.75" x14ac:dyDescent="0.25">
      <c r="A920" s="32">
        <v>68941</v>
      </c>
      <c r="B920" s="95">
        <f t="shared" ref="B920:B983" si="155">EOMONTH(A920,0)-EOMONTH(A920,-1)</f>
        <v>30</v>
      </c>
      <c r="C920" s="83">
        <f>194.205</f>
        <v>194.20500000000001</v>
      </c>
      <c r="D920" s="83">
        <f>267.466</f>
        <v>267.46600000000001</v>
      </c>
      <c r="E920" s="92">
        <f>133.845</f>
        <v>133.845</v>
      </c>
      <c r="F920" s="83">
        <f>278.484-40-25-60-100</f>
        <v>53.48399999999998</v>
      </c>
      <c r="G920" s="86">
        <v>40</v>
      </c>
      <c r="H920" s="83">
        <f t="shared" si="150"/>
        <v>185</v>
      </c>
      <c r="I920" s="83">
        <f t="shared" si="147"/>
        <v>0</v>
      </c>
      <c r="J920" s="86">
        <v>100</v>
      </c>
      <c r="K920" s="86">
        <v>300</v>
      </c>
      <c r="L920" s="83">
        <f t="shared" si="151"/>
        <v>1274</v>
      </c>
      <c r="M920" s="94">
        <v>600</v>
      </c>
      <c r="N920" s="83">
        <f>30</f>
        <v>30</v>
      </c>
      <c r="O920" s="86">
        <v>240</v>
      </c>
      <c r="P920" s="86">
        <v>40</v>
      </c>
      <c r="Q920" s="86">
        <f t="shared" si="152"/>
        <v>315</v>
      </c>
      <c r="R920" s="86">
        <f t="shared" si="153"/>
        <v>100</v>
      </c>
      <c r="S920" s="83">
        <f t="shared" si="154"/>
        <v>695</v>
      </c>
      <c r="T920" s="83">
        <f>0</f>
        <v>0</v>
      </c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</row>
    <row r="921" spans="1:30" ht="15.75" x14ac:dyDescent="0.25">
      <c r="A921" s="32">
        <v>68972</v>
      </c>
      <c r="B921" s="95">
        <f t="shared" si="155"/>
        <v>31</v>
      </c>
      <c r="C921" s="83">
        <f>131.881</f>
        <v>131.881</v>
      </c>
      <c r="D921" s="83">
        <f>277.167</f>
        <v>277.16699999999997</v>
      </c>
      <c r="E921" s="92">
        <f>79.08</f>
        <v>79.08</v>
      </c>
      <c r="F921" s="83">
        <f>350.872-40-25-60-100</f>
        <v>125.87200000000001</v>
      </c>
      <c r="G921" s="86">
        <v>40</v>
      </c>
      <c r="H921" s="83">
        <f t="shared" si="150"/>
        <v>185</v>
      </c>
      <c r="I921" s="83">
        <f t="shared" si="147"/>
        <v>0</v>
      </c>
      <c r="J921" s="86">
        <v>100</v>
      </c>
      <c r="K921" s="86">
        <v>300</v>
      </c>
      <c r="L921" s="83">
        <f t="shared" si="151"/>
        <v>1239</v>
      </c>
      <c r="M921" s="94">
        <v>600</v>
      </c>
      <c r="N921" s="83">
        <f>75</f>
        <v>75</v>
      </c>
      <c r="O921" s="86">
        <v>240</v>
      </c>
      <c r="P921" s="86">
        <v>40</v>
      </c>
      <c r="Q921" s="86">
        <f t="shared" si="152"/>
        <v>315</v>
      </c>
      <c r="R921" s="86">
        <f t="shared" si="153"/>
        <v>100</v>
      </c>
      <c r="S921" s="83">
        <f t="shared" si="154"/>
        <v>695</v>
      </c>
      <c r="T921" s="83">
        <f>0</f>
        <v>0</v>
      </c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</row>
    <row r="922" spans="1:30" ht="15.75" x14ac:dyDescent="0.25">
      <c r="A922" s="32">
        <v>69002</v>
      </c>
      <c r="B922" s="95">
        <f t="shared" si="155"/>
        <v>30</v>
      </c>
      <c r="C922" s="83">
        <f>122.58</f>
        <v>122.58</v>
      </c>
      <c r="D922" s="83">
        <f>297.941</f>
        <v>297.94099999999997</v>
      </c>
      <c r="E922" s="92">
        <f>89.177</f>
        <v>89.177000000000007</v>
      </c>
      <c r="F922" s="83">
        <f>240.302-40-60-100</f>
        <v>40.301999999999992</v>
      </c>
      <c r="G922" s="86">
        <v>40</v>
      </c>
      <c r="H922" s="83">
        <f>60+100</f>
        <v>160</v>
      </c>
      <c r="I922" s="83">
        <f t="shared" si="147"/>
        <v>0</v>
      </c>
      <c r="J922" s="86">
        <v>100</v>
      </c>
      <c r="K922" s="86">
        <v>300</v>
      </c>
      <c r="L922" s="83">
        <f t="shared" si="151"/>
        <v>1150</v>
      </c>
      <c r="M922" s="94">
        <v>600</v>
      </c>
      <c r="N922" s="83">
        <f>100</f>
        <v>100</v>
      </c>
      <c r="O922" s="86">
        <v>240</v>
      </c>
      <c r="P922" s="86">
        <v>40</v>
      </c>
      <c r="Q922" s="86">
        <f t="shared" si="152"/>
        <v>315</v>
      </c>
      <c r="R922" s="86">
        <f t="shared" si="153"/>
        <v>100</v>
      </c>
      <c r="S922" s="83">
        <f t="shared" si="154"/>
        <v>695</v>
      </c>
      <c r="T922" s="83">
        <f>50</f>
        <v>50</v>
      </c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</row>
    <row r="923" spans="1:30" ht="15.75" x14ac:dyDescent="0.25">
      <c r="A923" s="32">
        <v>69033</v>
      </c>
      <c r="B923" s="95">
        <f t="shared" si="155"/>
        <v>31</v>
      </c>
      <c r="C923" s="83">
        <f>122.58</f>
        <v>122.58</v>
      </c>
      <c r="D923" s="83">
        <f>297.941</f>
        <v>297.94099999999997</v>
      </c>
      <c r="E923" s="92">
        <f>89.177</f>
        <v>89.177000000000007</v>
      </c>
      <c r="F923" s="83">
        <f>240.302-40-60-100</f>
        <v>40.301999999999992</v>
      </c>
      <c r="G923" s="86">
        <v>40</v>
      </c>
      <c r="H923" s="83">
        <f>60+100</f>
        <v>160</v>
      </c>
      <c r="I923" s="83">
        <f t="shared" si="147"/>
        <v>0</v>
      </c>
      <c r="J923" s="86">
        <v>100</v>
      </c>
      <c r="K923" s="86">
        <v>300</v>
      </c>
      <c r="L923" s="83">
        <f t="shared" si="151"/>
        <v>1150</v>
      </c>
      <c r="M923" s="94">
        <v>600</v>
      </c>
      <c r="N923" s="83">
        <f>100</f>
        <v>100</v>
      </c>
      <c r="O923" s="86">
        <v>240</v>
      </c>
      <c r="P923" s="86">
        <v>40</v>
      </c>
      <c r="Q923" s="86">
        <f t="shared" si="152"/>
        <v>315</v>
      </c>
      <c r="R923" s="86">
        <f t="shared" si="153"/>
        <v>100</v>
      </c>
      <c r="S923" s="83">
        <f t="shared" si="154"/>
        <v>695</v>
      </c>
      <c r="T923" s="83">
        <f>50</f>
        <v>50</v>
      </c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</row>
    <row r="924" spans="1:30" ht="15.75" x14ac:dyDescent="0.25">
      <c r="A924" s="32">
        <v>69064</v>
      </c>
      <c r="B924" s="95">
        <f t="shared" si="155"/>
        <v>31</v>
      </c>
      <c r="C924" s="83">
        <f>122.58</f>
        <v>122.58</v>
      </c>
      <c r="D924" s="83">
        <f>297.941</f>
        <v>297.94099999999997</v>
      </c>
      <c r="E924" s="92">
        <f>89.177</f>
        <v>89.177000000000007</v>
      </c>
      <c r="F924" s="83">
        <f>240.302-40-60-100</f>
        <v>40.301999999999992</v>
      </c>
      <c r="G924" s="86">
        <v>40</v>
      </c>
      <c r="H924" s="83">
        <f>60+100</f>
        <v>160</v>
      </c>
      <c r="I924" s="83">
        <f t="shared" si="147"/>
        <v>0</v>
      </c>
      <c r="J924" s="86">
        <v>100</v>
      </c>
      <c r="K924" s="86">
        <v>300</v>
      </c>
      <c r="L924" s="83">
        <f t="shared" si="151"/>
        <v>1150</v>
      </c>
      <c r="M924" s="94">
        <v>600</v>
      </c>
      <c r="N924" s="83">
        <f>100</f>
        <v>100</v>
      </c>
      <c r="O924" s="86">
        <v>240</v>
      </c>
      <c r="P924" s="86">
        <v>40</v>
      </c>
      <c r="Q924" s="86">
        <f t="shared" si="152"/>
        <v>315</v>
      </c>
      <c r="R924" s="86">
        <f t="shared" si="153"/>
        <v>100</v>
      </c>
      <c r="S924" s="83">
        <f t="shared" si="154"/>
        <v>695</v>
      </c>
      <c r="T924" s="83">
        <f>50</f>
        <v>50</v>
      </c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</row>
    <row r="925" spans="1:30" ht="15.75" x14ac:dyDescent="0.25">
      <c r="A925" s="32">
        <v>69092</v>
      </c>
      <c r="B925" s="95">
        <f t="shared" si="155"/>
        <v>28</v>
      </c>
      <c r="C925" s="83">
        <f>122.58</f>
        <v>122.58</v>
      </c>
      <c r="D925" s="83">
        <f>297.941</f>
        <v>297.94099999999997</v>
      </c>
      <c r="E925" s="92">
        <f>89.177</f>
        <v>89.177000000000007</v>
      </c>
      <c r="F925" s="83">
        <f>240.302-40-60-100</f>
        <v>40.301999999999992</v>
      </c>
      <c r="G925" s="86">
        <v>40</v>
      </c>
      <c r="H925" s="83">
        <f>60+100</f>
        <v>160</v>
      </c>
      <c r="I925" s="83">
        <f t="shared" si="147"/>
        <v>0</v>
      </c>
      <c r="J925" s="86">
        <v>100</v>
      </c>
      <c r="K925" s="86">
        <v>300</v>
      </c>
      <c r="L925" s="83">
        <f t="shared" si="151"/>
        <v>1150</v>
      </c>
      <c r="M925" s="94">
        <v>600</v>
      </c>
      <c r="N925" s="83">
        <f>100</f>
        <v>100</v>
      </c>
      <c r="O925" s="86">
        <v>240</v>
      </c>
      <c r="P925" s="86">
        <v>40</v>
      </c>
      <c r="Q925" s="86">
        <f t="shared" si="152"/>
        <v>315</v>
      </c>
      <c r="R925" s="86">
        <f t="shared" si="153"/>
        <v>100</v>
      </c>
      <c r="S925" s="83">
        <f t="shared" si="154"/>
        <v>695</v>
      </c>
      <c r="T925" s="83">
        <f>50</f>
        <v>50</v>
      </c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</row>
    <row r="926" spans="1:30" ht="15.75" x14ac:dyDescent="0.25">
      <c r="A926" s="32">
        <v>69123</v>
      </c>
      <c r="B926" s="95">
        <f t="shared" si="155"/>
        <v>31</v>
      </c>
      <c r="C926" s="83">
        <f>122.58</f>
        <v>122.58</v>
      </c>
      <c r="D926" s="83">
        <f>297.941</f>
        <v>297.94099999999997</v>
      </c>
      <c r="E926" s="92">
        <f>89.177</f>
        <v>89.177000000000007</v>
      </c>
      <c r="F926" s="83">
        <f>240.302-40-60-100</f>
        <v>40.301999999999992</v>
      </c>
      <c r="G926" s="86">
        <v>40</v>
      </c>
      <c r="H926" s="83">
        <f>60+100</f>
        <v>160</v>
      </c>
      <c r="I926" s="83">
        <f t="shared" si="147"/>
        <v>0</v>
      </c>
      <c r="J926" s="86">
        <v>100</v>
      </c>
      <c r="K926" s="86">
        <v>300</v>
      </c>
      <c r="L926" s="83">
        <f t="shared" si="151"/>
        <v>1150</v>
      </c>
      <c r="M926" s="94">
        <v>600</v>
      </c>
      <c r="N926" s="83">
        <f>100</f>
        <v>100</v>
      </c>
      <c r="O926" s="86">
        <v>240</v>
      </c>
      <c r="P926" s="86">
        <v>40</v>
      </c>
      <c r="Q926" s="86">
        <f t="shared" si="152"/>
        <v>315</v>
      </c>
      <c r="R926" s="86">
        <f t="shared" si="153"/>
        <v>100</v>
      </c>
      <c r="S926" s="83">
        <f t="shared" si="154"/>
        <v>695</v>
      </c>
      <c r="T926" s="83">
        <f>50</f>
        <v>50</v>
      </c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</row>
    <row r="927" spans="1:30" ht="15.75" x14ac:dyDescent="0.25">
      <c r="A927" s="32">
        <v>69153</v>
      </c>
      <c r="B927" s="95">
        <f t="shared" si="155"/>
        <v>30</v>
      </c>
      <c r="C927" s="83">
        <f>141.293</f>
        <v>141.29300000000001</v>
      </c>
      <c r="D927" s="83">
        <f>267.993</f>
        <v>267.99299999999999</v>
      </c>
      <c r="E927" s="92">
        <f>115.016</f>
        <v>115.01600000000001</v>
      </c>
      <c r="F927" s="83">
        <f>314.698-40-25-60-100</f>
        <v>89.697999999999979</v>
      </c>
      <c r="G927" s="86">
        <v>40</v>
      </c>
      <c r="H927" s="83">
        <f t="shared" ref="H927:H933" si="156">25+60+100</f>
        <v>185</v>
      </c>
      <c r="I927" s="83">
        <f t="shared" si="147"/>
        <v>0</v>
      </c>
      <c r="J927" s="86">
        <v>100</v>
      </c>
      <c r="K927" s="86">
        <v>300</v>
      </c>
      <c r="L927" s="83">
        <f t="shared" si="151"/>
        <v>1239</v>
      </c>
      <c r="M927" s="94">
        <v>600</v>
      </c>
      <c r="N927" s="83">
        <f>100</f>
        <v>100</v>
      </c>
      <c r="O927" s="86">
        <v>240</v>
      </c>
      <c r="P927" s="86">
        <v>40</v>
      </c>
      <c r="Q927" s="86">
        <f t="shared" si="152"/>
        <v>315</v>
      </c>
      <c r="R927" s="86">
        <f t="shared" si="153"/>
        <v>100</v>
      </c>
      <c r="S927" s="83">
        <f t="shared" si="154"/>
        <v>695</v>
      </c>
      <c r="T927" s="83">
        <f>50</f>
        <v>50</v>
      </c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</row>
    <row r="928" spans="1:30" ht="15.75" x14ac:dyDescent="0.25">
      <c r="A928" s="32">
        <v>69184</v>
      </c>
      <c r="B928" s="95">
        <f t="shared" si="155"/>
        <v>31</v>
      </c>
      <c r="C928" s="83">
        <f>194.205</f>
        <v>194.20500000000001</v>
      </c>
      <c r="D928" s="83">
        <f>267.466</f>
        <v>267.46600000000001</v>
      </c>
      <c r="E928" s="92">
        <f>133.845</f>
        <v>133.845</v>
      </c>
      <c r="F928" s="83">
        <f>278.484-40-25-60-100</f>
        <v>53.48399999999998</v>
      </c>
      <c r="G928" s="86">
        <v>40</v>
      </c>
      <c r="H928" s="83">
        <f t="shared" si="156"/>
        <v>185</v>
      </c>
      <c r="I928" s="83">
        <f t="shared" si="147"/>
        <v>0</v>
      </c>
      <c r="J928" s="86">
        <v>100</v>
      </c>
      <c r="K928" s="86">
        <v>300</v>
      </c>
      <c r="L928" s="83">
        <f t="shared" si="151"/>
        <v>1274</v>
      </c>
      <c r="M928" s="94">
        <v>600</v>
      </c>
      <c r="N928" s="83">
        <f>75</f>
        <v>75</v>
      </c>
      <c r="O928" s="86">
        <v>240</v>
      </c>
      <c r="P928" s="86">
        <v>40</v>
      </c>
      <c r="Q928" s="86">
        <f t="shared" si="152"/>
        <v>315</v>
      </c>
      <c r="R928" s="86">
        <f t="shared" si="153"/>
        <v>100</v>
      </c>
      <c r="S928" s="83">
        <f t="shared" si="154"/>
        <v>695</v>
      </c>
      <c r="T928" s="83">
        <f>50</f>
        <v>50</v>
      </c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</row>
    <row r="929" spans="1:30" ht="15.75" x14ac:dyDescent="0.25">
      <c r="A929" s="32">
        <v>69214</v>
      </c>
      <c r="B929" s="95">
        <f t="shared" si="155"/>
        <v>30</v>
      </c>
      <c r="C929" s="83">
        <f>194.205</f>
        <v>194.20500000000001</v>
      </c>
      <c r="D929" s="83">
        <f>267.466</f>
        <v>267.46600000000001</v>
      </c>
      <c r="E929" s="92">
        <f>133.845</f>
        <v>133.845</v>
      </c>
      <c r="F929" s="83">
        <f>278.484-40-25-60-100</f>
        <v>53.48399999999998</v>
      </c>
      <c r="G929" s="86">
        <v>40</v>
      </c>
      <c r="H929" s="83">
        <f t="shared" si="156"/>
        <v>185</v>
      </c>
      <c r="I929" s="83">
        <f t="shared" si="147"/>
        <v>0</v>
      </c>
      <c r="J929" s="86">
        <v>100</v>
      </c>
      <c r="K929" s="86">
        <v>300</v>
      </c>
      <c r="L929" s="83">
        <f t="shared" si="151"/>
        <v>1274</v>
      </c>
      <c r="M929" s="94">
        <v>600</v>
      </c>
      <c r="N929" s="83">
        <f>30</f>
        <v>30</v>
      </c>
      <c r="O929" s="86">
        <v>240</v>
      </c>
      <c r="P929" s="86">
        <v>40</v>
      </c>
      <c r="Q929" s="86">
        <f t="shared" si="152"/>
        <v>315</v>
      </c>
      <c r="R929" s="86">
        <f t="shared" si="153"/>
        <v>100</v>
      </c>
      <c r="S929" s="83">
        <f t="shared" si="154"/>
        <v>695</v>
      </c>
      <c r="T929" s="83">
        <f>50</f>
        <v>50</v>
      </c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</row>
    <row r="930" spans="1:30" ht="15.75" x14ac:dyDescent="0.25">
      <c r="A930" s="32">
        <v>69245</v>
      </c>
      <c r="B930" s="95">
        <f t="shared" si="155"/>
        <v>31</v>
      </c>
      <c r="C930" s="83">
        <f>194.205</f>
        <v>194.20500000000001</v>
      </c>
      <c r="D930" s="83">
        <f>267.466</f>
        <v>267.46600000000001</v>
      </c>
      <c r="E930" s="92">
        <f>133.845</f>
        <v>133.845</v>
      </c>
      <c r="F930" s="83">
        <f>278.484-40-25-60-100</f>
        <v>53.48399999999998</v>
      </c>
      <c r="G930" s="86">
        <v>40</v>
      </c>
      <c r="H930" s="83">
        <f t="shared" si="156"/>
        <v>185</v>
      </c>
      <c r="I930" s="83">
        <f t="shared" si="147"/>
        <v>0</v>
      </c>
      <c r="J930" s="86">
        <v>100</v>
      </c>
      <c r="K930" s="86">
        <v>300</v>
      </c>
      <c r="L930" s="83">
        <f t="shared" si="151"/>
        <v>1274</v>
      </c>
      <c r="M930" s="94">
        <v>600</v>
      </c>
      <c r="N930" s="83">
        <f>30</f>
        <v>30</v>
      </c>
      <c r="O930" s="86">
        <v>240</v>
      </c>
      <c r="P930" s="86">
        <v>40</v>
      </c>
      <c r="Q930" s="86">
        <f t="shared" si="152"/>
        <v>315</v>
      </c>
      <c r="R930" s="86">
        <f t="shared" si="153"/>
        <v>100</v>
      </c>
      <c r="S930" s="83">
        <f t="shared" si="154"/>
        <v>695</v>
      </c>
      <c r="T930" s="83">
        <f>0</f>
        <v>0</v>
      </c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</row>
    <row r="931" spans="1:30" ht="15.75" x14ac:dyDescent="0.25">
      <c r="A931" s="32">
        <v>69276</v>
      </c>
      <c r="B931" s="95">
        <f t="shared" si="155"/>
        <v>31</v>
      </c>
      <c r="C931" s="83">
        <f>194.205</f>
        <v>194.20500000000001</v>
      </c>
      <c r="D931" s="83">
        <f>267.466</f>
        <v>267.46600000000001</v>
      </c>
      <c r="E931" s="92">
        <f>133.845</f>
        <v>133.845</v>
      </c>
      <c r="F931" s="83">
        <f>278.484-40-25-60-100</f>
        <v>53.48399999999998</v>
      </c>
      <c r="G931" s="86">
        <v>40</v>
      </c>
      <c r="H931" s="83">
        <f t="shared" si="156"/>
        <v>185</v>
      </c>
      <c r="I931" s="83">
        <f t="shared" si="147"/>
        <v>0</v>
      </c>
      <c r="J931" s="86">
        <v>100</v>
      </c>
      <c r="K931" s="86">
        <v>300</v>
      </c>
      <c r="L931" s="83">
        <f t="shared" si="151"/>
        <v>1274</v>
      </c>
      <c r="M931" s="94">
        <v>600</v>
      </c>
      <c r="N931" s="83">
        <f>30</f>
        <v>30</v>
      </c>
      <c r="O931" s="86">
        <v>240</v>
      </c>
      <c r="P931" s="86">
        <v>40</v>
      </c>
      <c r="Q931" s="86">
        <f t="shared" si="152"/>
        <v>315</v>
      </c>
      <c r="R931" s="86">
        <f t="shared" si="153"/>
        <v>100</v>
      </c>
      <c r="S931" s="83">
        <f t="shared" si="154"/>
        <v>695</v>
      </c>
      <c r="T931" s="83">
        <f>0</f>
        <v>0</v>
      </c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</row>
    <row r="932" spans="1:30" ht="15.75" x14ac:dyDescent="0.25">
      <c r="A932" s="32">
        <v>69306</v>
      </c>
      <c r="B932" s="95">
        <f t="shared" si="155"/>
        <v>30</v>
      </c>
      <c r="C932" s="83">
        <f>194.205</f>
        <v>194.20500000000001</v>
      </c>
      <c r="D932" s="83">
        <f>267.466</f>
        <v>267.46600000000001</v>
      </c>
      <c r="E932" s="92">
        <f>133.845</f>
        <v>133.845</v>
      </c>
      <c r="F932" s="83">
        <f>278.484-40-25-60-100</f>
        <v>53.48399999999998</v>
      </c>
      <c r="G932" s="86">
        <v>40</v>
      </c>
      <c r="H932" s="83">
        <f t="shared" si="156"/>
        <v>185</v>
      </c>
      <c r="I932" s="83">
        <f t="shared" si="147"/>
        <v>0</v>
      </c>
      <c r="J932" s="86">
        <v>100</v>
      </c>
      <c r="K932" s="86">
        <v>300</v>
      </c>
      <c r="L932" s="83">
        <f t="shared" si="151"/>
        <v>1274</v>
      </c>
      <c r="M932" s="94">
        <v>600</v>
      </c>
      <c r="N932" s="83">
        <f>30</f>
        <v>30</v>
      </c>
      <c r="O932" s="86">
        <v>240</v>
      </c>
      <c r="P932" s="86">
        <v>40</v>
      </c>
      <c r="Q932" s="86">
        <f t="shared" si="152"/>
        <v>315</v>
      </c>
      <c r="R932" s="86">
        <f t="shared" si="153"/>
        <v>100</v>
      </c>
      <c r="S932" s="83">
        <f t="shared" si="154"/>
        <v>695</v>
      </c>
      <c r="T932" s="83">
        <f>0</f>
        <v>0</v>
      </c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</row>
    <row r="933" spans="1:30" ht="15.75" x14ac:dyDescent="0.25">
      <c r="A933" s="32">
        <v>69337</v>
      </c>
      <c r="B933" s="95">
        <f t="shared" si="155"/>
        <v>31</v>
      </c>
      <c r="C933" s="83">
        <f>131.881</f>
        <v>131.881</v>
      </c>
      <c r="D933" s="83">
        <f>277.167</f>
        <v>277.16699999999997</v>
      </c>
      <c r="E933" s="92">
        <f>79.08</f>
        <v>79.08</v>
      </c>
      <c r="F933" s="83">
        <f>350.872-40-25-60-100</f>
        <v>125.87200000000001</v>
      </c>
      <c r="G933" s="86">
        <v>40</v>
      </c>
      <c r="H933" s="83">
        <f t="shared" si="156"/>
        <v>185</v>
      </c>
      <c r="I933" s="83">
        <f t="shared" si="147"/>
        <v>0</v>
      </c>
      <c r="J933" s="86">
        <v>100</v>
      </c>
      <c r="K933" s="86">
        <v>300</v>
      </c>
      <c r="L933" s="83">
        <f t="shared" si="151"/>
        <v>1239</v>
      </c>
      <c r="M933" s="94">
        <v>600</v>
      </c>
      <c r="N933" s="83">
        <f>75</f>
        <v>75</v>
      </c>
      <c r="O933" s="86">
        <v>240</v>
      </c>
      <c r="P933" s="86">
        <v>40</v>
      </c>
      <c r="Q933" s="86">
        <f t="shared" si="152"/>
        <v>315</v>
      </c>
      <c r="R933" s="86">
        <f t="shared" si="153"/>
        <v>100</v>
      </c>
      <c r="S933" s="83">
        <f t="shared" si="154"/>
        <v>695</v>
      </c>
      <c r="T933" s="83">
        <f>0</f>
        <v>0</v>
      </c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</row>
    <row r="934" spans="1:30" ht="15.75" x14ac:dyDescent="0.25">
      <c r="A934" s="32">
        <v>69367</v>
      </c>
      <c r="B934" s="95">
        <f t="shared" si="155"/>
        <v>30</v>
      </c>
      <c r="C934" s="83">
        <f>122.58</f>
        <v>122.58</v>
      </c>
      <c r="D934" s="83">
        <f>297.941</f>
        <v>297.94099999999997</v>
      </c>
      <c r="E934" s="92">
        <f>89.177</f>
        <v>89.177000000000007</v>
      </c>
      <c r="F934" s="83">
        <f>240.302-40-60-100</f>
        <v>40.301999999999992</v>
      </c>
      <c r="G934" s="86">
        <v>40</v>
      </c>
      <c r="H934" s="83">
        <f>60+100</f>
        <v>160</v>
      </c>
      <c r="I934" s="83">
        <f t="shared" si="147"/>
        <v>0</v>
      </c>
      <c r="J934" s="86">
        <v>100</v>
      </c>
      <c r="K934" s="86">
        <v>300</v>
      </c>
      <c r="L934" s="83">
        <f t="shared" si="151"/>
        <v>1150</v>
      </c>
      <c r="M934" s="94">
        <v>600</v>
      </c>
      <c r="N934" s="83">
        <f>100</f>
        <v>100</v>
      </c>
      <c r="O934" s="86">
        <v>240</v>
      </c>
      <c r="P934" s="86">
        <v>40</v>
      </c>
      <c r="Q934" s="86">
        <f t="shared" si="152"/>
        <v>315</v>
      </c>
      <c r="R934" s="86">
        <f t="shared" si="153"/>
        <v>100</v>
      </c>
      <c r="S934" s="83">
        <f t="shared" si="154"/>
        <v>695</v>
      </c>
      <c r="T934" s="83">
        <f>50</f>
        <v>50</v>
      </c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</row>
    <row r="935" spans="1:30" ht="15.75" x14ac:dyDescent="0.25">
      <c r="A935" s="32">
        <v>69398</v>
      </c>
      <c r="B935" s="95">
        <f t="shared" si="155"/>
        <v>31</v>
      </c>
      <c r="C935" s="83">
        <f>122.58</f>
        <v>122.58</v>
      </c>
      <c r="D935" s="83">
        <f>297.941</f>
        <v>297.94099999999997</v>
      </c>
      <c r="E935" s="92">
        <f>89.177</f>
        <v>89.177000000000007</v>
      </c>
      <c r="F935" s="83">
        <f>240.302-40-60-100</f>
        <v>40.301999999999992</v>
      </c>
      <c r="G935" s="86">
        <v>40</v>
      </c>
      <c r="H935" s="83">
        <f>60+100</f>
        <v>160</v>
      </c>
      <c r="I935" s="83">
        <f t="shared" si="147"/>
        <v>0</v>
      </c>
      <c r="J935" s="86">
        <v>100</v>
      </c>
      <c r="K935" s="86">
        <v>300</v>
      </c>
      <c r="L935" s="83">
        <f t="shared" si="151"/>
        <v>1150</v>
      </c>
      <c r="M935" s="94">
        <v>600</v>
      </c>
      <c r="N935" s="83">
        <f>100</f>
        <v>100</v>
      </c>
      <c r="O935" s="86">
        <v>240</v>
      </c>
      <c r="P935" s="86">
        <v>40</v>
      </c>
      <c r="Q935" s="86">
        <f t="shared" si="152"/>
        <v>315</v>
      </c>
      <c r="R935" s="86">
        <f t="shared" si="153"/>
        <v>100</v>
      </c>
      <c r="S935" s="83">
        <f t="shared" si="154"/>
        <v>695</v>
      </c>
      <c r="T935" s="83">
        <f>50</f>
        <v>50</v>
      </c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</row>
    <row r="936" spans="1:30" ht="15.75" x14ac:dyDescent="0.25">
      <c r="A936" s="32">
        <v>69429</v>
      </c>
      <c r="B936" s="95">
        <f t="shared" si="155"/>
        <v>31</v>
      </c>
      <c r="C936" s="83">
        <f>122.58</f>
        <v>122.58</v>
      </c>
      <c r="D936" s="83">
        <f>297.941</f>
        <v>297.94099999999997</v>
      </c>
      <c r="E936" s="92">
        <f>89.177</f>
        <v>89.177000000000007</v>
      </c>
      <c r="F936" s="83">
        <f>240.302-40-60-100</f>
        <v>40.301999999999992</v>
      </c>
      <c r="G936" s="86">
        <v>40</v>
      </c>
      <c r="H936" s="83">
        <f>60+100</f>
        <v>160</v>
      </c>
      <c r="I936" s="83">
        <f t="shared" si="147"/>
        <v>0</v>
      </c>
      <c r="J936" s="86">
        <v>100</v>
      </c>
      <c r="K936" s="86">
        <v>300</v>
      </c>
      <c r="L936" s="83">
        <f t="shared" si="151"/>
        <v>1150</v>
      </c>
      <c r="M936" s="94">
        <v>600</v>
      </c>
      <c r="N936" s="83">
        <f>100</f>
        <v>100</v>
      </c>
      <c r="O936" s="86">
        <v>240</v>
      </c>
      <c r="P936" s="86">
        <v>40</v>
      </c>
      <c r="Q936" s="86">
        <f t="shared" si="152"/>
        <v>315</v>
      </c>
      <c r="R936" s="86">
        <f t="shared" si="153"/>
        <v>100</v>
      </c>
      <c r="S936" s="83">
        <f t="shared" si="154"/>
        <v>695</v>
      </c>
      <c r="T936" s="83">
        <f>50</f>
        <v>50</v>
      </c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</row>
    <row r="937" spans="1:30" ht="15.75" x14ac:dyDescent="0.25">
      <c r="A937" s="32">
        <v>69457</v>
      </c>
      <c r="B937" s="95">
        <f t="shared" si="155"/>
        <v>28</v>
      </c>
      <c r="C937" s="83">
        <f>122.58</f>
        <v>122.58</v>
      </c>
      <c r="D937" s="83">
        <f>297.941</f>
        <v>297.94099999999997</v>
      </c>
      <c r="E937" s="92">
        <f>89.177</f>
        <v>89.177000000000007</v>
      </c>
      <c r="F937" s="83">
        <f>240.302-40-60-100</f>
        <v>40.301999999999992</v>
      </c>
      <c r="G937" s="86">
        <v>40</v>
      </c>
      <c r="H937" s="83">
        <f>60+100</f>
        <v>160</v>
      </c>
      <c r="I937" s="83">
        <f t="shared" si="147"/>
        <v>0</v>
      </c>
      <c r="J937" s="86">
        <v>100</v>
      </c>
      <c r="K937" s="86">
        <v>300</v>
      </c>
      <c r="L937" s="83">
        <f t="shared" si="151"/>
        <v>1150</v>
      </c>
      <c r="M937" s="94">
        <v>600</v>
      </c>
      <c r="N937" s="83">
        <f>100</f>
        <v>100</v>
      </c>
      <c r="O937" s="86">
        <v>240</v>
      </c>
      <c r="P937" s="86">
        <v>40</v>
      </c>
      <c r="Q937" s="86">
        <f t="shared" si="152"/>
        <v>315</v>
      </c>
      <c r="R937" s="86">
        <f t="shared" si="153"/>
        <v>100</v>
      </c>
      <c r="S937" s="83">
        <f t="shared" si="154"/>
        <v>695</v>
      </c>
      <c r="T937" s="83">
        <f>50</f>
        <v>50</v>
      </c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</row>
    <row r="938" spans="1:30" ht="15.75" x14ac:dyDescent="0.25">
      <c r="A938" s="32">
        <v>69488</v>
      </c>
      <c r="B938" s="95">
        <f t="shared" si="155"/>
        <v>31</v>
      </c>
      <c r="C938" s="83">
        <f>122.58</f>
        <v>122.58</v>
      </c>
      <c r="D938" s="83">
        <f>297.941</f>
        <v>297.94099999999997</v>
      </c>
      <c r="E938" s="92">
        <f>89.177</f>
        <v>89.177000000000007</v>
      </c>
      <c r="F938" s="83">
        <f>240.302-40-60-100</f>
        <v>40.301999999999992</v>
      </c>
      <c r="G938" s="86">
        <v>40</v>
      </c>
      <c r="H938" s="83">
        <f>60+100</f>
        <v>160</v>
      </c>
      <c r="I938" s="83">
        <f t="shared" si="147"/>
        <v>0</v>
      </c>
      <c r="J938" s="86">
        <v>100</v>
      </c>
      <c r="K938" s="86">
        <v>300</v>
      </c>
      <c r="L938" s="83">
        <f t="shared" si="151"/>
        <v>1150</v>
      </c>
      <c r="M938" s="94">
        <v>600</v>
      </c>
      <c r="N938" s="83">
        <f>100</f>
        <v>100</v>
      </c>
      <c r="O938" s="86">
        <v>240</v>
      </c>
      <c r="P938" s="86">
        <v>40</v>
      </c>
      <c r="Q938" s="86">
        <f t="shared" si="152"/>
        <v>315</v>
      </c>
      <c r="R938" s="86">
        <f t="shared" si="153"/>
        <v>100</v>
      </c>
      <c r="S938" s="83">
        <f t="shared" si="154"/>
        <v>695</v>
      </c>
      <c r="T938" s="83">
        <f>50</f>
        <v>50</v>
      </c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</row>
    <row r="939" spans="1:30" ht="15.75" x14ac:dyDescent="0.25">
      <c r="A939" s="32">
        <v>69518</v>
      </c>
      <c r="B939" s="95">
        <f t="shared" si="155"/>
        <v>30</v>
      </c>
      <c r="C939" s="83">
        <f>141.293</f>
        <v>141.29300000000001</v>
      </c>
      <c r="D939" s="83">
        <f>267.993</f>
        <v>267.99299999999999</v>
      </c>
      <c r="E939" s="92">
        <f>115.016</f>
        <v>115.01600000000001</v>
      </c>
      <c r="F939" s="83">
        <f>314.698-40-25-60-100</f>
        <v>89.697999999999979</v>
      </c>
      <c r="G939" s="86">
        <v>40</v>
      </c>
      <c r="H939" s="83">
        <f t="shared" ref="H939:H945" si="157">25+60+100</f>
        <v>185</v>
      </c>
      <c r="I939" s="83">
        <f t="shared" si="147"/>
        <v>0</v>
      </c>
      <c r="J939" s="86">
        <v>100</v>
      </c>
      <c r="K939" s="86">
        <v>300</v>
      </c>
      <c r="L939" s="83">
        <f t="shared" si="151"/>
        <v>1239</v>
      </c>
      <c r="M939" s="94">
        <v>600</v>
      </c>
      <c r="N939" s="83">
        <f>100</f>
        <v>100</v>
      </c>
      <c r="O939" s="86">
        <v>240</v>
      </c>
      <c r="P939" s="86">
        <v>40</v>
      </c>
      <c r="Q939" s="86">
        <f t="shared" si="152"/>
        <v>315</v>
      </c>
      <c r="R939" s="86">
        <f t="shared" si="153"/>
        <v>100</v>
      </c>
      <c r="S939" s="83">
        <f t="shared" si="154"/>
        <v>695</v>
      </c>
      <c r="T939" s="83">
        <f>50</f>
        <v>50</v>
      </c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</row>
    <row r="940" spans="1:30" ht="15.75" x14ac:dyDescent="0.25">
      <c r="A940" s="32">
        <v>69549</v>
      </c>
      <c r="B940" s="95">
        <f t="shared" si="155"/>
        <v>31</v>
      </c>
      <c r="C940" s="83">
        <f>194.205</f>
        <v>194.20500000000001</v>
      </c>
      <c r="D940" s="83">
        <f>267.466</f>
        <v>267.46600000000001</v>
      </c>
      <c r="E940" s="92">
        <f>133.845</f>
        <v>133.845</v>
      </c>
      <c r="F940" s="83">
        <f>278.484-40-25-60-100</f>
        <v>53.48399999999998</v>
      </c>
      <c r="G940" s="86">
        <v>40</v>
      </c>
      <c r="H940" s="83">
        <f t="shared" si="157"/>
        <v>185</v>
      </c>
      <c r="I940" s="83">
        <f t="shared" si="147"/>
        <v>0</v>
      </c>
      <c r="J940" s="86">
        <v>100</v>
      </c>
      <c r="K940" s="86">
        <v>300</v>
      </c>
      <c r="L940" s="83">
        <f t="shared" si="151"/>
        <v>1274</v>
      </c>
      <c r="M940" s="94">
        <v>600</v>
      </c>
      <c r="N940" s="83">
        <f>75</f>
        <v>75</v>
      </c>
      <c r="O940" s="86">
        <v>240</v>
      </c>
      <c r="P940" s="86">
        <v>40</v>
      </c>
      <c r="Q940" s="86">
        <f t="shared" si="152"/>
        <v>315</v>
      </c>
      <c r="R940" s="86">
        <f t="shared" si="153"/>
        <v>100</v>
      </c>
      <c r="S940" s="83">
        <f t="shared" si="154"/>
        <v>695</v>
      </c>
      <c r="T940" s="83">
        <f>50</f>
        <v>50</v>
      </c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</row>
    <row r="941" spans="1:30" ht="15.75" x14ac:dyDescent="0.25">
      <c r="A941" s="32">
        <v>69579</v>
      </c>
      <c r="B941" s="95">
        <f t="shared" si="155"/>
        <v>30</v>
      </c>
      <c r="C941" s="83">
        <f>194.205</f>
        <v>194.20500000000001</v>
      </c>
      <c r="D941" s="83">
        <f>267.466</f>
        <v>267.46600000000001</v>
      </c>
      <c r="E941" s="92">
        <f>133.845</f>
        <v>133.845</v>
      </c>
      <c r="F941" s="83">
        <f>278.484-40-25-60-100</f>
        <v>53.48399999999998</v>
      </c>
      <c r="G941" s="86">
        <v>40</v>
      </c>
      <c r="H941" s="83">
        <f t="shared" si="157"/>
        <v>185</v>
      </c>
      <c r="I941" s="83">
        <f t="shared" si="147"/>
        <v>0</v>
      </c>
      <c r="J941" s="86">
        <v>100</v>
      </c>
      <c r="K941" s="86">
        <v>300</v>
      </c>
      <c r="L941" s="83">
        <f t="shared" si="151"/>
        <v>1274</v>
      </c>
      <c r="M941" s="94">
        <v>600</v>
      </c>
      <c r="N941" s="83">
        <f>30</f>
        <v>30</v>
      </c>
      <c r="O941" s="86">
        <v>240</v>
      </c>
      <c r="P941" s="86">
        <v>40</v>
      </c>
      <c r="Q941" s="86">
        <f t="shared" si="152"/>
        <v>315</v>
      </c>
      <c r="R941" s="86">
        <f t="shared" si="153"/>
        <v>100</v>
      </c>
      <c r="S941" s="83">
        <f t="shared" si="154"/>
        <v>695</v>
      </c>
      <c r="T941" s="83">
        <f>50</f>
        <v>50</v>
      </c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</row>
    <row r="942" spans="1:30" ht="15.75" x14ac:dyDescent="0.25">
      <c r="A942" s="32">
        <v>69610</v>
      </c>
      <c r="B942" s="95">
        <f t="shared" si="155"/>
        <v>31</v>
      </c>
      <c r="C942" s="83">
        <f>194.205</f>
        <v>194.20500000000001</v>
      </c>
      <c r="D942" s="83">
        <f>267.466</f>
        <v>267.46600000000001</v>
      </c>
      <c r="E942" s="92">
        <f>133.845</f>
        <v>133.845</v>
      </c>
      <c r="F942" s="83">
        <f>278.484-40-25-60-100</f>
        <v>53.48399999999998</v>
      </c>
      <c r="G942" s="86">
        <v>40</v>
      </c>
      <c r="H942" s="83">
        <f t="shared" si="157"/>
        <v>185</v>
      </c>
      <c r="I942" s="83">
        <f t="shared" si="147"/>
        <v>0</v>
      </c>
      <c r="J942" s="86">
        <v>100</v>
      </c>
      <c r="K942" s="86">
        <v>300</v>
      </c>
      <c r="L942" s="83">
        <f t="shared" si="151"/>
        <v>1274</v>
      </c>
      <c r="M942" s="94">
        <v>600</v>
      </c>
      <c r="N942" s="83">
        <f>30</f>
        <v>30</v>
      </c>
      <c r="O942" s="86">
        <v>240</v>
      </c>
      <c r="P942" s="86">
        <v>40</v>
      </c>
      <c r="Q942" s="86">
        <f t="shared" si="152"/>
        <v>315</v>
      </c>
      <c r="R942" s="86">
        <f t="shared" si="153"/>
        <v>100</v>
      </c>
      <c r="S942" s="83">
        <f t="shared" si="154"/>
        <v>695</v>
      </c>
      <c r="T942" s="83">
        <f>0</f>
        <v>0</v>
      </c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</row>
    <row r="943" spans="1:30" ht="15.75" x14ac:dyDescent="0.25">
      <c r="A943" s="32">
        <v>69641</v>
      </c>
      <c r="B943" s="95">
        <f t="shared" si="155"/>
        <v>31</v>
      </c>
      <c r="C943" s="83">
        <f>194.205</f>
        <v>194.20500000000001</v>
      </c>
      <c r="D943" s="83">
        <f>267.466</f>
        <v>267.46600000000001</v>
      </c>
      <c r="E943" s="92">
        <f>133.845</f>
        <v>133.845</v>
      </c>
      <c r="F943" s="83">
        <f>278.484-40-25-60-100</f>
        <v>53.48399999999998</v>
      </c>
      <c r="G943" s="86">
        <v>40</v>
      </c>
      <c r="H943" s="83">
        <f t="shared" si="157"/>
        <v>185</v>
      </c>
      <c r="I943" s="83">
        <f t="shared" si="147"/>
        <v>0</v>
      </c>
      <c r="J943" s="86">
        <v>100</v>
      </c>
      <c r="K943" s="86">
        <v>300</v>
      </c>
      <c r="L943" s="83">
        <f t="shared" si="151"/>
        <v>1274</v>
      </c>
      <c r="M943" s="94">
        <v>600</v>
      </c>
      <c r="N943" s="83">
        <f>30</f>
        <v>30</v>
      </c>
      <c r="O943" s="86">
        <v>240</v>
      </c>
      <c r="P943" s="86">
        <v>40</v>
      </c>
      <c r="Q943" s="86">
        <f t="shared" si="152"/>
        <v>315</v>
      </c>
      <c r="R943" s="86">
        <f t="shared" si="153"/>
        <v>100</v>
      </c>
      <c r="S943" s="83">
        <f t="shared" si="154"/>
        <v>695</v>
      </c>
      <c r="T943" s="83">
        <f>0</f>
        <v>0</v>
      </c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</row>
    <row r="944" spans="1:30" ht="15.75" x14ac:dyDescent="0.25">
      <c r="A944" s="32">
        <v>69671</v>
      </c>
      <c r="B944" s="95">
        <f t="shared" si="155"/>
        <v>30</v>
      </c>
      <c r="C944" s="83">
        <f>194.205</f>
        <v>194.20500000000001</v>
      </c>
      <c r="D944" s="83">
        <f>267.466</f>
        <v>267.46600000000001</v>
      </c>
      <c r="E944" s="92">
        <f>133.845</f>
        <v>133.845</v>
      </c>
      <c r="F944" s="83">
        <f>278.484-40-25-60-100</f>
        <v>53.48399999999998</v>
      </c>
      <c r="G944" s="86">
        <v>40</v>
      </c>
      <c r="H944" s="83">
        <f t="shared" si="157"/>
        <v>185</v>
      </c>
      <c r="I944" s="83">
        <f t="shared" si="147"/>
        <v>0</v>
      </c>
      <c r="J944" s="86">
        <v>100</v>
      </c>
      <c r="K944" s="86">
        <v>300</v>
      </c>
      <c r="L944" s="83">
        <f t="shared" si="151"/>
        <v>1274</v>
      </c>
      <c r="M944" s="94">
        <v>600</v>
      </c>
      <c r="N944" s="83">
        <f>30</f>
        <v>30</v>
      </c>
      <c r="O944" s="86">
        <v>240</v>
      </c>
      <c r="P944" s="86">
        <v>40</v>
      </c>
      <c r="Q944" s="86">
        <f t="shared" si="152"/>
        <v>315</v>
      </c>
      <c r="R944" s="86">
        <f t="shared" si="153"/>
        <v>100</v>
      </c>
      <c r="S944" s="83">
        <f t="shared" si="154"/>
        <v>695</v>
      </c>
      <c r="T944" s="83">
        <f>0</f>
        <v>0</v>
      </c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</row>
    <row r="945" spans="1:30" ht="15.75" x14ac:dyDescent="0.25">
      <c r="A945" s="32">
        <v>69702</v>
      </c>
      <c r="B945" s="95">
        <f t="shared" si="155"/>
        <v>31</v>
      </c>
      <c r="C945" s="83">
        <f>131.881</f>
        <v>131.881</v>
      </c>
      <c r="D945" s="83">
        <f>277.167</f>
        <v>277.16699999999997</v>
      </c>
      <c r="E945" s="92">
        <f>79.08</f>
        <v>79.08</v>
      </c>
      <c r="F945" s="83">
        <f>350.872-40-25-60-100</f>
        <v>125.87200000000001</v>
      </c>
      <c r="G945" s="86">
        <v>40</v>
      </c>
      <c r="H945" s="83">
        <f t="shared" si="157"/>
        <v>185</v>
      </c>
      <c r="I945" s="83">
        <f t="shared" si="147"/>
        <v>0</v>
      </c>
      <c r="J945" s="86">
        <v>100</v>
      </c>
      <c r="K945" s="86">
        <v>300</v>
      </c>
      <c r="L945" s="83">
        <f t="shared" si="151"/>
        <v>1239</v>
      </c>
      <c r="M945" s="94">
        <v>600</v>
      </c>
      <c r="N945" s="83">
        <f>75</f>
        <v>75</v>
      </c>
      <c r="O945" s="86">
        <v>240</v>
      </c>
      <c r="P945" s="86">
        <v>40</v>
      </c>
      <c r="Q945" s="86">
        <f t="shared" si="152"/>
        <v>315</v>
      </c>
      <c r="R945" s="86">
        <f t="shared" si="153"/>
        <v>100</v>
      </c>
      <c r="S945" s="83">
        <f t="shared" si="154"/>
        <v>695</v>
      </c>
      <c r="T945" s="83">
        <f>0</f>
        <v>0</v>
      </c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</row>
    <row r="946" spans="1:30" ht="15.75" x14ac:dyDescent="0.25">
      <c r="A946" s="32">
        <v>69732</v>
      </c>
      <c r="B946" s="95">
        <f t="shared" si="155"/>
        <v>30</v>
      </c>
      <c r="C946" s="83">
        <f>122.58</f>
        <v>122.58</v>
      </c>
      <c r="D946" s="83">
        <f>297.941</f>
        <v>297.94099999999997</v>
      </c>
      <c r="E946" s="92">
        <f>89.177</f>
        <v>89.177000000000007</v>
      </c>
      <c r="F946" s="83">
        <f>240.302-40-60-100</f>
        <v>40.301999999999992</v>
      </c>
      <c r="G946" s="86">
        <v>40</v>
      </c>
      <c r="H946" s="83">
        <f>60+100</f>
        <v>160</v>
      </c>
      <c r="I946" s="83">
        <f t="shared" si="147"/>
        <v>0</v>
      </c>
      <c r="J946" s="86">
        <v>100</v>
      </c>
      <c r="K946" s="86">
        <v>300</v>
      </c>
      <c r="L946" s="83">
        <f t="shared" si="151"/>
        <v>1150</v>
      </c>
      <c r="M946" s="94">
        <v>600</v>
      </c>
      <c r="N946" s="83">
        <f>100</f>
        <v>100</v>
      </c>
      <c r="O946" s="86">
        <v>240</v>
      </c>
      <c r="P946" s="86">
        <v>40</v>
      </c>
      <c r="Q946" s="86">
        <f t="shared" si="152"/>
        <v>315</v>
      </c>
      <c r="R946" s="86">
        <f t="shared" si="153"/>
        <v>100</v>
      </c>
      <c r="S946" s="83">
        <f t="shared" si="154"/>
        <v>695</v>
      </c>
      <c r="T946" s="83">
        <f>50</f>
        <v>50</v>
      </c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</row>
    <row r="947" spans="1:30" ht="15.75" x14ac:dyDescent="0.25">
      <c r="A947" s="32">
        <v>69763</v>
      </c>
      <c r="B947" s="95">
        <f t="shared" si="155"/>
        <v>31</v>
      </c>
      <c r="C947" s="83">
        <f>122.58</f>
        <v>122.58</v>
      </c>
      <c r="D947" s="83">
        <f>297.941</f>
        <v>297.94099999999997</v>
      </c>
      <c r="E947" s="92">
        <f>89.177</f>
        <v>89.177000000000007</v>
      </c>
      <c r="F947" s="83">
        <f>240.302-40-60-100</f>
        <v>40.301999999999992</v>
      </c>
      <c r="G947" s="86">
        <v>40</v>
      </c>
      <c r="H947" s="83">
        <f>60+100</f>
        <v>160</v>
      </c>
      <c r="I947" s="83">
        <f t="shared" si="147"/>
        <v>0</v>
      </c>
      <c r="J947" s="86">
        <v>100</v>
      </c>
      <c r="K947" s="86">
        <v>300</v>
      </c>
      <c r="L947" s="83">
        <f t="shared" si="151"/>
        <v>1150</v>
      </c>
      <c r="M947" s="94">
        <v>600</v>
      </c>
      <c r="N947" s="83">
        <f>100</f>
        <v>100</v>
      </c>
      <c r="O947" s="86">
        <v>240</v>
      </c>
      <c r="P947" s="86">
        <v>40</v>
      </c>
      <c r="Q947" s="86">
        <f t="shared" si="152"/>
        <v>315</v>
      </c>
      <c r="R947" s="86">
        <f t="shared" si="153"/>
        <v>100</v>
      </c>
      <c r="S947" s="83">
        <f t="shared" si="154"/>
        <v>695</v>
      </c>
      <c r="T947" s="83">
        <f>50</f>
        <v>50</v>
      </c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</row>
    <row r="948" spans="1:30" ht="15.75" x14ac:dyDescent="0.25">
      <c r="A948" s="32">
        <v>69794</v>
      </c>
      <c r="B948" s="95">
        <f t="shared" si="155"/>
        <v>31</v>
      </c>
      <c r="C948" s="83">
        <f>122.58</f>
        <v>122.58</v>
      </c>
      <c r="D948" s="83">
        <f>297.941</f>
        <v>297.94099999999997</v>
      </c>
      <c r="E948" s="92">
        <f>89.177</f>
        <v>89.177000000000007</v>
      </c>
      <c r="F948" s="83">
        <f>240.302-40-60-100</f>
        <v>40.301999999999992</v>
      </c>
      <c r="G948" s="86">
        <v>40</v>
      </c>
      <c r="H948" s="83">
        <f>60+100</f>
        <v>160</v>
      </c>
      <c r="I948" s="83">
        <f t="shared" ref="I948:I1011" si="158">400-J948-K948</f>
        <v>0</v>
      </c>
      <c r="J948" s="86">
        <v>100</v>
      </c>
      <c r="K948" s="86">
        <v>300</v>
      </c>
      <c r="L948" s="83">
        <f t="shared" si="151"/>
        <v>1150</v>
      </c>
      <c r="M948" s="94">
        <v>600</v>
      </c>
      <c r="N948" s="83">
        <f>100</f>
        <v>100</v>
      </c>
      <c r="O948" s="86">
        <v>240</v>
      </c>
      <c r="P948" s="86">
        <v>40</v>
      </c>
      <c r="Q948" s="86">
        <f t="shared" si="152"/>
        <v>315</v>
      </c>
      <c r="R948" s="86">
        <f t="shared" si="153"/>
        <v>100</v>
      </c>
      <c r="S948" s="83">
        <f t="shared" si="154"/>
        <v>695</v>
      </c>
      <c r="T948" s="83">
        <f>50</f>
        <v>50</v>
      </c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</row>
    <row r="949" spans="1:30" ht="15.75" x14ac:dyDescent="0.25">
      <c r="A949" s="32">
        <v>69822</v>
      </c>
      <c r="B949" s="95">
        <f t="shared" si="155"/>
        <v>28</v>
      </c>
      <c r="C949" s="83">
        <f>122.58</f>
        <v>122.58</v>
      </c>
      <c r="D949" s="83">
        <f>297.941</f>
        <v>297.94099999999997</v>
      </c>
      <c r="E949" s="92">
        <f>89.177</f>
        <v>89.177000000000007</v>
      </c>
      <c r="F949" s="83">
        <f>240.302-40-60-100</f>
        <v>40.301999999999992</v>
      </c>
      <c r="G949" s="86">
        <v>40</v>
      </c>
      <c r="H949" s="83">
        <f>60+100</f>
        <v>160</v>
      </c>
      <c r="I949" s="83">
        <f t="shared" si="158"/>
        <v>0</v>
      </c>
      <c r="J949" s="86">
        <v>100</v>
      </c>
      <c r="K949" s="86">
        <v>300</v>
      </c>
      <c r="L949" s="83">
        <f t="shared" si="151"/>
        <v>1150</v>
      </c>
      <c r="M949" s="94">
        <v>600</v>
      </c>
      <c r="N949" s="83">
        <f>100</f>
        <v>100</v>
      </c>
      <c r="O949" s="86">
        <v>240</v>
      </c>
      <c r="P949" s="86">
        <v>40</v>
      </c>
      <c r="Q949" s="86">
        <f t="shared" si="152"/>
        <v>315</v>
      </c>
      <c r="R949" s="86">
        <f t="shared" si="153"/>
        <v>100</v>
      </c>
      <c r="S949" s="83">
        <f t="shared" si="154"/>
        <v>695</v>
      </c>
      <c r="T949" s="83">
        <f>50</f>
        <v>50</v>
      </c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</row>
    <row r="950" spans="1:30" ht="15.75" x14ac:dyDescent="0.25">
      <c r="A950" s="32">
        <v>69853</v>
      </c>
      <c r="B950" s="95">
        <f t="shared" si="155"/>
        <v>31</v>
      </c>
      <c r="C950" s="83">
        <f>122.58</f>
        <v>122.58</v>
      </c>
      <c r="D950" s="83">
        <f>297.941</f>
        <v>297.94099999999997</v>
      </c>
      <c r="E950" s="92">
        <f>89.177</f>
        <v>89.177000000000007</v>
      </c>
      <c r="F950" s="83">
        <f>240.302-40-60-100</f>
        <v>40.301999999999992</v>
      </c>
      <c r="G950" s="86">
        <v>40</v>
      </c>
      <c r="H950" s="83">
        <f>60+100</f>
        <v>160</v>
      </c>
      <c r="I950" s="83">
        <f t="shared" si="158"/>
        <v>0</v>
      </c>
      <c r="J950" s="86">
        <v>100</v>
      </c>
      <c r="K950" s="86">
        <v>300</v>
      </c>
      <c r="L950" s="83">
        <f t="shared" si="151"/>
        <v>1150</v>
      </c>
      <c r="M950" s="94">
        <v>600</v>
      </c>
      <c r="N950" s="83">
        <f>100</f>
        <v>100</v>
      </c>
      <c r="O950" s="86">
        <v>240</v>
      </c>
      <c r="P950" s="86">
        <v>40</v>
      </c>
      <c r="Q950" s="86">
        <f t="shared" si="152"/>
        <v>315</v>
      </c>
      <c r="R950" s="86">
        <f t="shared" si="153"/>
        <v>100</v>
      </c>
      <c r="S950" s="83">
        <f t="shared" si="154"/>
        <v>695</v>
      </c>
      <c r="T950" s="83">
        <f>50</f>
        <v>50</v>
      </c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</row>
    <row r="951" spans="1:30" ht="15.75" x14ac:dyDescent="0.25">
      <c r="A951" s="32">
        <v>69883</v>
      </c>
      <c r="B951" s="95">
        <f t="shared" si="155"/>
        <v>30</v>
      </c>
      <c r="C951" s="83">
        <f>141.293</f>
        <v>141.29300000000001</v>
      </c>
      <c r="D951" s="83">
        <f>267.993</f>
        <v>267.99299999999999</v>
      </c>
      <c r="E951" s="92">
        <f>115.016</f>
        <v>115.01600000000001</v>
      </c>
      <c r="F951" s="83">
        <f>314.698-40-25-60-100</f>
        <v>89.697999999999979</v>
      </c>
      <c r="G951" s="86">
        <v>40</v>
      </c>
      <c r="H951" s="83">
        <f t="shared" ref="H951:H957" si="159">25+60+100</f>
        <v>185</v>
      </c>
      <c r="I951" s="83">
        <f t="shared" si="158"/>
        <v>0</v>
      </c>
      <c r="J951" s="86">
        <v>100</v>
      </c>
      <c r="K951" s="86">
        <v>300</v>
      </c>
      <c r="L951" s="83">
        <f t="shared" si="151"/>
        <v>1239</v>
      </c>
      <c r="M951" s="94">
        <v>600</v>
      </c>
      <c r="N951" s="83">
        <f>100</f>
        <v>100</v>
      </c>
      <c r="O951" s="86">
        <v>240</v>
      </c>
      <c r="P951" s="86">
        <v>40</v>
      </c>
      <c r="Q951" s="86">
        <f t="shared" si="152"/>
        <v>315</v>
      </c>
      <c r="R951" s="86">
        <f t="shared" si="153"/>
        <v>100</v>
      </c>
      <c r="S951" s="83">
        <f t="shared" si="154"/>
        <v>695</v>
      </c>
      <c r="T951" s="83">
        <f>50</f>
        <v>50</v>
      </c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</row>
    <row r="952" spans="1:30" ht="15.75" x14ac:dyDescent="0.25">
      <c r="A952" s="32">
        <v>69914</v>
      </c>
      <c r="B952" s="95">
        <f t="shared" si="155"/>
        <v>31</v>
      </c>
      <c r="C952" s="83">
        <f>194.205</f>
        <v>194.20500000000001</v>
      </c>
      <c r="D952" s="83">
        <f>267.466</f>
        <v>267.46600000000001</v>
      </c>
      <c r="E952" s="92">
        <f>133.845</f>
        <v>133.845</v>
      </c>
      <c r="F952" s="83">
        <f>278.484-40-25-60-100</f>
        <v>53.48399999999998</v>
      </c>
      <c r="G952" s="86">
        <v>40</v>
      </c>
      <c r="H952" s="83">
        <f t="shared" si="159"/>
        <v>185</v>
      </c>
      <c r="I952" s="83">
        <f t="shared" si="158"/>
        <v>0</v>
      </c>
      <c r="J952" s="86">
        <v>100</v>
      </c>
      <c r="K952" s="86">
        <v>300</v>
      </c>
      <c r="L952" s="83">
        <f t="shared" si="151"/>
        <v>1274</v>
      </c>
      <c r="M952" s="94">
        <v>600</v>
      </c>
      <c r="N952" s="83">
        <f>75</f>
        <v>75</v>
      </c>
      <c r="O952" s="86">
        <v>240</v>
      </c>
      <c r="P952" s="86">
        <v>40</v>
      </c>
      <c r="Q952" s="86">
        <f t="shared" si="152"/>
        <v>315</v>
      </c>
      <c r="R952" s="86">
        <f t="shared" si="153"/>
        <v>100</v>
      </c>
      <c r="S952" s="83">
        <f t="shared" si="154"/>
        <v>695</v>
      </c>
      <c r="T952" s="83">
        <f>50</f>
        <v>50</v>
      </c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</row>
    <row r="953" spans="1:30" ht="15.75" x14ac:dyDescent="0.25">
      <c r="A953" s="32">
        <v>69944</v>
      </c>
      <c r="B953" s="95">
        <f t="shared" si="155"/>
        <v>30</v>
      </c>
      <c r="C953" s="83">
        <f>194.205</f>
        <v>194.20500000000001</v>
      </c>
      <c r="D953" s="83">
        <f>267.466</f>
        <v>267.46600000000001</v>
      </c>
      <c r="E953" s="92">
        <f>133.845</f>
        <v>133.845</v>
      </c>
      <c r="F953" s="83">
        <f>278.484-40-25-60-100</f>
        <v>53.48399999999998</v>
      </c>
      <c r="G953" s="86">
        <v>40</v>
      </c>
      <c r="H953" s="83">
        <f t="shared" si="159"/>
        <v>185</v>
      </c>
      <c r="I953" s="83">
        <f t="shared" si="158"/>
        <v>0</v>
      </c>
      <c r="J953" s="86">
        <v>100</v>
      </c>
      <c r="K953" s="86">
        <v>300</v>
      </c>
      <c r="L953" s="83">
        <f t="shared" si="151"/>
        <v>1274</v>
      </c>
      <c r="M953" s="94">
        <v>600</v>
      </c>
      <c r="N953" s="83">
        <f>30</f>
        <v>30</v>
      </c>
      <c r="O953" s="86">
        <v>240</v>
      </c>
      <c r="P953" s="86">
        <v>40</v>
      </c>
      <c r="Q953" s="86">
        <f t="shared" si="152"/>
        <v>315</v>
      </c>
      <c r="R953" s="86">
        <f t="shared" si="153"/>
        <v>100</v>
      </c>
      <c r="S953" s="83">
        <f t="shared" si="154"/>
        <v>695</v>
      </c>
      <c r="T953" s="83">
        <f>50</f>
        <v>50</v>
      </c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</row>
    <row r="954" spans="1:30" ht="15.75" x14ac:dyDescent="0.25">
      <c r="A954" s="32">
        <v>69975</v>
      </c>
      <c r="B954" s="95">
        <f t="shared" si="155"/>
        <v>31</v>
      </c>
      <c r="C954" s="83">
        <f>194.205</f>
        <v>194.20500000000001</v>
      </c>
      <c r="D954" s="83">
        <f>267.466</f>
        <v>267.46600000000001</v>
      </c>
      <c r="E954" s="92">
        <f>133.845</f>
        <v>133.845</v>
      </c>
      <c r="F954" s="83">
        <f>278.484-40-25-60-100</f>
        <v>53.48399999999998</v>
      </c>
      <c r="G954" s="86">
        <v>40</v>
      </c>
      <c r="H954" s="83">
        <f t="shared" si="159"/>
        <v>185</v>
      </c>
      <c r="I954" s="83">
        <f t="shared" si="158"/>
        <v>0</v>
      </c>
      <c r="J954" s="86">
        <v>100</v>
      </c>
      <c r="K954" s="86">
        <v>300</v>
      </c>
      <c r="L954" s="83">
        <f t="shared" si="151"/>
        <v>1274</v>
      </c>
      <c r="M954" s="94">
        <v>600</v>
      </c>
      <c r="N954" s="83">
        <f>30</f>
        <v>30</v>
      </c>
      <c r="O954" s="86">
        <v>240</v>
      </c>
      <c r="P954" s="86">
        <v>40</v>
      </c>
      <c r="Q954" s="86">
        <f t="shared" si="152"/>
        <v>315</v>
      </c>
      <c r="R954" s="86">
        <f t="shared" si="153"/>
        <v>100</v>
      </c>
      <c r="S954" s="83">
        <f t="shared" si="154"/>
        <v>695</v>
      </c>
      <c r="T954" s="83">
        <f>0</f>
        <v>0</v>
      </c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</row>
    <row r="955" spans="1:30" ht="15.75" x14ac:dyDescent="0.25">
      <c r="A955" s="32">
        <v>70006</v>
      </c>
      <c r="B955" s="95">
        <f t="shared" si="155"/>
        <v>31</v>
      </c>
      <c r="C955" s="83">
        <f>194.205</f>
        <v>194.20500000000001</v>
      </c>
      <c r="D955" s="83">
        <f>267.466</f>
        <v>267.46600000000001</v>
      </c>
      <c r="E955" s="92">
        <f>133.845</f>
        <v>133.845</v>
      </c>
      <c r="F955" s="83">
        <f>278.484-40-25-60-100</f>
        <v>53.48399999999998</v>
      </c>
      <c r="G955" s="86">
        <v>40</v>
      </c>
      <c r="H955" s="83">
        <f t="shared" si="159"/>
        <v>185</v>
      </c>
      <c r="I955" s="83">
        <f t="shared" si="158"/>
        <v>0</v>
      </c>
      <c r="J955" s="86">
        <v>100</v>
      </c>
      <c r="K955" s="86">
        <v>300</v>
      </c>
      <c r="L955" s="83">
        <f t="shared" si="151"/>
        <v>1274</v>
      </c>
      <c r="M955" s="94">
        <v>600</v>
      </c>
      <c r="N955" s="83">
        <f>30</f>
        <v>30</v>
      </c>
      <c r="O955" s="86">
        <v>240</v>
      </c>
      <c r="P955" s="86">
        <v>40</v>
      </c>
      <c r="Q955" s="86">
        <f t="shared" si="152"/>
        <v>315</v>
      </c>
      <c r="R955" s="86">
        <f t="shared" si="153"/>
        <v>100</v>
      </c>
      <c r="S955" s="83">
        <f t="shared" si="154"/>
        <v>695</v>
      </c>
      <c r="T955" s="83">
        <f>0</f>
        <v>0</v>
      </c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</row>
    <row r="956" spans="1:30" ht="15.75" x14ac:dyDescent="0.25">
      <c r="A956" s="32">
        <v>70036</v>
      </c>
      <c r="B956" s="95">
        <f t="shared" si="155"/>
        <v>30</v>
      </c>
      <c r="C956" s="83">
        <f>194.205</f>
        <v>194.20500000000001</v>
      </c>
      <c r="D956" s="83">
        <f>267.466</f>
        <v>267.46600000000001</v>
      </c>
      <c r="E956" s="92">
        <f>133.845</f>
        <v>133.845</v>
      </c>
      <c r="F956" s="83">
        <f>278.484-40-25-60-100</f>
        <v>53.48399999999998</v>
      </c>
      <c r="G956" s="86">
        <v>40</v>
      </c>
      <c r="H956" s="83">
        <f t="shared" si="159"/>
        <v>185</v>
      </c>
      <c r="I956" s="83">
        <f t="shared" si="158"/>
        <v>0</v>
      </c>
      <c r="J956" s="86">
        <v>100</v>
      </c>
      <c r="K956" s="86">
        <v>300</v>
      </c>
      <c r="L956" s="83">
        <f t="shared" si="151"/>
        <v>1274</v>
      </c>
      <c r="M956" s="94">
        <v>600</v>
      </c>
      <c r="N956" s="83">
        <f>30</f>
        <v>30</v>
      </c>
      <c r="O956" s="86">
        <v>240</v>
      </c>
      <c r="P956" s="86">
        <v>40</v>
      </c>
      <c r="Q956" s="86">
        <f t="shared" si="152"/>
        <v>315</v>
      </c>
      <c r="R956" s="86">
        <f t="shared" si="153"/>
        <v>100</v>
      </c>
      <c r="S956" s="83">
        <f t="shared" si="154"/>
        <v>695</v>
      </c>
      <c r="T956" s="83">
        <f>0</f>
        <v>0</v>
      </c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</row>
    <row r="957" spans="1:30" ht="15.75" x14ac:dyDescent="0.25">
      <c r="A957" s="32">
        <v>70067</v>
      </c>
      <c r="B957" s="95">
        <f t="shared" si="155"/>
        <v>31</v>
      </c>
      <c r="C957" s="83">
        <f>131.881</f>
        <v>131.881</v>
      </c>
      <c r="D957" s="83">
        <f>277.167</f>
        <v>277.16699999999997</v>
      </c>
      <c r="E957" s="92">
        <f>79.08</f>
        <v>79.08</v>
      </c>
      <c r="F957" s="83">
        <f>350.872-40-25-60-100</f>
        <v>125.87200000000001</v>
      </c>
      <c r="G957" s="86">
        <v>40</v>
      </c>
      <c r="H957" s="83">
        <f t="shared" si="159"/>
        <v>185</v>
      </c>
      <c r="I957" s="83">
        <f t="shared" si="158"/>
        <v>0</v>
      </c>
      <c r="J957" s="86">
        <v>100</v>
      </c>
      <c r="K957" s="86">
        <v>300</v>
      </c>
      <c r="L957" s="83">
        <f t="shared" si="151"/>
        <v>1239</v>
      </c>
      <c r="M957" s="94">
        <v>600</v>
      </c>
      <c r="N957" s="83">
        <f>75</f>
        <v>75</v>
      </c>
      <c r="O957" s="86">
        <v>240</v>
      </c>
      <c r="P957" s="86">
        <v>40</v>
      </c>
      <c r="Q957" s="86">
        <f t="shared" si="152"/>
        <v>315</v>
      </c>
      <c r="R957" s="86">
        <f t="shared" si="153"/>
        <v>100</v>
      </c>
      <c r="S957" s="83">
        <f t="shared" si="154"/>
        <v>695</v>
      </c>
      <c r="T957" s="83">
        <f>0</f>
        <v>0</v>
      </c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</row>
    <row r="958" spans="1:30" ht="15.75" x14ac:dyDescent="0.25">
      <c r="A958" s="32">
        <v>70097</v>
      </c>
      <c r="B958" s="95">
        <f t="shared" si="155"/>
        <v>30</v>
      </c>
      <c r="C958" s="83">
        <f>122.58</f>
        <v>122.58</v>
      </c>
      <c r="D958" s="83">
        <f>297.941</f>
        <v>297.94099999999997</v>
      </c>
      <c r="E958" s="92">
        <f>89.177</f>
        <v>89.177000000000007</v>
      </c>
      <c r="F958" s="83">
        <f>240.302-40-60-100</f>
        <v>40.301999999999992</v>
      </c>
      <c r="G958" s="86">
        <v>40</v>
      </c>
      <c r="H958" s="83">
        <f>60+100</f>
        <v>160</v>
      </c>
      <c r="I958" s="83">
        <f t="shared" si="158"/>
        <v>0</v>
      </c>
      <c r="J958" s="86">
        <v>100</v>
      </c>
      <c r="K958" s="86">
        <v>300</v>
      </c>
      <c r="L958" s="83">
        <f t="shared" si="151"/>
        <v>1150</v>
      </c>
      <c r="M958" s="94">
        <v>600</v>
      </c>
      <c r="N958" s="83">
        <f>100</f>
        <v>100</v>
      </c>
      <c r="O958" s="86">
        <v>240</v>
      </c>
      <c r="P958" s="86">
        <v>40</v>
      </c>
      <c r="Q958" s="86">
        <f t="shared" si="152"/>
        <v>315</v>
      </c>
      <c r="R958" s="86">
        <f t="shared" si="153"/>
        <v>100</v>
      </c>
      <c r="S958" s="83">
        <f t="shared" si="154"/>
        <v>695</v>
      </c>
      <c r="T958" s="83">
        <f>50</f>
        <v>50</v>
      </c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</row>
    <row r="959" spans="1:30" ht="15.75" x14ac:dyDescent="0.25">
      <c r="A959" s="32">
        <v>70128</v>
      </c>
      <c r="B959" s="95">
        <f t="shared" si="155"/>
        <v>31</v>
      </c>
      <c r="C959" s="83">
        <f>122.58</f>
        <v>122.58</v>
      </c>
      <c r="D959" s="83">
        <f>297.941</f>
        <v>297.94099999999997</v>
      </c>
      <c r="E959" s="92">
        <f>89.177</f>
        <v>89.177000000000007</v>
      </c>
      <c r="F959" s="83">
        <f>240.302-40-60-100</f>
        <v>40.301999999999992</v>
      </c>
      <c r="G959" s="86">
        <v>40</v>
      </c>
      <c r="H959" s="83">
        <f>60+100</f>
        <v>160</v>
      </c>
      <c r="I959" s="83">
        <f t="shared" si="158"/>
        <v>0</v>
      </c>
      <c r="J959" s="86">
        <v>100</v>
      </c>
      <c r="K959" s="86">
        <v>300</v>
      </c>
      <c r="L959" s="83">
        <f t="shared" si="151"/>
        <v>1150</v>
      </c>
      <c r="M959" s="94">
        <v>600</v>
      </c>
      <c r="N959" s="83">
        <f>100</f>
        <v>100</v>
      </c>
      <c r="O959" s="86">
        <v>240</v>
      </c>
      <c r="P959" s="86">
        <v>40</v>
      </c>
      <c r="Q959" s="86">
        <f t="shared" si="152"/>
        <v>315</v>
      </c>
      <c r="R959" s="86">
        <f t="shared" si="153"/>
        <v>100</v>
      </c>
      <c r="S959" s="83">
        <f t="shared" si="154"/>
        <v>695</v>
      </c>
      <c r="T959" s="83">
        <f>50</f>
        <v>50</v>
      </c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</row>
    <row r="960" spans="1:30" ht="15.75" x14ac:dyDescent="0.25">
      <c r="A960" s="32">
        <v>70159</v>
      </c>
      <c r="B960" s="95">
        <f t="shared" si="155"/>
        <v>31</v>
      </c>
      <c r="C960" s="83">
        <f>122.58</f>
        <v>122.58</v>
      </c>
      <c r="D960" s="83">
        <f>297.941</f>
        <v>297.94099999999997</v>
      </c>
      <c r="E960" s="92">
        <f>89.177</f>
        <v>89.177000000000007</v>
      </c>
      <c r="F960" s="83">
        <f>240.302-40-60-100</f>
        <v>40.301999999999992</v>
      </c>
      <c r="G960" s="86">
        <v>40</v>
      </c>
      <c r="H960" s="83">
        <f>60+100</f>
        <v>160</v>
      </c>
      <c r="I960" s="83">
        <f t="shared" si="158"/>
        <v>0</v>
      </c>
      <c r="J960" s="86">
        <v>100</v>
      </c>
      <c r="K960" s="86">
        <v>300</v>
      </c>
      <c r="L960" s="83">
        <f t="shared" si="151"/>
        <v>1150</v>
      </c>
      <c r="M960" s="94">
        <v>600</v>
      </c>
      <c r="N960" s="83">
        <f>100</f>
        <v>100</v>
      </c>
      <c r="O960" s="86">
        <v>240</v>
      </c>
      <c r="P960" s="86">
        <v>40</v>
      </c>
      <c r="Q960" s="86">
        <f t="shared" si="152"/>
        <v>315</v>
      </c>
      <c r="R960" s="86">
        <f t="shared" si="153"/>
        <v>100</v>
      </c>
      <c r="S960" s="83">
        <f t="shared" si="154"/>
        <v>695</v>
      </c>
      <c r="T960" s="83">
        <f>50</f>
        <v>50</v>
      </c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</row>
    <row r="961" spans="1:30" ht="15.75" x14ac:dyDescent="0.25">
      <c r="A961" s="32">
        <v>70188</v>
      </c>
      <c r="B961" s="95">
        <f t="shared" si="155"/>
        <v>29</v>
      </c>
      <c r="C961" s="83">
        <f>122.58</f>
        <v>122.58</v>
      </c>
      <c r="D961" s="83">
        <f>297.941</f>
        <v>297.94099999999997</v>
      </c>
      <c r="E961" s="92">
        <f>89.177</f>
        <v>89.177000000000007</v>
      </c>
      <c r="F961" s="83">
        <f>240.302-40-60-100</f>
        <v>40.301999999999992</v>
      </c>
      <c r="G961" s="86">
        <v>40</v>
      </c>
      <c r="H961" s="83">
        <f>60+100</f>
        <v>160</v>
      </c>
      <c r="I961" s="83">
        <f t="shared" si="158"/>
        <v>0</v>
      </c>
      <c r="J961" s="86">
        <v>100</v>
      </c>
      <c r="K961" s="86">
        <v>300</v>
      </c>
      <c r="L961" s="83">
        <f t="shared" si="151"/>
        <v>1150</v>
      </c>
      <c r="M961" s="94">
        <v>600</v>
      </c>
      <c r="N961" s="83">
        <f>100</f>
        <v>100</v>
      </c>
      <c r="O961" s="86">
        <v>240</v>
      </c>
      <c r="P961" s="86">
        <v>40</v>
      </c>
      <c r="Q961" s="86">
        <f t="shared" si="152"/>
        <v>315</v>
      </c>
      <c r="R961" s="86">
        <f t="shared" si="153"/>
        <v>100</v>
      </c>
      <c r="S961" s="83">
        <f t="shared" si="154"/>
        <v>695</v>
      </c>
      <c r="T961" s="83">
        <f>50</f>
        <v>50</v>
      </c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</row>
    <row r="962" spans="1:30" ht="15.75" x14ac:dyDescent="0.25">
      <c r="A962" s="32">
        <v>70219</v>
      </c>
      <c r="B962" s="95">
        <f t="shared" si="155"/>
        <v>31</v>
      </c>
      <c r="C962" s="83">
        <f>122.58</f>
        <v>122.58</v>
      </c>
      <c r="D962" s="83">
        <f>297.941</f>
        <v>297.94099999999997</v>
      </c>
      <c r="E962" s="92">
        <f>89.177</f>
        <v>89.177000000000007</v>
      </c>
      <c r="F962" s="83">
        <f>240.302-40-60-100</f>
        <v>40.301999999999992</v>
      </c>
      <c r="G962" s="86">
        <v>40</v>
      </c>
      <c r="H962" s="83">
        <f>60+100</f>
        <v>160</v>
      </c>
      <c r="I962" s="83">
        <f t="shared" si="158"/>
        <v>0</v>
      </c>
      <c r="J962" s="86">
        <v>100</v>
      </c>
      <c r="K962" s="86">
        <v>300</v>
      </c>
      <c r="L962" s="83">
        <f t="shared" si="151"/>
        <v>1150</v>
      </c>
      <c r="M962" s="94">
        <v>600</v>
      </c>
      <c r="N962" s="83">
        <f>100</f>
        <v>100</v>
      </c>
      <c r="O962" s="86">
        <v>240</v>
      </c>
      <c r="P962" s="86">
        <v>40</v>
      </c>
      <c r="Q962" s="86">
        <f t="shared" si="152"/>
        <v>315</v>
      </c>
      <c r="R962" s="86">
        <f t="shared" si="153"/>
        <v>100</v>
      </c>
      <c r="S962" s="83">
        <f t="shared" si="154"/>
        <v>695</v>
      </c>
      <c r="T962" s="83">
        <f>50</f>
        <v>50</v>
      </c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</row>
    <row r="963" spans="1:30" ht="15.75" x14ac:dyDescent="0.25">
      <c r="A963" s="32">
        <v>70249</v>
      </c>
      <c r="B963" s="95">
        <f t="shared" si="155"/>
        <v>30</v>
      </c>
      <c r="C963" s="83">
        <f>141.293</f>
        <v>141.29300000000001</v>
      </c>
      <c r="D963" s="83">
        <f>267.993</f>
        <v>267.99299999999999</v>
      </c>
      <c r="E963" s="92">
        <f>115.016</f>
        <v>115.01600000000001</v>
      </c>
      <c r="F963" s="83">
        <f>314.698-40-25-60-100</f>
        <v>89.697999999999979</v>
      </c>
      <c r="G963" s="86">
        <v>40</v>
      </c>
      <c r="H963" s="83">
        <f t="shared" ref="H963:H969" si="160">25+60+100</f>
        <v>185</v>
      </c>
      <c r="I963" s="83">
        <f t="shared" si="158"/>
        <v>0</v>
      </c>
      <c r="J963" s="86">
        <v>100</v>
      </c>
      <c r="K963" s="86">
        <v>300</v>
      </c>
      <c r="L963" s="83">
        <f t="shared" si="151"/>
        <v>1239</v>
      </c>
      <c r="M963" s="94">
        <v>600</v>
      </c>
      <c r="N963" s="83">
        <f>100</f>
        <v>100</v>
      </c>
      <c r="O963" s="86">
        <v>240</v>
      </c>
      <c r="P963" s="86">
        <v>40</v>
      </c>
      <c r="Q963" s="86">
        <f t="shared" si="152"/>
        <v>315</v>
      </c>
      <c r="R963" s="86">
        <f t="shared" si="153"/>
        <v>100</v>
      </c>
      <c r="S963" s="83">
        <f t="shared" si="154"/>
        <v>695</v>
      </c>
      <c r="T963" s="83">
        <f>50</f>
        <v>50</v>
      </c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</row>
    <row r="964" spans="1:30" ht="15.75" x14ac:dyDescent="0.25">
      <c r="A964" s="32">
        <v>70280</v>
      </c>
      <c r="B964" s="95">
        <f t="shared" si="155"/>
        <v>31</v>
      </c>
      <c r="C964" s="83">
        <f>194.205</f>
        <v>194.20500000000001</v>
      </c>
      <c r="D964" s="83">
        <f>267.466</f>
        <v>267.46600000000001</v>
      </c>
      <c r="E964" s="92">
        <f>133.845</f>
        <v>133.845</v>
      </c>
      <c r="F964" s="83">
        <f>278.484-40-25-60-100</f>
        <v>53.48399999999998</v>
      </c>
      <c r="G964" s="86">
        <v>40</v>
      </c>
      <c r="H964" s="83">
        <f t="shared" si="160"/>
        <v>185</v>
      </c>
      <c r="I964" s="83">
        <f t="shared" si="158"/>
        <v>0</v>
      </c>
      <c r="J964" s="86">
        <v>100</v>
      </c>
      <c r="K964" s="86">
        <v>300</v>
      </c>
      <c r="L964" s="83">
        <f t="shared" si="151"/>
        <v>1274</v>
      </c>
      <c r="M964" s="94">
        <v>600</v>
      </c>
      <c r="N964" s="83">
        <f>75</f>
        <v>75</v>
      </c>
      <c r="O964" s="86">
        <v>240</v>
      </c>
      <c r="P964" s="86">
        <v>40</v>
      </c>
      <c r="Q964" s="86">
        <f t="shared" si="152"/>
        <v>315</v>
      </c>
      <c r="R964" s="86">
        <f t="shared" si="153"/>
        <v>100</v>
      </c>
      <c r="S964" s="83">
        <f t="shared" si="154"/>
        <v>695</v>
      </c>
      <c r="T964" s="83">
        <f>50</f>
        <v>50</v>
      </c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</row>
    <row r="965" spans="1:30" ht="15.75" x14ac:dyDescent="0.25">
      <c r="A965" s="32">
        <v>70310</v>
      </c>
      <c r="B965" s="95">
        <f t="shared" si="155"/>
        <v>30</v>
      </c>
      <c r="C965" s="83">
        <f>194.205</f>
        <v>194.20500000000001</v>
      </c>
      <c r="D965" s="83">
        <f>267.466</f>
        <v>267.46600000000001</v>
      </c>
      <c r="E965" s="92">
        <f>133.845</f>
        <v>133.845</v>
      </c>
      <c r="F965" s="83">
        <f>278.484-40-25-60-100</f>
        <v>53.48399999999998</v>
      </c>
      <c r="G965" s="86">
        <v>40</v>
      </c>
      <c r="H965" s="83">
        <f t="shared" si="160"/>
        <v>185</v>
      </c>
      <c r="I965" s="83">
        <f t="shared" si="158"/>
        <v>0</v>
      </c>
      <c r="J965" s="86">
        <v>100</v>
      </c>
      <c r="K965" s="86">
        <v>300</v>
      </c>
      <c r="L965" s="83">
        <f t="shared" si="151"/>
        <v>1274</v>
      </c>
      <c r="M965" s="94">
        <v>600</v>
      </c>
      <c r="N965" s="83">
        <f>30</f>
        <v>30</v>
      </c>
      <c r="O965" s="86">
        <v>240</v>
      </c>
      <c r="P965" s="86">
        <v>40</v>
      </c>
      <c r="Q965" s="86">
        <f t="shared" si="152"/>
        <v>315</v>
      </c>
      <c r="R965" s="86">
        <f t="shared" si="153"/>
        <v>100</v>
      </c>
      <c r="S965" s="83">
        <f t="shared" si="154"/>
        <v>695</v>
      </c>
      <c r="T965" s="83">
        <f>50</f>
        <v>50</v>
      </c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</row>
    <row r="966" spans="1:30" ht="15.75" x14ac:dyDescent="0.25">
      <c r="A966" s="32">
        <v>70341</v>
      </c>
      <c r="B966" s="95">
        <f t="shared" si="155"/>
        <v>31</v>
      </c>
      <c r="C966" s="83">
        <f>194.205</f>
        <v>194.20500000000001</v>
      </c>
      <c r="D966" s="83">
        <f>267.466</f>
        <v>267.46600000000001</v>
      </c>
      <c r="E966" s="92">
        <f>133.845</f>
        <v>133.845</v>
      </c>
      <c r="F966" s="83">
        <f>278.484-40-25-60-100</f>
        <v>53.48399999999998</v>
      </c>
      <c r="G966" s="86">
        <v>40</v>
      </c>
      <c r="H966" s="83">
        <f t="shared" si="160"/>
        <v>185</v>
      </c>
      <c r="I966" s="83">
        <f t="shared" si="158"/>
        <v>0</v>
      </c>
      <c r="J966" s="86">
        <v>100</v>
      </c>
      <c r="K966" s="86">
        <v>300</v>
      </c>
      <c r="L966" s="83">
        <f t="shared" si="151"/>
        <v>1274</v>
      </c>
      <c r="M966" s="94">
        <v>600</v>
      </c>
      <c r="N966" s="83">
        <f>30</f>
        <v>30</v>
      </c>
      <c r="O966" s="86">
        <v>240</v>
      </c>
      <c r="P966" s="86">
        <v>40</v>
      </c>
      <c r="Q966" s="86">
        <f t="shared" si="152"/>
        <v>315</v>
      </c>
      <c r="R966" s="86">
        <f t="shared" si="153"/>
        <v>100</v>
      </c>
      <c r="S966" s="83">
        <f t="shared" si="154"/>
        <v>695</v>
      </c>
      <c r="T966" s="83">
        <f>0</f>
        <v>0</v>
      </c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</row>
    <row r="967" spans="1:30" ht="15.75" x14ac:dyDescent="0.25">
      <c r="A967" s="32">
        <v>70372</v>
      </c>
      <c r="B967" s="95">
        <f t="shared" si="155"/>
        <v>31</v>
      </c>
      <c r="C967" s="83">
        <f>194.205</f>
        <v>194.20500000000001</v>
      </c>
      <c r="D967" s="83">
        <f>267.466</f>
        <v>267.46600000000001</v>
      </c>
      <c r="E967" s="92">
        <f>133.845</f>
        <v>133.845</v>
      </c>
      <c r="F967" s="83">
        <f>278.484-40-25-60-100</f>
        <v>53.48399999999998</v>
      </c>
      <c r="G967" s="86">
        <v>40</v>
      </c>
      <c r="H967" s="83">
        <f t="shared" si="160"/>
        <v>185</v>
      </c>
      <c r="I967" s="83">
        <f t="shared" si="158"/>
        <v>0</v>
      </c>
      <c r="J967" s="86">
        <v>100</v>
      </c>
      <c r="K967" s="86">
        <v>300</v>
      </c>
      <c r="L967" s="83">
        <f t="shared" si="151"/>
        <v>1274</v>
      </c>
      <c r="M967" s="94">
        <v>600</v>
      </c>
      <c r="N967" s="83">
        <f>30</f>
        <v>30</v>
      </c>
      <c r="O967" s="86">
        <v>240</v>
      </c>
      <c r="P967" s="86">
        <v>40</v>
      </c>
      <c r="Q967" s="86">
        <f t="shared" si="152"/>
        <v>315</v>
      </c>
      <c r="R967" s="86">
        <f t="shared" si="153"/>
        <v>100</v>
      </c>
      <c r="S967" s="83">
        <f t="shared" si="154"/>
        <v>695</v>
      </c>
      <c r="T967" s="83">
        <f>0</f>
        <v>0</v>
      </c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</row>
    <row r="968" spans="1:30" ht="15.75" x14ac:dyDescent="0.25">
      <c r="A968" s="32">
        <v>70402</v>
      </c>
      <c r="B968" s="95">
        <f t="shared" si="155"/>
        <v>30</v>
      </c>
      <c r="C968" s="83">
        <f>194.205</f>
        <v>194.20500000000001</v>
      </c>
      <c r="D968" s="83">
        <f>267.466</f>
        <v>267.46600000000001</v>
      </c>
      <c r="E968" s="92">
        <f>133.845</f>
        <v>133.845</v>
      </c>
      <c r="F968" s="83">
        <f>278.484-40-25-60-100</f>
        <v>53.48399999999998</v>
      </c>
      <c r="G968" s="86">
        <v>40</v>
      </c>
      <c r="H968" s="83">
        <f t="shared" si="160"/>
        <v>185</v>
      </c>
      <c r="I968" s="83">
        <f t="shared" si="158"/>
        <v>0</v>
      </c>
      <c r="J968" s="86">
        <v>100</v>
      </c>
      <c r="K968" s="86">
        <v>300</v>
      </c>
      <c r="L968" s="83">
        <f t="shared" si="151"/>
        <v>1274</v>
      </c>
      <c r="M968" s="94">
        <v>600</v>
      </c>
      <c r="N968" s="83">
        <f>30</f>
        <v>30</v>
      </c>
      <c r="O968" s="86">
        <v>240</v>
      </c>
      <c r="P968" s="86">
        <v>40</v>
      </c>
      <c r="Q968" s="86">
        <f t="shared" si="152"/>
        <v>315</v>
      </c>
      <c r="R968" s="86">
        <f t="shared" si="153"/>
        <v>100</v>
      </c>
      <c r="S968" s="83">
        <f t="shared" si="154"/>
        <v>695</v>
      </c>
      <c r="T968" s="83">
        <f>0</f>
        <v>0</v>
      </c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</row>
    <row r="969" spans="1:30" ht="15.75" x14ac:dyDescent="0.25">
      <c r="A969" s="32">
        <v>70433</v>
      </c>
      <c r="B969" s="95">
        <f t="shared" si="155"/>
        <v>31</v>
      </c>
      <c r="C969" s="83">
        <f>131.881</f>
        <v>131.881</v>
      </c>
      <c r="D969" s="83">
        <f>277.167</f>
        <v>277.16699999999997</v>
      </c>
      <c r="E969" s="92">
        <f>79.08</f>
        <v>79.08</v>
      </c>
      <c r="F969" s="83">
        <f>350.872-40-25-60-100</f>
        <v>125.87200000000001</v>
      </c>
      <c r="G969" s="86">
        <v>40</v>
      </c>
      <c r="H969" s="83">
        <f t="shared" si="160"/>
        <v>185</v>
      </c>
      <c r="I969" s="83">
        <f t="shared" si="158"/>
        <v>0</v>
      </c>
      <c r="J969" s="86">
        <v>100</v>
      </c>
      <c r="K969" s="86">
        <v>300</v>
      </c>
      <c r="L969" s="83">
        <f t="shared" si="151"/>
        <v>1239</v>
      </c>
      <c r="M969" s="94">
        <v>600</v>
      </c>
      <c r="N969" s="83">
        <f>75</f>
        <v>75</v>
      </c>
      <c r="O969" s="86">
        <v>240</v>
      </c>
      <c r="P969" s="86">
        <v>40</v>
      </c>
      <c r="Q969" s="86">
        <f t="shared" si="152"/>
        <v>315</v>
      </c>
      <c r="R969" s="86">
        <f t="shared" si="153"/>
        <v>100</v>
      </c>
      <c r="S969" s="83">
        <f t="shared" si="154"/>
        <v>695</v>
      </c>
      <c r="T969" s="83">
        <f>0</f>
        <v>0</v>
      </c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</row>
    <row r="970" spans="1:30" ht="15.75" x14ac:dyDescent="0.25">
      <c r="A970" s="32">
        <v>70463</v>
      </c>
      <c r="B970" s="95">
        <f t="shared" si="155"/>
        <v>30</v>
      </c>
      <c r="C970" s="83">
        <f>122.58</f>
        <v>122.58</v>
      </c>
      <c r="D970" s="83">
        <f>297.941</f>
        <v>297.94099999999997</v>
      </c>
      <c r="E970" s="92">
        <f>89.177</f>
        <v>89.177000000000007</v>
      </c>
      <c r="F970" s="83">
        <f>240.302-40-60-100</f>
        <v>40.301999999999992</v>
      </c>
      <c r="G970" s="86">
        <v>40</v>
      </c>
      <c r="H970" s="83">
        <f>60+100</f>
        <v>160</v>
      </c>
      <c r="I970" s="83">
        <f t="shared" si="158"/>
        <v>0</v>
      </c>
      <c r="J970" s="86">
        <v>100</v>
      </c>
      <c r="K970" s="86">
        <v>300</v>
      </c>
      <c r="L970" s="83">
        <f t="shared" si="151"/>
        <v>1150</v>
      </c>
      <c r="M970" s="94">
        <v>600</v>
      </c>
      <c r="N970" s="83">
        <f>100</f>
        <v>100</v>
      </c>
      <c r="O970" s="86">
        <v>240</v>
      </c>
      <c r="P970" s="86">
        <v>40</v>
      </c>
      <c r="Q970" s="86">
        <f t="shared" si="152"/>
        <v>315</v>
      </c>
      <c r="R970" s="86">
        <f t="shared" si="153"/>
        <v>100</v>
      </c>
      <c r="S970" s="83">
        <f t="shared" si="154"/>
        <v>695</v>
      </c>
      <c r="T970" s="83">
        <f>50</f>
        <v>50</v>
      </c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</row>
    <row r="971" spans="1:30" ht="15.75" x14ac:dyDescent="0.25">
      <c r="A971" s="32">
        <v>70494</v>
      </c>
      <c r="B971" s="95">
        <f t="shared" si="155"/>
        <v>31</v>
      </c>
      <c r="C971" s="83">
        <f>122.58</f>
        <v>122.58</v>
      </c>
      <c r="D971" s="83">
        <f>297.941</f>
        <v>297.94099999999997</v>
      </c>
      <c r="E971" s="92">
        <f>89.177</f>
        <v>89.177000000000007</v>
      </c>
      <c r="F971" s="83">
        <f>240.302-40-60-100</f>
        <v>40.301999999999992</v>
      </c>
      <c r="G971" s="86">
        <v>40</v>
      </c>
      <c r="H971" s="83">
        <f>60+100</f>
        <v>160</v>
      </c>
      <c r="I971" s="83">
        <f t="shared" si="158"/>
        <v>0</v>
      </c>
      <c r="J971" s="86">
        <v>100</v>
      </c>
      <c r="K971" s="86">
        <v>300</v>
      </c>
      <c r="L971" s="83">
        <f t="shared" si="151"/>
        <v>1150</v>
      </c>
      <c r="M971" s="94">
        <v>600</v>
      </c>
      <c r="N971" s="83">
        <f>100</f>
        <v>100</v>
      </c>
      <c r="O971" s="86">
        <v>240</v>
      </c>
      <c r="P971" s="86">
        <v>40</v>
      </c>
      <c r="Q971" s="86">
        <f t="shared" si="152"/>
        <v>315</v>
      </c>
      <c r="R971" s="86">
        <f t="shared" si="153"/>
        <v>100</v>
      </c>
      <c r="S971" s="83">
        <f t="shared" si="154"/>
        <v>695</v>
      </c>
      <c r="T971" s="83">
        <f>50</f>
        <v>50</v>
      </c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</row>
    <row r="972" spans="1:30" ht="15.75" x14ac:dyDescent="0.25">
      <c r="A972" s="32">
        <v>70525</v>
      </c>
      <c r="B972" s="95">
        <f t="shared" si="155"/>
        <v>31</v>
      </c>
      <c r="C972" s="83">
        <f>122.58</f>
        <v>122.58</v>
      </c>
      <c r="D972" s="83">
        <f>297.941</f>
        <v>297.94099999999997</v>
      </c>
      <c r="E972" s="92">
        <f>89.177</f>
        <v>89.177000000000007</v>
      </c>
      <c r="F972" s="83">
        <f>240.302-40-60-100</f>
        <v>40.301999999999992</v>
      </c>
      <c r="G972" s="86">
        <v>40</v>
      </c>
      <c r="H972" s="83">
        <f>60+100</f>
        <v>160</v>
      </c>
      <c r="I972" s="83">
        <f t="shared" si="158"/>
        <v>0</v>
      </c>
      <c r="J972" s="86">
        <v>100</v>
      </c>
      <c r="K972" s="86">
        <v>300</v>
      </c>
      <c r="L972" s="83">
        <f t="shared" si="151"/>
        <v>1150</v>
      </c>
      <c r="M972" s="94">
        <v>600</v>
      </c>
      <c r="N972" s="83">
        <f>100</f>
        <v>100</v>
      </c>
      <c r="O972" s="86">
        <v>240</v>
      </c>
      <c r="P972" s="86">
        <v>40</v>
      </c>
      <c r="Q972" s="86">
        <f t="shared" si="152"/>
        <v>315</v>
      </c>
      <c r="R972" s="86">
        <f t="shared" si="153"/>
        <v>100</v>
      </c>
      <c r="S972" s="83">
        <f t="shared" si="154"/>
        <v>695</v>
      </c>
      <c r="T972" s="83">
        <f>50</f>
        <v>50</v>
      </c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</row>
    <row r="973" spans="1:30" ht="15.75" x14ac:dyDescent="0.25">
      <c r="A973" s="32">
        <v>70553</v>
      </c>
      <c r="B973" s="95">
        <f t="shared" si="155"/>
        <v>28</v>
      </c>
      <c r="C973" s="83">
        <f>122.58</f>
        <v>122.58</v>
      </c>
      <c r="D973" s="83">
        <f>297.941</f>
        <v>297.94099999999997</v>
      </c>
      <c r="E973" s="92">
        <f>89.177</f>
        <v>89.177000000000007</v>
      </c>
      <c r="F973" s="83">
        <f>240.302-40-60-100</f>
        <v>40.301999999999992</v>
      </c>
      <c r="G973" s="86">
        <v>40</v>
      </c>
      <c r="H973" s="83">
        <f>60+100</f>
        <v>160</v>
      </c>
      <c r="I973" s="83">
        <f t="shared" si="158"/>
        <v>0</v>
      </c>
      <c r="J973" s="86">
        <v>100</v>
      </c>
      <c r="K973" s="86">
        <v>300</v>
      </c>
      <c r="L973" s="83">
        <f t="shared" si="151"/>
        <v>1150</v>
      </c>
      <c r="M973" s="94">
        <v>600</v>
      </c>
      <c r="N973" s="83">
        <f>100</f>
        <v>100</v>
      </c>
      <c r="O973" s="86">
        <v>240</v>
      </c>
      <c r="P973" s="86">
        <v>40</v>
      </c>
      <c r="Q973" s="86">
        <f t="shared" si="152"/>
        <v>315</v>
      </c>
      <c r="R973" s="86">
        <f t="shared" si="153"/>
        <v>100</v>
      </c>
      <c r="S973" s="83">
        <f t="shared" si="154"/>
        <v>695</v>
      </c>
      <c r="T973" s="83">
        <f>50</f>
        <v>50</v>
      </c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</row>
    <row r="974" spans="1:30" ht="15.75" x14ac:dyDescent="0.25">
      <c r="A974" s="32">
        <v>70584</v>
      </c>
      <c r="B974" s="95">
        <f t="shared" si="155"/>
        <v>31</v>
      </c>
      <c r="C974" s="83">
        <f>122.58</f>
        <v>122.58</v>
      </c>
      <c r="D974" s="83">
        <f>297.941</f>
        <v>297.94099999999997</v>
      </c>
      <c r="E974" s="92">
        <f>89.177</f>
        <v>89.177000000000007</v>
      </c>
      <c r="F974" s="83">
        <f>240.302-40-60-100</f>
        <v>40.301999999999992</v>
      </c>
      <c r="G974" s="86">
        <v>40</v>
      </c>
      <c r="H974" s="83">
        <f>60+100</f>
        <v>160</v>
      </c>
      <c r="I974" s="83">
        <f t="shared" si="158"/>
        <v>0</v>
      </c>
      <c r="J974" s="86">
        <v>100</v>
      </c>
      <c r="K974" s="86">
        <v>300</v>
      </c>
      <c r="L974" s="83">
        <f t="shared" si="151"/>
        <v>1150</v>
      </c>
      <c r="M974" s="94">
        <v>600</v>
      </c>
      <c r="N974" s="83">
        <f>100</f>
        <v>100</v>
      </c>
      <c r="O974" s="86">
        <v>240</v>
      </c>
      <c r="P974" s="86">
        <v>40</v>
      </c>
      <c r="Q974" s="86">
        <f t="shared" si="152"/>
        <v>315</v>
      </c>
      <c r="R974" s="86">
        <f t="shared" si="153"/>
        <v>100</v>
      </c>
      <c r="S974" s="83">
        <f t="shared" si="154"/>
        <v>695</v>
      </c>
      <c r="T974" s="83">
        <f>50</f>
        <v>50</v>
      </c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</row>
    <row r="975" spans="1:30" ht="15.75" x14ac:dyDescent="0.25">
      <c r="A975" s="32">
        <v>70614</v>
      </c>
      <c r="B975" s="95">
        <f t="shared" si="155"/>
        <v>30</v>
      </c>
      <c r="C975" s="83">
        <f>141.293</f>
        <v>141.29300000000001</v>
      </c>
      <c r="D975" s="83">
        <f>267.993</f>
        <v>267.99299999999999</v>
      </c>
      <c r="E975" s="92">
        <f>115.016</f>
        <v>115.01600000000001</v>
      </c>
      <c r="F975" s="83">
        <f>314.698-40-25-60-100</f>
        <v>89.697999999999979</v>
      </c>
      <c r="G975" s="86">
        <v>40</v>
      </c>
      <c r="H975" s="83">
        <f t="shared" ref="H975:H981" si="161">25+60+100</f>
        <v>185</v>
      </c>
      <c r="I975" s="83">
        <f t="shared" si="158"/>
        <v>0</v>
      </c>
      <c r="J975" s="86">
        <v>100</v>
      </c>
      <c r="K975" s="86">
        <v>300</v>
      </c>
      <c r="L975" s="83">
        <f t="shared" si="151"/>
        <v>1239</v>
      </c>
      <c r="M975" s="94">
        <v>600</v>
      </c>
      <c r="N975" s="83">
        <f>100</f>
        <v>100</v>
      </c>
      <c r="O975" s="86">
        <v>240</v>
      </c>
      <c r="P975" s="86">
        <v>40</v>
      </c>
      <c r="Q975" s="86">
        <f t="shared" si="152"/>
        <v>315</v>
      </c>
      <c r="R975" s="86">
        <f t="shared" si="153"/>
        <v>100</v>
      </c>
      <c r="S975" s="83">
        <f t="shared" si="154"/>
        <v>695</v>
      </c>
      <c r="T975" s="83">
        <f>50</f>
        <v>50</v>
      </c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</row>
    <row r="976" spans="1:30" ht="15.75" x14ac:dyDescent="0.25">
      <c r="A976" s="32">
        <v>70645</v>
      </c>
      <c r="B976" s="95">
        <f t="shared" si="155"/>
        <v>31</v>
      </c>
      <c r="C976" s="83">
        <f>194.205</f>
        <v>194.20500000000001</v>
      </c>
      <c r="D976" s="83">
        <f>267.466</f>
        <v>267.46600000000001</v>
      </c>
      <c r="E976" s="92">
        <f>133.845</f>
        <v>133.845</v>
      </c>
      <c r="F976" s="83">
        <f>278.484-40-25-60-100</f>
        <v>53.48399999999998</v>
      </c>
      <c r="G976" s="86">
        <v>40</v>
      </c>
      <c r="H976" s="83">
        <f t="shared" si="161"/>
        <v>185</v>
      </c>
      <c r="I976" s="83">
        <f t="shared" si="158"/>
        <v>0</v>
      </c>
      <c r="J976" s="86">
        <v>100</v>
      </c>
      <c r="K976" s="86">
        <v>300</v>
      </c>
      <c r="L976" s="83">
        <f t="shared" si="151"/>
        <v>1274</v>
      </c>
      <c r="M976" s="94">
        <v>600</v>
      </c>
      <c r="N976" s="83">
        <f>75</f>
        <v>75</v>
      </c>
      <c r="O976" s="86">
        <v>240</v>
      </c>
      <c r="P976" s="86">
        <v>40</v>
      </c>
      <c r="Q976" s="86">
        <f t="shared" si="152"/>
        <v>315</v>
      </c>
      <c r="R976" s="86">
        <f t="shared" si="153"/>
        <v>100</v>
      </c>
      <c r="S976" s="83">
        <f t="shared" si="154"/>
        <v>695</v>
      </c>
      <c r="T976" s="83">
        <f>50</f>
        <v>50</v>
      </c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</row>
    <row r="977" spans="1:30" ht="15.75" x14ac:dyDescent="0.25">
      <c r="A977" s="32">
        <v>70675</v>
      </c>
      <c r="B977" s="95">
        <f t="shared" si="155"/>
        <v>30</v>
      </c>
      <c r="C977" s="83">
        <f>194.205</f>
        <v>194.20500000000001</v>
      </c>
      <c r="D977" s="83">
        <f>267.466</f>
        <v>267.46600000000001</v>
      </c>
      <c r="E977" s="92">
        <f>133.845</f>
        <v>133.845</v>
      </c>
      <c r="F977" s="83">
        <f>278.484-40-25-60-100</f>
        <v>53.48399999999998</v>
      </c>
      <c r="G977" s="86">
        <v>40</v>
      </c>
      <c r="H977" s="83">
        <f t="shared" si="161"/>
        <v>185</v>
      </c>
      <c r="I977" s="83">
        <f t="shared" si="158"/>
        <v>0</v>
      </c>
      <c r="J977" s="86">
        <v>100</v>
      </c>
      <c r="K977" s="86">
        <v>300</v>
      </c>
      <c r="L977" s="83">
        <f t="shared" si="151"/>
        <v>1274</v>
      </c>
      <c r="M977" s="94">
        <v>600</v>
      </c>
      <c r="N977" s="83">
        <f>30</f>
        <v>30</v>
      </c>
      <c r="O977" s="86">
        <v>240</v>
      </c>
      <c r="P977" s="86">
        <v>40</v>
      </c>
      <c r="Q977" s="86">
        <f t="shared" si="152"/>
        <v>315</v>
      </c>
      <c r="R977" s="86">
        <f t="shared" si="153"/>
        <v>100</v>
      </c>
      <c r="S977" s="83">
        <f t="shared" si="154"/>
        <v>695</v>
      </c>
      <c r="T977" s="83">
        <f>50</f>
        <v>50</v>
      </c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</row>
    <row r="978" spans="1:30" ht="15.75" x14ac:dyDescent="0.25">
      <c r="A978" s="32">
        <v>70706</v>
      </c>
      <c r="B978" s="95">
        <f t="shared" si="155"/>
        <v>31</v>
      </c>
      <c r="C978" s="83">
        <f>194.205</f>
        <v>194.20500000000001</v>
      </c>
      <c r="D978" s="83">
        <f>267.466</f>
        <v>267.46600000000001</v>
      </c>
      <c r="E978" s="92">
        <f>133.845</f>
        <v>133.845</v>
      </c>
      <c r="F978" s="83">
        <f>278.484-40-25-60-100</f>
        <v>53.48399999999998</v>
      </c>
      <c r="G978" s="86">
        <v>40</v>
      </c>
      <c r="H978" s="83">
        <f t="shared" si="161"/>
        <v>185</v>
      </c>
      <c r="I978" s="83">
        <f t="shared" si="158"/>
        <v>0</v>
      </c>
      <c r="J978" s="86">
        <v>100</v>
      </c>
      <c r="K978" s="86">
        <v>300</v>
      </c>
      <c r="L978" s="83">
        <f t="shared" si="151"/>
        <v>1274</v>
      </c>
      <c r="M978" s="94">
        <v>600</v>
      </c>
      <c r="N978" s="83">
        <f>30</f>
        <v>30</v>
      </c>
      <c r="O978" s="86">
        <v>240</v>
      </c>
      <c r="P978" s="86">
        <v>40</v>
      </c>
      <c r="Q978" s="86">
        <f t="shared" si="152"/>
        <v>315</v>
      </c>
      <c r="R978" s="86">
        <f t="shared" si="153"/>
        <v>100</v>
      </c>
      <c r="S978" s="83">
        <f t="shared" si="154"/>
        <v>695</v>
      </c>
      <c r="T978" s="83">
        <f>0</f>
        <v>0</v>
      </c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</row>
    <row r="979" spans="1:30" ht="15.75" x14ac:dyDescent="0.25">
      <c r="A979" s="32">
        <v>70737</v>
      </c>
      <c r="B979" s="95">
        <f t="shared" si="155"/>
        <v>31</v>
      </c>
      <c r="C979" s="83">
        <f>194.205</f>
        <v>194.20500000000001</v>
      </c>
      <c r="D979" s="83">
        <f>267.466</f>
        <v>267.46600000000001</v>
      </c>
      <c r="E979" s="92">
        <f>133.845</f>
        <v>133.845</v>
      </c>
      <c r="F979" s="83">
        <f>278.484-40-25-60-100</f>
        <v>53.48399999999998</v>
      </c>
      <c r="G979" s="86">
        <v>40</v>
      </c>
      <c r="H979" s="83">
        <f t="shared" si="161"/>
        <v>185</v>
      </c>
      <c r="I979" s="83">
        <f t="shared" si="158"/>
        <v>0</v>
      </c>
      <c r="J979" s="86">
        <v>100</v>
      </c>
      <c r="K979" s="86">
        <v>300</v>
      </c>
      <c r="L979" s="83">
        <f t="shared" si="151"/>
        <v>1274</v>
      </c>
      <c r="M979" s="94">
        <v>600</v>
      </c>
      <c r="N979" s="83">
        <f>30</f>
        <v>30</v>
      </c>
      <c r="O979" s="86">
        <v>240</v>
      </c>
      <c r="P979" s="86">
        <v>40</v>
      </c>
      <c r="Q979" s="86">
        <f t="shared" si="152"/>
        <v>315</v>
      </c>
      <c r="R979" s="86">
        <f t="shared" si="153"/>
        <v>100</v>
      </c>
      <c r="S979" s="83">
        <f t="shared" si="154"/>
        <v>695</v>
      </c>
      <c r="T979" s="83">
        <f>0</f>
        <v>0</v>
      </c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</row>
    <row r="980" spans="1:30" ht="15.75" x14ac:dyDescent="0.25">
      <c r="A980" s="32">
        <v>70767</v>
      </c>
      <c r="B980" s="95">
        <f t="shared" si="155"/>
        <v>30</v>
      </c>
      <c r="C980" s="83">
        <f>194.205</f>
        <v>194.20500000000001</v>
      </c>
      <c r="D980" s="83">
        <f>267.466</f>
        <v>267.46600000000001</v>
      </c>
      <c r="E980" s="92">
        <f>133.845</f>
        <v>133.845</v>
      </c>
      <c r="F980" s="83">
        <f>278.484-40-25-60-100</f>
        <v>53.48399999999998</v>
      </c>
      <c r="G980" s="86">
        <v>40</v>
      </c>
      <c r="H980" s="83">
        <f t="shared" si="161"/>
        <v>185</v>
      </c>
      <c r="I980" s="83">
        <f t="shared" si="158"/>
        <v>0</v>
      </c>
      <c r="J980" s="86">
        <v>100</v>
      </c>
      <c r="K980" s="86">
        <v>300</v>
      </c>
      <c r="L980" s="83">
        <f t="shared" si="151"/>
        <v>1274</v>
      </c>
      <c r="M980" s="94">
        <v>600</v>
      </c>
      <c r="N980" s="83">
        <f>30</f>
        <v>30</v>
      </c>
      <c r="O980" s="86">
        <v>240</v>
      </c>
      <c r="P980" s="86">
        <v>40</v>
      </c>
      <c r="Q980" s="86">
        <f t="shared" si="152"/>
        <v>315</v>
      </c>
      <c r="R980" s="86">
        <f t="shared" si="153"/>
        <v>100</v>
      </c>
      <c r="S980" s="83">
        <f t="shared" si="154"/>
        <v>695</v>
      </c>
      <c r="T980" s="83">
        <f>0</f>
        <v>0</v>
      </c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</row>
    <row r="981" spans="1:30" ht="15.75" x14ac:dyDescent="0.25">
      <c r="A981" s="32">
        <v>70798</v>
      </c>
      <c r="B981" s="95">
        <f t="shared" si="155"/>
        <v>31</v>
      </c>
      <c r="C981" s="83">
        <f>131.881</f>
        <v>131.881</v>
      </c>
      <c r="D981" s="83">
        <f>277.167</f>
        <v>277.16699999999997</v>
      </c>
      <c r="E981" s="92">
        <f>79.08</f>
        <v>79.08</v>
      </c>
      <c r="F981" s="83">
        <f>350.872-40-25-60-100</f>
        <v>125.87200000000001</v>
      </c>
      <c r="G981" s="86">
        <v>40</v>
      </c>
      <c r="H981" s="83">
        <f t="shared" si="161"/>
        <v>185</v>
      </c>
      <c r="I981" s="83">
        <f t="shared" si="158"/>
        <v>0</v>
      </c>
      <c r="J981" s="86">
        <v>100</v>
      </c>
      <c r="K981" s="86">
        <v>300</v>
      </c>
      <c r="L981" s="83">
        <f t="shared" ref="L981:L1044" si="162">SUM(C981:K981)</f>
        <v>1239</v>
      </c>
      <c r="M981" s="94">
        <v>600</v>
      </c>
      <c r="N981" s="83">
        <f>75</f>
        <v>75</v>
      </c>
      <c r="O981" s="86">
        <v>240</v>
      </c>
      <c r="P981" s="86">
        <v>40</v>
      </c>
      <c r="Q981" s="86">
        <f t="shared" ref="Q981:Q1044" si="163">695-R981-O981-P981</f>
        <v>315</v>
      </c>
      <c r="R981" s="86">
        <f t="shared" ref="R981:R1044" si="164">200-J981</f>
        <v>100</v>
      </c>
      <c r="S981" s="83">
        <f t="shared" ref="S981:S1044" si="165">SUM(O981:R981)</f>
        <v>695</v>
      </c>
      <c r="T981" s="83">
        <f>0</f>
        <v>0</v>
      </c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</row>
    <row r="982" spans="1:30" ht="15.75" x14ac:dyDescent="0.25">
      <c r="A982" s="32">
        <v>70828</v>
      </c>
      <c r="B982" s="95">
        <f t="shared" si="155"/>
        <v>30</v>
      </c>
      <c r="C982" s="83">
        <f>122.58</f>
        <v>122.58</v>
      </c>
      <c r="D982" s="83">
        <f>297.941</f>
        <v>297.94099999999997</v>
      </c>
      <c r="E982" s="92">
        <f>89.177</f>
        <v>89.177000000000007</v>
      </c>
      <c r="F982" s="83">
        <f>240.302-40-60-100</f>
        <v>40.301999999999992</v>
      </c>
      <c r="G982" s="86">
        <v>40</v>
      </c>
      <c r="H982" s="83">
        <f>60+100</f>
        <v>160</v>
      </c>
      <c r="I982" s="83">
        <f t="shared" si="158"/>
        <v>0</v>
      </c>
      <c r="J982" s="86">
        <v>100</v>
      </c>
      <c r="K982" s="86">
        <v>300</v>
      </c>
      <c r="L982" s="83">
        <f t="shared" si="162"/>
        <v>1150</v>
      </c>
      <c r="M982" s="94">
        <v>600</v>
      </c>
      <c r="N982" s="83">
        <f>100</f>
        <v>100</v>
      </c>
      <c r="O982" s="86">
        <v>240</v>
      </c>
      <c r="P982" s="86">
        <v>40</v>
      </c>
      <c r="Q982" s="86">
        <f t="shared" si="163"/>
        <v>315</v>
      </c>
      <c r="R982" s="86">
        <f t="shared" si="164"/>
        <v>100</v>
      </c>
      <c r="S982" s="83">
        <f t="shared" si="165"/>
        <v>695</v>
      </c>
      <c r="T982" s="83">
        <f>50</f>
        <v>50</v>
      </c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</row>
    <row r="983" spans="1:30" ht="15.75" x14ac:dyDescent="0.25">
      <c r="A983" s="32">
        <v>70859</v>
      </c>
      <c r="B983" s="95">
        <f t="shared" si="155"/>
        <v>31</v>
      </c>
      <c r="C983" s="83">
        <f>122.58</f>
        <v>122.58</v>
      </c>
      <c r="D983" s="83">
        <f>297.941</f>
        <v>297.94099999999997</v>
      </c>
      <c r="E983" s="92">
        <f>89.177</f>
        <v>89.177000000000007</v>
      </c>
      <c r="F983" s="83">
        <f>240.302-40-60-100</f>
        <v>40.301999999999992</v>
      </c>
      <c r="G983" s="86">
        <v>40</v>
      </c>
      <c r="H983" s="83">
        <f>60+100</f>
        <v>160</v>
      </c>
      <c r="I983" s="83">
        <f t="shared" si="158"/>
        <v>0</v>
      </c>
      <c r="J983" s="86">
        <v>100</v>
      </c>
      <c r="K983" s="86">
        <v>300</v>
      </c>
      <c r="L983" s="83">
        <f t="shared" si="162"/>
        <v>1150</v>
      </c>
      <c r="M983" s="94">
        <v>600</v>
      </c>
      <c r="N983" s="83">
        <f>100</f>
        <v>100</v>
      </c>
      <c r="O983" s="86">
        <v>240</v>
      </c>
      <c r="P983" s="86">
        <v>40</v>
      </c>
      <c r="Q983" s="86">
        <f t="shared" si="163"/>
        <v>315</v>
      </c>
      <c r="R983" s="86">
        <f t="shared" si="164"/>
        <v>100</v>
      </c>
      <c r="S983" s="83">
        <f t="shared" si="165"/>
        <v>695</v>
      </c>
      <c r="T983" s="83">
        <f>50</f>
        <v>50</v>
      </c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</row>
    <row r="984" spans="1:30" ht="15.75" x14ac:dyDescent="0.25">
      <c r="A984" s="32">
        <v>70890</v>
      </c>
      <c r="B984" s="95">
        <f t="shared" ref="B984:B1047" si="166">EOMONTH(A984,0)-EOMONTH(A984,-1)</f>
        <v>31</v>
      </c>
      <c r="C984" s="83">
        <f>122.58</f>
        <v>122.58</v>
      </c>
      <c r="D984" s="83">
        <f>297.941</f>
        <v>297.94099999999997</v>
      </c>
      <c r="E984" s="92">
        <f>89.177</f>
        <v>89.177000000000007</v>
      </c>
      <c r="F984" s="83">
        <f>240.302-40-60-100</f>
        <v>40.301999999999992</v>
      </c>
      <c r="G984" s="86">
        <v>40</v>
      </c>
      <c r="H984" s="83">
        <f>60+100</f>
        <v>160</v>
      </c>
      <c r="I984" s="83">
        <f t="shared" si="158"/>
        <v>0</v>
      </c>
      <c r="J984" s="86">
        <v>100</v>
      </c>
      <c r="K984" s="86">
        <v>300</v>
      </c>
      <c r="L984" s="83">
        <f t="shared" si="162"/>
        <v>1150</v>
      </c>
      <c r="M984" s="94">
        <v>600</v>
      </c>
      <c r="N984" s="83">
        <f>100</f>
        <v>100</v>
      </c>
      <c r="O984" s="86">
        <v>240</v>
      </c>
      <c r="P984" s="86">
        <v>40</v>
      </c>
      <c r="Q984" s="86">
        <f t="shared" si="163"/>
        <v>315</v>
      </c>
      <c r="R984" s="86">
        <f t="shared" si="164"/>
        <v>100</v>
      </c>
      <c r="S984" s="83">
        <f t="shared" si="165"/>
        <v>695</v>
      </c>
      <c r="T984" s="83">
        <f>50</f>
        <v>50</v>
      </c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</row>
    <row r="985" spans="1:30" ht="15.75" x14ac:dyDescent="0.25">
      <c r="A985" s="32">
        <v>70918</v>
      </c>
      <c r="B985" s="95">
        <f t="shared" si="166"/>
        <v>28</v>
      </c>
      <c r="C985" s="83">
        <f>122.58</f>
        <v>122.58</v>
      </c>
      <c r="D985" s="83">
        <f>297.941</f>
        <v>297.94099999999997</v>
      </c>
      <c r="E985" s="92">
        <f>89.177</f>
        <v>89.177000000000007</v>
      </c>
      <c r="F985" s="83">
        <f>240.302-40-60-100</f>
        <v>40.301999999999992</v>
      </c>
      <c r="G985" s="86">
        <v>40</v>
      </c>
      <c r="H985" s="83">
        <f>60+100</f>
        <v>160</v>
      </c>
      <c r="I985" s="83">
        <f t="shared" si="158"/>
        <v>0</v>
      </c>
      <c r="J985" s="86">
        <v>100</v>
      </c>
      <c r="K985" s="86">
        <v>300</v>
      </c>
      <c r="L985" s="83">
        <f t="shared" si="162"/>
        <v>1150</v>
      </c>
      <c r="M985" s="94">
        <v>600</v>
      </c>
      <c r="N985" s="83">
        <f>100</f>
        <v>100</v>
      </c>
      <c r="O985" s="86">
        <v>240</v>
      </c>
      <c r="P985" s="86">
        <v>40</v>
      </c>
      <c r="Q985" s="86">
        <f t="shared" si="163"/>
        <v>315</v>
      </c>
      <c r="R985" s="86">
        <f t="shared" si="164"/>
        <v>100</v>
      </c>
      <c r="S985" s="83">
        <f t="shared" si="165"/>
        <v>695</v>
      </c>
      <c r="T985" s="83">
        <f>50</f>
        <v>50</v>
      </c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</row>
    <row r="986" spans="1:30" ht="15.75" x14ac:dyDescent="0.25">
      <c r="A986" s="32">
        <v>70949</v>
      </c>
      <c r="B986" s="95">
        <f t="shared" si="166"/>
        <v>31</v>
      </c>
      <c r="C986" s="83">
        <f>122.58</f>
        <v>122.58</v>
      </c>
      <c r="D986" s="83">
        <f>297.941</f>
        <v>297.94099999999997</v>
      </c>
      <c r="E986" s="92">
        <f>89.177</f>
        <v>89.177000000000007</v>
      </c>
      <c r="F986" s="83">
        <f>240.302-40-60-100</f>
        <v>40.301999999999992</v>
      </c>
      <c r="G986" s="86">
        <v>40</v>
      </c>
      <c r="H986" s="83">
        <f>60+100</f>
        <v>160</v>
      </c>
      <c r="I986" s="83">
        <f t="shared" si="158"/>
        <v>0</v>
      </c>
      <c r="J986" s="86">
        <v>100</v>
      </c>
      <c r="K986" s="86">
        <v>300</v>
      </c>
      <c r="L986" s="83">
        <f t="shared" si="162"/>
        <v>1150</v>
      </c>
      <c r="M986" s="94">
        <v>600</v>
      </c>
      <c r="N986" s="83">
        <f>100</f>
        <v>100</v>
      </c>
      <c r="O986" s="86">
        <v>240</v>
      </c>
      <c r="P986" s="86">
        <v>40</v>
      </c>
      <c r="Q986" s="86">
        <f t="shared" si="163"/>
        <v>315</v>
      </c>
      <c r="R986" s="86">
        <f t="shared" si="164"/>
        <v>100</v>
      </c>
      <c r="S986" s="83">
        <f t="shared" si="165"/>
        <v>695</v>
      </c>
      <c r="T986" s="83">
        <f>50</f>
        <v>50</v>
      </c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</row>
    <row r="987" spans="1:30" ht="15.75" x14ac:dyDescent="0.25">
      <c r="A987" s="32">
        <v>70979</v>
      </c>
      <c r="B987" s="95">
        <f t="shared" si="166"/>
        <v>30</v>
      </c>
      <c r="C987" s="83">
        <f>141.293</f>
        <v>141.29300000000001</v>
      </c>
      <c r="D987" s="83">
        <f>267.993</f>
        <v>267.99299999999999</v>
      </c>
      <c r="E987" s="92">
        <f>115.016</f>
        <v>115.01600000000001</v>
      </c>
      <c r="F987" s="83">
        <f>314.698-40-25-60-100</f>
        <v>89.697999999999979</v>
      </c>
      <c r="G987" s="86">
        <v>40</v>
      </c>
      <c r="H987" s="83">
        <f t="shared" ref="H987:H993" si="167">25+60+100</f>
        <v>185</v>
      </c>
      <c r="I987" s="83">
        <f t="shared" si="158"/>
        <v>0</v>
      </c>
      <c r="J987" s="86">
        <v>100</v>
      </c>
      <c r="K987" s="86">
        <v>300</v>
      </c>
      <c r="L987" s="83">
        <f t="shared" si="162"/>
        <v>1239</v>
      </c>
      <c r="M987" s="94">
        <v>600</v>
      </c>
      <c r="N987" s="83">
        <f>100</f>
        <v>100</v>
      </c>
      <c r="O987" s="86">
        <v>240</v>
      </c>
      <c r="P987" s="86">
        <v>40</v>
      </c>
      <c r="Q987" s="86">
        <f t="shared" si="163"/>
        <v>315</v>
      </c>
      <c r="R987" s="86">
        <f t="shared" si="164"/>
        <v>100</v>
      </c>
      <c r="S987" s="83">
        <f t="shared" si="165"/>
        <v>695</v>
      </c>
      <c r="T987" s="83">
        <f>50</f>
        <v>50</v>
      </c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</row>
    <row r="988" spans="1:30" ht="15.75" x14ac:dyDescent="0.25">
      <c r="A988" s="32">
        <v>71010</v>
      </c>
      <c r="B988" s="95">
        <f t="shared" si="166"/>
        <v>31</v>
      </c>
      <c r="C988" s="83">
        <f>194.205</f>
        <v>194.20500000000001</v>
      </c>
      <c r="D988" s="83">
        <f>267.466</f>
        <v>267.46600000000001</v>
      </c>
      <c r="E988" s="92">
        <f>133.845</f>
        <v>133.845</v>
      </c>
      <c r="F988" s="83">
        <f>278.484-40-25-60-100</f>
        <v>53.48399999999998</v>
      </c>
      <c r="G988" s="86">
        <v>40</v>
      </c>
      <c r="H988" s="83">
        <f t="shared" si="167"/>
        <v>185</v>
      </c>
      <c r="I988" s="83">
        <f t="shared" si="158"/>
        <v>0</v>
      </c>
      <c r="J988" s="86">
        <v>100</v>
      </c>
      <c r="K988" s="86">
        <v>300</v>
      </c>
      <c r="L988" s="83">
        <f t="shared" si="162"/>
        <v>1274</v>
      </c>
      <c r="M988" s="94">
        <v>600</v>
      </c>
      <c r="N988" s="83">
        <f>75</f>
        <v>75</v>
      </c>
      <c r="O988" s="86">
        <v>240</v>
      </c>
      <c r="P988" s="86">
        <v>40</v>
      </c>
      <c r="Q988" s="86">
        <f t="shared" si="163"/>
        <v>315</v>
      </c>
      <c r="R988" s="86">
        <f t="shared" si="164"/>
        <v>100</v>
      </c>
      <c r="S988" s="83">
        <f t="shared" si="165"/>
        <v>695</v>
      </c>
      <c r="T988" s="83">
        <f>50</f>
        <v>50</v>
      </c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</row>
    <row r="989" spans="1:30" ht="15.75" x14ac:dyDescent="0.25">
      <c r="A989" s="32">
        <v>71040</v>
      </c>
      <c r="B989" s="95">
        <f t="shared" si="166"/>
        <v>30</v>
      </c>
      <c r="C989" s="83">
        <f>194.205</f>
        <v>194.20500000000001</v>
      </c>
      <c r="D989" s="83">
        <f>267.466</f>
        <v>267.46600000000001</v>
      </c>
      <c r="E989" s="92">
        <f>133.845</f>
        <v>133.845</v>
      </c>
      <c r="F989" s="83">
        <f>278.484-40-25-60-100</f>
        <v>53.48399999999998</v>
      </c>
      <c r="G989" s="86">
        <v>40</v>
      </c>
      <c r="H989" s="83">
        <f t="shared" si="167"/>
        <v>185</v>
      </c>
      <c r="I989" s="83">
        <f t="shared" si="158"/>
        <v>0</v>
      </c>
      <c r="J989" s="86">
        <v>100</v>
      </c>
      <c r="K989" s="86">
        <v>300</v>
      </c>
      <c r="L989" s="83">
        <f t="shared" si="162"/>
        <v>1274</v>
      </c>
      <c r="M989" s="94">
        <v>600</v>
      </c>
      <c r="N989" s="83">
        <f>30</f>
        <v>30</v>
      </c>
      <c r="O989" s="86">
        <v>240</v>
      </c>
      <c r="P989" s="86">
        <v>40</v>
      </c>
      <c r="Q989" s="86">
        <f t="shared" si="163"/>
        <v>315</v>
      </c>
      <c r="R989" s="86">
        <f t="shared" si="164"/>
        <v>100</v>
      </c>
      <c r="S989" s="83">
        <f t="shared" si="165"/>
        <v>695</v>
      </c>
      <c r="T989" s="83">
        <f>50</f>
        <v>50</v>
      </c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</row>
    <row r="990" spans="1:30" ht="15.75" x14ac:dyDescent="0.25">
      <c r="A990" s="32">
        <v>71071</v>
      </c>
      <c r="B990" s="95">
        <f t="shared" si="166"/>
        <v>31</v>
      </c>
      <c r="C990" s="83">
        <f>194.205</f>
        <v>194.20500000000001</v>
      </c>
      <c r="D990" s="83">
        <f>267.466</f>
        <v>267.46600000000001</v>
      </c>
      <c r="E990" s="92">
        <f>133.845</f>
        <v>133.845</v>
      </c>
      <c r="F990" s="83">
        <f>278.484-40-25-60-100</f>
        <v>53.48399999999998</v>
      </c>
      <c r="G990" s="86">
        <v>40</v>
      </c>
      <c r="H990" s="83">
        <f t="shared" si="167"/>
        <v>185</v>
      </c>
      <c r="I990" s="83">
        <f t="shared" si="158"/>
        <v>0</v>
      </c>
      <c r="J990" s="86">
        <v>100</v>
      </c>
      <c r="K990" s="86">
        <v>300</v>
      </c>
      <c r="L990" s="83">
        <f t="shared" si="162"/>
        <v>1274</v>
      </c>
      <c r="M990" s="94">
        <v>600</v>
      </c>
      <c r="N990" s="83">
        <f>30</f>
        <v>30</v>
      </c>
      <c r="O990" s="86">
        <v>240</v>
      </c>
      <c r="P990" s="86">
        <v>40</v>
      </c>
      <c r="Q990" s="86">
        <f t="shared" si="163"/>
        <v>315</v>
      </c>
      <c r="R990" s="86">
        <f t="shared" si="164"/>
        <v>100</v>
      </c>
      <c r="S990" s="83">
        <f t="shared" si="165"/>
        <v>695</v>
      </c>
      <c r="T990" s="83">
        <f>0</f>
        <v>0</v>
      </c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</row>
    <row r="991" spans="1:30" ht="15.75" x14ac:dyDescent="0.25">
      <c r="A991" s="32">
        <v>71102</v>
      </c>
      <c r="B991" s="95">
        <f t="shared" si="166"/>
        <v>31</v>
      </c>
      <c r="C991" s="83">
        <f>194.205</f>
        <v>194.20500000000001</v>
      </c>
      <c r="D991" s="83">
        <f>267.466</f>
        <v>267.46600000000001</v>
      </c>
      <c r="E991" s="92">
        <f>133.845</f>
        <v>133.845</v>
      </c>
      <c r="F991" s="83">
        <f>278.484-40-25-60-100</f>
        <v>53.48399999999998</v>
      </c>
      <c r="G991" s="86">
        <v>40</v>
      </c>
      <c r="H991" s="83">
        <f t="shared" si="167"/>
        <v>185</v>
      </c>
      <c r="I991" s="83">
        <f t="shared" si="158"/>
        <v>0</v>
      </c>
      <c r="J991" s="86">
        <v>100</v>
      </c>
      <c r="K991" s="86">
        <v>300</v>
      </c>
      <c r="L991" s="83">
        <f t="shared" si="162"/>
        <v>1274</v>
      </c>
      <c r="M991" s="94">
        <v>600</v>
      </c>
      <c r="N991" s="83">
        <f>30</f>
        <v>30</v>
      </c>
      <c r="O991" s="86">
        <v>240</v>
      </c>
      <c r="P991" s="86">
        <v>40</v>
      </c>
      <c r="Q991" s="86">
        <f t="shared" si="163"/>
        <v>315</v>
      </c>
      <c r="R991" s="86">
        <f t="shared" si="164"/>
        <v>100</v>
      </c>
      <c r="S991" s="83">
        <f t="shared" si="165"/>
        <v>695</v>
      </c>
      <c r="T991" s="83">
        <f>0</f>
        <v>0</v>
      </c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</row>
    <row r="992" spans="1:30" ht="15.75" x14ac:dyDescent="0.25">
      <c r="A992" s="32">
        <v>71132</v>
      </c>
      <c r="B992" s="95">
        <f t="shared" si="166"/>
        <v>30</v>
      </c>
      <c r="C992" s="83">
        <f>194.205</f>
        <v>194.20500000000001</v>
      </c>
      <c r="D992" s="83">
        <f>267.466</f>
        <v>267.46600000000001</v>
      </c>
      <c r="E992" s="92">
        <f>133.845</f>
        <v>133.845</v>
      </c>
      <c r="F992" s="83">
        <f>278.484-40-25-60-100</f>
        <v>53.48399999999998</v>
      </c>
      <c r="G992" s="86">
        <v>40</v>
      </c>
      <c r="H992" s="83">
        <f t="shared" si="167"/>
        <v>185</v>
      </c>
      <c r="I992" s="83">
        <f t="shared" si="158"/>
        <v>0</v>
      </c>
      <c r="J992" s="86">
        <v>100</v>
      </c>
      <c r="K992" s="86">
        <v>300</v>
      </c>
      <c r="L992" s="83">
        <f t="shared" si="162"/>
        <v>1274</v>
      </c>
      <c r="M992" s="94">
        <v>600</v>
      </c>
      <c r="N992" s="83">
        <f>30</f>
        <v>30</v>
      </c>
      <c r="O992" s="86">
        <v>240</v>
      </c>
      <c r="P992" s="86">
        <v>40</v>
      </c>
      <c r="Q992" s="86">
        <f t="shared" si="163"/>
        <v>315</v>
      </c>
      <c r="R992" s="86">
        <f t="shared" si="164"/>
        <v>100</v>
      </c>
      <c r="S992" s="83">
        <f t="shared" si="165"/>
        <v>695</v>
      </c>
      <c r="T992" s="83">
        <f>0</f>
        <v>0</v>
      </c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</row>
    <row r="993" spans="1:30" ht="15.75" x14ac:dyDescent="0.25">
      <c r="A993" s="32">
        <v>71163</v>
      </c>
      <c r="B993" s="95">
        <f t="shared" si="166"/>
        <v>31</v>
      </c>
      <c r="C993" s="83">
        <f>131.881</f>
        <v>131.881</v>
      </c>
      <c r="D993" s="83">
        <f>277.167</f>
        <v>277.16699999999997</v>
      </c>
      <c r="E993" s="92">
        <f>79.08</f>
        <v>79.08</v>
      </c>
      <c r="F993" s="83">
        <f>350.872-40-25-60-100</f>
        <v>125.87200000000001</v>
      </c>
      <c r="G993" s="86">
        <v>40</v>
      </c>
      <c r="H993" s="83">
        <f t="shared" si="167"/>
        <v>185</v>
      </c>
      <c r="I993" s="83">
        <f t="shared" si="158"/>
        <v>0</v>
      </c>
      <c r="J993" s="86">
        <v>100</v>
      </c>
      <c r="K993" s="86">
        <v>300</v>
      </c>
      <c r="L993" s="83">
        <f t="shared" si="162"/>
        <v>1239</v>
      </c>
      <c r="M993" s="94">
        <v>600</v>
      </c>
      <c r="N993" s="83">
        <f>75</f>
        <v>75</v>
      </c>
      <c r="O993" s="86">
        <v>240</v>
      </c>
      <c r="P993" s="86">
        <v>40</v>
      </c>
      <c r="Q993" s="86">
        <f t="shared" si="163"/>
        <v>315</v>
      </c>
      <c r="R993" s="86">
        <f t="shared" si="164"/>
        <v>100</v>
      </c>
      <c r="S993" s="83">
        <f t="shared" si="165"/>
        <v>695</v>
      </c>
      <c r="T993" s="83">
        <f>0</f>
        <v>0</v>
      </c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</row>
    <row r="994" spans="1:30" ht="15.75" x14ac:dyDescent="0.25">
      <c r="A994" s="32">
        <v>71193</v>
      </c>
      <c r="B994" s="95">
        <f t="shared" si="166"/>
        <v>30</v>
      </c>
      <c r="C994" s="83">
        <f>122.58</f>
        <v>122.58</v>
      </c>
      <c r="D994" s="83">
        <f>297.941</f>
        <v>297.94099999999997</v>
      </c>
      <c r="E994" s="92">
        <f>89.177</f>
        <v>89.177000000000007</v>
      </c>
      <c r="F994" s="83">
        <f>240.302-40-60-100</f>
        <v>40.301999999999992</v>
      </c>
      <c r="G994" s="86">
        <v>40</v>
      </c>
      <c r="H994" s="83">
        <f>60+100</f>
        <v>160</v>
      </c>
      <c r="I994" s="83">
        <f t="shared" si="158"/>
        <v>0</v>
      </c>
      <c r="J994" s="86">
        <v>100</v>
      </c>
      <c r="K994" s="86">
        <v>300</v>
      </c>
      <c r="L994" s="83">
        <f t="shared" si="162"/>
        <v>1150</v>
      </c>
      <c r="M994" s="94">
        <v>600</v>
      </c>
      <c r="N994" s="83">
        <f>100</f>
        <v>100</v>
      </c>
      <c r="O994" s="86">
        <v>240</v>
      </c>
      <c r="P994" s="86">
        <v>40</v>
      </c>
      <c r="Q994" s="86">
        <f t="shared" si="163"/>
        <v>315</v>
      </c>
      <c r="R994" s="86">
        <f t="shared" si="164"/>
        <v>100</v>
      </c>
      <c r="S994" s="83">
        <f t="shared" si="165"/>
        <v>695</v>
      </c>
      <c r="T994" s="83">
        <f>50</f>
        <v>50</v>
      </c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</row>
    <row r="995" spans="1:30" ht="15.75" x14ac:dyDescent="0.25">
      <c r="A995" s="32">
        <v>71224</v>
      </c>
      <c r="B995" s="95">
        <f t="shared" si="166"/>
        <v>31</v>
      </c>
      <c r="C995" s="83">
        <f>122.58</f>
        <v>122.58</v>
      </c>
      <c r="D995" s="83">
        <f>297.941</f>
        <v>297.94099999999997</v>
      </c>
      <c r="E995" s="92">
        <f>89.177</f>
        <v>89.177000000000007</v>
      </c>
      <c r="F995" s="83">
        <f>240.302-40-60-100</f>
        <v>40.301999999999992</v>
      </c>
      <c r="G995" s="86">
        <v>40</v>
      </c>
      <c r="H995" s="83">
        <f>60+100</f>
        <v>160</v>
      </c>
      <c r="I995" s="83">
        <f t="shared" si="158"/>
        <v>0</v>
      </c>
      <c r="J995" s="86">
        <v>100</v>
      </c>
      <c r="K995" s="86">
        <v>300</v>
      </c>
      <c r="L995" s="83">
        <f t="shared" si="162"/>
        <v>1150</v>
      </c>
      <c r="M995" s="94">
        <v>600</v>
      </c>
      <c r="N995" s="83">
        <f>100</f>
        <v>100</v>
      </c>
      <c r="O995" s="86">
        <v>240</v>
      </c>
      <c r="P995" s="86">
        <v>40</v>
      </c>
      <c r="Q995" s="86">
        <f t="shared" si="163"/>
        <v>315</v>
      </c>
      <c r="R995" s="86">
        <f t="shared" si="164"/>
        <v>100</v>
      </c>
      <c r="S995" s="83">
        <f t="shared" si="165"/>
        <v>695</v>
      </c>
      <c r="T995" s="83">
        <f>50</f>
        <v>50</v>
      </c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</row>
    <row r="996" spans="1:30" ht="15.75" x14ac:dyDescent="0.25">
      <c r="A996" s="32">
        <v>71255</v>
      </c>
      <c r="B996" s="95">
        <f t="shared" si="166"/>
        <v>31</v>
      </c>
      <c r="C996" s="83">
        <f>122.58</f>
        <v>122.58</v>
      </c>
      <c r="D996" s="83">
        <f>297.941</f>
        <v>297.94099999999997</v>
      </c>
      <c r="E996" s="92">
        <f>89.177</f>
        <v>89.177000000000007</v>
      </c>
      <c r="F996" s="83">
        <f>240.302-40-60-100</f>
        <v>40.301999999999992</v>
      </c>
      <c r="G996" s="86">
        <v>40</v>
      </c>
      <c r="H996" s="83">
        <f>60+100</f>
        <v>160</v>
      </c>
      <c r="I996" s="83">
        <f t="shared" si="158"/>
        <v>0</v>
      </c>
      <c r="J996" s="86">
        <v>100</v>
      </c>
      <c r="K996" s="86">
        <v>300</v>
      </c>
      <c r="L996" s="83">
        <f t="shared" si="162"/>
        <v>1150</v>
      </c>
      <c r="M996" s="94">
        <v>600</v>
      </c>
      <c r="N996" s="83">
        <f>100</f>
        <v>100</v>
      </c>
      <c r="O996" s="86">
        <v>240</v>
      </c>
      <c r="P996" s="86">
        <v>40</v>
      </c>
      <c r="Q996" s="86">
        <f t="shared" si="163"/>
        <v>315</v>
      </c>
      <c r="R996" s="86">
        <f t="shared" si="164"/>
        <v>100</v>
      </c>
      <c r="S996" s="83">
        <f t="shared" si="165"/>
        <v>695</v>
      </c>
      <c r="T996" s="83">
        <f>50</f>
        <v>50</v>
      </c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</row>
    <row r="997" spans="1:30" ht="15.75" x14ac:dyDescent="0.25">
      <c r="A997" s="32">
        <v>71283</v>
      </c>
      <c r="B997" s="95">
        <f t="shared" si="166"/>
        <v>28</v>
      </c>
      <c r="C997" s="83">
        <f>122.58</f>
        <v>122.58</v>
      </c>
      <c r="D997" s="83">
        <f>297.941</f>
        <v>297.94099999999997</v>
      </c>
      <c r="E997" s="92">
        <f>89.177</f>
        <v>89.177000000000007</v>
      </c>
      <c r="F997" s="83">
        <f>240.302-40-60-100</f>
        <v>40.301999999999992</v>
      </c>
      <c r="G997" s="86">
        <v>40</v>
      </c>
      <c r="H997" s="83">
        <f>60+100</f>
        <v>160</v>
      </c>
      <c r="I997" s="83">
        <f t="shared" si="158"/>
        <v>0</v>
      </c>
      <c r="J997" s="86">
        <v>100</v>
      </c>
      <c r="K997" s="86">
        <v>300</v>
      </c>
      <c r="L997" s="83">
        <f t="shared" si="162"/>
        <v>1150</v>
      </c>
      <c r="M997" s="94">
        <v>600</v>
      </c>
      <c r="N997" s="83">
        <f>100</f>
        <v>100</v>
      </c>
      <c r="O997" s="86">
        <v>240</v>
      </c>
      <c r="P997" s="86">
        <v>40</v>
      </c>
      <c r="Q997" s="86">
        <f t="shared" si="163"/>
        <v>315</v>
      </c>
      <c r="R997" s="86">
        <f t="shared" si="164"/>
        <v>100</v>
      </c>
      <c r="S997" s="83">
        <f t="shared" si="165"/>
        <v>695</v>
      </c>
      <c r="T997" s="83">
        <f>50</f>
        <v>50</v>
      </c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</row>
    <row r="998" spans="1:30" ht="15.75" x14ac:dyDescent="0.25">
      <c r="A998" s="32">
        <v>71314</v>
      </c>
      <c r="B998" s="95">
        <f t="shared" si="166"/>
        <v>31</v>
      </c>
      <c r="C998" s="83">
        <f>122.58</f>
        <v>122.58</v>
      </c>
      <c r="D998" s="83">
        <f>297.941</f>
        <v>297.94099999999997</v>
      </c>
      <c r="E998" s="92">
        <f>89.177</f>
        <v>89.177000000000007</v>
      </c>
      <c r="F998" s="83">
        <f>240.302-40-60-100</f>
        <v>40.301999999999992</v>
      </c>
      <c r="G998" s="86">
        <v>40</v>
      </c>
      <c r="H998" s="83">
        <f>60+100</f>
        <v>160</v>
      </c>
      <c r="I998" s="83">
        <f t="shared" si="158"/>
        <v>0</v>
      </c>
      <c r="J998" s="86">
        <v>100</v>
      </c>
      <c r="K998" s="86">
        <v>300</v>
      </c>
      <c r="L998" s="83">
        <f t="shared" si="162"/>
        <v>1150</v>
      </c>
      <c r="M998" s="94">
        <v>600</v>
      </c>
      <c r="N998" s="83">
        <f>100</f>
        <v>100</v>
      </c>
      <c r="O998" s="86">
        <v>240</v>
      </c>
      <c r="P998" s="86">
        <v>40</v>
      </c>
      <c r="Q998" s="86">
        <f t="shared" si="163"/>
        <v>315</v>
      </c>
      <c r="R998" s="86">
        <f t="shared" si="164"/>
        <v>100</v>
      </c>
      <c r="S998" s="83">
        <f t="shared" si="165"/>
        <v>695</v>
      </c>
      <c r="T998" s="83">
        <f>50</f>
        <v>50</v>
      </c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</row>
    <row r="999" spans="1:30" ht="15.75" x14ac:dyDescent="0.25">
      <c r="A999" s="32">
        <v>71344</v>
      </c>
      <c r="B999" s="95">
        <f t="shared" si="166"/>
        <v>30</v>
      </c>
      <c r="C999" s="83">
        <f>141.293</f>
        <v>141.29300000000001</v>
      </c>
      <c r="D999" s="83">
        <f>267.993</f>
        <v>267.99299999999999</v>
      </c>
      <c r="E999" s="92">
        <f>115.016</f>
        <v>115.01600000000001</v>
      </c>
      <c r="F999" s="83">
        <f>314.698-40-25-60-100</f>
        <v>89.697999999999979</v>
      </c>
      <c r="G999" s="86">
        <v>40</v>
      </c>
      <c r="H999" s="83">
        <f t="shared" ref="H999:H1005" si="168">25+60+100</f>
        <v>185</v>
      </c>
      <c r="I999" s="83">
        <f t="shared" si="158"/>
        <v>0</v>
      </c>
      <c r="J999" s="86">
        <v>100</v>
      </c>
      <c r="K999" s="86">
        <v>300</v>
      </c>
      <c r="L999" s="83">
        <f t="shared" si="162"/>
        <v>1239</v>
      </c>
      <c r="M999" s="94">
        <v>600</v>
      </c>
      <c r="N999" s="83">
        <f>100</f>
        <v>100</v>
      </c>
      <c r="O999" s="86">
        <v>240</v>
      </c>
      <c r="P999" s="86">
        <v>40</v>
      </c>
      <c r="Q999" s="86">
        <f t="shared" si="163"/>
        <v>315</v>
      </c>
      <c r="R999" s="86">
        <f t="shared" si="164"/>
        <v>100</v>
      </c>
      <c r="S999" s="83">
        <f t="shared" si="165"/>
        <v>695</v>
      </c>
      <c r="T999" s="83">
        <f>50</f>
        <v>50</v>
      </c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</row>
    <row r="1000" spans="1:30" ht="15.75" x14ac:dyDescent="0.25">
      <c r="A1000" s="32">
        <v>71375</v>
      </c>
      <c r="B1000" s="95">
        <f t="shared" si="166"/>
        <v>31</v>
      </c>
      <c r="C1000" s="83">
        <f>194.205</f>
        <v>194.20500000000001</v>
      </c>
      <c r="D1000" s="83">
        <f>267.466</f>
        <v>267.46600000000001</v>
      </c>
      <c r="E1000" s="92">
        <f>133.845</f>
        <v>133.845</v>
      </c>
      <c r="F1000" s="83">
        <f>278.484-40-25-60-100</f>
        <v>53.48399999999998</v>
      </c>
      <c r="G1000" s="86">
        <v>40</v>
      </c>
      <c r="H1000" s="83">
        <f t="shared" si="168"/>
        <v>185</v>
      </c>
      <c r="I1000" s="83">
        <f t="shared" si="158"/>
        <v>0</v>
      </c>
      <c r="J1000" s="86">
        <v>100</v>
      </c>
      <c r="K1000" s="86">
        <v>300</v>
      </c>
      <c r="L1000" s="83">
        <f t="shared" si="162"/>
        <v>1274</v>
      </c>
      <c r="M1000" s="94">
        <v>600</v>
      </c>
      <c r="N1000" s="83">
        <f>75</f>
        <v>75</v>
      </c>
      <c r="O1000" s="86">
        <v>240</v>
      </c>
      <c r="P1000" s="86">
        <v>40</v>
      </c>
      <c r="Q1000" s="86">
        <f t="shared" si="163"/>
        <v>315</v>
      </c>
      <c r="R1000" s="86">
        <f t="shared" si="164"/>
        <v>100</v>
      </c>
      <c r="S1000" s="83">
        <f t="shared" si="165"/>
        <v>695</v>
      </c>
      <c r="T1000" s="83">
        <f>50</f>
        <v>50</v>
      </c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</row>
    <row r="1001" spans="1:30" ht="15.75" x14ac:dyDescent="0.25">
      <c r="A1001" s="32">
        <v>71405</v>
      </c>
      <c r="B1001" s="95">
        <f t="shared" si="166"/>
        <v>30</v>
      </c>
      <c r="C1001" s="83">
        <f>194.205</f>
        <v>194.20500000000001</v>
      </c>
      <c r="D1001" s="83">
        <f>267.466</f>
        <v>267.46600000000001</v>
      </c>
      <c r="E1001" s="92">
        <f>133.845</f>
        <v>133.845</v>
      </c>
      <c r="F1001" s="83">
        <f>278.484-40-25-60-100</f>
        <v>53.48399999999998</v>
      </c>
      <c r="G1001" s="86">
        <v>40</v>
      </c>
      <c r="H1001" s="83">
        <f t="shared" si="168"/>
        <v>185</v>
      </c>
      <c r="I1001" s="83">
        <f t="shared" si="158"/>
        <v>0</v>
      </c>
      <c r="J1001" s="86">
        <v>100</v>
      </c>
      <c r="K1001" s="86">
        <v>300</v>
      </c>
      <c r="L1001" s="83">
        <f t="shared" si="162"/>
        <v>1274</v>
      </c>
      <c r="M1001" s="94">
        <v>600</v>
      </c>
      <c r="N1001" s="83">
        <f>30</f>
        <v>30</v>
      </c>
      <c r="O1001" s="86">
        <v>240</v>
      </c>
      <c r="P1001" s="86">
        <v>40</v>
      </c>
      <c r="Q1001" s="86">
        <f t="shared" si="163"/>
        <v>315</v>
      </c>
      <c r="R1001" s="86">
        <f t="shared" si="164"/>
        <v>100</v>
      </c>
      <c r="S1001" s="83">
        <f t="shared" si="165"/>
        <v>695</v>
      </c>
      <c r="T1001" s="83">
        <f>50</f>
        <v>50</v>
      </c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</row>
    <row r="1002" spans="1:30" ht="15.75" x14ac:dyDescent="0.25">
      <c r="A1002" s="32">
        <v>71436</v>
      </c>
      <c r="B1002" s="95">
        <f t="shared" si="166"/>
        <v>31</v>
      </c>
      <c r="C1002" s="83">
        <f>194.205</f>
        <v>194.20500000000001</v>
      </c>
      <c r="D1002" s="83">
        <f>267.466</f>
        <v>267.46600000000001</v>
      </c>
      <c r="E1002" s="92">
        <f>133.845</f>
        <v>133.845</v>
      </c>
      <c r="F1002" s="83">
        <f>278.484-40-25-60-100</f>
        <v>53.48399999999998</v>
      </c>
      <c r="G1002" s="86">
        <v>40</v>
      </c>
      <c r="H1002" s="83">
        <f t="shared" si="168"/>
        <v>185</v>
      </c>
      <c r="I1002" s="83">
        <f t="shared" si="158"/>
        <v>0</v>
      </c>
      <c r="J1002" s="86">
        <v>100</v>
      </c>
      <c r="K1002" s="86">
        <v>300</v>
      </c>
      <c r="L1002" s="83">
        <f t="shared" si="162"/>
        <v>1274</v>
      </c>
      <c r="M1002" s="94">
        <v>600</v>
      </c>
      <c r="N1002" s="83">
        <f>30</f>
        <v>30</v>
      </c>
      <c r="O1002" s="86">
        <v>240</v>
      </c>
      <c r="P1002" s="86">
        <v>40</v>
      </c>
      <c r="Q1002" s="86">
        <f t="shared" si="163"/>
        <v>315</v>
      </c>
      <c r="R1002" s="86">
        <f t="shared" si="164"/>
        <v>100</v>
      </c>
      <c r="S1002" s="83">
        <f t="shared" si="165"/>
        <v>695</v>
      </c>
      <c r="T1002" s="83">
        <f>0</f>
        <v>0</v>
      </c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</row>
    <row r="1003" spans="1:30" ht="15.75" x14ac:dyDescent="0.25">
      <c r="A1003" s="32">
        <v>71467</v>
      </c>
      <c r="B1003" s="95">
        <f t="shared" si="166"/>
        <v>31</v>
      </c>
      <c r="C1003" s="83">
        <f>194.205</f>
        <v>194.20500000000001</v>
      </c>
      <c r="D1003" s="83">
        <f>267.466</f>
        <v>267.46600000000001</v>
      </c>
      <c r="E1003" s="92">
        <f>133.845</f>
        <v>133.845</v>
      </c>
      <c r="F1003" s="83">
        <f>278.484-40-25-60-100</f>
        <v>53.48399999999998</v>
      </c>
      <c r="G1003" s="86">
        <v>40</v>
      </c>
      <c r="H1003" s="83">
        <f t="shared" si="168"/>
        <v>185</v>
      </c>
      <c r="I1003" s="83">
        <f t="shared" si="158"/>
        <v>0</v>
      </c>
      <c r="J1003" s="86">
        <v>100</v>
      </c>
      <c r="K1003" s="86">
        <v>300</v>
      </c>
      <c r="L1003" s="83">
        <f t="shared" si="162"/>
        <v>1274</v>
      </c>
      <c r="M1003" s="94">
        <v>600</v>
      </c>
      <c r="N1003" s="83">
        <f>30</f>
        <v>30</v>
      </c>
      <c r="O1003" s="86">
        <v>240</v>
      </c>
      <c r="P1003" s="86">
        <v>40</v>
      </c>
      <c r="Q1003" s="86">
        <f t="shared" si="163"/>
        <v>315</v>
      </c>
      <c r="R1003" s="86">
        <f t="shared" si="164"/>
        <v>100</v>
      </c>
      <c r="S1003" s="83">
        <f t="shared" si="165"/>
        <v>695</v>
      </c>
      <c r="T1003" s="83">
        <f>0</f>
        <v>0</v>
      </c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</row>
    <row r="1004" spans="1:30" ht="15.75" x14ac:dyDescent="0.25">
      <c r="A1004" s="32">
        <v>71497</v>
      </c>
      <c r="B1004" s="95">
        <f t="shared" si="166"/>
        <v>30</v>
      </c>
      <c r="C1004" s="83">
        <f>194.205</f>
        <v>194.20500000000001</v>
      </c>
      <c r="D1004" s="83">
        <f>267.466</f>
        <v>267.46600000000001</v>
      </c>
      <c r="E1004" s="92">
        <f>133.845</f>
        <v>133.845</v>
      </c>
      <c r="F1004" s="83">
        <f>278.484-40-25-60-100</f>
        <v>53.48399999999998</v>
      </c>
      <c r="G1004" s="86">
        <v>40</v>
      </c>
      <c r="H1004" s="83">
        <f t="shared" si="168"/>
        <v>185</v>
      </c>
      <c r="I1004" s="83">
        <f t="shared" si="158"/>
        <v>0</v>
      </c>
      <c r="J1004" s="86">
        <v>100</v>
      </c>
      <c r="K1004" s="86">
        <v>300</v>
      </c>
      <c r="L1004" s="83">
        <f t="shared" si="162"/>
        <v>1274</v>
      </c>
      <c r="M1004" s="94">
        <v>600</v>
      </c>
      <c r="N1004" s="83">
        <f>30</f>
        <v>30</v>
      </c>
      <c r="O1004" s="86">
        <v>240</v>
      </c>
      <c r="P1004" s="86">
        <v>40</v>
      </c>
      <c r="Q1004" s="86">
        <f t="shared" si="163"/>
        <v>315</v>
      </c>
      <c r="R1004" s="86">
        <f t="shared" si="164"/>
        <v>100</v>
      </c>
      <c r="S1004" s="83">
        <f t="shared" si="165"/>
        <v>695</v>
      </c>
      <c r="T1004" s="83">
        <f>0</f>
        <v>0</v>
      </c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</row>
    <row r="1005" spans="1:30" ht="15.75" x14ac:dyDescent="0.25">
      <c r="A1005" s="32">
        <v>71528</v>
      </c>
      <c r="B1005" s="95">
        <f t="shared" si="166"/>
        <v>31</v>
      </c>
      <c r="C1005" s="83">
        <f>131.881</f>
        <v>131.881</v>
      </c>
      <c r="D1005" s="83">
        <f>277.167</f>
        <v>277.16699999999997</v>
      </c>
      <c r="E1005" s="92">
        <f>79.08</f>
        <v>79.08</v>
      </c>
      <c r="F1005" s="83">
        <f>350.872-40-25-60-100</f>
        <v>125.87200000000001</v>
      </c>
      <c r="G1005" s="86">
        <v>40</v>
      </c>
      <c r="H1005" s="83">
        <f t="shared" si="168"/>
        <v>185</v>
      </c>
      <c r="I1005" s="83">
        <f t="shared" si="158"/>
        <v>0</v>
      </c>
      <c r="J1005" s="86">
        <v>100</v>
      </c>
      <c r="K1005" s="86">
        <v>300</v>
      </c>
      <c r="L1005" s="83">
        <f t="shared" si="162"/>
        <v>1239</v>
      </c>
      <c r="M1005" s="94">
        <v>600</v>
      </c>
      <c r="N1005" s="83">
        <f>75</f>
        <v>75</v>
      </c>
      <c r="O1005" s="86">
        <v>240</v>
      </c>
      <c r="P1005" s="86">
        <v>40</v>
      </c>
      <c r="Q1005" s="86">
        <f t="shared" si="163"/>
        <v>315</v>
      </c>
      <c r="R1005" s="86">
        <f t="shared" si="164"/>
        <v>100</v>
      </c>
      <c r="S1005" s="83">
        <f t="shared" si="165"/>
        <v>695</v>
      </c>
      <c r="T1005" s="83">
        <f>0</f>
        <v>0</v>
      </c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</row>
    <row r="1006" spans="1:30" ht="15.75" x14ac:dyDescent="0.25">
      <c r="A1006" s="32">
        <v>71558</v>
      </c>
      <c r="B1006" s="95">
        <f t="shared" si="166"/>
        <v>30</v>
      </c>
      <c r="C1006" s="83">
        <f>122.58</f>
        <v>122.58</v>
      </c>
      <c r="D1006" s="83">
        <f>297.941</f>
        <v>297.94099999999997</v>
      </c>
      <c r="E1006" s="92">
        <f>89.177</f>
        <v>89.177000000000007</v>
      </c>
      <c r="F1006" s="83">
        <f>240.302-40-60-100</f>
        <v>40.301999999999992</v>
      </c>
      <c r="G1006" s="86">
        <v>40</v>
      </c>
      <c r="H1006" s="83">
        <f>60+100</f>
        <v>160</v>
      </c>
      <c r="I1006" s="83">
        <f t="shared" si="158"/>
        <v>0</v>
      </c>
      <c r="J1006" s="86">
        <v>100</v>
      </c>
      <c r="K1006" s="86">
        <v>300</v>
      </c>
      <c r="L1006" s="83">
        <f t="shared" si="162"/>
        <v>1150</v>
      </c>
      <c r="M1006" s="94">
        <v>600</v>
      </c>
      <c r="N1006" s="83">
        <f>100</f>
        <v>100</v>
      </c>
      <c r="O1006" s="86">
        <v>240</v>
      </c>
      <c r="P1006" s="86">
        <v>40</v>
      </c>
      <c r="Q1006" s="86">
        <f t="shared" si="163"/>
        <v>315</v>
      </c>
      <c r="R1006" s="86">
        <f t="shared" si="164"/>
        <v>100</v>
      </c>
      <c r="S1006" s="83">
        <f t="shared" si="165"/>
        <v>695</v>
      </c>
      <c r="T1006" s="83">
        <f>50</f>
        <v>50</v>
      </c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</row>
    <row r="1007" spans="1:30" ht="15.75" x14ac:dyDescent="0.25">
      <c r="A1007" s="32">
        <v>71589</v>
      </c>
      <c r="B1007" s="95">
        <f t="shared" si="166"/>
        <v>31</v>
      </c>
      <c r="C1007" s="83">
        <f>122.58</f>
        <v>122.58</v>
      </c>
      <c r="D1007" s="83">
        <f>297.941</f>
        <v>297.94099999999997</v>
      </c>
      <c r="E1007" s="92">
        <f>89.177</f>
        <v>89.177000000000007</v>
      </c>
      <c r="F1007" s="83">
        <f>240.302-40-60-100</f>
        <v>40.301999999999992</v>
      </c>
      <c r="G1007" s="86">
        <v>40</v>
      </c>
      <c r="H1007" s="83">
        <f>60+100</f>
        <v>160</v>
      </c>
      <c r="I1007" s="83">
        <f t="shared" si="158"/>
        <v>0</v>
      </c>
      <c r="J1007" s="86">
        <v>100</v>
      </c>
      <c r="K1007" s="86">
        <v>300</v>
      </c>
      <c r="L1007" s="83">
        <f t="shared" si="162"/>
        <v>1150</v>
      </c>
      <c r="M1007" s="94">
        <v>600</v>
      </c>
      <c r="N1007" s="83">
        <f>100</f>
        <v>100</v>
      </c>
      <c r="O1007" s="86">
        <v>240</v>
      </c>
      <c r="P1007" s="86">
        <v>40</v>
      </c>
      <c r="Q1007" s="86">
        <f t="shared" si="163"/>
        <v>315</v>
      </c>
      <c r="R1007" s="86">
        <f t="shared" si="164"/>
        <v>100</v>
      </c>
      <c r="S1007" s="83">
        <f t="shared" si="165"/>
        <v>695</v>
      </c>
      <c r="T1007" s="83">
        <f>50</f>
        <v>50</v>
      </c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</row>
    <row r="1008" spans="1:30" ht="15.75" x14ac:dyDescent="0.25">
      <c r="A1008" s="32">
        <v>71620</v>
      </c>
      <c r="B1008" s="95">
        <f t="shared" si="166"/>
        <v>31</v>
      </c>
      <c r="C1008" s="83">
        <f>122.58</f>
        <v>122.58</v>
      </c>
      <c r="D1008" s="83">
        <f>297.941</f>
        <v>297.94099999999997</v>
      </c>
      <c r="E1008" s="92">
        <f>89.177</f>
        <v>89.177000000000007</v>
      </c>
      <c r="F1008" s="83">
        <f>240.302-40-60-100</f>
        <v>40.301999999999992</v>
      </c>
      <c r="G1008" s="86">
        <v>40</v>
      </c>
      <c r="H1008" s="83">
        <f>60+100</f>
        <v>160</v>
      </c>
      <c r="I1008" s="83">
        <f t="shared" si="158"/>
        <v>0</v>
      </c>
      <c r="J1008" s="86">
        <v>100</v>
      </c>
      <c r="K1008" s="86">
        <v>300</v>
      </c>
      <c r="L1008" s="83">
        <f t="shared" si="162"/>
        <v>1150</v>
      </c>
      <c r="M1008" s="94">
        <v>600</v>
      </c>
      <c r="N1008" s="83">
        <f>100</f>
        <v>100</v>
      </c>
      <c r="O1008" s="86">
        <v>240</v>
      </c>
      <c r="P1008" s="86">
        <v>40</v>
      </c>
      <c r="Q1008" s="86">
        <f t="shared" si="163"/>
        <v>315</v>
      </c>
      <c r="R1008" s="86">
        <f t="shared" si="164"/>
        <v>100</v>
      </c>
      <c r="S1008" s="83">
        <f t="shared" si="165"/>
        <v>695</v>
      </c>
      <c r="T1008" s="83">
        <f>50</f>
        <v>50</v>
      </c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</row>
    <row r="1009" spans="1:30" ht="15.75" x14ac:dyDescent="0.25">
      <c r="A1009" s="32">
        <v>71649</v>
      </c>
      <c r="B1009" s="95">
        <f t="shared" si="166"/>
        <v>29</v>
      </c>
      <c r="C1009" s="83">
        <f>122.58</f>
        <v>122.58</v>
      </c>
      <c r="D1009" s="83">
        <f>297.941</f>
        <v>297.94099999999997</v>
      </c>
      <c r="E1009" s="92">
        <f>89.177</f>
        <v>89.177000000000007</v>
      </c>
      <c r="F1009" s="83">
        <f>240.302-40-60-100</f>
        <v>40.301999999999992</v>
      </c>
      <c r="G1009" s="86">
        <v>40</v>
      </c>
      <c r="H1009" s="83">
        <f>60+100</f>
        <v>160</v>
      </c>
      <c r="I1009" s="83">
        <f t="shared" si="158"/>
        <v>0</v>
      </c>
      <c r="J1009" s="86">
        <v>100</v>
      </c>
      <c r="K1009" s="86">
        <v>300</v>
      </c>
      <c r="L1009" s="83">
        <f t="shared" si="162"/>
        <v>1150</v>
      </c>
      <c r="M1009" s="94">
        <v>600</v>
      </c>
      <c r="N1009" s="83">
        <f>100</f>
        <v>100</v>
      </c>
      <c r="O1009" s="86">
        <v>240</v>
      </c>
      <c r="P1009" s="86">
        <v>40</v>
      </c>
      <c r="Q1009" s="86">
        <f t="shared" si="163"/>
        <v>315</v>
      </c>
      <c r="R1009" s="86">
        <f t="shared" si="164"/>
        <v>100</v>
      </c>
      <c r="S1009" s="83">
        <f t="shared" si="165"/>
        <v>695</v>
      </c>
      <c r="T1009" s="83">
        <f>50</f>
        <v>50</v>
      </c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</row>
    <row r="1010" spans="1:30" ht="15.75" x14ac:dyDescent="0.25">
      <c r="A1010" s="32">
        <v>71680</v>
      </c>
      <c r="B1010" s="95">
        <f t="shared" si="166"/>
        <v>31</v>
      </c>
      <c r="C1010" s="83">
        <f>122.58</f>
        <v>122.58</v>
      </c>
      <c r="D1010" s="83">
        <f>297.941</f>
        <v>297.94099999999997</v>
      </c>
      <c r="E1010" s="92">
        <f>89.177</f>
        <v>89.177000000000007</v>
      </c>
      <c r="F1010" s="83">
        <f>240.302-40-60-100</f>
        <v>40.301999999999992</v>
      </c>
      <c r="G1010" s="86">
        <v>40</v>
      </c>
      <c r="H1010" s="83">
        <f>60+100</f>
        <v>160</v>
      </c>
      <c r="I1010" s="83">
        <f t="shared" si="158"/>
        <v>0</v>
      </c>
      <c r="J1010" s="86">
        <v>100</v>
      </c>
      <c r="K1010" s="86">
        <v>300</v>
      </c>
      <c r="L1010" s="83">
        <f t="shared" si="162"/>
        <v>1150</v>
      </c>
      <c r="M1010" s="94">
        <v>600</v>
      </c>
      <c r="N1010" s="83">
        <f>100</f>
        <v>100</v>
      </c>
      <c r="O1010" s="86">
        <v>240</v>
      </c>
      <c r="P1010" s="86">
        <v>40</v>
      </c>
      <c r="Q1010" s="86">
        <f t="shared" si="163"/>
        <v>315</v>
      </c>
      <c r="R1010" s="86">
        <f t="shared" si="164"/>
        <v>100</v>
      </c>
      <c r="S1010" s="83">
        <f t="shared" si="165"/>
        <v>695</v>
      </c>
      <c r="T1010" s="83">
        <f>50</f>
        <v>50</v>
      </c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</row>
    <row r="1011" spans="1:30" ht="15.75" x14ac:dyDescent="0.25">
      <c r="A1011" s="32">
        <v>71710</v>
      </c>
      <c r="B1011" s="95">
        <f t="shared" si="166"/>
        <v>30</v>
      </c>
      <c r="C1011" s="83">
        <f>141.293</f>
        <v>141.29300000000001</v>
      </c>
      <c r="D1011" s="83">
        <f>267.993</f>
        <v>267.99299999999999</v>
      </c>
      <c r="E1011" s="92">
        <f>115.016</f>
        <v>115.01600000000001</v>
      </c>
      <c r="F1011" s="83">
        <f>314.698-40-25-60-100</f>
        <v>89.697999999999979</v>
      </c>
      <c r="G1011" s="86">
        <v>40</v>
      </c>
      <c r="H1011" s="83">
        <f t="shared" ref="H1011:H1017" si="169">25+60+100</f>
        <v>185</v>
      </c>
      <c r="I1011" s="83">
        <f t="shared" si="158"/>
        <v>0</v>
      </c>
      <c r="J1011" s="86">
        <v>100</v>
      </c>
      <c r="K1011" s="86">
        <v>300</v>
      </c>
      <c r="L1011" s="83">
        <f t="shared" si="162"/>
        <v>1239</v>
      </c>
      <c r="M1011" s="94">
        <v>600</v>
      </c>
      <c r="N1011" s="83">
        <f>100</f>
        <v>100</v>
      </c>
      <c r="O1011" s="86">
        <v>240</v>
      </c>
      <c r="P1011" s="86">
        <v>40</v>
      </c>
      <c r="Q1011" s="86">
        <f t="shared" si="163"/>
        <v>315</v>
      </c>
      <c r="R1011" s="86">
        <f t="shared" si="164"/>
        <v>100</v>
      </c>
      <c r="S1011" s="83">
        <f t="shared" si="165"/>
        <v>695</v>
      </c>
      <c r="T1011" s="83">
        <f>50</f>
        <v>50</v>
      </c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</row>
    <row r="1012" spans="1:30" ht="15.75" x14ac:dyDescent="0.25">
      <c r="A1012" s="32">
        <v>71741</v>
      </c>
      <c r="B1012" s="95">
        <f t="shared" si="166"/>
        <v>31</v>
      </c>
      <c r="C1012" s="83">
        <f>194.205</f>
        <v>194.20500000000001</v>
      </c>
      <c r="D1012" s="83">
        <f>267.466</f>
        <v>267.46600000000001</v>
      </c>
      <c r="E1012" s="92">
        <f>133.845</f>
        <v>133.845</v>
      </c>
      <c r="F1012" s="83">
        <f>278.484-40-25-60-100</f>
        <v>53.48399999999998</v>
      </c>
      <c r="G1012" s="86">
        <v>40</v>
      </c>
      <c r="H1012" s="83">
        <f t="shared" si="169"/>
        <v>185</v>
      </c>
      <c r="I1012" s="83">
        <f t="shared" ref="I1012:I1067" si="170">400-J1012-K1012</f>
        <v>0</v>
      </c>
      <c r="J1012" s="86">
        <v>100</v>
      </c>
      <c r="K1012" s="86">
        <v>300</v>
      </c>
      <c r="L1012" s="83">
        <f t="shared" si="162"/>
        <v>1274</v>
      </c>
      <c r="M1012" s="94">
        <v>600</v>
      </c>
      <c r="N1012" s="83">
        <f>75</f>
        <v>75</v>
      </c>
      <c r="O1012" s="86">
        <v>240</v>
      </c>
      <c r="P1012" s="86">
        <v>40</v>
      </c>
      <c r="Q1012" s="86">
        <f t="shared" si="163"/>
        <v>315</v>
      </c>
      <c r="R1012" s="86">
        <f t="shared" si="164"/>
        <v>100</v>
      </c>
      <c r="S1012" s="83">
        <f t="shared" si="165"/>
        <v>695</v>
      </c>
      <c r="T1012" s="83">
        <f>50</f>
        <v>50</v>
      </c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</row>
    <row r="1013" spans="1:30" ht="15.75" x14ac:dyDescent="0.25">
      <c r="A1013" s="32">
        <v>71771</v>
      </c>
      <c r="B1013" s="95">
        <f t="shared" si="166"/>
        <v>30</v>
      </c>
      <c r="C1013" s="83">
        <f>194.205</f>
        <v>194.20500000000001</v>
      </c>
      <c r="D1013" s="83">
        <f>267.466</f>
        <v>267.46600000000001</v>
      </c>
      <c r="E1013" s="92">
        <f>133.845</f>
        <v>133.845</v>
      </c>
      <c r="F1013" s="83">
        <f>278.484-40-25-60-100</f>
        <v>53.48399999999998</v>
      </c>
      <c r="G1013" s="86">
        <v>40</v>
      </c>
      <c r="H1013" s="83">
        <f t="shared" si="169"/>
        <v>185</v>
      </c>
      <c r="I1013" s="83">
        <f t="shared" si="170"/>
        <v>0</v>
      </c>
      <c r="J1013" s="86">
        <v>100</v>
      </c>
      <c r="K1013" s="86">
        <v>300</v>
      </c>
      <c r="L1013" s="83">
        <f t="shared" si="162"/>
        <v>1274</v>
      </c>
      <c r="M1013" s="94">
        <v>600</v>
      </c>
      <c r="N1013" s="83">
        <f>30</f>
        <v>30</v>
      </c>
      <c r="O1013" s="86">
        <v>240</v>
      </c>
      <c r="P1013" s="86">
        <v>40</v>
      </c>
      <c r="Q1013" s="86">
        <f t="shared" si="163"/>
        <v>315</v>
      </c>
      <c r="R1013" s="86">
        <f t="shared" si="164"/>
        <v>100</v>
      </c>
      <c r="S1013" s="83">
        <f t="shared" si="165"/>
        <v>695</v>
      </c>
      <c r="T1013" s="83">
        <f>50</f>
        <v>50</v>
      </c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</row>
    <row r="1014" spans="1:30" ht="15.75" x14ac:dyDescent="0.25">
      <c r="A1014" s="32">
        <v>71802</v>
      </c>
      <c r="B1014" s="95">
        <f t="shared" si="166"/>
        <v>31</v>
      </c>
      <c r="C1014" s="83">
        <f>194.205</f>
        <v>194.20500000000001</v>
      </c>
      <c r="D1014" s="83">
        <f>267.466</f>
        <v>267.46600000000001</v>
      </c>
      <c r="E1014" s="92">
        <f>133.845</f>
        <v>133.845</v>
      </c>
      <c r="F1014" s="83">
        <f>278.484-40-25-60-100</f>
        <v>53.48399999999998</v>
      </c>
      <c r="G1014" s="86">
        <v>40</v>
      </c>
      <c r="H1014" s="83">
        <f t="shared" si="169"/>
        <v>185</v>
      </c>
      <c r="I1014" s="83">
        <f t="shared" si="170"/>
        <v>0</v>
      </c>
      <c r="J1014" s="86">
        <v>100</v>
      </c>
      <c r="K1014" s="86">
        <v>300</v>
      </c>
      <c r="L1014" s="83">
        <f t="shared" si="162"/>
        <v>1274</v>
      </c>
      <c r="M1014" s="94">
        <v>600</v>
      </c>
      <c r="N1014" s="83">
        <f>30</f>
        <v>30</v>
      </c>
      <c r="O1014" s="86">
        <v>240</v>
      </c>
      <c r="P1014" s="86">
        <v>40</v>
      </c>
      <c r="Q1014" s="86">
        <f t="shared" si="163"/>
        <v>315</v>
      </c>
      <c r="R1014" s="86">
        <f t="shared" si="164"/>
        <v>100</v>
      </c>
      <c r="S1014" s="83">
        <f t="shared" si="165"/>
        <v>695</v>
      </c>
      <c r="T1014" s="83">
        <f>0</f>
        <v>0</v>
      </c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</row>
    <row r="1015" spans="1:30" ht="15.75" x14ac:dyDescent="0.25">
      <c r="A1015" s="32">
        <v>71833</v>
      </c>
      <c r="B1015" s="95">
        <f t="shared" si="166"/>
        <v>31</v>
      </c>
      <c r="C1015" s="83">
        <f>194.205</f>
        <v>194.20500000000001</v>
      </c>
      <c r="D1015" s="83">
        <f>267.466</f>
        <v>267.46600000000001</v>
      </c>
      <c r="E1015" s="92">
        <f>133.845</f>
        <v>133.845</v>
      </c>
      <c r="F1015" s="83">
        <f>278.484-40-25-60-100</f>
        <v>53.48399999999998</v>
      </c>
      <c r="G1015" s="86">
        <v>40</v>
      </c>
      <c r="H1015" s="83">
        <f t="shared" si="169"/>
        <v>185</v>
      </c>
      <c r="I1015" s="83">
        <f t="shared" si="170"/>
        <v>0</v>
      </c>
      <c r="J1015" s="86">
        <v>100</v>
      </c>
      <c r="K1015" s="86">
        <v>300</v>
      </c>
      <c r="L1015" s="83">
        <f t="shared" si="162"/>
        <v>1274</v>
      </c>
      <c r="M1015" s="94">
        <v>600</v>
      </c>
      <c r="N1015" s="83">
        <f>30</f>
        <v>30</v>
      </c>
      <c r="O1015" s="86">
        <v>240</v>
      </c>
      <c r="P1015" s="86">
        <v>40</v>
      </c>
      <c r="Q1015" s="86">
        <f t="shared" si="163"/>
        <v>315</v>
      </c>
      <c r="R1015" s="86">
        <f t="shared" si="164"/>
        <v>100</v>
      </c>
      <c r="S1015" s="83">
        <f t="shared" si="165"/>
        <v>695</v>
      </c>
      <c r="T1015" s="83">
        <f>0</f>
        <v>0</v>
      </c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</row>
    <row r="1016" spans="1:30" ht="15.75" x14ac:dyDescent="0.25">
      <c r="A1016" s="32">
        <v>71863</v>
      </c>
      <c r="B1016" s="95">
        <f t="shared" si="166"/>
        <v>30</v>
      </c>
      <c r="C1016" s="83">
        <f>194.205</f>
        <v>194.20500000000001</v>
      </c>
      <c r="D1016" s="83">
        <f>267.466</f>
        <v>267.46600000000001</v>
      </c>
      <c r="E1016" s="92">
        <f>133.845</f>
        <v>133.845</v>
      </c>
      <c r="F1016" s="83">
        <f>278.484-40-25-60-100</f>
        <v>53.48399999999998</v>
      </c>
      <c r="G1016" s="86">
        <v>40</v>
      </c>
      <c r="H1016" s="83">
        <f t="shared" si="169"/>
        <v>185</v>
      </c>
      <c r="I1016" s="83">
        <f t="shared" si="170"/>
        <v>0</v>
      </c>
      <c r="J1016" s="86">
        <v>100</v>
      </c>
      <c r="K1016" s="86">
        <v>300</v>
      </c>
      <c r="L1016" s="83">
        <f t="shared" si="162"/>
        <v>1274</v>
      </c>
      <c r="M1016" s="94">
        <v>600</v>
      </c>
      <c r="N1016" s="83">
        <f>30</f>
        <v>30</v>
      </c>
      <c r="O1016" s="86">
        <v>240</v>
      </c>
      <c r="P1016" s="86">
        <v>40</v>
      </c>
      <c r="Q1016" s="86">
        <f t="shared" si="163"/>
        <v>315</v>
      </c>
      <c r="R1016" s="86">
        <f t="shared" si="164"/>
        <v>100</v>
      </c>
      <c r="S1016" s="83">
        <f t="shared" si="165"/>
        <v>695</v>
      </c>
      <c r="T1016" s="83">
        <f>0</f>
        <v>0</v>
      </c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</row>
    <row r="1017" spans="1:30" ht="15.75" x14ac:dyDescent="0.25">
      <c r="A1017" s="32">
        <v>71894</v>
      </c>
      <c r="B1017" s="95">
        <f t="shared" si="166"/>
        <v>31</v>
      </c>
      <c r="C1017" s="83">
        <f>131.881</f>
        <v>131.881</v>
      </c>
      <c r="D1017" s="83">
        <f>277.167</f>
        <v>277.16699999999997</v>
      </c>
      <c r="E1017" s="92">
        <f>79.08</f>
        <v>79.08</v>
      </c>
      <c r="F1017" s="83">
        <f>350.872-40-25-60-100</f>
        <v>125.87200000000001</v>
      </c>
      <c r="G1017" s="86">
        <v>40</v>
      </c>
      <c r="H1017" s="83">
        <f t="shared" si="169"/>
        <v>185</v>
      </c>
      <c r="I1017" s="83">
        <f t="shared" si="170"/>
        <v>0</v>
      </c>
      <c r="J1017" s="86">
        <v>100</v>
      </c>
      <c r="K1017" s="86">
        <v>300</v>
      </c>
      <c r="L1017" s="83">
        <f t="shared" si="162"/>
        <v>1239</v>
      </c>
      <c r="M1017" s="94">
        <v>600</v>
      </c>
      <c r="N1017" s="83">
        <f>75</f>
        <v>75</v>
      </c>
      <c r="O1017" s="86">
        <v>240</v>
      </c>
      <c r="P1017" s="86">
        <v>40</v>
      </c>
      <c r="Q1017" s="86">
        <f t="shared" si="163"/>
        <v>315</v>
      </c>
      <c r="R1017" s="86">
        <f t="shared" si="164"/>
        <v>100</v>
      </c>
      <c r="S1017" s="83">
        <f t="shared" si="165"/>
        <v>695</v>
      </c>
      <c r="T1017" s="83">
        <f>0</f>
        <v>0</v>
      </c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</row>
    <row r="1018" spans="1:30" ht="15.75" x14ac:dyDescent="0.25">
      <c r="A1018" s="32">
        <v>71924</v>
      </c>
      <c r="B1018" s="95">
        <f t="shared" si="166"/>
        <v>30</v>
      </c>
      <c r="C1018" s="83">
        <f>122.58</f>
        <v>122.58</v>
      </c>
      <c r="D1018" s="83">
        <f>297.941</f>
        <v>297.94099999999997</v>
      </c>
      <c r="E1018" s="92">
        <f>89.177</f>
        <v>89.177000000000007</v>
      </c>
      <c r="F1018" s="83">
        <f>240.302-40-60-100</f>
        <v>40.301999999999992</v>
      </c>
      <c r="G1018" s="86">
        <v>40</v>
      </c>
      <c r="H1018" s="83">
        <f>60+100</f>
        <v>160</v>
      </c>
      <c r="I1018" s="83">
        <f t="shared" si="170"/>
        <v>0</v>
      </c>
      <c r="J1018" s="86">
        <v>100</v>
      </c>
      <c r="K1018" s="86">
        <v>300</v>
      </c>
      <c r="L1018" s="83">
        <f t="shared" si="162"/>
        <v>1150</v>
      </c>
      <c r="M1018" s="94">
        <v>600</v>
      </c>
      <c r="N1018" s="83">
        <f>100</f>
        <v>100</v>
      </c>
      <c r="O1018" s="86">
        <v>240</v>
      </c>
      <c r="P1018" s="86">
        <v>40</v>
      </c>
      <c r="Q1018" s="86">
        <f t="shared" si="163"/>
        <v>315</v>
      </c>
      <c r="R1018" s="86">
        <f t="shared" si="164"/>
        <v>100</v>
      </c>
      <c r="S1018" s="83">
        <f t="shared" si="165"/>
        <v>695</v>
      </c>
      <c r="T1018" s="83">
        <f>50</f>
        <v>50</v>
      </c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</row>
    <row r="1019" spans="1:30" ht="15.75" x14ac:dyDescent="0.25">
      <c r="A1019" s="32">
        <v>71955</v>
      </c>
      <c r="B1019" s="95">
        <f t="shared" si="166"/>
        <v>31</v>
      </c>
      <c r="C1019" s="83">
        <f>122.58</f>
        <v>122.58</v>
      </c>
      <c r="D1019" s="83">
        <f>297.941</f>
        <v>297.94099999999997</v>
      </c>
      <c r="E1019" s="92">
        <f>89.177</f>
        <v>89.177000000000007</v>
      </c>
      <c r="F1019" s="83">
        <f>240.302-40-60-100</f>
        <v>40.301999999999992</v>
      </c>
      <c r="G1019" s="86">
        <v>40</v>
      </c>
      <c r="H1019" s="83">
        <f>60+100</f>
        <v>160</v>
      </c>
      <c r="I1019" s="83">
        <f t="shared" si="170"/>
        <v>0</v>
      </c>
      <c r="J1019" s="86">
        <v>100</v>
      </c>
      <c r="K1019" s="86">
        <v>300</v>
      </c>
      <c r="L1019" s="83">
        <f t="shared" si="162"/>
        <v>1150</v>
      </c>
      <c r="M1019" s="94">
        <v>600</v>
      </c>
      <c r="N1019" s="83">
        <f>100</f>
        <v>100</v>
      </c>
      <c r="O1019" s="86">
        <v>240</v>
      </c>
      <c r="P1019" s="86">
        <v>40</v>
      </c>
      <c r="Q1019" s="86">
        <f t="shared" si="163"/>
        <v>315</v>
      </c>
      <c r="R1019" s="86">
        <f t="shared" si="164"/>
        <v>100</v>
      </c>
      <c r="S1019" s="83">
        <f t="shared" si="165"/>
        <v>695</v>
      </c>
      <c r="T1019" s="83">
        <f>50</f>
        <v>50</v>
      </c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</row>
    <row r="1020" spans="1:30" ht="15.75" x14ac:dyDescent="0.25">
      <c r="A1020" s="32">
        <v>71986</v>
      </c>
      <c r="B1020" s="95">
        <f t="shared" si="166"/>
        <v>31</v>
      </c>
      <c r="C1020" s="83">
        <f>122.58</f>
        <v>122.58</v>
      </c>
      <c r="D1020" s="83">
        <f>297.941</f>
        <v>297.94099999999997</v>
      </c>
      <c r="E1020" s="92">
        <f>89.177</f>
        <v>89.177000000000007</v>
      </c>
      <c r="F1020" s="83">
        <f>240.302-40-60-100</f>
        <v>40.301999999999992</v>
      </c>
      <c r="G1020" s="86">
        <v>40</v>
      </c>
      <c r="H1020" s="83">
        <f>60+100</f>
        <v>160</v>
      </c>
      <c r="I1020" s="83">
        <f t="shared" si="170"/>
        <v>0</v>
      </c>
      <c r="J1020" s="86">
        <v>100</v>
      </c>
      <c r="K1020" s="86">
        <v>300</v>
      </c>
      <c r="L1020" s="83">
        <f t="shared" si="162"/>
        <v>1150</v>
      </c>
      <c r="M1020" s="94">
        <v>600</v>
      </c>
      <c r="N1020" s="83">
        <f>100</f>
        <v>100</v>
      </c>
      <c r="O1020" s="86">
        <v>240</v>
      </c>
      <c r="P1020" s="86">
        <v>40</v>
      </c>
      <c r="Q1020" s="86">
        <f t="shared" si="163"/>
        <v>315</v>
      </c>
      <c r="R1020" s="86">
        <f t="shared" si="164"/>
        <v>100</v>
      </c>
      <c r="S1020" s="83">
        <f t="shared" si="165"/>
        <v>695</v>
      </c>
      <c r="T1020" s="83">
        <f>50</f>
        <v>50</v>
      </c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</row>
    <row r="1021" spans="1:30" ht="15.75" x14ac:dyDescent="0.25">
      <c r="A1021" s="32">
        <v>72014</v>
      </c>
      <c r="B1021" s="95">
        <f t="shared" si="166"/>
        <v>28</v>
      </c>
      <c r="C1021" s="83">
        <f>122.58</f>
        <v>122.58</v>
      </c>
      <c r="D1021" s="83">
        <f>297.941</f>
        <v>297.94099999999997</v>
      </c>
      <c r="E1021" s="92">
        <f>89.177</f>
        <v>89.177000000000007</v>
      </c>
      <c r="F1021" s="83">
        <f>240.302-40-60-100</f>
        <v>40.301999999999992</v>
      </c>
      <c r="G1021" s="86">
        <v>40</v>
      </c>
      <c r="H1021" s="83">
        <f>60+100</f>
        <v>160</v>
      </c>
      <c r="I1021" s="83">
        <f t="shared" si="170"/>
        <v>0</v>
      </c>
      <c r="J1021" s="86">
        <v>100</v>
      </c>
      <c r="K1021" s="86">
        <v>300</v>
      </c>
      <c r="L1021" s="83">
        <f t="shared" si="162"/>
        <v>1150</v>
      </c>
      <c r="M1021" s="94">
        <v>600</v>
      </c>
      <c r="N1021" s="83">
        <f>100</f>
        <v>100</v>
      </c>
      <c r="O1021" s="86">
        <v>240</v>
      </c>
      <c r="P1021" s="86">
        <v>40</v>
      </c>
      <c r="Q1021" s="86">
        <f t="shared" si="163"/>
        <v>315</v>
      </c>
      <c r="R1021" s="86">
        <f t="shared" si="164"/>
        <v>100</v>
      </c>
      <c r="S1021" s="83">
        <f t="shared" si="165"/>
        <v>695</v>
      </c>
      <c r="T1021" s="83">
        <f>50</f>
        <v>50</v>
      </c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</row>
    <row r="1022" spans="1:30" ht="15.75" x14ac:dyDescent="0.25">
      <c r="A1022" s="32">
        <v>72045</v>
      </c>
      <c r="B1022" s="95">
        <f t="shared" si="166"/>
        <v>31</v>
      </c>
      <c r="C1022" s="83">
        <f>122.58</f>
        <v>122.58</v>
      </c>
      <c r="D1022" s="83">
        <f>297.941</f>
        <v>297.94099999999997</v>
      </c>
      <c r="E1022" s="92">
        <f>89.177</f>
        <v>89.177000000000007</v>
      </c>
      <c r="F1022" s="83">
        <f>240.302-40-60-100</f>
        <v>40.301999999999992</v>
      </c>
      <c r="G1022" s="86">
        <v>40</v>
      </c>
      <c r="H1022" s="83">
        <f>60+100</f>
        <v>160</v>
      </c>
      <c r="I1022" s="83">
        <f t="shared" si="170"/>
        <v>0</v>
      </c>
      <c r="J1022" s="86">
        <v>100</v>
      </c>
      <c r="K1022" s="86">
        <v>300</v>
      </c>
      <c r="L1022" s="83">
        <f t="shared" si="162"/>
        <v>1150</v>
      </c>
      <c r="M1022" s="94">
        <v>600</v>
      </c>
      <c r="N1022" s="83">
        <f>100</f>
        <v>100</v>
      </c>
      <c r="O1022" s="86">
        <v>240</v>
      </c>
      <c r="P1022" s="86">
        <v>40</v>
      </c>
      <c r="Q1022" s="86">
        <f t="shared" si="163"/>
        <v>315</v>
      </c>
      <c r="R1022" s="86">
        <f t="shared" si="164"/>
        <v>100</v>
      </c>
      <c r="S1022" s="83">
        <f t="shared" si="165"/>
        <v>695</v>
      </c>
      <c r="T1022" s="83">
        <f>50</f>
        <v>50</v>
      </c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</row>
    <row r="1023" spans="1:30" ht="15.75" x14ac:dyDescent="0.25">
      <c r="A1023" s="32">
        <v>72075</v>
      </c>
      <c r="B1023" s="95">
        <f t="shared" si="166"/>
        <v>30</v>
      </c>
      <c r="C1023" s="83">
        <f>141.293</f>
        <v>141.29300000000001</v>
      </c>
      <c r="D1023" s="83">
        <f>267.993</f>
        <v>267.99299999999999</v>
      </c>
      <c r="E1023" s="92">
        <f>115.016</f>
        <v>115.01600000000001</v>
      </c>
      <c r="F1023" s="83">
        <f>314.698-40-25-60-100</f>
        <v>89.697999999999979</v>
      </c>
      <c r="G1023" s="86">
        <v>40</v>
      </c>
      <c r="H1023" s="83">
        <f t="shared" ref="H1023:H1029" si="171">25+60+100</f>
        <v>185</v>
      </c>
      <c r="I1023" s="83">
        <f t="shared" si="170"/>
        <v>0</v>
      </c>
      <c r="J1023" s="86">
        <v>100</v>
      </c>
      <c r="K1023" s="86">
        <v>300</v>
      </c>
      <c r="L1023" s="83">
        <f t="shared" si="162"/>
        <v>1239</v>
      </c>
      <c r="M1023" s="94">
        <v>600</v>
      </c>
      <c r="N1023" s="83">
        <f>100</f>
        <v>100</v>
      </c>
      <c r="O1023" s="86">
        <v>240</v>
      </c>
      <c r="P1023" s="86">
        <v>40</v>
      </c>
      <c r="Q1023" s="86">
        <f t="shared" si="163"/>
        <v>315</v>
      </c>
      <c r="R1023" s="86">
        <f t="shared" si="164"/>
        <v>100</v>
      </c>
      <c r="S1023" s="83">
        <f t="shared" si="165"/>
        <v>695</v>
      </c>
      <c r="T1023" s="83">
        <f>50</f>
        <v>50</v>
      </c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</row>
    <row r="1024" spans="1:30" ht="15.75" x14ac:dyDescent="0.25">
      <c r="A1024" s="32">
        <v>72106</v>
      </c>
      <c r="B1024" s="95">
        <f t="shared" si="166"/>
        <v>31</v>
      </c>
      <c r="C1024" s="83">
        <f>194.205</f>
        <v>194.20500000000001</v>
      </c>
      <c r="D1024" s="83">
        <f>267.466</f>
        <v>267.46600000000001</v>
      </c>
      <c r="E1024" s="92">
        <f>133.845</f>
        <v>133.845</v>
      </c>
      <c r="F1024" s="83">
        <f>278.484-40-25-60-100</f>
        <v>53.48399999999998</v>
      </c>
      <c r="G1024" s="86">
        <v>40</v>
      </c>
      <c r="H1024" s="83">
        <f t="shared" si="171"/>
        <v>185</v>
      </c>
      <c r="I1024" s="83">
        <f t="shared" si="170"/>
        <v>0</v>
      </c>
      <c r="J1024" s="86">
        <v>100</v>
      </c>
      <c r="K1024" s="86">
        <v>300</v>
      </c>
      <c r="L1024" s="83">
        <f t="shared" si="162"/>
        <v>1274</v>
      </c>
      <c r="M1024" s="94">
        <v>600</v>
      </c>
      <c r="N1024" s="83">
        <f>75</f>
        <v>75</v>
      </c>
      <c r="O1024" s="86">
        <v>240</v>
      </c>
      <c r="P1024" s="86">
        <v>40</v>
      </c>
      <c r="Q1024" s="86">
        <f t="shared" si="163"/>
        <v>315</v>
      </c>
      <c r="R1024" s="86">
        <f t="shared" si="164"/>
        <v>100</v>
      </c>
      <c r="S1024" s="83">
        <f t="shared" si="165"/>
        <v>695</v>
      </c>
      <c r="T1024" s="83">
        <f>50</f>
        <v>50</v>
      </c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</row>
    <row r="1025" spans="1:30" ht="15.75" x14ac:dyDescent="0.25">
      <c r="A1025" s="32">
        <v>72136</v>
      </c>
      <c r="B1025" s="95">
        <f t="shared" si="166"/>
        <v>30</v>
      </c>
      <c r="C1025" s="83">
        <f>194.205</f>
        <v>194.20500000000001</v>
      </c>
      <c r="D1025" s="83">
        <f>267.466</f>
        <v>267.46600000000001</v>
      </c>
      <c r="E1025" s="92">
        <f>133.845</f>
        <v>133.845</v>
      </c>
      <c r="F1025" s="83">
        <f>278.484-40-25-60-100</f>
        <v>53.48399999999998</v>
      </c>
      <c r="G1025" s="86">
        <v>40</v>
      </c>
      <c r="H1025" s="83">
        <f t="shared" si="171"/>
        <v>185</v>
      </c>
      <c r="I1025" s="83">
        <f t="shared" si="170"/>
        <v>0</v>
      </c>
      <c r="J1025" s="86">
        <v>100</v>
      </c>
      <c r="K1025" s="86">
        <v>300</v>
      </c>
      <c r="L1025" s="83">
        <f t="shared" si="162"/>
        <v>1274</v>
      </c>
      <c r="M1025" s="94">
        <v>600</v>
      </c>
      <c r="N1025" s="83">
        <f>30</f>
        <v>30</v>
      </c>
      <c r="O1025" s="86">
        <v>240</v>
      </c>
      <c r="P1025" s="86">
        <v>40</v>
      </c>
      <c r="Q1025" s="86">
        <f t="shared" si="163"/>
        <v>315</v>
      </c>
      <c r="R1025" s="86">
        <f t="shared" si="164"/>
        <v>100</v>
      </c>
      <c r="S1025" s="83">
        <f t="shared" si="165"/>
        <v>695</v>
      </c>
      <c r="T1025" s="83">
        <f>50</f>
        <v>50</v>
      </c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</row>
    <row r="1026" spans="1:30" ht="15.75" x14ac:dyDescent="0.25">
      <c r="A1026" s="32">
        <v>72167</v>
      </c>
      <c r="B1026" s="95">
        <f t="shared" si="166"/>
        <v>31</v>
      </c>
      <c r="C1026" s="83">
        <f>194.205</f>
        <v>194.20500000000001</v>
      </c>
      <c r="D1026" s="83">
        <f>267.466</f>
        <v>267.46600000000001</v>
      </c>
      <c r="E1026" s="92">
        <f>133.845</f>
        <v>133.845</v>
      </c>
      <c r="F1026" s="83">
        <f>278.484-40-25-60-100</f>
        <v>53.48399999999998</v>
      </c>
      <c r="G1026" s="86">
        <v>40</v>
      </c>
      <c r="H1026" s="83">
        <f t="shared" si="171"/>
        <v>185</v>
      </c>
      <c r="I1026" s="83">
        <f t="shared" si="170"/>
        <v>0</v>
      </c>
      <c r="J1026" s="86">
        <v>100</v>
      </c>
      <c r="K1026" s="86">
        <v>300</v>
      </c>
      <c r="L1026" s="83">
        <f t="shared" si="162"/>
        <v>1274</v>
      </c>
      <c r="M1026" s="94">
        <v>600</v>
      </c>
      <c r="N1026" s="83">
        <f>30</f>
        <v>30</v>
      </c>
      <c r="O1026" s="86">
        <v>240</v>
      </c>
      <c r="P1026" s="86">
        <v>40</v>
      </c>
      <c r="Q1026" s="86">
        <f t="shared" si="163"/>
        <v>315</v>
      </c>
      <c r="R1026" s="86">
        <f t="shared" si="164"/>
        <v>100</v>
      </c>
      <c r="S1026" s="83">
        <f t="shared" si="165"/>
        <v>695</v>
      </c>
      <c r="T1026" s="83">
        <f>0</f>
        <v>0</v>
      </c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</row>
    <row r="1027" spans="1:30" ht="15.75" x14ac:dyDescent="0.25">
      <c r="A1027" s="32">
        <v>72198</v>
      </c>
      <c r="B1027" s="95">
        <f t="shared" si="166"/>
        <v>31</v>
      </c>
      <c r="C1027" s="83">
        <f>194.205</f>
        <v>194.20500000000001</v>
      </c>
      <c r="D1027" s="83">
        <f>267.466</f>
        <v>267.46600000000001</v>
      </c>
      <c r="E1027" s="92">
        <f>133.845</f>
        <v>133.845</v>
      </c>
      <c r="F1027" s="83">
        <f>278.484-40-25-60-100</f>
        <v>53.48399999999998</v>
      </c>
      <c r="G1027" s="86">
        <v>40</v>
      </c>
      <c r="H1027" s="83">
        <f t="shared" si="171"/>
        <v>185</v>
      </c>
      <c r="I1027" s="83">
        <f t="shared" si="170"/>
        <v>0</v>
      </c>
      <c r="J1027" s="86">
        <v>100</v>
      </c>
      <c r="K1027" s="86">
        <v>300</v>
      </c>
      <c r="L1027" s="83">
        <f t="shared" si="162"/>
        <v>1274</v>
      </c>
      <c r="M1027" s="94">
        <v>600</v>
      </c>
      <c r="N1027" s="83">
        <f>30</f>
        <v>30</v>
      </c>
      <c r="O1027" s="86">
        <v>240</v>
      </c>
      <c r="P1027" s="86">
        <v>40</v>
      </c>
      <c r="Q1027" s="86">
        <f t="shared" si="163"/>
        <v>315</v>
      </c>
      <c r="R1027" s="86">
        <f t="shared" si="164"/>
        <v>100</v>
      </c>
      <c r="S1027" s="83">
        <f t="shared" si="165"/>
        <v>695</v>
      </c>
      <c r="T1027" s="83">
        <f>0</f>
        <v>0</v>
      </c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</row>
    <row r="1028" spans="1:30" ht="15.75" x14ac:dyDescent="0.25">
      <c r="A1028" s="32">
        <v>72228</v>
      </c>
      <c r="B1028" s="95">
        <f t="shared" si="166"/>
        <v>30</v>
      </c>
      <c r="C1028" s="83">
        <f>194.205</f>
        <v>194.20500000000001</v>
      </c>
      <c r="D1028" s="83">
        <f>267.466</f>
        <v>267.46600000000001</v>
      </c>
      <c r="E1028" s="92">
        <f>133.845</f>
        <v>133.845</v>
      </c>
      <c r="F1028" s="83">
        <f>278.484-40-25-60-100</f>
        <v>53.48399999999998</v>
      </c>
      <c r="G1028" s="86">
        <v>40</v>
      </c>
      <c r="H1028" s="83">
        <f t="shared" si="171"/>
        <v>185</v>
      </c>
      <c r="I1028" s="83">
        <f t="shared" si="170"/>
        <v>0</v>
      </c>
      <c r="J1028" s="86">
        <v>100</v>
      </c>
      <c r="K1028" s="86">
        <v>300</v>
      </c>
      <c r="L1028" s="83">
        <f t="shared" si="162"/>
        <v>1274</v>
      </c>
      <c r="M1028" s="94">
        <v>600</v>
      </c>
      <c r="N1028" s="83">
        <f>30</f>
        <v>30</v>
      </c>
      <c r="O1028" s="86">
        <v>240</v>
      </c>
      <c r="P1028" s="86">
        <v>40</v>
      </c>
      <c r="Q1028" s="86">
        <f t="shared" si="163"/>
        <v>315</v>
      </c>
      <c r="R1028" s="86">
        <f t="shared" si="164"/>
        <v>100</v>
      </c>
      <c r="S1028" s="83">
        <f t="shared" si="165"/>
        <v>695</v>
      </c>
      <c r="T1028" s="83">
        <f>0</f>
        <v>0</v>
      </c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</row>
    <row r="1029" spans="1:30" ht="15.75" x14ac:dyDescent="0.25">
      <c r="A1029" s="32">
        <v>72259</v>
      </c>
      <c r="B1029" s="95">
        <f t="shared" si="166"/>
        <v>31</v>
      </c>
      <c r="C1029" s="83">
        <f>131.881</f>
        <v>131.881</v>
      </c>
      <c r="D1029" s="83">
        <f>277.167</f>
        <v>277.16699999999997</v>
      </c>
      <c r="E1029" s="92">
        <f>79.08</f>
        <v>79.08</v>
      </c>
      <c r="F1029" s="83">
        <f>350.872-40-25-60-100</f>
        <v>125.87200000000001</v>
      </c>
      <c r="G1029" s="86">
        <v>40</v>
      </c>
      <c r="H1029" s="83">
        <f t="shared" si="171"/>
        <v>185</v>
      </c>
      <c r="I1029" s="83">
        <f t="shared" si="170"/>
        <v>0</v>
      </c>
      <c r="J1029" s="86">
        <v>100</v>
      </c>
      <c r="K1029" s="86">
        <v>300</v>
      </c>
      <c r="L1029" s="83">
        <f t="shared" si="162"/>
        <v>1239</v>
      </c>
      <c r="M1029" s="94">
        <v>600</v>
      </c>
      <c r="N1029" s="83">
        <f>75</f>
        <v>75</v>
      </c>
      <c r="O1029" s="86">
        <v>240</v>
      </c>
      <c r="P1029" s="86">
        <v>40</v>
      </c>
      <c r="Q1029" s="86">
        <f t="shared" si="163"/>
        <v>315</v>
      </c>
      <c r="R1029" s="86">
        <f t="shared" si="164"/>
        <v>100</v>
      </c>
      <c r="S1029" s="83">
        <f t="shared" si="165"/>
        <v>695</v>
      </c>
      <c r="T1029" s="83">
        <f>0</f>
        <v>0</v>
      </c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</row>
    <row r="1030" spans="1:30" ht="15.75" x14ac:dyDescent="0.25">
      <c r="A1030" s="32">
        <v>72289</v>
      </c>
      <c r="B1030" s="95">
        <f t="shared" si="166"/>
        <v>30</v>
      </c>
      <c r="C1030" s="83">
        <f>122.58</f>
        <v>122.58</v>
      </c>
      <c r="D1030" s="83">
        <f>297.941</f>
        <v>297.94099999999997</v>
      </c>
      <c r="E1030" s="92">
        <f>89.177</f>
        <v>89.177000000000007</v>
      </c>
      <c r="F1030" s="83">
        <f>240.302-40-60-100</f>
        <v>40.301999999999992</v>
      </c>
      <c r="G1030" s="86">
        <v>40</v>
      </c>
      <c r="H1030" s="83">
        <f>60+100</f>
        <v>160</v>
      </c>
      <c r="I1030" s="83">
        <f t="shared" si="170"/>
        <v>0</v>
      </c>
      <c r="J1030" s="86">
        <v>100</v>
      </c>
      <c r="K1030" s="86">
        <v>300</v>
      </c>
      <c r="L1030" s="83">
        <f t="shared" si="162"/>
        <v>1150</v>
      </c>
      <c r="M1030" s="94">
        <v>600</v>
      </c>
      <c r="N1030" s="83">
        <f>100</f>
        <v>100</v>
      </c>
      <c r="O1030" s="86">
        <v>240</v>
      </c>
      <c r="P1030" s="86">
        <v>40</v>
      </c>
      <c r="Q1030" s="86">
        <f t="shared" si="163"/>
        <v>315</v>
      </c>
      <c r="R1030" s="86">
        <f t="shared" si="164"/>
        <v>100</v>
      </c>
      <c r="S1030" s="83">
        <f t="shared" si="165"/>
        <v>695</v>
      </c>
      <c r="T1030" s="83">
        <f>50</f>
        <v>50</v>
      </c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</row>
    <row r="1031" spans="1:30" ht="15.75" x14ac:dyDescent="0.25">
      <c r="A1031" s="32">
        <v>72320</v>
      </c>
      <c r="B1031" s="95">
        <f t="shared" si="166"/>
        <v>31</v>
      </c>
      <c r="C1031" s="83">
        <f>122.58</f>
        <v>122.58</v>
      </c>
      <c r="D1031" s="83">
        <f>297.941</f>
        <v>297.94099999999997</v>
      </c>
      <c r="E1031" s="92">
        <f>89.177</f>
        <v>89.177000000000007</v>
      </c>
      <c r="F1031" s="83">
        <f>240.302-40-60-100</f>
        <v>40.301999999999992</v>
      </c>
      <c r="G1031" s="86">
        <v>40</v>
      </c>
      <c r="H1031" s="83">
        <f>60+100</f>
        <v>160</v>
      </c>
      <c r="I1031" s="83">
        <f t="shared" si="170"/>
        <v>0</v>
      </c>
      <c r="J1031" s="86">
        <v>100</v>
      </c>
      <c r="K1031" s="86">
        <v>300</v>
      </c>
      <c r="L1031" s="83">
        <f t="shared" si="162"/>
        <v>1150</v>
      </c>
      <c r="M1031" s="94">
        <v>600</v>
      </c>
      <c r="N1031" s="83">
        <f>100</f>
        <v>100</v>
      </c>
      <c r="O1031" s="86">
        <v>240</v>
      </c>
      <c r="P1031" s="86">
        <v>40</v>
      </c>
      <c r="Q1031" s="86">
        <f t="shared" si="163"/>
        <v>315</v>
      </c>
      <c r="R1031" s="86">
        <f t="shared" si="164"/>
        <v>100</v>
      </c>
      <c r="S1031" s="83">
        <f t="shared" si="165"/>
        <v>695</v>
      </c>
      <c r="T1031" s="83">
        <f>50</f>
        <v>50</v>
      </c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</row>
    <row r="1032" spans="1:30" ht="15.75" x14ac:dyDescent="0.25">
      <c r="A1032" s="32">
        <v>72351</v>
      </c>
      <c r="B1032" s="95">
        <f t="shared" si="166"/>
        <v>31</v>
      </c>
      <c r="C1032" s="83">
        <f>122.58</f>
        <v>122.58</v>
      </c>
      <c r="D1032" s="83">
        <f>297.941</f>
        <v>297.94099999999997</v>
      </c>
      <c r="E1032" s="92">
        <f>89.177</f>
        <v>89.177000000000007</v>
      </c>
      <c r="F1032" s="83">
        <f>240.302-40-60-100</f>
        <v>40.301999999999992</v>
      </c>
      <c r="G1032" s="86">
        <v>40</v>
      </c>
      <c r="H1032" s="83">
        <f>60+100</f>
        <v>160</v>
      </c>
      <c r="I1032" s="83">
        <f t="shared" si="170"/>
        <v>0</v>
      </c>
      <c r="J1032" s="86">
        <v>100</v>
      </c>
      <c r="K1032" s="86">
        <v>300</v>
      </c>
      <c r="L1032" s="83">
        <f t="shared" si="162"/>
        <v>1150</v>
      </c>
      <c r="M1032" s="94">
        <v>600</v>
      </c>
      <c r="N1032" s="83">
        <f>100</f>
        <v>100</v>
      </c>
      <c r="O1032" s="86">
        <v>240</v>
      </c>
      <c r="P1032" s="86">
        <v>40</v>
      </c>
      <c r="Q1032" s="86">
        <f t="shared" si="163"/>
        <v>315</v>
      </c>
      <c r="R1032" s="86">
        <f t="shared" si="164"/>
        <v>100</v>
      </c>
      <c r="S1032" s="83">
        <f t="shared" si="165"/>
        <v>695</v>
      </c>
      <c r="T1032" s="83">
        <f>50</f>
        <v>50</v>
      </c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</row>
    <row r="1033" spans="1:30" ht="15.75" x14ac:dyDescent="0.25">
      <c r="A1033" s="32">
        <v>72379</v>
      </c>
      <c r="B1033" s="95">
        <f t="shared" si="166"/>
        <v>28</v>
      </c>
      <c r="C1033" s="83">
        <f>122.58</f>
        <v>122.58</v>
      </c>
      <c r="D1033" s="83">
        <f>297.941</f>
        <v>297.94099999999997</v>
      </c>
      <c r="E1033" s="92">
        <f>89.177</f>
        <v>89.177000000000007</v>
      </c>
      <c r="F1033" s="83">
        <f>240.302-40-60-100</f>
        <v>40.301999999999992</v>
      </c>
      <c r="G1033" s="86">
        <v>40</v>
      </c>
      <c r="H1033" s="83">
        <f>60+100</f>
        <v>160</v>
      </c>
      <c r="I1033" s="83">
        <f t="shared" si="170"/>
        <v>0</v>
      </c>
      <c r="J1033" s="86">
        <v>100</v>
      </c>
      <c r="K1033" s="86">
        <v>300</v>
      </c>
      <c r="L1033" s="83">
        <f t="shared" si="162"/>
        <v>1150</v>
      </c>
      <c r="M1033" s="94">
        <v>600</v>
      </c>
      <c r="N1033" s="83">
        <f>100</f>
        <v>100</v>
      </c>
      <c r="O1033" s="86">
        <v>240</v>
      </c>
      <c r="P1033" s="86">
        <v>40</v>
      </c>
      <c r="Q1033" s="86">
        <f t="shared" si="163"/>
        <v>315</v>
      </c>
      <c r="R1033" s="86">
        <f t="shared" si="164"/>
        <v>100</v>
      </c>
      <c r="S1033" s="83">
        <f t="shared" si="165"/>
        <v>695</v>
      </c>
      <c r="T1033" s="83">
        <f>50</f>
        <v>50</v>
      </c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</row>
    <row r="1034" spans="1:30" ht="15.75" x14ac:dyDescent="0.25">
      <c r="A1034" s="32">
        <v>72410</v>
      </c>
      <c r="B1034" s="95">
        <f t="shared" si="166"/>
        <v>31</v>
      </c>
      <c r="C1034" s="83">
        <f>122.58</f>
        <v>122.58</v>
      </c>
      <c r="D1034" s="83">
        <f>297.941</f>
        <v>297.94099999999997</v>
      </c>
      <c r="E1034" s="92">
        <f>89.177</f>
        <v>89.177000000000007</v>
      </c>
      <c r="F1034" s="83">
        <f>240.302-40-60-100</f>
        <v>40.301999999999992</v>
      </c>
      <c r="G1034" s="86">
        <v>40</v>
      </c>
      <c r="H1034" s="83">
        <f>60+100</f>
        <v>160</v>
      </c>
      <c r="I1034" s="83">
        <f t="shared" si="170"/>
        <v>0</v>
      </c>
      <c r="J1034" s="86">
        <v>100</v>
      </c>
      <c r="K1034" s="86">
        <v>300</v>
      </c>
      <c r="L1034" s="83">
        <f t="shared" si="162"/>
        <v>1150</v>
      </c>
      <c r="M1034" s="94">
        <v>600</v>
      </c>
      <c r="N1034" s="83">
        <f>100</f>
        <v>100</v>
      </c>
      <c r="O1034" s="86">
        <v>240</v>
      </c>
      <c r="P1034" s="86">
        <v>40</v>
      </c>
      <c r="Q1034" s="86">
        <f t="shared" si="163"/>
        <v>315</v>
      </c>
      <c r="R1034" s="86">
        <f t="shared" si="164"/>
        <v>100</v>
      </c>
      <c r="S1034" s="83">
        <f t="shared" si="165"/>
        <v>695</v>
      </c>
      <c r="T1034" s="83">
        <f>50</f>
        <v>50</v>
      </c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</row>
    <row r="1035" spans="1:30" ht="15.75" x14ac:dyDescent="0.25">
      <c r="A1035" s="32">
        <v>72440</v>
      </c>
      <c r="B1035" s="95">
        <f t="shared" si="166"/>
        <v>30</v>
      </c>
      <c r="C1035" s="83">
        <f>141.293</f>
        <v>141.29300000000001</v>
      </c>
      <c r="D1035" s="83">
        <f>267.993</f>
        <v>267.99299999999999</v>
      </c>
      <c r="E1035" s="92">
        <f>115.016</f>
        <v>115.01600000000001</v>
      </c>
      <c r="F1035" s="83">
        <f>314.698-40-25-60-100</f>
        <v>89.697999999999979</v>
      </c>
      <c r="G1035" s="86">
        <v>40</v>
      </c>
      <c r="H1035" s="83">
        <f t="shared" ref="H1035:H1041" si="172">25+60+100</f>
        <v>185</v>
      </c>
      <c r="I1035" s="83">
        <f t="shared" si="170"/>
        <v>0</v>
      </c>
      <c r="J1035" s="86">
        <v>100</v>
      </c>
      <c r="K1035" s="86">
        <v>300</v>
      </c>
      <c r="L1035" s="83">
        <f t="shared" si="162"/>
        <v>1239</v>
      </c>
      <c r="M1035" s="94">
        <v>600</v>
      </c>
      <c r="N1035" s="83">
        <f>100</f>
        <v>100</v>
      </c>
      <c r="O1035" s="86">
        <v>240</v>
      </c>
      <c r="P1035" s="86">
        <v>40</v>
      </c>
      <c r="Q1035" s="86">
        <f t="shared" si="163"/>
        <v>315</v>
      </c>
      <c r="R1035" s="86">
        <f t="shared" si="164"/>
        <v>100</v>
      </c>
      <c r="S1035" s="83">
        <f t="shared" si="165"/>
        <v>695</v>
      </c>
      <c r="T1035" s="83">
        <f>50</f>
        <v>50</v>
      </c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</row>
    <row r="1036" spans="1:30" ht="15.75" x14ac:dyDescent="0.25">
      <c r="A1036" s="32">
        <v>72471</v>
      </c>
      <c r="B1036" s="95">
        <f t="shared" si="166"/>
        <v>31</v>
      </c>
      <c r="C1036" s="83">
        <f>194.205</f>
        <v>194.20500000000001</v>
      </c>
      <c r="D1036" s="83">
        <f>267.466</f>
        <v>267.46600000000001</v>
      </c>
      <c r="E1036" s="92">
        <f>133.845</f>
        <v>133.845</v>
      </c>
      <c r="F1036" s="83">
        <f>278.484-40-25-60-100</f>
        <v>53.48399999999998</v>
      </c>
      <c r="G1036" s="86">
        <v>40</v>
      </c>
      <c r="H1036" s="83">
        <f t="shared" si="172"/>
        <v>185</v>
      </c>
      <c r="I1036" s="83">
        <f t="shared" si="170"/>
        <v>0</v>
      </c>
      <c r="J1036" s="86">
        <v>100</v>
      </c>
      <c r="K1036" s="86">
        <v>300</v>
      </c>
      <c r="L1036" s="83">
        <f t="shared" si="162"/>
        <v>1274</v>
      </c>
      <c r="M1036" s="94">
        <v>600</v>
      </c>
      <c r="N1036" s="83">
        <f>75</f>
        <v>75</v>
      </c>
      <c r="O1036" s="86">
        <v>240</v>
      </c>
      <c r="P1036" s="86">
        <v>40</v>
      </c>
      <c r="Q1036" s="86">
        <f t="shared" si="163"/>
        <v>315</v>
      </c>
      <c r="R1036" s="86">
        <f t="shared" si="164"/>
        <v>100</v>
      </c>
      <c r="S1036" s="83">
        <f t="shared" si="165"/>
        <v>695</v>
      </c>
      <c r="T1036" s="83">
        <f>50</f>
        <v>50</v>
      </c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</row>
    <row r="1037" spans="1:30" ht="15.75" x14ac:dyDescent="0.25">
      <c r="A1037" s="32">
        <v>72501</v>
      </c>
      <c r="B1037" s="95">
        <f t="shared" si="166"/>
        <v>30</v>
      </c>
      <c r="C1037" s="83">
        <f>194.205</f>
        <v>194.20500000000001</v>
      </c>
      <c r="D1037" s="83">
        <f>267.466</f>
        <v>267.46600000000001</v>
      </c>
      <c r="E1037" s="92">
        <f>133.845</f>
        <v>133.845</v>
      </c>
      <c r="F1037" s="83">
        <f>278.484-40-25-60-100</f>
        <v>53.48399999999998</v>
      </c>
      <c r="G1037" s="86">
        <v>40</v>
      </c>
      <c r="H1037" s="83">
        <f t="shared" si="172"/>
        <v>185</v>
      </c>
      <c r="I1037" s="83">
        <f t="shared" si="170"/>
        <v>0</v>
      </c>
      <c r="J1037" s="86">
        <v>100</v>
      </c>
      <c r="K1037" s="86">
        <v>300</v>
      </c>
      <c r="L1037" s="83">
        <f t="shared" si="162"/>
        <v>1274</v>
      </c>
      <c r="M1037" s="94">
        <v>600</v>
      </c>
      <c r="N1037" s="83">
        <f>30</f>
        <v>30</v>
      </c>
      <c r="O1037" s="86">
        <v>240</v>
      </c>
      <c r="P1037" s="86">
        <v>40</v>
      </c>
      <c r="Q1037" s="86">
        <f t="shared" si="163"/>
        <v>315</v>
      </c>
      <c r="R1037" s="86">
        <f t="shared" si="164"/>
        <v>100</v>
      </c>
      <c r="S1037" s="83">
        <f t="shared" si="165"/>
        <v>695</v>
      </c>
      <c r="T1037" s="83">
        <f>50</f>
        <v>50</v>
      </c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</row>
    <row r="1038" spans="1:30" ht="15.75" x14ac:dyDescent="0.25">
      <c r="A1038" s="32">
        <v>72532</v>
      </c>
      <c r="B1038" s="95">
        <f t="shared" si="166"/>
        <v>31</v>
      </c>
      <c r="C1038" s="83">
        <f>194.205</f>
        <v>194.20500000000001</v>
      </c>
      <c r="D1038" s="83">
        <f>267.466</f>
        <v>267.46600000000001</v>
      </c>
      <c r="E1038" s="92">
        <f>133.845</f>
        <v>133.845</v>
      </c>
      <c r="F1038" s="83">
        <f>278.484-40-25-60-100</f>
        <v>53.48399999999998</v>
      </c>
      <c r="G1038" s="86">
        <v>40</v>
      </c>
      <c r="H1038" s="83">
        <f t="shared" si="172"/>
        <v>185</v>
      </c>
      <c r="I1038" s="83">
        <f t="shared" si="170"/>
        <v>0</v>
      </c>
      <c r="J1038" s="86">
        <v>100</v>
      </c>
      <c r="K1038" s="86">
        <v>300</v>
      </c>
      <c r="L1038" s="83">
        <f t="shared" si="162"/>
        <v>1274</v>
      </c>
      <c r="M1038" s="94">
        <v>600</v>
      </c>
      <c r="N1038" s="83">
        <f>30</f>
        <v>30</v>
      </c>
      <c r="O1038" s="86">
        <v>240</v>
      </c>
      <c r="P1038" s="86">
        <v>40</v>
      </c>
      <c r="Q1038" s="86">
        <f t="shared" si="163"/>
        <v>315</v>
      </c>
      <c r="R1038" s="86">
        <f t="shared" si="164"/>
        <v>100</v>
      </c>
      <c r="S1038" s="83">
        <f t="shared" si="165"/>
        <v>695</v>
      </c>
      <c r="T1038" s="83">
        <f>0</f>
        <v>0</v>
      </c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</row>
    <row r="1039" spans="1:30" ht="15.75" x14ac:dyDescent="0.25">
      <c r="A1039" s="32">
        <v>72563</v>
      </c>
      <c r="B1039" s="95">
        <f t="shared" si="166"/>
        <v>31</v>
      </c>
      <c r="C1039" s="83">
        <f>194.205</f>
        <v>194.20500000000001</v>
      </c>
      <c r="D1039" s="83">
        <f>267.466</f>
        <v>267.46600000000001</v>
      </c>
      <c r="E1039" s="92">
        <f>133.845</f>
        <v>133.845</v>
      </c>
      <c r="F1039" s="83">
        <f>278.484-40-25-60-100</f>
        <v>53.48399999999998</v>
      </c>
      <c r="G1039" s="86">
        <v>40</v>
      </c>
      <c r="H1039" s="83">
        <f t="shared" si="172"/>
        <v>185</v>
      </c>
      <c r="I1039" s="83">
        <f t="shared" si="170"/>
        <v>0</v>
      </c>
      <c r="J1039" s="86">
        <v>100</v>
      </c>
      <c r="K1039" s="86">
        <v>300</v>
      </c>
      <c r="L1039" s="83">
        <f t="shared" si="162"/>
        <v>1274</v>
      </c>
      <c r="M1039" s="94">
        <v>600</v>
      </c>
      <c r="N1039" s="83">
        <f>30</f>
        <v>30</v>
      </c>
      <c r="O1039" s="86">
        <v>240</v>
      </c>
      <c r="P1039" s="86">
        <v>40</v>
      </c>
      <c r="Q1039" s="86">
        <f t="shared" si="163"/>
        <v>315</v>
      </c>
      <c r="R1039" s="86">
        <f t="shared" si="164"/>
        <v>100</v>
      </c>
      <c r="S1039" s="83">
        <f t="shared" si="165"/>
        <v>695</v>
      </c>
      <c r="T1039" s="83">
        <f>0</f>
        <v>0</v>
      </c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</row>
    <row r="1040" spans="1:30" ht="15.75" x14ac:dyDescent="0.25">
      <c r="A1040" s="32">
        <v>72593</v>
      </c>
      <c r="B1040" s="95">
        <f t="shared" si="166"/>
        <v>30</v>
      </c>
      <c r="C1040" s="83">
        <f>194.205</f>
        <v>194.20500000000001</v>
      </c>
      <c r="D1040" s="83">
        <f>267.466</f>
        <v>267.46600000000001</v>
      </c>
      <c r="E1040" s="92">
        <f>133.845</f>
        <v>133.845</v>
      </c>
      <c r="F1040" s="83">
        <f>278.484-40-25-60-100</f>
        <v>53.48399999999998</v>
      </c>
      <c r="G1040" s="86">
        <v>40</v>
      </c>
      <c r="H1040" s="83">
        <f t="shared" si="172"/>
        <v>185</v>
      </c>
      <c r="I1040" s="83">
        <f t="shared" si="170"/>
        <v>0</v>
      </c>
      <c r="J1040" s="86">
        <v>100</v>
      </c>
      <c r="K1040" s="86">
        <v>300</v>
      </c>
      <c r="L1040" s="83">
        <f t="shared" si="162"/>
        <v>1274</v>
      </c>
      <c r="M1040" s="94">
        <v>600</v>
      </c>
      <c r="N1040" s="83">
        <f>30</f>
        <v>30</v>
      </c>
      <c r="O1040" s="86">
        <v>240</v>
      </c>
      <c r="P1040" s="86">
        <v>40</v>
      </c>
      <c r="Q1040" s="86">
        <f t="shared" si="163"/>
        <v>315</v>
      </c>
      <c r="R1040" s="86">
        <f t="shared" si="164"/>
        <v>100</v>
      </c>
      <c r="S1040" s="83">
        <f t="shared" si="165"/>
        <v>695</v>
      </c>
      <c r="T1040" s="83">
        <f>0</f>
        <v>0</v>
      </c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</row>
    <row r="1041" spans="1:30" ht="15.75" x14ac:dyDescent="0.25">
      <c r="A1041" s="32">
        <v>72624</v>
      </c>
      <c r="B1041" s="95">
        <f t="shared" si="166"/>
        <v>31</v>
      </c>
      <c r="C1041" s="83">
        <f>131.881</f>
        <v>131.881</v>
      </c>
      <c r="D1041" s="83">
        <f>277.167</f>
        <v>277.16699999999997</v>
      </c>
      <c r="E1041" s="92">
        <f>79.08</f>
        <v>79.08</v>
      </c>
      <c r="F1041" s="83">
        <f>350.872-40-25-60-100</f>
        <v>125.87200000000001</v>
      </c>
      <c r="G1041" s="86">
        <v>40</v>
      </c>
      <c r="H1041" s="83">
        <f t="shared" si="172"/>
        <v>185</v>
      </c>
      <c r="I1041" s="83">
        <f t="shared" si="170"/>
        <v>0</v>
      </c>
      <c r="J1041" s="86">
        <v>100</v>
      </c>
      <c r="K1041" s="86">
        <v>300</v>
      </c>
      <c r="L1041" s="83">
        <f t="shared" si="162"/>
        <v>1239</v>
      </c>
      <c r="M1041" s="94">
        <v>600</v>
      </c>
      <c r="N1041" s="83">
        <f>75</f>
        <v>75</v>
      </c>
      <c r="O1041" s="86">
        <v>240</v>
      </c>
      <c r="P1041" s="86">
        <v>40</v>
      </c>
      <c r="Q1041" s="86">
        <f t="shared" si="163"/>
        <v>315</v>
      </c>
      <c r="R1041" s="86">
        <f t="shared" si="164"/>
        <v>100</v>
      </c>
      <c r="S1041" s="83">
        <f t="shared" si="165"/>
        <v>695</v>
      </c>
      <c r="T1041" s="83">
        <f>0</f>
        <v>0</v>
      </c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</row>
    <row r="1042" spans="1:30" ht="15.75" x14ac:dyDescent="0.25">
      <c r="A1042" s="32">
        <v>72654</v>
      </c>
      <c r="B1042" s="95">
        <f t="shared" si="166"/>
        <v>30</v>
      </c>
      <c r="C1042" s="83">
        <f>122.58</f>
        <v>122.58</v>
      </c>
      <c r="D1042" s="83">
        <f>297.941</f>
        <v>297.94099999999997</v>
      </c>
      <c r="E1042" s="92">
        <f>89.177</f>
        <v>89.177000000000007</v>
      </c>
      <c r="F1042" s="83">
        <f>240.302-40-60-100</f>
        <v>40.301999999999992</v>
      </c>
      <c r="G1042" s="86">
        <v>40</v>
      </c>
      <c r="H1042" s="83">
        <f>60+100</f>
        <v>160</v>
      </c>
      <c r="I1042" s="83">
        <f t="shared" si="170"/>
        <v>0</v>
      </c>
      <c r="J1042" s="86">
        <v>100</v>
      </c>
      <c r="K1042" s="86">
        <v>300</v>
      </c>
      <c r="L1042" s="83">
        <f t="shared" si="162"/>
        <v>1150</v>
      </c>
      <c r="M1042" s="94">
        <v>600</v>
      </c>
      <c r="N1042" s="83">
        <f>100</f>
        <v>100</v>
      </c>
      <c r="O1042" s="86">
        <v>240</v>
      </c>
      <c r="P1042" s="86">
        <v>40</v>
      </c>
      <c r="Q1042" s="86">
        <f t="shared" si="163"/>
        <v>315</v>
      </c>
      <c r="R1042" s="86">
        <f t="shared" si="164"/>
        <v>100</v>
      </c>
      <c r="S1042" s="83">
        <f t="shared" si="165"/>
        <v>695</v>
      </c>
      <c r="T1042" s="83">
        <f>50</f>
        <v>50</v>
      </c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</row>
    <row r="1043" spans="1:30" ht="15.75" x14ac:dyDescent="0.25">
      <c r="A1043" s="32">
        <v>72685</v>
      </c>
      <c r="B1043" s="95">
        <f t="shared" si="166"/>
        <v>31</v>
      </c>
      <c r="C1043" s="83">
        <f>122.58</f>
        <v>122.58</v>
      </c>
      <c r="D1043" s="83">
        <f>297.941</f>
        <v>297.94099999999997</v>
      </c>
      <c r="E1043" s="92">
        <f>89.177</f>
        <v>89.177000000000007</v>
      </c>
      <c r="F1043" s="83">
        <f>240.302-40-60-100</f>
        <v>40.301999999999992</v>
      </c>
      <c r="G1043" s="86">
        <v>40</v>
      </c>
      <c r="H1043" s="83">
        <f>60+100</f>
        <v>160</v>
      </c>
      <c r="I1043" s="83">
        <f t="shared" si="170"/>
        <v>0</v>
      </c>
      <c r="J1043" s="86">
        <v>100</v>
      </c>
      <c r="K1043" s="86">
        <v>300</v>
      </c>
      <c r="L1043" s="83">
        <f t="shared" si="162"/>
        <v>1150</v>
      </c>
      <c r="M1043" s="94">
        <v>600</v>
      </c>
      <c r="N1043" s="83">
        <f>100</f>
        <v>100</v>
      </c>
      <c r="O1043" s="86">
        <v>240</v>
      </c>
      <c r="P1043" s="86">
        <v>40</v>
      </c>
      <c r="Q1043" s="86">
        <f t="shared" si="163"/>
        <v>315</v>
      </c>
      <c r="R1043" s="86">
        <f t="shared" si="164"/>
        <v>100</v>
      </c>
      <c r="S1043" s="83">
        <f t="shared" si="165"/>
        <v>695</v>
      </c>
      <c r="T1043" s="83">
        <f>50</f>
        <v>50</v>
      </c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</row>
    <row r="1044" spans="1:30" ht="15.75" x14ac:dyDescent="0.25">
      <c r="A1044" s="32">
        <v>72716</v>
      </c>
      <c r="B1044" s="95">
        <f t="shared" si="166"/>
        <v>31</v>
      </c>
      <c r="C1044" s="83">
        <f>122.58</f>
        <v>122.58</v>
      </c>
      <c r="D1044" s="83">
        <f>297.941</f>
        <v>297.94099999999997</v>
      </c>
      <c r="E1044" s="92">
        <f>89.177</f>
        <v>89.177000000000007</v>
      </c>
      <c r="F1044" s="83">
        <f>240.302-40-60-100</f>
        <v>40.301999999999992</v>
      </c>
      <c r="G1044" s="86">
        <v>40</v>
      </c>
      <c r="H1044" s="83">
        <f>60+100</f>
        <v>160</v>
      </c>
      <c r="I1044" s="83">
        <f t="shared" si="170"/>
        <v>0</v>
      </c>
      <c r="J1044" s="86">
        <v>100</v>
      </c>
      <c r="K1044" s="86">
        <v>300</v>
      </c>
      <c r="L1044" s="83">
        <f t="shared" si="162"/>
        <v>1150</v>
      </c>
      <c r="M1044" s="94">
        <v>600</v>
      </c>
      <c r="N1044" s="83">
        <f>100</f>
        <v>100</v>
      </c>
      <c r="O1044" s="86">
        <v>240</v>
      </c>
      <c r="P1044" s="86">
        <v>40</v>
      </c>
      <c r="Q1044" s="86">
        <f t="shared" si="163"/>
        <v>315</v>
      </c>
      <c r="R1044" s="86">
        <f t="shared" si="164"/>
        <v>100</v>
      </c>
      <c r="S1044" s="83">
        <f t="shared" si="165"/>
        <v>695</v>
      </c>
      <c r="T1044" s="83">
        <f>50</f>
        <v>50</v>
      </c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</row>
    <row r="1045" spans="1:30" ht="15.75" x14ac:dyDescent="0.25">
      <c r="A1045" s="32">
        <v>72744</v>
      </c>
      <c r="B1045" s="95">
        <f t="shared" si="166"/>
        <v>28</v>
      </c>
      <c r="C1045" s="83">
        <f>122.58</f>
        <v>122.58</v>
      </c>
      <c r="D1045" s="83">
        <f>297.941</f>
        <v>297.94099999999997</v>
      </c>
      <c r="E1045" s="92">
        <f>89.177</f>
        <v>89.177000000000007</v>
      </c>
      <c r="F1045" s="83">
        <f>240.302-40-60-100</f>
        <v>40.301999999999992</v>
      </c>
      <c r="G1045" s="86">
        <v>40</v>
      </c>
      <c r="H1045" s="83">
        <f>60+100</f>
        <v>160</v>
      </c>
      <c r="I1045" s="83">
        <f t="shared" si="170"/>
        <v>0</v>
      </c>
      <c r="J1045" s="86">
        <v>100</v>
      </c>
      <c r="K1045" s="86">
        <v>300</v>
      </c>
      <c r="L1045" s="83">
        <f t="shared" ref="L1045:L1067" si="173">SUM(C1045:K1045)</f>
        <v>1150</v>
      </c>
      <c r="M1045" s="94">
        <v>600</v>
      </c>
      <c r="N1045" s="83">
        <f>100</f>
        <v>100</v>
      </c>
      <c r="O1045" s="86">
        <v>240</v>
      </c>
      <c r="P1045" s="86">
        <v>40</v>
      </c>
      <c r="Q1045" s="86">
        <f t="shared" ref="Q1045:Q1067" si="174">695-R1045-O1045-P1045</f>
        <v>315</v>
      </c>
      <c r="R1045" s="86">
        <f t="shared" ref="R1045:R1067" si="175">200-J1045</f>
        <v>100</v>
      </c>
      <c r="S1045" s="83">
        <f t="shared" ref="S1045:S1067" si="176">SUM(O1045:R1045)</f>
        <v>695</v>
      </c>
      <c r="T1045" s="83">
        <f>50</f>
        <v>50</v>
      </c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</row>
    <row r="1046" spans="1:30" ht="15.75" x14ac:dyDescent="0.25">
      <c r="A1046" s="32">
        <v>72775</v>
      </c>
      <c r="B1046" s="95">
        <f t="shared" si="166"/>
        <v>31</v>
      </c>
      <c r="C1046" s="83">
        <f>122.58</f>
        <v>122.58</v>
      </c>
      <c r="D1046" s="83">
        <f>297.941</f>
        <v>297.94099999999997</v>
      </c>
      <c r="E1046" s="92">
        <f>89.177</f>
        <v>89.177000000000007</v>
      </c>
      <c r="F1046" s="83">
        <f>240.302-40-60-100</f>
        <v>40.301999999999992</v>
      </c>
      <c r="G1046" s="86">
        <v>40</v>
      </c>
      <c r="H1046" s="83">
        <f>60+100</f>
        <v>160</v>
      </c>
      <c r="I1046" s="83">
        <f t="shared" si="170"/>
        <v>0</v>
      </c>
      <c r="J1046" s="86">
        <v>100</v>
      </c>
      <c r="K1046" s="86">
        <v>300</v>
      </c>
      <c r="L1046" s="83">
        <f t="shared" si="173"/>
        <v>1150</v>
      </c>
      <c r="M1046" s="94">
        <v>600</v>
      </c>
      <c r="N1046" s="83">
        <f>100</f>
        <v>100</v>
      </c>
      <c r="O1046" s="86">
        <v>240</v>
      </c>
      <c r="P1046" s="86">
        <v>40</v>
      </c>
      <c r="Q1046" s="86">
        <f t="shared" si="174"/>
        <v>315</v>
      </c>
      <c r="R1046" s="86">
        <f t="shared" si="175"/>
        <v>100</v>
      </c>
      <c r="S1046" s="83">
        <f t="shared" si="176"/>
        <v>695</v>
      </c>
      <c r="T1046" s="83">
        <f>50</f>
        <v>50</v>
      </c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</row>
    <row r="1047" spans="1:30" ht="15.75" x14ac:dyDescent="0.25">
      <c r="A1047" s="32">
        <v>72805</v>
      </c>
      <c r="B1047" s="95">
        <f t="shared" si="166"/>
        <v>30</v>
      </c>
      <c r="C1047" s="83">
        <f>141.293</f>
        <v>141.29300000000001</v>
      </c>
      <c r="D1047" s="83">
        <f>267.993</f>
        <v>267.99299999999999</v>
      </c>
      <c r="E1047" s="92">
        <f>115.016</f>
        <v>115.01600000000001</v>
      </c>
      <c r="F1047" s="83">
        <f>314.698-40-25-60-100</f>
        <v>89.697999999999979</v>
      </c>
      <c r="G1047" s="86">
        <v>40</v>
      </c>
      <c r="H1047" s="83">
        <f t="shared" ref="H1047:H1053" si="177">25+60+100</f>
        <v>185</v>
      </c>
      <c r="I1047" s="83">
        <f t="shared" si="170"/>
        <v>0</v>
      </c>
      <c r="J1047" s="86">
        <v>100</v>
      </c>
      <c r="K1047" s="86">
        <v>300</v>
      </c>
      <c r="L1047" s="83">
        <f t="shared" si="173"/>
        <v>1239</v>
      </c>
      <c r="M1047" s="94">
        <v>600</v>
      </c>
      <c r="N1047" s="83">
        <f>100</f>
        <v>100</v>
      </c>
      <c r="O1047" s="86">
        <v>240</v>
      </c>
      <c r="P1047" s="86">
        <v>40</v>
      </c>
      <c r="Q1047" s="86">
        <f t="shared" si="174"/>
        <v>315</v>
      </c>
      <c r="R1047" s="86">
        <f t="shared" si="175"/>
        <v>100</v>
      </c>
      <c r="S1047" s="83">
        <f t="shared" si="176"/>
        <v>695</v>
      </c>
      <c r="T1047" s="83">
        <f>50</f>
        <v>50</v>
      </c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</row>
    <row r="1048" spans="1:30" ht="15.75" x14ac:dyDescent="0.25">
      <c r="A1048" s="32">
        <v>72836</v>
      </c>
      <c r="B1048" s="95">
        <f t="shared" ref="B1048:B1067" si="178">EOMONTH(A1048,0)-EOMONTH(A1048,-1)</f>
        <v>31</v>
      </c>
      <c r="C1048" s="83">
        <f>194.205</f>
        <v>194.20500000000001</v>
      </c>
      <c r="D1048" s="83">
        <f>267.466</f>
        <v>267.46600000000001</v>
      </c>
      <c r="E1048" s="92">
        <f>133.845</f>
        <v>133.845</v>
      </c>
      <c r="F1048" s="83">
        <f>278.484-40-25-60-100</f>
        <v>53.48399999999998</v>
      </c>
      <c r="G1048" s="86">
        <v>40</v>
      </c>
      <c r="H1048" s="83">
        <f t="shared" si="177"/>
        <v>185</v>
      </c>
      <c r="I1048" s="83">
        <f t="shared" si="170"/>
        <v>0</v>
      </c>
      <c r="J1048" s="86">
        <v>100</v>
      </c>
      <c r="K1048" s="86">
        <v>300</v>
      </c>
      <c r="L1048" s="83">
        <f t="shared" si="173"/>
        <v>1274</v>
      </c>
      <c r="M1048" s="94">
        <v>600</v>
      </c>
      <c r="N1048" s="83">
        <f>75</f>
        <v>75</v>
      </c>
      <c r="O1048" s="86">
        <v>240</v>
      </c>
      <c r="P1048" s="86">
        <v>40</v>
      </c>
      <c r="Q1048" s="86">
        <f t="shared" si="174"/>
        <v>315</v>
      </c>
      <c r="R1048" s="86">
        <f t="shared" si="175"/>
        <v>100</v>
      </c>
      <c r="S1048" s="83">
        <f t="shared" si="176"/>
        <v>695</v>
      </c>
      <c r="T1048" s="83">
        <f>50</f>
        <v>50</v>
      </c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</row>
    <row r="1049" spans="1:30" ht="15.75" x14ac:dyDescent="0.25">
      <c r="A1049" s="32">
        <v>72866</v>
      </c>
      <c r="B1049" s="95">
        <f t="shared" si="178"/>
        <v>30</v>
      </c>
      <c r="C1049" s="83">
        <f>194.205</f>
        <v>194.20500000000001</v>
      </c>
      <c r="D1049" s="83">
        <f>267.466</f>
        <v>267.46600000000001</v>
      </c>
      <c r="E1049" s="92">
        <f>133.845</f>
        <v>133.845</v>
      </c>
      <c r="F1049" s="83">
        <f>278.484-40-25-60-100</f>
        <v>53.48399999999998</v>
      </c>
      <c r="G1049" s="86">
        <v>40</v>
      </c>
      <c r="H1049" s="83">
        <f t="shared" si="177"/>
        <v>185</v>
      </c>
      <c r="I1049" s="83">
        <f t="shared" si="170"/>
        <v>0</v>
      </c>
      <c r="J1049" s="86">
        <v>100</v>
      </c>
      <c r="K1049" s="86">
        <v>300</v>
      </c>
      <c r="L1049" s="83">
        <f t="shared" si="173"/>
        <v>1274</v>
      </c>
      <c r="M1049" s="94">
        <v>600</v>
      </c>
      <c r="N1049" s="83">
        <f>30</f>
        <v>30</v>
      </c>
      <c r="O1049" s="86">
        <v>240</v>
      </c>
      <c r="P1049" s="86">
        <v>40</v>
      </c>
      <c r="Q1049" s="86">
        <f t="shared" si="174"/>
        <v>315</v>
      </c>
      <c r="R1049" s="86">
        <f t="shared" si="175"/>
        <v>100</v>
      </c>
      <c r="S1049" s="83">
        <f t="shared" si="176"/>
        <v>695</v>
      </c>
      <c r="T1049" s="83">
        <f>50</f>
        <v>50</v>
      </c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</row>
    <row r="1050" spans="1:30" ht="15.75" x14ac:dyDescent="0.25">
      <c r="A1050" s="32">
        <v>72897</v>
      </c>
      <c r="B1050" s="95">
        <f t="shared" si="178"/>
        <v>31</v>
      </c>
      <c r="C1050" s="83">
        <f>194.205</f>
        <v>194.20500000000001</v>
      </c>
      <c r="D1050" s="83">
        <f>267.466</f>
        <v>267.46600000000001</v>
      </c>
      <c r="E1050" s="92">
        <f>133.845</f>
        <v>133.845</v>
      </c>
      <c r="F1050" s="83">
        <f>278.484-40-25-60-100</f>
        <v>53.48399999999998</v>
      </c>
      <c r="G1050" s="86">
        <v>40</v>
      </c>
      <c r="H1050" s="83">
        <f t="shared" si="177"/>
        <v>185</v>
      </c>
      <c r="I1050" s="83">
        <f t="shared" si="170"/>
        <v>0</v>
      </c>
      <c r="J1050" s="86">
        <v>100</v>
      </c>
      <c r="K1050" s="86">
        <v>300</v>
      </c>
      <c r="L1050" s="83">
        <f t="shared" si="173"/>
        <v>1274</v>
      </c>
      <c r="M1050" s="94">
        <v>600</v>
      </c>
      <c r="N1050" s="83">
        <f>30</f>
        <v>30</v>
      </c>
      <c r="O1050" s="86">
        <v>240</v>
      </c>
      <c r="P1050" s="86">
        <v>40</v>
      </c>
      <c r="Q1050" s="86">
        <f t="shared" si="174"/>
        <v>315</v>
      </c>
      <c r="R1050" s="86">
        <f t="shared" si="175"/>
        <v>100</v>
      </c>
      <c r="S1050" s="83">
        <f t="shared" si="176"/>
        <v>695</v>
      </c>
      <c r="T1050" s="83">
        <f>0</f>
        <v>0</v>
      </c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</row>
    <row r="1051" spans="1:30" ht="15.75" x14ac:dyDescent="0.25">
      <c r="A1051" s="32">
        <v>72928</v>
      </c>
      <c r="B1051" s="95">
        <f t="shared" si="178"/>
        <v>31</v>
      </c>
      <c r="C1051" s="83">
        <f>194.205</f>
        <v>194.20500000000001</v>
      </c>
      <c r="D1051" s="83">
        <f>267.466</f>
        <v>267.46600000000001</v>
      </c>
      <c r="E1051" s="92">
        <f>133.845</f>
        <v>133.845</v>
      </c>
      <c r="F1051" s="83">
        <f>278.484-40-25-60-100</f>
        <v>53.48399999999998</v>
      </c>
      <c r="G1051" s="86">
        <v>40</v>
      </c>
      <c r="H1051" s="83">
        <f t="shared" si="177"/>
        <v>185</v>
      </c>
      <c r="I1051" s="83">
        <f t="shared" si="170"/>
        <v>0</v>
      </c>
      <c r="J1051" s="86">
        <v>100</v>
      </c>
      <c r="K1051" s="86">
        <v>300</v>
      </c>
      <c r="L1051" s="83">
        <f t="shared" si="173"/>
        <v>1274</v>
      </c>
      <c r="M1051" s="94">
        <v>600</v>
      </c>
      <c r="N1051" s="83">
        <f>30</f>
        <v>30</v>
      </c>
      <c r="O1051" s="86">
        <v>240</v>
      </c>
      <c r="P1051" s="86">
        <v>40</v>
      </c>
      <c r="Q1051" s="86">
        <f t="shared" si="174"/>
        <v>315</v>
      </c>
      <c r="R1051" s="86">
        <f t="shared" si="175"/>
        <v>100</v>
      </c>
      <c r="S1051" s="83">
        <f t="shared" si="176"/>
        <v>695</v>
      </c>
      <c r="T1051" s="83">
        <f>0</f>
        <v>0</v>
      </c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</row>
    <row r="1052" spans="1:30" ht="15.75" x14ac:dyDescent="0.25">
      <c r="A1052" s="32">
        <v>72958</v>
      </c>
      <c r="B1052" s="95">
        <f t="shared" si="178"/>
        <v>30</v>
      </c>
      <c r="C1052" s="83">
        <f>194.205</f>
        <v>194.20500000000001</v>
      </c>
      <c r="D1052" s="83">
        <f>267.466</f>
        <v>267.46600000000001</v>
      </c>
      <c r="E1052" s="92">
        <f>133.845</f>
        <v>133.845</v>
      </c>
      <c r="F1052" s="83">
        <f>278.484-40-25-60-100</f>
        <v>53.48399999999998</v>
      </c>
      <c r="G1052" s="86">
        <v>40</v>
      </c>
      <c r="H1052" s="83">
        <f t="shared" si="177"/>
        <v>185</v>
      </c>
      <c r="I1052" s="83">
        <f t="shared" si="170"/>
        <v>0</v>
      </c>
      <c r="J1052" s="86">
        <v>100</v>
      </c>
      <c r="K1052" s="86">
        <v>300</v>
      </c>
      <c r="L1052" s="83">
        <f t="shared" si="173"/>
        <v>1274</v>
      </c>
      <c r="M1052" s="94">
        <v>600</v>
      </c>
      <c r="N1052" s="83">
        <f>30</f>
        <v>30</v>
      </c>
      <c r="O1052" s="86">
        <v>240</v>
      </c>
      <c r="P1052" s="86">
        <v>40</v>
      </c>
      <c r="Q1052" s="86">
        <f t="shared" si="174"/>
        <v>315</v>
      </c>
      <c r="R1052" s="86">
        <f t="shared" si="175"/>
        <v>100</v>
      </c>
      <c r="S1052" s="83">
        <f t="shared" si="176"/>
        <v>695</v>
      </c>
      <c r="T1052" s="83">
        <f>0</f>
        <v>0</v>
      </c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</row>
    <row r="1053" spans="1:30" ht="15.75" x14ac:dyDescent="0.25">
      <c r="A1053" s="32">
        <v>72989</v>
      </c>
      <c r="B1053" s="95">
        <f t="shared" si="178"/>
        <v>31</v>
      </c>
      <c r="C1053" s="83">
        <f>131.881</f>
        <v>131.881</v>
      </c>
      <c r="D1053" s="83">
        <f>277.167</f>
        <v>277.16699999999997</v>
      </c>
      <c r="E1053" s="92">
        <f>79.08</f>
        <v>79.08</v>
      </c>
      <c r="F1053" s="83">
        <f>350.872-40-25-60-100</f>
        <v>125.87200000000001</v>
      </c>
      <c r="G1053" s="86">
        <v>40</v>
      </c>
      <c r="H1053" s="83">
        <f t="shared" si="177"/>
        <v>185</v>
      </c>
      <c r="I1053" s="83">
        <f t="shared" si="170"/>
        <v>0</v>
      </c>
      <c r="J1053" s="86">
        <v>100</v>
      </c>
      <c r="K1053" s="86">
        <v>300</v>
      </c>
      <c r="L1053" s="83">
        <f t="shared" si="173"/>
        <v>1239</v>
      </c>
      <c r="M1053" s="94">
        <v>600</v>
      </c>
      <c r="N1053" s="83">
        <f>75</f>
        <v>75</v>
      </c>
      <c r="O1053" s="86">
        <v>240</v>
      </c>
      <c r="P1053" s="86">
        <v>40</v>
      </c>
      <c r="Q1053" s="86">
        <f t="shared" si="174"/>
        <v>315</v>
      </c>
      <c r="R1053" s="86">
        <f t="shared" si="175"/>
        <v>100</v>
      </c>
      <c r="S1053" s="83">
        <f t="shared" si="176"/>
        <v>695</v>
      </c>
      <c r="T1053" s="83">
        <f>0</f>
        <v>0</v>
      </c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</row>
    <row r="1054" spans="1:30" ht="15.75" x14ac:dyDescent="0.25">
      <c r="A1054" s="32">
        <v>73019</v>
      </c>
      <c r="B1054" s="95">
        <f t="shared" si="178"/>
        <v>30</v>
      </c>
      <c r="C1054" s="83">
        <f>122.58</f>
        <v>122.58</v>
      </c>
      <c r="D1054" s="83">
        <f>297.941</f>
        <v>297.94099999999997</v>
      </c>
      <c r="E1054" s="92">
        <f>89.177</f>
        <v>89.177000000000007</v>
      </c>
      <c r="F1054" s="83">
        <f>240.302-40-60-100</f>
        <v>40.301999999999992</v>
      </c>
      <c r="G1054" s="86">
        <v>40</v>
      </c>
      <c r="H1054" s="83">
        <f>60+100</f>
        <v>160</v>
      </c>
      <c r="I1054" s="83">
        <f t="shared" si="170"/>
        <v>0</v>
      </c>
      <c r="J1054" s="86">
        <v>100</v>
      </c>
      <c r="K1054" s="86">
        <v>300</v>
      </c>
      <c r="L1054" s="83">
        <f t="shared" si="173"/>
        <v>1150</v>
      </c>
      <c r="M1054" s="94">
        <v>600</v>
      </c>
      <c r="N1054" s="83">
        <f>100</f>
        <v>100</v>
      </c>
      <c r="O1054" s="86">
        <v>240</v>
      </c>
      <c r="P1054" s="86">
        <v>40</v>
      </c>
      <c r="Q1054" s="86">
        <f t="shared" si="174"/>
        <v>315</v>
      </c>
      <c r="R1054" s="86">
        <f t="shared" si="175"/>
        <v>100</v>
      </c>
      <c r="S1054" s="83">
        <f t="shared" si="176"/>
        <v>695</v>
      </c>
      <c r="T1054" s="83">
        <f>50</f>
        <v>50</v>
      </c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</row>
    <row r="1055" spans="1:30" ht="15.75" x14ac:dyDescent="0.25">
      <c r="A1055" s="32">
        <v>73050</v>
      </c>
      <c r="B1055" s="95">
        <f t="shared" si="178"/>
        <v>31</v>
      </c>
      <c r="C1055" s="83">
        <f>122.58</f>
        <v>122.58</v>
      </c>
      <c r="D1055" s="83">
        <f>297.941</f>
        <v>297.94099999999997</v>
      </c>
      <c r="E1055" s="92">
        <f>89.177</f>
        <v>89.177000000000007</v>
      </c>
      <c r="F1055" s="83">
        <f>240.302-40-60-100</f>
        <v>40.301999999999992</v>
      </c>
      <c r="G1055" s="86">
        <v>40</v>
      </c>
      <c r="H1055" s="83">
        <f>60+100</f>
        <v>160</v>
      </c>
      <c r="I1055" s="83">
        <f t="shared" si="170"/>
        <v>0</v>
      </c>
      <c r="J1055" s="86">
        <v>100</v>
      </c>
      <c r="K1055" s="86">
        <v>300</v>
      </c>
      <c r="L1055" s="83">
        <f t="shared" si="173"/>
        <v>1150</v>
      </c>
      <c r="M1055" s="94">
        <v>600</v>
      </c>
      <c r="N1055" s="83">
        <f>100</f>
        <v>100</v>
      </c>
      <c r="O1055" s="86">
        <v>240</v>
      </c>
      <c r="P1055" s="86">
        <v>40</v>
      </c>
      <c r="Q1055" s="86">
        <f t="shared" si="174"/>
        <v>315</v>
      </c>
      <c r="R1055" s="86">
        <f t="shared" si="175"/>
        <v>100</v>
      </c>
      <c r="S1055" s="83">
        <f t="shared" si="176"/>
        <v>695</v>
      </c>
      <c r="T1055" s="83">
        <f>50</f>
        <v>50</v>
      </c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</row>
    <row r="1056" spans="1:30" ht="15.75" x14ac:dyDescent="0.25">
      <c r="A1056" s="32">
        <v>73081</v>
      </c>
      <c r="B1056" s="95">
        <f t="shared" si="178"/>
        <v>31</v>
      </c>
      <c r="C1056" s="83">
        <f>122.58</f>
        <v>122.58</v>
      </c>
      <c r="D1056" s="83">
        <f>297.941</f>
        <v>297.94099999999997</v>
      </c>
      <c r="E1056" s="92">
        <f>89.177</f>
        <v>89.177000000000007</v>
      </c>
      <c r="F1056" s="83">
        <f>240.302-40-60-100</f>
        <v>40.301999999999992</v>
      </c>
      <c r="G1056" s="86">
        <v>40</v>
      </c>
      <c r="H1056" s="83">
        <f>60+100</f>
        <v>160</v>
      </c>
      <c r="I1056" s="83">
        <f t="shared" si="170"/>
        <v>0</v>
      </c>
      <c r="J1056" s="86">
        <v>100</v>
      </c>
      <c r="K1056" s="86">
        <v>300</v>
      </c>
      <c r="L1056" s="83">
        <f t="shared" si="173"/>
        <v>1150</v>
      </c>
      <c r="M1056" s="94">
        <v>600</v>
      </c>
      <c r="N1056" s="83">
        <f>100</f>
        <v>100</v>
      </c>
      <c r="O1056" s="86">
        <v>240</v>
      </c>
      <c r="P1056" s="86">
        <v>40</v>
      </c>
      <c r="Q1056" s="86">
        <f t="shared" si="174"/>
        <v>315</v>
      </c>
      <c r="R1056" s="86">
        <f t="shared" si="175"/>
        <v>100</v>
      </c>
      <c r="S1056" s="83">
        <f t="shared" si="176"/>
        <v>695</v>
      </c>
      <c r="T1056" s="83">
        <f>50</f>
        <v>50</v>
      </c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</row>
    <row r="1057" spans="1:30" ht="15.75" x14ac:dyDescent="0.25">
      <c r="A1057" s="32">
        <v>73109</v>
      </c>
      <c r="B1057" s="95">
        <f t="shared" si="178"/>
        <v>28</v>
      </c>
      <c r="C1057" s="83">
        <f>122.58</f>
        <v>122.58</v>
      </c>
      <c r="D1057" s="83">
        <f>297.941</f>
        <v>297.94099999999997</v>
      </c>
      <c r="E1057" s="92">
        <f>89.177</f>
        <v>89.177000000000007</v>
      </c>
      <c r="F1057" s="83">
        <f>240.302-40-60-100</f>
        <v>40.301999999999992</v>
      </c>
      <c r="G1057" s="86">
        <v>40</v>
      </c>
      <c r="H1057" s="83">
        <f>60+100</f>
        <v>160</v>
      </c>
      <c r="I1057" s="83">
        <f t="shared" si="170"/>
        <v>0</v>
      </c>
      <c r="J1057" s="86">
        <v>100</v>
      </c>
      <c r="K1057" s="86">
        <v>300</v>
      </c>
      <c r="L1057" s="83">
        <f t="shared" si="173"/>
        <v>1150</v>
      </c>
      <c r="M1057" s="94">
        <v>600</v>
      </c>
      <c r="N1057" s="83">
        <f>100</f>
        <v>100</v>
      </c>
      <c r="O1057" s="86">
        <v>240</v>
      </c>
      <c r="P1057" s="86">
        <v>40</v>
      </c>
      <c r="Q1057" s="86">
        <f t="shared" si="174"/>
        <v>315</v>
      </c>
      <c r="R1057" s="86">
        <f t="shared" si="175"/>
        <v>100</v>
      </c>
      <c r="S1057" s="83">
        <f t="shared" si="176"/>
        <v>695</v>
      </c>
      <c r="T1057" s="83">
        <f>50</f>
        <v>50</v>
      </c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</row>
    <row r="1058" spans="1:30" ht="15.75" x14ac:dyDescent="0.25">
      <c r="A1058" s="32">
        <v>73140</v>
      </c>
      <c r="B1058" s="95">
        <f t="shared" si="178"/>
        <v>31</v>
      </c>
      <c r="C1058" s="83">
        <f>122.58</f>
        <v>122.58</v>
      </c>
      <c r="D1058" s="83">
        <f>297.941</f>
        <v>297.94099999999997</v>
      </c>
      <c r="E1058" s="92">
        <f>89.177</f>
        <v>89.177000000000007</v>
      </c>
      <c r="F1058" s="83">
        <f>240.302-40-60-100</f>
        <v>40.301999999999992</v>
      </c>
      <c r="G1058" s="86">
        <v>40</v>
      </c>
      <c r="H1058" s="83">
        <f>60+100</f>
        <v>160</v>
      </c>
      <c r="I1058" s="83">
        <f t="shared" si="170"/>
        <v>0</v>
      </c>
      <c r="J1058" s="86">
        <v>100</v>
      </c>
      <c r="K1058" s="86">
        <v>300</v>
      </c>
      <c r="L1058" s="83">
        <f t="shared" si="173"/>
        <v>1150</v>
      </c>
      <c r="M1058" s="94">
        <v>600</v>
      </c>
      <c r="N1058" s="83">
        <f>100</f>
        <v>100</v>
      </c>
      <c r="O1058" s="86">
        <v>240</v>
      </c>
      <c r="P1058" s="86">
        <v>40</v>
      </c>
      <c r="Q1058" s="86">
        <f t="shared" si="174"/>
        <v>315</v>
      </c>
      <c r="R1058" s="86">
        <f t="shared" si="175"/>
        <v>100</v>
      </c>
      <c r="S1058" s="83">
        <f t="shared" si="176"/>
        <v>695</v>
      </c>
      <c r="T1058" s="83">
        <f>50</f>
        <v>50</v>
      </c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</row>
    <row r="1059" spans="1:30" ht="15.75" x14ac:dyDescent="0.25">
      <c r="A1059" s="32">
        <v>73170</v>
      </c>
      <c r="B1059" s="95">
        <f t="shared" si="178"/>
        <v>30</v>
      </c>
      <c r="C1059" s="83">
        <f>141.293</f>
        <v>141.29300000000001</v>
      </c>
      <c r="D1059" s="83">
        <f>267.993</f>
        <v>267.99299999999999</v>
      </c>
      <c r="E1059" s="92">
        <f>115.016</f>
        <v>115.01600000000001</v>
      </c>
      <c r="F1059" s="83">
        <f>314.698-40-25-60-100</f>
        <v>89.697999999999979</v>
      </c>
      <c r="G1059" s="86">
        <v>40</v>
      </c>
      <c r="H1059" s="83">
        <f t="shared" ref="H1059:H1065" si="179">25+60+100</f>
        <v>185</v>
      </c>
      <c r="I1059" s="83">
        <f t="shared" si="170"/>
        <v>0</v>
      </c>
      <c r="J1059" s="86">
        <v>100</v>
      </c>
      <c r="K1059" s="86">
        <v>300</v>
      </c>
      <c r="L1059" s="83">
        <f t="shared" si="173"/>
        <v>1239</v>
      </c>
      <c r="M1059" s="94">
        <v>600</v>
      </c>
      <c r="N1059" s="83">
        <f>100</f>
        <v>100</v>
      </c>
      <c r="O1059" s="86">
        <v>240</v>
      </c>
      <c r="P1059" s="86">
        <v>40</v>
      </c>
      <c r="Q1059" s="86">
        <f t="shared" si="174"/>
        <v>315</v>
      </c>
      <c r="R1059" s="86">
        <f t="shared" si="175"/>
        <v>100</v>
      </c>
      <c r="S1059" s="83">
        <f t="shared" si="176"/>
        <v>695</v>
      </c>
      <c r="T1059" s="83">
        <f>50</f>
        <v>50</v>
      </c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</row>
    <row r="1060" spans="1:30" ht="15.75" x14ac:dyDescent="0.25">
      <c r="A1060" s="32">
        <v>73201</v>
      </c>
      <c r="B1060" s="95">
        <f t="shared" si="178"/>
        <v>31</v>
      </c>
      <c r="C1060" s="83">
        <f>194.205</f>
        <v>194.20500000000001</v>
      </c>
      <c r="D1060" s="83">
        <f>267.466</f>
        <v>267.46600000000001</v>
      </c>
      <c r="E1060" s="92">
        <f>133.845</f>
        <v>133.845</v>
      </c>
      <c r="F1060" s="83">
        <f>278.484-40-25-60-100</f>
        <v>53.48399999999998</v>
      </c>
      <c r="G1060" s="86">
        <v>40</v>
      </c>
      <c r="H1060" s="83">
        <f t="shared" si="179"/>
        <v>185</v>
      </c>
      <c r="I1060" s="83">
        <f t="shared" si="170"/>
        <v>0</v>
      </c>
      <c r="J1060" s="86">
        <v>100</v>
      </c>
      <c r="K1060" s="86">
        <v>300</v>
      </c>
      <c r="L1060" s="83">
        <f t="shared" si="173"/>
        <v>1274</v>
      </c>
      <c r="M1060" s="94">
        <v>600</v>
      </c>
      <c r="N1060" s="83">
        <f>75</f>
        <v>75</v>
      </c>
      <c r="O1060" s="86">
        <v>240</v>
      </c>
      <c r="P1060" s="86">
        <v>40</v>
      </c>
      <c r="Q1060" s="86">
        <f t="shared" si="174"/>
        <v>315</v>
      </c>
      <c r="R1060" s="86">
        <f t="shared" si="175"/>
        <v>100</v>
      </c>
      <c r="S1060" s="83">
        <f t="shared" si="176"/>
        <v>695</v>
      </c>
      <c r="T1060" s="83">
        <f>50</f>
        <v>50</v>
      </c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</row>
    <row r="1061" spans="1:30" ht="15.75" x14ac:dyDescent="0.25">
      <c r="A1061" s="32">
        <v>73231</v>
      </c>
      <c r="B1061" s="95">
        <f t="shared" si="178"/>
        <v>30</v>
      </c>
      <c r="C1061" s="83">
        <f>194.205</f>
        <v>194.20500000000001</v>
      </c>
      <c r="D1061" s="83">
        <f>267.466</f>
        <v>267.46600000000001</v>
      </c>
      <c r="E1061" s="92">
        <f>133.845</f>
        <v>133.845</v>
      </c>
      <c r="F1061" s="83">
        <f>278.484-40-25-60-100</f>
        <v>53.48399999999998</v>
      </c>
      <c r="G1061" s="86">
        <v>40</v>
      </c>
      <c r="H1061" s="83">
        <f t="shared" si="179"/>
        <v>185</v>
      </c>
      <c r="I1061" s="83">
        <f t="shared" si="170"/>
        <v>0</v>
      </c>
      <c r="J1061" s="86">
        <v>100</v>
      </c>
      <c r="K1061" s="86">
        <v>300</v>
      </c>
      <c r="L1061" s="83">
        <f t="shared" si="173"/>
        <v>1274</v>
      </c>
      <c r="M1061" s="94">
        <v>600</v>
      </c>
      <c r="N1061" s="83">
        <f>30</f>
        <v>30</v>
      </c>
      <c r="O1061" s="86">
        <v>240</v>
      </c>
      <c r="P1061" s="86">
        <v>40</v>
      </c>
      <c r="Q1061" s="86">
        <f t="shared" si="174"/>
        <v>315</v>
      </c>
      <c r="R1061" s="86">
        <f t="shared" si="175"/>
        <v>100</v>
      </c>
      <c r="S1061" s="83">
        <f t="shared" si="176"/>
        <v>695</v>
      </c>
      <c r="T1061" s="83">
        <f>50</f>
        <v>50</v>
      </c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</row>
    <row r="1062" spans="1:30" ht="15.75" x14ac:dyDescent="0.25">
      <c r="A1062" s="32">
        <v>73262</v>
      </c>
      <c r="B1062" s="95">
        <f t="shared" si="178"/>
        <v>31</v>
      </c>
      <c r="C1062" s="83">
        <f>194.205</f>
        <v>194.20500000000001</v>
      </c>
      <c r="D1062" s="83">
        <f>267.466</f>
        <v>267.46600000000001</v>
      </c>
      <c r="E1062" s="92">
        <f>133.845</f>
        <v>133.845</v>
      </c>
      <c r="F1062" s="83">
        <f>278.484-40-25-60-100</f>
        <v>53.48399999999998</v>
      </c>
      <c r="G1062" s="86">
        <v>40</v>
      </c>
      <c r="H1062" s="83">
        <f t="shared" si="179"/>
        <v>185</v>
      </c>
      <c r="I1062" s="83">
        <f t="shared" si="170"/>
        <v>0</v>
      </c>
      <c r="J1062" s="86">
        <v>100</v>
      </c>
      <c r="K1062" s="86">
        <v>300</v>
      </c>
      <c r="L1062" s="83">
        <f t="shared" si="173"/>
        <v>1274</v>
      </c>
      <c r="M1062" s="94">
        <v>600</v>
      </c>
      <c r="N1062" s="83">
        <f>30</f>
        <v>30</v>
      </c>
      <c r="O1062" s="86">
        <v>240</v>
      </c>
      <c r="P1062" s="86">
        <v>40</v>
      </c>
      <c r="Q1062" s="86">
        <f t="shared" si="174"/>
        <v>315</v>
      </c>
      <c r="R1062" s="86">
        <f t="shared" si="175"/>
        <v>100</v>
      </c>
      <c r="S1062" s="83">
        <f t="shared" si="176"/>
        <v>695</v>
      </c>
      <c r="T1062" s="83">
        <f>0</f>
        <v>0</v>
      </c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</row>
    <row r="1063" spans="1:30" ht="15.75" x14ac:dyDescent="0.25">
      <c r="A1063" s="32">
        <v>73293</v>
      </c>
      <c r="B1063" s="95">
        <f t="shared" si="178"/>
        <v>31</v>
      </c>
      <c r="C1063" s="83">
        <f>194.205</f>
        <v>194.20500000000001</v>
      </c>
      <c r="D1063" s="83">
        <f>267.466</f>
        <v>267.46600000000001</v>
      </c>
      <c r="E1063" s="92">
        <f>133.845</f>
        <v>133.845</v>
      </c>
      <c r="F1063" s="83">
        <f>278.484-40-25-60-100</f>
        <v>53.48399999999998</v>
      </c>
      <c r="G1063" s="86">
        <v>40</v>
      </c>
      <c r="H1063" s="83">
        <f t="shared" si="179"/>
        <v>185</v>
      </c>
      <c r="I1063" s="83">
        <f t="shared" si="170"/>
        <v>0</v>
      </c>
      <c r="J1063" s="86">
        <v>100</v>
      </c>
      <c r="K1063" s="86">
        <v>300</v>
      </c>
      <c r="L1063" s="83">
        <f t="shared" si="173"/>
        <v>1274</v>
      </c>
      <c r="M1063" s="94">
        <v>600</v>
      </c>
      <c r="N1063" s="83">
        <f>30</f>
        <v>30</v>
      </c>
      <c r="O1063" s="86">
        <v>240</v>
      </c>
      <c r="P1063" s="86">
        <v>40</v>
      </c>
      <c r="Q1063" s="86">
        <f t="shared" si="174"/>
        <v>315</v>
      </c>
      <c r="R1063" s="86">
        <f t="shared" si="175"/>
        <v>100</v>
      </c>
      <c r="S1063" s="83">
        <f t="shared" si="176"/>
        <v>695</v>
      </c>
      <c r="T1063" s="83">
        <f>0</f>
        <v>0</v>
      </c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</row>
    <row r="1064" spans="1:30" ht="15.75" x14ac:dyDescent="0.25">
      <c r="A1064" s="32">
        <v>73323</v>
      </c>
      <c r="B1064" s="95">
        <f t="shared" si="178"/>
        <v>30</v>
      </c>
      <c r="C1064" s="83">
        <f>194.205</f>
        <v>194.20500000000001</v>
      </c>
      <c r="D1064" s="83">
        <f>267.466</f>
        <v>267.46600000000001</v>
      </c>
      <c r="E1064" s="92">
        <f>133.845</f>
        <v>133.845</v>
      </c>
      <c r="F1064" s="83">
        <f>278.484-40-25-60-100</f>
        <v>53.48399999999998</v>
      </c>
      <c r="G1064" s="86">
        <v>40</v>
      </c>
      <c r="H1064" s="83">
        <f t="shared" si="179"/>
        <v>185</v>
      </c>
      <c r="I1064" s="83">
        <f t="shared" si="170"/>
        <v>0</v>
      </c>
      <c r="J1064" s="86">
        <v>100</v>
      </c>
      <c r="K1064" s="86">
        <v>300</v>
      </c>
      <c r="L1064" s="83">
        <f t="shared" si="173"/>
        <v>1274</v>
      </c>
      <c r="M1064" s="94">
        <v>600</v>
      </c>
      <c r="N1064" s="83">
        <f>30</f>
        <v>30</v>
      </c>
      <c r="O1064" s="86">
        <v>240</v>
      </c>
      <c r="P1064" s="86">
        <v>40</v>
      </c>
      <c r="Q1064" s="86">
        <f t="shared" si="174"/>
        <v>315</v>
      </c>
      <c r="R1064" s="86">
        <f t="shared" si="175"/>
        <v>100</v>
      </c>
      <c r="S1064" s="83">
        <f t="shared" si="176"/>
        <v>695</v>
      </c>
      <c r="T1064" s="83">
        <f>0</f>
        <v>0</v>
      </c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</row>
    <row r="1065" spans="1:30" ht="15.75" x14ac:dyDescent="0.25">
      <c r="A1065" s="32">
        <v>73354</v>
      </c>
      <c r="B1065" s="95">
        <f t="shared" si="178"/>
        <v>31</v>
      </c>
      <c r="C1065" s="83">
        <f>131.881</f>
        <v>131.881</v>
      </c>
      <c r="D1065" s="83">
        <f>277.167</f>
        <v>277.16699999999997</v>
      </c>
      <c r="E1065" s="92">
        <f>79.08</f>
        <v>79.08</v>
      </c>
      <c r="F1065" s="83">
        <f>350.872-40-25-60-100</f>
        <v>125.87200000000001</v>
      </c>
      <c r="G1065" s="86">
        <v>40</v>
      </c>
      <c r="H1065" s="83">
        <f t="shared" si="179"/>
        <v>185</v>
      </c>
      <c r="I1065" s="83">
        <f t="shared" si="170"/>
        <v>0</v>
      </c>
      <c r="J1065" s="86">
        <v>100</v>
      </c>
      <c r="K1065" s="86">
        <v>300</v>
      </c>
      <c r="L1065" s="83">
        <f t="shared" si="173"/>
        <v>1239</v>
      </c>
      <c r="M1065" s="94">
        <v>600</v>
      </c>
      <c r="N1065" s="83">
        <f>75</f>
        <v>75</v>
      </c>
      <c r="O1065" s="86">
        <v>240</v>
      </c>
      <c r="P1065" s="86">
        <v>40</v>
      </c>
      <c r="Q1065" s="86">
        <f t="shared" si="174"/>
        <v>315</v>
      </c>
      <c r="R1065" s="86">
        <f t="shared" si="175"/>
        <v>100</v>
      </c>
      <c r="S1065" s="83">
        <f t="shared" si="176"/>
        <v>695</v>
      </c>
      <c r="T1065" s="83">
        <f>0</f>
        <v>0</v>
      </c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</row>
    <row r="1066" spans="1:30" ht="15.75" x14ac:dyDescent="0.25">
      <c r="A1066" s="32">
        <v>73384</v>
      </c>
      <c r="B1066" s="95">
        <f t="shared" si="178"/>
        <v>30</v>
      </c>
      <c r="C1066" s="83">
        <f>122.58</f>
        <v>122.58</v>
      </c>
      <c r="D1066" s="83">
        <f>297.941</f>
        <v>297.94099999999997</v>
      </c>
      <c r="E1066" s="92">
        <f>89.177</f>
        <v>89.177000000000007</v>
      </c>
      <c r="F1066" s="83">
        <f>240.302-40-60-100</f>
        <v>40.301999999999992</v>
      </c>
      <c r="G1066" s="86">
        <v>40</v>
      </c>
      <c r="H1066" s="83">
        <f>60+100</f>
        <v>160</v>
      </c>
      <c r="I1066" s="83">
        <f t="shared" si="170"/>
        <v>0</v>
      </c>
      <c r="J1066" s="86">
        <v>100</v>
      </c>
      <c r="K1066" s="86">
        <v>300</v>
      </c>
      <c r="L1066" s="83">
        <f t="shared" si="173"/>
        <v>1150</v>
      </c>
      <c r="M1066" s="94">
        <v>600</v>
      </c>
      <c r="N1066" s="83">
        <f>100</f>
        <v>100</v>
      </c>
      <c r="O1066" s="86">
        <v>240</v>
      </c>
      <c r="P1066" s="86">
        <v>40</v>
      </c>
      <c r="Q1066" s="86">
        <f t="shared" si="174"/>
        <v>315</v>
      </c>
      <c r="R1066" s="86">
        <f t="shared" si="175"/>
        <v>100</v>
      </c>
      <c r="S1066" s="83">
        <f t="shared" si="176"/>
        <v>695</v>
      </c>
      <c r="T1066" s="83">
        <f>50</f>
        <v>50</v>
      </c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</row>
    <row r="1067" spans="1:30" ht="15.75" x14ac:dyDescent="0.25">
      <c r="A1067" s="32">
        <v>73415</v>
      </c>
      <c r="B1067" s="95">
        <f t="shared" si="178"/>
        <v>31</v>
      </c>
      <c r="C1067" s="83">
        <f>122.58</f>
        <v>122.58</v>
      </c>
      <c r="D1067" s="83">
        <f>297.941</f>
        <v>297.94099999999997</v>
      </c>
      <c r="E1067" s="92">
        <f>89.177</f>
        <v>89.177000000000007</v>
      </c>
      <c r="F1067" s="83">
        <f>240.302-40-60-100</f>
        <v>40.301999999999992</v>
      </c>
      <c r="G1067" s="86">
        <v>40</v>
      </c>
      <c r="H1067" s="83">
        <f>60+100</f>
        <v>160</v>
      </c>
      <c r="I1067" s="83">
        <f t="shared" si="170"/>
        <v>0</v>
      </c>
      <c r="J1067" s="86">
        <v>100</v>
      </c>
      <c r="K1067" s="86">
        <v>300</v>
      </c>
      <c r="L1067" s="83">
        <f t="shared" si="173"/>
        <v>1150</v>
      </c>
      <c r="M1067" s="94">
        <v>600</v>
      </c>
      <c r="N1067" s="83">
        <f>100</f>
        <v>100</v>
      </c>
      <c r="O1067" s="86">
        <v>240</v>
      </c>
      <c r="P1067" s="86">
        <v>40</v>
      </c>
      <c r="Q1067" s="86">
        <f t="shared" si="174"/>
        <v>315</v>
      </c>
      <c r="R1067" s="86">
        <f t="shared" si="175"/>
        <v>100</v>
      </c>
      <c r="S1067" s="83">
        <f t="shared" si="176"/>
        <v>695</v>
      </c>
      <c r="T1067" s="83">
        <f>50</f>
        <v>50</v>
      </c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</row>
    <row r="1068" spans="1:30" ht="15" x14ac:dyDescent="0.2">
      <c r="A1068" s="12"/>
      <c r="B1068" s="93"/>
      <c r="C1068" s="83"/>
      <c r="D1068" s="83"/>
      <c r="E1068" s="92"/>
      <c r="F1068" s="83"/>
      <c r="G1068" s="83"/>
      <c r="H1068" s="83"/>
      <c r="I1068" s="83"/>
      <c r="J1068" s="83"/>
      <c r="K1068" s="83"/>
      <c r="L1068" s="83"/>
      <c r="M1068" s="83"/>
      <c r="N1068" s="83"/>
      <c r="O1068" s="86"/>
      <c r="P1068" s="86"/>
      <c r="Q1068" s="86"/>
      <c r="R1068" s="86"/>
      <c r="S1068" s="83"/>
      <c r="T1068" s="83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</row>
    <row r="1069" spans="1:30" ht="15" x14ac:dyDescent="0.2">
      <c r="A1069" s="10">
        <v>2013</v>
      </c>
      <c r="B1069" s="10">
        <f t="shared" ref="B1069:B1100" si="180">DATE(A1069+1,1,1)-DATE(A1069,1,1)</f>
        <v>365</v>
      </c>
      <c r="C1069" s="87">
        <f t="shared" ref="C1069:L1069" si="181">AVERAGE(C12:C23)</f>
        <v>154.75825</v>
      </c>
      <c r="D1069" s="87">
        <f t="shared" si="181"/>
        <v>281.0162499999999</v>
      </c>
      <c r="E1069" s="87">
        <f t="shared" si="181"/>
        <v>109.1005</v>
      </c>
      <c r="F1069" s="87">
        <f t="shared" si="181"/>
        <v>217.04166666666666</v>
      </c>
      <c r="G1069" s="87">
        <f t="shared" si="181"/>
        <v>40</v>
      </c>
      <c r="H1069" s="87">
        <f t="shared" si="181"/>
        <v>14.583333333333334</v>
      </c>
      <c r="I1069" s="87">
        <f t="shared" si="181"/>
        <v>12.5</v>
      </c>
      <c r="J1069" s="87">
        <f t="shared" si="181"/>
        <v>100</v>
      </c>
      <c r="K1069" s="87">
        <f t="shared" si="181"/>
        <v>300</v>
      </c>
      <c r="L1069" s="87">
        <f t="shared" si="181"/>
        <v>1229</v>
      </c>
      <c r="M1069" s="91"/>
      <c r="N1069" s="87">
        <f t="shared" ref="N1069:T1069" si="182">AVERAGE(N12:N23)</f>
        <v>97.5</v>
      </c>
      <c r="O1069" s="88">
        <f t="shared" si="182"/>
        <v>240</v>
      </c>
      <c r="P1069" s="88">
        <f t="shared" si="182"/>
        <v>70</v>
      </c>
      <c r="Q1069" s="88">
        <f t="shared" si="182"/>
        <v>285</v>
      </c>
      <c r="R1069" s="88">
        <f t="shared" si="182"/>
        <v>100</v>
      </c>
      <c r="S1069" s="87">
        <f t="shared" si="182"/>
        <v>695</v>
      </c>
      <c r="T1069" s="87">
        <f t="shared" si="182"/>
        <v>33.333333333333336</v>
      </c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</row>
    <row r="1070" spans="1:30" ht="15.75" x14ac:dyDescent="0.25">
      <c r="A1070" s="10">
        <v>2014</v>
      </c>
      <c r="B1070" s="10">
        <f t="shared" si="180"/>
        <v>365</v>
      </c>
      <c r="C1070" s="87">
        <f t="shared" ref="C1070:L1070" si="183">AVERAGE(C24:C35)</f>
        <v>154.75825</v>
      </c>
      <c r="D1070" s="87">
        <f t="shared" si="183"/>
        <v>281.0162499999999</v>
      </c>
      <c r="E1070" s="87">
        <f t="shared" si="183"/>
        <v>109.1005</v>
      </c>
      <c r="F1070" s="87">
        <f t="shared" si="183"/>
        <v>217.04166666666666</v>
      </c>
      <c r="G1070" s="87">
        <f t="shared" si="183"/>
        <v>40</v>
      </c>
      <c r="H1070" s="87">
        <f t="shared" si="183"/>
        <v>14.583333333333334</v>
      </c>
      <c r="I1070" s="87">
        <f t="shared" si="183"/>
        <v>20.833333333333332</v>
      </c>
      <c r="J1070" s="87">
        <f t="shared" si="183"/>
        <v>100</v>
      </c>
      <c r="K1070" s="87">
        <f t="shared" si="183"/>
        <v>300</v>
      </c>
      <c r="L1070" s="87">
        <f t="shared" si="183"/>
        <v>1237.3333333333333</v>
      </c>
      <c r="M1070" s="90"/>
      <c r="N1070" s="87">
        <f t="shared" ref="N1070:T1070" si="184">AVERAGE(N24:N35)</f>
        <v>72.5</v>
      </c>
      <c r="O1070" s="88">
        <f t="shared" si="184"/>
        <v>240</v>
      </c>
      <c r="P1070" s="88">
        <f t="shared" si="184"/>
        <v>70</v>
      </c>
      <c r="Q1070" s="88">
        <f t="shared" si="184"/>
        <v>285</v>
      </c>
      <c r="R1070" s="88">
        <f t="shared" si="184"/>
        <v>100</v>
      </c>
      <c r="S1070" s="87">
        <f t="shared" si="184"/>
        <v>695</v>
      </c>
      <c r="T1070" s="87">
        <f t="shared" si="184"/>
        <v>33.333333333333336</v>
      </c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</row>
    <row r="1071" spans="1:30" ht="15.75" x14ac:dyDescent="0.25">
      <c r="A1071" s="10">
        <v>2015</v>
      </c>
      <c r="B1071" s="10">
        <f t="shared" si="180"/>
        <v>365</v>
      </c>
      <c r="C1071" s="87">
        <f t="shared" ref="C1071:L1071" si="185">AVERAGE(C36:C47)</f>
        <v>154.75825</v>
      </c>
      <c r="D1071" s="87">
        <f t="shared" si="185"/>
        <v>281.0162499999999</v>
      </c>
      <c r="E1071" s="87">
        <f t="shared" si="185"/>
        <v>109.1005</v>
      </c>
      <c r="F1071" s="87">
        <f t="shared" si="185"/>
        <v>97.041666666666629</v>
      </c>
      <c r="G1071" s="87">
        <f t="shared" si="185"/>
        <v>40</v>
      </c>
      <c r="H1071" s="87">
        <f t="shared" si="185"/>
        <v>134.58333333333334</v>
      </c>
      <c r="I1071" s="87">
        <f t="shared" si="185"/>
        <v>20.833333333333332</v>
      </c>
      <c r="J1071" s="87">
        <f t="shared" si="185"/>
        <v>100</v>
      </c>
      <c r="K1071" s="87">
        <f t="shared" si="185"/>
        <v>300</v>
      </c>
      <c r="L1071" s="87">
        <f t="shared" si="185"/>
        <v>1237.3333333333333</v>
      </c>
      <c r="M1071" s="90"/>
      <c r="N1071" s="87">
        <f t="shared" ref="N1071:T1071" si="186">AVERAGE(N36:N47)</f>
        <v>72.5</v>
      </c>
      <c r="O1071" s="88">
        <f t="shared" si="186"/>
        <v>240</v>
      </c>
      <c r="P1071" s="88">
        <f t="shared" si="186"/>
        <v>100</v>
      </c>
      <c r="Q1071" s="88">
        <f t="shared" si="186"/>
        <v>255</v>
      </c>
      <c r="R1071" s="88">
        <f t="shared" si="186"/>
        <v>100</v>
      </c>
      <c r="S1071" s="87">
        <f t="shared" si="186"/>
        <v>695</v>
      </c>
      <c r="T1071" s="87">
        <f t="shared" si="186"/>
        <v>33.333333333333336</v>
      </c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</row>
    <row r="1072" spans="1:30" ht="15.75" x14ac:dyDescent="0.25">
      <c r="A1072" s="10">
        <v>2016</v>
      </c>
      <c r="B1072" s="10">
        <f t="shared" si="180"/>
        <v>366</v>
      </c>
      <c r="C1072" s="87">
        <f t="shared" ref="C1072:L1072" si="187">AVERAGE(C48:C59)</f>
        <v>154.75825</v>
      </c>
      <c r="D1072" s="87">
        <f t="shared" si="187"/>
        <v>281.0162499999999</v>
      </c>
      <c r="E1072" s="87">
        <f t="shared" si="187"/>
        <v>109.1005</v>
      </c>
      <c r="F1072" s="87">
        <f t="shared" si="187"/>
        <v>57.041666666666664</v>
      </c>
      <c r="G1072" s="87">
        <f t="shared" si="187"/>
        <v>40</v>
      </c>
      <c r="H1072" s="87">
        <f t="shared" si="187"/>
        <v>174.58333333333334</v>
      </c>
      <c r="I1072" s="87">
        <f t="shared" si="187"/>
        <v>0</v>
      </c>
      <c r="J1072" s="87">
        <f t="shared" si="187"/>
        <v>100</v>
      </c>
      <c r="K1072" s="87">
        <f t="shared" si="187"/>
        <v>300</v>
      </c>
      <c r="L1072" s="87">
        <f t="shared" si="187"/>
        <v>1216.5</v>
      </c>
      <c r="M1072" s="90"/>
      <c r="N1072" s="87">
        <f t="shared" ref="N1072:T1072" si="188">AVERAGE(N48:N59)</f>
        <v>72.5</v>
      </c>
      <c r="O1072" s="88">
        <f t="shared" si="188"/>
        <v>240</v>
      </c>
      <c r="P1072" s="88">
        <f t="shared" si="188"/>
        <v>110</v>
      </c>
      <c r="Q1072" s="88">
        <f t="shared" si="188"/>
        <v>245</v>
      </c>
      <c r="R1072" s="88">
        <f t="shared" si="188"/>
        <v>100</v>
      </c>
      <c r="S1072" s="87">
        <f t="shared" si="188"/>
        <v>695</v>
      </c>
      <c r="T1072" s="87">
        <f t="shared" si="188"/>
        <v>33.333333333333336</v>
      </c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</row>
    <row r="1073" spans="1:30" ht="15" x14ac:dyDescent="0.2">
      <c r="A1073" s="10">
        <v>2017</v>
      </c>
      <c r="B1073" s="10">
        <f t="shared" si="180"/>
        <v>365</v>
      </c>
      <c r="C1073" s="87">
        <f t="shared" ref="C1073:T1073" si="189">AVERAGE(C60:C71)</f>
        <v>154.75825</v>
      </c>
      <c r="D1073" s="87">
        <f t="shared" si="189"/>
        <v>281.0162499999999</v>
      </c>
      <c r="E1073" s="87">
        <f t="shared" si="189"/>
        <v>109.1005</v>
      </c>
      <c r="F1073" s="87">
        <f t="shared" si="189"/>
        <v>57.041666666666664</v>
      </c>
      <c r="G1073" s="87">
        <f t="shared" si="189"/>
        <v>40</v>
      </c>
      <c r="H1073" s="87">
        <f t="shared" si="189"/>
        <v>174.58333333333334</v>
      </c>
      <c r="I1073" s="87">
        <f t="shared" si="189"/>
        <v>0</v>
      </c>
      <c r="J1073" s="87">
        <f t="shared" si="189"/>
        <v>100</v>
      </c>
      <c r="K1073" s="87">
        <f t="shared" si="189"/>
        <v>300</v>
      </c>
      <c r="L1073" s="87">
        <f t="shared" si="189"/>
        <v>1216.5</v>
      </c>
      <c r="M1073" s="89">
        <f t="shared" si="189"/>
        <v>400</v>
      </c>
      <c r="N1073" s="87">
        <f t="shared" si="189"/>
        <v>72.5</v>
      </c>
      <c r="O1073" s="88">
        <f t="shared" si="189"/>
        <v>240</v>
      </c>
      <c r="P1073" s="88">
        <f t="shared" si="189"/>
        <v>110</v>
      </c>
      <c r="Q1073" s="88">
        <f t="shared" si="189"/>
        <v>245</v>
      </c>
      <c r="R1073" s="88">
        <f t="shared" si="189"/>
        <v>100</v>
      </c>
      <c r="S1073" s="87">
        <f t="shared" si="189"/>
        <v>695</v>
      </c>
      <c r="T1073" s="87">
        <f t="shared" si="189"/>
        <v>33.333333333333336</v>
      </c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</row>
    <row r="1074" spans="1:30" ht="15" x14ac:dyDescent="0.2">
      <c r="A1074" s="10">
        <v>2018</v>
      </c>
      <c r="B1074" s="10">
        <f t="shared" si="180"/>
        <v>365</v>
      </c>
      <c r="C1074" s="87">
        <f t="shared" ref="C1074:T1074" si="190">AVERAGE(C72:C83)</f>
        <v>154.75825</v>
      </c>
      <c r="D1074" s="87">
        <f t="shared" si="190"/>
        <v>281.0162499999999</v>
      </c>
      <c r="E1074" s="87">
        <f t="shared" si="190"/>
        <v>109.1005</v>
      </c>
      <c r="F1074" s="87">
        <f t="shared" si="190"/>
        <v>57.041666666666664</v>
      </c>
      <c r="G1074" s="87">
        <f t="shared" si="190"/>
        <v>40</v>
      </c>
      <c r="H1074" s="87">
        <f t="shared" si="190"/>
        <v>174.58333333333334</v>
      </c>
      <c r="I1074" s="87">
        <f t="shared" si="190"/>
        <v>0</v>
      </c>
      <c r="J1074" s="87">
        <f t="shared" si="190"/>
        <v>100</v>
      </c>
      <c r="K1074" s="87">
        <f t="shared" si="190"/>
        <v>300</v>
      </c>
      <c r="L1074" s="87">
        <f t="shared" si="190"/>
        <v>1216.5</v>
      </c>
      <c r="M1074" s="89">
        <f t="shared" si="190"/>
        <v>400</v>
      </c>
      <c r="N1074" s="87">
        <f t="shared" si="190"/>
        <v>72.5</v>
      </c>
      <c r="O1074" s="88">
        <f t="shared" si="190"/>
        <v>240</v>
      </c>
      <c r="P1074" s="88">
        <f t="shared" si="190"/>
        <v>110</v>
      </c>
      <c r="Q1074" s="88">
        <f t="shared" si="190"/>
        <v>245</v>
      </c>
      <c r="R1074" s="88">
        <f t="shared" si="190"/>
        <v>100</v>
      </c>
      <c r="S1074" s="87">
        <f t="shared" si="190"/>
        <v>695</v>
      </c>
      <c r="T1074" s="87">
        <f t="shared" si="190"/>
        <v>33.333333333333336</v>
      </c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</row>
    <row r="1075" spans="1:30" ht="15" x14ac:dyDescent="0.2">
      <c r="A1075" s="10">
        <v>2019</v>
      </c>
      <c r="B1075" s="10">
        <f t="shared" si="180"/>
        <v>365</v>
      </c>
      <c r="C1075" s="87">
        <f t="shared" ref="C1075:T1075" si="191">AVERAGE(C84:C95)</f>
        <v>154.75825</v>
      </c>
      <c r="D1075" s="87">
        <f t="shared" si="191"/>
        <v>281.0162499999999</v>
      </c>
      <c r="E1075" s="87">
        <f t="shared" si="191"/>
        <v>109.1005</v>
      </c>
      <c r="F1075" s="87">
        <f t="shared" si="191"/>
        <v>57.041666666666664</v>
      </c>
      <c r="G1075" s="87">
        <f t="shared" si="191"/>
        <v>40</v>
      </c>
      <c r="H1075" s="87">
        <f t="shared" si="191"/>
        <v>174.58333333333334</v>
      </c>
      <c r="I1075" s="87">
        <f t="shared" si="191"/>
        <v>0</v>
      </c>
      <c r="J1075" s="87">
        <f t="shared" si="191"/>
        <v>100</v>
      </c>
      <c r="K1075" s="87">
        <f t="shared" si="191"/>
        <v>300</v>
      </c>
      <c r="L1075" s="87">
        <f t="shared" si="191"/>
        <v>1216.5</v>
      </c>
      <c r="M1075" s="89">
        <f t="shared" si="191"/>
        <v>400</v>
      </c>
      <c r="N1075" s="87">
        <f t="shared" si="191"/>
        <v>72.5</v>
      </c>
      <c r="O1075" s="88">
        <f t="shared" si="191"/>
        <v>240</v>
      </c>
      <c r="P1075" s="88">
        <f t="shared" si="191"/>
        <v>110</v>
      </c>
      <c r="Q1075" s="88">
        <f t="shared" si="191"/>
        <v>245</v>
      </c>
      <c r="R1075" s="88">
        <f t="shared" si="191"/>
        <v>100</v>
      </c>
      <c r="S1075" s="87">
        <f t="shared" si="191"/>
        <v>695</v>
      </c>
      <c r="T1075" s="87">
        <f t="shared" si="191"/>
        <v>33.333333333333336</v>
      </c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</row>
    <row r="1076" spans="1:30" ht="15" x14ac:dyDescent="0.2">
      <c r="A1076" s="10">
        <v>2020</v>
      </c>
      <c r="B1076" s="10">
        <f t="shared" si="180"/>
        <v>366</v>
      </c>
      <c r="C1076" s="87">
        <f t="shared" ref="C1076:T1076" si="192">AVERAGE(C96:C107)</f>
        <v>154.75825</v>
      </c>
      <c r="D1076" s="87">
        <f t="shared" si="192"/>
        <v>281.0162499999999</v>
      </c>
      <c r="E1076" s="87">
        <f t="shared" si="192"/>
        <v>109.1005</v>
      </c>
      <c r="F1076" s="87">
        <f t="shared" si="192"/>
        <v>57.041666666666664</v>
      </c>
      <c r="G1076" s="87">
        <f t="shared" si="192"/>
        <v>40</v>
      </c>
      <c r="H1076" s="87">
        <f t="shared" si="192"/>
        <v>174.58333333333334</v>
      </c>
      <c r="I1076" s="87">
        <f t="shared" si="192"/>
        <v>0</v>
      </c>
      <c r="J1076" s="87">
        <f t="shared" si="192"/>
        <v>100</v>
      </c>
      <c r="K1076" s="87">
        <f t="shared" si="192"/>
        <v>300</v>
      </c>
      <c r="L1076" s="87">
        <f t="shared" si="192"/>
        <v>1216.5</v>
      </c>
      <c r="M1076" s="89">
        <f t="shared" si="192"/>
        <v>533.33333333333337</v>
      </c>
      <c r="N1076" s="87">
        <f t="shared" si="192"/>
        <v>72.5</v>
      </c>
      <c r="O1076" s="88">
        <f t="shared" si="192"/>
        <v>240</v>
      </c>
      <c r="P1076" s="88">
        <f t="shared" si="192"/>
        <v>110</v>
      </c>
      <c r="Q1076" s="88">
        <f t="shared" si="192"/>
        <v>245</v>
      </c>
      <c r="R1076" s="88">
        <f t="shared" si="192"/>
        <v>100</v>
      </c>
      <c r="S1076" s="87">
        <f t="shared" si="192"/>
        <v>695</v>
      </c>
      <c r="T1076" s="87">
        <f t="shared" si="192"/>
        <v>33.333333333333336</v>
      </c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</row>
    <row r="1077" spans="1:30" ht="15" x14ac:dyDescent="0.2">
      <c r="A1077" s="10">
        <v>2021</v>
      </c>
      <c r="B1077" s="10">
        <f t="shared" si="180"/>
        <v>365</v>
      </c>
      <c r="C1077" s="87">
        <f t="shared" ref="C1077:T1077" si="193">AVERAGE(C108:C119)</f>
        <v>154.75825</v>
      </c>
      <c r="D1077" s="87">
        <f t="shared" si="193"/>
        <v>281.0162499999999</v>
      </c>
      <c r="E1077" s="87">
        <f t="shared" si="193"/>
        <v>109.1005</v>
      </c>
      <c r="F1077" s="87">
        <f t="shared" si="193"/>
        <v>57.041666666666664</v>
      </c>
      <c r="G1077" s="87">
        <f t="shared" si="193"/>
        <v>40</v>
      </c>
      <c r="H1077" s="87">
        <f t="shared" si="193"/>
        <v>174.58333333333334</v>
      </c>
      <c r="I1077" s="87">
        <f t="shared" si="193"/>
        <v>0</v>
      </c>
      <c r="J1077" s="87">
        <f t="shared" si="193"/>
        <v>100</v>
      </c>
      <c r="K1077" s="87">
        <f t="shared" si="193"/>
        <v>300</v>
      </c>
      <c r="L1077" s="87">
        <f t="shared" si="193"/>
        <v>1216.5</v>
      </c>
      <c r="M1077" s="89">
        <f t="shared" si="193"/>
        <v>600</v>
      </c>
      <c r="N1077" s="87">
        <f t="shared" si="193"/>
        <v>72.5</v>
      </c>
      <c r="O1077" s="88">
        <f t="shared" si="193"/>
        <v>240</v>
      </c>
      <c r="P1077" s="88">
        <f t="shared" si="193"/>
        <v>110</v>
      </c>
      <c r="Q1077" s="88">
        <f t="shared" si="193"/>
        <v>245</v>
      </c>
      <c r="R1077" s="88">
        <f t="shared" si="193"/>
        <v>100</v>
      </c>
      <c r="S1077" s="87">
        <f t="shared" si="193"/>
        <v>695</v>
      </c>
      <c r="T1077" s="87">
        <f t="shared" si="193"/>
        <v>33.333333333333336</v>
      </c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</row>
    <row r="1078" spans="1:30" ht="15" x14ac:dyDescent="0.2">
      <c r="A1078" s="10">
        <v>2022</v>
      </c>
      <c r="B1078" s="10">
        <f t="shared" si="180"/>
        <v>365</v>
      </c>
      <c r="C1078" s="87">
        <f t="shared" ref="C1078:T1078" si="194">AVERAGE(C120:C131)</f>
        <v>154.75825</v>
      </c>
      <c r="D1078" s="87">
        <f t="shared" si="194"/>
        <v>281.0162499999999</v>
      </c>
      <c r="E1078" s="87">
        <f t="shared" si="194"/>
        <v>109.1005</v>
      </c>
      <c r="F1078" s="87">
        <f t="shared" si="194"/>
        <v>57.041666666666664</v>
      </c>
      <c r="G1078" s="87">
        <f t="shared" si="194"/>
        <v>40</v>
      </c>
      <c r="H1078" s="87">
        <f t="shared" si="194"/>
        <v>174.58333333333334</v>
      </c>
      <c r="I1078" s="87">
        <f t="shared" si="194"/>
        <v>0</v>
      </c>
      <c r="J1078" s="87">
        <f t="shared" si="194"/>
        <v>100</v>
      </c>
      <c r="K1078" s="87">
        <f t="shared" si="194"/>
        <v>300</v>
      </c>
      <c r="L1078" s="87">
        <f t="shared" si="194"/>
        <v>1216.5</v>
      </c>
      <c r="M1078" s="89">
        <f t="shared" si="194"/>
        <v>600</v>
      </c>
      <c r="N1078" s="87">
        <f t="shared" si="194"/>
        <v>72.5</v>
      </c>
      <c r="O1078" s="88">
        <f t="shared" si="194"/>
        <v>240</v>
      </c>
      <c r="P1078" s="88">
        <f t="shared" si="194"/>
        <v>110</v>
      </c>
      <c r="Q1078" s="88">
        <f t="shared" si="194"/>
        <v>245</v>
      </c>
      <c r="R1078" s="88">
        <f t="shared" si="194"/>
        <v>100</v>
      </c>
      <c r="S1078" s="87">
        <f t="shared" si="194"/>
        <v>695</v>
      </c>
      <c r="T1078" s="87">
        <f t="shared" si="194"/>
        <v>33.333333333333336</v>
      </c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</row>
    <row r="1079" spans="1:30" ht="15" x14ac:dyDescent="0.2">
      <c r="A1079" s="10">
        <v>2023</v>
      </c>
      <c r="B1079" s="10">
        <f t="shared" si="180"/>
        <v>365</v>
      </c>
      <c r="C1079" s="87">
        <f t="shared" ref="C1079:T1079" si="195">AVERAGE(C132:C143)</f>
        <v>154.75825</v>
      </c>
      <c r="D1079" s="87">
        <f t="shared" si="195"/>
        <v>281.0162499999999</v>
      </c>
      <c r="E1079" s="87">
        <f t="shared" si="195"/>
        <v>109.1005</v>
      </c>
      <c r="F1079" s="87">
        <f t="shared" si="195"/>
        <v>57.041666666666664</v>
      </c>
      <c r="G1079" s="87">
        <f t="shared" si="195"/>
        <v>40</v>
      </c>
      <c r="H1079" s="87">
        <f t="shared" si="195"/>
        <v>174.58333333333334</v>
      </c>
      <c r="I1079" s="87">
        <f t="shared" si="195"/>
        <v>0</v>
      </c>
      <c r="J1079" s="87">
        <f t="shared" si="195"/>
        <v>100</v>
      </c>
      <c r="K1079" s="87">
        <f t="shared" si="195"/>
        <v>300</v>
      </c>
      <c r="L1079" s="87">
        <f t="shared" si="195"/>
        <v>1216.5</v>
      </c>
      <c r="M1079" s="89">
        <f t="shared" si="195"/>
        <v>600</v>
      </c>
      <c r="N1079" s="87">
        <f t="shared" si="195"/>
        <v>72.5</v>
      </c>
      <c r="O1079" s="88">
        <f t="shared" si="195"/>
        <v>240</v>
      </c>
      <c r="P1079" s="88">
        <f t="shared" si="195"/>
        <v>110</v>
      </c>
      <c r="Q1079" s="88">
        <f t="shared" si="195"/>
        <v>245</v>
      </c>
      <c r="R1079" s="88">
        <f t="shared" si="195"/>
        <v>100</v>
      </c>
      <c r="S1079" s="87">
        <f t="shared" si="195"/>
        <v>695</v>
      </c>
      <c r="T1079" s="87">
        <f t="shared" si="195"/>
        <v>33.333333333333336</v>
      </c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</row>
    <row r="1080" spans="1:30" ht="15" x14ac:dyDescent="0.2">
      <c r="A1080" s="10">
        <v>2024</v>
      </c>
      <c r="B1080" s="10">
        <f t="shared" si="180"/>
        <v>366</v>
      </c>
      <c r="C1080" s="87">
        <f t="shared" ref="C1080:T1080" si="196">AVERAGE(C144:C155)</f>
        <v>154.75825</v>
      </c>
      <c r="D1080" s="87">
        <f t="shared" si="196"/>
        <v>281.0162499999999</v>
      </c>
      <c r="E1080" s="87">
        <f t="shared" si="196"/>
        <v>109.1005</v>
      </c>
      <c r="F1080" s="87">
        <f t="shared" si="196"/>
        <v>57.041666666666664</v>
      </c>
      <c r="G1080" s="87">
        <f t="shared" si="196"/>
        <v>40</v>
      </c>
      <c r="H1080" s="87">
        <f t="shared" si="196"/>
        <v>174.58333333333334</v>
      </c>
      <c r="I1080" s="87">
        <f t="shared" si="196"/>
        <v>0</v>
      </c>
      <c r="J1080" s="87">
        <f t="shared" si="196"/>
        <v>100</v>
      </c>
      <c r="K1080" s="87">
        <f t="shared" si="196"/>
        <v>300</v>
      </c>
      <c r="L1080" s="87">
        <f t="shared" si="196"/>
        <v>1216.5</v>
      </c>
      <c r="M1080" s="89">
        <f t="shared" si="196"/>
        <v>600</v>
      </c>
      <c r="N1080" s="87">
        <f t="shared" si="196"/>
        <v>72.5</v>
      </c>
      <c r="O1080" s="88">
        <f t="shared" si="196"/>
        <v>240</v>
      </c>
      <c r="P1080" s="88">
        <f t="shared" si="196"/>
        <v>110</v>
      </c>
      <c r="Q1080" s="88">
        <f t="shared" si="196"/>
        <v>245</v>
      </c>
      <c r="R1080" s="88">
        <f t="shared" si="196"/>
        <v>100</v>
      </c>
      <c r="S1080" s="87">
        <f t="shared" si="196"/>
        <v>695</v>
      </c>
      <c r="T1080" s="87">
        <f t="shared" si="196"/>
        <v>33.333333333333336</v>
      </c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</row>
    <row r="1081" spans="1:30" ht="15" x14ac:dyDescent="0.2">
      <c r="A1081" s="10">
        <v>2025</v>
      </c>
      <c r="B1081" s="10">
        <f t="shared" si="180"/>
        <v>365</v>
      </c>
      <c r="C1081" s="87">
        <f t="shared" ref="C1081:T1081" si="197">AVERAGE(C156:C167)</f>
        <v>154.75825</v>
      </c>
      <c r="D1081" s="87">
        <f t="shared" si="197"/>
        <v>281.0162499999999</v>
      </c>
      <c r="E1081" s="87">
        <f t="shared" si="197"/>
        <v>109.1005</v>
      </c>
      <c r="F1081" s="87">
        <f t="shared" si="197"/>
        <v>57.041666666666664</v>
      </c>
      <c r="G1081" s="87">
        <f t="shared" si="197"/>
        <v>40</v>
      </c>
      <c r="H1081" s="87">
        <f t="shared" si="197"/>
        <v>174.58333333333334</v>
      </c>
      <c r="I1081" s="87">
        <f t="shared" si="197"/>
        <v>0</v>
      </c>
      <c r="J1081" s="87">
        <f t="shared" si="197"/>
        <v>100</v>
      </c>
      <c r="K1081" s="87">
        <f t="shared" si="197"/>
        <v>300</v>
      </c>
      <c r="L1081" s="87">
        <f t="shared" si="197"/>
        <v>1216.5</v>
      </c>
      <c r="M1081" s="89">
        <f t="shared" si="197"/>
        <v>600</v>
      </c>
      <c r="N1081" s="87">
        <f t="shared" si="197"/>
        <v>72.5</v>
      </c>
      <c r="O1081" s="88">
        <f t="shared" si="197"/>
        <v>240</v>
      </c>
      <c r="P1081" s="88">
        <f t="shared" si="197"/>
        <v>110</v>
      </c>
      <c r="Q1081" s="88">
        <f t="shared" si="197"/>
        <v>245</v>
      </c>
      <c r="R1081" s="88">
        <f t="shared" si="197"/>
        <v>100</v>
      </c>
      <c r="S1081" s="87">
        <f t="shared" si="197"/>
        <v>695</v>
      </c>
      <c r="T1081" s="87">
        <f t="shared" si="197"/>
        <v>33.333333333333336</v>
      </c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</row>
    <row r="1082" spans="1:30" ht="15" x14ac:dyDescent="0.2">
      <c r="A1082" s="10">
        <v>2026</v>
      </c>
      <c r="B1082" s="10">
        <f t="shared" si="180"/>
        <v>365</v>
      </c>
      <c r="C1082" s="87">
        <f t="shared" ref="C1082:T1082" si="198">AVERAGE(C168:C179)</f>
        <v>154.75825</v>
      </c>
      <c r="D1082" s="87">
        <f t="shared" si="198"/>
        <v>281.0162499999999</v>
      </c>
      <c r="E1082" s="87">
        <f t="shared" si="198"/>
        <v>109.1005</v>
      </c>
      <c r="F1082" s="87">
        <f t="shared" si="198"/>
        <v>57.041666666666664</v>
      </c>
      <c r="G1082" s="87">
        <f t="shared" si="198"/>
        <v>40</v>
      </c>
      <c r="H1082" s="87">
        <f t="shared" si="198"/>
        <v>174.58333333333334</v>
      </c>
      <c r="I1082" s="87">
        <f t="shared" si="198"/>
        <v>0</v>
      </c>
      <c r="J1082" s="87">
        <f t="shared" si="198"/>
        <v>100</v>
      </c>
      <c r="K1082" s="87">
        <f t="shared" si="198"/>
        <v>300</v>
      </c>
      <c r="L1082" s="87">
        <f t="shared" si="198"/>
        <v>1216.5</v>
      </c>
      <c r="M1082" s="89">
        <f t="shared" si="198"/>
        <v>600</v>
      </c>
      <c r="N1082" s="87">
        <f t="shared" si="198"/>
        <v>72.5</v>
      </c>
      <c r="O1082" s="88">
        <f t="shared" si="198"/>
        <v>240</v>
      </c>
      <c r="P1082" s="88">
        <f t="shared" si="198"/>
        <v>110</v>
      </c>
      <c r="Q1082" s="88">
        <f t="shared" si="198"/>
        <v>245</v>
      </c>
      <c r="R1082" s="88">
        <f t="shared" si="198"/>
        <v>100</v>
      </c>
      <c r="S1082" s="87">
        <f t="shared" si="198"/>
        <v>695</v>
      </c>
      <c r="T1082" s="87">
        <f t="shared" si="198"/>
        <v>33.333333333333336</v>
      </c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</row>
    <row r="1083" spans="1:30" ht="15" x14ac:dyDescent="0.2">
      <c r="A1083" s="10">
        <v>2027</v>
      </c>
      <c r="B1083" s="10">
        <f t="shared" si="180"/>
        <v>365</v>
      </c>
      <c r="C1083" s="87">
        <f t="shared" ref="C1083:T1083" si="199">AVERAGE(C180:C191)</f>
        <v>154.75825</v>
      </c>
      <c r="D1083" s="87">
        <f t="shared" si="199"/>
        <v>281.0162499999999</v>
      </c>
      <c r="E1083" s="87">
        <f t="shared" si="199"/>
        <v>109.1005</v>
      </c>
      <c r="F1083" s="87">
        <f t="shared" si="199"/>
        <v>57.041666666666664</v>
      </c>
      <c r="G1083" s="87">
        <f t="shared" si="199"/>
        <v>40</v>
      </c>
      <c r="H1083" s="87">
        <f t="shared" si="199"/>
        <v>174.58333333333334</v>
      </c>
      <c r="I1083" s="87">
        <f t="shared" si="199"/>
        <v>0</v>
      </c>
      <c r="J1083" s="87">
        <f t="shared" si="199"/>
        <v>100</v>
      </c>
      <c r="K1083" s="87">
        <f t="shared" si="199"/>
        <v>300</v>
      </c>
      <c r="L1083" s="87">
        <f t="shared" si="199"/>
        <v>1216.5</v>
      </c>
      <c r="M1083" s="89">
        <f t="shared" si="199"/>
        <v>600</v>
      </c>
      <c r="N1083" s="87">
        <f t="shared" si="199"/>
        <v>72.5</v>
      </c>
      <c r="O1083" s="88">
        <f t="shared" si="199"/>
        <v>240</v>
      </c>
      <c r="P1083" s="88">
        <f t="shared" si="199"/>
        <v>110</v>
      </c>
      <c r="Q1083" s="88">
        <f t="shared" si="199"/>
        <v>245</v>
      </c>
      <c r="R1083" s="88">
        <f t="shared" si="199"/>
        <v>100</v>
      </c>
      <c r="S1083" s="87">
        <f t="shared" si="199"/>
        <v>695</v>
      </c>
      <c r="T1083" s="87">
        <f t="shared" si="199"/>
        <v>33.333333333333336</v>
      </c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</row>
    <row r="1084" spans="1:30" ht="15" x14ac:dyDescent="0.2">
      <c r="A1084" s="10">
        <v>2028</v>
      </c>
      <c r="B1084" s="10">
        <f t="shared" si="180"/>
        <v>366</v>
      </c>
      <c r="C1084" s="87">
        <f t="shared" ref="C1084:T1084" si="200">AVERAGE(C192:C203)</f>
        <v>154.75825</v>
      </c>
      <c r="D1084" s="87">
        <f t="shared" si="200"/>
        <v>281.0162499999999</v>
      </c>
      <c r="E1084" s="87">
        <f t="shared" si="200"/>
        <v>109.1005</v>
      </c>
      <c r="F1084" s="87">
        <f t="shared" si="200"/>
        <v>57.041666666666664</v>
      </c>
      <c r="G1084" s="87">
        <f t="shared" si="200"/>
        <v>40</v>
      </c>
      <c r="H1084" s="87">
        <f t="shared" si="200"/>
        <v>174.58333333333334</v>
      </c>
      <c r="I1084" s="87">
        <f t="shared" si="200"/>
        <v>0</v>
      </c>
      <c r="J1084" s="87">
        <f t="shared" si="200"/>
        <v>100</v>
      </c>
      <c r="K1084" s="87">
        <f t="shared" si="200"/>
        <v>300</v>
      </c>
      <c r="L1084" s="87">
        <f t="shared" si="200"/>
        <v>1216.5</v>
      </c>
      <c r="M1084" s="89">
        <f t="shared" si="200"/>
        <v>600</v>
      </c>
      <c r="N1084" s="87">
        <f t="shared" si="200"/>
        <v>72.5</v>
      </c>
      <c r="O1084" s="88">
        <f t="shared" si="200"/>
        <v>240</v>
      </c>
      <c r="P1084" s="88">
        <f t="shared" si="200"/>
        <v>110</v>
      </c>
      <c r="Q1084" s="88">
        <f t="shared" si="200"/>
        <v>245</v>
      </c>
      <c r="R1084" s="88">
        <f t="shared" si="200"/>
        <v>100</v>
      </c>
      <c r="S1084" s="87">
        <f t="shared" si="200"/>
        <v>695</v>
      </c>
      <c r="T1084" s="87">
        <f t="shared" si="200"/>
        <v>33.333333333333336</v>
      </c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</row>
    <row r="1085" spans="1:30" ht="15" x14ac:dyDescent="0.2">
      <c r="A1085" s="10">
        <v>2029</v>
      </c>
      <c r="B1085" s="10">
        <f t="shared" si="180"/>
        <v>365</v>
      </c>
      <c r="C1085" s="87">
        <f t="shared" ref="C1085:T1085" si="201">AVERAGE(C204:C215)</f>
        <v>154.75825</v>
      </c>
      <c r="D1085" s="87">
        <f t="shared" si="201"/>
        <v>281.0162499999999</v>
      </c>
      <c r="E1085" s="87">
        <f t="shared" si="201"/>
        <v>109.1005</v>
      </c>
      <c r="F1085" s="87">
        <f t="shared" si="201"/>
        <v>57.041666666666664</v>
      </c>
      <c r="G1085" s="87">
        <f t="shared" si="201"/>
        <v>40</v>
      </c>
      <c r="H1085" s="87">
        <f t="shared" si="201"/>
        <v>174.58333333333334</v>
      </c>
      <c r="I1085" s="87">
        <f t="shared" si="201"/>
        <v>0</v>
      </c>
      <c r="J1085" s="87">
        <f t="shared" si="201"/>
        <v>100</v>
      </c>
      <c r="K1085" s="87">
        <f t="shared" si="201"/>
        <v>300</v>
      </c>
      <c r="L1085" s="87">
        <f t="shared" si="201"/>
        <v>1216.5</v>
      </c>
      <c r="M1085" s="89">
        <f t="shared" si="201"/>
        <v>600</v>
      </c>
      <c r="N1085" s="87">
        <f t="shared" si="201"/>
        <v>72.5</v>
      </c>
      <c r="O1085" s="88">
        <f t="shared" si="201"/>
        <v>240</v>
      </c>
      <c r="P1085" s="88">
        <f t="shared" si="201"/>
        <v>110</v>
      </c>
      <c r="Q1085" s="88">
        <f t="shared" si="201"/>
        <v>245</v>
      </c>
      <c r="R1085" s="88">
        <f t="shared" si="201"/>
        <v>100</v>
      </c>
      <c r="S1085" s="87">
        <f t="shared" si="201"/>
        <v>695</v>
      </c>
      <c r="T1085" s="87">
        <f t="shared" si="201"/>
        <v>33.333333333333336</v>
      </c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</row>
    <row r="1086" spans="1:30" ht="15" x14ac:dyDescent="0.2">
      <c r="A1086" s="10">
        <v>2030</v>
      </c>
      <c r="B1086" s="10">
        <f t="shared" si="180"/>
        <v>365</v>
      </c>
      <c r="C1086" s="87">
        <f t="shared" ref="C1086:T1086" si="202">AVERAGE(C216:C227)</f>
        <v>154.75825</v>
      </c>
      <c r="D1086" s="87">
        <f t="shared" si="202"/>
        <v>281.0162499999999</v>
      </c>
      <c r="E1086" s="87">
        <f t="shared" si="202"/>
        <v>109.1005</v>
      </c>
      <c r="F1086" s="87">
        <f t="shared" si="202"/>
        <v>57.041666666666664</v>
      </c>
      <c r="G1086" s="87">
        <f t="shared" si="202"/>
        <v>40</v>
      </c>
      <c r="H1086" s="87">
        <f t="shared" si="202"/>
        <v>174.58333333333334</v>
      </c>
      <c r="I1086" s="87">
        <f t="shared" si="202"/>
        <v>0</v>
      </c>
      <c r="J1086" s="87">
        <f t="shared" si="202"/>
        <v>100</v>
      </c>
      <c r="K1086" s="87">
        <f t="shared" si="202"/>
        <v>300</v>
      </c>
      <c r="L1086" s="87">
        <f t="shared" si="202"/>
        <v>1216.5</v>
      </c>
      <c r="M1086" s="89">
        <f t="shared" si="202"/>
        <v>600</v>
      </c>
      <c r="N1086" s="87">
        <f t="shared" si="202"/>
        <v>72.5</v>
      </c>
      <c r="O1086" s="88">
        <f t="shared" si="202"/>
        <v>240</v>
      </c>
      <c r="P1086" s="88">
        <f t="shared" si="202"/>
        <v>110</v>
      </c>
      <c r="Q1086" s="88">
        <f t="shared" si="202"/>
        <v>245</v>
      </c>
      <c r="R1086" s="88">
        <f t="shared" si="202"/>
        <v>100</v>
      </c>
      <c r="S1086" s="87">
        <f t="shared" si="202"/>
        <v>695</v>
      </c>
      <c r="T1086" s="87">
        <f t="shared" si="202"/>
        <v>33.333333333333336</v>
      </c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</row>
    <row r="1087" spans="1:30" ht="15" x14ac:dyDescent="0.2">
      <c r="A1087" s="10">
        <v>2031</v>
      </c>
      <c r="B1087" s="10">
        <f t="shared" si="180"/>
        <v>365</v>
      </c>
      <c r="C1087" s="87">
        <f t="shared" ref="C1087:T1087" si="203">AVERAGE(C228:C239)</f>
        <v>154.75825</v>
      </c>
      <c r="D1087" s="87">
        <f t="shared" si="203"/>
        <v>281.0162499999999</v>
      </c>
      <c r="E1087" s="87">
        <f t="shared" si="203"/>
        <v>109.1005</v>
      </c>
      <c r="F1087" s="87">
        <f t="shared" si="203"/>
        <v>57.041666666666664</v>
      </c>
      <c r="G1087" s="87">
        <f t="shared" si="203"/>
        <v>40</v>
      </c>
      <c r="H1087" s="87">
        <f t="shared" si="203"/>
        <v>174.58333333333334</v>
      </c>
      <c r="I1087" s="87">
        <f t="shared" si="203"/>
        <v>0</v>
      </c>
      <c r="J1087" s="87">
        <f t="shared" si="203"/>
        <v>100</v>
      </c>
      <c r="K1087" s="87">
        <f t="shared" si="203"/>
        <v>300</v>
      </c>
      <c r="L1087" s="87">
        <f t="shared" si="203"/>
        <v>1216.5</v>
      </c>
      <c r="M1087" s="89">
        <f t="shared" si="203"/>
        <v>600</v>
      </c>
      <c r="N1087" s="87">
        <f t="shared" si="203"/>
        <v>72.5</v>
      </c>
      <c r="O1087" s="88">
        <f t="shared" si="203"/>
        <v>240</v>
      </c>
      <c r="P1087" s="88">
        <f t="shared" si="203"/>
        <v>110</v>
      </c>
      <c r="Q1087" s="88">
        <f t="shared" si="203"/>
        <v>245</v>
      </c>
      <c r="R1087" s="88">
        <f t="shared" si="203"/>
        <v>100</v>
      </c>
      <c r="S1087" s="87">
        <f t="shared" si="203"/>
        <v>695</v>
      </c>
      <c r="T1087" s="87">
        <f t="shared" si="203"/>
        <v>33.333333333333336</v>
      </c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</row>
    <row r="1088" spans="1:30" ht="15" x14ac:dyDescent="0.2">
      <c r="A1088" s="10">
        <v>2032</v>
      </c>
      <c r="B1088" s="10">
        <f t="shared" si="180"/>
        <v>366</v>
      </c>
      <c r="C1088" s="87">
        <f t="shared" ref="C1088:T1088" si="204">AVERAGE(C240:C251)</f>
        <v>154.75825</v>
      </c>
      <c r="D1088" s="87">
        <f t="shared" si="204"/>
        <v>281.0162499999999</v>
      </c>
      <c r="E1088" s="87">
        <f t="shared" si="204"/>
        <v>109.1005</v>
      </c>
      <c r="F1088" s="87">
        <f t="shared" si="204"/>
        <v>57.041666666666664</v>
      </c>
      <c r="G1088" s="87">
        <f t="shared" si="204"/>
        <v>40</v>
      </c>
      <c r="H1088" s="87">
        <f t="shared" si="204"/>
        <v>174.58333333333334</v>
      </c>
      <c r="I1088" s="87">
        <f t="shared" si="204"/>
        <v>0</v>
      </c>
      <c r="J1088" s="87">
        <f t="shared" si="204"/>
        <v>100</v>
      </c>
      <c r="K1088" s="87">
        <f t="shared" si="204"/>
        <v>300</v>
      </c>
      <c r="L1088" s="87">
        <f t="shared" si="204"/>
        <v>1216.5</v>
      </c>
      <c r="M1088" s="89">
        <f t="shared" si="204"/>
        <v>600</v>
      </c>
      <c r="N1088" s="87">
        <f t="shared" si="204"/>
        <v>72.5</v>
      </c>
      <c r="O1088" s="88">
        <f t="shared" si="204"/>
        <v>240</v>
      </c>
      <c r="P1088" s="88">
        <f t="shared" si="204"/>
        <v>110</v>
      </c>
      <c r="Q1088" s="88">
        <f t="shared" si="204"/>
        <v>245</v>
      </c>
      <c r="R1088" s="88">
        <f t="shared" si="204"/>
        <v>100</v>
      </c>
      <c r="S1088" s="87">
        <f t="shared" si="204"/>
        <v>695</v>
      </c>
      <c r="T1088" s="87">
        <f t="shared" si="204"/>
        <v>33.333333333333336</v>
      </c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</row>
    <row r="1089" spans="1:30" ht="15" x14ac:dyDescent="0.2">
      <c r="A1089" s="10">
        <v>2033</v>
      </c>
      <c r="B1089" s="10">
        <f t="shared" si="180"/>
        <v>365</v>
      </c>
      <c r="C1089" s="87">
        <f t="shared" ref="C1089:T1089" si="205">AVERAGE(C252:C263)</f>
        <v>154.75825</v>
      </c>
      <c r="D1089" s="87">
        <f t="shared" si="205"/>
        <v>281.0162499999999</v>
      </c>
      <c r="E1089" s="87">
        <f t="shared" si="205"/>
        <v>109.1005</v>
      </c>
      <c r="F1089" s="87">
        <f t="shared" si="205"/>
        <v>57.041666666666664</v>
      </c>
      <c r="G1089" s="87">
        <f t="shared" si="205"/>
        <v>40</v>
      </c>
      <c r="H1089" s="87">
        <f t="shared" si="205"/>
        <v>174.58333333333334</v>
      </c>
      <c r="I1089" s="87">
        <f t="shared" si="205"/>
        <v>0</v>
      </c>
      <c r="J1089" s="87">
        <f t="shared" si="205"/>
        <v>100</v>
      </c>
      <c r="K1089" s="87">
        <f t="shared" si="205"/>
        <v>300</v>
      </c>
      <c r="L1089" s="87">
        <f t="shared" si="205"/>
        <v>1216.5</v>
      </c>
      <c r="M1089" s="89">
        <f t="shared" si="205"/>
        <v>600</v>
      </c>
      <c r="N1089" s="87">
        <f t="shared" si="205"/>
        <v>72.5</v>
      </c>
      <c r="O1089" s="88">
        <f t="shared" si="205"/>
        <v>240</v>
      </c>
      <c r="P1089" s="88">
        <f t="shared" si="205"/>
        <v>110</v>
      </c>
      <c r="Q1089" s="88">
        <f t="shared" si="205"/>
        <v>245</v>
      </c>
      <c r="R1089" s="88">
        <f t="shared" si="205"/>
        <v>100</v>
      </c>
      <c r="S1089" s="87">
        <f t="shared" si="205"/>
        <v>695</v>
      </c>
      <c r="T1089" s="87">
        <f t="shared" si="205"/>
        <v>33.333333333333336</v>
      </c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</row>
    <row r="1090" spans="1:30" ht="15" x14ac:dyDescent="0.2">
      <c r="A1090" s="10">
        <v>2034</v>
      </c>
      <c r="B1090" s="10">
        <f t="shared" si="180"/>
        <v>365</v>
      </c>
      <c r="C1090" s="87">
        <f t="shared" ref="C1090:T1090" si="206">AVERAGE(C264:C275)</f>
        <v>154.75825</v>
      </c>
      <c r="D1090" s="87">
        <f t="shared" si="206"/>
        <v>281.0162499999999</v>
      </c>
      <c r="E1090" s="87">
        <f t="shared" si="206"/>
        <v>109.1005</v>
      </c>
      <c r="F1090" s="87">
        <f t="shared" si="206"/>
        <v>57.041666666666664</v>
      </c>
      <c r="G1090" s="87">
        <f t="shared" si="206"/>
        <v>40</v>
      </c>
      <c r="H1090" s="87">
        <f t="shared" si="206"/>
        <v>174.58333333333334</v>
      </c>
      <c r="I1090" s="87">
        <f t="shared" si="206"/>
        <v>0</v>
      </c>
      <c r="J1090" s="87">
        <f t="shared" si="206"/>
        <v>100</v>
      </c>
      <c r="K1090" s="87">
        <f t="shared" si="206"/>
        <v>300</v>
      </c>
      <c r="L1090" s="87">
        <f t="shared" si="206"/>
        <v>1216.5</v>
      </c>
      <c r="M1090" s="89">
        <f t="shared" si="206"/>
        <v>600</v>
      </c>
      <c r="N1090" s="87">
        <f t="shared" si="206"/>
        <v>72.5</v>
      </c>
      <c r="O1090" s="88">
        <f t="shared" si="206"/>
        <v>240</v>
      </c>
      <c r="P1090" s="88">
        <f t="shared" si="206"/>
        <v>110</v>
      </c>
      <c r="Q1090" s="88">
        <f t="shared" si="206"/>
        <v>245</v>
      </c>
      <c r="R1090" s="88">
        <f t="shared" si="206"/>
        <v>100</v>
      </c>
      <c r="S1090" s="87">
        <f t="shared" si="206"/>
        <v>695</v>
      </c>
      <c r="T1090" s="87">
        <f t="shared" si="206"/>
        <v>33.333333333333336</v>
      </c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</row>
    <row r="1091" spans="1:30" ht="15" x14ac:dyDescent="0.2">
      <c r="A1091" s="10">
        <v>2035</v>
      </c>
      <c r="B1091" s="10">
        <f t="shared" si="180"/>
        <v>365</v>
      </c>
      <c r="C1091" s="87">
        <f t="shared" ref="C1091:T1091" si="207">AVERAGE(C276:C287)</f>
        <v>154.75825</v>
      </c>
      <c r="D1091" s="87">
        <f t="shared" si="207"/>
        <v>281.0162499999999</v>
      </c>
      <c r="E1091" s="87">
        <f t="shared" si="207"/>
        <v>109.1005</v>
      </c>
      <c r="F1091" s="87">
        <f t="shared" si="207"/>
        <v>57.041666666666664</v>
      </c>
      <c r="G1091" s="87">
        <f t="shared" si="207"/>
        <v>40</v>
      </c>
      <c r="H1091" s="87">
        <f t="shared" si="207"/>
        <v>174.58333333333334</v>
      </c>
      <c r="I1091" s="87">
        <f t="shared" si="207"/>
        <v>0</v>
      </c>
      <c r="J1091" s="87">
        <f t="shared" si="207"/>
        <v>100</v>
      </c>
      <c r="K1091" s="87">
        <f t="shared" si="207"/>
        <v>300</v>
      </c>
      <c r="L1091" s="87">
        <f t="shared" si="207"/>
        <v>1216.5</v>
      </c>
      <c r="M1091" s="89">
        <f t="shared" si="207"/>
        <v>600</v>
      </c>
      <c r="N1091" s="87">
        <f t="shared" si="207"/>
        <v>72.5</v>
      </c>
      <c r="O1091" s="88">
        <f t="shared" si="207"/>
        <v>240</v>
      </c>
      <c r="P1091" s="88">
        <f t="shared" si="207"/>
        <v>110</v>
      </c>
      <c r="Q1091" s="88">
        <f t="shared" si="207"/>
        <v>245</v>
      </c>
      <c r="R1091" s="88">
        <f t="shared" si="207"/>
        <v>100</v>
      </c>
      <c r="S1091" s="87">
        <f t="shared" si="207"/>
        <v>695</v>
      </c>
      <c r="T1091" s="87">
        <f t="shared" si="207"/>
        <v>33.333333333333336</v>
      </c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</row>
    <row r="1092" spans="1:30" ht="15" x14ac:dyDescent="0.2">
      <c r="A1092" s="10">
        <v>2036</v>
      </c>
      <c r="B1092" s="10">
        <f t="shared" si="180"/>
        <v>366</v>
      </c>
      <c r="C1092" s="87">
        <f t="shared" ref="C1092:T1092" si="208">AVERAGE(C288:C299)</f>
        <v>154.75825</v>
      </c>
      <c r="D1092" s="87">
        <f t="shared" si="208"/>
        <v>281.0162499999999</v>
      </c>
      <c r="E1092" s="87">
        <f t="shared" si="208"/>
        <v>109.1005</v>
      </c>
      <c r="F1092" s="87">
        <f t="shared" si="208"/>
        <v>57.041666666666664</v>
      </c>
      <c r="G1092" s="87">
        <f t="shared" si="208"/>
        <v>40</v>
      </c>
      <c r="H1092" s="87">
        <f t="shared" si="208"/>
        <v>174.58333333333334</v>
      </c>
      <c r="I1092" s="87">
        <f t="shared" si="208"/>
        <v>0</v>
      </c>
      <c r="J1092" s="87">
        <f t="shared" si="208"/>
        <v>100</v>
      </c>
      <c r="K1092" s="87">
        <f t="shared" si="208"/>
        <v>300</v>
      </c>
      <c r="L1092" s="87">
        <f t="shared" si="208"/>
        <v>1216.5</v>
      </c>
      <c r="M1092" s="89">
        <f t="shared" si="208"/>
        <v>600</v>
      </c>
      <c r="N1092" s="87">
        <f t="shared" si="208"/>
        <v>72.5</v>
      </c>
      <c r="O1092" s="88">
        <f t="shared" si="208"/>
        <v>240</v>
      </c>
      <c r="P1092" s="88">
        <f t="shared" si="208"/>
        <v>110</v>
      </c>
      <c r="Q1092" s="88">
        <f t="shared" si="208"/>
        <v>245</v>
      </c>
      <c r="R1092" s="88">
        <f t="shared" si="208"/>
        <v>100</v>
      </c>
      <c r="S1092" s="87">
        <f t="shared" si="208"/>
        <v>695</v>
      </c>
      <c r="T1092" s="87">
        <f t="shared" si="208"/>
        <v>33.333333333333336</v>
      </c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</row>
    <row r="1093" spans="1:30" ht="15" x14ac:dyDescent="0.2">
      <c r="A1093" s="10">
        <v>2037</v>
      </c>
      <c r="B1093" s="10">
        <f t="shared" si="180"/>
        <v>365</v>
      </c>
      <c r="C1093" s="87">
        <f t="shared" ref="C1093:T1093" si="209">AVERAGE(C300:C311)</f>
        <v>154.75825</v>
      </c>
      <c r="D1093" s="87">
        <f t="shared" si="209"/>
        <v>281.0162499999999</v>
      </c>
      <c r="E1093" s="87">
        <f t="shared" si="209"/>
        <v>109.1005</v>
      </c>
      <c r="F1093" s="87">
        <f t="shared" si="209"/>
        <v>57.041666666666664</v>
      </c>
      <c r="G1093" s="87">
        <f t="shared" si="209"/>
        <v>40</v>
      </c>
      <c r="H1093" s="87">
        <f t="shared" si="209"/>
        <v>174.58333333333334</v>
      </c>
      <c r="I1093" s="87">
        <f t="shared" si="209"/>
        <v>0</v>
      </c>
      <c r="J1093" s="87">
        <f t="shared" si="209"/>
        <v>100</v>
      </c>
      <c r="K1093" s="87">
        <f t="shared" si="209"/>
        <v>300</v>
      </c>
      <c r="L1093" s="87">
        <f t="shared" si="209"/>
        <v>1216.5</v>
      </c>
      <c r="M1093" s="89">
        <f t="shared" si="209"/>
        <v>600</v>
      </c>
      <c r="N1093" s="87">
        <f t="shared" si="209"/>
        <v>72.5</v>
      </c>
      <c r="O1093" s="88">
        <f t="shared" si="209"/>
        <v>240</v>
      </c>
      <c r="P1093" s="88">
        <f t="shared" si="209"/>
        <v>110</v>
      </c>
      <c r="Q1093" s="88">
        <f t="shared" si="209"/>
        <v>245</v>
      </c>
      <c r="R1093" s="88">
        <f t="shared" si="209"/>
        <v>100</v>
      </c>
      <c r="S1093" s="87">
        <f t="shared" si="209"/>
        <v>695</v>
      </c>
      <c r="T1093" s="87">
        <f t="shared" si="209"/>
        <v>33.333333333333336</v>
      </c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</row>
    <row r="1094" spans="1:30" ht="15" x14ac:dyDescent="0.2">
      <c r="A1094" s="10">
        <f t="shared" ref="A1094:A1125" si="210">A1093+1</f>
        <v>2038</v>
      </c>
      <c r="B1094" s="10">
        <f t="shared" si="180"/>
        <v>365</v>
      </c>
      <c r="C1094" s="83">
        <f t="shared" ref="C1094:T1094" si="211">AVERAGE(C312:C323)</f>
        <v>154.75825</v>
      </c>
      <c r="D1094" s="83">
        <f t="shared" si="211"/>
        <v>281.0162499999999</v>
      </c>
      <c r="E1094" s="83">
        <f t="shared" si="211"/>
        <v>109.1005</v>
      </c>
      <c r="F1094" s="83">
        <f t="shared" si="211"/>
        <v>57.041666666666664</v>
      </c>
      <c r="G1094" s="83">
        <f t="shared" si="211"/>
        <v>40</v>
      </c>
      <c r="H1094" s="83">
        <f t="shared" si="211"/>
        <v>174.58333333333334</v>
      </c>
      <c r="I1094" s="83">
        <f t="shared" si="211"/>
        <v>0</v>
      </c>
      <c r="J1094" s="83">
        <f t="shared" si="211"/>
        <v>100</v>
      </c>
      <c r="K1094" s="83">
        <f t="shared" si="211"/>
        <v>300</v>
      </c>
      <c r="L1094" s="83">
        <f t="shared" si="211"/>
        <v>1216.5</v>
      </c>
      <c r="M1094" s="85">
        <f t="shared" si="211"/>
        <v>600</v>
      </c>
      <c r="N1094" s="83">
        <f t="shared" si="211"/>
        <v>72.5</v>
      </c>
      <c r="O1094" s="86">
        <f t="shared" si="211"/>
        <v>240</v>
      </c>
      <c r="P1094" s="86">
        <f t="shared" si="211"/>
        <v>110</v>
      </c>
      <c r="Q1094" s="86">
        <f t="shared" si="211"/>
        <v>245</v>
      </c>
      <c r="R1094" s="86">
        <f t="shared" si="211"/>
        <v>100</v>
      </c>
      <c r="S1094" s="83">
        <f t="shared" si="211"/>
        <v>695</v>
      </c>
      <c r="T1094" s="83">
        <f t="shared" si="211"/>
        <v>33.333333333333336</v>
      </c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</row>
    <row r="1095" spans="1:30" ht="15" x14ac:dyDescent="0.2">
      <c r="A1095" s="10">
        <f t="shared" si="210"/>
        <v>2039</v>
      </c>
      <c r="B1095" s="10">
        <f t="shared" si="180"/>
        <v>365</v>
      </c>
      <c r="C1095" s="83">
        <f t="shared" ref="C1095:T1095" si="212">AVERAGE(C324:C335)</f>
        <v>154.75825</v>
      </c>
      <c r="D1095" s="83">
        <f t="shared" si="212"/>
        <v>281.0162499999999</v>
      </c>
      <c r="E1095" s="83">
        <f t="shared" si="212"/>
        <v>109.1005</v>
      </c>
      <c r="F1095" s="83">
        <f t="shared" si="212"/>
        <v>57.041666666666664</v>
      </c>
      <c r="G1095" s="83">
        <f t="shared" si="212"/>
        <v>40</v>
      </c>
      <c r="H1095" s="83">
        <f t="shared" si="212"/>
        <v>174.58333333333334</v>
      </c>
      <c r="I1095" s="83">
        <f t="shared" si="212"/>
        <v>0</v>
      </c>
      <c r="J1095" s="83">
        <f t="shared" si="212"/>
        <v>100</v>
      </c>
      <c r="K1095" s="83">
        <f t="shared" si="212"/>
        <v>300</v>
      </c>
      <c r="L1095" s="83">
        <f t="shared" si="212"/>
        <v>1216.5</v>
      </c>
      <c r="M1095" s="85">
        <f t="shared" si="212"/>
        <v>600</v>
      </c>
      <c r="N1095" s="83">
        <f t="shared" si="212"/>
        <v>72.5</v>
      </c>
      <c r="O1095" s="86">
        <f t="shared" si="212"/>
        <v>240</v>
      </c>
      <c r="P1095" s="86">
        <f t="shared" si="212"/>
        <v>110</v>
      </c>
      <c r="Q1095" s="86">
        <f t="shared" si="212"/>
        <v>245</v>
      </c>
      <c r="R1095" s="86">
        <f t="shared" si="212"/>
        <v>100</v>
      </c>
      <c r="S1095" s="83">
        <f t="shared" si="212"/>
        <v>695</v>
      </c>
      <c r="T1095" s="83">
        <f t="shared" si="212"/>
        <v>33.333333333333336</v>
      </c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</row>
    <row r="1096" spans="1:30" ht="15" x14ac:dyDescent="0.2">
      <c r="A1096" s="10">
        <f t="shared" si="210"/>
        <v>2040</v>
      </c>
      <c r="B1096" s="10">
        <f t="shared" si="180"/>
        <v>366</v>
      </c>
      <c r="C1096" s="83">
        <f t="shared" ref="C1096:T1096" si="213">AVERAGE(C336:C347)</f>
        <v>154.75825</v>
      </c>
      <c r="D1096" s="83">
        <f t="shared" si="213"/>
        <v>281.0162499999999</v>
      </c>
      <c r="E1096" s="83">
        <f t="shared" si="213"/>
        <v>109.1005</v>
      </c>
      <c r="F1096" s="83">
        <f t="shared" si="213"/>
        <v>57.041666666666664</v>
      </c>
      <c r="G1096" s="83">
        <f t="shared" si="213"/>
        <v>40</v>
      </c>
      <c r="H1096" s="83">
        <f t="shared" si="213"/>
        <v>174.58333333333334</v>
      </c>
      <c r="I1096" s="83">
        <f t="shared" si="213"/>
        <v>0</v>
      </c>
      <c r="J1096" s="83">
        <f t="shared" si="213"/>
        <v>100</v>
      </c>
      <c r="K1096" s="83">
        <f t="shared" si="213"/>
        <v>300</v>
      </c>
      <c r="L1096" s="83">
        <f t="shared" si="213"/>
        <v>1216.5</v>
      </c>
      <c r="M1096" s="85">
        <f t="shared" si="213"/>
        <v>600</v>
      </c>
      <c r="N1096" s="83">
        <f t="shared" si="213"/>
        <v>72.5</v>
      </c>
      <c r="O1096" s="86">
        <f t="shared" si="213"/>
        <v>240</v>
      </c>
      <c r="P1096" s="86">
        <f t="shared" si="213"/>
        <v>110</v>
      </c>
      <c r="Q1096" s="86">
        <f t="shared" si="213"/>
        <v>245</v>
      </c>
      <c r="R1096" s="86">
        <f t="shared" si="213"/>
        <v>100</v>
      </c>
      <c r="S1096" s="83">
        <f t="shared" si="213"/>
        <v>695</v>
      </c>
      <c r="T1096" s="83">
        <f t="shared" si="213"/>
        <v>33.333333333333336</v>
      </c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</row>
    <row r="1097" spans="1:30" ht="15" x14ac:dyDescent="0.2">
      <c r="A1097" s="10">
        <f t="shared" si="210"/>
        <v>2041</v>
      </c>
      <c r="B1097" s="10">
        <f t="shared" si="180"/>
        <v>365</v>
      </c>
      <c r="C1097" s="83">
        <f t="shared" ref="C1097:T1097" si="214">AVERAGE(C348:C359)</f>
        <v>154.75825</v>
      </c>
      <c r="D1097" s="83">
        <f t="shared" si="214"/>
        <v>281.0162499999999</v>
      </c>
      <c r="E1097" s="83">
        <f t="shared" si="214"/>
        <v>109.1005</v>
      </c>
      <c r="F1097" s="83">
        <f t="shared" si="214"/>
        <v>57.041666666666664</v>
      </c>
      <c r="G1097" s="83">
        <f t="shared" si="214"/>
        <v>40</v>
      </c>
      <c r="H1097" s="83">
        <f t="shared" si="214"/>
        <v>174.58333333333334</v>
      </c>
      <c r="I1097" s="83">
        <f t="shared" si="214"/>
        <v>0</v>
      </c>
      <c r="J1097" s="83">
        <f t="shared" si="214"/>
        <v>100</v>
      </c>
      <c r="K1097" s="83">
        <f t="shared" si="214"/>
        <v>300</v>
      </c>
      <c r="L1097" s="83">
        <f t="shared" si="214"/>
        <v>1216.5</v>
      </c>
      <c r="M1097" s="85">
        <f t="shared" si="214"/>
        <v>600</v>
      </c>
      <c r="N1097" s="83">
        <f t="shared" si="214"/>
        <v>72.5</v>
      </c>
      <c r="O1097" s="86">
        <f t="shared" si="214"/>
        <v>240</v>
      </c>
      <c r="P1097" s="86">
        <f t="shared" si="214"/>
        <v>110</v>
      </c>
      <c r="Q1097" s="86">
        <f t="shared" si="214"/>
        <v>245</v>
      </c>
      <c r="R1097" s="86">
        <f t="shared" si="214"/>
        <v>100</v>
      </c>
      <c r="S1097" s="83">
        <f t="shared" si="214"/>
        <v>695</v>
      </c>
      <c r="T1097" s="83">
        <f t="shared" si="214"/>
        <v>33.333333333333336</v>
      </c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</row>
    <row r="1098" spans="1:30" ht="15" x14ac:dyDescent="0.2">
      <c r="A1098" s="10">
        <f t="shared" si="210"/>
        <v>2042</v>
      </c>
      <c r="B1098" s="10">
        <f t="shared" si="180"/>
        <v>365</v>
      </c>
      <c r="C1098" s="83">
        <f t="shared" ref="C1098:T1098" si="215">AVERAGE(C360:C371)</f>
        <v>154.75825</v>
      </c>
      <c r="D1098" s="83">
        <f t="shared" si="215"/>
        <v>281.0162499999999</v>
      </c>
      <c r="E1098" s="83">
        <f t="shared" si="215"/>
        <v>109.1005</v>
      </c>
      <c r="F1098" s="83">
        <f t="shared" si="215"/>
        <v>57.041666666666664</v>
      </c>
      <c r="G1098" s="83">
        <f t="shared" si="215"/>
        <v>40</v>
      </c>
      <c r="H1098" s="83">
        <f t="shared" si="215"/>
        <v>174.58333333333334</v>
      </c>
      <c r="I1098" s="83">
        <f t="shared" si="215"/>
        <v>0</v>
      </c>
      <c r="J1098" s="83">
        <f t="shared" si="215"/>
        <v>100</v>
      </c>
      <c r="K1098" s="83">
        <f t="shared" si="215"/>
        <v>300</v>
      </c>
      <c r="L1098" s="83">
        <f t="shared" si="215"/>
        <v>1216.5</v>
      </c>
      <c r="M1098" s="85">
        <f t="shared" si="215"/>
        <v>600</v>
      </c>
      <c r="N1098" s="83">
        <f t="shared" si="215"/>
        <v>72.5</v>
      </c>
      <c r="O1098" s="86">
        <f t="shared" si="215"/>
        <v>240</v>
      </c>
      <c r="P1098" s="86">
        <f t="shared" si="215"/>
        <v>110</v>
      </c>
      <c r="Q1098" s="86">
        <f t="shared" si="215"/>
        <v>245</v>
      </c>
      <c r="R1098" s="86">
        <f t="shared" si="215"/>
        <v>100</v>
      </c>
      <c r="S1098" s="83">
        <f t="shared" si="215"/>
        <v>695</v>
      </c>
      <c r="T1098" s="83">
        <f t="shared" si="215"/>
        <v>33.333333333333336</v>
      </c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</row>
    <row r="1099" spans="1:30" ht="15" x14ac:dyDescent="0.2">
      <c r="A1099" s="10">
        <f t="shared" si="210"/>
        <v>2043</v>
      </c>
      <c r="B1099" s="10">
        <f t="shared" si="180"/>
        <v>365</v>
      </c>
      <c r="C1099" s="83">
        <f t="shared" ref="C1099:T1099" si="216">AVERAGE(C372:C383)</f>
        <v>154.75825</v>
      </c>
      <c r="D1099" s="83">
        <f t="shared" si="216"/>
        <v>281.0162499999999</v>
      </c>
      <c r="E1099" s="83">
        <f t="shared" si="216"/>
        <v>109.1005</v>
      </c>
      <c r="F1099" s="83">
        <f t="shared" si="216"/>
        <v>57.041666666666664</v>
      </c>
      <c r="G1099" s="83">
        <f t="shared" si="216"/>
        <v>40</v>
      </c>
      <c r="H1099" s="83">
        <f t="shared" si="216"/>
        <v>174.58333333333334</v>
      </c>
      <c r="I1099" s="83">
        <f t="shared" si="216"/>
        <v>0</v>
      </c>
      <c r="J1099" s="83">
        <f t="shared" si="216"/>
        <v>100</v>
      </c>
      <c r="K1099" s="83">
        <f t="shared" si="216"/>
        <v>300</v>
      </c>
      <c r="L1099" s="83">
        <f t="shared" si="216"/>
        <v>1216.5</v>
      </c>
      <c r="M1099" s="85">
        <f t="shared" si="216"/>
        <v>600</v>
      </c>
      <c r="N1099" s="83">
        <f t="shared" si="216"/>
        <v>72.5</v>
      </c>
      <c r="O1099" s="86">
        <f t="shared" si="216"/>
        <v>240</v>
      </c>
      <c r="P1099" s="86">
        <f t="shared" si="216"/>
        <v>110</v>
      </c>
      <c r="Q1099" s="86">
        <f t="shared" si="216"/>
        <v>245</v>
      </c>
      <c r="R1099" s="86">
        <f t="shared" si="216"/>
        <v>100</v>
      </c>
      <c r="S1099" s="83">
        <f t="shared" si="216"/>
        <v>695</v>
      </c>
      <c r="T1099" s="83">
        <f t="shared" si="216"/>
        <v>33.333333333333336</v>
      </c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</row>
    <row r="1100" spans="1:30" ht="15" x14ac:dyDescent="0.2">
      <c r="A1100" s="10">
        <f t="shared" si="210"/>
        <v>2044</v>
      </c>
      <c r="B1100" s="10">
        <f t="shared" si="180"/>
        <v>366</v>
      </c>
      <c r="C1100" s="83">
        <f t="shared" ref="C1100:T1100" si="217">AVERAGE(C384:C395)</f>
        <v>154.75825</v>
      </c>
      <c r="D1100" s="83">
        <f t="shared" si="217"/>
        <v>281.0162499999999</v>
      </c>
      <c r="E1100" s="83">
        <f t="shared" si="217"/>
        <v>109.1005</v>
      </c>
      <c r="F1100" s="83">
        <f t="shared" si="217"/>
        <v>57.041666666666664</v>
      </c>
      <c r="G1100" s="83">
        <f t="shared" si="217"/>
        <v>40</v>
      </c>
      <c r="H1100" s="83">
        <f t="shared" si="217"/>
        <v>174.58333333333334</v>
      </c>
      <c r="I1100" s="83">
        <f t="shared" si="217"/>
        <v>0</v>
      </c>
      <c r="J1100" s="83">
        <f t="shared" si="217"/>
        <v>100</v>
      </c>
      <c r="K1100" s="83">
        <f t="shared" si="217"/>
        <v>300</v>
      </c>
      <c r="L1100" s="83">
        <f t="shared" si="217"/>
        <v>1216.5</v>
      </c>
      <c r="M1100" s="85">
        <f t="shared" si="217"/>
        <v>600</v>
      </c>
      <c r="N1100" s="83">
        <f t="shared" si="217"/>
        <v>72.5</v>
      </c>
      <c r="O1100" s="86">
        <f t="shared" si="217"/>
        <v>240</v>
      </c>
      <c r="P1100" s="86">
        <f t="shared" si="217"/>
        <v>110</v>
      </c>
      <c r="Q1100" s="86">
        <f t="shared" si="217"/>
        <v>245</v>
      </c>
      <c r="R1100" s="86">
        <f t="shared" si="217"/>
        <v>100</v>
      </c>
      <c r="S1100" s="83">
        <f t="shared" si="217"/>
        <v>695</v>
      </c>
      <c r="T1100" s="83">
        <f t="shared" si="217"/>
        <v>33.333333333333336</v>
      </c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</row>
    <row r="1101" spans="1:30" ht="15" x14ac:dyDescent="0.2">
      <c r="A1101" s="10">
        <f t="shared" si="210"/>
        <v>2045</v>
      </c>
      <c r="B1101" s="10">
        <f t="shared" ref="B1101:B1132" si="218">DATE(A1101+1,1,1)-DATE(A1101,1,1)</f>
        <v>365</v>
      </c>
      <c r="C1101" s="83">
        <f t="shared" ref="C1101:T1101" si="219">AVERAGE(C396:C407)</f>
        <v>154.75825</v>
      </c>
      <c r="D1101" s="83">
        <f t="shared" si="219"/>
        <v>281.0162499999999</v>
      </c>
      <c r="E1101" s="83">
        <f t="shared" si="219"/>
        <v>109.1005</v>
      </c>
      <c r="F1101" s="83">
        <f t="shared" si="219"/>
        <v>57.041666666666664</v>
      </c>
      <c r="G1101" s="83">
        <f t="shared" si="219"/>
        <v>40</v>
      </c>
      <c r="H1101" s="83">
        <f t="shared" si="219"/>
        <v>174.58333333333334</v>
      </c>
      <c r="I1101" s="83">
        <f t="shared" si="219"/>
        <v>0</v>
      </c>
      <c r="J1101" s="83">
        <f t="shared" si="219"/>
        <v>100</v>
      </c>
      <c r="K1101" s="83">
        <f t="shared" si="219"/>
        <v>300</v>
      </c>
      <c r="L1101" s="83">
        <f t="shared" si="219"/>
        <v>1216.5</v>
      </c>
      <c r="M1101" s="85">
        <f t="shared" si="219"/>
        <v>600</v>
      </c>
      <c r="N1101" s="83">
        <f t="shared" si="219"/>
        <v>72.5</v>
      </c>
      <c r="O1101" s="86">
        <f t="shared" si="219"/>
        <v>240</v>
      </c>
      <c r="P1101" s="86">
        <f t="shared" si="219"/>
        <v>110</v>
      </c>
      <c r="Q1101" s="86">
        <f t="shared" si="219"/>
        <v>245</v>
      </c>
      <c r="R1101" s="86">
        <f t="shared" si="219"/>
        <v>100</v>
      </c>
      <c r="S1101" s="83">
        <f t="shared" si="219"/>
        <v>695</v>
      </c>
      <c r="T1101" s="83">
        <f t="shared" si="219"/>
        <v>33.333333333333336</v>
      </c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</row>
    <row r="1102" spans="1:30" ht="15" x14ac:dyDescent="0.2">
      <c r="A1102" s="10">
        <f t="shared" si="210"/>
        <v>2046</v>
      </c>
      <c r="B1102" s="10">
        <f t="shared" si="218"/>
        <v>365</v>
      </c>
      <c r="C1102" s="83">
        <f t="shared" ref="C1102:T1102" si="220">AVERAGE(C408:C419)</f>
        <v>154.75825</v>
      </c>
      <c r="D1102" s="83">
        <f t="shared" si="220"/>
        <v>281.0162499999999</v>
      </c>
      <c r="E1102" s="83">
        <f t="shared" si="220"/>
        <v>109.1005</v>
      </c>
      <c r="F1102" s="83">
        <f t="shared" si="220"/>
        <v>57.041666666666664</v>
      </c>
      <c r="G1102" s="83">
        <f t="shared" si="220"/>
        <v>40</v>
      </c>
      <c r="H1102" s="83">
        <f t="shared" si="220"/>
        <v>174.58333333333334</v>
      </c>
      <c r="I1102" s="83">
        <f t="shared" si="220"/>
        <v>0</v>
      </c>
      <c r="J1102" s="83">
        <f t="shared" si="220"/>
        <v>100</v>
      </c>
      <c r="K1102" s="83">
        <f t="shared" si="220"/>
        <v>300</v>
      </c>
      <c r="L1102" s="83">
        <f t="shared" si="220"/>
        <v>1216.5</v>
      </c>
      <c r="M1102" s="85">
        <f t="shared" si="220"/>
        <v>600</v>
      </c>
      <c r="N1102" s="83">
        <f t="shared" si="220"/>
        <v>72.5</v>
      </c>
      <c r="O1102" s="86">
        <f t="shared" si="220"/>
        <v>240</v>
      </c>
      <c r="P1102" s="86">
        <f t="shared" si="220"/>
        <v>110</v>
      </c>
      <c r="Q1102" s="86">
        <f t="shared" si="220"/>
        <v>245</v>
      </c>
      <c r="R1102" s="86">
        <f t="shared" si="220"/>
        <v>100</v>
      </c>
      <c r="S1102" s="83">
        <f t="shared" si="220"/>
        <v>695</v>
      </c>
      <c r="T1102" s="83">
        <f t="shared" si="220"/>
        <v>33.333333333333336</v>
      </c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</row>
    <row r="1103" spans="1:30" ht="15" x14ac:dyDescent="0.2">
      <c r="A1103" s="10">
        <f t="shared" si="210"/>
        <v>2047</v>
      </c>
      <c r="B1103" s="10">
        <f t="shared" si="218"/>
        <v>365</v>
      </c>
      <c r="C1103" s="83">
        <f t="shared" ref="C1103:T1103" si="221">AVERAGE(C420:C431)</f>
        <v>154.75825</v>
      </c>
      <c r="D1103" s="83">
        <f t="shared" si="221"/>
        <v>281.0162499999999</v>
      </c>
      <c r="E1103" s="83">
        <f t="shared" si="221"/>
        <v>109.1005</v>
      </c>
      <c r="F1103" s="83">
        <f t="shared" si="221"/>
        <v>57.041666666666664</v>
      </c>
      <c r="G1103" s="83">
        <f t="shared" si="221"/>
        <v>40</v>
      </c>
      <c r="H1103" s="83">
        <f t="shared" si="221"/>
        <v>174.58333333333334</v>
      </c>
      <c r="I1103" s="83">
        <f t="shared" si="221"/>
        <v>0</v>
      </c>
      <c r="J1103" s="83">
        <f t="shared" si="221"/>
        <v>100</v>
      </c>
      <c r="K1103" s="83">
        <f t="shared" si="221"/>
        <v>300</v>
      </c>
      <c r="L1103" s="83">
        <f t="shared" si="221"/>
        <v>1216.5</v>
      </c>
      <c r="M1103" s="85">
        <f t="shared" si="221"/>
        <v>600</v>
      </c>
      <c r="N1103" s="83">
        <f t="shared" si="221"/>
        <v>72.5</v>
      </c>
      <c r="O1103" s="86">
        <f t="shared" si="221"/>
        <v>240</v>
      </c>
      <c r="P1103" s="86">
        <f t="shared" si="221"/>
        <v>110</v>
      </c>
      <c r="Q1103" s="86">
        <f t="shared" si="221"/>
        <v>245</v>
      </c>
      <c r="R1103" s="86">
        <f t="shared" si="221"/>
        <v>100</v>
      </c>
      <c r="S1103" s="83">
        <f t="shared" si="221"/>
        <v>695</v>
      </c>
      <c r="T1103" s="83">
        <f t="shared" si="221"/>
        <v>33.333333333333336</v>
      </c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</row>
    <row r="1104" spans="1:30" ht="15" x14ac:dyDescent="0.2">
      <c r="A1104" s="10">
        <f t="shared" si="210"/>
        <v>2048</v>
      </c>
      <c r="B1104" s="10">
        <f t="shared" si="218"/>
        <v>366</v>
      </c>
      <c r="C1104" s="83">
        <f t="shared" ref="C1104:T1104" si="222">AVERAGE(C432:C443)</f>
        <v>154.75825</v>
      </c>
      <c r="D1104" s="83">
        <f t="shared" si="222"/>
        <v>281.0162499999999</v>
      </c>
      <c r="E1104" s="83">
        <f t="shared" si="222"/>
        <v>109.1005</v>
      </c>
      <c r="F1104" s="83">
        <f t="shared" si="222"/>
        <v>57.041666666666664</v>
      </c>
      <c r="G1104" s="83">
        <f t="shared" si="222"/>
        <v>40</v>
      </c>
      <c r="H1104" s="83">
        <f t="shared" si="222"/>
        <v>174.58333333333334</v>
      </c>
      <c r="I1104" s="83">
        <f t="shared" si="222"/>
        <v>0</v>
      </c>
      <c r="J1104" s="83">
        <f t="shared" si="222"/>
        <v>100</v>
      </c>
      <c r="K1104" s="83">
        <f t="shared" si="222"/>
        <v>300</v>
      </c>
      <c r="L1104" s="83">
        <f t="shared" si="222"/>
        <v>1216.5</v>
      </c>
      <c r="M1104" s="85">
        <f t="shared" si="222"/>
        <v>600</v>
      </c>
      <c r="N1104" s="83">
        <f t="shared" si="222"/>
        <v>72.5</v>
      </c>
      <c r="O1104" s="86">
        <f t="shared" si="222"/>
        <v>240</v>
      </c>
      <c r="P1104" s="86">
        <f t="shared" si="222"/>
        <v>110</v>
      </c>
      <c r="Q1104" s="86">
        <f t="shared" si="222"/>
        <v>245</v>
      </c>
      <c r="R1104" s="86">
        <f t="shared" si="222"/>
        <v>100</v>
      </c>
      <c r="S1104" s="83">
        <f t="shared" si="222"/>
        <v>695</v>
      </c>
      <c r="T1104" s="83">
        <f t="shared" si="222"/>
        <v>33.333333333333336</v>
      </c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</row>
    <row r="1105" spans="1:30" ht="15" x14ac:dyDescent="0.2">
      <c r="A1105" s="10">
        <f t="shared" si="210"/>
        <v>2049</v>
      </c>
      <c r="B1105" s="10">
        <f t="shared" si="218"/>
        <v>365</v>
      </c>
      <c r="C1105" s="83">
        <f t="shared" ref="C1105:T1105" si="223">AVERAGE(C444:C455)</f>
        <v>154.75825</v>
      </c>
      <c r="D1105" s="83">
        <f t="shared" si="223"/>
        <v>281.0162499999999</v>
      </c>
      <c r="E1105" s="83">
        <f t="shared" si="223"/>
        <v>109.1005</v>
      </c>
      <c r="F1105" s="83">
        <f t="shared" si="223"/>
        <v>57.041666666666664</v>
      </c>
      <c r="G1105" s="83">
        <f t="shared" si="223"/>
        <v>40</v>
      </c>
      <c r="H1105" s="83">
        <f t="shared" si="223"/>
        <v>174.58333333333334</v>
      </c>
      <c r="I1105" s="83">
        <f t="shared" si="223"/>
        <v>0</v>
      </c>
      <c r="J1105" s="83">
        <f t="shared" si="223"/>
        <v>100</v>
      </c>
      <c r="K1105" s="83">
        <f t="shared" si="223"/>
        <v>300</v>
      </c>
      <c r="L1105" s="83">
        <f t="shared" si="223"/>
        <v>1216.5</v>
      </c>
      <c r="M1105" s="85">
        <f t="shared" si="223"/>
        <v>600</v>
      </c>
      <c r="N1105" s="83">
        <f t="shared" si="223"/>
        <v>72.5</v>
      </c>
      <c r="O1105" s="86">
        <f t="shared" si="223"/>
        <v>240</v>
      </c>
      <c r="P1105" s="86">
        <f t="shared" si="223"/>
        <v>110</v>
      </c>
      <c r="Q1105" s="86">
        <f t="shared" si="223"/>
        <v>245</v>
      </c>
      <c r="R1105" s="86">
        <f t="shared" si="223"/>
        <v>100</v>
      </c>
      <c r="S1105" s="83">
        <f t="shared" si="223"/>
        <v>695</v>
      </c>
      <c r="T1105" s="83">
        <f t="shared" si="223"/>
        <v>33.333333333333336</v>
      </c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</row>
    <row r="1106" spans="1:30" ht="15" x14ac:dyDescent="0.2">
      <c r="A1106" s="10">
        <f t="shared" si="210"/>
        <v>2050</v>
      </c>
      <c r="B1106" s="10">
        <f t="shared" si="218"/>
        <v>365</v>
      </c>
      <c r="C1106" s="83">
        <f t="shared" ref="C1106:T1106" si="224">AVERAGE(C456:C467)</f>
        <v>154.75825</v>
      </c>
      <c r="D1106" s="83">
        <f t="shared" si="224"/>
        <v>281.0162499999999</v>
      </c>
      <c r="E1106" s="83">
        <f t="shared" si="224"/>
        <v>109.1005</v>
      </c>
      <c r="F1106" s="83">
        <f t="shared" si="224"/>
        <v>57.041666666666664</v>
      </c>
      <c r="G1106" s="83">
        <f t="shared" si="224"/>
        <v>40</v>
      </c>
      <c r="H1106" s="83">
        <f t="shared" si="224"/>
        <v>174.58333333333334</v>
      </c>
      <c r="I1106" s="83">
        <f t="shared" si="224"/>
        <v>0</v>
      </c>
      <c r="J1106" s="83">
        <f t="shared" si="224"/>
        <v>100</v>
      </c>
      <c r="K1106" s="83">
        <f t="shared" si="224"/>
        <v>300</v>
      </c>
      <c r="L1106" s="83">
        <f t="shared" si="224"/>
        <v>1216.5</v>
      </c>
      <c r="M1106" s="85">
        <f t="shared" si="224"/>
        <v>600</v>
      </c>
      <c r="N1106" s="83">
        <f t="shared" si="224"/>
        <v>72.5</v>
      </c>
      <c r="O1106" s="86">
        <f t="shared" si="224"/>
        <v>240</v>
      </c>
      <c r="P1106" s="86">
        <f t="shared" si="224"/>
        <v>110</v>
      </c>
      <c r="Q1106" s="86">
        <f t="shared" si="224"/>
        <v>245</v>
      </c>
      <c r="R1106" s="86">
        <f t="shared" si="224"/>
        <v>100</v>
      </c>
      <c r="S1106" s="83">
        <f t="shared" si="224"/>
        <v>695</v>
      </c>
      <c r="T1106" s="83">
        <f t="shared" si="224"/>
        <v>33.333333333333336</v>
      </c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</row>
    <row r="1107" spans="1:30" ht="15" x14ac:dyDescent="0.2">
      <c r="A1107" s="10">
        <f t="shared" si="210"/>
        <v>2051</v>
      </c>
      <c r="B1107" s="10">
        <f t="shared" si="218"/>
        <v>365</v>
      </c>
      <c r="C1107" s="83">
        <f t="shared" ref="C1107:T1107" si="225">AVERAGE(C468:C479)</f>
        <v>154.75825</v>
      </c>
      <c r="D1107" s="83">
        <f t="shared" si="225"/>
        <v>281.0162499999999</v>
      </c>
      <c r="E1107" s="83">
        <f t="shared" si="225"/>
        <v>109.1005</v>
      </c>
      <c r="F1107" s="83">
        <f t="shared" si="225"/>
        <v>57.041666666666664</v>
      </c>
      <c r="G1107" s="83">
        <f t="shared" si="225"/>
        <v>40</v>
      </c>
      <c r="H1107" s="83">
        <f t="shared" si="225"/>
        <v>174.58333333333334</v>
      </c>
      <c r="I1107" s="83">
        <f t="shared" si="225"/>
        <v>0</v>
      </c>
      <c r="J1107" s="83">
        <f t="shared" si="225"/>
        <v>100</v>
      </c>
      <c r="K1107" s="83">
        <f t="shared" si="225"/>
        <v>300</v>
      </c>
      <c r="L1107" s="83">
        <f t="shared" si="225"/>
        <v>1216.5</v>
      </c>
      <c r="M1107" s="85">
        <f t="shared" si="225"/>
        <v>600</v>
      </c>
      <c r="N1107" s="83">
        <f t="shared" si="225"/>
        <v>72.5</v>
      </c>
      <c r="O1107" s="86">
        <f t="shared" si="225"/>
        <v>240</v>
      </c>
      <c r="P1107" s="86">
        <f t="shared" si="225"/>
        <v>110</v>
      </c>
      <c r="Q1107" s="86">
        <f t="shared" si="225"/>
        <v>245</v>
      </c>
      <c r="R1107" s="86">
        <f t="shared" si="225"/>
        <v>100</v>
      </c>
      <c r="S1107" s="83">
        <f t="shared" si="225"/>
        <v>695</v>
      </c>
      <c r="T1107" s="83">
        <f t="shared" si="225"/>
        <v>33.333333333333336</v>
      </c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</row>
    <row r="1108" spans="1:30" ht="15" x14ac:dyDescent="0.2">
      <c r="A1108" s="10">
        <f t="shared" si="210"/>
        <v>2052</v>
      </c>
      <c r="B1108" s="10">
        <f t="shared" si="218"/>
        <v>366</v>
      </c>
      <c r="C1108" s="83">
        <f t="shared" ref="C1108:T1108" si="226">AVERAGE(C480:C491)</f>
        <v>154.75825</v>
      </c>
      <c r="D1108" s="83">
        <f t="shared" si="226"/>
        <v>281.0162499999999</v>
      </c>
      <c r="E1108" s="83">
        <f t="shared" si="226"/>
        <v>109.1005</v>
      </c>
      <c r="F1108" s="83">
        <f t="shared" si="226"/>
        <v>57.041666666666664</v>
      </c>
      <c r="G1108" s="83">
        <f t="shared" si="226"/>
        <v>40</v>
      </c>
      <c r="H1108" s="83">
        <f t="shared" si="226"/>
        <v>174.58333333333334</v>
      </c>
      <c r="I1108" s="83">
        <f t="shared" si="226"/>
        <v>0</v>
      </c>
      <c r="J1108" s="83">
        <f t="shared" si="226"/>
        <v>100</v>
      </c>
      <c r="K1108" s="83">
        <f t="shared" si="226"/>
        <v>300</v>
      </c>
      <c r="L1108" s="83">
        <f t="shared" si="226"/>
        <v>1216.5</v>
      </c>
      <c r="M1108" s="85">
        <f t="shared" si="226"/>
        <v>600</v>
      </c>
      <c r="N1108" s="83">
        <f t="shared" si="226"/>
        <v>72.5</v>
      </c>
      <c r="O1108" s="86">
        <f t="shared" si="226"/>
        <v>240</v>
      </c>
      <c r="P1108" s="86">
        <f t="shared" si="226"/>
        <v>110</v>
      </c>
      <c r="Q1108" s="86">
        <f t="shared" si="226"/>
        <v>245</v>
      </c>
      <c r="R1108" s="86">
        <f t="shared" si="226"/>
        <v>100</v>
      </c>
      <c r="S1108" s="83">
        <f t="shared" si="226"/>
        <v>695</v>
      </c>
      <c r="T1108" s="83">
        <f t="shared" si="226"/>
        <v>33.333333333333336</v>
      </c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</row>
    <row r="1109" spans="1:30" ht="15" x14ac:dyDescent="0.2">
      <c r="A1109" s="10">
        <f t="shared" si="210"/>
        <v>2053</v>
      </c>
      <c r="B1109" s="10">
        <f t="shared" si="218"/>
        <v>365</v>
      </c>
      <c r="C1109" s="83">
        <f t="shared" ref="C1109:T1109" si="227">AVERAGE(C492:C503)</f>
        <v>154.75825</v>
      </c>
      <c r="D1109" s="83">
        <f t="shared" si="227"/>
        <v>281.0162499999999</v>
      </c>
      <c r="E1109" s="83">
        <f t="shared" si="227"/>
        <v>109.1005</v>
      </c>
      <c r="F1109" s="83">
        <f t="shared" si="227"/>
        <v>57.041666666666664</v>
      </c>
      <c r="G1109" s="83">
        <f t="shared" si="227"/>
        <v>40</v>
      </c>
      <c r="H1109" s="83">
        <f t="shared" si="227"/>
        <v>174.58333333333334</v>
      </c>
      <c r="I1109" s="83">
        <f t="shared" si="227"/>
        <v>0</v>
      </c>
      <c r="J1109" s="83">
        <f t="shared" si="227"/>
        <v>100</v>
      </c>
      <c r="K1109" s="83">
        <f t="shared" si="227"/>
        <v>300</v>
      </c>
      <c r="L1109" s="83">
        <f t="shared" si="227"/>
        <v>1216.5</v>
      </c>
      <c r="M1109" s="85">
        <f t="shared" si="227"/>
        <v>600</v>
      </c>
      <c r="N1109" s="83">
        <f t="shared" si="227"/>
        <v>72.5</v>
      </c>
      <c r="O1109" s="86">
        <f t="shared" si="227"/>
        <v>240</v>
      </c>
      <c r="P1109" s="86">
        <f t="shared" si="227"/>
        <v>110</v>
      </c>
      <c r="Q1109" s="86">
        <f t="shared" si="227"/>
        <v>245</v>
      </c>
      <c r="R1109" s="86">
        <f t="shared" si="227"/>
        <v>100</v>
      </c>
      <c r="S1109" s="83">
        <f t="shared" si="227"/>
        <v>695</v>
      </c>
      <c r="T1109" s="83">
        <f t="shared" si="227"/>
        <v>33.333333333333336</v>
      </c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</row>
    <row r="1110" spans="1:30" ht="15" x14ac:dyDescent="0.2">
      <c r="A1110" s="10">
        <f t="shared" si="210"/>
        <v>2054</v>
      </c>
      <c r="B1110" s="10">
        <f t="shared" si="218"/>
        <v>365</v>
      </c>
      <c r="C1110" s="83">
        <f t="shared" ref="C1110:T1110" si="228">AVERAGE(C504:C515)</f>
        <v>154.75825</v>
      </c>
      <c r="D1110" s="83">
        <f t="shared" si="228"/>
        <v>281.0162499999999</v>
      </c>
      <c r="E1110" s="83">
        <f t="shared" si="228"/>
        <v>109.1005</v>
      </c>
      <c r="F1110" s="83">
        <f t="shared" si="228"/>
        <v>57.041666666666664</v>
      </c>
      <c r="G1110" s="83">
        <f t="shared" si="228"/>
        <v>40</v>
      </c>
      <c r="H1110" s="83">
        <f t="shared" si="228"/>
        <v>174.58333333333334</v>
      </c>
      <c r="I1110" s="83">
        <f t="shared" si="228"/>
        <v>0</v>
      </c>
      <c r="J1110" s="83">
        <f t="shared" si="228"/>
        <v>100</v>
      </c>
      <c r="K1110" s="83">
        <f t="shared" si="228"/>
        <v>300</v>
      </c>
      <c r="L1110" s="83">
        <f t="shared" si="228"/>
        <v>1216.5</v>
      </c>
      <c r="M1110" s="85">
        <f t="shared" si="228"/>
        <v>600</v>
      </c>
      <c r="N1110" s="83">
        <f t="shared" si="228"/>
        <v>72.5</v>
      </c>
      <c r="O1110" s="83">
        <f t="shared" si="228"/>
        <v>240</v>
      </c>
      <c r="P1110" s="83">
        <f t="shared" si="228"/>
        <v>110</v>
      </c>
      <c r="Q1110" s="83">
        <f t="shared" si="228"/>
        <v>245</v>
      </c>
      <c r="R1110" s="83">
        <f t="shared" si="228"/>
        <v>100</v>
      </c>
      <c r="S1110" s="83">
        <f t="shared" si="228"/>
        <v>695</v>
      </c>
      <c r="T1110" s="83">
        <f t="shared" si="228"/>
        <v>33.333333333333336</v>
      </c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</row>
    <row r="1111" spans="1:30" ht="15" x14ac:dyDescent="0.2">
      <c r="A1111" s="10">
        <f t="shared" si="210"/>
        <v>2055</v>
      </c>
      <c r="B1111" s="10">
        <f t="shared" si="218"/>
        <v>365</v>
      </c>
      <c r="C1111" s="83">
        <f t="shared" ref="C1111:T1111" si="229">AVERAGE(C505:C516)</f>
        <v>154.75825</v>
      </c>
      <c r="D1111" s="83">
        <f t="shared" si="229"/>
        <v>281.0162499999999</v>
      </c>
      <c r="E1111" s="83">
        <f t="shared" si="229"/>
        <v>109.1005</v>
      </c>
      <c r="F1111" s="83">
        <f t="shared" si="229"/>
        <v>57.041666666666657</v>
      </c>
      <c r="G1111" s="83">
        <f t="shared" si="229"/>
        <v>40</v>
      </c>
      <c r="H1111" s="83">
        <f t="shared" si="229"/>
        <v>174.58333333333334</v>
      </c>
      <c r="I1111" s="83">
        <f t="shared" si="229"/>
        <v>0</v>
      </c>
      <c r="J1111" s="83">
        <f t="shared" si="229"/>
        <v>100</v>
      </c>
      <c r="K1111" s="83">
        <f t="shared" si="229"/>
        <v>300</v>
      </c>
      <c r="L1111" s="83">
        <f t="shared" si="229"/>
        <v>1216.5</v>
      </c>
      <c r="M1111" s="85">
        <f t="shared" si="229"/>
        <v>600</v>
      </c>
      <c r="N1111" s="83">
        <f t="shared" si="229"/>
        <v>72.5</v>
      </c>
      <c r="O1111" s="83">
        <f t="shared" si="229"/>
        <v>240</v>
      </c>
      <c r="P1111" s="83">
        <f t="shared" si="229"/>
        <v>110</v>
      </c>
      <c r="Q1111" s="83">
        <f t="shared" si="229"/>
        <v>245</v>
      </c>
      <c r="R1111" s="83">
        <f t="shared" si="229"/>
        <v>100</v>
      </c>
      <c r="S1111" s="83">
        <f t="shared" si="229"/>
        <v>695</v>
      </c>
      <c r="T1111" s="83">
        <f t="shared" si="229"/>
        <v>33.333333333333336</v>
      </c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</row>
    <row r="1112" spans="1:30" ht="15" x14ac:dyDescent="0.2">
      <c r="A1112" s="10">
        <f t="shared" si="210"/>
        <v>2056</v>
      </c>
      <c r="B1112" s="10">
        <f t="shared" si="218"/>
        <v>366</v>
      </c>
      <c r="C1112" s="83">
        <f t="shared" ref="C1112:T1112" si="230">AVERAGE(C506:C517)</f>
        <v>154.75824999999998</v>
      </c>
      <c r="D1112" s="83">
        <f t="shared" si="230"/>
        <v>281.0162499999999</v>
      </c>
      <c r="E1112" s="83">
        <f t="shared" si="230"/>
        <v>109.1005</v>
      </c>
      <c r="F1112" s="83">
        <f t="shared" si="230"/>
        <v>57.041666666666664</v>
      </c>
      <c r="G1112" s="83">
        <f t="shared" si="230"/>
        <v>40</v>
      </c>
      <c r="H1112" s="83">
        <f t="shared" si="230"/>
        <v>174.58333333333334</v>
      </c>
      <c r="I1112" s="83">
        <f t="shared" si="230"/>
        <v>0</v>
      </c>
      <c r="J1112" s="83">
        <f t="shared" si="230"/>
        <v>100</v>
      </c>
      <c r="K1112" s="83">
        <f t="shared" si="230"/>
        <v>300</v>
      </c>
      <c r="L1112" s="83">
        <f t="shared" si="230"/>
        <v>1216.5</v>
      </c>
      <c r="M1112" s="85">
        <f t="shared" si="230"/>
        <v>600</v>
      </c>
      <c r="N1112" s="83">
        <f t="shared" si="230"/>
        <v>72.5</v>
      </c>
      <c r="O1112" s="83">
        <f t="shared" si="230"/>
        <v>240</v>
      </c>
      <c r="P1112" s="83">
        <f t="shared" si="230"/>
        <v>110</v>
      </c>
      <c r="Q1112" s="83">
        <f t="shared" si="230"/>
        <v>245</v>
      </c>
      <c r="R1112" s="83">
        <f t="shared" si="230"/>
        <v>100</v>
      </c>
      <c r="S1112" s="83">
        <f t="shared" si="230"/>
        <v>695</v>
      </c>
      <c r="T1112" s="83">
        <f t="shared" si="230"/>
        <v>33.333333333333336</v>
      </c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</row>
    <row r="1113" spans="1:30" ht="15" x14ac:dyDescent="0.2">
      <c r="A1113" s="10">
        <f t="shared" si="210"/>
        <v>2057</v>
      </c>
      <c r="B1113" s="10">
        <f t="shared" si="218"/>
        <v>365</v>
      </c>
      <c r="C1113" s="83">
        <f t="shared" ref="C1113:T1113" si="231">AVERAGE(C507:C518)</f>
        <v>154.75825</v>
      </c>
      <c r="D1113" s="83">
        <f t="shared" si="231"/>
        <v>281.0162499999999</v>
      </c>
      <c r="E1113" s="83">
        <f t="shared" si="231"/>
        <v>109.1005</v>
      </c>
      <c r="F1113" s="83">
        <f t="shared" si="231"/>
        <v>57.041666666666664</v>
      </c>
      <c r="G1113" s="83">
        <f t="shared" si="231"/>
        <v>40</v>
      </c>
      <c r="H1113" s="83">
        <f t="shared" si="231"/>
        <v>174.58333333333334</v>
      </c>
      <c r="I1113" s="83">
        <f t="shared" si="231"/>
        <v>0</v>
      </c>
      <c r="J1113" s="83">
        <f t="shared" si="231"/>
        <v>100</v>
      </c>
      <c r="K1113" s="83">
        <f t="shared" si="231"/>
        <v>300</v>
      </c>
      <c r="L1113" s="83">
        <f t="shared" si="231"/>
        <v>1216.5</v>
      </c>
      <c r="M1113" s="85">
        <f t="shared" si="231"/>
        <v>600</v>
      </c>
      <c r="N1113" s="83">
        <f t="shared" si="231"/>
        <v>72.5</v>
      </c>
      <c r="O1113" s="83">
        <f t="shared" si="231"/>
        <v>240</v>
      </c>
      <c r="P1113" s="83">
        <f t="shared" si="231"/>
        <v>110</v>
      </c>
      <c r="Q1113" s="83">
        <f t="shared" si="231"/>
        <v>245</v>
      </c>
      <c r="R1113" s="83">
        <f t="shared" si="231"/>
        <v>100</v>
      </c>
      <c r="S1113" s="83">
        <f t="shared" si="231"/>
        <v>695</v>
      </c>
      <c r="T1113" s="83">
        <f t="shared" si="231"/>
        <v>33.333333333333336</v>
      </c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</row>
    <row r="1114" spans="1:30" ht="15" x14ac:dyDescent="0.2">
      <c r="A1114" s="10">
        <f t="shared" si="210"/>
        <v>2058</v>
      </c>
      <c r="B1114" s="10">
        <f t="shared" si="218"/>
        <v>365</v>
      </c>
      <c r="C1114" s="83">
        <f t="shared" ref="C1114:T1114" si="232">AVERAGE(C508:C519)</f>
        <v>154.75824999999998</v>
      </c>
      <c r="D1114" s="83">
        <f t="shared" si="232"/>
        <v>281.01624999999996</v>
      </c>
      <c r="E1114" s="83">
        <f t="shared" si="232"/>
        <v>109.10050000000001</v>
      </c>
      <c r="F1114" s="83">
        <f t="shared" si="232"/>
        <v>57.041666666666664</v>
      </c>
      <c r="G1114" s="83">
        <f t="shared" si="232"/>
        <v>40</v>
      </c>
      <c r="H1114" s="83">
        <f t="shared" si="232"/>
        <v>174.58333333333334</v>
      </c>
      <c r="I1114" s="83">
        <f t="shared" si="232"/>
        <v>0</v>
      </c>
      <c r="J1114" s="83">
        <f t="shared" si="232"/>
        <v>100</v>
      </c>
      <c r="K1114" s="83">
        <f t="shared" si="232"/>
        <v>300</v>
      </c>
      <c r="L1114" s="83">
        <f t="shared" si="232"/>
        <v>1216.5</v>
      </c>
      <c r="M1114" s="85">
        <f t="shared" si="232"/>
        <v>600</v>
      </c>
      <c r="N1114" s="83">
        <f t="shared" si="232"/>
        <v>72.5</v>
      </c>
      <c r="O1114" s="83">
        <f t="shared" si="232"/>
        <v>240</v>
      </c>
      <c r="P1114" s="83">
        <f t="shared" si="232"/>
        <v>110</v>
      </c>
      <c r="Q1114" s="83">
        <f t="shared" si="232"/>
        <v>245</v>
      </c>
      <c r="R1114" s="83">
        <f t="shared" si="232"/>
        <v>100</v>
      </c>
      <c r="S1114" s="83">
        <f t="shared" si="232"/>
        <v>695</v>
      </c>
      <c r="T1114" s="83">
        <f t="shared" si="232"/>
        <v>33.333333333333336</v>
      </c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</row>
    <row r="1115" spans="1:30" ht="15" x14ac:dyDescent="0.2">
      <c r="A1115" s="10">
        <f t="shared" si="210"/>
        <v>2059</v>
      </c>
      <c r="B1115" s="10">
        <f t="shared" si="218"/>
        <v>365</v>
      </c>
      <c r="C1115" s="83">
        <f t="shared" ref="C1115:T1115" si="233">AVERAGE(C509:C520)</f>
        <v>154.75824999999998</v>
      </c>
      <c r="D1115" s="83">
        <f t="shared" si="233"/>
        <v>281.01624999999996</v>
      </c>
      <c r="E1115" s="83">
        <f t="shared" si="233"/>
        <v>109.10050000000001</v>
      </c>
      <c r="F1115" s="83">
        <f t="shared" si="233"/>
        <v>57.041666666666664</v>
      </c>
      <c r="G1115" s="83">
        <f t="shared" si="233"/>
        <v>40</v>
      </c>
      <c r="H1115" s="83">
        <f t="shared" si="233"/>
        <v>174.58333333333334</v>
      </c>
      <c r="I1115" s="83">
        <f t="shared" si="233"/>
        <v>0</v>
      </c>
      <c r="J1115" s="83">
        <f t="shared" si="233"/>
        <v>100</v>
      </c>
      <c r="K1115" s="83">
        <f t="shared" si="233"/>
        <v>300</v>
      </c>
      <c r="L1115" s="83">
        <f t="shared" si="233"/>
        <v>1216.5</v>
      </c>
      <c r="M1115" s="85">
        <f t="shared" si="233"/>
        <v>600</v>
      </c>
      <c r="N1115" s="83">
        <f t="shared" si="233"/>
        <v>72.5</v>
      </c>
      <c r="O1115" s="83">
        <f t="shared" si="233"/>
        <v>240</v>
      </c>
      <c r="P1115" s="83">
        <f t="shared" si="233"/>
        <v>110</v>
      </c>
      <c r="Q1115" s="83">
        <f t="shared" si="233"/>
        <v>245</v>
      </c>
      <c r="R1115" s="83">
        <f t="shared" si="233"/>
        <v>100</v>
      </c>
      <c r="S1115" s="83">
        <f t="shared" si="233"/>
        <v>695</v>
      </c>
      <c r="T1115" s="83">
        <f t="shared" si="233"/>
        <v>33.333333333333336</v>
      </c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</row>
    <row r="1116" spans="1:30" ht="15" x14ac:dyDescent="0.2">
      <c r="A1116" s="10">
        <f t="shared" si="210"/>
        <v>2060</v>
      </c>
      <c r="B1116" s="10">
        <f t="shared" si="218"/>
        <v>366</v>
      </c>
      <c r="C1116" s="83">
        <f t="shared" ref="C1116:T1116" si="234">AVERAGE(C510:C521)</f>
        <v>154.75824999999998</v>
      </c>
      <c r="D1116" s="83">
        <f t="shared" si="234"/>
        <v>281.01624999999996</v>
      </c>
      <c r="E1116" s="83">
        <f t="shared" si="234"/>
        <v>109.10050000000001</v>
      </c>
      <c r="F1116" s="83">
        <f t="shared" si="234"/>
        <v>57.041666666666664</v>
      </c>
      <c r="G1116" s="83">
        <f t="shared" si="234"/>
        <v>40</v>
      </c>
      <c r="H1116" s="83">
        <f t="shared" si="234"/>
        <v>174.58333333333334</v>
      </c>
      <c r="I1116" s="83">
        <f t="shared" si="234"/>
        <v>0</v>
      </c>
      <c r="J1116" s="83">
        <f t="shared" si="234"/>
        <v>100</v>
      </c>
      <c r="K1116" s="83">
        <f t="shared" si="234"/>
        <v>300</v>
      </c>
      <c r="L1116" s="83">
        <f t="shared" si="234"/>
        <v>1216.5</v>
      </c>
      <c r="M1116" s="85">
        <f t="shared" si="234"/>
        <v>600</v>
      </c>
      <c r="N1116" s="83">
        <f t="shared" si="234"/>
        <v>72.5</v>
      </c>
      <c r="O1116" s="83">
        <f t="shared" si="234"/>
        <v>240</v>
      </c>
      <c r="P1116" s="83">
        <f t="shared" si="234"/>
        <v>110</v>
      </c>
      <c r="Q1116" s="83">
        <f t="shared" si="234"/>
        <v>245</v>
      </c>
      <c r="R1116" s="83">
        <f t="shared" si="234"/>
        <v>100</v>
      </c>
      <c r="S1116" s="83">
        <f t="shared" si="234"/>
        <v>695</v>
      </c>
      <c r="T1116" s="83">
        <f t="shared" si="234"/>
        <v>33.333333333333336</v>
      </c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</row>
    <row r="1117" spans="1:30" ht="15" x14ac:dyDescent="0.2">
      <c r="A1117" s="10">
        <f t="shared" si="210"/>
        <v>2061</v>
      </c>
      <c r="B1117" s="10">
        <f t="shared" si="218"/>
        <v>365</v>
      </c>
      <c r="C1117" s="83">
        <f t="shared" ref="C1117:T1117" si="235">AVERAGE(C511:C522)</f>
        <v>154.75825</v>
      </c>
      <c r="D1117" s="83">
        <f t="shared" si="235"/>
        <v>281.01624999999996</v>
      </c>
      <c r="E1117" s="83">
        <f t="shared" si="235"/>
        <v>109.10050000000001</v>
      </c>
      <c r="F1117" s="83">
        <f t="shared" si="235"/>
        <v>57.04166666666665</v>
      </c>
      <c r="G1117" s="83">
        <f t="shared" si="235"/>
        <v>40</v>
      </c>
      <c r="H1117" s="83">
        <f t="shared" si="235"/>
        <v>174.58333333333334</v>
      </c>
      <c r="I1117" s="83">
        <f t="shared" si="235"/>
        <v>0</v>
      </c>
      <c r="J1117" s="83">
        <f t="shared" si="235"/>
        <v>100</v>
      </c>
      <c r="K1117" s="83">
        <f t="shared" si="235"/>
        <v>300</v>
      </c>
      <c r="L1117" s="83">
        <f t="shared" si="235"/>
        <v>1216.5</v>
      </c>
      <c r="M1117" s="85">
        <f t="shared" si="235"/>
        <v>600</v>
      </c>
      <c r="N1117" s="83">
        <f t="shared" si="235"/>
        <v>72.5</v>
      </c>
      <c r="O1117" s="83">
        <f t="shared" si="235"/>
        <v>240</v>
      </c>
      <c r="P1117" s="83">
        <f t="shared" si="235"/>
        <v>110</v>
      </c>
      <c r="Q1117" s="83">
        <f t="shared" si="235"/>
        <v>245</v>
      </c>
      <c r="R1117" s="83">
        <f t="shared" si="235"/>
        <v>100</v>
      </c>
      <c r="S1117" s="83">
        <f t="shared" si="235"/>
        <v>695</v>
      </c>
      <c r="T1117" s="83">
        <f t="shared" si="235"/>
        <v>33.333333333333336</v>
      </c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</row>
    <row r="1118" spans="1:30" ht="15" x14ac:dyDescent="0.2">
      <c r="A1118" s="10">
        <f t="shared" si="210"/>
        <v>2062</v>
      </c>
      <c r="B1118" s="10">
        <f t="shared" si="218"/>
        <v>365</v>
      </c>
      <c r="C1118" s="83">
        <f t="shared" ref="C1118:L1127" ca="1" si="236">AVERAGE(OFFSET(C$600,($A1118-$A$1118)*12,0,12,1))</f>
        <v>154.75825</v>
      </c>
      <c r="D1118" s="83">
        <f t="shared" ca="1" si="236"/>
        <v>281.0162499999999</v>
      </c>
      <c r="E1118" s="83">
        <f t="shared" ca="1" si="236"/>
        <v>109.1005</v>
      </c>
      <c r="F1118" s="83">
        <f t="shared" ca="1" si="236"/>
        <v>57.041666666666664</v>
      </c>
      <c r="G1118" s="83">
        <f t="shared" ca="1" si="236"/>
        <v>40</v>
      </c>
      <c r="H1118" s="83">
        <f t="shared" ca="1" si="236"/>
        <v>174.58333333333334</v>
      </c>
      <c r="I1118" s="83">
        <f t="shared" ca="1" si="236"/>
        <v>0</v>
      </c>
      <c r="J1118" s="83">
        <f t="shared" ca="1" si="236"/>
        <v>100</v>
      </c>
      <c r="K1118" s="83">
        <f t="shared" ca="1" si="236"/>
        <v>300</v>
      </c>
      <c r="L1118" s="83">
        <f t="shared" ca="1" si="236"/>
        <v>1216.5</v>
      </c>
      <c r="M1118" s="83">
        <f t="shared" ref="M1118:T1127" ca="1" si="237">AVERAGE(OFFSET(M$600,($A1118-$A$1118)*12,0,12,1))</f>
        <v>600</v>
      </c>
      <c r="N1118" s="83">
        <f t="shared" ca="1" si="237"/>
        <v>72.5</v>
      </c>
      <c r="O1118" s="83">
        <f t="shared" ca="1" si="237"/>
        <v>240</v>
      </c>
      <c r="P1118" s="83">
        <f t="shared" ca="1" si="237"/>
        <v>40</v>
      </c>
      <c r="Q1118" s="83">
        <f t="shared" ca="1" si="237"/>
        <v>315</v>
      </c>
      <c r="R1118" s="83">
        <f t="shared" ca="1" si="237"/>
        <v>100</v>
      </c>
      <c r="S1118" s="83">
        <f t="shared" ca="1" si="237"/>
        <v>695</v>
      </c>
      <c r="T1118" s="83">
        <f t="shared" ca="1" si="237"/>
        <v>33.333333333333336</v>
      </c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</row>
    <row r="1119" spans="1:30" ht="15" x14ac:dyDescent="0.2">
      <c r="A1119" s="10">
        <f t="shared" si="210"/>
        <v>2063</v>
      </c>
      <c r="B1119" s="10">
        <f t="shared" si="218"/>
        <v>365</v>
      </c>
      <c r="C1119" s="83">
        <f t="shared" ca="1" si="236"/>
        <v>154.75825</v>
      </c>
      <c r="D1119" s="83">
        <f t="shared" ca="1" si="236"/>
        <v>281.0162499999999</v>
      </c>
      <c r="E1119" s="83">
        <f t="shared" ca="1" si="236"/>
        <v>109.1005</v>
      </c>
      <c r="F1119" s="83">
        <f t="shared" ca="1" si="236"/>
        <v>57.041666666666664</v>
      </c>
      <c r="G1119" s="83">
        <f t="shared" ca="1" si="236"/>
        <v>40</v>
      </c>
      <c r="H1119" s="83">
        <f t="shared" ca="1" si="236"/>
        <v>174.58333333333334</v>
      </c>
      <c r="I1119" s="83">
        <f t="shared" ca="1" si="236"/>
        <v>0</v>
      </c>
      <c r="J1119" s="83">
        <f t="shared" ca="1" si="236"/>
        <v>100</v>
      </c>
      <c r="K1119" s="83">
        <f t="shared" ca="1" si="236"/>
        <v>300</v>
      </c>
      <c r="L1119" s="83">
        <f t="shared" ca="1" si="236"/>
        <v>1216.5</v>
      </c>
      <c r="M1119" s="83">
        <f t="shared" ca="1" si="237"/>
        <v>600</v>
      </c>
      <c r="N1119" s="83">
        <f t="shared" ca="1" si="237"/>
        <v>72.5</v>
      </c>
      <c r="O1119" s="83">
        <f t="shared" ca="1" si="237"/>
        <v>240</v>
      </c>
      <c r="P1119" s="83">
        <f t="shared" ca="1" si="237"/>
        <v>40</v>
      </c>
      <c r="Q1119" s="83">
        <f t="shared" ca="1" si="237"/>
        <v>315</v>
      </c>
      <c r="R1119" s="83">
        <f t="shared" ca="1" si="237"/>
        <v>100</v>
      </c>
      <c r="S1119" s="83">
        <f t="shared" ca="1" si="237"/>
        <v>695</v>
      </c>
      <c r="T1119" s="83">
        <f t="shared" ca="1" si="237"/>
        <v>33.333333333333336</v>
      </c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</row>
    <row r="1120" spans="1:30" ht="15" x14ac:dyDescent="0.2">
      <c r="A1120" s="10">
        <f t="shared" si="210"/>
        <v>2064</v>
      </c>
      <c r="B1120" s="10">
        <f t="shared" si="218"/>
        <v>366</v>
      </c>
      <c r="C1120" s="83">
        <f t="shared" ca="1" si="236"/>
        <v>154.75825</v>
      </c>
      <c r="D1120" s="83">
        <f t="shared" ca="1" si="236"/>
        <v>281.0162499999999</v>
      </c>
      <c r="E1120" s="83">
        <f t="shared" ca="1" si="236"/>
        <v>109.1005</v>
      </c>
      <c r="F1120" s="83">
        <f t="shared" ca="1" si="236"/>
        <v>57.041666666666664</v>
      </c>
      <c r="G1120" s="83">
        <f t="shared" ca="1" si="236"/>
        <v>40</v>
      </c>
      <c r="H1120" s="83">
        <f t="shared" ca="1" si="236"/>
        <v>174.58333333333334</v>
      </c>
      <c r="I1120" s="83">
        <f t="shared" ca="1" si="236"/>
        <v>0</v>
      </c>
      <c r="J1120" s="83">
        <f t="shared" ca="1" si="236"/>
        <v>100</v>
      </c>
      <c r="K1120" s="83">
        <f t="shared" ca="1" si="236"/>
        <v>300</v>
      </c>
      <c r="L1120" s="83">
        <f t="shared" ca="1" si="236"/>
        <v>1216.5</v>
      </c>
      <c r="M1120" s="83">
        <f t="shared" ca="1" si="237"/>
        <v>600</v>
      </c>
      <c r="N1120" s="83">
        <f t="shared" ca="1" si="237"/>
        <v>72.5</v>
      </c>
      <c r="O1120" s="83">
        <f t="shared" ca="1" si="237"/>
        <v>240</v>
      </c>
      <c r="P1120" s="83">
        <f t="shared" ca="1" si="237"/>
        <v>40</v>
      </c>
      <c r="Q1120" s="83">
        <f t="shared" ca="1" si="237"/>
        <v>315</v>
      </c>
      <c r="R1120" s="83">
        <f t="shared" ca="1" si="237"/>
        <v>100</v>
      </c>
      <c r="S1120" s="83">
        <f t="shared" ca="1" si="237"/>
        <v>695</v>
      </c>
      <c r="T1120" s="83">
        <f t="shared" ca="1" si="237"/>
        <v>33.333333333333336</v>
      </c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</row>
    <row r="1121" spans="1:30" ht="15" x14ac:dyDescent="0.2">
      <c r="A1121" s="10">
        <f t="shared" si="210"/>
        <v>2065</v>
      </c>
      <c r="B1121" s="10">
        <f t="shared" si="218"/>
        <v>365</v>
      </c>
      <c r="C1121" s="83">
        <f t="shared" ca="1" si="236"/>
        <v>154.75825</v>
      </c>
      <c r="D1121" s="83">
        <f t="shared" ca="1" si="236"/>
        <v>281.0162499999999</v>
      </c>
      <c r="E1121" s="83">
        <f t="shared" ca="1" si="236"/>
        <v>109.1005</v>
      </c>
      <c r="F1121" s="83">
        <f t="shared" ca="1" si="236"/>
        <v>57.041666666666664</v>
      </c>
      <c r="G1121" s="83">
        <f t="shared" ca="1" si="236"/>
        <v>40</v>
      </c>
      <c r="H1121" s="83">
        <f t="shared" ca="1" si="236"/>
        <v>174.58333333333334</v>
      </c>
      <c r="I1121" s="83">
        <f t="shared" ca="1" si="236"/>
        <v>0</v>
      </c>
      <c r="J1121" s="83">
        <f t="shared" ca="1" si="236"/>
        <v>100</v>
      </c>
      <c r="K1121" s="83">
        <f t="shared" ca="1" si="236"/>
        <v>300</v>
      </c>
      <c r="L1121" s="83">
        <f t="shared" ca="1" si="236"/>
        <v>1216.5</v>
      </c>
      <c r="M1121" s="83">
        <f t="shared" ca="1" si="237"/>
        <v>600</v>
      </c>
      <c r="N1121" s="83">
        <f t="shared" ca="1" si="237"/>
        <v>72.5</v>
      </c>
      <c r="O1121" s="83">
        <f t="shared" ca="1" si="237"/>
        <v>240</v>
      </c>
      <c r="P1121" s="83">
        <f t="shared" ca="1" si="237"/>
        <v>40</v>
      </c>
      <c r="Q1121" s="83">
        <f t="shared" ca="1" si="237"/>
        <v>315</v>
      </c>
      <c r="R1121" s="83">
        <f t="shared" ca="1" si="237"/>
        <v>100</v>
      </c>
      <c r="S1121" s="83">
        <f t="shared" ca="1" si="237"/>
        <v>695</v>
      </c>
      <c r="T1121" s="83">
        <f t="shared" ca="1" si="237"/>
        <v>33.333333333333336</v>
      </c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</row>
    <row r="1122" spans="1:30" ht="15" x14ac:dyDescent="0.2">
      <c r="A1122" s="10">
        <f t="shared" si="210"/>
        <v>2066</v>
      </c>
      <c r="B1122" s="10">
        <f t="shared" si="218"/>
        <v>365</v>
      </c>
      <c r="C1122" s="83">
        <f t="shared" ca="1" si="236"/>
        <v>154.75825</v>
      </c>
      <c r="D1122" s="83">
        <f t="shared" ca="1" si="236"/>
        <v>281.0162499999999</v>
      </c>
      <c r="E1122" s="83">
        <f t="shared" ca="1" si="236"/>
        <v>109.1005</v>
      </c>
      <c r="F1122" s="83">
        <f t="shared" ca="1" si="236"/>
        <v>57.041666666666664</v>
      </c>
      <c r="G1122" s="83">
        <f t="shared" ca="1" si="236"/>
        <v>40</v>
      </c>
      <c r="H1122" s="83">
        <f t="shared" ca="1" si="236"/>
        <v>174.58333333333334</v>
      </c>
      <c r="I1122" s="83">
        <f t="shared" ca="1" si="236"/>
        <v>0</v>
      </c>
      <c r="J1122" s="83">
        <f t="shared" ca="1" si="236"/>
        <v>100</v>
      </c>
      <c r="K1122" s="83">
        <f t="shared" ca="1" si="236"/>
        <v>300</v>
      </c>
      <c r="L1122" s="83">
        <f t="shared" ca="1" si="236"/>
        <v>1216.5</v>
      </c>
      <c r="M1122" s="83">
        <f t="shared" ca="1" si="237"/>
        <v>600</v>
      </c>
      <c r="N1122" s="83">
        <f t="shared" ca="1" si="237"/>
        <v>72.5</v>
      </c>
      <c r="O1122" s="83">
        <f t="shared" ca="1" si="237"/>
        <v>240</v>
      </c>
      <c r="P1122" s="83">
        <f t="shared" ca="1" si="237"/>
        <v>40</v>
      </c>
      <c r="Q1122" s="83">
        <f t="shared" ca="1" si="237"/>
        <v>315</v>
      </c>
      <c r="R1122" s="83">
        <f t="shared" ca="1" si="237"/>
        <v>100</v>
      </c>
      <c r="S1122" s="83">
        <f t="shared" ca="1" si="237"/>
        <v>695</v>
      </c>
      <c r="T1122" s="83">
        <f t="shared" ca="1" si="237"/>
        <v>33.333333333333336</v>
      </c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</row>
    <row r="1123" spans="1:30" ht="15" x14ac:dyDescent="0.2">
      <c r="A1123" s="10">
        <f t="shared" si="210"/>
        <v>2067</v>
      </c>
      <c r="B1123" s="10">
        <f t="shared" si="218"/>
        <v>365</v>
      </c>
      <c r="C1123" s="83">
        <f t="shared" ca="1" si="236"/>
        <v>154.75825</v>
      </c>
      <c r="D1123" s="83">
        <f t="shared" ca="1" si="236"/>
        <v>281.0162499999999</v>
      </c>
      <c r="E1123" s="83">
        <f t="shared" ca="1" si="236"/>
        <v>109.1005</v>
      </c>
      <c r="F1123" s="83">
        <f t="shared" ca="1" si="236"/>
        <v>57.041666666666664</v>
      </c>
      <c r="G1123" s="83">
        <f t="shared" ca="1" si="236"/>
        <v>40</v>
      </c>
      <c r="H1123" s="83">
        <f t="shared" ca="1" si="236"/>
        <v>174.58333333333334</v>
      </c>
      <c r="I1123" s="83">
        <f t="shared" ca="1" si="236"/>
        <v>0</v>
      </c>
      <c r="J1123" s="83">
        <f t="shared" ca="1" si="236"/>
        <v>100</v>
      </c>
      <c r="K1123" s="83">
        <f t="shared" ca="1" si="236"/>
        <v>300</v>
      </c>
      <c r="L1123" s="83">
        <f t="shared" ca="1" si="236"/>
        <v>1216.5</v>
      </c>
      <c r="M1123" s="83">
        <f t="shared" ca="1" si="237"/>
        <v>600</v>
      </c>
      <c r="N1123" s="83">
        <f t="shared" ca="1" si="237"/>
        <v>72.5</v>
      </c>
      <c r="O1123" s="83">
        <f t="shared" ca="1" si="237"/>
        <v>240</v>
      </c>
      <c r="P1123" s="83">
        <f t="shared" ca="1" si="237"/>
        <v>40</v>
      </c>
      <c r="Q1123" s="83">
        <f t="shared" ca="1" si="237"/>
        <v>315</v>
      </c>
      <c r="R1123" s="83">
        <f t="shared" ca="1" si="237"/>
        <v>100</v>
      </c>
      <c r="S1123" s="83">
        <f t="shared" ca="1" si="237"/>
        <v>695</v>
      </c>
      <c r="T1123" s="83">
        <f t="shared" ca="1" si="237"/>
        <v>33.333333333333336</v>
      </c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</row>
    <row r="1124" spans="1:30" ht="15" x14ac:dyDescent="0.2">
      <c r="A1124" s="10">
        <f t="shared" si="210"/>
        <v>2068</v>
      </c>
      <c r="B1124" s="10">
        <f t="shared" si="218"/>
        <v>366</v>
      </c>
      <c r="C1124" s="83">
        <f t="shared" ca="1" si="236"/>
        <v>154.75825</v>
      </c>
      <c r="D1124" s="83">
        <f t="shared" ca="1" si="236"/>
        <v>281.0162499999999</v>
      </c>
      <c r="E1124" s="83">
        <f t="shared" ca="1" si="236"/>
        <v>109.1005</v>
      </c>
      <c r="F1124" s="83">
        <f t="shared" ca="1" si="236"/>
        <v>57.041666666666664</v>
      </c>
      <c r="G1124" s="83">
        <f t="shared" ca="1" si="236"/>
        <v>40</v>
      </c>
      <c r="H1124" s="83">
        <f t="shared" ca="1" si="236"/>
        <v>174.58333333333334</v>
      </c>
      <c r="I1124" s="83">
        <f t="shared" ca="1" si="236"/>
        <v>0</v>
      </c>
      <c r="J1124" s="83">
        <f t="shared" ca="1" si="236"/>
        <v>100</v>
      </c>
      <c r="K1124" s="83">
        <f t="shared" ca="1" si="236"/>
        <v>300</v>
      </c>
      <c r="L1124" s="83">
        <f t="shared" ca="1" si="236"/>
        <v>1216.5</v>
      </c>
      <c r="M1124" s="83">
        <f t="shared" ca="1" si="237"/>
        <v>600</v>
      </c>
      <c r="N1124" s="83">
        <f t="shared" ca="1" si="237"/>
        <v>72.5</v>
      </c>
      <c r="O1124" s="83">
        <f t="shared" ca="1" si="237"/>
        <v>240</v>
      </c>
      <c r="P1124" s="83">
        <f t="shared" ca="1" si="237"/>
        <v>40</v>
      </c>
      <c r="Q1124" s="83">
        <f t="shared" ca="1" si="237"/>
        <v>315</v>
      </c>
      <c r="R1124" s="83">
        <f t="shared" ca="1" si="237"/>
        <v>100</v>
      </c>
      <c r="S1124" s="83">
        <f t="shared" ca="1" si="237"/>
        <v>695</v>
      </c>
      <c r="T1124" s="83">
        <f t="shared" ca="1" si="237"/>
        <v>33.333333333333336</v>
      </c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</row>
    <row r="1125" spans="1:30" ht="15" x14ac:dyDescent="0.2">
      <c r="A1125" s="10">
        <f t="shared" si="210"/>
        <v>2069</v>
      </c>
      <c r="B1125" s="10">
        <f t="shared" si="218"/>
        <v>365</v>
      </c>
      <c r="C1125" s="83">
        <f t="shared" ca="1" si="236"/>
        <v>154.75825</v>
      </c>
      <c r="D1125" s="83">
        <f t="shared" ca="1" si="236"/>
        <v>281.0162499999999</v>
      </c>
      <c r="E1125" s="83">
        <f t="shared" ca="1" si="236"/>
        <v>109.1005</v>
      </c>
      <c r="F1125" s="83">
        <f t="shared" ca="1" si="236"/>
        <v>57.041666666666664</v>
      </c>
      <c r="G1125" s="83">
        <f t="shared" ca="1" si="236"/>
        <v>40</v>
      </c>
      <c r="H1125" s="83">
        <f t="shared" ca="1" si="236"/>
        <v>174.58333333333334</v>
      </c>
      <c r="I1125" s="83">
        <f t="shared" ca="1" si="236"/>
        <v>0</v>
      </c>
      <c r="J1125" s="83">
        <f t="shared" ca="1" si="236"/>
        <v>100</v>
      </c>
      <c r="K1125" s="83">
        <f t="shared" ca="1" si="236"/>
        <v>300</v>
      </c>
      <c r="L1125" s="83">
        <f t="shared" ca="1" si="236"/>
        <v>1216.5</v>
      </c>
      <c r="M1125" s="83">
        <f t="shared" ca="1" si="237"/>
        <v>600</v>
      </c>
      <c r="N1125" s="83">
        <f t="shared" ca="1" si="237"/>
        <v>72.5</v>
      </c>
      <c r="O1125" s="83">
        <f t="shared" ca="1" si="237"/>
        <v>240</v>
      </c>
      <c r="P1125" s="83">
        <f t="shared" ca="1" si="237"/>
        <v>40</v>
      </c>
      <c r="Q1125" s="83">
        <f t="shared" ca="1" si="237"/>
        <v>315</v>
      </c>
      <c r="R1125" s="83">
        <f t="shared" ca="1" si="237"/>
        <v>100</v>
      </c>
      <c r="S1125" s="83">
        <f t="shared" ca="1" si="237"/>
        <v>695</v>
      </c>
      <c r="T1125" s="83">
        <f t="shared" ca="1" si="237"/>
        <v>33.333333333333336</v>
      </c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</row>
    <row r="1126" spans="1:30" ht="15" x14ac:dyDescent="0.2">
      <c r="A1126" s="10">
        <f t="shared" ref="A1126:A1156" si="238">A1125+1</f>
        <v>2070</v>
      </c>
      <c r="B1126" s="10">
        <f t="shared" si="218"/>
        <v>365</v>
      </c>
      <c r="C1126" s="83">
        <f t="shared" ca="1" si="236"/>
        <v>154.75825</v>
      </c>
      <c r="D1126" s="83">
        <f t="shared" ca="1" si="236"/>
        <v>281.0162499999999</v>
      </c>
      <c r="E1126" s="83">
        <f t="shared" ca="1" si="236"/>
        <v>109.1005</v>
      </c>
      <c r="F1126" s="83">
        <f t="shared" ca="1" si="236"/>
        <v>57.041666666666664</v>
      </c>
      <c r="G1126" s="83">
        <f t="shared" ca="1" si="236"/>
        <v>40</v>
      </c>
      <c r="H1126" s="83">
        <f t="shared" ca="1" si="236"/>
        <v>174.58333333333334</v>
      </c>
      <c r="I1126" s="83">
        <f t="shared" ca="1" si="236"/>
        <v>0</v>
      </c>
      <c r="J1126" s="83">
        <f t="shared" ca="1" si="236"/>
        <v>100</v>
      </c>
      <c r="K1126" s="83">
        <f t="shared" ca="1" si="236"/>
        <v>300</v>
      </c>
      <c r="L1126" s="83">
        <f t="shared" ca="1" si="236"/>
        <v>1216.5</v>
      </c>
      <c r="M1126" s="83">
        <f t="shared" ca="1" si="237"/>
        <v>600</v>
      </c>
      <c r="N1126" s="83">
        <f t="shared" ca="1" si="237"/>
        <v>72.5</v>
      </c>
      <c r="O1126" s="83">
        <f t="shared" ca="1" si="237"/>
        <v>240</v>
      </c>
      <c r="P1126" s="83">
        <f t="shared" ca="1" si="237"/>
        <v>40</v>
      </c>
      <c r="Q1126" s="83">
        <f t="shared" ca="1" si="237"/>
        <v>315</v>
      </c>
      <c r="R1126" s="83">
        <f t="shared" ca="1" si="237"/>
        <v>100</v>
      </c>
      <c r="S1126" s="83">
        <f t="shared" ca="1" si="237"/>
        <v>695</v>
      </c>
      <c r="T1126" s="83">
        <f t="shared" ca="1" si="237"/>
        <v>33.333333333333336</v>
      </c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</row>
    <row r="1127" spans="1:30" ht="15" x14ac:dyDescent="0.2">
      <c r="A1127" s="10">
        <f t="shared" si="238"/>
        <v>2071</v>
      </c>
      <c r="B1127" s="10">
        <f t="shared" si="218"/>
        <v>365</v>
      </c>
      <c r="C1127" s="83">
        <f t="shared" ca="1" si="236"/>
        <v>154.75825</v>
      </c>
      <c r="D1127" s="83">
        <f t="shared" ca="1" si="236"/>
        <v>281.0162499999999</v>
      </c>
      <c r="E1127" s="83">
        <f t="shared" ca="1" si="236"/>
        <v>109.1005</v>
      </c>
      <c r="F1127" s="83">
        <f t="shared" ca="1" si="236"/>
        <v>57.041666666666664</v>
      </c>
      <c r="G1127" s="83">
        <f t="shared" ca="1" si="236"/>
        <v>40</v>
      </c>
      <c r="H1127" s="83">
        <f t="shared" ca="1" si="236"/>
        <v>174.58333333333334</v>
      </c>
      <c r="I1127" s="83">
        <f t="shared" ca="1" si="236"/>
        <v>0</v>
      </c>
      <c r="J1127" s="83">
        <f t="shared" ca="1" si="236"/>
        <v>100</v>
      </c>
      <c r="K1127" s="83">
        <f t="shared" ca="1" si="236"/>
        <v>300</v>
      </c>
      <c r="L1127" s="83">
        <f t="shared" ca="1" si="236"/>
        <v>1216.5</v>
      </c>
      <c r="M1127" s="83">
        <f t="shared" ca="1" si="237"/>
        <v>600</v>
      </c>
      <c r="N1127" s="83">
        <f t="shared" ca="1" si="237"/>
        <v>72.5</v>
      </c>
      <c r="O1127" s="83">
        <f t="shared" ca="1" si="237"/>
        <v>240</v>
      </c>
      <c r="P1127" s="83">
        <f t="shared" ca="1" si="237"/>
        <v>40</v>
      </c>
      <c r="Q1127" s="83">
        <f t="shared" ca="1" si="237"/>
        <v>315</v>
      </c>
      <c r="R1127" s="83">
        <f t="shared" ca="1" si="237"/>
        <v>100</v>
      </c>
      <c r="S1127" s="83">
        <f t="shared" ca="1" si="237"/>
        <v>695</v>
      </c>
      <c r="T1127" s="83">
        <f t="shared" ca="1" si="237"/>
        <v>33.333333333333336</v>
      </c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</row>
    <row r="1128" spans="1:30" ht="15" x14ac:dyDescent="0.2">
      <c r="A1128" s="10">
        <f t="shared" si="238"/>
        <v>2072</v>
      </c>
      <c r="B1128" s="10">
        <f t="shared" si="218"/>
        <v>366</v>
      </c>
      <c r="C1128" s="83">
        <f t="shared" ref="C1128:L1137" ca="1" si="239">AVERAGE(OFFSET(C$600,($A1128-$A$1118)*12,0,12,1))</f>
        <v>154.75825</v>
      </c>
      <c r="D1128" s="83">
        <f t="shared" ca="1" si="239"/>
        <v>281.0162499999999</v>
      </c>
      <c r="E1128" s="83">
        <f t="shared" ca="1" si="239"/>
        <v>109.1005</v>
      </c>
      <c r="F1128" s="83">
        <f t="shared" ca="1" si="239"/>
        <v>57.041666666666664</v>
      </c>
      <c r="G1128" s="83">
        <f t="shared" ca="1" si="239"/>
        <v>40</v>
      </c>
      <c r="H1128" s="83">
        <f t="shared" ca="1" si="239"/>
        <v>174.58333333333334</v>
      </c>
      <c r="I1128" s="83">
        <f t="shared" ca="1" si="239"/>
        <v>0</v>
      </c>
      <c r="J1128" s="83">
        <f t="shared" ca="1" si="239"/>
        <v>100</v>
      </c>
      <c r="K1128" s="83">
        <f t="shared" ca="1" si="239"/>
        <v>300</v>
      </c>
      <c r="L1128" s="83">
        <f t="shared" ca="1" si="239"/>
        <v>1216.5</v>
      </c>
      <c r="M1128" s="83">
        <f t="shared" ref="M1128:T1137" ca="1" si="240">AVERAGE(OFFSET(M$600,($A1128-$A$1118)*12,0,12,1))</f>
        <v>600</v>
      </c>
      <c r="N1128" s="83">
        <f t="shared" ca="1" si="240"/>
        <v>72.5</v>
      </c>
      <c r="O1128" s="83">
        <f t="shared" ca="1" si="240"/>
        <v>240</v>
      </c>
      <c r="P1128" s="83">
        <f t="shared" ca="1" si="240"/>
        <v>40</v>
      </c>
      <c r="Q1128" s="83">
        <f t="shared" ca="1" si="240"/>
        <v>315</v>
      </c>
      <c r="R1128" s="83">
        <f t="shared" ca="1" si="240"/>
        <v>100</v>
      </c>
      <c r="S1128" s="83">
        <f t="shared" ca="1" si="240"/>
        <v>695</v>
      </c>
      <c r="T1128" s="83">
        <f t="shared" ca="1" si="240"/>
        <v>33.333333333333336</v>
      </c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</row>
    <row r="1129" spans="1:30" ht="15" x14ac:dyDescent="0.2">
      <c r="A1129" s="10">
        <f t="shared" si="238"/>
        <v>2073</v>
      </c>
      <c r="B1129" s="10">
        <f t="shared" si="218"/>
        <v>365</v>
      </c>
      <c r="C1129" s="83">
        <f t="shared" ca="1" si="239"/>
        <v>154.75825</v>
      </c>
      <c r="D1129" s="83">
        <f t="shared" ca="1" si="239"/>
        <v>281.0162499999999</v>
      </c>
      <c r="E1129" s="83">
        <f t="shared" ca="1" si="239"/>
        <v>109.1005</v>
      </c>
      <c r="F1129" s="83">
        <f t="shared" ca="1" si="239"/>
        <v>57.041666666666664</v>
      </c>
      <c r="G1129" s="83">
        <f t="shared" ca="1" si="239"/>
        <v>40</v>
      </c>
      <c r="H1129" s="83">
        <f t="shared" ca="1" si="239"/>
        <v>174.58333333333334</v>
      </c>
      <c r="I1129" s="83">
        <f t="shared" ca="1" si="239"/>
        <v>0</v>
      </c>
      <c r="J1129" s="83">
        <f t="shared" ca="1" si="239"/>
        <v>100</v>
      </c>
      <c r="K1129" s="83">
        <f t="shared" ca="1" si="239"/>
        <v>300</v>
      </c>
      <c r="L1129" s="83">
        <f t="shared" ca="1" si="239"/>
        <v>1216.5</v>
      </c>
      <c r="M1129" s="83">
        <f t="shared" ca="1" si="240"/>
        <v>600</v>
      </c>
      <c r="N1129" s="83">
        <f t="shared" ca="1" si="240"/>
        <v>72.5</v>
      </c>
      <c r="O1129" s="83">
        <f t="shared" ca="1" si="240"/>
        <v>240</v>
      </c>
      <c r="P1129" s="83">
        <f t="shared" ca="1" si="240"/>
        <v>40</v>
      </c>
      <c r="Q1129" s="83">
        <f t="shared" ca="1" si="240"/>
        <v>315</v>
      </c>
      <c r="R1129" s="83">
        <f t="shared" ca="1" si="240"/>
        <v>100</v>
      </c>
      <c r="S1129" s="83">
        <f t="shared" ca="1" si="240"/>
        <v>695</v>
      </c>
      <c r="T1129" s="83">
        <f t="shared" ca="1" si="240"/>
        <v>33.333333333333336</v>
      </c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</row>
    <row r="1130" spans="1:30" ht="15" x14ac:dyDescent="0.2">
      <c r="A1130" s="10">
        <f t="shared" si="238"/>
        <v>2074</v>
      </c>
      <c r="B1130" s="10">
        <f t="shared" si="218"/>
        <v>365</v>
      </c>
      <c r="C1130" s="83">
        <f t="shared" ca="1" si="239"/>
        <v>154.75825</v>
      </c>
      <c r="D1130" s="83">
        <f t="shared" ca="1" si="239"/>
        <v>281.0162499999999</v>
      </c>
      <c r="E1130" s="83">
        <f t="shared" ca="1" si="239"/>
        <v>109.1005</v>
      </c>
      <c r="F1130" s="83">
        <f t="shared" ca="1" si="239"/>
        <v>57.041666666666664</v>
      </c>
      <c r="G1130" s="83">
        <f t="shared" ca="1" si="239"/>
        <v>40</v>
      </c>
      <c r="H1130" s="83">
        <f t="shared" ca="1" si="239"/>
        <v>174.58333333333334</v>
      </c>
      <c r="I1130" s="83">
        <f t="shared" ca="1" si="239"/>
        <v>0</v>
      </c>
      <c r="J1130" s="83">
        <f t="shared" ca="1" si="239"/>
        <v>100</v>
      </c>
      <c r="K1130" s="83">
        <f t="shared" ca="1" si="239"/>
        <v>300</v>
      </c>
      <c r="L1130" s="83">
        <f t="shared" ca="1" si="239"/>
        <v>1216.5</v>
      </c>
      <c r="M1130" s="83">
        <f t="shared" ca="1" si="240"/>
        <v>600</v>
      </c>
      <c r="N1130" s="83">
        <f t="shared" ca="1" si="240"/>
        <v>72.5</v>
      </c>
      <c r="O1130" s="83">
        <f t="shared" ca="1" si="240"/>
        <v>240</v>
      </c>
      <c r="P1130" s="83">
        <f t="shared" ca="1" si="240"/>
        <v>40</v>
      </c>
      <c r="Q1130" s="83">
        <f t="shared" ca="1" si="240"/>
        <v>315</v>
      </c>
      <c r="R1130" s="83">
        <f t="shared" ca="1" si="240"/>
        <v>100</v>
      </c>
      <c r="S1130" s="83">
        <f t="shared" ca="1" si="240"/>
        <v>695</v>
      </c>
      <c r="T1130" s="83">
        <f t="shared" ca="1" si="240"/>
        <v>33.333333333333336</v>
      </c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</row>
    <row r="1131" spans="1:30" ht="15" x14ac:dyDescent="0.2">
      <c r="A1131" s="10">
        <f t="shared" si="238"/>
        <v>2075</v>
      </c>
      <c r="B1131" s="10">
        <f t="shared" si="218"/>
        <v>365</v>
      </c>
      <c r="C1131" s="83">
        <f t="shared" ca="1" si="239"/>
        <v>154.75825</v>
      </c>
      <c r="D1131" s="83">
        <f t="shared" ca="1" si="239"/>
        <v>281.0162499999999</v>
      </c>
      <c r="E1131" s="83">
        <f t="shared" ca="1" si="239"/>
        <v>109.1005</v>
      </c>
      <c r="F1131" s="83">
        <f t="shared" ca="1" si="239"/>
        <v>57.041666666666664</v>
      </c>
      <c r="G1131" s="83">
        <f t="shared" ca="1" si="239"/>
        <v>40</v>
      </c>
      <c r="H1131" s="83">
        <f t="shared" ca="1" si="239"/>
        <v>174.58333333333334</v>
      </c>
      <c r="I1131" s="83">
        <f t="shared" ca="1" si="239"/>
        <v>0</v>
      </c>
      <c r="J1131" s="83">
        <f t="shared" ca="1" si="239"/>
        <v>100</v>
      </c>
      <c r="K1131" s="83">
        <f t="shared" ca="1" si="239"/>
        <v>300</v>
      </c>
      <c r="L1131" s="83">
        <f t="shared" ca="1" si="239"/>
        <v>1216.5</v>
      </c>
      <c r="M1131" s="83">
        <f t="shared" ca="1" si="240"/>
        <v>600</v>
      </c>
      <c r="N1131" s="83">
        <f t="shared" ca="1" si="240"/>
        <v>72.5</v>
      </c>
      <c r="O1131" s="83">
        <f t="shared" ca="1" si="240"/>
        <v>240</v>
      </c>
      <c r="P1131" s="83">
        <f t="shared" ca="1" si="240"/>
        <v>40</v>
      </c>
      <c r="Q1131" s="83">
        <f t="shared" ca="1" si="240"/>
        <v>315</v>
      </c>
      <c r="R1131" s="83">
        <f t="shared" ca="1" si="240"/>
        <v>100</v>
      </c>
      <c r="S1131" s="83">
        <f t="shared" ca="1" si="240"/>
        <v>695</v>
      </c>
      <c r="T1131" s="83">
        <f t="shared" ca="1" si="240"/>
        <v>33.333333333333336</v>
      </c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</row>
    <row r="1132" spans="1:30" ht="15" x14ac:dyDescent="0.2">
      <c r="A1132" s="10">
        <f t="shared" si="238"/>
        <v>2076</v>
      </c>
      <c r="B1132" s="10">
        <f t="shared" si="218"/>
        <v>366</v>
      </c>
      <c r="C1132" s="83">
        <f t="shared" ca="1" si="239"/>
        <v>154.75825</v>
      </c>
      <c r="D1132" s="83">
        <f t="shared" ca="1" si="239"/>
        <v>281.0162499999999</v>
      </c>
      <c r="E1132" s="83">
        <f t="shared" ca="1" si="239"/>
        <v>109.1005</v>
      </c>
      <c r="F1132" s="83">
        <f t="shared" ca="1" si="239"/>
        <v>57.041666666666664</v>
      </c>
      <c r="G1132" s="83">
        <f t="shared" ca="1" si="239"/>
        <v>40</v>
      </c>
      <c r="H1132" s="83">
        <f t="shared" ca="1" si="239"/>
        <v>174.58333333333334</v>
      </c>
      <c r="I1132" s="83">
        <f t="shared" ca="1" si="239"/>
        <v>0</v>
      </c>
      <c r="J1132" s="83">
        <f t="shared" ca="1" si="239"/>
        <v>100</v>
      </c>
      <c r="K1132" s="83">
        <f t="shared" ca="1" si="239"/>
        <v>300</v>
      </c>
      <c r="L1132" s="83">
        <f t="shared" ca="1" si="239"/>
        <v>1216.5</v>
      </c>
      <c r="M1132" s="83">
        <f t="shared" ca="1" si="240"/>
        <v>600</v>
      </c>
      <c r="N1132" s="83">
        <f t="shared" ca="1" si="240"/>
        <v>72.5</v>
      </c>
      <c r="O1132" s="83">
        <f t="shared" ca="1" si="240"/>
        <v>240</v>
      </c>
      <c r="P1132" s="83">
        <f t="shared" ca="1" si="240"/>
        <v>40</v>
      </c>
      <c r="Q1132" s="83">
        <f t="shared" ca="1" si="240"/>
        <v>315</v>
      </c>
      <c r="R1132" s="83">
        <f t="shared" ca="1" si="240"/>
        <v>100</v>
      </c>
      <c r="S1132" s="83">
        <f t="shared" ca="1" si="240"/>
        <v>695</v>
      </c>
      <c r="T1132" s="83">
        <f t="shared" ca="1" si="240"/>
        <v>33.333333333333336</v>
      </c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</row>
    <row r="1133" spans="1:30" ht="15" x14ac:dyDescent="0.2">
      <c r="A1133" s="10">
        <f t="shared" si="238"/>
        <v>2077</v>
      </c>
      <c r="B1133" s="10">
        <f t="shared" ref="B1133:B1156" si="241">DATE(A1133+1,1,1)-DATE(A1133,1,1)</f>
        <v>365</v>
      </c>
      <c r="C1133" s="83">
        <f t="shared" ca="1" si="239"/>
        <v>154.75825</v>
      </c>
      <c r="D1133" s="83">
        <f t="shared" ca="1" si="239"/>
        <v>281.0162499999999</v>
      </c>
      <c r="E1133" s="83">
        <f t="shared" ca="1" si="239"/>
        <v>109.1005</v>
      </c>
      <c r="F1133" s="83">
        <f t="shared" ca="1" si="239"/>
        <v>57.041666666666664</v>
      </c>
      <c r="G1133" s="83">
        <f t="shared" ca="1" si="239"/>
        <v>40</v>
      </c>
      <c r="H1133" s="83">
        <f t="shared" ca="1" si="239"/>
        <v>174.58333333333334</v>
      </c>
      <c r="I1133" s="83">
        <f t="shared" ca="1" si="239"/>
        <v>0</v>
      </c>
      <c r="J1133" s="83">
        <f t="shared" ca="1" si="239"/>
        <v>100</v>
      </c>
      <c r="K1133" s="83">
        <f t="shared" ca="1" si="239"/>
        <v>300</v>
      </c>
      <c r="L1133" s="83">
        <f t="shared" ca="1" si="239"/>
        <v>1216.5</v>
      </c>
      <c r="M1133" s="83">
        <f t="shared" ca="1" si="240"/>
        <v>600</v>
      </c>
      <c r="N1133" s="83">
        <f t="shared" ca="1" si="240"/>
        <v>72.5</v>
      </c>
      <c r="O1133" s="83">
        <f t="shared" ca="1" si="240"/>
        <v>240</v>
      </c>
      <c r="P1133" s="83">
        <f t="shared" ca="1" si="240"/>
        <v>40</v>
      </c>
      <c r="Q1133" s="83">
        <f t="shared" ca="1" si="240"/>
        <v>315</v>
      </c>
      <c r="R1133" s="83">
        <f t="shared" ca="1" si="240"/>
        <v>100</v>
      </c>
      <c r="S1133" s="83">
        <f t="shared" ca="1" si="240"/>
        <v>695</v>
      </c>
      <c r="T1133" s="83">
        <f t="shared" ca="1" si="240"/>
        <v>33.333333333333336</v>
      </c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</row>
    <row r="1134" spans="1:30" ht="15" x14ac:dyDescent="0.2">
      <c r="A1134" s="10">
        <f t="shared" si="238"/>
        <v>2078</v>
      </c>
      <c r="B1134" s="10">
        <f t="shared" si="241"/>
        <v>365</v>
      </c>
      <c r="C1134" s="83">
        <f t="shared" ca="1" si="239"/>
        <v>154.75825</v>
      </c>
      <c r="D1134" s="83">
        <f t="shared" ca="1" si="239"/>
        <v>281.0162499999999</v>
      </c>
      <c r="E1134" s="83">
        <f t="shared" ca="1" si="239"/>
        <v>109.1005</v>
      </c>
      <c r="F1134" s="83">
        <f t="shared" ca="1" si="239"/>
        <v>57.041666666666664</v>
      </c>
      <c r="G1134" s="83">
        <f t="shared" ca="1" si="239"/>
        <v>40</v>
      </c>
      <c r="H1134" s="83">
        <f t="shared" ca="1" si="239"/>
        <v>174.58333333333334</v>
      </c>
      <c r="I1134" s="83">
        <f t="shared" ca="1" si="239"/>
        <v>0</v>
      </c>
      <c r="J1134" s="83">
        <f t="shared" ca="1" si="239"/>
        <v>100</v>
      </c>
      <c r="K1134" s="83">
        <f t="shared" ca="1" si="239"/>
        <v>300</v>
      </c>
      <c r="L1134" s="83">
        <f t="shared" ca="1" si="239"/>
        <v>1216.5</v>
      </c>
      <c r="M1134" s="83">
        <f t="shared" ca="1" si="240"/>
        <v>600</v>
      </c>
      <c r="N1134" s="83">
        <f t="shared" ca="1" si="240"/>
        <v>72.5</v>
      </c>
      <c r="O1134" s="83">
        <f t="shared" ca="1" si="240"/>
        <v>240</v>
      </c>
      <c r="P1134" s="83">
        <f t="shared" ca="1" si="240"/>
        <v>40</v>
      </c>
      <c r="Q1134" s="83">
        <f t="shared" ca="1" si="240"/>
        <v>315</v>
      </c>
      <c r="R1134" s="83">
        <f t="shared" ca="1" si="240"/>
        <v>100</v>
      </c>
      <c r="S1134" s="83">
        <f t="shared" ca="1" si="240"/>
        <v>695</v>
      </c>
      <c r="T1134" s="83">
        <f t="shared" ca="1" si="240"/>
        <v>33.333333333333336</v>
      </c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</row>
    <row r="1135" spans="1:30" ht="15" x14ac:dyDescent="0.2">
      <c r="A1135" s="10">
        <f t="shared" si="238"/>
        <v>2079</v>
      </c>
      <c r="B1135" s="10">
        <f t="shared" si="241"/>
        <v>365</v>
      </c>
      <c r="C1135" s="83">
        <f t="shared" ca="1" si="239"/>
        <v>154.75825</v>
      </c>
      <c r="D1135" s="83">
        <f t="shared" ca="1" si="239"/>
        <v>281.0162499999999</v>
      </c>
      <c r="E1135" s="83">
        <f t="shared" ca="1" si="239"/>
        <v>109.1005</v>
      </c>
      <c r="F1135" s="83">
        <f t="shared" ca="1" si="239"/>
        <v>57.041666666666664</v>
      </c>
      <c r="G1135" s="83">
        <f t="shared" ca="1" si="239"/>
        <v>40</v>
      </c>
      <c r="H1135" s="83">
        <f t="shared" ca="1" si="239"/>
        <v>174.58333333333334</v>
      </c>
      <c r="I1135" s="83">
        <f t="shared" ca="1" si="239"/>
        <v>0</v>
      </c>
      <c r="J1135" s="83">
        <f t="shared" ca="1" si="239"/>
        <v>100</v>
      </c>
      <c r="K1135" s="83">
        <f t="shared" ca="1" si="239"/>
        <v>300</v>
      </c>
      <c r="L1135" s="83">
        <f t="shared" ca="1" si="239"/>
        <v>1216.5</v>
      </c>
      <c r="M1135" s="83">
        <f t="shared" ca="1" si="240"/>
        <v>600</v>
      </c>
      <c r="N1135" s="83">
        <f t="shared" ca="1" si="240"/>
        <v>72.5</v>
      </c>
      <c r="O1135" s="83">
        <f t="shared" ca="1" si="240"/>
        <v>240</v>
      </c>
      <c r="P1135" s="83">
        <f t="shared" ca="1" si="240"/>
        <v>40</v>
      </c>
      <c r="Q1135" s="83">
        <f t="shared" ca="1" si="240"/>
        <v>315</v>
      </c>
      <c r="R1135" s="83">
        <f t="shared" ca="1" si="240"/>
        <v>100</v>
      </c>
      <c r="S1135" s="83">
        <f t="shared" ca="1" si="240"/>
        <v>695</v>
      </c>
      <c r="T1135" s="83">
        <f t="shared" ca="1" si="240"/>
        <v>33.333333333333336</v>
      </c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</row>
    <row r="1136" spans="1:30" ht="15" x14ac:dyDescent="0.2">
      <c r="A1136" s="10">
        <f t="shared" si="238"/>
        <v>2080</v>
      </c>
      <c r="B1136" s="10">
        <f t="shared" si="241"/>
        <v>366</v>
      </c>
      <c r="C1136" s="83">
        <f t="shared" ca="1" si="239"/>
        <v>154.75825</v>
      </c>
      <c r="D1136" s="83">
        <f t="shared" ca="1" si="239"/>
        <v>281.0162499999999</v>
      </c>
      <c r="E1136" s="83">
        <f t="shared" ca="1" si="239"/>
        <v>109.1005</v>
      </c>
      <c r="F1136" s="83">
        <f t="shared" ca="1" si="239"/>
        <v>57.041666666666664</v>
      </c>
      <c r="G1136" s="83">
        <f t="shared" ca="1" si="239"/>
        <v>40</v>
      </c>
      <c r="H1136" s="83">
        <f t="shared" ca="1" si="239"/>
        <v>174.58333333333334</v>
      </c>
      <c r="I1136" s="83">
        <f t="shared" ca="1" si="239"/>
        <v>0</v>
      </c>
      <c r="J1136" s="83">
        <f t="shared" ca="1" si="239"/>
        <v>100</v>
      </c>
      <c r="K1136" s="83">
        <f t="shared" ca="1" si="239"/>
        <v>300</v>
      </c>
      <c r="L1136" s="83">
        <f t="shared" ca="1" si="239"/>
        <v>1216.5</v>
      </c>
      <c r="M1136" s="83">
        <f t="shared" ca="1" si="240"/>
        <v>600</v>
      </c>
      <c r="N1136" s="83">
        <f t="shared" ca="1" si="240"/>
        <v>72.5</v>
      </c>
      <c r="O1136" s="83">
        <f t="shared" ca="1" si="240"/>
        <v>240</v>
      </c>
      <c r="P1136" s="83">
        <f t="shared" ca="1" si="240"/>
        <v>40</v>
      </c>
      <c r="Q1136" s="83">
        <f t="shared" ca="1" si="240"/>
        <v>315</v>
      </c>
      <c r="R1136" s="83">
        <f t="shared" ca="1" si="240"/>
        <v>100</v>
      </c>
      <c r="S1136" s="83">
        <f t="shared" ca="1" si="240"/>
        <v>695</v>
      </c>
      <c r="T1136" s="83">
        <f t="shared" ca="1" si="240"/>
        <v>33.333333333333336</v>
      </c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</row>
    <row r="1137" spans="1:30" ht="15" x14ac:dyDescent="0.2">
      <c r="A1137" s="10">
        <f t="shared" si="238"/>
        <v>2081</v>
      </c>
      <c r="B1137" s="10">
        <f t="shared" si="241"/>
        <v>365</v>
      </c>
      <c r="C1137" s="83">
        <f t="shared" ca="1" si="239"/>
        <v>154.75825</v>
      </c>
      <c r="D1137" s="83">
        <f t="shared" ca="1" si="239"/>
        <v>281.0162499999999</v>
      </c>
      <c r="E1137" s="83">
        <f t="shared" ca="1" si="239"/>
        <v>109.1005</v>
      </c>
      <c r="F1137" s="83">
        <f t="shared" ca="1" si="239"/>
        <v>57.041666666666664</v>
      </c>
      <c r="G1137" s="83">
        <f t="shared" ca="1" si="239"/>
        <v>40</v>
      </c>
      <c r="H1137" s="83">
        <f t="shared" ca="1" si="239"/>
        <v>174.58333333333334</v>
      </c>
      <c r="I1137" s="83">
        <f t="shared" ca="1" si="239"/>
        <v>0</v>
      </c>
      <c r="J1137" s="83">
        <f t="shared" ca="1" si="239"/>
        <v>100</v>
      </c>
      <c r="K1137" s="83">
        <f t="shared" ca="1" si="239"/>
        <v>300</v>
      </c>
      <c r="L1137" s="83">
        <f t="shared" ca="1" si="239"/>
        <v>1216.5</v>
      </c>
      <c r="M1137" s="83">
        <f t="shared" ca="1" si="240"/>
        <v>600</v>
      </c>
      <c r="N1137" s="83">
        <f t="shared" ca="1" si="240"/>
        <v>72.5</v>
      </c>
      <c r="O1137" s="83">
        <f t="shared" ca="1" si="240"/>
        <v>240</v>
      </c>
      <c r="P1137" s="83">
        <f t="shared" ca="1" si="240"/>
        <v>40</v>
      </c>
      <c r="Q1137" s="83">
        <f t="shared" ca="1" si="240"/>
        <v>315</v>
      </c>
      <c r="R1137" s="83">
        <f t="shared" ca="1" si="240"/>
        <v>100</v>
      </c>
      <c r="S1137" s="83">
        <f t="shared" ca="1" si="240"/>
        <v>695</v>
      </c>
      <c r="T1137" s="83">
        <f t="shared" ca="1" si="240"/>
        <v>33.333333333333336</v>
      </c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</row>
    <row r="1138" spans="1:30" ht="15" x14ac:dyDescent="0.2">
      <c r="A1138" s="10">
        <f t="shared" si="238"/>
        <v>2082</v>
      </c>
      <c r="B1138" s="10">
        <f t="shared" si="241"/>
        <v>365</v>
      </c>
      <c r="C1138" s="83">
        <f t="shared" ref="C1138:L1147" ca="1" si="242">AVERAGE(OFFSET(C$600,($A1138-$A$1118)*12,0,12,1))</f>
        <v>154.75825</v>
      </c>
      <c r="D1138" s="83">
        <f t="shared" ca="1" si="242"/>
        <v>281.0162499999999</v>
      </c>
      <c r="E1138" s="83">
        <f t="shared" ca="1" si="242"/>
        <v>109.1005</v>
      </c>
      <c r="F1138" s="83">
        <f t="shared" ca="1" si="242"/>
        <v>57.041666666666664</v>
      </c>
      <c r="G1138" s="83">
        <f t="shared" ca="1" si="242"/>
        <v>40</v>
      </c>
      <c r="H1138" s="83">
        <f t="shared" ca="1" si="242"/>
        <v>174.58333333333334</v>
      </c>
      <c r="I1138" s="83">
        <f t="shared" ca="1" si="242"/>
        <v>0</v>
      </c>
      <c r="J1138" s="83">
        <f t="shared" ca="1" si="242"/>
        <v>100</v>
      </c>
      <c r="K1138" s="83">
        <f t="shared" ca="1" si="242"/>
        <v>300</v>
      </c>
      <c r="L1138" s="83">
        <f t="shared" ca="1" si="242"/>
        <v>1216.5</v>
      </c>
      <c r="M1138" s="83">
        <f t="shared" ref="M1138:T1147" ca="1" si="243">AVERAGE(OFFSET(M$600,($A1138-$A$1118)*12,0,12,1))</f>
        <v>600</v>
      </c>
      <c r="N1138" s="83">
        <f t="shared" ca="1" si="243"/>
        <v>72.5</v>
      </c>
      <c r="O1138" s="83">
        <f t="shared" ca="1" si="243"/>
        <v>240</v>
      </c>
      <c r="P1138" s="83">
        <f t="shared" ca="1" si="243"/>
        <v>40</v>
      </c>
      <c r="Q1138" s="83">
        <f t="shared" ca="1" si="243"/>
        <v>315</v>
      </c>
      <c r="R1138" s="83">
        <f t="shared" ca="1" si="243"/>
        <v>100</v>
      </c>
      <c r="S1138" s="83">
        <f t="shared" ca="1" si="243"/>
        <v>695</v>
      </c>
      <c r="T1138" s="83">
        <f t="shared" ca="1" si="243"/>
        <v>33.333333333333336</v>
      </c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</row>
    <row r="1139" spans="1:30" ht="15" x14ac:dyDescent="0.2">
      <c r="A1139" s="10">
        <f t="shared" si="238"/>
        <v>2083</v>
      </c>
      <c r="B1139" s="10">
        <f t="shared" si="241"/>
        <v>365</v>
      </c>
      <c r="C1139" s="83">
        <f t="shared" ca="1" si="242"/>
        <v>154.75825</v>
      </c>
      <c r="D1139" s="83">
        <f t="shared" ca="1" si="242"/>
        <v>281.0162499999999</v>
      </c>
      <c r="E1139" s="83">
        <f t="shared" ca="1" si="242"/>
        <v>109.1005</v>
      </c>
      <c r="F1139" s="83">
        <f t="shared" ca="1" si="242"/>
        <v>57.041666666666664</v>
      </c>
      <c r="G1139" s="83">
        <f t="shared" ca="1" si="242"/>
        <v>40</v>
      </c>
      <c r="H1139" s="83">
        <f t="shared" ca="1" si="242"/>
        <v>174.58333333333334</v>
      </c>
      <c r="I1139" s="83">
        <f t="shared" ca="1" si="242"/>
        <v>0</v>
      </c>
      <c r="J1139" s="83">
        <f t="shared" ca="1" si="242"/>
        <v>100</v>
      </c>
      <c r="K1139" s="83">
        <f t="shared" ca="1" si="242"/>
        <v>300</v>
      </c>
      <c r="L1139" s="83">
        <f t="shared" ca="1" si="242"/>
        <v>1216.5</v>
      </c>
      <c r="M1139" s="83">
        <f t="shared" ca="1" si="243"/>
        <v>600</v>
      </c>
      <c r="N1139" s="83">
        <f t="shared" ca="1" si="243"/>
        <v>72.5</v>
      </c>
      <c r="O1139" s="83">
        <f t="shared" ca="1" si="243"/>
        <v>240</v>
      </c>
      <c r="P1139" s="83">
        <f t="shared" ca="1" si="243"/>
        <v>40</v>
      </c>
      <c r="Q1139" s="83">
        <f t="shared" ca="1" si="243"/>
        <v>315</v>
      </c>
      <c r="R1139" s="83">
        <f t="shared" ca="1" si="243"/>
        <v>100</v>
      </c>
      <c r="S1139" s="83">
        <f t="shared" ca="1" si="243"/>
        <v>695</v>
      </c>
      <c r="T1139" s="83">
        <f t="shared" ca="1" si="243"/>
        <v>33.333333333333336</v>
      </c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</row>
    <row r="1140" spans="1:30" ht="15" x14ac:dyDescent="0.2">
      <c r="A1140" s="10">
        <f t="shared" si="238"/>
        <v>2084</v>
      </c>
      <c r="B1140" s="10">
        <f t="shared" si="241"/>
        <v>366</v>
      </c>
      <c r="C1140" s="83">
        <f t="shared" ca="1" si="242"/>
        <v>154.75825</v>
      </c>
      <c r="D1140" s="83">
        <f t="shared" ca="1" si="242"/>
        <v>281.0162499999999</v>
      </c>
      <c r="E1140" s="83">
        <f t="shared" ca="1" si="242"/>
        <v>109.1005</v>
      </c>
      <c r="F1140" s="83">
        <f t="shared" ca="1" si="242"/>
        <v>57.041666666666664</v>
      </c>
      <c r="G1140" s="83">
        <f t="shared" ca="1" si="242"/>
        <v>40</v>
      </c>
      <c r="H1140" s="83">
        <f t="shared" ca="1" si="242"/>
        <v>174.58333333333334</v>
      </c>
      <c r="I1140" s="83">
        <f t="shared" ca="1" si="242"/>
        <v>0</v>
      </c>
      <c r="J1140" s="83">
        <f t="shared" ca="1" si="242"/>
        <v>100</v>
      </c>
      <c r="K1140" s="83">
        <f t="shared" ca="1" si="242"/>
        <v>300</v>
      </c>
      <c r="L1140" s="83">
        <f t="shared" ca="1" si="242"/>
        <v>1216.5</v>
      </c>
      <c r="M1140" s="83">
        <f t="shared" ca="1" si="243"/>
        <v>600</v>
      </c>
      <c r="N1140" s="83">
        <f t="shared" ca="1" si="243"/>
        <v>72.5</v>
      </c>
      <c r="O1140" s="83">
        <f t="shared" ca="1" si="243"/>
        <v>240</v>
      </c>
      <c r="P1140" s="83">
        <f t="shared" ca="1" si="243"/>
        <v>40</v>
      </c>
      <c r="Q1140" s="83">
        <f t="shared" ca="1" si="243"/>
        <v>315</v>
      </c>
      <c r="R1140" s="83">
        <f t="shared" ca="1" si="243"/>
        <v>100</v>
      </c>
      <c r="S1140" s="83">
        <f t="shared" ca="1" si="243"/>
        <v>695</v>
      </c>
      <c r="T1140" s="83">
        <f t="shared" ca="1" si="243"/>
        <v>33.333333333333336</v>
      </c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</row>
    <row r="1141" spans="1:30" ht="15" x14ac:dyDescent="0.2">
      <c r="A1141" s="10">
        <f t="shared" si="238"/>
        <v>2085</v>
      </c>
      <c r="B1141" s="10">
        <f t="shared" si="241"/>
        <v>365</v>
      </c>
      <c r="C1141" s="83">
        <f t="shared" ca="1" si="242"/>
        <v>154.75825</v>
      </c>
      <c r="D1141" s="83">
        <f t="shared" ca="1" si="242"/>
        <v>281.0162499999999</v>
      </c>
      <c r="E1141" s="83">
        <f t="shared" ca="1" si="242"/>
        <v>109.1005</v>
      </c>
      <c r="F1141" s="83">
        <f t="shared" ca="1" si="242"/>
        <v>57.041666666666664</v>
      </c>
      <c r="G1141" s="83">
        <f t="shared" ca="1" si="242"/>
        <v>40</v>
      </c>
      <c r="H1141" s="83">
        <f t="shared" ca="1" si="242"/>
        <v>174.58333333333334</v>
      </c>
      <c r="I1141" s="83">
        <f t="shared" ca="1" si="242"/>
        <v>0</v>
      </c>
      <c r="J1141" s="83">
        <f t="shared" ca="1" si="242"/>
        <v>100</v>
      </c>
      <c r="K1141" s="83">
        <f t="shared" ca="1" si="242"/>
        <v>300</v>
      </c>
      <c r="L1141" s="83">
        <f t="shared" ca="1" si="242"/>
        <v>1216.5</v>
      </c>
      <c r="M1141" s="83">
        <f t="shared" ca="1" si="243"/>
        <v>600</v>
      </c>
      <c r="N1141" s="83">
        <f t="shared" ca="1" si="243"/>
        <v>72.5</v>
      </c>
      <c r="O1141" s="83">
        <f t="shared" ca="1" si="243"/>
        <v>240</v>
      </c>
      <c r="P1141" s="83">
        <f t="shared" ca="1" si="243"/>
        <v>40</v>
      </c>
      <c r="Q1141" s="83">
        <f t="shared" ca="1" si="243"/>
        <v>315</v>
      </c>
      <c r="R1141" s="83">
        <f t="shared" ca="1" si="243"/>
        <v>100</v>
      </c>
      <c r="S1141" s="83">
        <f t="shared" ca="1" si="243"/>
        <v>695</v>
      </c>
      <c r="T1141" s="83">
        <f t="shared" ca="1" si="243"/>
        <v>33.333333333333336</v>
      </c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</row>
    <row r="1142" spans="1:30" ht="15" x14ac:dyDescent="0.2">
      <c r="A1142" s="10">
        <f t="shared" si="238"/>
        <v>2086</v>
      </c>
      <c r="B1142" s="10">
        <f t="shared" si="241"/>
        <v>365</v>
      </c>
      <c r="C1142" s="83">
        <f t="shared" ca="1" si="242"/>
        <v>154.75825</v>
      </c>
      <c r="D1142" s="83">
        <f t="shared" ca="1" si="242"/>
        <v>281.0162499999999</v>
      </c>
      <c r="E1142" s="83">
        <f t="shared" ca="1" si="242"/>
        <v>109.1005</v>
      </c>
      <c r="F1142" s="83">
        <f t="shared" ca="1" si="242"/>
        <v>57.041666666666664</v>
      </c>
      <c r="G1142" s="83">
        <f t="shared" ca="1" si="242"/>
        <v>40</v>
      </c>
      <c r="H1142" s="83">
        <f t="shared" ca="1" si="242"/>
        <v>174.58333333333334</v>
      </c>
      <c r="I1142" s="83">
        <f t="shared" ca="1" si="242"/>
        <v>0</v>
      </c>
      <c r="J1142" s="83">
        <f t="shared" ca="1" si="242"/>
        <v>100</v>
      </c>
      <c r="K1142" s="83">
        <f t="shared" ca="1" si="242"/>
        <v>300</v>
      </c>
      <c r="L1142" s="83">
        <f t="shared" ca="1" si="242"/>
        <v>1216.5</v>
      </c>
      <c r="M1142" s="83">
        <f t="shared" ca="1" si="243"/>
        <v>600</v>
      </c>
      <c r="N1142" s="83">
        <f t="shared" ca="1" si="243"/>
        <v>72.5</v>
      </c>
      <c r="O1142" s="83">
        <f t="shared" ca="1" si="243"/>
        <v>240</v>
      </c>
      <c r="P1142" s="83">
        <f t="shared" ca="1" si="243"/>
        <v>40</v>
      </c>
      <c r="Q1142" s="83">
        <f t="shared" ca="1" si="243"/>
        <v>315</v>
      </c>
      <c r="R1142" s="83">
        <f t="shared" ca="1" si="243"/>
        <v>100</v>
      </c>
      <c r="S1142" s="83">
        <f t="shared" ca="1" si="243"/>
        <v>695</v>
      </c>
      <c r="T1142" s="83">
        <f t="shared" ca="1" si="243"/>
        <v>33.333333333333336</v>
      </c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</row>
    <row r="1143" spans="1:30" ht="15" x14ac:dyDescent="0.2">
      <c r="A1143" s="10">
        <f t="shared" si="238"/>
        <v>2087</v>
      </c>
      <c r="B1143" s="10">
        <f t="shared" si="241"/>
        <v>365</v>
      </c>
      <c r="C1143" s="83">
        <f t="shared" ca="1" si="242"/>
        <v>154.75825</v>
      </c>
      <c r="D1143" s="83">
        <f t="shared" ca="1" si="242"/>
        <v>281.0162499999999</v>
      </c>
      <c r="E1143" s="83">
        <f t="shared" ca="1" si="242"/>
        <v>109.1005</v>
      </c>
      <c r="F1143" s="83">
        <f t="shared" ca="1" si="242"/>
        <v>57.041666666666664</v>
      </c>
      <c r="G1143" s="83">
        <f t="shared" ca="1" si="242"/>
        <v>40</v>
      </c>
      <c r="H1143" s="83">
        <f t="shared" ca="1" si="242"/>
        <v>174.58333333333334</v>
      </c>
      <c r="I1143" s="83">
        <f t="shared" ca="1" si="242"/>
        <v>0</v>
      </c>
      <c r="J1143" s="83">
        <f t="shared" ca="1" si="242"/>
        <v>100</v>
      </c>
      <c r="K1143" s="83">
        <f t="shared" ca="1" si="242"/>
        <v>300</v>
      </c>
      <c r="L1143" s="83">
        <f t="shared" ca="1" si="242"/>
        <v>1216.5</v>
      </c>
      <c r="M1143" s="83">
        <f t="shared" ca="1" si="243"/>
        <v>600</v>
      </c>
      <c r="N1143" s="83">
        <f t="shared" ca="1" si="243"/>
        <v>72.5</v>
      </c>
      <c r="O1143" s="83">
        <f t="shared" ca="1" si="243"/>
        <v>240</v>
      </c>
      <c r="P1143" s="83">
        <f t="shared" ca="1" si="243"/>
        <v>40</v>
      </c>
      <c r="Q1143" s="83">
        <f t="shared" ca="1" si="243"/>
        <v>315</v>
      </c>
      <c r="R1143" s="83">
        <f t="shared" ca="1" si="243"/>
        <v>100</v>
      </c>
      <c r="S1143" s="83">
        <f t="shared" ca="1" si="243"/>
        <v>695</v>
      </c>
      <c r="T1143" s="83">
        <f t="shared" ca="1" si="243"/>
        <v>33.333333333333336</v>
      </c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</row>
    <row r="1144" spans="1:30" ht="15" x14ac:dyDescent="0.2">
      <c r="A1144" s="10">
        <f t="shared" si="238"/>
        <v>2088</v>
      </c>
      <c r="B1144" s="10">
        <f t="shared" si="241"/>
        <v>366</v>
      </c>
      <c r="C1144" s="83">
        <f t="shared" ca="1" si="242"/>
        <v>154.75825</v>
      </c>
      <c r="D1144" s="83">
        <f t="shared" ca="1" si="242"/>
        <v>281.0162499999999</v>
      </c>
      <c r="E1144" s="83">
        <f t="shared" ca="1" si="242"/>
        <v>109.1005</v>
      </c>
      <c r="F1144" s="83">
        <f t="shared" ca="1" si="242"/>
        <v>57.041666666666664</v>
      </c>
      <c r="G1144" s="83">
        <f t="shared" ca="1" si="242"/>
        <v>40</v>
      </c>
      <c r="H1144" s="83">
        <f t="shared" ca="1" si="242"/>
        <v>174.58333333333334</v>
      </c>
      <c r="I1144" s="83">
        <f t="shared" ca="1" si="242"/>
        <v>0</v>
      </c>
      <c r="J1144" s="83">
        <f t="shared" ca="1" si="242"/>
        <v>100</v>
      </c>
      <c r="K1144" s="83">
        <f t="shared" ca="1" si="242"/>
        <v>300</v>
      </c>
      <c r="L1144" s="83">
        <f t="shared" ca="1" si="242"/>
        <v>1216.5</v>
      </c>
      <c r="M1144" s="83">
        <f t="shared" ca="1" si="243"/>
        <v>600</v>
      </c>
      <c r="N1144" s="83">
        <f t="shared" ca="1" si="243"/>
        <v>72.5</v>
      </c>
      <c r="O1144" s="83">
        <f t="shared" ca="1" si="243"/>
        <v>240</v>
      </c>
      <c r="P1144" s="83">
        <f t="shared" ca="1" si="243"/>
        <v>40</v>
      </c>
      <c r="Q1144" s="83">
        <f t="shared" ca="1" si="243"/>
        <v>315</v>
      </c>
      <c r="R1144" s="83">
        <f t="shared" ca="1" si="243"/>
        <v>100</v>
      </c>
      <c r="S1144" s="83">
        <f t="shared" ca="1" si="243"/>
        <v>695</v>
      </c>
      <c r="T1144" s="83">
        <f t="shared" ca="1" si="243"/>
        <v>33.333333333333336</v>
      </c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</row>
    <row r="1145" spans="1:30" ht="15" x14ac:dyDescent="0.2">
      <c r="A1145" s="10">
        <f t="shared" si="238"/>
        <v>2089</v>
      </c>
      <c r="B1145" s="10">
        <f t="shared" si="241"/>
        <v>365</v>
      </c>
      <c r="C1145" s="83">
        <f t="shared" ca="1" si="242"/>
        <v>154.75825</v>
      </c>
      <c r="D1145" s="83">
        <f t="shared" ca="1" si="242"/>
        <v>281.0162499999999</v>
      </c>
      <c r="E1145" s="83">
        <f t="shared" ca="1" si="242"/>
        <v>109.1005</v>
      </c>
      <c r="F1145" s="83">
        <f t="shared" ca="1" si="242"/>
        <v>57.041666666666664</v>
      </c>
      <c r="G1145" s="83">
        <f t="shared" ca="1" si="242"/>
        <v>40</v>
      </c>
      <c r="H1145" s="83">
        <f t="shared" ca="1" si="242"/>
        <v>174.58333333333334</v>
      </c>
      <c r="I1145" s="83">
        <f t="shared" ca="1" si="242"/>
        <v>0</v>
      </c>
      <c r="J1145" s="83">
        <f t="shared" ca="1" si="242"/>
        <v>100</v>
      </c>
      <c r="K1145" s="83">
        <f t="shared" ca="1" si="242"/>
        <v>300</v>
      </c>
      <c r="L1145" s="83">
        <f t="shared" ca="1" si="242"/>
        <v>1216.5</v>
      </c>
      <c r="M1145" s="83">
        <f t="shared" ca="1" si="243"/>
        <v>600</v>
      </c>
      <c r="N1145" s="83">
        <f t="shared" ca="1" si="243"/>
        <v>72.5</v>
      </c>
      <c r="O1145" s="83">
        <f t="shared" ca="1" si="243"/>
        <v>240</v>
      </c>
      <c r="P1145" s="83">
        <f t="shared" ca="1" si="243"/>
        <v>40</v>
      </c>
      <c r="Q1145" s="83">
        <f t="shared" ca="1" si="243"/>
        <v>315</v>
      </c>
      <c r="R1145" s="83">
        <f t="shared" ca="1" si="243"/>
        <v>100</v>
      </c>
      <c r="S1145" s="83">
        <f t="shared" ca="1" si="243"/>
        <v>695</v>
      </c>
      <c r="T1145" s="83">
        <f t="shared" ca="1" si="243"/>
        <v>33.333333333333336</v>
      </c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</row>
    <row r="1146" spans="1:30" ht="15" x14ac:dyDescent="0.2">
      <c r="A1146" s="10">
        <f t="shared" si="238"/>
        <v>2090</v>
      </c>
      <c r="B1146" s="10">
        <f t="shared" si="241"/>
        <v>365</v>
      </c>
      <c r="C1146" s="83">
        <f t="shared" ca="1" si="242"/>
        <v>154.75825</v>
      </c>
      <c r="D1146" s="83">
        <f t="shared" ca="1" si="242"/>
        <v>281.0162499999999</v>
      </c>
      <c r="E1146" s="83">
        <f t="shared" ca="1" si="242"/>
        <v>109.1005</v>
      </c>
      <c r="F1146" s="83">
        <f t="shared" ca="1" si="242"/>
        <v>57.041666666666664</v>
      </c>
      <c r="G1146" s="83">
        <f t="shared" ca="1" si="242"/>
        <v>40</v>
      </c>
      <c r="H1146" s="83">
        <f t="shared" ca="1" si="242"/>
        <v>174.58333333333334</v>
      </c>
      <c r="I1146" s="83">
        <f t="shared" ca="1" si="242"/>
        <v>0</v>
      </c>
      <c r="J1146" s="83">
        <f t="shared" ca="1" si="242"/>
        <v>100</v>
      </c>
      <c r="K1146" s="83">
        <f t="shared" ca="1" si="242"/>
        <v>300</v>
      </c>
      <c r="L1146" s="83">
        <f t="shared" ca="1" si="242"/>
        <v>1216.5</v>
      </c>
      <c r="M1146" s="83">
        <f t="shared" ca="1" si="243"/>
        <v>600</v>
      </c>
      <c r="N1146" s="83">
        <f t="shared" ca="1" si="243"/>
        <v>72.5</v>
      </c>
      <c r="O1146" s="83">
        <f t="shared" ca="1" si="243"/>
        <v>240</v>
      </c>
      <c r="P1146" s="83">
        <f t="shared" ca="1" si="243"/>
        <v>40</v>
      </c>
      <c r="Q1146" s="83">
        <f t="shared" ca="1" si="243"/>
        <v>315</v>
      </c>
      <c r="R1146" s="83">
        <f t="shared" ca="1" si="243"/>
        <v>100</v>
      </c>
      <c r="S1146" s="83">
        <f t="shared" ca="1" si="243"/>
        <v>695</v>
      </c>
      <c r="T1146" s="83">
        <f t="shared" ca="1" si="243"/>
        <v>33.333333333333336</v>
      </c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</row>
    <row r="1147" spans="1:30" ht="15" x14ac:dyDescent="0.2">
      <c r="A1147" s="10">
        <f t="shared" si="238"/>
        <v>2091</v>
      </c>
      <c r="B1147" s="10">
        <f t="shared" si="241"/>
        <v>365</v>
      </c>
      <c r="C1147" s="83">
        <f t="shared" ca="1" si="242"/>
        <v>154.75825</v>
      </c>
      <c r="D1147" s="83">
        <f t="shared" ca="1" si="242"/>
        <v>281.0162499999999</v>
      </c>
      <c r="E1147" s="83">
        <f t="shared" ca="1" si="242"/>
        <v>109.1005</v>
      </c>
      <c r="F1147" s="83">
        <f t="shared" ca="1" si="242"/>
        <v>57.041666666666664</v>
      </c>
      <c r="G1147" s="83">
        <f t="shared" ca="1" si="242"/>
        <v>40</v>
      </c>
      <c r="H1147" s="83">
        <f t="shared" ca="1" si="242"/>
        <v>174.58333333333334</v>
      </c>
      <c r="I1147" s="83">
        <f t="shared" ca="1" si="242"/>
        <v>0</v>
      </c>
      <c r="J1147" s="83">
        <f t="shared" ca="1" si="242"/>
        <v>100</v>
      </c>
      <c r="K1147" s="83">
        <f t="shared" ca="1" si="242"/>
        <v>300</v>
      </c>
      <c r="L1147" s="83">
        <f t="shared" ca="1" si="242"/>
        <v>1216.5</v>
      </c>
      <c r="M1147" s="83">
        <f t="shared" ca="1" si="243"/>
        <v>600</v>
      </c>
      <c r="N1147" s="83">
        <f t="shared" ca="1" si="243"/>
        <v>72.5</v>
      </c>
      <c r="O1147" s="83">
        <f t="shared" ca="1" si="243"/>
        <v>240</v>
      </c>
      <c r="P1147" s="83">
        <f t="shared" ca="1" si="243"/>
        <v>40</v>
      </c>
      <c r="Q1147" s="83">
        <f t="shared" ca="1" si="243"/>
        <v>315</v>
      </c>
      <c r="R1147" s="83">
        <f t="shared" ca="1" si="243"/>
        <v>100</v>
      </c>
      <c r="S1147" s="83">
        <f t="shared" ca="1" si="243"/>
        <v>695</v>
      </c>
      <c r="T1147" s="83">
        <f t="shared" ca="1" si="243"/>
        <v>33.333333333333336</v>
      </c>
    </row>
    <row r="1148" spans="1:30" ht="15" x14ac:dyDescent="0.2">
      <c r="A1148" s="10">
        <f t="shared" si="238"/>
        <v>2092</v>
      </c>
      <c r="B1148" s="10">
        <f t="shared" si="241"/>
        <v>366</v>
      </c>
      <c r="C1148" s="83">
        <f t="shared" ref="C1148:L1156" ca="1" si="244">AVERAGE(OFFSET(C$600,($A1148-$A$1118)*12,0,12,1))</f>
        <v>154.75825</v>
      </c>
      <c r="D1148" s="83">
        <f t="shared" ca="1" si="244"/>
        <v>281.0162499999999</v>
      </c>
      <c r="E1148" s="83">
        <f t="shared" ca="1" si="244"/>
        <v>109.1005</v>
      </c>
      <c r="F1148" s="83">
        <f t="shared" ca="1" si="244"/>
        <v>57.041666666666664</v>
      </c>
      <c r="G1148" s="83">
        <f t="shared" ca="1" si="244"/>
        <v>40</v>
      </c>
      <c r="H1148" s="83">
        <f t="shared" ca="1" si="244"/>
        <v>174.58333333333334</v>
      </c>
      <c r="I1148" s="83">
        <f t="shared" ca="1" si="244"/>
        <v>0</v>
      </c>
      <c r="J1148" s="83">
        <f t="shared" ca="1" si="244"/>
        <v>100</v>
      </c>
      <c r="K1148" s="83">
        <f t="shared" ca="1" si="244"/>
        <v>300</v>
      </c>
      <c r="L1148" s="83">
        <f t="shared" ca="1" si="244"/>
        <v>1216.5</v>
      </c>
      <c r="M1148" s="83">
        <f t="shared" ref="M1148:T1156" ca="1" si="245">AVERAGE(OFFSET(M$600,($A1148-$A$1118)*12,0,12,1))</f>
        <v>600</v>
      </c>
      <c r="N1148" s="83">
        <f t="shared" ca="1" si="245"/>
        <v>72.5</v>
      </c>
      <c r="O1148" s="83">
        <f t="shared" ca="1" si="245"/>
        <v>240</v>
      </c>
      <c r="P1148" s="83">
        <f t="shared" ca="1" si="245"/>
        <v>40</v>
      </c>
      <c r="Q1148" s="83">
        <f t="shared" ca="1" si="245"/>
        <v>315</v>
      </c>
      <c r="R1148" s="83">
        <f t="shared" ca="1" si="245"/>
        <v>100</v>
      </c>
      <c r="S1148" s="83">
        <f t="shared" ca="1" si="245"/>
        <v>695</v>
      </c>
      <c r="T1148" s="83">
        <f t="shared" ca="1" si="245"/>
        <v>33.333333333333336</v>
      </c>
    </row>
    <row r="1149" spans="1:30" ht="15" x14ac:dyDescent="0.2">
      <c r="A1149" s="10">
        <f t="shared" si="238"/>
        <v>2093</v>
      </c>
      <c r="B1149" s="10">
        <f t="shared" si="241"/>
        <v>365</v>
      </c>
      <c r="C1149" s="83">
        <f t="shared" ca="1" si="244"/>
        <v>154.75825</v>
      </c>
      <c r="D1149" s="83">
        <f t="shared" ca="1" si="244"/>
        <v>281.0162499999999</v>
      </c>
      <c r="E1149" s="83">
        <f t="shared" ca="1" si="244"/>
        <v>109.1005</v>
      </c>
      <c r="F1149" s="83">
        <f t="shared" ca="1" si="244"/>
        <v>57.041666666666664</v>
      </c>
      <c r="G1149" s="83">
        <f t="shared" ca="1" si="244"/>
        <v>40</v>
      </c>
      <c r="H1149" s="83">
        <f t="shared" ca="1" si="244"/>
        <v>174.58333333333334</v>
      </c>
      <c r="I1149" s="83">
        <f t="shared" ca="1" si="244"/>
        <v>0</v>
      </c>
      <c r="J1149" s="83">
        <f t="shared" ca="1" si="244"/>
        <v>100</v>
      </c>
      <c r="K1149" s="83">
        <f t="shared" ca="1" si="244"/>
        <v>300</v>
      </c>
      <c r="L1149" s="83">
        <f t="shared" ca="1" si="244"/>
        <v>1216.5</v>
      </c>
      <c r="M1149" s="83">
        <f t="shared" ca="1" si="245"/>
        <v>600</v>
      </c>
      <c r="N1149" s="83">
        <f t="shared" ca="1" si="245"/>
        <v>72.5</v>
      </c>
      <c r="O1149" s="83">
        <f t="shared" ca="1" si="245"/>
        <v>240</v>
      </c>
      <c r="P1149" s="83">
        <f t="shared" ca="1" si="245"/>
        <v>40</v>
      </c>
      <c r="Q1149" s="83">
        <f t="shared" ca="1" si="245"/>
        <v>315</v>
      </c>
      <c r="R1149" s="83">
        <f t="shared" ca="1" si="245"/>
        <v>100</v>
      </c>
      <c r="S1149" s="83">
        <f t="shared" ca="1" si="245"/>
        <v>695</v>
      </c>
      <c r="T1149" s="83">
        <f t="shared" ca="1" si="245"/>
        <v>33.333333333333336</v>
      </c>
    </row>
    <row r="1150" spans="1:30" ht="15" x14ac:dyDescent="0.2">
      <c r="A1150" s="10">
        <f t="shared" si="238"/>
        <v>2094</v>
      </c>
      <c r="B1150" s="10">
        <f t="shared" si="241"/>
        <v>365</v>
      </c>
      <c r="C1150" s="83">
        <f t="shared" ca="1" si="244"/>
        <v>154.75825</v>
      </c>
      <c r="D1150" s="83">
        <f t="shared" ca="1" si="244"/>
        <v>281.0162499999999</v>
      </c>
      <c r="E1150" s="83">
        <f t="shared" ca="1" si="244"/>
        <v>109.1005</v>
      </c>
      <c r="F1150" s="83">
        <f t="shared" ca="1" si="244"/>
        <v>57.041666666666664</v>
      </c>
      <c r="G1150" s="83">
        <f t="shared" ca="1" si="244"/>
        <v>40</v>
      </c>
      <c r="H1150" s="83">
        <f t="shared" ca="1" si="244"/>
        <v>174.58333333333334</v>
      </c>
      <c r="I1150" s="83">
        <f t="shared" ca="1" si="244"/>
        <v>0</v>
      </c>
      <c r="J1150" s="83">
        <f t="shared" ca="1" si="244"/>
        <v>100</v>
      </c>
      <c r="K1150" s="83">
        <f t="shared" ca="1" si="244"/>
        <v>300</v>
      </c>
      <c r="L1150" s="83">
        <f t="shared" ca="1" si="244"/>
        <v>1216.5</v>
      </c>
      <c r="M1150" s="83">
        <f t="shared" ca="1" si="245"/>
        <v>600</v>
      </c>
      <c r="N1150" s="83">
        <f t="shared" ca="1" si="245"/>
        <v>72.5</v>
      </c>
      <c r="O1150" s="83">
        <f t="shared" ca="1" si="245"/>
        <v>240</v>
      </c>
      <c r="P1150" s="83">
        <f t="shared" ca="1" si="245"/>
        <v>40</v>
      </c>
      <c r="Q1150" s="83">
        <f t="shared" ca="1" si="245"/>
        <v>315</v>
      </c>
      <c r="R1150" s="83">
        <f t="shared" ca="1" si="245"/>
        <v>100</v>
      </c>
      <c r="S1150" s="83">
        <f t="shared" ca="1" si="245"/>
        <v>695</v>
      </c>
      <c r="T1150" s="83">
        <f t="shared" ca="1" si="245"/>
        <v>33.333333333333336</v>
      </c>
    </row>
    <row r="1151" spans="1:30" ht="15" x14ac:dyDescent="0.2">
      <c r="A1151" s="10">
        <f t="shared" si="238"/>
        <v>2095</v>
      </c>
      <c r="B1151" s="10">
        <f t="shared" si="241"/>
        <v>365</v>
      </c>
      <c r="C1151" s="83">
        <f t="shared" ca="1" si="244"/>
        <v>154.75825</v>
      </c>
      <c r="D1151" s="83">
        <f t="shared" ca="1" si="244"/>
        <v>281.0162499999999</v>
      </c>
      <c r="E1151" s="83">
        <f t="shared" ca="1" si="244"/>
        <v>109.1005</v>
      </c>
      <c r="F1151" s="83">
        <f t="shared" ca="1" si="244"/>
        <v>57.041666666666664</v>
      </c>
      <c r="G1151" s="83">
        <f t="shared" ca="1" si="244"/>
        <v>40</v>
      </c>
      <c r="H1151" s="83">
        <f t="shared" ca="1" si="244"/>
        <v>174.58333333333334</v>
      </c>
      <c r="I1151" s="83">
        <f t="shared" ca="1" si="244"/>
        <v>0</v>
      </c>
      <c r="J1151" s="83">
        <f t="shared" ca="1" si="244"/>
        <v>100</v>
      </c>
      <c r="K1151" s="83">
        <f t="shared" ca="1" si="244"/>
        <v>300</v>
      </c>
      <c r="L1151" s="83">
        <f t="shared" ca="1" si="244"/>
        <v>1216.5</v>
      </c>
      <c r="M1151" s="83">
        <f t="shared" ca="1" si="245"/>
        <v>600</v>
      </c>
      <c r="N1151" s="83">
        <f t="shared" ca="1" si="245"/>
        <v>72.5</v>
      </c>
      <c r="O1151" s="83">
        <f t="shared" ca="1" si="245"/>
        <v>240</v>
      </c>
      <c r="P1151" s="83">
        <f t="shared" ca="1" si="245"/>
        <v>40</v>
      </c>
      <c r="Q1151" s="83">
        <f t="shared" ca="1" si="245"/>
        <v>315</v>
      </c>
      <c r="R1151" s="83">
        <f t="shared" ca="1" si="245"/>
        <v>100</v>
      </c>
      <c r="S1151" s="83">
        <f t="shared" ca="1" si="245"/>
        <v>695</v>
      </c>
      <c r="T1151" s="83">
        <f t="shared" ca="1" si="245"/>
        <v>33.333333333333336</v>
      </c>
    </row>
    <row r="1152" spans="1:30" ht="15" x14ac:dyDescent="0.2">
      <c r="A1152" s="10">
        <f t="shared" si="238"/>
        <v>2096</v>
      </c>
      <c r="B1152" s="10">
        <f t="shared" si="241"/>
        <v>366</v>
      </c>
      <c r="C1152" s="83">
        <f t="shared" ca="1" si="244"/>
        <v>154.75825</v>
      </c>
      <c r="D1152" s="83">
        <f t="shared" ca="1" si="244"/>
        <v>281.0162499999999</v>
      </c>
      <c r="E1152" s="83">
        <f t="shared" ca="1" si="244"/>
        <v>109.1005</v>
      </c>
      <c r="F1152" s="83">
        <f t="shared" ca="1" si="244"/>
        <v>57.041666666666664</v>
      </c>
      <c r="G1152" s="83">
        <f t="shared" ca="1" si="244"/>
        <v>40</v>
      </c>
      <c r="H1152" s="83">
        <f t="shared" ca="1" si="244"/>
        <v>174.58333333333334</v>
      </c>
      <c r="I1152" s="83">
        <f t="shared" ca="1" si="244"/>
        <v>0</v>
      </c>
      <c r="J1152" s="83">
        <f t="shared" ca="1" si="244"/>
        <v>100</v>
      </c>
      <c r="K1152" s="83">
        <f t="shared" ca="1" si="244"/>
        <v>300</v>
      </c>
      <c r="L1152" s="83">
        <f t="shared" ca="1" si="244"/>
        <v>1216.5</v>
      </c>
      <c r="M1152" s="83">
        <f t="shared" ca="1" si="245"/>
        <v>600</v>
      </c>
      <c r="N1152" s="83">
        <f t="shared" ca="1" si="245"/>
        <v>72.5</v>
      </c>
      <c r="O1152" s="83">
        <f t="shared" ca="1" si="245"/>
        <v>240</v>
      </c>
      <c r="P1152" s="83">
        <f t="shared" ca="1" si="245"/>
        <v>40</v>
      </c>
      <c r="Q1152" s="83">
        <f t="shared" ca="1" si="245"/>
        <v>315</v>
      </c>
      <c r="R1152" s="83">
        <f t="shared" ca="1" si="245"/>
        <v>100</v>
      </c>
      <c r="S1152" s="83">
        <f t="shared" ca="1" si="245"/>
        <v>695</v>
      </c>
      <c r="T1152" s="83">
        <f t="shared" ca="1" si="245"/>
        <v>33.333333333333336</v>
      </c>
    </row>
    <row r="1153" spans="1:20" ht="15" x14ac:dyDescent="0.2">
      <c r="A1153" s="10">
        <f t="shared" si="238"/>
        <v>2097</v>
      </c>
      <c r="B1153" s="10">
        <f t="shared" si="241"/>
        <v>365</v>
      </c>
      <c r="C1153" s="83">
        <f t="shared" ca="1" si="244"/>
        <v>154.75825</v>
      </c>
      <c r="D1153" s="83">
        <f t="shared" ca="1" si="244"/>
        <v>281.0162499999999</v>
      </c>
      <c r="E1153" s="83">
        <f t="shared" ca="1" si="244"/>
        <v>109.1005</v>
      </c>
      <c r="F1153" s="83">
        <f t="shared" ca="1" si="244"/>
        <v>57.041666666666664</v>
      </c>
      <c r="G1153" s="83">
        <f t="shared" ca="1" si="244"/>
        <v>40</v>
      </c>
      <c r="H1153" s="83">
        <f t="shared" ca="1" si="244"/>
        <v>174.58333333333334</v>
      </c>
      <c r="I1153" s="83">
        <f t="shared" ca="1" si="244"/>
        <v>0</v>
      </c>
      <c r="J1153" s="83">
        <f t="shared" ca="1" si="244"/>
        <v>100</v>
      </c>
      <c r="K1153" s="83">
        <f t="shared" ca="1" si="244"/>
        <v>300</v>
      </c>
      <c r="L1153" s="83">
        <f t="shared" ca="1" si="244"/>
        <v>1216.5</v>
      </c>
      <c r="M1153" s="83">
        <f t="shared" ca="1" si="245"/>
        <v>600</v>
      </c>
      <c r="N1153" s="83">
        <f t="shared" ca="1" si="245"/>
        <v>72.5</v>
      </c>
      <c r="O1153" s="83">
        <f t="shared" ca="1" si="245"/>
        <v>240</v>
      </c>
      <c r="P1153" s="83">
        <f t="shared" ca="1" si="245"/>
        <v>40</v>
      </c>
      <c r="Q1153" s="83">
        <f t="shared" ca="1" si="245"/>
        <v>315</v>
      </c>
      <c r="R1153" s="83">
        <f t="shared" ca="1" si="245"/>
        <v>100</v>
      </c>
      <c r="S1153" s="83">
        <f t="shared" ca="1" si="245"/>
        <v>695</v>
      </c>
      <c r="T1153" s="83">
        <f t="shared" ca="1" si="245"/>
        <v>33.333333333333336</v>
      </c>
    </row>
    <row r="1154" spans="1:20" ht="15" x14ac:dyDescent="0.2">
      <c r="A1154" s="10">
        <f t="shared" si="238"/>
        <v>2098</v>
      </c>
      <c r="B1154" s="10">
        <f t="shared" si="241"/>
        <v>365</v>
      </c>
      <c r="C1154" s="83">
        <f t="shared" ca="1" si="244"/>
        <v>154.75825</v>
      </c>
      <c r="D1154" s="83">
        <f t="shared" ca="1" si="244"/>
        <v>281.0162499999999</v>
      </c>
      <c r="E1154" s="83">
        <f t="shared" ca="1" si="244"/>
        <v>109.1005</v>
      </c>
      <c r="F1154" s="83">
        <f t="shared" ca="1" si="244"/>
        <v>57.041666666666664</v>
      </c>
      <c r="G1154" s="83">
        <f t="shared" ca="1" si="244"/>
        <v>40</v>
      </c>
      <c r="H1154" s="83">
        <f t="shared" ca="1" si="244"/>
        <v>174.58333333333334</v>
      </c>
      <c r="I1154" s="83">
        <f t="shared" ca="1" si="244"/>
        <v>0</v>
      </c>
      <c r="J1154" s="83">
        <f t="shared" ca="1" si="244"/>
        <v>100</v>
      </c>
      <c r="K1154" s="83">
        <f t="shared" ca="1" si="244"/>
        <v>300</v>
      </c>
      <c r="L1154" s="83">
        <f t="shared" ca="1" si="244"/>
        <v>1216.5</v>
      </c>
      <c r="M1154" s="83">
        <f t="shared" ca="1" si="245"/>
        <v>600</v>
      </c>
      <c r="N1154" s="83">
        <f t="shared" ca="1" si="245"/>
        <v>72.5</v>
      </c>
      <c r="O1154" s="83">
        <f t="shared" ca="1" si="245"/>
        <v>240</v>
      </c>
      <c r="P1154" s="83">
        <f t="shared" ca="1" si="245"/>
        <v>40</v>
      </c>
      <c r="Q1154" s="83">
        <f t="shared" ca="1" si="245"/>
        <v>315</v>
      </c>
      <c r="R1154" s="83">
        <f t="shared" ca="1" si="245"/>
        <v>100</v>
      </c>
      <c r="S1154" s="83">
        <f t="shared" ca="1" si="245"/>
        <v>695</v>
      </c>
      <c r="T1154" s="83">
        <f t="shared" ca="1" si="245"/>
        <v>33.333333333333336</v>
      </c>
    </row>
    <row r="1155" spans="1:20" ht="15" x14ac:dyDescent="0.2">
      <c r="A1155" s="10">
        <f t="shared" si="238"/>
        <v>2099</v>
      </c>
      <c r="B1155" s="10">
        <f t="shared" si="241"/>
        <v>365</v>
      </c>
      <c r="C1155" s="83">
        <f t="shared" ca="1" si="244"/>
        <v>154.75825</v>
      </c>
      <c r="D1155" s="83">
        <f t="shared" ca="1" si="244"/>
        <v>281.0162499999999</v>
      </c>
      <c r="E1155" s="83">
        <f t="shared" ca="1" si="244"/>
        <v>109.1005</v>
      </c>
      <c r="F1155" s="83">
        <f t="shared" ca="1" si="244"/>
        <v>57.041666666666664</v>
      </c>
      <c r="G1155" s="83">
        <f t="shared" ca="1" si="244"/>
        <v>40</v>
      </c>
      <c r="H1155" s="83">
        <f t="shared" ca="1" si="244"/>
        <v>174.58333333333334</v>
      </c>
      <c r="I1155" s="83">
        <f t="shared" ca="1" si="244"/>
        <v>0</v>
      </c>
      <c r="J1155" s="83">
        <f t="shared" ca="1" si="244"/>
        <v>100</v>
      </c>
      <c r="K1155" s="83">
        <f t="shared" ca="1" si="244"/>
        <v>300</v>
      </c>
      <c r="L1155" s="83">
        <f t="shared" ca="1" si="244"/>
        <v>1216.5</v>
      </c>
      <c r="M1155" s="83">
        <f t="shared" ca="1" si="245"/>
        <v>600</v>
      </c>
      <c r="N1155" s="83">
        <f t="shared" ca="1" si="245"/>
        <v>72.5</v>
      </c>
      <c r="O1155" s="83">
        <f t="shared" ca="1" si="245"/>
        <v>240</v>
      </c>
      <c r="P1155" s="83">
        <f t="shared" ca="1" si="245"/>
        <v>40</v>
      </c>
      <c r="Q1155" s="83">
        <f t="shared" ca="1" si="245"/>
        <v>315</v>
      </c>
      <c r="R1155" s="83">
        <f t="shared" ca="1" si="245"/>
        <v>100</v>
      </c>
      <c r="S1155" s="83">
        <f t="shared" ca="1" si="245"/>
        <v>695</v>
      </c>
      <c r="T1155" s="83">
        <f t="shared" ca="1" si="245"/>
        <v>33.333333333333336</v>
      </c>
    </row>
    <row r="1156" spans="1:20" ht="15" x14ac:dyDescent="0.2">
      <c r="A1156" s="10">
        <f t="shared" si="238"/>
        <v>2100</v>
      </c>
      <c r="B1156" s="10">
        <f t="shared" si="241"/>
        <v>365</v>
      </c>
      <c r="C1156" s="83">
        <f t="shared" ca="1" si="244"/>
        <v>154.75825</v>
      </c>
      <c r="D1156" s="83">
        <f t="shared" ca="1" si="244"/>
        <v>281.0162499999999</v>
      </c>
      <c r="E1156" s="83">
        <f t="shared" ca="1" si="244"/>
        <v>109.1005</v>
      </c>
      <c r="F1156" s="83">
        <f t="shared" ca="1" si="244"/>
        <v>57.041666666666664</v>
      </c>
      <c r="G1156" s="83">
        <f t="shared" ca="1" si="244"/>
        <v>40</v>
      </c>
      <c r="H1156" s="83">
        <f t="shared" ca="1" si="244"/>
        <v>174.58333333333334</v>
      </c>
      <c r="I1156" s="83">
        <f t="shared" ca="1" si="244"/>
        <v>0</v>
      </c>
      <c r="J1156" s="83">
        <f t="shared" ca="1" si="244"/>
        <v>100</v>
      </c>
      <c r="K1156" s="83">
        <f t="shared" ca="1" si="244"/>
        <v>300</v>
      </c>
      <c r="L1156" s="83">
        <f t="shared" ca="1" si="244"/>
        <v>1216.5</v>
      </c>
      <c r="M1156" s="83">
        <f t="shared" ca="1" si="245"/>
        <v>600</v>
      </c>
      <c r="N1156" s="83">
        <f t="shared" ca="1" si="245"/>
        <v>72.5</v>
      </c>
      <c r="O1156" s="83">
        <f t="shared" ca="1" si="245"/>
        <v>240</v>
      </c>
      <c r="P1156" s="83">
        <f t="shared" ca="1" si="245"/>
        <v>40</v>
      </c>
      <c r="Q1156" s="83">
        <f t="shared" ca="1" si="245"/>
        <v>315</v>
      </c>
      <c r="R1156" s="83">
        <f t="shared" ca="1" si="245"/>
        <v>100</v>
      </c>
      <c r="S1156" s="83">
        <f t="shared" ca="1" si="245"/>
        <v>695</v>
      </c>
      <c r="T1156" s="83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19" scale="55" orientation="landscape" horizontalDpi="1200" verticalDpi="1200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RAP-SOLID FUEL PRICES</vt:lpstr>
      <vt:lpstr>RAP-LIGHT OIL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2016-07-29T16:47:33Z</dcterms:created>
  <dcterms:modified xsi:type="dcterms:W3CDTF">2016-07-29T16:47:37Z</dcterms:modified>
</cp:coreProperties>
</file>